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slicers/slicer1.xml" ContentType="application/vnd.ms-excel.slicer+xml"/>
  <Override PartName="/xl/timelines/timeline1.xml" ContentType="application/vnd.ms-excel.timelin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ables/table2.xml" ContentType="application/vnd.openxmlformats-officedocument.spreadsheetml.tab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https://bitsom-my.sharepoint.com/personal/vedang_poddar2026_bitsom_edu_in/Documents/Master/TresVista/"/>
    </mc:Choice>
  </mc:AlternateContent>
  <xr:revisionPtr revIDLastSave="0" documentId="13_ncr:1_{0BFBF958-372E-4F3A-B577-4E7653972B07}" xr6:coauthVersionLast="47" xr6:coauthVersionMax="47" xr10:uidLastSave="{00000000-0000-0000-0000-000000000000}"/>
  <bookViews>
    <workbookView xWindow="-98" yWindow="-98" windowWidth="19396" windowHeight="11475" tabRatio="821" activeTab="10" xr2:uid="{00000000-000D-0000-FFFF-FFFF00000000}"/>
  </bookViews>
  <sheets>
    <sheet name="Industry&gt;&gt;" sheetId="46" r:id="rId1"/>
    <sheet name="Info" sheetId="17" r:id="rId2"/>
    <sheet name="FUEL" sheetId="69" state="hidden" r:id="rId3"/>
    <sheet name="Data" sheetId="60" state="hidden" r:id="rId4"/>
    <sheet name="Pivot Table" sheetId="73" state="hidden" r:id="rId5"/>
    <sheet name="Dashboard" sheetId="74" r:id="rId6"/>
    <sheet name="Air Routes" sheetId="24" state="hidden" r:id="rId7"/>
    <sheet name="Rev and Net Income" sheetId="61" state="hidden" r:id="rId8"/>
    <sheet name="Fleet Update" sheetId="63" r:id="rId9"/>
    <sheet name="Summary" sheetId="52" r:id="rId10"/>
    <sheet name="Comps" sheetId="77" r:id="rId11"/>
    <sheet name="Historical" sheetId="85" r:id="rId12"/>
    <sheet name="Consensus" sheetId="15" r:id="rId13"/>
    <sheet name="AAL One Pager" sheetId="27" r:id="rId14"/>
    <sheet name="AAL Calculation" sheetId="28" r:id="rId15"/>
    <sheet name="AAL Financials" sheetId="29" r:id="rId16"/>
    <sheet name="AAL KPI" sheetId="30" r:id="rId17"/>
    <sheet name="AAL Debt" sheetId="32" r:id="rId18"/>
    <sheet name="DAL One Pager" sheetId="36" r:id="rId19"/>
    <sheet name="DAL Calculation" sheetId="37" r:id="rId20"/>
    <sheet name="DAL Financials" sheetId="38" r:id="rId21"/>
    <sheet name="DAL KPI" sheetId="39" r:id="rId22"/>
    <sheet name="DAL Debt" sheetId="41" r:id="rId23"/>
    <sheet name="DAL Variance Q1'22" sheetId="120" r:id="rId24"/>
    <sheet name="UAL One Pager" sheetId="13" r:id="rId25"/>
    <sheet name="UAL Calculation" sheetId="14" r:id="rId26"/>
    <sheet name="UAL Financials" sheetId="3" r:id="rId27"/>
    <sheet name="UAL KPI" sheetId="16" r:id="rId28"/>
    <sheet name="UAL Debt" sheetId="4"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123Graph_A" localSheetId="17" hidden="1">[1]PRICE_W!#REF!</definedName>
    <definedName name="__123Graph_A" localSheetId="15" hidden="1">[2]P!#REF!</definedName>
    <definedName name="__123Graph_A" localSheetId="12" hidden="1">[2]P!#REF!</definedName>
    <definedName name="__123Graph_A" localSheetId="22" hidden="1">[1]PRICE_W!#REF!</definedName>
    <definedName name="__123Graph_A" localSheetId="20" hidden="1">[2]P!#REF!</definedName>
    <definedName name="__123Graph_A" localSheetId="21" hidden="1">[2]P!#REF!</definedName>
    <definedName name="__123Graph_A" localSheetId="23" hidden="1">[2]P!#REF!</definedName>
    <definedName name="__123Graph_A" localSheetId="28" hidden="1">[1]PRICE_W!#REF!</definedName>
    <definedName name="__123Graph_A" localSheetId="26" hidden="1">[2]P!#REF!</definedName>
    <definedName name="__123Graph_A" localSheetId="27" hidden="1">[2]P!#REF!</definedName>
    <definedName name="__123Graph_A" hidden="1">[1]PRICE_W!#REF!</definedName>
    <definedName name="__123Graph_AChart1" localSheetId="17" hidden="1">[2]P!#REF!</definedName>
    <definedName name="__123Graph_AChart1" localSheetId="15" hidden="1">[2]P!#REF!</definedName>
    <definedName name="__123Graph_AChart1" localSheetId="12" hidden="1">[2]P!#REF!</definedName>
    <definedName name="__123Graph_AChart1" localSheetId="22" hidden="1">[2]P!#REF!</definedName>
    <definedName name="__123Graph_AChart1" localSheetId="20" hidden="1">[2]P!#REF!</definedName>
    <definedName name="__123Graph_AChart1" localSheetId="21" hidden="1">[2]P!#REF!</definedName>
    <definedName name="__123Graph_AChart1" localSheetId="23" hidden="1">[2]P!#REF!</definedName>
    <definedName name="__123Graph_AChart1" localSheetId="28" hidden="1">[2]P!#REF!</definedName>
    <definedName name="__123Graph_AChart1" localSheetId="26" hidden="1">[2]P!#REF!</definedName>
    <definedName name="__123Graph_AChart1" localSheetId="27" hidden="1">[2]P!#REF!</definedName>
    <definedName name="__123Graph_AChart1" hidden="1">[2]P!#REF!</definedName>
    <definedName name="__123Graph_ACurrent" localSheetId="17" hidden="1">[2]P!#REF!</definedName>
    <definedName name="__123Graph_ACurrent" localSheetId="15" hidden="1">[2]P!#REF!</definedName>
    <definedName name="__123Graph_ACurrent" localSheetId="22" hidden="1">[2]P!#REF!</definedName>
    <definedName name="__123Graph_ACurrent" localSheetId="20" hidden="1">[2]P!#REF!</definedName>
    <definedName name="__123Graph_ACurrent" localSheetId="21" hidden="1">[2]P!#REF!</definedName>
    <definedName name="__123Graph_ACurrent" localSheetId="23" hidden="1">[2]P!#REF!</definedName>
    <definedName name="__123Graph_ACurrent" localSheetId="28" hidden="1">[2]P!#REF!</definedName>
    <definedName name="__123Graph_ACurrent" localSheetId="26" hidden="1">[2]P!#REF!</definedName>
    <definedName name="__123Graph_ACurrent" localSheetId="27" hidden="1">[2]P!#REF!</definedName>
    <definedName name="__123Graph_ACurrent" hidden="1">[2]P!#REF!</definedName>
    <definedName name="__123Graph_B" localSheetId="17" hidden="1">[3]XOM!#REF!</definedName>
    <definedName name="__123Graph_B" localSheetId="15" hidden="1">[3]XOM!#REF!</definedName>
    <definedName name="__123Graph_B" localSheetId="22" hidden="1">[3]XOM!#REF!</definedName>
    <definedName name="__123Graph_B" localSheetId="20" hidden="1">[3]XOM!#REF!</definedName>
    <definedName name="__123Graph_B" localSheetId="21" hidden="1">[3]XOM!#REF!</definedName>
    <definedName name="__123Graph_B" localSheetId="23" hidden="1">[3]XOM!#REF!</definedName>
    <definedName name="__123Graph_B" localSheetId="28" hidden="1">[3]XOM!#REF!</definedName>
    <definedName name="__123Graph_B" localSheetId="26" hidden="1">[3]XOM!#REF!</definedName>
    <definedName name="__123Graph_B" localSheetId="27" hidden="1">[3]XOM!#REF!</definedName>
    <definedName name="__123Graph_B" hidden="1">[3]XOM!#REF!</definedName>
    <definedName name="__123Graph_X" localSheetId="15" hidden="1">[4]P!$R$29:$AK$29</definedName>
    <definedName name="__123Graph_X" localSheetId="12" hidden="1">[4]P!$R$29:$AK$29</definedName>
    <definedName name="__123Graph_X" localSheetId="20" hidden="1">[4]P!$R$29:$AK$29</definedName>
    <definedName name="__123Graph_X" localSheetId="21" hidden="1">[4]P!$R$29:$AK$29</definedName>
    <definedName name="__123Graph_X" localSheetId="23" hidden="1">[4]P!$R$29:$AK$29</definedName>
    <definedName name="__123Graph_X" localSheetId="26" hidden="1">[4]P!$R$29:$AK$29</definedName>
    <definedName name="__123Graph_X" localSheetId="27" hidden="1">[4]P!$R$29:$AK$29</definedName>
    <definedName name="__123Graph_X" hidden="1">[1]PRICE_W!#REF!</definedName>
    <definedName name="__123Graph_XChart1" hidden="1">[4]P!$R$29:$AK$29</definedName>
    <definedName name="__123Graph_XCurrent" hidden="1">[4]P!$R$29:$AK$29</definedName>
    <definedName name="__a1" localSheetId="17" hidden="1">{"comp1",#N/A,FALSE,"COMPS";"footnotes",#N/A,FALSE,"COMPS"}</definedName>
    <definedName name="__a1" localSheetId="15" hidden="1">{"comp1",#N/A,FALSE,"COMPS";"footnotes",#N/A,FALSE,"COMPS"}</definedName>
    <definedName name="__a1" localSheetId="12" hidden="1">{"comp1",#N/A,FALSE,"COMPS";"footnotes",#N/A,FALSE,"COMPS"}</definedName>
    <definedName name="__a1" localSheetId="22" hidden="1">{"comp1",#N/A,FALSE,"COMPS";"footnotes",#N/A,FALSE,"COMPS"}</definedName>
    <definedName name="__a1" localSheetId="20" hidden="1">{"comp1",#N/A,FALSE,"COMPS";"footnotes",#N/A,FALSE,"COMPS"}</definedName>
    <definedName name="__a1" localSheetId="21" hidden="1">{"comp1",#N/A,FALSE,"COMPS";"footnotes",#N/A,FALSE,"COMPS"}</definedName>
    <definedName name="__a1" localSheetId="23" hidden="1">{"comp1",#N/A,FALSE,"COMPS";"footnotes",#N/A,FALSE,"COMPS"}</definedName>
    <definedName name="__a1" localSheetId="1" hidden="1">{"comp1",#N/A,FALSE,"COMPS";"footnotes",#N/A,FALSE,"COMPS"}</definedName>
    <definedName name="__a1" localSheetId="28" hidden="1">{"comp1",#N/A,FALSE,"COMPS";"footnotes",#N/A,FALSE,"COMPS"}</definedName>
    <definedName name="__a1" localSheetId="26" hidden="1">{"comp1",#N/A,FALSE,"COMPS";"footnotes",#N/A,FALSE,"COMPS"}</definedName>
    <definedName name="__a1" localSheetId="27" hidden="1">{"comp1",#N/A,FALSE,"COMPS";"footnotes",#N/A,FALSE,"COMPS"}</definedName>
    <definedName name="__a1" hidden="1">{"comp1",#N/A,FALSE,"COMPS";"footnotes",#N/A,FALSE,"COMPS"}</definedName>
    <definedName name="__aa1" localSheetId="17" hidden="1">{#N/A,#N/A,TRUE,"Pro Forma";#N/A,#N/A,TRUE,"PF_Bal";#N/A,#N/A,TRUE,"PF_INC";#N/A,#N/A,TRUE,"CBE";#N/A,#N/A,TRUE,"SWK"}</definedName>
    <definedName name="__aa1" localSheetId="15" hidden="1">{#N/A,#N/A,TRUE,"Pro Forma";#N/A,#N/A,TRUE,"PF_Bal";#N/A,#N/A,TRUE,"PF_INC";#N/A,#N/A,TRUE,"CBE";#N/A,#N/A,TRUE,"SWK"}</definedName>
    <definedName name="__aa1" localSheetId="12" hidden="1">{#N/A,#N/A,TRUE,"Pro Forma";#N/A,#N/A,TRUE,"PF_Bal";#N/A,#N/A,TRUE,"PF_INC";#N/A,#N/A,TRUE,"CBE";#N/A,#N/A,TRUE,"SWK"}</definedName>
    <definedName name="__aa1" localSheetId="22" hidden="1">{#N/A,#N/A,TRUE,"Pro Forma";#N/A,#N/A,TRUE,"PF_Bal";#N/A,#N/A,TRUE,"PF_INC";#N/A,#N/A,TRUE,"CBE";#N/A,#N/A,TRUE,"SWK"}</definedName>
    <definedName name="__aa1" localSheetId="20" hidden="1">{#N/A,#N/A,TRUE,"Pro Forma";#N/A,#N/A,TRUE,"PF_Bal";#N/A,#N/A,TRUE,"PF_INC";#N/A,#N/A,TRUE,"CBE";#N/A,#N/A,TRUE,"SWK"}</definedName>
    <definedName name="__aa1" localSheetId="21" hidden="1">{#N/A,#N/A,TRUE,"Pro Forma";#N/A,#N/A,TRUE,"PF_Bal";#N/A,#N/A,TRUE,"PF_INC";#N/A,#N/A,TRUE,"CBE";#N/A,#N/A,TRUE,"SWK"}</definedName>
    <definedName name="__aa1" localSheetId="23" hidden="1">{#N/A,#N/A,TRUE,"Pro Forma";#N/A,#N/A,TRUE,"PF_Bal";#N/A,#N/A,TRUE,"PF_INC";#N/A,#N/A,TRUE,"CBE";#N/A,#N/A,TRUE,"SWK"}</definedName>
    <definedName name="__aa1" localSheetId="1" hidden="1">{#N/A,#N/A,TRUE,"Pro Forma";#N/A,#N/A,TRUE,"PF_Bal";#N/A,#N/A,TRUE,"PF_INC";#N/A,#N/A,TRUE,"CBE";#N/A,#N/A,TRUE,"SWK"}</definedName>
    <definedName name="__aa1" localSheetId="28" hidden="1">{#N/A,#N/A,TRUE,"Pro Forma";#N/A,#N/A,TRUE,"PF_Bal";#N/A,#N/A,TRUE,"PF_INC";#N/A,#N/A,TRUE,"CBE";#N/A,#N/A,TRUE,"SWK"}</definedName>
    <definedName name="__aa1" localSheetId="26" hidden="1">{#N/A,#N/A,TRUE,"Pro Forma";#N/A,#N/A,TRUE,"PF_Bal";#N/A,#N/A,TRUE,"PF_INC";#N/A,#N/A,TRUE,"CBE";#N/A,#N/A,TRUE,"SWK"}</definedName>
    <definedName name="__aa1" localSheetId="27" hidden="1">{#N/A,#N/A,TRUE,"Pro Forma";#N/A,#N/A,TRUE,"PF_Bal";#N/A,#N/A,TRUE,"PF_INC";#N/A,#N/A,TRUE,"CBE";#N/A,#N/A,TRUE,"SWK"}</definedName>
    <definedName name="__aa1" hidden="1">{#N/A,#N/A,TRUE,"Pro Forma";#N/A,#N/A,TRUE,"PF_Bal";#N/A,#N/A,TRUE,"PF_INC";#N/A,#N/A,TRUE,"CBE";#N/A,#N/A,TRUE,"SWK"}</definedName>
    <definedName name="__ab1" localSheetId="17" hidden="1">{"comp1",#N/A,FALSE,"COMPS";"footnotes",#N/A,FALSE,"COMPS"}</definedName>
    <definedName name="__ab1" localSheetId="15" hidden="1">{"comp1",#N/A,FALSE,"COMPS";"footnotes",#N/A,FALSE,"COMPS"}</definedName>
    <definedName name="__ab1" localSheetId="12" hidden="1">{"comp1",#N/A,FALSE,"COMPS";"footnotes",#N/A,FALSE,"COMPS"}</definedName>
    <definedName name="__ab1" localSheetId="22" hidden="1">{"comp1",#N/A,FALSE,"COMPS";"footnotes",#N/A,FALSE,"COMPS"}</definedName>
    <definedName name="__ab1" localSheetId="20" hidden="1">{"comp1",#N/A,FALSE,"COMPS";"footnotes",#N/A,FALSE,"COMPS"}</definedName>
    <definedName name="__ab1" localSheetId="21" hidden="1">{"comp1",#N/A,FALSE,"COMPS";"footnotes",#N/A,FALSE,"COMPS"}</definedName>
    <definedName name="__ab1" localSheetId="23" hidden="1">{"comp1",#N/A,FALSE,"COMPS";"footnotes",#N/A,FALSE,"COMPS"}</definedName>
    <definedName name="__ab1" localSheetId="1" hidden="1">{"comp1",#N/A,FALSE,"COMPS";"footnotes",#N/A,FALSE,"COMPS"}</definedName>
    <definedName name="__ab1" localSheetId="28" hidden="1">{"comp1",#N/A,FALSE,"COMPS";"footnotes",#N/A,FALSE,"COMPS"}</definedName>
    <definedName name="__ab1" localSheetId="26" hidden="1">{"comp1",#N/A,FALSE,"COMPS";"footnotes",#N/A,FALSE,"COMPS"}</definedName>
    <definedName name="__ab1" localSheetId="27" hidden="1">{"comp1",#N/A,FALSE,"COMPS";"footnotes",#N/A,FALSE,"COMPS"}</definedName>
    <definedName name="__ab1" hidden="1">{"comp1",#N/A,FALSE,"COMPS";"footnotes",#N/A,FALSE,"COMPS"}</definedName>
    <definedName name="__ae1" localSheetId="17" hidden="1">{#N/A,#N/A,FALSE,"Calc";#N/A,#N/A,FALSE,"Sensitivity";#N/A,#N/A,FALSE,"LT Earn.Dil.";#N/A,#N/A,FALSE,"Dil. AVP"}</definedName>
    <definedName name="__ae1" localSheetId="15" hidden="1">{#N/A,#N/A,FALSE,"Calc";#N/A,#N/A,FALSE,"Sensitivity";#N/A,#N/A,FALSE,"LT Earn.Dil.";#N/A,#N/A,FALSE,"Dil. AVP"}</definedName>
    <definedName name="__ae1" localSheetId="12" hidden="1">{#N/A,#N/A,FALSE,"Calc";#N/A,#N/A,FALSE,"Sensitivity";#N/A,#N/A,FALSE,"LT Earn.Dil.";#N/A,#N/A,FALSE,"Dil. AVP"}</definedName>
    <definedName name="__ae1" localSheetId="22" hidden="1">{#N/A,#N/A,FALSE,"Calc";#N/A,#N/A,FALSE,"Sensitivity";#N/A,#N/A,FALSE,"LT Earn.Dil.";#N/A,#N/A,FALSE,"Dil. AVP"}</definedName>
    <definedName name="__ae1" localSheetId="20" hidden="1">{#N/A,#N/A,FALSE,"Calc";#N/A,#N/A,FALSE,"Sensitivity";#N/A,#N/A,FALSE,"LT Earn.Dil.";#N/A,#N/A,FALSE,"Dil. AVP"}</definedName>
    <definedName name="__ae1" localSheetId="21" hidden="1">{#N/A,#N/A,FALSE,"Calc";#N/A,#N/A,FALSE,"Sensitivity";#N/A,#N/A,FALSE,"LT Earn.Dil.";#N/A,#N/A,FALSE,"Dil. AVP"}</definedName>
    <definedName name="__ae1" localSheetId="23" hidden="1">{#N/A,#N/A,FALSE,"Calc";#N/A,#N/A,FALSE,"Sensitivity";#N/A,#N/A,FALSE,"LT Earn.Dil.";#N/A,#N/A,FALSE,"Dil. AVP"}</definedName>
    <definedName name="__ae1" localSheetId="1" hidden="1">{#N/A,#N/A,FALSE,"Calc";#N/A,#N/A,FALSE,"Sensitivity";#N/A,#N/A,FALSE,"LT Earn.Dil.";#N/A,#N/A,FALSE,"Dil. AVP"}</definedName>
    <definedName name="__ae1" localSheetId="28" hidden="1">{#N/A,#N/A,FALSE,"Calc";#N/A,#N/A,FALSE,"Sensitivity";#N/A,#N/A,FALSE,"LT Earn.Dil.";#N/A,#N/A,FALSE,"Dil. AVP"}</definedName>
    <definedName name="__ae1" localSheetId="26" hidden="1">{#N/A,#N/A,FALSE,"Calc";#N/A,#N/A,FALSE,"Sensitivity";#N/A,#N/A,FALSE,"LT Earn.Dil.";#N/A,#N/A,FALSE,"Dil. AVP"}</definedName>
    <definedName name="__ae1" localSheetId="27" hidden="1">{#N/A,#N/A,FALSE,"Calc";#N/A,#N/A,FALSE,"Sensitivity";#N/A,#N/A,FALSE,"LT Earn.Dil.";#N/A,#N/A,FALSE,"Dil. AVP"}</definedName>
    <definedName name="__ae1" hidden="1">{#N/A,#N/A,FALSE,"Calc";#N/A,#N/A,FALSE,"Sensitivity";#N/A,#N/A,FALSE,"LT Earn.Dil.";#N/A,#N/A,FALSE,"Dil. AVP"}</definedName>
    <definedName name="__am1" localSheetId="17" hidden="1">{#N/A,#N/A,TRUE,"Pro Forma";#N/A,#N/A,TRUE,"PF_Bal";#N/A,#N/A,TRUE,"PF_INC";#N/A,#N/A,TRUE,"CBE";#N/A,#N/A,TRUE,"SWK"}</definedName>
    <definedName name="__am1" localSheetId="15" hidden="1">{#N/A,#N/A,TRUE,"Pro Forma";#N/A,#N/A,TRUE,"PF_Bal";#N/A,#N/A,TRUE,"PF_INC";#N/A,#N/A,TRUE,"CBE";#N/A,#N/A,TRUE,"SWK"}</definedName>
    <definedName name="__am1" localSheetId="12" hidden="1">{#N/A,#N/A,TRUE,"Pro Forma";#N/A,#N/A,TRUE,"PF_Bal";#N/A,#N/A,TRUE,"PF_INC";#N/A,#N/A,TRUE,"CBE";#N/A,#N/A,TRUE,"SWK"}</definedName>
    <definedName name="__am1" localSheetId="22" hidden="1">{#N/A,#N/A,TRUE,"Pro Forma";#N/A,#N/A,TRUE,"PF_Bal";#N/A,#N/A,TRUE,"PF_INC";#N/A,#N/A,TRUE,"CBE";#N/A,#N/A,TRUE,"SWK"}</definedName>
    <definedName name="__am1" localSheetId="20" hidden="1">{#N/A,#N/A,TRUE,"Pro Forma";#N/A,#N/A,TRUE,"PF_Bal";#N/A,#N/A,TRUE,"PF_INC";#N/A,#N/A,TRUE,"CBE";#N/A,#N/A,TRUE,"SWK"}</definedName>
    <definedName name="__am1" localSheetId="21" hidden="1">{#N/A,#N/A,TRUE,"Pro Forma";#N/A,#N/A,TRUE,"PF_Bal";#N/A,#N/A,TRUE,"PF_INC";#N/A,#N/A,TRUE,"CBE";#N/A,#N/A,TRUE,"SWK"}</definedName>
    <definedName name="__am1" localSheetId="23" hidden="1">{#N/A,#N/A,TRUE,"Pro Forma";#N/A,#N/A,TRUE,"PF_Bal";#N/A,#N/A,TRUE,"PF_INC";#N/A,#N/A,TRUE,"CBE";#N/A,#N/A,TRUE,"SWK"}</definedName>
    <definedName name="__am1" localSheetId="1" hidden="1">{#N/A,#N/A,TRUE,"Pro Forma";#N/A,#N/A,TRUE,"PF_Bal";#N/A,#N/A,TRUE,"PF_INC";#N/A,#N/A,TRUE,"CBE";#N/A,#N/A,TRUE,"SWK"}</definedName>
    <definedName name="__am1" localSheetId="28" hidden="1">{#N/A,#N/A,TRUE,"Pro Forma";#N/A,#N/A,TRUE,"PF_Bal";#N/A,#N/A,TRUE,"PF_INC";#N/A,#N/A,TRUE,"CBE";#N/A,#N/A,TRUE,"SWK"}</definedName>
    <definedName name="__am1" localSheetId="26" hidden="1">{#N/A,#N/A,TRUE,"Pro Forma";#N/A,#N/A,TRUE,"PF_Bal";#N/A,#N/A,TRUE,"PF_INC";#N/A,#N/A,TRUE,"CBE";#N/A,#N/A,TRUE,"SWK"}</definedName>
    <definedName name="__am1" localSheetId="27" hidden="1">{#N/A,#N/A,TRUE,"Pro Forma";#N/A,#N/A,TRUE,"PF_Bal";#N/A,#N/A,TRUE,"PF_INC";#N/A,#N/A,TRUE,"CBE";#N/A,#N/A,TRUE,"SWK"}</definedName>
    <definedName name="__am1" hidden="1">{#N/A,#N/A,TRUE,"Pro Forma";#N/A,#N/A,TRUE,"PF_Bal";#N/A,#N/A,TRUE,"PF_INC";#N/A,#N/A,TRUE,"CBE";#N/A,#N/A,TRUE,"SWK"}</definedName>
    <definedName name="__as1" localSheetId="17" hidden="1">{"comp1",#N/A,FALSE,"COMPS";"footnotes",#N/A,FALSE,"COMPS"}</definedName>
    <definedName name="__as1" localSheetId="15" hidden="1">{"comp1",#N/A,FALSE,"COMPS";"footnotes",#N/A,FALSE,"COMPS"}</definedName>
    <definedName name="__as1" localSheetId="12" hidden="1">{"comp1",#N/A,FALSE,"COMPS";"footnotes",#N/A,FALSE,"COMPS"}</definedName>
    <definedName name="__as1" localSheetId="22" hidden="1">{"comp1",#N/A,FALSE,"COMPS";"footnotes",#N/A,FALSE,"COMPS"}</definedName>
    <definedName name="__as1" localSheetId="20" hidden="1">{"comp1",#N/A,FALSE,"COMPS";"footnotes",#N/A,FALSE,"COMPS"}</definedName>
    <definedName name="__as1" localSheetId="21" hidden="1">{"comp1",#N/A,FALSE,"COMPS";"footnotes",#N/A,FALSE,"COMPS"}</definedName>
    <definedName name="__as1" localSheetId="23" hidden="1">{"comp1",#N/A,FALSE,"COMPS";"footnotes",#N/A,FALSE,"COMPS"}</definedName>
    <definedName name="__as1" localSheetId="1" hidden="1">{"comp1",#N/A,FALSE,"COMPS";"footnotes",#N/A,FALSE,"COMPS"}</definedName>
    <definedName name="__as1" localSheetId="28" hidden="1">{"comp1",#N/A,FALSE,"COMPS";"footnotes",#N/A,FALSE,"COMPS"}</definedName>
    <definedName name="__as1" localSheetId="26" hidden="1">{"comp1",#N/A,FALSE,"COMPS";"footnotes",#N/A,FALSE,"COMPS"}</definedName>
    <definedName name="__as1" localSheetId="27" hidden="1">{"comp1",#N/A,FALSE,"COMPS";"footnotes",#N/A,FALSE,"COMPS"}</definedName>
    <definedName name="__as1" hidden="1">{"comp1",#N/A,FALSE,"COMPS";"footnotes",#N/A,FALSE,"COMPS"}</definedName>
    <definedName name="__f1" localSheetId="17" hidden="1">{"assumption cash",#N/A,TRUE,"Merger";"has gets cash",#N/A,TRUE,"Merger";"accretion dilution",#N/A,TRUE,"Merger";"comparison credit stats",#N/A,TRUE,"Merger";"pf credit stats",#N/A,TRUE,"Merger";"pf sheets",#N/A,TRUE,"Merger"}</definedName>
    <definedName name="__f1" localSheetId="15" hidden="1">{"assumption cash",#N/A,TRUE,"Merger";"has gets cash",#N/A,TRUE,"Merger";"accretion dilution",#N/A,TRUE,"Merger";"comparison credit stats",#N/A,TRUE,"Merger";"pf credit stats",#N/A,TRUE,"Merger";"pf sheets",#N/A,TRUE,"Merger"}</definedName>
    <definedName name="__f1" localSheetId="12" hidden="1">{"assumption cash",#N/A,TRUE,"Merger";"has gets cash",#N/A,TRUE,"Merger";"accretion dilution",#N/A,TRUE,"Merger";"comparison credit stats",#N/A,TRUE,"Merger";"pf credit stats",#N/A,TRUE,"Merger";"pf sheets",#N/A,TRUE,"Merger"}</definedName>
    <definedName name="__f1" localSheetId="22" hidden="1">{"assumption cash",#N/A,TRUE,"Merger";"has gets cash",#N/A,TRUE,"Merger";"accretion dilution",#N/A,TRUE,"Merger";"comparison credit stats",#N/A,TRUE,"Merger";"pf credit stats",#N/A,TRUE,"Merger";"pf sheets",#N/A,TRUE,"Merger"}</definedName>
    <definedName name="__f1" localSheetId="20" hidden="1">{"assumption cash",#N/A,TRUE,"Merger";"has gets cash",#N/A,TRUE,"Merger";"accretion dilution",#N/A,TRUE,"Merger";"comparison credit stats",#N/A,TRUE,"Merger";"pf credit stats",#N/A,TRUE,"Merger";"pf sheets",#N/A,TRUE,"Merger"}</definedName>
    <definedName name="__f1" localSheetId="21" hidden="1">{"assumption cash",#N/A,TRUE,"Merger";"has gets cash",#N/A,TRUE,"Merger";"accretion dilution",#N/A,TRUE,"Merger";"comparison credit stats",#N/A,TRUE,"Merger";"pf credit stats",#N/A,TRUE,"Merger";"pf sheets",#N/A,TRUE,"Merger"}</definedName>
    <definedName name="__f1" localSheetId="23" hidden="1">{"assumption cash",#N/A,TRUE,"Merger";"has gets cash",#N/A,TRUE,"Merger";"accretion dilution",#N/A,TRUE,"Merger";"comparison credit stats",#N/A,TRUE,"Merger";"pf credit stats",#N/A,TRUE,"Merger";"pf sheets",#N/A,TRUE,"Merger"}</definedName>
    <definedName name="__f1" localSheetId="1" hidden="1">{"assumption cash",#N/A,TRUE,"Merger";"has gets cash",#N/A,TRUE,"Merger";"accretion dilution",#N/A,TRUE,"Merger";"comparison credit stats",#N/A,TRUE,"Merger";"pf credit stats",#N/A,TRUE,"Merger";"pf sheets",#N/A,TRUE,"Merger"}</definedName>
    <definedName name="__f1" localSheetId="28" hidden="1">{"assumption cash",#N/A,TRUE,"Merger";"has gets cash",#N/A,TRUE,"Merger";"accretion dilution",#N/A,TRUE,"Merger";"comparison credit stats",#N/A,TRUE,"Merger";"pf credit stats",#N/A,TRUE,"Merger";"pf sheets",#N/A,TRUE,"Merger"}</definedName>
    <definedName name="__f1" localSheetId="26" hidden="1">{"assumption cash",#N/A,TRUE,"Merger";"has gets cash",#N/A,TRUE,"Merger";"accretion dilution",#N/A,TRUE,"Merger";"comparison credit stats",#N/A,TRUE,"Merger";"pf credit stats",#N/A,TRUE,"Merger";"pf sheets",#N/A,TRUE,"Merger"}</definedName>
    <definedName name="__f1" localSheetId="27" hidden="1">{"assumption cash",#N/A,TRUE,"Merger";"has gets cash",#N/A,TRUE,"Merger";"accretion dilution",#N/A,TRUE,"Merger";"comparison credit stats",#N/A,TRUE,"Merger";"pf credit stats",#N/A,TRUE,"Merger";"pf sheets",#N/A,TRUE,"Merger"}</definedName>
    <definedName name="__f1" hidden="1">{"assumption cash",#N/A,TRUE,"Merger";"has gets cash",#N/A,TRUE,"Merger";"accretion dilution",#N/A,TRUE,"Merger";"comparison credit stats",#N/A,TRUE,"Merger";"pf credit stats",#N/A,TRUE,"Merger";"pf sheets",#N/A,TRUE,"Merger"}</definedName>
    <definedName name="__FDS_HYPERLINK_TOGGLE_STATE__" hidden="1">"ON"</definedName>
    <definedName name="__FDS_UNIQUE_RANGE_ID_GENERATOR_COUNTER" localSheetId="15" hidden="1">1</definedName>
    <definedName name="__FDS_UNIQUE_RANGE_ID_GENERATOR_COUNTER" localSheetId="12" hidden="1">1</definedName>
    <definedName name="__FDS_UNIQUE_RANGE_ID_GENERATOR_COUNTER" localSheetId="20" hidden="1">1</definedName>
    <definedName name="__FDS_UNIQUE_RANGE_ID_GENERATOR_COUNTER" localSheetId="21" hidden="1">1</definedName>
    <definedName name="__FDS_UNIQUE_RANGE_ID_GENERATOR_COUNTER" localSheetId="23" hidden="1">1</definedName>
    <definedName name="__FDS_UNIQUE_RANGE_ID_GENERATOR_COUNTER" localSheetId="26" hidden="1">1</definedName>
    <definedName name="__FDS_UNIQUE_RANGE_ID_GENERATOR_COUNTER" localSheetId="27" hidden="1">1</definedName>
    <definedName name="__FDS_UNIQUE_RANGE_ID_GENERATOR_COUNTER" hidden="1">416</definedName>
    <definedName name="__FDS_USED_FOR_REUSING_RANGE_IDS_RECYCLE" localSheetId="17"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5"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2"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2"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0"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1"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3"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8"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6"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27"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ik1" localSheetId="17" hidden="1">{"casespecific",#N/A,FALSE,"Assumptions"}</definedName>
    <definedName name="__ik1" localSheetId="15" hidden="1">{"casespecific",#N/A,FALSE,"Assumptions"}</definedName>
    <definedName name="__ik1" localSheetId="12" hidden="1">{"casespecific",#N/A,FALSE,"Assumptions"}</definedName>
    <definedName name="__ik1" localSheetId="22" hidden="1">{"casespecific",#N/A,FALSE,"Assumptions"}</definedName>
    <definedName name="__ik1" localSheetId="20" hidden="1">{"casespecific",#N/A,FALSE,"Assumptions"}</definedName>
    <definedName name="__ik1" localSheetId="21" hidden="1">{"casespecific",#N/A,FALSE,"Assumptions"}</definedName>
    <definedName name="__ik1" localSheetId="23" hidden="1">{"casespecific",#N/A,FALSE,"Assumptions"}</definedName>
    <definedName name="__ik1" localSheetId="1" hidden="1">{"casespecific",#N/A,FALSE,"Assumptions"}</definedName>
    <definedName name="__ik1" localSheetId="28" hidden="1">{"casespecific",#N/A,FALSE,"Assumptions"}</definedName>
    <definedName name="__ik1" localSheetId="26" hidden="1">{"casespecific",#N/A,FALSE,"Assumptions"}</definedName>
    <definedName name="__ik1" localSheetId="27" hidden="1">{"casespecific",#N/A,FALSE,"Assumptions"}</definedName>
    <definedName name="__ik1" hidden="1">{"casespecific",#N/A,FALSE,"Assumptions"}</definedName>
    <definedName name="__xlfn.RTD" hidden="1">#NAME?</definedName>
    <definedName name="_1__123Graph_AADV_GDP" hidden="1">[5]ADVOL!$C$97:$C$128</definedName>
    <definedName name="_1__123Graph_ACHART_1" localSheetId="15" hidden="1">'[6]Edge 10797 Drilling Inventory'!#REF!</definedName>
    <definedName name="_1__123Graph_ACHART_1" localSheetId="12" hidden="1">'[6]Edge 10797 Drilling Inventory'!#REF!</definedName>
    <definedName name="_1__123Graph_ACHART_1" localSheetId="20" hidden="1">'[6]Edge 10797 Drilling Inventory'!#REF!</definedName>
    <definedName name="_1__123Graph_ACHART_1" localSheetId="21" hidden="1">'[6]Edge 10797 Drilling Inventory'!#REF!</definedName>
    <definedName name="_1__123Graph_ACHART_1" localSheetId="23" hidden="1">'[6]Edge 10797 Drilling Inventory'!#REF!</definedName>
    <definedName name="_1__123Graph_ACHART_1" localSheetId="26" hidden="1">'[6]Edge 10797 Drilling Inventory'!#REF!</definedName>
    <definedName name="_1__123Graph_ACHART_1" localSheetId="27" hidden="1">'[6]Edge 10797 Drilling Inventory'!#REF!</definedName>
    <definedName name="_1__123Graph_ACHART_1" hidden="1">'[6]Edge 10797 Drilling Inventory'!#REF!</definedName>
    <definedName name="_1__FDSAUDITLINK__" localSheetId="17"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5"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2"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2"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0"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1"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3"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8"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6"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27"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0IS_synerg">#REF!</definedName>
    <definedName name="_10__123Graph_BADV_GDPR" hidden="1">[5]ADVOL!$A$97:$A$132</definedName>
    <definedName name="_10__123Graph_LBL_ACHART_3" localSheetId="15" hidden="1">'[6]Edge 10797 Drilling Inventory'!#REF!</definedName>
    <definedName name="_10__123Graph_LBL_ACHART_3" localSheetId="12" hidden="1">'[6]Edge 10797 Drilling Inventory'!#REF!</definedName>
    <definedName name="_10__123Graph_LBL_ACHART_3" localSheetId="20" hidden="1">'[6]Edge 10797 Drilling Inventory'!#REF!</definedName>
    <definedName name="_10__123Graph_LBL_ACHART_3" localSheetId="21" hidden="1">'[6]Edge 10797 Drilling Inventory'!#REF!</definedName>
    <definedName name="_10__123Graph_LBL_ACHART_3" localSheetId="23" hidden="1">'[6]Edge 10797 Drilling Inventory'!#REF!</definedName>
    <definedName name="_10__123Graph_LBL_ACHART_3" localSheetId="26" hidden="1">'[6]Edge 10797 Drilling Inventory'!#REF!</definedName>
    <definedName name="_10__123Graph_LBL_ACHART_3" localSheetId="27" hidden="1">'[6]Edge 10797 Drilling Inventory'!#REF!</definedName>
    <definedName name="_10__123Graph_LBL_ACHART_3" hidden="1">'[6]Edge 10797 Drilling Inventory'!#REF!</definedName>
    <definedName name="_10__FDSAUDITLINK__" localSheetId="1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2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0__FDSAUDITLINK__" localSheetId="1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15"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2"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20"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1"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3"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2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26"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27"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1__FDSAUDITLINK__" localSheetId="17"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15"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2"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2"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20"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1"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3"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28"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26"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27"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2__FDSAUDITLINK__" localSheetId="1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15"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2"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20"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1"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3"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2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26"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27"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3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15"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2"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20"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1"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3"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26"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27"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4__FDSAUDITLINK__" localSheetId="1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15"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2"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20"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1"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3"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2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26"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27"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15"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2"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20"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1"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3"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26"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27"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15"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2"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20"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1"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3"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26"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27"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7__FDSAUDITLINK__" localSheetId="17"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15"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2"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2"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20"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1"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3"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28"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26"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27"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1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15"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2"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20"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1"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3"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2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26"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27"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17"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15"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2"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2"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20"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1"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3"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28"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26"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27"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1__123Graph_BADV_PCE" hidden="1">[5]ADVOL!$G$170:$G$202</definedName>
    <definedName name="_11__123Graph_LBL_ACHART_4" localSheetId="15" hidden="1">'[6]Edge 10797 Drilling Inventory'!#REF!</definedName>
    <definedName name="_11__123Graph_LBL_ACHART_4" localSheetId="12" hidden="1">'[6]Edge 10797 Drilling Inventory'!#REF!</definedName>
    <definedName name="_11__123Graph_LBL_ACHART_4" localSheetId="20" hidden="1">'[6]Edge 10797 Drilling Inventory'!#REF!</definedName>
    <definedName name="_11__123Graph_LBL_ACHART_4" localSheetId="21" hidden="1">'[6]Edge 10797 Drilling Inventory'!#REF!</definedName>
    <definedName name="_11__123Graph_LBL_ACHART_4" localSheetId="23" hidden="1">'[6]Edge 10797 Drilling Inventory'!#REF!</definedName>
    <definedName name="_11__123Graph_LBL_ACHART_4" localSheetId="26" hidden="1">'[6]Edge 10797 Drilling Inventory'!#REF!</definedName>
    <definedName name="_11__123Graph_LBL_ACHART_4" localSheetId="27" hidden="1">'[6]Edge 10797 Drilling Inventory'!#REF!</definedName>
    <definedName name="_11__123Graph_LBL_ACHART_4" hidden="1">'[6]Edge 10797 Drilling Inventory'!#REF!</definedName>
    <definedName name="_11__FDSAUDITLINK__" localSheetId="1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2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0__FDSAUDITLINK__" localSheetId="17"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15"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2"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2"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20"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1"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3"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28"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26"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27"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1__FDSAUDITLINK__" localSheetId="17"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15"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2"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20"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1"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3"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28"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26"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27"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2__FDSAUDITLINK__" localSheetId="17"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15"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2"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2"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20"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1"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3"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28"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26"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27"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17"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15"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2"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2"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20"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1"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3"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28"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26"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27"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1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15"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2"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20"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1"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3"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2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26"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27"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5__FDSAUDITLINK__" localSheetId="1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15"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2"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20"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1"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3"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2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26"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27"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6__FDSAUDITLINK__" localSheetId="1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15"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2"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20"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1"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3"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2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26"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27"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1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15"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2"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20"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1"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3"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2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26"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27"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15"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2"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20"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1"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3"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26"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27"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17"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15"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2"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2"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20"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1"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3"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28"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26"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27"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2__123Graph_BADV_PCGD" hidden="1">[5]ADVOL!$E$170:$E$202</definedName>
    <definedName name="_12__123Graph_LBL_BCHART_1" localSheetId="15" hidden="1">'[6]Edge 10797 Drilling Inventory'!#REF!</definedName>
    <definedName name="_12__123Graph_LBL_BCHART_1" localSheetId="12" hidden="1">'[6]Edge 10797 Drilling Inventory'!#REF!</definedName>
    <definedName name="_12__123Graph_LBL_BCHART_1" localSheetId="20" hidden="1">'[6]Edge 10797 Drilling Inventory'!#REF!</definedName>
    <definedName name="_12__123Graph_LBL_BCHART_1" localSheetId="21" hidden="1">'[6]Edge 10797 Drilling Inventory'!#REF!</definedName>
    <definedName name="_12__123Graph_LBL_BCHART_1" localSheetId="23" hidden="1">'[6]Edge 10797 Drilling Inventory'!#REF!</definedName>
    <definedName name="_12__123Graph_LBL_BCHART_1" localSheetId="26" hidden="1">'[6]Edge 10797 Drilling Inventory'!#REF!</definedName>
    <definedName name="_12__123Graph_LBL_BCHART_1" localSheetId="27" hidden="1">'[6]Edge 10797 Drilling Inventory'!#REF!</definedName>
    <definedName name="_12__123Graph_LBL_BCHART_1" hidden="1">'[6]Edge 10797 Drilling Inventory'!#REF!</definedName>
    <definedName name="_12__FDSAUDITLINK__" localSheetId="17"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5"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2"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2"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0"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1"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3"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8"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6"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27"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0__FDSAUDITLINK__" localSheetId="1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15"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2"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20"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1"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3"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28"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26"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27"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1__FDSAUDITLINK__" localSheetId="1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15"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2"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20"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1"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3"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2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26"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27"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2__FDSAUDITLINK__" localSheetId="1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15"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2"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20"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1"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3"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2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26"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27"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15"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2"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20"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1"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3"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26"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27"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1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15"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2"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20"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1"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3"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2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26"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27"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1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15"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2"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20"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1"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3"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2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26"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27"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17"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15"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2"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2"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20"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1"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3"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28"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26"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27"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7__FDSAUDITLINK__" localSheetId="17"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15"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2"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2"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20"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1"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3"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28"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26"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27"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8__FDSAUDITLINK__" localSheetId="17"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15"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2"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2"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20"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1"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3"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28"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26"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27"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1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15"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2"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20"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1"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3"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2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26"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27"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3__123Graph_BMAG_PCE" hidden="1">[5]ADVOL!$A$171:$A$204</definedName>
    <definedName name="_13__123Graph_LBL_BCHART_2" localSheetId="15" hidden="1">'[6]Edge 10797 Drilling Inventory'!#REF!</definedName>
    <definedName name="_13__123Graph_LBL_BCHART_2" localSheetId="12" hidden="1">'[6]Edge 10797 Drilling Inventory'!#REF!</definedName>
    <definedName name="_13__123Graph_LBL_BCHART_2" localSheetId="20" hidden="1">'[6]Edge 10797 Drilling Inventory'!#REF!</definedName>
    <definedName name="_13__123Graph_LBL_BCHART_2" localSheetId="21" hidden="1">'[6]Edge 10797 Drilling Inventory'!#REF!</definedName>
    <definedName name="_13__123Graph_LBL_BCHART_2" localSheetId="23" hidden="1">'[6]Edge 10797 Drilling Inventory'!#REF!</definedName>
    <definedName name="_13__123Graph_LBL_BCHART_2" localSheetId="26" hidden="1">'[6]Edge 10797 Drilling Inventory'!#REF!</definedName>
    <definedName name="_13__123Graph_LBL_BCHART_2" localSheetId="27" hidden="1">'[6]Edge 10797 Drilling Inventory'!#REF!</definedName>
    <definedName name="_13__123Graph_LBL_BCHART_2" hidden="1">'[6]Edge 10797 Drilling Inventory'!#REF!</definedName>
    <definedName name="_13__FDSAUDITLINK__" localSheetId="1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2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0__FDSAUDITLINK__" localSheetId="1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15"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2"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20"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1"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3"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2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26"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27"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1__FDSAUDITLINK__" localSheetId="1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15"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2"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20"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1"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3"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2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26"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27"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1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15"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2"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20"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1"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3"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2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26"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27"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15"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2"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20"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1"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3"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26"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27"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4__FDSAUDITLINK__" localSheetId="17"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15"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2"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2"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20"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1"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3"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28"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26"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27"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1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15"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2"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20"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1"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3"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2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26"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27"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15"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2"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20"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1"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3"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26"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27"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7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15"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2"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20"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1"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3"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26"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27"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8__FDSAUDITLINK__" localSheetId="1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15"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2"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20"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1"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3"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2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26"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27"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9__FDSAUDITLINK__" localSheetId="17"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15"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2"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2"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20"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1"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3"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28"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26"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27"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4__123Graph_BNRET_PCE" hidden="1">[5]ADVOL!$A$171:$A$206</definedName>
    <definedName name="_14__123Graph_LBL_BCHART_3" localSheetId="15" hidden="1">'[6]Edge 10797 Drilling Inventory'!#REF!</definedName>
    <definedName name="_14__123Graph_LBL_BCHART_3" localSheetId="12" hidden="1">'[6]Edge 10797 Drilling Inventory'!#REF!</definedName>
    <definedName name="_14__123Graph_LBL_BCHART_3" localSheetId="20" hidden="1">'[6]Edge 10797 Drilling Inventory'!#REF!</definedName>
    <definedName name="_14__123Graph_LBL_BCHART_3" localSheetId="21" hidden="1">'[6]Edge 10797 Drilling Inventory'!#REF!</definedName>
    <definedName name="_14__123Graph_LBL_BCHART_3" localSheetId="23" hidden="1">'[6]Edge 10797 Drilling Inventory'!#REF!</definedName>
    <definedName name="_14__123Graph_LBL_BCHART_3" localSheetId="26" hidden="1">'[6]Edge 10797 Drilling Inventory'!#REF!</definedName>
    <definedName name="_14__123Graph_LBL_BCHART_3" localSheetId="27" hidden="1">'[6]Edge 10797 Drilling Inventory'!#REF!</definedName>
    <definedName name="_14__123Graph_LBL_BCHART_3" hidden="1">'[6]Edge 10797 Drilling Inventory'!#REF!</definedName>
    <definedName name="_14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0__FDSAUDITLINK__" localSheetId="17"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15"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2"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2"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20"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1"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3"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28"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26"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27"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17"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15"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2"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2"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20"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1"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3"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28"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26"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27"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2__FDSAUDITLINK__" localSheetId="17"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15"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2"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2"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20"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1"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3"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28"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26"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27"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17"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15"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2"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2"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20"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1"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3"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28"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26"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27"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4__FDSAUDITLINK__" localSheetId="17"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15"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2"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2"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20"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1"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3"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28"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26"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27"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5__FDSAUDITLINK__" localSheetId="17"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15"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2"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2"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20"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1"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3"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28"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26"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27"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17"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15"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2"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2"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20"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1"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3"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28"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26"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27"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7__FDSAUDITLINK__" localSheetId="17"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15"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2"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2"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20"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1"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3"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28"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26"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27"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8__FDSAUDITLINK__" localSheetId="17"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5"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2"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2"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0"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1"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3"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8"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6"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27"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9__FDSAUDITLINK__" localSheetId="17"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5"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2"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2"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0"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1"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3"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8"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6"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27"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5__123Graph_BNRT_PCE" hidden="1">[5]ADVOL!$A$171:$A$206</definedName>
    <definedName name="_15__123Graph_XCHART_1" localSheetId="15" hidden="1">'[6]Edge 10797 Drilling Inventory'!#REF!</definedName>
    <definedName name="_15__123Graph_XCHART_1" localSheetId="12" hidden="1">'[6]Edge 10797 Drilling Inventory'!#REF!</definedName>
    <definedName name="_15__123Graph_XCHART_1" localSheetId="20" hidden="1">'[6]Edge 10797 Drilling Inventory'!#REF!</definedName>
    <definedName name="_15__123Graph_XCHART_1" localSheetId="21" hidden="1">'[6]Edge 10797 Drilling Inventory'!#REF!</definedName>
    <definedName name="_15__123Graph_XCHART_1" localSheetId="23" hidden="1">'[6]Edge 10797 Drilling Inventory'!#REF!</definedName>
    <definedName name="_15__123Graph_XCHART_1" localSheetId="26" hidden="1">'[6]Edge 10797 Drilling Inventory'!#REF!</definedName>
    <definedName name="_15__123Graph_XCHART_1" localSheetId="27" hidden="1">'[6]Edge 10797 Drilling Inventory'!#REF!</definedName>
    <definedName name="_15__123Graph_XCHART_1" hidden="1">'[6]Edge 10797 Drilling Inventory'!#REF!</definedName>
    <definedName name="_15__FDSAUDITLINK__" localSheetId="1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2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0__FDSAUDITLINK__" localSheetId="17"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5"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2"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2"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0"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1"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3"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8"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6"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27"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7"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5"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2"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2"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0"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1"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3"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8"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6"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27"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7"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5"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2"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2"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0"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1"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3"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8"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6"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27"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7"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5"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2"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2"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0"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1"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3"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8"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6"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27"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4__FDSAUDITLINK__" localSheetId="17"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5"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2"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2"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0"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1"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3"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8"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6"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27"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5__FDSAUDITLINK__" localSheetId="17"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5"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2"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2"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0"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1"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3"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8"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6"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27"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6__FDSAUDITLINK__" localSheetId="1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5"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0"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2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7__FDSAUDITLINK__" localSheetId="17"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5"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2"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2"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0"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1"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3"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8"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6"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27"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8__FDSAUDITLINK__" localSheetId="17"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5"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2"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2"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0"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1"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3"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8"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6"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27"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7"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5"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2"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2"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0"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1"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3"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8"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6"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27"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6__123Graph_CADV_PCE" hidden="1">[5]ADVOL!$H$170:$H$202</definedName>
    <definedName name="_16__123Graph_XCHART_2" localSheetId="15" hidden="1">'[6]Edge 10797 Drilling Inventory'!#REF!</definedName>
    <definedName name="_16__123Graph_XCHART_2" localSheetId="12" hidden="1">'[6]Edge 10797 Drilling Inventory'!#REF!</definedName>
    <definedName name="_16__123Graph_XCHART_2" localSheetId="20" hidden="1">'[6]Edge 10797 Drilling Inventory'!#REF!</definedName>
    <definedName name="_16__123Graph_XCHART_2" localSheetId="21" hidden="1">'[6]Edge 10797 Drilling Inventory'!#REF!</definedName>
    <definedName name="_16__123Graph_XCHART_2" localSheetId="23" hidden="1">'[6]Edge 10797 Drilling Inventory'!#REF!</definedName>
    <definedName name="_16__123Graph_XCHART_2" localSheetId="26" hidden="1">'[6]Edge 10797 Drilling Inventory'!#REF!</definedName>
    <definedName name="_16__123Graph_XCHART_2" localSheetId="27" hidden="1">'[6]Edge 10797 Drilling Inventory'!#REF!</definedName>
    <definedName name="_16__123Graph_XCHART_2" hidden="1">'[6]Edge 10797 Drilling Inventory'!#REF!</definedName>
    <definedName name="_16__FDSAUDITLINK__" localSheetId="17"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5"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2"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2"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0"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1"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3"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8"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6"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27"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0__FDSAUDITLINK__" localSheetId="17"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5"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2"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2"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0"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1"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3"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8"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6"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27"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7"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5"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2"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2"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0"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1"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3"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8"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6"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27"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7"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5"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2"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2"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0"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1"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3"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8"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6"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27"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3__FDSAUDITLINK__" localSheetId="1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5"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2"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0"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3"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27"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4__FDSAUDITLINK__" localSheetId="17"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5"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2"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2"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0"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1"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3"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8"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6"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27"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5__FDSAUDITLINK__" localSheetId="1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5"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0"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2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2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5"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0"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2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2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9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2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7__123Graph_XADV_GDP" hidden="1">[5]ADVOL!$A$23:$A$54</definedName>
    <definedName name="_17__123Graph_XCHART_3" localSheetId="15" hidden="1">'[6]Edge 10797 Drilling Inventory'!#REF!</definedName>
    <definedName name="_17__123Graph_XCHART_3" localSheetId="12" hidden="1">'[6]Edge 10797 Drilling Inventory'!#REF!</definedName>
    <definedName name="_17__123Graph_XCHART_3" localSheetId="20" hidden="1">'[6]Edge 10797 Drilling Inventory'!#REF!</definedName>
    <definedName name="_17__123Graph_XCHART_3" localSheetId="21" hidden="1">'[6]Edge 10797 Drilling Inventory'!#REF!</definedName>
    <definedName name="_17__123Graph_XCHART_3" localSheetId="23" hidden="1">'[6]Edge 10797 Drilling Inventory'!#REF!</definedName>
    <definedName name="_17__123Graph_XCHART_3" localSheetId="26" hidden="1">'[6]Edge 10797 Drilling Inventory'!#REF!</definedName>
    <definedName name="_17__123Graph_XCHART_3" localSheetId="27" hidden="1">'[6]Edge 10797 Drilling Inventory'!#REF!</definedName>
    <definedName name="_17__123Graph_XCHART_3" hidden="1">'[6]Edge 10797 Drilling Inventory'!#REF!</definedName>
    <definedName name="_17__FDSAUDITLINK__" localSheetId="1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5"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0"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2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0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2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1__FDSAUDITLINK__" localSheetId="1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2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2__FDSAUDITLINK__" localSheetId="1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2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3__FDSAUDITLINK__" localSheetId="1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2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2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7"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5"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2"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2"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0"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1"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3"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8"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6"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27"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7"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5"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2"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2"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0"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1"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3"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8"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6"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27"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7"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5"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2"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2"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0"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1"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3"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8"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6"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27"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9__FDSAUDITLINK__" localSheetId="17"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5"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2"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2"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0"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1"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3"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8"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6"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27"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8__123Graph_XADV_GDPR" hidden="1">[5]ADVOL!$A$23:$A$58</definedName>
    <definedName name="_18__123Graph_XCHART_4" localSheetId="15" hidden="1">'[6]Edge 10797 Drilling Inventory'!#REF!</definedName>
    <definedName name="_18__123Graph_XCHART_4" localSheetId="12" hidden="1">'[6]Edge 10797 Drilling Inventory'!#REF!</definedName>
    <definedName name="_18__123Graph_XCHART_4" localSheetId="20" hidden="1">'[6]Edge 10797 Drilling Inventory'!#REF!</definedName>
    <definedName name="_18__123Graph_XCHART_4" localSheetId="21" hidden="1">'[6]Edge 10797 Drilling Inventory'!#REF!</definedName>
    <definedName name="_18__123Graph_XCHART_4" localSheetId="23" hidden="1">'[6]Edge 10797 Drilling Inventory'!#REF!</definedName>
    <definedName name="_18__123Graph_XCHART_4" localSheetId="26" hidden="1">'[6]Edge 10797 Drilling Inventory'!#REF!</definedName>
    <definedName name="_18__123Graph_XCHART_4" localSheetId="27" hidden="1">'[6]Edge 10797 Drilling Inventory'!#REF!</definedName>
    <definedName name="_18__123Graph_XCHART_4" hidden="1">'[6]Edge 10797 Drilling Inventory'!#REF!</definedName>
    <definedName name="_18__FDSAUDITLINK__" localSheetId="17"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5"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2"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2"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0"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1"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3"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8"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6"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27"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0__FDSAUDITLINK__" localSheetId="17"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5"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2"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2"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0"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1"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3"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8"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6"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27"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2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5"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0"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2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7"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5"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2"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2"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0"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1"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3"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8"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6"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27"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4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5__FDSAUDITLINK__" localSheetId="17"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5"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2"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2"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0"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1"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3"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8"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6"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27"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6__FDSAUDITLINK__" localSheetId="1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2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2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2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9__FDSAUDITLINK__" localSheetId="1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2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9__123Graph_XADV_PCE" hidden="1">[5]ADVOL!$A$22:$A$54</definedName>
    <definedName name="_19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2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0__FDSAUDITLINK__" localSheetId="1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2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1__FDSAUDITLINK__" localSheetId="1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2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2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2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4__FDSAUDITLINK__" localSheetId="1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5"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0"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2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5__FDSAUDITLINK__" localSheetId="1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2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6__FDSAUDITLINK__" localSheetId="1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2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2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8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2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9__FDSAUDITLINK__" localSheetId="17"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5"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2"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2"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0"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1"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3"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8"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6"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27"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4">#REF!</definedName>
    <definedName name="_1995">#REF!</definedName>
    <definedName name="_1996">#REF!</definedName>
    <definedName name="_1997">#REF!</definedName>
    <definedName name="_1998">#REF!</definedName>
    <definedName name="_1999">#REF!</definedName>
    <definedName name="_1IS_synerg">#REF!</definedName>
    <definedName name="_1Q94">#REF!</definedName>
    <definedName name="_1Q95">#REF!</definedName>
    <definedName name="_2__123Graph_AADV_GDPR" hidden="1">[5]ADVOL!$C$97:$C$131</definedName>
    <definedName name="_2__123Graph_ACHART_2" localSheetId="15" hidden="1">'[6]Edge 10797 Drilling Inventory'!#REF!</definedName>
    <definedName name="_2__123Graph_ACHART_2" localSheetId="12" hidden="1">'[6]Edge 10797 Drilling Inventory'!#REF!</definedName>
    <definedName name="_2__123Graph_ACHART_2" localSheetId="20" hidden="1">'[6]Edge 10797 Drilling Inventory'!#REF!</definedName>
    <definedName name="_2__123Graph_ACHART_2" localSheetId="21" hidden="1">'[6]Edge 10797 Drilling Inventory'!#REF!</definedName>
    <definedName name="_2__123Graph_ACHART_2" localSheetId="23" hidden="1">'[6]Edge 10797 Drilling Inventory'!#REF!</definedName>
    <definedName name="_2__123Graph_ACHART_2" localSheetId="26" hidden="1">'[6]Edge 10797 Drilling Inventory'!#REF!</definedName>
    <definedName name="_2__123Graph_ACHART_2" localSheetId="27" hidden="1">'[6]Edge 10797 Drilling Inventory'!#REF!</definedName>
    <definedName name="_2__123Graph_ACHART_2" hidden="1">'[6]Edge 10797 Drilling Inventory'!#REF!</definedName>
    <definedName name="_2__FDSAUDITLINK__" localSheetId="17"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5"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2"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2"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0"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1"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3"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8"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6"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27"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0__123Graph_XADV_PCGD" hidden="1">[5]ADVOL!$A$22:$A$54</definedName>
    <definedName name="_20__FDSAUDITLINK__" localSheetId="1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5"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0"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2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0__FDSAUDITLINK__" localSheetId="17"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5"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2"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2"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0"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1"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3"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8"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6"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27"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7">#REF!</definedName>
    <definedName name="_2008">#REF!</definedName>
    <definedName name="_201__FDSAUDITLINK__" localSheetId="17"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5"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2"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2"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0"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1"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3"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8"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6"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27"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2__FDSAUDITLINK__" localSheetId="17"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5"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2"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2"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0"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1"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3"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8"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6"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27"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7"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5"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2"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2"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0"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1"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3"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8"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6"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27"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4__FDSAUDITLINK__" localSheetId="17"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5"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2"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2"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0"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1"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3"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8"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6"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27"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7"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5"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2"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2"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0"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1"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3"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8"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6"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27"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7"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5"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2"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2"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0"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1"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3"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8"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6"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27"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7"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5"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2"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2"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0"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1"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3"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8"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6"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27"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7"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5"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2"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2"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0"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1"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3"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8"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6"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27"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7"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5"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2"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2"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0"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1"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3"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8"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6"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27"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1__123Graph_XMAG_PCE" hidden="1">[5]ADVOL!$A$23:$A$56</definedName>
    <definedName name="_21__FDSAUDITLINK__" localSheetId="1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5"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0"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2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0__FDSAUDITLINK__" localSheetId="17"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5"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2"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2"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0"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1"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3"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8"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6"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27"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1__FDSAUDITLINK__" localSheetId="1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5"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0"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2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2__FDSAUDITLINK__" localSheetId="1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5"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0"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2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5"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0"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2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2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5__FDSAUDITLINK__" localSheetId="1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5"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0"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2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6__FDSAUDITLINK__" localSheetId="1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5"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2"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0"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3"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27"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7__FDSAUDITLINK__" localSheetId="1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5"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2"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0"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3"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27"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5"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2"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0"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3"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27"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2"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0"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3"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27"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2__123Graph_XNRET_PCE" hidden="1">[5]ADVOL!$A$23:$A$58</definedName>
    <definedName name="_22__FDSAUDITLINK__" localSheetId="1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2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0__FDSAUDITLINK__" localSheetId="1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5"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2"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0"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3"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27"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7"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5"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2"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2"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0"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1"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3"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8"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6"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27"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2__FDSAUDITLINK__" localSheetId="1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5"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0"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2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7"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5"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0"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1"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3"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8"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6"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27"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7"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5"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0"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1"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3"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8"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6"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27"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5__FDSAUDITLINK__" localSheetId="1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2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6__FDSAUDITLINK__" localSheetId="1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2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2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8__FDSAUDITLINK__" localSheetId="1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5"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0"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2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2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3__123Graph_XNRET_RS" hidden="1">[5]ADVOL!$A$30:$A$58</definedName>
    <definedName name="_23__FDSAUDITLINK__" localSheetId="1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5"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0"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2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7"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5"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2"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2"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0"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1"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3"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8"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6"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27"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7"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5"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2"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2"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0"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1"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3"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8"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6"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27"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7"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5"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2"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2"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0"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1"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3"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8"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6"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27"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3__FDSAUDITLINK__" localSheetId="1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2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4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5__FDSAUDITLINK__" localSheetId="1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5"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0"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2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5"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0"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2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7"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5"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2"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2"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0"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1"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3"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8"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6"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27"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5"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0"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2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9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4__123Graph_XNRT_PCE" hidden="1">[5]ADVOL!$A$23:$A$58</definedName>
    <definedName name="_24__FDSAUDITLINK__" localSheetId="1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5"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0"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2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0__FDSAUDITLINK__" localSheetId="1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2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2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2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2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4__FDSAUDITLINK__" localSheetId="17"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5"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2"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2"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0"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1"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3"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8"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6"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27"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5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2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6__FDSAUDITLINK__" localSheetId="1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5"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2"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0"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3"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27"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2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2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9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2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5__FDSAUDITLINK__" localSheetId="1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5"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0"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2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0__FDSAUDITLINK__" localSheetId="1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2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1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2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2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2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4__FDSAUDITLINK__" localSheetId="1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2"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0"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3"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27"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5__FDSAUDITLINK__" localSheetId="1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2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5"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0"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2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7"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5"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2"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2"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0"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1"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3"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8"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6"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27"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8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9__FDSAUDITLINK__" localSheetId="1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2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6__FDSAUDITLINK__" localSheetId="1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2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0__FDSAUDITLINK__" localSheetId="1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2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7"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5"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2"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2"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0"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1"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3"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8"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6"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27"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7"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5"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2"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2"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0"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1"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3"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8"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6"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27"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7"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5"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2"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2"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0"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1"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3"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8"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6"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27"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5__FDSAUDITLINK__" localSheetId="17"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5"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2"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2"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0"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1"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3"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8"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6"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27"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6__FDSAUDITLINK__" localSheetId="17"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5"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2"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2"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0"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1"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3"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8"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6"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27"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5"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0"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2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8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2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9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7__FDSAUDITLINK__" localSheetId="1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5"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0"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2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0__FDSAUDITLINK__" localSheetId="1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2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2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2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3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2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4__FDSAUDITLINK__" localSheetId="1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2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5__FDSAUDITLINK__" localSheetId="1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2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6__FDSAUDITLINK__" localSheetId="1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5"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0"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2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2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7"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5"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2"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2"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0"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1"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3"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8"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6"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27"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9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2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8__FDSAUDITLINK__" localSheetId="1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2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0__FDSAUDITLINK__" localSheetId="1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2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1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2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2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2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3__FDSAUDITLINK__" localSheetId="17"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5"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2"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2"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0"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1"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3"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8"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6"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27"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7"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5"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2"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2"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0"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1"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3"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8"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6"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27"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7"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5"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2"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2"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0"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1"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3"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8"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6"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27"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7"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5"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2"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2"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0"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1"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3"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8"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6"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27"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7__FDSAUDITLINK__" localSheetId="17"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5"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2"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2"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0"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1"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3"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8"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6"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27"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8__FDSAUDITLINK__" localSheetId="1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5"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2"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0"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3"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27"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9__FDSAUDITLINK__" localSheetId="1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2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9__FDSAUDITLINK__" localSheetId="17"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15"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2"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2"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20"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1"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3"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28"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26"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27"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0__FDSAUDITLINK__" localSheetId="1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2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2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2__FDSAUDITLINK__" localSheetId="17"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5"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2"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2"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0"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1"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3"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8"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6"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27"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2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5"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2"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0"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3"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27"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5__FDSAUDITLINK__" localSheetId="17"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5"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2"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2"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0"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1"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3"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8"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6"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27"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6__FDSAUDITLINK__" localSheetId="17"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5"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2"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2"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0"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1"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3"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8"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6"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27"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7__FDSAUDITLINK__" localSheetId="17"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5"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2"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2"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0"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1"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3"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8"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6"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27"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7"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5"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2"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2"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0"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1"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3"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8"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6"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27"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9__FDSAUDITLINK__" localSheetId="1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2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Q94">#REF!</definedName>
    <definedName name="_2Q95">#REF!</definedName>
    <definedName name="_3__123Graph_AADV_PCE" hidden="1">[5]ADVOL!$F$170:$F$202</definedName>
    <definedName name="_3__123Graph_ACHART_3" localSheetId="15" hidden="1">'[6]Edge 10797 Drilling Inventory'!#REF!</definedName>
    <definedName name="_3__123Graph_ACHART_3" localSheetId="12" hidden="1">'[6]Edge 10797 Drilling Inventory'!#REF!</definedName>
    <definedName name="_3__123Graph_ACHART_3" localSheetId="20" hidden="1">'[6]Edge 10797 Drilling Inventory'!#REF!</definedName>
    <definedName name="_3__123Graph_ACHART_3" localSheetId="21" hidden="1">'[6]Edge 10797 Drilling Inventory'!#REF!</definedName>
    <definedName name="_3__123Graph_ACHART_3" localSheetId="23" hidden="1">'[6]Edge 10797 Drilling Inventory'!#REF!</definedName>
    <definedName name="_3__123Graph_ACHART_3" localSheetId="26" hidden="1">'[6]Edge 10797 Drilling Inventory'!#REF!</definedName>
    <definedName name="_3__123Graph_ACHART_3" localSheetId="27" hidden="1">'[6]Edge 10797 Drilling Inventory'!#REF!</definedName>
    <definedName name="_3__123Graph_ACHART_3" hidden="1">'[6]Edge 10797 Drilling Inventory'!#REF!</definedName>
    <definedName name="_3__123Graph_ALIQUIDS" hidden="1">[4]P!$S$78:$AL$78</definedName>
    <definedName name="_3__FDSAUDITLINK__" localSheetId="1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2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0__FDSAUDITLINK__" localSheetId="17"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15"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2"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2"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20"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1"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3"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28"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26"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27"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0__FDSAUDITLINK__" localSheetId="1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5"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0"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2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7"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5"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2"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2"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0"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1"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3"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8"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6"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27"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7"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5"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2"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2"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0"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1"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3"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8"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6"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27"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7"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5"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2"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2"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0"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1"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3"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8"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6"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27"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7"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5"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2"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2"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0"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1"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3"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8"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6"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27"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5__FDSAUDITLINK__" localSheetId="17"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5"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2"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0"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1"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3"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8"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6"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27"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6__FDSAUDITLINK__" localSheetId="17"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5"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2"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2"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0"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1"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3"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8"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6"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27"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7__FDSAUDITLINK__" localSheetId="1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5"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0"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2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8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9__FDSAUDITLINK__" localSheetId="1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2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1__FDSAUDITLINK__" localSheetId="17"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5"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2"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2"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0"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1"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3"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8"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6"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27"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0__FDSAUDITLINK__" localSheetId="17"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5"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2"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2"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0"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1"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3"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8"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6"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27"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5"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0"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2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2__FDSAUDITLINK__" localSheetId="1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5"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0"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2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3__FDSAUDITLINK__" localSheetId="1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5"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2"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0"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3"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27"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4__FDSAUDITLINK__" localSheetId="1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2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5__FDSAUDITLINK__" localSheetId="1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2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0"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3"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2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7__FDSAUDITLINK__" localSheetId="1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5"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2"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0"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3"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27"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2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5"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2"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0"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3"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27"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2__FDSAUDITLINK__" localSheetId="17"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5"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2"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2"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0"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1"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3"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8"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6"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27"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0__FDSAUDITLINK__" localSheetId="1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2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1__FDSAUDITLINK__" localSheetId="1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5"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0"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2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2__FDSAUDITLINK__" localSheetId="17"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5"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2"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2"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0"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1"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3"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8"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6"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27"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5"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2"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0"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3"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27"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4__FDSAUDITLINK__" localSheetId="1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5"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0"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2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5__FDSAUDITLINK__" localSheetId="1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2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5"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0"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2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7"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5"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2"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2"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0"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1"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3"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8"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6"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27"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7"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5"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2"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2"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0"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1"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3"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8"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6"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27"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7"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5"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2"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2"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0"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1"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3"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8"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6"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27"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2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0__FDSAUDITLINK__" localSheetId="1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5"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0"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2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1__FDSAUDITLINK__" localSheetId="17"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5"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2"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2"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0"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1"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3"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8"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6"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27"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2__FDSAUDITLINK__" localSheetId="17"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5"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2"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2"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0"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1"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3"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8"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6"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27"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3__FDSAUDITLINK__" localSheetId="17"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5"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2"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2"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0"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1"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3"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8"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6"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27"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4__FDSAUDITLINK__" localSheetId="17"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5"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2"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2"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0"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1"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3"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8"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6"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27"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5"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0"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2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2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5"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0"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2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2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9__FDSAUDITLINK__" localSheetId="1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2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4__FDSAUDITLINK__" localSheetId="1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2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0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2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7"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5"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2"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2"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0"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1"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3"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8"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6"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27"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7"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5"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2"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2"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0"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1"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3"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8"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6"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27"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7"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5"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2"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2"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0"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1"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3"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8"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6"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27"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7"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5"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2"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2"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0"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1"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3"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8"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6"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27"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7"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5"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2"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2"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0"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1"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3"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8"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6"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27"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5"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2"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0"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3"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27"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7"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5"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2"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2"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0"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1"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3"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8"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6"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27"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9__FDSAUDITLINK__" localSheetId="17"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5"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2"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2"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0"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1"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3"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8"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6"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27"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5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2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0__FDSAUDITLINK__" localSheetId="17"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5"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2"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2"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0"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1"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3"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8"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6"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27"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7"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5"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2"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2"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0"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1"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3"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8"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6"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27"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2__FDSAUDITLINK__" localSheetId="1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5"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0"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2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3__FDSAUDITLINK__" localSheetId="17"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5"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2"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2"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0"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1"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3"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8"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6"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27"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4__FDSAUDITLINK__" localSheetId="17"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5"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2"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2"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0"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1"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3"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8"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6"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27"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5__FDSAUDITLINK__" localSheetId="17"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5"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2"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2"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0"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1"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3"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8"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6"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27"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5"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0"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2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2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2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2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6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0__FDSAUDITLINK__" localSheetId="1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2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1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2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5"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0"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2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7"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5"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2"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2"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0"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1"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3"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8"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6"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27"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7"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5"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2"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2"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0"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1"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3"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8"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6"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27"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6__FDSAUDITLINK__" localSheetId="1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2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7__FDSAUDITLINK__" localSheetId="17"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5"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2"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2"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0"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1"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3"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8"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6"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27"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2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7"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5"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2"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2"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0"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1"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3"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8"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6"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27"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7__FDSAUDITLINK__" localSheetId="1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2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0__FDSAUDITLINK__" localSheetId="17"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5"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2"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2"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0"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1"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3"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8"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6"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27"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1__FDSAUDITLINK__" localSheetId="17"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5"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2"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2"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0"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1"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3"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8"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6"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27"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2__FDSAUDITLINK__" localSheetId="1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2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3__FDSAUDITLINK__" localSheetId="1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5"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0"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2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4__FDSAUDITLINK__" localSheetId="1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2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2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2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2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8__FDSAUDITLINK__" localSheetId="1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5"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2"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0"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3"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27"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9__FDSAUDITLINK__" localSheetId="1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2"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0"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3"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27"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1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15"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2"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20"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1"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3"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2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26"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27"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0__FDSAUDITLINK__" localSheetId="1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2"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0"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3"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27"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1__FDSAUDITLINK__" localSheetId="1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5"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2"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0"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3"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27"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2__FDSAUDITLINK__" localSheetId="17"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5"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2"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2"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0"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1"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3"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8"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6"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27"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3__FDSAUDITLINK__" localSheetId="17"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5"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2"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2"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0"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1"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3"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8"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6"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27"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7"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5"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2"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2"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0"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1"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3"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8"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6"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27"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7"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5"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2"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2"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0"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1"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3"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8"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6"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27"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7"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5"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2"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2"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0"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1"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3"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8"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6"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27"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7__FDSAUDITLINK__" localSheetId="17"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5"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2"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2"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0"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1"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3"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8"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6"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27"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8__FDSAUDITLINK__" localSheetId="17"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5"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2"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2"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0"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1"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3"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8"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6"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27"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5"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2"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0"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3"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27"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9__FDSAUDITLINK__" localSheetId="17"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15"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2"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2"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20"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1"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3"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28"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26"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27"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0__FDSAUDITLINK__" localSheetId="1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5"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2"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0"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3"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27"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7"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5"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2"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2"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0"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1"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3"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8"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6"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27"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7"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5"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2"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2"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0"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1"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3"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8"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6"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27"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5"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2"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0"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3"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27"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4__FDSAUDITLINK__" localSheetId="17"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5"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2"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2"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0"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1"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3"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8"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6"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27"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5__FDSAUDITLINK__" localSheetId="1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2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2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2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5"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0"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2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9__FDSAUDITLINK__" localSheetId="1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2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Q94">#REF!</definedName>
    <definedName name="_3Q95">#REF!</definedName>
    <definedName name="_4__123Graph_AADV_PCGD" hidden="1">[5]ADVOL!$F$170:$F$202</definedName>
    <definedName name="_4__123Graph_ACHART_4" localSheetId="15" hidden="1">'[6]Edge 10797 Drilling Inventory'!#REF!</definedName>
    <definedName name="_4__123Graph_ACHART_4" localSheetId="12" hidden="1">'[6]Edge 10797 Drilling Inventory'!#REF!</definedName>
    <definedName name="_4__123Graph_ACHART_4" localSheetId="20" hidden="1">'[6]Edge 10797 Drilling Inventory'!#REF!</definedName>
    <definedName name="_4__123Graph_ACHART_4" localSheetId="21" hidden="1">'[6]Edge 10797 Drilling Inventory'!#REF!</definedName>
    <definedName name="_4__123Graph_ACHART_4" localSheetId="23" hidden="1">'[6]Edge 10797 Drilling Inventory'!#REF!</definedName>
    <definedName name="_4__123Graph_ACHART_4" localSheetId="26" hidden="1">'[6]Edge 10797 Drilling Inventory'!#REF!</definedName>
    <definedName name="_4__123Graph_ACHART_4" localSheetId="27" hidden="1">'[6]Edge 10797 Drilling Inventory'!#REF!</definedName>
    <definedName name="_4__123Graph_ACHART_4" hidden="1">'[6]Edge 10797 Drilling Inventory'!#REF!</definedName>
    <definedName name="_4__123Graph_AR_M_MARG" localSheetId="15" hidden="1">[2]P!#REF!</definedName>
    <definedName name="_4__123Graph_AR_M_MARG" localSheetId="12" hidden="1">[2]P!#REF!</definedName>
    <definedName name="_4__123Graph_AR_M_MARG" localSheetId="20" hidden="1">[2]P!#REF!</definedName>
    <definedName name="_4__123Graph_AR_M_MARG" localSheetId="21" hidden="1">[2]P!#REF!</definedName>
    <definedName name="_4__123Graph_AR_M_MARG" localSheetId="23" hidden="1">[2]P!#REF!</definedName>
    <definedName name="_4__123Graph_AR_M_MARG" localSheetId="26" hidden="1">[2]P!#REF!</definedName>
    <definedName name="_4__123Graph_AR_M_MARG" localSheetId="27" hidden="1">[2]P!#REF!</definedName>
    <definedName name="_4__123Graph_AR_M_MARG" hidden="1">[2]P!#REF!</definedName>
    <definedName name="_4__FDSAUDITLINK__" localSheetId="1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2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__FDSAUDITLINK__" localSheetId="17"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15"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2"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2"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20"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1"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3"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28"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26"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27"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0__FDSAUDITLINK__" localSheetId="1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2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1__FDSAUDITLINK__" localSheetId="1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2"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0"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3"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27"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2__FDSAUDITLINK__" localSheetId="1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2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3__FDSAUDITLINK__" localSheetId="1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5"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0"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2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4__FDSAUDITLINK__" localSheetId="1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5"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0"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2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7"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5"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2"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2"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0"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1"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3"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8"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6"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27"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5"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0"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2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5"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0"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2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8__FDSAUDITLINK__" localSheetId="17"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5"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2"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2"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0"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1"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3"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8"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6"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27"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9__FDSAUDITLINK__" localSheetId="17"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5"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2"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2"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0"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1"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3"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8"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6"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27"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1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15"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2"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20"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1"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3"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26"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27"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0__FDSAUDITLINK__" localSheetId="1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2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2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5"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0"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2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5"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0"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2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2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5__FDSAUDITLINK__" localSheetId="1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5"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0"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2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2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15"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2"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20"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1"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3"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26"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27"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1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15"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2"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20"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1"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3"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2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26"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27"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4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15"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2"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20"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1"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3"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26"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27"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5__FDSAUDITLINK__" localSheetId="1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15"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2"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20"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1"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3"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2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26"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27"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0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2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7"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5"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2"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2"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0"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1"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3"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8"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6"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27"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2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3__FDSAUDITLINK__" localSheetId="17"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5"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2"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2"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0"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1"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3"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8"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6"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27"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4__FDSAUDITLINK__" localSheetId="17"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5"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2"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2"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0"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1"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3"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8"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6"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27"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7"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5"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2"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2"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0"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1"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3"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8"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6"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27"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7"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5"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2"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2"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0"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1"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3"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8"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6"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27"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7__FDSAUDITLINK__" localSheetId="1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2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8__FDSAUDITLINK__" localSheetId="17"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5"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2"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2"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0"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1"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3"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8"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6"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27"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9__FDSAUDITLINK__" localSheetId="17"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5"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2"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2"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0"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1"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3"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8"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6"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27"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6__FDSAUDITLINK__" localSheetId="17"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15"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2"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2"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20"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1"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3"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28"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26"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27"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0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2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2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2__FDSAUDITLINK__" localSheetId="1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2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2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2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5__FDSAUDITLINK__" localSheetId="1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5"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2"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0"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3"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27"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6__FDSAUDITLINK__" localSheetId="1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2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7"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5"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2"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2"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0"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1"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3"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8"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6"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27"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2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7__FDSAUDITLINK__" localSheetId="17"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15"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2"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2"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20"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1"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3"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28"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26"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27"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0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2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1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2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2__FDSAUDITLINK__" localSheetId="1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2"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0"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3"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27"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3__FDSAUDITLINK__" localSheetId="1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2"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0"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3"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27"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5__FDSAUDITLINK__" localSheetId="1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2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2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2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2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2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8__FDSAUDITLINK__" localSheetId="17"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15"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2"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2"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20"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1"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3"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28"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26"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27"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0__FDSAUDITLINK__" localSheetId="1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2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2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2__FDSAUDITLINK__" localSheetId="1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2"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0"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3"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27"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3__FDSAUDITLINK__" localSheetId="1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2"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0"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3"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27"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5__FDSAUDITLINK__" localSheetId="1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5"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0"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3"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8"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6"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2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6__FDSAUDITLINK__" localSheetId="1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5"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2"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0"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3"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27"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2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8__FDSAUDITLINK__" localSheetId="1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2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9__FDSAUDITLINK__" localSheetId="17"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5"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2"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2"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0"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1"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3"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8"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6"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27"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9__FDSAUDITLINK__" localSheetId="17"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15"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2"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2"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20"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1"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3"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28"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26"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27"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0__FDSAUDITLINK__" localSheetId="1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2"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0"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3"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27"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1__FDSAUDITLINK__" localSheetId="1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2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2__FDSAUDITLINK__" localSheetId="1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2"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0"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3"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27"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2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2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5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2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2"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0"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3"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27"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2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8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2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9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2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Q94">#REF!</definedName>
    <definedName name="_4Q95">#REF!</definedName>
    <definedName name="_5__123Graph_AMAG_PCE" hidden="1">[5]ADVOL!$S$23:$S$54</definedName>
    <definedName name="_5__123Graph_BCHART_1" localSheetId="15" hidden="1">'[6]Edge 10797 Drilling Inventory'!#REF!</definedName>
    <definedName name="_5__123Graph_BCHART_1" localSheetId="12" hidden="1">'[6]Edge 10797 Drilling Inventory'!#REF!</definedName>
    <definedName name="_5__123Graph_BCHART_1" localSheetId="20" hidden="1">'[6]Edge 10797 Drilling Inventory'!#REF!</definedName>
    <definedName name="_5__123Graph_BCHART_1" localSheetId="21" hidden="1">'[6]Edge 10797 Drilling Inventory'!#REF!</definedName>
    <definedName name="_5__123Graph_BCHART_1" localSheetId="23" hidden="1">'[6]Edge 10797 Drilling Inventory'!#REF!</definedName>
    <definedName name="_5__123Graph_BCHART_1" localSheetId="26" hidden="1">'[6]Edge 10797 Drilling Inventory'!#REF!</definedName>
    <definedName name="_5__123Graph_BCHART_1" localSheetId="27" hidden="1">'[6]Edge 10797 Drilling Inventory'!#REF!</definedName>
    <definedName name="_5__123Graph_BCHART_1" hidden="1">'[6]Edge 10797 Drilling Inventory'!#REF!</definedName>
    <definedName name="_5__123Graph_XLIQUIDS" hidden="1">[4]P!$R$29:$AK$29</definedName>
    <definedName name="_5__FDSAUDITLINK__" localSheetId="1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2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17"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15"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2"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2"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20"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1"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3"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28"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26"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27"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2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1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2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2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2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2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2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2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2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7__FDSAUDITLINK__" localSheetId="1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5"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0"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2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8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2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9__FDSAUDITLINK__" localSheetId="1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2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1__FDSAUDITLINK__" localSheetId="17"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15"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2"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2"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20"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1"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3"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28"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26"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27"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0__FDSAUDITLINK__" localSheetId="1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2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2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2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3__FDSAUDITLINK__" localSheetId="1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2"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0"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3"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27"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2"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0"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3"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27"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2"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0"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3"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27"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6__FDSAUDITLINK__" localSheetId="1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5"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0"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2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7__FDSAUDITLINK__" localSheetId="1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2"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0"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3"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27"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2"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0"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3"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27"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1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15"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2"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20"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1"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3"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2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26"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27"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0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2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1__FDSAUDITLINK__" localSheetId="1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2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2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2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2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5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2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6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8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2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9__FDSAUDITLINK__" localSheetId="17"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5"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2"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2"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0"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1"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3"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8"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6"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27"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3__FDSAUDITLINK__" localSheetId="17"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15"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2"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2"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20"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1"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3"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28"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26"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27"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0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2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1__FDSAUDITLINK__" localSheetId="1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0"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3"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2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5"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0"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3"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2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0"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3"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2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4__FDSAUDITLINK__" localSheetId="1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0"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3"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2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5__FDSAUDITLINK__" localSheetId="1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5"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0"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3"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2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2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8__FDSAUDITLINK__" localSheetId="1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0"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3"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2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9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0"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3"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2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4__FDSAUDITLINK__" localSheetId="17"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15"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2"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2"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20"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1"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3"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28"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26"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27"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0__FDSAUDITLINK__" localSheetId="1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0"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3"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2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5"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0"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3"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2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5"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0"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3"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2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3__FDSAUDITLINK__" localSheetId="1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0"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3"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2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4__FDSAUDITLINK__" localSheetId="1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0"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3"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2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5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0"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3"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2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6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7__FDSAUDITLINK__" localSheetId="1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2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0"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3"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2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2"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0"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3"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27"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17"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15"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2"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2"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20"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1"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3"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2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26"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27"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2"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0"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3"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27"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1__FDSAUDITLINK__" localSheetId="1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2"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0"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3"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27"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2__FDSAUDITLINK__" localSheetId="1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0"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3"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2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2"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0"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3"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27"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2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5__FDSAUDITLINK__" localSheetId="1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2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6__FDSAUDITLINK__" localSheetId="1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2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2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8__FDSAUDITLINK__" localSheetId="1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2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9__FDSAUDITLINK__" localSheetId="1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5"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2"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0"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3"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27"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6__FDSAUDITLINK__" localSheetId="1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15"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2"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20"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1"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3"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2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26"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27"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0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0"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3"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2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1__FDSAUDITLINK__" localSheetId="1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2"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0"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3"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27"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0"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3"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2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0"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3"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2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0"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3"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2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2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2"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0"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3"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27"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7"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5"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2"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2"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0"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1"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3"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8"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6"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27"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5"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2"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0"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3"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27"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5"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2"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0"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3"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27"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17"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15"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2"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2"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20"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1"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3"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2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26"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27"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0__FDSAUDITLINK__" localSheetId="17"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5"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2"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2"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0"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1"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3"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8"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6"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27"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1__FDSAUDITLINK__" localSheetId="17"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5"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2"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2"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0"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1"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3"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8"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6"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27"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5"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2"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0"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3"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27"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3__FDSAUDITLINK__" localSheetId="1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2"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0"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3"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27"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2"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0"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3"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27"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5__FDSAUDITLINK__" localSheetId="1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2"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0"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3"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27"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6__FDSAUDITLINK__" localSheetId="1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2"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0"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3"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27"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2"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0"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3"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27"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8__FDSAUDITLINK__" localSheetId="1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5"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2"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0"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3"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27"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9__FDSAUDITLINK__" localSheetId="17"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5"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2"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2"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0"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1"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3"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8"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6"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27"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8__FDSAUDITLINK__" localSheetId="17"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15"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2"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2"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20"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1"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3"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2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26"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27"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2"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0"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3"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27"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1__FDSAUDITLINK__" localSheetId="1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2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2__FDSAUDITLINK__" localSheetId="1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2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3__FDSAUDITLINK__" localSheetId="1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2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4__FDSAUDITLINK__" localSheetId="17"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5"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2"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2"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0"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1"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3"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8"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6"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27"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7"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5"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2"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2"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0"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1"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3"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8"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6"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27"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7"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5"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2"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2"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0"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1"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3"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8"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6"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27"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7"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5"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2"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2"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0"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1"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3"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8"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6"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27"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8__FDSAUDITLINK__" localSheetId="1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5"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2"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0"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3"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27"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2"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0"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3"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27"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17"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15"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2"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2"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20"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1"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3"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2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26"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27"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2"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0"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3"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27"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5"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2"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0"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3"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27"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2__FDSAUDITLINK__" localSheetId="1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5"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2"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0"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3"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27"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3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0"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3"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2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4__FDSAUDITLINK__" localSheetId="1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2"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0"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3"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27"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5__FDSAUDITLINK__" localSheetId="1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5"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2"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0"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3"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27"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6__FDSAUDITLINK__" localSheetId="1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5"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2"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0"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3"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27"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7__FDSAUDITLINK__" localSheetId="1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2"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0"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3"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27"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5"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2"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0"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3"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27"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9__FDSAUDITLINK__" localSheetId="1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5"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2"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0"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3"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27"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6__123Graph_ANRET_PCE" hidden="1">[5]ADVOL!$AD$23:$AD$57</definedName>
    <definedName name="_6__123Graph_BCHART_2" localSheetId="15" hidden="1">'[6]Edge 10797 Drilling Inventory'!#REF!</definedName>
    <definedName name="_6__123Graph_BCHART_2" localSheetId="12" hidden="1">'[6]Edge 10797 Drilling Inventory'!#REF!</definedName>
    <definedName name="_6__123Graph_BCHART_2" localSheetId="20" hidden="1">'[6]Edge 10797 Drilling Inventory'!#REF!</definedName>
    <definedName name="_6__123Graph_BCHART_2" localSheetId="21" hidden="1">'[6]Edge 10797 Drilling Inventory'!#REF!</definedName>
    <definedName name="_6__123Graph_BCHART_2" localSheetId="23" hidden="1">'[6]Edge 10797 Drilling Inventory'!#REF!</definedName>
    <definedName name="_6__123Graph_BCHART_2" localSheetId="26" hidden="1">'[6]Edge 10797 Drilling Inventory'!#REF!</definedName>
    <definedName name="_6__123Graph_BCHART_2" localSheetId="27" hidden="1">'[6]Edge 10797 Drilling Inventory'!#REF!</definedName>
    <definedName name="_6__123Graph_BCHART_2" hidden="1">'[6]Edge 10797 Drilling Inventory'!#REF!</definedName>
    <definedName name="_6__123Graph_XR_M_MARG" hidden="1">[4]P!$R$29:$AK$29</definedName>
    <definedName name="_6__FDSAUDITLINK__" localSheetId="1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2"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0"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3"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27"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17"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15"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2"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2"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20"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1"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3"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2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26"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27"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0__FDSAUDITLINK__" localSheetId="1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5"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2"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0"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3"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27"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1__FDSAUDITLINK__" localSheetId="1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5"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2"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0"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3"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27"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5"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2"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0"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3"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27"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2"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0"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3"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27"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4__FDSAUDITLINK__" localSheetId="1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2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5__FDSAUDITLINK__" localSheetId="1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5"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2"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0"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3"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27"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6__FDSAUDITLINK__" localSheetId="1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0"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3"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2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0"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3"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2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2"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0"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3"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27"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2"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0"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3"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27"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1__FDSAUDITLINK__" localSheetId="17"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15"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2"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2"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20"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1"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3"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2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26"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27"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0__FDSAUDITLINK__" localSheetId="1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2"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0"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3"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27"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2"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0"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3"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27"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5"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2"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0"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3"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27"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3__FDSAUDITLINK__" localSheetId="1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2"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0"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3"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27"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4__FDSAUDITLINK__" localSheetId="1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2"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0"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3"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27"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5__FDSAUDITLINK__" localSheetId="1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2"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0"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3"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27"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6__FDSAUDITLINK__" localSheetId="1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5"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2"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0"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3"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27"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7__FDSAUDITLINK__" localSheetId="1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5"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2"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0"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3"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27"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5"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2"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0"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3"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27"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5"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2"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0"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3"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27"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2__FDSAUDITLINK__" localSheetId="17"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15"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2"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2"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20"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1"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3"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2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26"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27"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0__FDSAUDITLINK__" localSheetId="17"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5"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2"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2"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0"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1"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3"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8"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6"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27"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1__FDSAUDITLINK__" localSheetId="1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2"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0"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3"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27"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2"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0"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3"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27"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5"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2"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0"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3"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27"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5"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2"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0"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3"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27"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2"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0"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3"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27"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6__FDSAUDITLINK__" localSheetId="1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5"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2"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0"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3"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27"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3__FDSAUDITLINK__" localSheetId="17"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15"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2"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2"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20"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1"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3"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2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26"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27"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4__FDSAUDITLINK__" localSheetId="17"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15"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2"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2"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20"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1"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3"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28"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26"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27"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17"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15"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2"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2"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20"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1"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3"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2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26"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27"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6__FDSAUDITLINK__" localSheetId="17"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15"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2"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2"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20"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1"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3"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28"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26"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27"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7__FDSAUDITLINK__" localSheetId="1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15"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2"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20"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1"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3"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2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26"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27"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8__FDSAUDITLINK__" localSheetId="17"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15"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2"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2"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20"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1"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3"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28"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26"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27"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9__FDSAUDITLINK__" localSheetId="17"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15"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2"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2"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20"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1"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3"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28"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26"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27"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7__123Graph_ANRET_RS" hidden="1">[5]ADVOL!$AG$30:$AG$56</definedName>
    <definedName name="_7__123Graph_BCHART_3" localSheetId="15" hidden="1">'[6]Edge 10797 Drilling Inventory'!#REF!</definedName>
    <definedName name="_7__123Graph_BCHART_3" localSheetId="12" hidden="1">'[6]Edge 10797 Drilling Inventory'!#REF!</definedName>
    <definedName name="_7__123Graph_BCHART_3" localSheetId="20" hidden="1">'[6]Edge 10797 Drilling Inventory'!#REF!</definedName>
    <definedName name="_7__123Graph_BCHART_3" localSheetId="21" hidden="1">'[6]Edge 10797 Drilling Inventory'!#REF!</definedName>
    <definedName name="_7__123Graph_BCHART_3" localSheetId="23" hidden="1">'[6]Edge 10797 Drilling Inventory'!#REF!</definedName>
    <definedName name="_7__123Graph_BCHART_3" localSheetId="26" hidden="1">'[6]Edge 10797 Drilling Inventory'!#REF!</definedName>
    <definedName name="_7__123Graph_BCHART_3" localSheetId="27" hidden="1">'[6]Edge 10797 Drilling Inventory'!#REF!</definedName>
    <definedName name="_7__123Graph_BCHART_3" hidden="1">'[6]Edge 10797 Drilling Inventory'!#REF!</definedName>
    <definedName name="_7__FDSAUDITLINK__" localSheetId="1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2"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0"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3"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27"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0__FDSAUDITLINK__" localSheetId="17"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15"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2"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2"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20"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1"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3"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28"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26"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27"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17"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15"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2"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2"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20"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1"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3"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28"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26"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27"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17"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15"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2"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2"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20"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1"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3"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28"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26"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27"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17"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15"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2"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2"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20"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1"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3"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28"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26"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27"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17"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15"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2"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2"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20"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1"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3"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28"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26"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27"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17"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15"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2"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2"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20"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1"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3"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28"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26"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27"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6__FDSAUDITLINK__" localSheetId="17"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15"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2"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2"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20"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1"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3"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28"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26"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27"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7__FDSAUDITLINK__" localSheetId="17"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15"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2"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2"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20"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1"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3"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28"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26"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27"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8__FDSAUDITLINK__" localSheetId="17"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15"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2"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2"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20"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1"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3"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28"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26"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27"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17"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15"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2"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2"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20"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1"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3"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28"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26"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27"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8__123Graph_ANRT_PCE" hidden="1">[5]ADVOL!$AD$97:$AD$131</definedName>
    <definedName name="_8__123Graph_LBL_ACHART_1" localSheetId="15" hidden="1">'[6]Edge 10797 Drilling Inventory'!#REF!</definedName>
    <definedName name="_8__123Graph_LBL_ACHART_1" localSheetId="12" hidden="1">'[6]Edge 10797 Drilling Inventory'!#REF!</definedName>
    <definedName name="_8__123Graph_LBL_ACHART_1" localSheetId="20" hidden="1">'[6]Edge 10797 Drilling Inventory'!#REF!</definedName>
    <definedName name="_8__123Graph_LBL_ACHART_1" localSheetId="21" hidden="1">'[6]Edge 10797 Drilling Inventory'!#REF!</definedName>
    <definedName name="_8__123Graph_LBL_ACHART_1" localSheetId="23" hidden="1">'[6]Edge 10797 Drilling Inventory'!#REF!</definedName>
    <definedName name="_8__123Graph_LBL_ACHART_1" localSheetId="26" hidden="1">'[6]Edge 10797 Drilling Inventory'!#REF!</definedName>
    <definedName name="_8__123Graph_LBL_ACHART_1" localSheetId="27" hidden="1">'[6]Edge 10797 Drilling Inventory'!#REF!</definedName>
    <definedName name="_8__123Graph_LBL_ACHART_1" hidden="1">'[6]Edge 10797 Drilling Inventory'!#REF!</definedName>
    <definedName name="_8__FDSAUDITLINK__" localSheetId="1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2"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0"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3"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27"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0__FDSAUDITLINK__" localSheetId="17"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15"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2"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2"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20"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1"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3"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28"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26"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27"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1__FDSAUDITLINK__" localSheetId="17"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15"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2"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2"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20"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1"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3"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2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26"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27"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17"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15"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2"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2"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20"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1"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3"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2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26"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27"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3__FDSAUDITLINK__" localSheetId="17"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15"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2"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2"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20"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1"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3"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2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26"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27"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4__FDSAUDITLINK__" localSheetId="17"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15"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2"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2"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20"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1"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3"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2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26"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27"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17"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15"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2"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2"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20"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1"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3"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2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26"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27"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17"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15"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2"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2"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20"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1"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3"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2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26"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27"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7__FDSAUDITLINK__" localSheetId="17"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15"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2"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2"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20"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1"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3"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2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26"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27"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8__FDSAUDITLINK__" localSheetId="17"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15"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2"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2"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20"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1"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3"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2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26"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27"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9__FDSAUDITLINK__" localSheetId="17"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15"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2"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2"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20"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1"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3"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2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26"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27"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9__123Graph_BADV_GDP" hidden="1">[5]ADVOL!$F$97:$F$128</definedName>
    <definedName name="_9__123Graph_LBL_ACHART_2" localSheetId="15" hidden="1">'[6]Edge 10797 Drilling Inventory'!#REF!</definedName>
    <definedName name="_9__123Graph_LBL_ACHART_2" localSheetId="12" hidden="1">'[6]Edge 10797 Drilling Inventory'!#REF!</definedName>
    <definedName name="_9__123Graph_LBL_ACHART_2" localSheetId="20" hidden="1">'[6]Edge 10797 Drilling Inventory'!#REF!</definedName>
    <definedName name="_9__123Graph_LBL_ACHART_2" localSheetId="21" hidden="1">'[6]Edge 10797 Drilling Inventory'!#REF!</definedName>
    <definedName name="_9__123Graph_LBL_ACHART_2" localSheetId="23" hidden="1">'[6]Edge 10797 Drilling Inventory'!#REF!</definedName>
    <definedName name="_9__123Graph_LBL_ACHART_2" localSheetId="26" hidden="1">'[6]Edge 10797 Drilling Inventory'!#REF!</definedName>
    <definedName name="_9__123Graph_LBL_ACHART_2" localSheetId="27" hidden="1">'[6]Edge 10797 Drilling Inventory'!#REF!</definedName>
    <definedName name="_9__123Graph_LBL_ACHART_2" hidden="1">'[6]Edge 10797 Drilling Inventory'!#REF!</definedName>
    <definedName name="_9__FDSAUDITLINK__" localSheetId="1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2"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0"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3"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27"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0__FDSAUDITLINK__" localSheetId="17"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15"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2"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2"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20"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1"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3"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28"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26"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27"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1__FDSAUDITLINK__" localSheetId="17"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15"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2"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2"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20"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1"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3"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28"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26"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27"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2__FDSAUDITLINK__" localSheetId="17"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15"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2"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2"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20"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1"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3"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28"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26"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27"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17"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15"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2"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2"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20"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1"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3"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28"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26"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27"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4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15"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2"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20"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1"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3"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26"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27"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5__FDSAUDITLINK__" localSheetId="17"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15"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2"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2"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20"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1"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3"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2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26"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27"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6__FDSAUDITLINK__" localSheetId="17"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15"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2"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2"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20"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1"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3"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2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26"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27"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17"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15"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2"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2"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20"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1"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3"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2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26"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27"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17"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15"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2"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2"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20"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1"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3"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2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26"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27"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17"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15"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2"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2"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20"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1"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3"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2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26"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27"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bdm.02E29E7B1053433EA3CCCBE4E5141596.edm" hidden="1">[7]Sheet1!$1:$1048576</definedName>
    <definedName name="_bdm.0465D0F8BD2C4E888AB9C11EA0CBE52C.edm" hidden="1">'[8]rev change analysis'!$1:$1048576</definedName>
    <definedName name="_bdm.05014202F2F74FEBA82C7ECB9BD89D08.edm" hidden="1">'[9]Ace-Out'!$1:$1048576</definedName>
    <definedName name="_bdm.07B5818A383F4DC2A6BFA30C130CBB78.edm" hidden="1">'[9]AFFILIATES (2)'!$1:$1048576</definedName>
    <definedName name="_bdm.0B341BE4D8094DE588E2D5F8CE090BA0.edm" localSheetId="17" hidden="1">#REF!</definedName>
    <definedName name="_bdm.0B341BE4D8094DE588E2D5F8CE090BA0.edm" localSheetId="15" hidden="1">#REF!</definedName>
    <definedName name="_bdm.0B341BE4D8094DE588E2D5F8CE090BA0.edm" localSheetId="12" hidden="1">#REF!</definedName>
    <definedName name="_bdm.0B341BE4D8094DE588E2D5F8CE090BA0.edm" localSheetId="22" hidden="1">#REF!</definedName>
    <definedName name="_bdm.0B341BE4D8094DE588E2D5F8CE090BA0.edm" localSheetId="20" hidden="1">#REF!</definedName>
    <definedName name="_bdm.0B341BE4D8094DE588E2D5F8CE090BA0.edm" localSheetId="21" hidden="1">#REF!</definedName>
    <definedName name="_bdm.0B341BE4D8094DE588E2D5F8CE090BA0.edm" localSheetId="23" hidden="1">#REF!</definedName>
    <definedName name="_bdm.0B341BE4D8094DE588E2D5F8CE090BA0.edm" localSheetId="28" hidden="1">#REF!</definedName>
    <definedName name="_bdm.0B341BE4D8094DE588E2D5F8CE090BA0.edm" localSheetId="26" hidden="1">#REF!</definedName>
    <definedName name="_bdm.0B341BE4D8094DE588E2D5F8CE090BA0.edm" localSheetId="27" hidden="1">#REF!</definedName>
    <definedName name="_bdm.0B341BE4D8094DE588E2D5F8CE090BA0.edm" hidden="1">#REF!</definedName>
    <definedName name="_bdm.14D1A22932234486A69AAF8B879B86C4.edm" hidden="1">'[10]Ace-Out'!$1:$1048576</definedName>
    <definedName name="_bdm.1BB247BF873F4738A7B222A36B9E0B0F.edm" hidden="1">[8]DCF!$1:$1048576</definedName>
    <definedName name="_bdm.2DD2C96D34A94119897BA9F9064DA371.edm" hidden="1">'[11]rev change analysis'!$1:$1048576</definedName>
    <definedName name="_bdm.312C5E895E1543D19C7EFF6DFE3C9678.edm" hidden="1">[12]Performance!$1:$1048576</definedName>
    <definedName name="_bdm.31B38A4456914D13B036C519BB497D92.edm" hidden="1">'[13]rev change analysis'!$1:$1048576</definedName>
    <definedName name="_bdm.32D7B9D24AF64DA9AE0D64C1FEF4C1CC.edm" localSheetId="17" hidden="1">#REF!</definedName>
    <definedName name="_bdm.32D7B9D24AF64DA9AE0D64C1FEF4C1CC.edm" localSheetId="15" hidden="1">#REF!</definedName>
    <definedName name="_bdm.32D7B9D24AF64DA9AE0D64C1FEF4C1CC.edm" localSheetId="12" hidden="1">#REF!</definedName>
    <definedName name="_bdm.32D7B9D24AF64DA9AE0D64C1FEF4C1CC.edm" localSheetId="22" hidden="1">#REF!</definedName>
    <definedName name="_bdm.32D7B9D24AF64DA9AE0D64C1FEF4C1CC.edm" localSheetId="20" hidden="1">#REF!</definedName>
    <definedName name="_bdm.32D7B9D24AF64DA9AE0D64C1FEF4C1CC.edm" localSheetId="21" hidden="1">#REF!</definedName>
    <definedName name="_bdm.32D7B9D24AF64DA9AE0D64C1FEF4C1CC.edm" localSheetId="23" hidden="1">#REF!</definedName>
    <definedName name="_bdm.32D7B9D24AF64DA9AE0D64C1FEF4C1CC.edm" localSheetId="28" hidden="1">#REF!</definedName>
    <definedName name="_bdm.32D7B9D24AF64DA9AE0D64C1FEF4C1CC.edm" localSheetId="26" hidden="1">#REF!</definedName>
    <definedName name="_bdm.32D7B9D24AF64DA9AE0D64C1FEF4C1CC.edm" localSheetId="27" hidden="1">#REF!</definedName>
    <definedName name="_bdm.32D7B9D24AF64DA9AE0D64C1FEF4C1CC.edm" hidden="1">#REF!</definedName>
    <definedName name="_bdm.384BFCED33ED4B149016C877E23F998D.edm" hidden="1">'[13]short IS'!$1:$1048576</definedName>
    <definedName name="_bdm.42F67CCC3C1C45638B5EC98256E90947.edm" hidden="1">'[14]Good 12-00 (2)'!$1:$1048576</definedName>
    <definedName name="_bdm.46D56600DB7840728F138544F8E425DB.edm" hidden="1">'[14]Good 11-36'!$1:$1048576</definedName>
    <definedName name="_bdm.47A9582B933E4E72A394E87C9154471A.edm" hidden="1">'[12]PE FY1'!$1:$1048576</definedName>
    <definedName name="_bdm.47EB3A8D6EB649F8A5D7883E75A2EDC8.edm" localSheetId="12" hidden="1">#REF!</definedName>
    <definedName name="_bdm.47EB3A8D6EB649F8A5D7883E75A2EDC8.edm" localSheetId="23" hidden="1">#REF!</definedName>
    <definedName name="_bdm.47EB3A8D6EB649F8A5D7883E75A2EDC8.edm" hidden="1">#REF!</definedName>
    <definedName name="_bdm.4B0C5E9A7A304C39AE91E40CECBE19EC.edm" hidden="1">'[15]Vs Global'!$1:$1048576</definedName>
    <definedName name="_bdm.5DABC0184DB54AB5A1B2CA684F814CAA.edm" localSheetId="17" hidden="1">#REF!</definedName>
    <definedName name="_bdm.5DABC0184DB54AB5A1B2CA684F814CAA.edm" localSheetId="15" hidden="1">#REF!</definedName>
    <definedName name="_bdm.5DABC0184DB54AB5A1B2CA684F814CAA.edm" localSheetId="12" hidden="1">#REF!</definedName>
    <definedName name="_bdm.5DABC0184DB54AB5A1B2CA684F814CAA.edm" localSheetId="22" hidden="1">#REF!</definedName>
    <definedName name="_bdm.5DABC0184DB54AB5A1B2CA684F814CAA.edm" localSheetId="20" hidden="1">#REF!</definedName>
    <definedName name="_bdm.5DABC0184DB54AB5A1B2CA684F814CAA.edm" localSheetId="21" hidden="1">#REF!</definedName>
    <definedName name="_bdm.5DABC0184DB54AB5A1B2CA684F814CAA.edm" localSheetId="23" hidden="1">#REF!</definedName>
    <definedName name="_bdm.5DABC0184DB54AB5A1B2CA684F814CAA.edm" localSheetId="28" hidden="1">#REF!</definedName>
    <definedName name="_bdm.5DABC0184DB54AB5A1B2CA684F814CAA.edm" localSheetId="26" hidden="1">#REF!</definedName>
    <definedName name="_bdm.5DABC0184DB54AB5A1B2CA684F814CAA.edm" localSheetId="27" hidden="1">#REF!</definedName>
    <definedName name="_bdm.5DABC0184DB54AB5A1B2CA684F814CAA.edm" hidden="1">#REF!</definedName>
    <definedName name="_bdm.60A1016E4A5045B0B4BE42FB21AAF6D6.edm" hidden="1">'[14]Good 11-50'!$1:$1048576</definedName>
    <definedName name="_bdm.616E44005FE6405981F35900D6DC2E1A.edm" hidden="1">'[16]SLC USD'!$1:$1048576</definedName>
    <definedName name="_bdm.72DEA641117C458FB001A8023143E740.edm" hidden="1">'[17]pipeline-handout'!$1:$1048576</definedName>
    <definedName name="_bdm.7317521E367C4A50896524C70180A68C.edm" hidden="1">'[13]2015 rev change'!$1:$1048576</definedName>
    <definedName name="_bdm.76074D17ADD044A287D271B1AAFC4036.edm" hidden="1">'[13]Product Mix 100%'!$1:$1048576</definedName>
    <definedName name="_bdm.77192A69936D48368D0A13E908672759.edm" hidden="1">'[13]cost savings'!$1:$1048576</definedName>
    <definedName name="_bdm.7AD0907D10F74471B9EAB1D380B65FFA.edm" localSheetId="12" hidden="1">#REF!</definedName>
    <definedName name="_bdm.7AD0907D10F74471B9EAB1D380B65FFA.edm" localSheetId="23" hidden="1">#REF!</definedName>
    <definedName name="_bdm.7AD0907D10F74471B9EAB1D380B65FFA.edm" hidden="1">#REF!</definedName>
    <definedName name="_bdm.7BD26B3608B542F58E240F2B55D81C5F.edm" hidden="1">[12]Results!$1:$1048576</definedName>
    <definedName name="_bdm.803A27019B5442DB920C7AA8DB319C37.edm" localSheetId="17" hidden="1">#REF!</definedName>
    <definedName name="_bdm.803A27019B5442DB920C7AA8DB319C37.edm" localSheetId="15" hidden="1">#REF!</definedName>
    <definedName name="_bdm.803A27019B5442DB920C7AA8DB319C37.edm" localSheetId="12" hidden="1">#REF!</definedName>
    <definedName name="_bdm.803A27019B5442DB920C7AA8DB319C37.edm" localSheetId="22" hidden="1">#REF!</definedName>
    <definedName name="_bdm.803A27019B5442DB920C7AA8DB319C37.edm" localSheetId="20" hidden="1">#REF!</definedName>
    <definedName name="_bdm.803A27019B5442DB920C7AA8DB319C37.edm" localSheetId="21" hidden="1">#REF!</definedName>
    <definedName name="_bdm.803A27019B5442DB920C7AA8DB319C37.edm" localSheetId="23" hidden="1">#REF!</definedName>
    <definedName name="_bdm.803A27019B5442DB920C7AA8DB319C37.edm" localSheetId="28" hidden="1">#REF!</definedName>
    <definedName name="_bdm.803A27019B5442DB920C7AA8DB319C37.edm" localSheetId="26" hidden="1">#REF!</definedName>
    <definedName name="_bdm.803A27019B5442DB920C7AA8DB319C37.edm" localSheetId="27" hidden="1">#REF!</definedName>
    <definedName name="_bdm.803A27019B5442DB920C7AA8DB319C37.edm" hidden="1">#REF!</definedName>
    <definedName name="_bdm.84F38A9759994A80A6CF34B5BBEB633C.edm" hidden="1">'[18]rev change analysis'!$1:$1048576</definedName>
    <definedName name="_bdm.879B950EBBAB4597B88189350706EC93.edm" hidden="1">'[19]Ace-Out'!$1:$1048576</definedName>
    <definedName name="_bdm.9301DDFC67D846248C16E96B86458D94.edm" hidden="1">'[8]rev contribution analysis'!$1:$1048576</definedName>
    <definedName name="_bdm.94C3FC3AA30F4A2A98F01CBD81AF3400.edm" localSheetId="17" hidden="1">#REF!</definedName>
    <definedName name="_bdm.94C3FC3AA30F4A2A98F01CBD81AF3400.edm" localSheetId="15" hidden="1">#REF!</definedName>
    <definedName name="_bdm.94C3FC3AA30F4A2A98F01CBD81AF3400.edm" localSheetId="12" hidden="1">#REF!</definedName>
    <definedName name="_bdm.94C3FC3AA30F4A2A98F01CBD81AF3400.edm" localSheetId="22" hidden="1">#REF!</definedName>
    <definedName name="_bdm.94C3FC3AA30F4A2A98F01CBD81AF3400.edm" localSheetId="20" hidden="1">#REF!</definedName>
    <definedName name="_bdm.94C3FC3AA30F4A2A98F01CBD81AF3400.edm" localSheetId="21" hidden="1">#REF!</definedName>
    <definedName name="_bdm.94C3FC3AA30F4A2A98F01CBD81AF3400.edm" localSheetId="23" hidden="1">#REF!</definedName>
    <definedName name="_bdm.94C3FC3AA30F4A2A98F01CBD81AF3400.edm" localSheetId="28" hidden="1">#REF!</definedName>
    <definedName name="_bdm.94C3FC3AA30F4A2A98F01CBD81AF3400.edm" localSheetId="26" hidden="1">#REF!</definedName>
    <definedName name="_bdm.94C3FC3AA30F4A2A98F01CBD81AF3400.edm" localSheetId="27" hidden="1">#REF!</definedName>
    <definedName name="_bdm.94C3FC3AA30F4A2A98F01CBD81AF3400.edm" hidden="1">#REF!</definedName>
    <definedName name="_bdm.9B45399882F64A698DD1C1BDB9A04C25.edm" hidden="1">[15]Peers!$1:$1048576</definedName>
    <definedName name="_bdm.A02D80F893DD4C7DA6D997E701C867FB.edm" hidden="1">[10]Results!$1:$1048576</definedName>
    <definedName name="_bdm.ABF68B911D8942438A2B464C7A4E0C3F.edm" hidden="1">'[16]AGRO BRL'!$1:$1048576</definedName>
    <definedName name="_bdm.B7CC83D9B1D34661812434787CF5F95D.edm" hidden="1">'[20]Ace-Out'!$1:$1048576</definedName>
    <definedName name="_bdm.BC24D84D167F490CB707C13DAD482FB0.edm" localSheetId="17" hidden="1">#REF!</definedName>
    <definedName name="_bdm.BC24D84D167F490CB707C13DAD482FB0.edm" localSheetId="15" hidden="1">#REF!</definedName>
    <definedName name="_bdm.BC24D84D167F490CB707C13DAD482FB0.edm" localSheetId="12" hidden="1">#REF!</definedName>
    <definedName name="_bdm.BC24D84D167F490CB707C13DAD482FB0.edm" localSheetId="22" hidden="1">#REF!</definedName>
    <definedName name="_bdm.BC24D84D167F490CB707C13DAD482FB0.edm" localSheetId="20" hidden="1">#REF!</definedName>
    <definedName name="_bdm.BC24D84D167F490CB707C13DAD482FB0.edm" localSheetId="21" hidden="1">#REF!</definedName>
    <definedName name="_bdm.BC24D84D167F490CB707C13DAD482FB0.edm" localSheetId="23" hidden="1">#REF!</definedName>
    <definedName name="_bdm.BC24D84D167F490CB707C13DAD482FB0.edm" localSheetId="28" hidden="1">#REF!</definedName>
    <definedName name="_bdm.BC24D84D167F490CB707C13DAD482FB0.edm" localSheetId="26" hidden="1">#REF!</definedName>
    <definedName name="_bdm.BC24D84D167F490CB707C13DAD482FB0.edm" localSheetId="27" hidden="1">#REF!</definedName>
    <definedName name="_bdm.BC24D84D167F490CB707C13DAD482FB0.edm" hidden="1">#REF!</definedName>
    <definedName name="_bdm.BE7E13023C594ED083AA3198647FF8FD.edm" localSheetId="12" hidden="1">#REF!</definedName>
    <definedName name="_bdm.BE7E13023C594ED083AA3198647FF8FD.edm" localSheetId="23" hidden="1">#REF!</definedName>
    <definedName name="_bdm.BE7E13023C594ED083AA3198647FF8FD.edm" hidden="1">#REF!</definedName>
    <definedName name="_bdm.C7C6FBA36F39444B8BCEC128D5B7F931.edm" hidden="1">'[14]Sheet3 (5)'!$1:$1048576</definedName>
    <definedName name="_bdm.D8226746037A4B218F06698B6B570FD4.edm" hidden="1">'[21]Risk-Reward_View_Chart'!$1:$1048576</definedName>
    <definedName name="_bdm.E2B991B7B5454C4CBE252B2B73D6513B.edm" hidden="1">[22]margins!$1:$1048576</definedName>
    <definedName name="_bdm.E8E1D9C16424403FB6536CF6D099CF86.edm" hidden="1">[15]Performance!$1:$1048576</definedName>
    <definedName name="_bdm.F0D73515AC3D4919BC3602806970DE2D.edm" hidden="1">'[13]Per Pharma Traditional &amp; Biolog'!$1:$1048576</definedName>
    <definedName name="_bdm.F503F160FFA641EDB1AD757205401861.edm" hidden="1">'[22]rev change analysis'!$1:$1048576</definedName>
    <definedName name="_bdm.FA5426C63BEA4CFAA7E2E8F12419DEE9.edm" localSheetId="17" hidden="1">#REF!</definedName>
    <definedName name="_bdm.FA5426C63BEA4CFAA7E2E8F12419DEE9.edm" localSheetId="15" hidden="1">#REF!</definedName>
    <definedName name="_bdm.FA5426C63BEA4CFAA7E2E8F12419DEE9.edm" localSheetId="12" hidden="1">#REF!</definedName>
    <definedName name="_bdm.FA5426C63BEA4CFAA7E2E8F12419DEE9.edm" localSheetId="22" hidden="1">#REF!</definedName>
    <definedName name="_bdm.FA5426C63BEA4CFAA7E2E8F12419DEE9.edm" localSheetId="20" hidden="1">#REF!</definedName>
    <definedName name="_bdm.FA5426C63BEA4CFAA7E2E8F12419DEE9.edm" localSheetId="21" hidden="1">#REF!</definedName>
    <definedName name="_bdm.FA5426C63BEA4CFAA7E2E8F12419DEE9.edm" localSheetId="23" hidden="1">#REF!</definedName>
    <definedName name="_bdm.FA5426C63BEA4CFAA7E2E8F12419DEE9.edm" localSheetId="28" hidden="1">#REF!</definedName>
    <definedName name="_bdm.FA5426C63BEA4CFAA7E2E8F12419DEE9.edm" localSheetId="26" hidden="1">#REF!</definedName>
    <definedName name="_bdm.FA5426C63BEA4CFAA7E2E8F12419DEE9.edm" localSheetId="27" hidden="1">#REF!</definedName>
    <definedName name="_bdm.FA5426C63BEA4CFAA7E2E8F12419DEE9.edm" hidden="1">#REF!</definedName>
    <definedName name="_CTB99">#REF!</definedName>
    <definedName name="_Fill" localSheetId="17" hidden="1">#REF!</definedName>
    <definedName name="_Fill" localSheetId="15" hidden="1">'[23]US&amp;EuroEarnings'!#REF!</definedName>
    <definedName name="_Fill" localSheetId="12" hidden="1">'[23]US&amp;EuroEarnings'!#REF!</definedName>
    <definedName name="_Fill" localSheetId="22" hidden="1">#REF!</definedName>
    <definedName name="_Fill" localSheetId="20" hidden="1">'[23]US&amp;EuroEarnings'!#REF!</definedName>
    <definedName name="_Fill" localSheetId="21" hidden="1">'[23]US&amp;EuroEarnings'!#REF!</definedName>
    <definedName name="_Fill" localSheetId="23" hidden="1">'[23]US&amp;EuroEarnings'!#REF!</definedName>
    <definedName name="_Fill" localSheetId="28" hidden="1">#REF!</definedName>
    <definedName name="_Fill" localSheetId="26" hidden="1">'[23]US&amp;EuroEarnings'!#REF!</definedName>
    <definedName name="_Fill" localSheetId="27" hidden="1">'[23]US&amp;EuroEarnings'!#REF!</definedName>
    <definedName name="_Fill" hidden="1">#REF!</definedName>
    <definedName name="_xlnm._FilterDatabase" localSheetId="21" hidden="1">'DAL KPI'!$E$173:$T$178</definedName>
    <definedName name="_iQ_Create_CompliancePointInTime">#REF!</definedName>
    <definedName name="_iQ_Create_CompliancePointInTimeAE">#REF!</definedName>
    <definedName name="_iQ_Create_CompliancePointInTimeH">#REF!</definedName>
    <definedName name="_iQ_Create_CompliancePointInTimeIK">#REF!</definedName>
    <definedName name="_iQ_Create_PointInTime">#REF!</definedName>
    <definedName name="_iQ_Create_PointInTimeAE">#REF!</definedName>
    <definedName name="_iQ_Create_PointInTimeH">#REF!</definedName>
    <definedName name="_iQ_Create_PointInTimeIK">#REF!</definedName>
    <definedName name="_iQ_Create_PrimaryInstrument">#REF!</definedName>
    <definedName name="_iQ_Create_PrimaryInstrumentAE">#REF!</definedName>
    <definedName name="_iQ_Create_PrimaryInstrumentH">#REF!</definedName>
    <definedName name="_iQ_Create_PrimaryInstrumentIK">#REF!</definedName>
    <definedName name="_iQ_Create_SecondaryInstrument">#REF!</definedName>
    <definedName name="_iQ_Create_SecondaryInstrumentAE">#REF!</definedName>
    <definedName name="_iQ_Create_SecondaryInstrumentH">#REF!</definedName>
    <definedName name="_iQ_Create_SecondaryInstrumentIK">#REF!</definedName>
    <definedName name="_iQ_Create_TimeSeriesSection">#REF!</definedName>
    <definedName name="_iQ_Create_TimeSeriesSectionAE">#REF!</definedName>
    <definedName name="_iQ_Create_TimeSeriesSectionH">#REF!</definedName>
    <definedName name="_iQ_Create_TimeSeriesSectionIK">#REF!</definedName>
    <definedName name="_Key1" localSheetId="17" hidden="1">#REF!</definedName>
    <definedName name="_Key1" localSheetId="15" hidden="1">[24]単独!$U$1</definedName>
    <definedName name="_Key1" localSheetId="12" hidden="1">'[6]Edge 10797 Drilling Inventory'!#REF!</definedName>
    <definedName name="_Key1" localSheetId="22" hidden="1">#REF!</definedName>
    <definedName name="_Key1" localSheetId="20" hidden="1">[24]単独!$U$1</definedName>
    <definedName name="_Key1" localSheetId="21" hidden="1">[24]単独!$U$1</definedName>
    <definedName name="_Key1" localSheetId="23" hidden="1">[24]単独!$U$1</definedName>
    <definedName name="_Key1" localSheetId="28" hidden="1">#REF!</definedName>
    <definedName name="_Key1" localSheetId="26" hidden="1">[24]単独!$U$1</definedName>
    <definedName name="_Key1" localSheetId="27" hidden="1">[24]単独!$U$1</definedName>
    <definedName name="_Key1" hidden="1">#REF!</definedName>
    <definedName name="_NCB99">#REF!</definedName>
    <definedName name="_NG_26de9">#REF!</definedName>
    <definedName name="_NG_37fd8">#REF!</definedName>
    <definedName name="_NG_659ae">#REF!</definedName>
    <definedName name="_NG_76037">#REF!</definedName>
    <definedName name="_NG_ea92b">#REF!</definedName>
    <definedName name="_Order1" localSheetId="12" hidden="1">255</definedName>
    <definedName name="_Order1" hidden="1">0</definedName>
    <definedName name="_Order2" hidden="1">255</definedName>
    <definedName name="_Regression_Int" hidden="1">1</definedName>
    <definedName name="_Regression_Out" localSheetId="17" hidden="1">#REF!</definedName>
    <definedName name="_Regression_Out" localSheetId="15" hidden="1">#REF!</definedName>
    <definedName name="_Regression_Out" localSheetId="12" hidden="1">#REF!</definedName>
    <definedName name="_Regression_Out" localSheetId="22" hidden="1">#REF!</definedName>
    <definedName name="_Regression_Out" localSheetId="20" hidden="1">#REF!</definedName>
    <definedName name="_Regression_Out" localSheetId="21" hidden="1">#REF!</definedName>
    <definedName name="_Regression_Out" localSheetId="23" hidden="1">#REF!</definedName>
    <definedName name="_Regression_Out" localSheetId="28" hidden="1">#REF!</definedName>
    <definedName name="_Regression_Out" localSheetId="26" hidden="1">#REF!</definedName>
    <definedName name="_Regression_Out" localSheetId="27" hidden="1">#REF!</definedName>
    <definedName name="_Regression_Out" hidden="1">#REF!</definedName>
    <definedName name="_Regression_X" localSheetId="17" hidden="1">#REF!</definedName>
    <definedName name="_Regression_X" localSheetId="15" hidden="1">#REF!</definedName>
    <definedName name="_Regression_X" localSheetId="12" hidden="1">#REF!</definedName>
    <definedName name="_Regression_X" localSheetId="22" hidden="1">#REF!</definedName>
    <definedName name="_Regression_X" localSheetId="20" hidden="1">#REF!</definedName>
    <definedName name="_Regression_X" localSheetId="21" hidden="1">#REF!</definedName>
    <definedName name="_Regression_X" localSheetId="23" hidden="1">#REF!</definedName>
    <definedName name="_Regression_X" localSheetId="28" hidden="1">#REF!</definedName>
    <definedName name="_Regression_X" localSheetId="26" hidden="1">#REF!</definedName>
    <definedName name="_Regression_X" localSheetId="27" hidden="1">#REF!</definedName>
    <definedName name="_Regression_X" hidden="1">#REF!</definedName>
    <definedName name="_Regression_Y" localSheetId="17" hidden="1">#REF!</definedName>
    <definedName name="_Regression_Y" localSheetId="15" hidden="1">#REF!</definedName>
    <definedName name="_Regression_Y" localSheetId="12" hidden="1">#REF!</definedName>
    <definedName name="_Regression_Y" localSheetId="22" hidden="1">#REF!</definedName>
    <definedName name="_Regression_Y" localSheetId="20" hidden="1">#REF!</definedName>
    <definedName name="_Regression_Y" localSheetId="21" hidden="1">#REF!</definedName>
    <definedName name="_Regression_Y" localSheetId="23" hidden="1">#REF!</definedName>
    <definedName name="_Regression_Y" localSheetId="28" hidden="1">#REF!</definedName>
    <definedName name="_Regression_Y" localSheetId="26" hidden="1">#REF!</definedName>
    <definedName name="_Regression_Y" localSheetId="27" hidden="1">#REF!</definedName>
    <definedName name="_Regression_Y" hidden="1">#REF!</definedName>
    <definedName name="_Sort" localSheetId="17" hidden="1">#REF!</definedName>
    <definedName name="_Sort" localSheetId="15" hidden="1">[24]単独!$A$512:$AC$552</definedName>
    <definedName name="_Sort" localSheetId="12" hidden="1">'[6]Edge 10797 Drilling Inventory'!#REF!</definedName>
    <definedName name="_Sort" localSheetId="22" hidden="1">#REF!</definedName>
    <definedName name="_Sort" localSheetId="20" hidden="1">[24]単独!$A$512:$AC$552</definedName>
    <definedName name="_Sort" localSheetId="21" hidden="1">[24]単独!$A$512:$AC$552</definedName>
    <definedName name="_Sort" localSheetId="23" hidden="1">[24]単独!$A$512:$AC$552</definedName>
    <definedName name="_Sort" localSheetId="28" hidden="1">#REF!</definedName>
    <definedName name="_Sort" localSheetId="26" hidden="1">[24]単独!$A$512:$AC$552</definedName>
    <definedName name="_Sort" localSheetId="27" hidden="1">[24]単独!$A$512:$AC$552</definedName>
    <definedName name="_Sort" hidden="1">#REF!</definedName>
    <definedName name="_Table1_In1" localSheetId="15" hidden="1">'[6]#REF'!#REF!</definedName>
    <definedName name="_Table1_In1" localSheetId="12" hidden="1">'[6]#REF'!#REF!</definedName>
    <definedName name="_Table1_In1" localSheetId="20" hidden="1">'[6]#REF'!#REF!</definedName>
    <definedName name="_Table1_In1" localSheetId="21" hidden="1">'[6]#REF'!#REF!</definedName>
    <definedName name="_Table1_In1" localSheetId="23" hidden="1">'[6]#REF'!#REF!</definedName>
    <definedName name="_Table1_In1" localSheetId="26" hidden="1">'[6]#REF'!#REF!</definedName>
    <definedName name="_Table1_In1" localSheetId="27" hidden="1">'[6]#REF'!#REF!</definedName>
    <definedName name="_Table1_In1" hidden="1">'[25]qtrly cash flow'!$AI$30:$AI$30</definedName>
    <definedName name="_Table1_Out" localSheetId="15" hidden="1">#REF!</definedName>
    <definedName name="_Table1_Out" localSheetId="12" hidden="1">#REF!</definedName>
    <definedName name="_Table1_Out" localSheetId="20" hidden="1">#REF!</definedName>
    <definedName name="_Table1_Out" localSheetId="21" hidden="1">#REF!</definedName>
    <definedName name="_Table1_Out" localSheetId="23" hidden="1">#REF!</definedName>
    <definedName name="_Table1_Out" localSheetId="26" hidden="1">#REF!</definedName>
    <definedName name="_Table1_Out" localSheetId="27" hidden="1">#REF!</definedName>
    <definedName name="_Table1_Out" hidden="1">'[25]qtrly cash flow'!$AT$27:$AU$31</definedName>
    <definedName name="_Table2_In1" localSheetId="15" hidden="1">'[6]#REF'!#REF!</definedName>
    <definedName name="_Table2_In1" localSheetId="12" hidden="1">'[6]#REF'!#REF!</definedName>
    <definedName name="_Table2_In1" localSheetId="20" hidden="1">'[6]#REF'!#REF!</definedName>
    <definedName name="_Table2_In1" localSheetId="21" hidden="1">'[6]#REF'!#REF!</definedName>
    <definedName name="_Table2_In1" localSheetId="23" hidden="1">'[6]#REF'!#REF!</definedName>
    <definedName name="_Table2_In1" localSheetId="26" hidden="1">'[6]#REF'!#REF!</definedName>
    <definedName name="_Table2_In1" localSheetId="27" hidden="1">'[6]#REF'!#REF!</definedName>
    <definedName name="_Table2_In1" hidden="1">'[6]#REF'!#REF!</definedName>
    <definedName name="_xlcn.WorksheetConnection_InfoB6B7" hidden="1">#REF!</definedName>
    <definedName name="a" localSheetId="15" hidden="1">[24]ｾｸﾞﾒﾝﾄ!$E$165:$I$165</definedName>
    <definedName name="a" localSheetId="10" hidden="1">[26]!PRT6BD5BK32</definedName>
    <definedName name="a" localSheetId="12" hidden="1">'[6]#REF'!#REF!</definedName>
    <definedName name="a" localSheetId="20" hidden="1">[24]ｾｸﾞﾒﾝﾄ!$E$165:$I$165</definedName>
    <definedName name="a" localSheetId="21" hidden="1">[24]ｾｸﾞﾒﾝﾄ!$E$165:$I$165</definedName>
    <definedName name="a" localSheetId="23" hidden="1">[24]ｾｸﾞﾒﾝﾄ!$E$165:$I$165</definedName>
    <definedName name="a" localSheetId="3" hidden="1">[26]!PRT6BD5BK32</definedName>
    <definedName name="a" localSheetId="11" hidden="1">[26]!PRT6BD5BK32</definedName>
    <definedName name="a" localSheetId="9" hidden="1">[26]!PRT6BD5BK32</definedName>
    <definedName name="a" localSheetId="26" hidden="1">[24]ｾｸﾞﾒﾝﾄ!$E$165:$I$165</definedName>
    <definedName name="a" localSheetId="27" hidden="1">[24]ｾｸﾞﾒﾝﾄ!$E$165:$I$165</definedName>
    <definedName name="a" hidden="1">[26]!PRT6BD5BK32</definedName>
    <definedName name="aaa" localSheetId="17" hidden="1">{"AVSHAR","BSHAR"}</definedName>
    <definedName name="aaa" localSheetId="15" hidden="1">{"AVSHAR","BSHAR"}</definedName>
    <definedName name="aaa" localSheetId="12" hidden="1">{"AVSHAR","BSHAR"}</definedName>
    <definedName name="aaa" localSheetId="22" hidden="1">{"AVSHAR","BSHAR"}</definedName>
    <definedName name="aaa" localSheetId="20" hidden="1">{"AVSHAR","BSHAR"}</definedName>
    <definedName name="aaa" localSheetId="21" hidden="1">{"AVSHAR","BSHAR"}</definedName>
    <definedName name="aaa" localSheetId="23" hidden="1">{"AVSHAR","BSHAR"}</definedName>
    <definedName name="aaa" localSheetId="1" hidden="1">{"AVSHAR","BSHAR"}</definedName>
    <definedName name="aaa" localSheetId="28" hidden="1">{"AVSHAR","BSHAR"}</definedName>
    <definedName name="aaa" localSheetId="26" hidden="1">{"AVSHAR","BSHAR"}</definedName>
    <definedName name="aaa" localSheetId="27" hidden="1">{"AVSHAR","BSHAR"}</definedName>
    <definedName name="aaa" hidden="1">{"AVSHAR","BSHAR"}</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bSales">#REF!</definedName>
    <definedName name="abc"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tual" localSheetId="17" hidden="1">{#N/A,#N/A,TRUE,"Historicals";#N/A,#N/A,TRUE,"Charts";#N/A,#N/A,TRUE,"Forecasts"}</definedName>
    <definedName name="Actual" localSheetId="15" hidden="1">{#N/A,#N/A,TRUE,"Historicals";#N/A,#N/A,TRUE,"Charts";#N/A,#N/A,TRUE,"Forecasts"}</definedName>
    <definedName name="Actual" localSheetId="12" hidden="1">{#N/A,#N/A,TRUE,"Historicals";#N/A,#N/A,TRUE,"Charts";#N/A,#N/A,TRUE,"Forecasts"}</definedName>
    <definedName name="Actual" localSheetId="22" hidden="1">{#N/A,#N/A,TRUE,"Historicals";#N/A,#N/A,TRUE,"Charts";#N/A,#N/A,TRUE,"Forecasts"}</definedName>
    <definedName name="Actual" localSheetId="20" hidden="1">{#N/A,#N/A,TRUE,"Historicals";#N/A,#N/A,TRUE,"Charts";#N/A,#N/A,TRUE,"Forecasts"}</definedName>
    <definedName name="Actual" localSheetId="21" hidden="1">{#N/A,#N/A,TRUE,"Historicals";#N/A,#N/A,TRUE,"Charts";#N/A,#N/A,TRUE,"Forecasts"}</definedName>
    <definedName name="Actual" localSheetId="23" hidden="1">{#N/A,#N/A,TRUE,"Historicals";#N/A,#N/A,TRUE,"Charts";#N/A,#N/A,TRUE,"Forecasts"}</definedName>
    <definedName name="Actual" localSheetId="1" hidden="1">{#N/A,#N/A,TRUE,"Historicals";#N/A,#N/A,TRUE,"Charts";#N/A,#N/A,TRUE,"Forecasts"}</definedName>
    <definedName name="Actual" localSheetId="28" hidden="1">{#N/A,#N/A,TRUE,"Historicals";#N/A,#N/A,TRUE,"Charts";#N/A,#N/A,TRUE,"Forecasts"}</definedName>
    <definedName name="Actual" localSheetId="26" hidden="1">{#N/A,#N/A,TRUE,"Historicals";#N/A,#N/A,TRUE,"Charts";#N/A,#N/A,TRUE,"Forecasts"}</definedName>
    <definedName name="Actual" localSheetId="27" hidden="1">{#N/A,#N/A,TRUE,"Historicals";#N/A,#N/A,TRUE,"Charts";#N/A,#N/A,TRUE,"Forecasts"}</definedName>
    <definedName name="Actual" hidden="1">{#N/A,#N/A,TRUE,"Historicals";#N/A,#N/A,TRUE,"Charts";#N/A,#N/A,TRUE,"Forecasts"}</definedName>
    <definedName name="AHC_CAPEX">#REF!</definedName>
    <definedName name="AHC_CAPEX_2004">#REF!</definedName>
    <definedName name="AHC_CAPEX_2005">#REF!</definedName>
    <definedName name="AHC_CAPEX_2006">#REF!</definedName>
    <definedName name="AHC_CAPEX_2007">#REF!</definedName>
    <definedName name="AHC_CAPEX_Chems">#REF!</definedName>
    <definedName name="AHC_CAPEX_EP">#REF!</definedName>
    <definedName name="AHC_CAPEX_EP_2004">#REF!</definedName>
    <definedName name="AHC_CAPEX_EP_2005">#REF!</definedName>
    <definedName name="AHC_CAPEX_EP_2006">#REF!</definedName>
    <definedName name="AHC_CAPEX_EP_2007">#REF!</definedName>
    <definedName name="AHC_CAPEX_Other">#REF!</definedName>
    <definedName name="AHC_CAPEX_Other_2004">#REF!</definedName>
    <definedName name="AHC_CAPEX_Other_2005">#REF!</definedName>
    <definedName name="AHC_CAPEX_Other_2006">#REF!</definedName>
    <definedName name="AHC_CAPEX_Other_2007">#REF!</definedName>
    <definedName name="AHC_CAPEX_RM">#REF!</definedName>
    <definedName name="AHC_CAPEX_RM_2004">#REF!</definedName>
    <definedName name="AHC_CAPEX_RM_2005">#REF!</definedName>
    <definedName name="AHC_CAPEX_RM_2006">#REF!</definedName>
    <definedName name="AHC_CAPEX_RM_2007">#REF!</definedName>
    <definedName name="AllSegments">#REF!</definedName>
    <definedName name="AmortGwill">#REF!</definedName>
    <definedName name="Analyst">#REF!</definedName>
    <definedName name="Analyst_Email">#REF!</definedName>
    <definedName name="Analyst_Phone">#REF!</definedName>
    <definedName name="anscount" hidden="1">1</definedName>
    <definedName name="As_of">#REF!</definedName>
    <definedName name="AS2DocOpenMode" hidden="1">"AS2DocumentEdit"</definedName>
    <definedName name="asd" localSheetId="17" hidden="1">{"comps",#N/A,FALSE,"TXTCOMPS";"segment_EPS",#N/A,FALSE,"TXTCOMPS";"valuation",#N/A,FALSE,"TXTCOMPS"}</definedName>
    <definedName name="asd"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2" hidden="1">{"comps",#N/A,FALSE,"TXTCOMPS";"segment_EPS",#N/A,FALSE,"TXTCOMPS";"valuation",#N/A,FALSE,"TXTCOMPS"}</definedName>
    <definedName name="asd"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 hidden="1">{"comps",#N/A,FALSE,"TXTCOMPS";"segment_EPS",#N/A,FALSE,"TXTCOMPS";"valuation",#N/A,FALSE,"TXTCOMPS"}</definedName>
    <definedName name="asd" localSheetId="28" hidden="1">{"comps",#N/A,FALSE,"TXTCOMPS";"segment_EPS",#N/A,FALSE,"TXTCOMPS";"valuation",#N/A,FALSE,"TXTCOMPS"}</definedName>
    <definedName name="asd"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hidden="1">{"comps",#N/A,FALSE,"TXTCOMPS";"segment_EPS",#N/A,FALSE,"TXTCOMPS";"valuation",#N/A,FALSE,"TXTCOMPS"}</definedName>
    <definedName name="asda" localSheetId="1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5"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2"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2"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0"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1"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3"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8"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6"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27"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f" localSheetId="17" hidden="1">#REF!</definedName>
    <definedName name="asdf" localSheetId="15" hidden="1">#REF!</definedName>
    <definedName name="asdf" localSheetId="12" hidden="1">#REF!</definedName>
    <definedName name="asdf" localSheetId="22" hidden="1">#REF!</definedName>
    <definedName name="asdf" localSheetId="20" hidden="1">#REF!</definedName>
    <definedName name="asdf" localSheetId="21" hidden="1">#REF!</definedName>
    <definedName name="asdf" localSheetId="23" hidden="1">#REF!</definedName>
    <definedName name="asdf" localSheetId="28" hidden="1">#REF!</definedName>
    <definedName name="asdf" localSheetId="26" hidden="1">#REF!</definedName>
    <definedName name="asdf" localSheetId="27" hidden="1">#REF!</definedName>
    <definedName name="asdf" hidden="1">#REF!</definedName>
    <definedName name="asdfa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hifoea" localSheetId="17" hidden="1">#REF!</definedName>
    <definedName name="asdhifoea" localSheetId="15" hidden="1">#REF!</definedName>
    <definedName name="asdhifoea" localSheetId="12" hidden="1">#REF!</definedName>
    <definedName name="asdhifoea" localSheetId="22" hidden="1">#REF!</definedName>
    <definedName name="asdhifoea" localSheetId="20" hidden="1">#REF!</definedName>
    <definedName name="asdhifoea" localSheetId="21" hidden="1">#REF!</definedName>
    <definedName name="asdhifoea" localSheetId="23" hidden="1">#REF!</definedName>
    <definedName name="asdhifoea" localSheetId="28" hidden="1">#REF!</definedName>
    <definedName name="asdhifoea" localSheetId="26" hidden="1">#REF!</definedName>
    <definedName name="asdhifoea" localSheetId="27" hidden="1">#REF!</definedName>
    <definedName name="asdhifoea" hidden="1">#REF!</definedName>
    <definedName name="Ass_00">#REF!</definedName>
    <definedName name="Ass_99">#REF!</definedName>
    <definedName name="ax" localSheetId="17" hidden="1">{"comps",#N/A,FALSE,"TXTCOMPS"}</definedName>
    <definedName name="ax" localSheetId="15" hidden="1">{"comps",#N/A,FALSE,"TXTCOMPS"}</definedName>
    <definedName name="ax" localSheetId="12" hidden="1">{"comps",#N/A,FALSE,"TXTCOMPS"}</definedName>
    <definedName name="ax" localSheetId="22" hidden="1">{"comps",#N/A,FALSE,"TXTCOMPS"}</definedName>
    <definedName name="ax" localSheetId="20" hidden="1">{"comps",#N/A,FALSE,"TXTCOMPS"}</definedName>
    <definedName name="ax" localSheetId="21" hidden="1">{"comps",#N/A,FALSE,"TXTCOMPS"}</definedName>
    <definedName name="ax" localSheetId="23" hidden="1">{"comps",#N/A,FALSE,"TXTCOMPS"}</definedName>
    <definedName name="ax" localSheetId="1" hidden="1">{"comps",#N/A,FALSE,"TXTCOMPS"}</definedName>
    <definedName name="ax" localSheetId="28" hidden="1">{"comps",#N/A,FALSE,"TXTCOMPS"}</definedName>
    <definedName name="ax" localSheetId="26" hidden="1">{"comps",#N/A,FALSE,"TXTCOMPS"}</definedName>
    <definedName name="ax" localSheetId="27" hidden="1">{"comps",#N/A,FALSE,"TXTCOMPS"}</definedName>
    <definedName name="ax" hidden="1">{"comps",#N/A,FALSE,"TXTCOMPS"}</definedName>
    <definedName name="azs.a" localSheetId="17" hidden="1">{"Corp. Profile",#N/A,FALSE,"Corporate Profile"}</definedName>
    <definedName name="azs.a" localSheetId="15" hidden="1">{"Corp. Profile",#N/A,FALSE,"Corporate Profile"}</definedName>
    <definedName name="azs.a" localSheetId="12" hidden="1">{"Corp. Profile",#N/A,FALSE,"Corporate Profile"}</definedName>
    <definedName name="azs.a" localSheetId="22" hidden="1">{"Corp. Profile",#N/A,FALSE,"Corporate Profile"}</definedName>
    <definedName name="azs.a" localSheetId="20" hidden="1">{"Corp. Profile",#N/A,FALSE,"Corporate Profile"}</definedName>
    <definedName name="azs.a" localSheetId="21" hidden="1">{"Corp. Profile",#N/A,FALSE,"Corporate Profile"}</definedName>
    <definedName name="azs.a" localSheetId="23" hidden="1">{"Corp. Profile",#N/A,FALSE,"Corporate Profile"}</definedName>
    <definedName name="azs.a" localSheetId="1" hidden="1">{"Corp. Profile",#N/A,FALSE,"Corporate Profile"}</definedName>
    <definedName name="azs.a" localSheetId="28" hidden="1">{"Corp. Profile",#N/A,FALSE,"Corporate Profile"}</definedName>
    <definedName name="azs.a" localSheetId="26" hidden="1">{"Corp. Profile",#N/A,FALSE,"Corporate Profile"}</definedName>
    <definedName name="azs.a" localSheetId="27" hidden="1">{"Corp. Profile",#N/A,FALSE,"Corporate Profile"}</definedName>
    <definedName name="azs.a" hidden="1">{"Corp. Profile",#N/A,FALSE,"Corporate Profile"}</definedName>
    <definedName name="azz.corrporate" localSheetId="17" hidden="1">{"Corporate",#N/A,FALSE,"Corporate Profile"}</definedName>
    <definedName name="azz.corrporate" localSheetId="15" hidden="1">{"Corporate",#N/A,FALSE,"Corporate Profile"}</definedName>
    <definedName name="azz.corrporate" localSheetId="12" hidden="1">{"Corporate",#N/A,FALSE,"Corporate Profile"}</definedName>
    <definedName name="azz.corrporate" localSheetId="22" hidden="1">{"Corporate",#N/A,FALSE,"Corporate Profile"}</definedName>
    <definedName name="azz.corrporate" localSheetId="20" hidden="1">{"Corporate",#N/A,FALSE,"Corporate Profile"}</definedName>
    <definedName name="azz.corrporate" localSheetId="21" hidden="1">{"Corporate",#N/A,FALSE,"Corporate Profile"}</definedName>
    <definedName name="azz.corrporate" localSheetId="23" hidden="1">{"Corporate",#N/A,FALSE,"Corporate Profile"}</definedName>
    <definedName name="azz.corrporate" localSheetId="1" hidden="1">{"Corporate",#N/A,FALSE,"Corporate Profile"}</definedName>
    <definedName name="azz.corrporate" localSheetId="28" hidden="1">{"Corporate",#N/A,FALSE,"Corporate Profile"}</definedName>
    <definedName name="azz.corrporate" localSheetId="26" hidden="1">{"Corporate",#N/A,FALSE,"Corporate Profile"}</definedName>
    <definedName name="azz.corrporate" localSheetId="27" hidden="1">{"Corporate",#N/A,FALSE,"Corporate Profile"}</definedName>
    <definedName name="azz.corrporate" hidden="1">{"Corporate",#N/A,FALSE,"Corporate Profile"}</definedName>
    <definedName name="B" localSheetId="17" hidden="1">{"comps",#N/A,FALSE,"TXTCOMPS";"segment_EPS",#N/A,FALSE,"TXTCOMPS";"valuation",#N/A,FALSE,"TXTCOMPS"}</definedName>
    <definedName name="b"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2" hidden="1">{"comps",#N/A,FALSE,"TXTCOMPS";"segment_EPS",#N/A,FALSE,"TXTCOMPS";"valuation",#N/A,FALSE,"TXTCOMPS"}</definedName>
    <definedName name="b"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 hidden="1">{"comps",#N/A,FALSE,"TXTCOMPS";"segment_EPS",#N/A,FALSE,"TXTCOMPS";"valuation",#N/A,FALSE,"TXTCOMPS"}</definedName>
    <definedName name="B" localSheetId="28" hidden="1">{"comps",#N/A,FALSE,"TXTCOMPS";"segment_EPS",#N/A,FALSE,"TXTCOMPS";"valuation",#N/A,FALSE,"TXTCOMPS"}</definedName>
    <definedName name="b"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hidden="1">{"comps",#N/A,FALSE,"TXTCOMPS";"segment_EPS",#N/A,FALSE,"TXTCOMPS";"valuation",#N/A,FALSE,"TXTCOMPS"}</definedName>
    <definedName name="Bal_Sheet">#REF!</definedName>
    <definedName name="BAL_SHT">#REF!</definedName>
    <definedName name="BBswitch" localSheetId="23">'[27]One Pager'!$Z$3</definedName>
    <definedName name="BBswitch" localSheetId="1">'[28]DAL One Pager'!$Z$3</definedName>
    <definedName name="BBswitch">'UAL One Pager'!$Z$3</definedName>
    <definedName name="BBswitch1">'[29]One Pager'!$Z$3</definedName>
    <definedName name="bethany" localSheetId="17" hidden="1">{"income statement",#N/A,FALSE,"ATLAS-A"}</definedName>
    <definedName name="bethany" localSheetId="15" hidden="1">{"income statement",#N/A,FALSE,"ATLAS-A"}</definedName>
    <definedName name="bethany" localSheetId="12" hidden="1">{"income statement",#N/A,FALSE,"ATLAS-A"}</definedName>
    <definedName name="bethany" localSheetId="22" hidden="1">{"income statement",#N/A,FALSE,"ATLAS-A"}</definedName>
    <definedName name="bethany" localSheetId="20" hidden="1">{"income statement",#N/A,FALSE,"ATLAS-A"}</definedName>
    <definedName name="bethany" localSheetId="21" hidden="1">{"income statement",#N/A,FALSE,"ATLAS-A"}</definedName>
    <definedName name="bethany" localSheetId="23" hidden="1">{"income statement",#N/A,FALSE,"ATLAS-A"}</definedName>
    <definedName name="bethany" localSheetId="1" hidden="1">{"income statement",#N/A,FALSE,"ATLAS-A"}</definedName>
    <definedName name="bethany" localSheetId="28" hidden="1">{"income statement",#N/A,FALSE,"ATLAS-A"}</definedName>
    <definedName name="bethany" localSheetId="26" hidden="1">{"income statement",#N/A,FALSE,"ATLAS-A"}</definedName>
    <definedName name="bethany" localSheetId="27" hidden="1">{"income statement",#N/A,FALSE,"ATLAS-A"}</definedName>
    <definedName name="bethany" hidden="1">{"income statement",#N/A,FALSE,"ATLAS-A"}</definedName>
    <definedName name="BHI">#REF!</definedName>
    <definedName name="BJS">#REF!</definedName>
    <definedName name="BJS_2000_CYEPS">#REF!</definedName>
    <definedName name="BJS_2000_FYEPS">#REF!</definedName>
    <definedName name="BJS_2001_CYEPS">#REF!</definedName>
    <definedName name="BJS_2001_FYEPS">#REF!</definedName>
    <definedName name="BJS_2002_CYEPS">#REF!</definedName>
    <definedName name="BJS_2002_FYEPS">#REF!</definedName>
    <definedName name="BJS_2003_CYEPS">#REF!</definedName>
    <definedName name="BJS_2003_FYEPS">#REF!</definedName>
    <definedName name="BJS_2004_CYEPS">#REF!</definedName>
    <definedName name="BJS_2004_FYEPS">#REF!</definedName>
    <definedName name="BJS_2005_CYEPS">#REF!</definedName>
    <definedName name="BJS_2005_FYEPS">#REF!</definedName>
    <definedName name="BJS_Cash">#REF!</definedName>
    <definedName name="BJS_CODE">#REF!</definedName>
    <definedName name="BJS_Equity">#REF!</definedName>
    <definedName name="BJS_EV">#REF!</definedName>
    <definedName name="BJS_LTD">#REF!</definedName>
    <definedName name="BJS_Rating">#REF!</definedName>
    <definedName name="BJS_Shares">#REF!</definedName>
    <definedName name="BJS_STD">#REF!</definedName>
    <definedName name="BJS_Target">#REF!</definedName>
    <definedName name="BJS_TotAssets">#REF!</definedName>
    <definedName name="BLPH1" localSheetId="17" hidden="1">#REF!</definedName>
    <definedName name="BLPH1" localSheetId="15" hidden="1">#REF!</definedName>
    <definedName name="BLPH1" localSheetId="12" hidden="1">#REF!</definedName>
    <definedName name="BLPH1" localSheetId="22" hidden="1">#REF!</definedName>
    <definedName name="BLPH1" localSheetId="20" hidden="1">#REF!</definedName>
    <definedName name="BLPH1" localSheetId="21" hidden="1">#REF!</definedName>
    <definedName name="BLPH1" localSheetId="23" hidden="1">#REF!</definedName>
    <definedName name="BLPH1" localSheetId="28" hidden="1">#REF!</definedName>
    <definedName name="BLPH1" localSheetId="26" hidden="1">#REF!</definedName>
    <definedName name="BLPH1" localSheetId="27" hidden="1">#REF!</definedName>
    <definedName name="BLPH1" hidden="1">#REF!</definedName>
    <definedName name="BLPH10" localSheetId="17" hidden="1">#REF!</definedName>
    <definedName name="BLPH10" localSheetId="15" hidden="1">#REF!</definedName>
    <definedName name="BLPH10" localSheetId="12" hidden="1">#REF!</definedName>
    <definedName name="BLPH10" localSheetId="22" hidden="1">#REF!</definedName>
    <definedName name="BLPH10" localSheetId="20" hidden="1">#REF!</definedName>
    <definedName name="BLPH10" localSheetId="21" hidden="1">#REF!</definedName>
    <definedName name="BLPH10" localSheetId="23" hidden="1">#REF!</definedName>
    <definedName name="BLPH10" localSheetId="28" hidden="1">#REF!</definedName>
    <definedName name="BLPH10" localSheetId="26" hidden="1">#REF!</definedName>
    <definedName name="BLPH10" localSheetId="27" hidden="1">#REF!</definedName>
    <definedName name="BLPH10" hidden="1">#REF!</definedName>
    <definedName name="BLPH100" localSheetId="17" hidden="1">#REF!</definedName>
    <definedName name="BLPH100" localSheetId="15" hidden="1">#REF!</definedName>
    <definedName name="BLPH100" localSheetId="12" hidden="1">#REF!</definedName>
    <definedName name="BLPH100" localSheetId="22" hidden="1">#REF!</definedName>
    <definedName name="BLPH100" localSheetId="20" hidden="1">#REF!</definedName>
    <definedName name="BLPH100" localSheetId="21" hidden="1">#REF!</definedName>
    <definedName name="BLPH100" localSheetId="23" hidden="1">#REF!</definedName>
    <definedName name="BLPH100" localSheetId="28" hidden="1">#REF!</definedName>
    <definedName name="BLPH100" localSheetId="26" hidden="1">#REF!</definedName>
    <definedName name="BLPH100" localSheetId="27" hidden="1">#REF!</definedName>
    <definedName name="BLPH100" hidden="1">#REF!</definedName>
    <definedName name="blph1000" localSheetId="17" hidden="1">#REF!</definedName>
    <definedName name="blph1000" localSheetId="15" hidden="1">#REF!</definedName>
    <definedName name="blph1000" localSheetId="12" hidden="1">#REF!</definedName>
    <definedName name="blph1000" localSheetId="22" hidden="1">#REF!</definedName>
    <definedName name="blph1000" localSheetId="20" hidden="1">#REF!</definedName>
    <definedName name="blph1000" localSheetId="21" hidden="1">#REF!</definedName>
    <definedName name="blph1000" localSheetId="23" hidden="1">#REF!</definedName>
    <definedName name="blph1000" localSheetId="28" hidden="1">#REF!</definedName>
    <definedName name="blph1000" localSheetId="26" hidden="1">#REF!</definedName>
    <definedName name="blph1000" localSheetId="27" hidden="1">#REF!</definedName>
    <definedName name="blph1000" hidden="1">#REF!</definedName>
    <definedName name="BLPH101" localSheetId="17" hidden="1">#REF!</definedName>
    <definedName name="BLPH101" localSheetId="15" hidden="1">#REF!</definedName>
    <definedName name="BLPH101" localSheetId="12" hidden="1">#REF!</definedName>
    <definedName name="BLPH101" localSheetId="22" hidden="1">#REF!</definedName>
    <definedName name="BLPH101" localSheetId="20" hidden="1">#REF!</definedName>
    <definedName name="BLPH101" localSheetId="21" hidden="1">#REF!</definedName>
    <definedName name="BLPH101" localSheetId="23" hidden="1">#REF!</definedName>
    <definedName name="BLPH101" localSheetId="28" hidden="1">#REF!</definedName>
    <definedName name="BLPH101" localSheetId="26" hidden="1">#REF!</definedName>
    <definedName name="BLPH101" localSheetId="27" hidden="1">#REF!</definedName>
    <definedName name="BLPH101" hidden="1">#REF!</definedName>
    <definedName name="BLPH102" localSheetId="17" hidden="1">#REF!</definedName>
    <definedName name="BLPH102" localSheetId="15" hidden="1">#REF!</definedName>
    <definedName name="BLPH102" localSheetId="12" hidden="1">#REF!</definedName>
    <definedName name="BLPH102" localSheetId="22" hidden="1">#REF!</definedName>
    <definedName name="BLPH102" localSheetId="20" hidden="1">#REF!</definedName>
    <definedName name="BLPH102" localSheetId="21" hidden="1">#REF!</definedName>
    <definedName name="BLPH102" localSheetId="23" hidden="1">#REF!</definedName>
    <definedName name="BLPH102" localSheetId="28" hidden="1">#REF!</definedName>
    <definedName name="BLPH102" localSheetId="26" hidden="1">#REF!</definedName>
    <definedName name="BLPH102" localSheetId="27" hidden="1">#REF!</definedName>
    <definedName name="BLPH102" hidden="1">#REF!</definedName>
    <definedName name="BLPH103" localSheetId="17" hidden="1">#REF!</definedName>
    <definedName name="BLPH103" localSheetId="15" hidden="1">#REF!</definedName>
    <definedName name="BLPH103" localSheetId="12" hidden="1">#REF!</definedName>
    <definedName name="BLPH103" localSheetId="22" hidden="1">#REF!</definedName>
    <definedName name="BLPH103" localSheetId="20" hidden="1">#REF!</definedName>
    <definedName name="BLPH103" localSheetId="21" hidden="1">#REF!</definedName>
    <definedName name="BLPH103" localSheetId="23" hidden="1">#REF!</definedName>
    <definedName name="BLPH103" localSheetId="28" hidden="1">#REF!</definedName>
    <definedName name="BLPH103" localSheetId="26" hidden="1">#REF!</definedName>
    <definedName name="BLPH103" localSheetId="27" hidden="1">#REF!</definedName>
    <definedName name="BLPH103" hidden="1">#REF!</definedName>
    <definedName name="BLPH104" localSheetId="17" hidden="1">#REF!</definedName>
    <definedName name="BLPH104" localSheetId="15" hidden="1">#REF!</definedName>
    <definedName name="BLPH104" localSheetId="12" hidden="1">#REF!</definedName>
    <definedName name="BLPH104" localSheetId="22" hidden="1">#REF!</definedName>
    <definedName name="BLPH104" localSheetId="20" hidden="1">#REF!</definedName>
    <definedName name="BLPH104" localSheetId="21" hidden="1">#REF!</definedName>
    <definedName name="BLPH104" localSheetId="23" hidden="1">#REF!</definedName>
    <definedName name="BLPH104" localSheetId="28" hidden="1">#REF!</definedName>
    <definedName name="BLPH104" localSheetId="26" hidden="1">#REF!</definedName>
    <definedName name="BLPH104" localSheetId="27" hidden="1">#REF!</definedName>
    <definedName name="BLPH104" hidden="1">#REF!</definedName>
    <definedName name="BLPH105" localSheetId="17" hidden="1">#REF!</definedName>
    <definedName name="BLPH105" localSheetId="15" hidden="1">#REF!</definedName>
    <definedName name="BLPH105" localSheetId="12" hidden="1">#REF!</definedName>
    <definedName name="BLPH105" localSheetId="22" hidden="1">#REF!</definedName>
    <definedName name="BLPH105" localSheetId="20" hidden="1">#REF!</definedName>
    <definedName name="BLPH105" localSheetId="21" hidden="1">#REF!</definedName>
    <definedName name="BLPH105" localSheetId="23" hidden="1">#REF!</definedName>
    <definedName name="BLPH105" localSheetId="28" hidden="1">#REF!</definedName>
    <definedName name="BLPH105" localSheetId="26" hidden="1">#REF!</definedName>
    <definedName name="BLPH105" localSheetId="27" hidden="1">#REF!</definedName>
    <definedName name="BLPH105" hidden="1">#REF!</definedName>
    <definedName name="BLPH106" localSheetId="17" hidden="1">#REF!</definedName>
    <definedName name="BLPH106" localSheetId="15" hidden="1">#REF!</definedName>
    <definedName name="BLPH106" localSheetId="12" hidden="1">#REF!</definedName>
    <definedName name="BLPH106" localSheetId="22" hidden="1">#REF!</definedName>
    <definedName name="BLPH106" localSheetId="20" hidden="1">#REF!</definedName>
    <definedName name="BLPH106" localSheetId="21" hidden="1">#REF!</definedName>
    <definedName name="BLPH106" localSheetId="23" hidden="1">#REF!</definedName>
    <definedName name="BLPH106" localSheetId="28" hidden="1">#REF!</definedName>
    <definedName name="BLPH106" localSheetId="26" hidden="1">#REF!</definedName>
    <definedName name="BLPH106" localSheetId="27" hidden="1">#REF!</definedName>
    <definedName name="BLPH106" hidden="1">#REF!</definedName>
    <definedName name="BLPH107" localSheetId="17" hidden="1">#REF!</definedName>
    <definedName name="BLPH107" localSheetId="15" hidden="1">#REF!</definedName>
    <definedName name="BLPH107" localSheetId="12" hidden="1">#REF!</definedName>
    <definedName name="BLPH107" localSheetId="22" hidden="1">#REF!</definedName>
    <definedName name="BLPH107" localSheetId="20" hidden="1">#REF!</definedName>
    <definedName name="BLPH107" localSheetId="21" hidden="1">#REF!</definedName>
    <definedName name="BLPH107" localSheetId="23" hidden="1">#REF!</definedName>
    <definedName name="BLPH107" localSheetId="28" hidden="1">#REF!</definedName>
    <definedName name="BLPH107" localSheetId="26" hidden="1">#REF!</definedName>
    <definedName name="BLPH107" localSheetId="27" hidden="1">#REF!</definedName>
    <definedName name="BLPH107" hidden="1">#REF!</definedName>
    <definedName name="BLPH108" localSheetId="17" hidden="1">#REF!</definedName>
    <definedName name="BLPH108" localSheetId="15" hidden="1">#REF!</definedName>
    <definedName name="BLPH108" localSheetId="12" hidden="1">#REF!</definedName>
    <definedName name="BLPH108" localSheetId="22" hidden="1">#REF!</definedName>
    <definedName name="BLPH108" localSheetId="20" hidden="1">#REF!</definedName>
    <definedName name="BLPH108" localSheetId="21" hidden="1">#REF!</definedName>
    <definedName name="BLPH108" localSheetId="23" hidden="1">#REF!</definedName>
    <definedName name="BLPH108" localSheetId="28" hidden="1">#REF!</definedName>
    <definedName name="BLPH108" localSheetId="26" hidden="1">#REF!</definedName>
    <definedName name="BLPH108" localSheetId="27" hidden="1">#REF!</definedName>
    <definedName name="BLPH108" hidden="1">#REF!</definedName>
    <definedName name="BLPH109" localSheetId="17" hidden="1">#REF!</definedName>
    <definedName name="BLPH109" localSheetId="15" hidden="1">#REF!</definedName>
    <definedName name="BLPH109" localSheetId="12" hidden="1">#REF!</definedName>
    <definedName name="BLPH109" localSheetId="22" hidden="1">#REF!</definedName>
    <definedName name="BLPH109" localSheetId="20" hidden="1">#REF!</definedName>
    <definedName name="BLPH109" localSheetId="21" hidden="1">#REF!</definedName>
    <definedName name="BLPH109" localSheetId="23" hidden="1">#REF!</definedName>
    <definedName name="BLPH109" localSheetId="28" hidden="1">#REF!</definedName>
    <definedName name="BLPH109" localSheetId="26" hidden="1">#REF!</definedName>
    <definedName name="BLPH109" localSheetId="27" hidden="1">#REF!</definedName>
    <definedName name="BLPH109" hidden="1">#REF!</definedName>
    <definedName name="BLPH11" localSheetId="17" hidden="1">#REF!</definedName>
    <definedName name="BLPH11" localSheetId="15" hidden="1">#REF!</definedName>
    <definedName name="BLPH11" localSheetId="12" hidden="1">#REF!</definedName>
    <definedName name="BLPH11" localSheetId="22" hidden="1">#REF!</definedName>
    <definedName name="BLPH11" localSheetId="20" hidden="1">#REF!</definedName>
    <definedName name="BLPH11" localSheetId="21" hidden="1">#REF!</definedName>
    <definedName name="BLPH11" localSheetId="23" hidden="1">#REF!</definedName>
    <definedName name="BLPH11" localSheetId="28" hidden="1">#REF!</definedName>
    <definedName name="BLPH11" localSheetId="26" hidden="1">#REF!</definedName>
    <definedName name="BLPH11" localSheetId="27" hidden="1">#REF!</definedName>
    <definedName name="BLPH11" hidden="1">#REF!</definedName>
    <definedName name="BLPH110" localSheetId="17" hidden="1">#REF!</definedName>
    <definedName name="BLPH110" localSheetId="15" hidden="1">#REF!</definedName>
    <definedName name="BLPH110" localSheetId="12" hidden="1">#REF!</definedName>
    <definedName name="BLPH110" localSheetId="22" hidden="1">#REF!</definedName>
    <definedName name="BLPH110" localSheetId="20" hidden="1">#REF!</definedName>
    <definedName name="BLPH110" localSheetId="21" hidden="1">#REF!</definedName>
    <definedName name="BLPH110" localSheetId="23" hidden="1">#REF!</definedName>
    <definedName name="BLPH110" localSheetId="28" hidden="1">#REF!</definedName>
    <definedName name="BLPH110" localSheetId="26" hidden="1">#REF!</definedName>
    <definedName name="BLPH110" localSheetId="27" hidden="1">#REF!</definedName>
    <definedName name="BLPH110" hidden="1">#REF!</definedName>
    <definedName name="BLPH111" localSheetId="17" hidden="1">#REF!</definedName>
    <definedName name="BLPH111" localSheetId="15" hidden="1">#REF!</definedName>
    <definedName name="BLPH111" localSheetId="12" hidden="1">#REF!</definedName>
    <definedName name="BLPH111" localSheetId="22" hidden="1">#REF!</definedName>
    <definedName name="BLPH111" localSheetId="20" hidden="1">#REF!</definedName>
    <definedName name="BLPH111" localSheetId="21" hidden="1">#REF!</definedName>
    <definedName name="BLPH111" localSheetId="23" hidden="1">#REF!</definedName>
    <definedName name="BLPH111" localSheetId="28" hidden="1">#REF!</definedName>
    <definedName name="BLPH111" localSheetId="26" hidden="1">#REF!</definedName>
    <definedName name="BLPH111" localSheetId="27" hidden="1">#REF!</definedName>
    <definedName name="BLPH111" hidden="1">#REF!</definedName>
    <definedName name="BLPH112" localSheetId="17" hidden="1">#REF!</definedName>
    <definedName name="BLPH112" localSheetId="15" hidden="1">#REF!</definedName>
    <definedName name="BLPH112" localSheetId="12" hidden="1">#REF!</definedName>
    <definedName name="BLPH112" localSheetId="22" hidden="1">#REF!</definedName>
    <definedName name="BLPH112" localSheetId="20" hidden="1">#REF!</definedName>
    <definedName name="BLPH112" localSheetId="21" hidden="1">#REF!</definedName>
    <definedName name="BLPH112" localSheetId="23" hidden="1">#REF!</definedName>
    <definedName name="BLPH112" localSheetId="28" hidden="1">#REF!</definedName>
    <definedName name="BLPH112" localSheetId="26" hidden="1">#REF!</definedName>
    <definedName name="BLPH112" localSheetId="27" hidden="1">#REF!</definedName>
    <definedName name="BLPH112" hidden="1">#REF!</definedName>
    <definedName name="BLPH113" localSheetId="17" hidden="1">#REF!</definedName>
    <definedName name="BLPH113" localSheetId="15" hidden="1">#REF!</definedName>
    <definedName name="BLPH113" localSheetId="12" hidden="1">#REF!</definedName>
    <definedName name="BLPH113" localSheetId="22" hidden="1">#REF!</definedName>
    <definedName name="BLPH113" localSheetId="20" hidden="1">#REF!</definedName>
    <definedName name="BLPH113" localSheetId="21" hidden="1">#REF!</definedName>
    <definedName name="BLPH113" localSheetId="23" hidden="1">#REF!</definedName>
    <definedName name="BLPH113" localSheetId="28" hidden="1">#REF!</definedName>
    <definedName name="BLPH113" localSheetId="26" hidden="1">#REF!</definedName>
    <definedName name="BLPH113" localSheetId="27" hidden="1">#REF!</definedName>
    <definedName name="BLPH113" hidden="1">#REF!</definedName>
    <definedName name="BLPH114" localSheetId="17" hidden="1">#REF!</definedName>
    <definedName name="BLPH114" localSheetId="15" hidden="1">#REF!</definedName>
    <definedName name="BLPH114" localSheetId="12" hidden="1">#REF!</definedName>
    <definedName name="BLPH114" localSheetId="22" hidden="1">#REF!</definedName>
    <definedName name="BLPH114" localSheetId="20" hidden="1">#REF!</definedName>
    <definedName name="BLPH114" localSheetId="21" hidden="1">#REF!</definedName>
    <definedName name="BLPH114" localSheetId="23" hidden="1">#REF!</definedName>
    <definedName name="BLPH114" localSheetId="28" hidden="1">#REF!</definedName>
    <definedName name="BLPH114" localSheetId="26" hidden="1">#REF!</definedName>
    <definedName name="BLPH114" localSheetId="27" hidden="1">#REF!</definedName>
    <definedName name="BLPH114" hidden="1">#REF!</definedName>
    <definedName name="BLPH115" localSheetId="17" hidden="1">#REF!</definedName>
    <definedName name="BLPH115" localSheetId="15" hidden="1">#REF!</definedName>
    <definedName name="BLPH115" localSheetId="12" hidden="1">#REF!</definedName>
    <definedName name="BLPH115" localSheetId="22" hidden="1">#REF!</definedName>
    <definedName name="BLPH115" localSheetId="20" hidden="1">#REF!</definedName>
    <definedName name="BLPH115" localSheetId="21" hidden="1">#REF!</definedName>
    <definedName name="BLPH115" localSheetId="23" hidden="1">#REF!</definedName>
    <definedName name="BLPH115" localSheetId="28" hidden="1">#REF!</definedName>
    <definedName name="BLPH115" localSheetId="26" hidden="1">#REF!</definedName>
    <definedName name="BLPH115" localSheetId="27" hidden="1">#REF!</definedName>
    <definedName name="BLPH115" hidden="1">#REF!</definedName>
    <definedName name="BLPH116" localSheetId="17" hidden="1">#REF!</definedName>
    <definedName name="BLPH116" localSheetId="15" hidden="1">#REF!</definedName>
    <definedName name="BLPH116" localSheetId="12" hidden="1">#REF!</definedName>
    <definedName name="BLPH116" localSheetId="22" hidden="1">#REF!</definedName>
    <definedName name="BLPH116" localSheetId="20" hidden="1">#REF!</definedName>
    <definedName name="BLPH116" localSheetId="21" hidden="1">#REF!</definedName>
    <definedName name="BLPH116" localSheetId="23" hidden="1">#REF!</definedName>
    <definedName name="BLPH116" localSheetId="28" hidden="1">#REF!</definedName>
    <definedName name="BLPH116" localSheetId="26" hidden="1">#REF!</definedName>
    <definedName name="BLPH116" localSheetId="27" hidden="1">#REF!</definedName>
    <definedName name="BLPH116" hidden="1">#REF!</definedName>
    <definedName name="BLPH117" localSheetId="17" hidden="1">#REF!</definedName>
    <definedName name="BLPH117" localSheetId="15" hidden="1">#REF!</definedName>
    <definedName name="BLPH117" localSheetId="12" hidden="1">#REF!</definedName>
    <definedName name="BLPH117" localSheetId="22" hidden="1">#REF!</definedName>
    <definedName name="BLPH117" localSheetId="20" hidden="1">#REF!</definedName>
    <definedName name="BLPH117" localSheetId="21" hidden="1">#REF!</definedName>
    <definedName name="BLPH117" localSheetId="23" hidden="1">#REF!</definedName>
    <definedName name="BLPH117" localSheetId="28" hidden="1">#REF!</definedName>
    <definedName name="BLPH117" localSheetId="26" hidden="1">#REF!</definedName>
    <definedName name="BLPH117" localSheetId="27" hidden="1">#REF!</definedName>
    <definedName name="BLPH117" hidden="1">#REF!</definedName>
    <definedName name="BLPH118" localSheetId="17" hidden="1">#REF!</definedName>
    <definedName name="BLPH118" localSheetId="15" hidden="1">#REF!</definedName>
    <definedName name="BLPH118" localSheetId="12" hidden="1">#REF!</definedName>
    <definedName name="BLPH118" localSheetId="22" hidden="1">#REF!</definedName>
    <definedName name="BLPH118" localSheetId="20" hidden="1">#REF!</definedName>
    <definedName name="BLPH118" localSheetId="21" hidden="1">#REF!</definedName>
    <definedName name="BLPH118" localSheetId="23" hidden="1">#REF!</definedName>
    <definedName name="BLPH118" localSheetId="28" hidden="1">#REF!</definedName>
    <definedName name="BLPH118" localSheetId="26" hidden="1">#REF!</definedName>
    <definedName name="BLPH118" localSheetId="27" hidden="1">#REF!</definedName>
    <definedName name="BLPH118" hidden="1">#REF!</definedName>
    <definedName name="BLPH119" localSheetId="17" hidden="1">#REF!</definedName>
    <definedName name="BLPH119" localSheetId="15" hidden="1">#REF!</definedName>
    <definedName name="BLPH119" localSheetId="12" hidden="1">#REF!</definedName>
    <definedName name="BLPH119" localSheetId="22" hidden="1">#REF!</definedName>
    <definedName name="BLPH119" localSheetId="20" hidden="1">#REF!</definedName>
    <definedName name="BLPH119" localSheetId="21" hidden="1">#REF!</definedName>
    <definedName name="BLPH119" localSheetId="23" hidden="1">#REF!</definedName>
    <definedName name="BLPH119" localSheetId="28" hidden="1">#REF!</definedName>
    <definedName name="BLPH119" localSheetId="26" hidden="1">#REF!</definedName>
    <definedName name="BLPH119" localSheetId="27" hidden="1">#REF!</definedName>
    <definedName name="BLPH119" hidden="1">#REF!</definedName>
    <definedName name="BLPH12" localSheetId="17" hidden="1">#REF!</definedName>
    <definedName name="BLPH12" localSheetId="15" hidden="1">#REF!</definedName>
    <definedName name="BLPH12" localSheetId="12" hidden="1">#REF!</definedName>
    <definedName name="BLPH12" localSheetId="22" hidden="1">#REF!</definedName>
    <definedName name="BLPH12" localSheetId="20" hidden="1">#REF!</definedName>
    <definedName name="BLPH12" localSheetId="21" hidden="1">#REF!</definedName>
    <definedName name="BLPH12" localSheetId="23" hidden="1">#REF!</definedName>
    <definedName name="BLPH12" localSheetId="28" hidden="1">#REF!</definedName>
    <definedName name="BLPH12" localSheetId="26" hidden="1">#REF!</definedName>
    <definedName name="BLPH12" localSheetId="27" hidden="1">#REF!</definedName>
    <definedName name="BLPH12" hidden="1">#REF!</definedName>
    <definedName name="BLPH120" localSheetId="17" hidden="1">#REF!</definedName>
    <definedName name="BLPH120" localSheetId="15" hidden="1">#REF!</definedName>
    <definedName name="BLPH120" localSheetId="12" hidden="1">#REF!</definedName>
    <definedName name="BLPH120" localSheetId="22" hidden="1">#REF!</definedName>
    <definedName name="BLPH120" localSheetId="20" hidden="1">#REF!</definedName>
    <definedName name="BLPH120" localSheetId="21" hidden="1">#REF!</definedName>
    <definedName name="BLPH120" localSheetId="23" hidden="1">#REF!</definedName>
    <definedName name="BLPH120" localSheetId="28" hidden="1">#REF!</definedName>
    <definedName name="BLPH120" localSheetId="26" hidden="1">#REF!</definedName>
    <definedName name="BLPH120" localSheetId="27" hidden="1">#REF!</definedName>
    <definedName name="BLPH120" hidden="1">#REF!</definedName>
    <definedName name="BLPH121" localSheetId="17" hidden="1">#REF!</definedName>
    <definedName name="BLPH121" localSheetId="15" hidden="1">#REF!</definedName>
    <definedName name="BLPH121" localSheetId="12" hidden="1">#REF!</definedName>
    <definedName name="BLPH121" localSheetId="22" hidden="1">#REF!</definedName>
    <definedName name="BLPH121" localSheetId="20" hidden="1">#REF!</definedName>
    <definedName name="BLPH121" localSheetId="21" hidden="1">#REF!</definedName>
    <definedName name="BLPH121" localSheetId="23" hidden="1">#REF!</definedName>
    <definedName name="BLPH121" localSheetId="28" hidden="1">#REF!</definedName>
    <definedName name="BLPH121" localSheetId="26" hidden="1">#REF!</definedName>
    <definedName name="BLPH121" localSheetId="27" hidden="1">#REF!</definedName>
    <definedName name="BLPH121" hidden="1">#REF!</definedName>
    <definedName name="BLPH122" localSheetId="17" hidden="1">#REF!</definedName>
    <definedName name="BLPH122" localSheetId="15" hidden="1">#REF!</definedName>
    <definedName name="BLPH122" localSheetId="12" hidden="1">#REF!</definedName>
    <definedName name="BLPH122" localSheetId="22" hidden="1">#REF!</definedName>
    <definedName name="BLPH122" localSheetId="20" hidden="1">#REF!</definedName>
    <definedName name="BLPH122" localSheetId="21" hidden="1">#REF!</definedName>
    <definedName name="BLPH122" localSheetId="23" hidden="1">#REF!</definedName>
    <definedName name="BLPH122" localSheetId="28" hidden="1">#REF!</definedName>
    <definedName name="BLPH122" localSheetId="26" hidden="1">#REF!</definedName>
    <definedName name="BLPH122" localSheetId="27" hidden="1">#REF!</definedName>
    <definedName name="BLPH122" hidden="1">#REF!</definedName>
    <definedName name="BLPH123" localSheetId="17" hidden="1">#REF!</definedName>
    <definedName name="BLPH123" localSheetId="15" hidden="1">#REF!</definedName>
    <definedName name="BLPH123" localSheetId="12" hidden="1">#REF!</definedName>
    <definedName name="BLPH123" localSheetId="22" hidden="1">#REF!</definedName>
    <definedName name="BLPH123" localSheetId="20" hidden="1">#REF!</definedName>
    <definedName name="BLPH123" localSheetId="21" hidden="1">#REF!</definedName>
    <definedName name="BLPH123" localSheetId="23" hidden="1">#REF!</definedName>
    <definedName name="BLPH123" localSheetId="28" hidden="1">#REF!</definedName>
    <definedName name="BLPH123" localSheetId="26" hidden="1">#REF!</definedName>
    <definedName name="BLPH123" localSheetId="27" hidden="1">#REF!</definedName>
    <definedName name="BLPH123" hidden="1">#REF!</definedName>
    <definedName name="BLPH124" localSheetId="17" hidden="1">#REF!</definedName>
    <definedName name="BLPH124" localSheetId="15" hidden="1">#REF!</definedName>
    <definedName name="BLPH124" localSheetId="12" hidden="1">#REF!</definedName>
    <definedName name="BLPH124" localSheetId="22" hidden="1">#REF!</definedName>
    <definedName name="BLPH124" localSheetId="20" hidden="1">#REF!</definedName>
    <definedName name="BLPH124" localSheetId="21" hidden="1">#REF!</definedName>
    <definedName name="BLPH124" localSheetId="23" hidden="1">#REF!</definedName>
    <definedName name="BLPH124" localSheetId="28" hidden="1">#REF!</definedName>
    <definedName name="BLPH124" localSheetId="26" hidden="1">#REF!</definedName>
    <definedName name="BLPH124" localSheetId="27" hidden="1">#REF!</definedName>
    <definedName name="BLPH124" hidden="1">#REF!</definedName>
    <definedName name="BLPH125" localSheetId="17" hidden="1">#REF!</definedName>
    <definedName name="BLPH125" localSheetId="15" hidden="1">#REF!</definedName>
    <definedName name="BLPH125" localSheetId="12" hidden="1">#REF!</definedName>
    <definedName name="BLPH125" localSheetId="22" hidden="1">#REF!</definedName>
    <definedName name="BLPH125" localSheetId="20" hidden="1">#REF!</definedName>
    <definedName name="BLPH125" localSheetId="21" hidden="1">#REF!</definedName>
    <definedName name="BLPH125" localSheetId="23" hidden="1">#REF!</definedName>
    <definedName name="BLPH125" localSheetId="28" hidden="1">#REF!</definedName>
    <definedName name="BLPH125" localSheetId="26" hidden="1">#REF!</definedName>
    <definedName name="BLPH125" localSheetId="27" hidden="1">#REF!</definedName>
    <definedName name="BLPH125" hidden="1">#REF!</definedName>
    <definedName name="BLPH126" localSheetId="17" hidden="1">#REF!</definedName>
    <definedName name="BLPH126" localSheetId="15" hidden="1">#REF!</definedName>
    <definedName name="BLPH126" localSheetId="12" hidden="1">#REF!</definedName>
    <definedName name="BLPH126" localSheetId="22" hidden="1">#REF!</definedName>
    <definedName name="BLPH126" localSheetId="20" hidden="1">#REF!</definedName>
    <definedName name="BLPH126" localSheetId="21" hidden="1">#REF!</definedName>
    <definedName name="BLPH126" localSheetId="23" hidden="1">#REF!</definedName>
    <definedName name="BLPH126" localSheetId="28" hidden="1">#REF!</definedName>
    <definedName name="BLPH126" localSheetId="26" hidden="1">#REF!</definedName>
    <definedName name="BLPH126" localSheetId="27" hidden="1">#REF!</definedName>
    <definedName name="BLPH126" hidden="1">#REF!</definedName>
    <definedName name="BLPH127" localSheetId="17" hidden="1">#REF!</definedName>
    <definedName name="BLPH127" localSheetId="15" hidden="1">#REF!</definedName>
    <definedName name="BLPH127" localSheetId="12" hidden="1">#REF!</definedName>
    <definedName name="BLPH127" localSheetId="22" hidden="1">#REF!</definedName>
    <definedName name="BLPH127" localSheetId="20" hidden="1">#REF!</definedName>
    <definedName name="BLPH127" localSheetId="21" hidden="1">#REF!</definedName>
    <definedName name="BLPH127" localSheetId="23" hidden="1">#REF!</definedName>
    <definedName name="BLPH127" localSheetId="28" hidden="1">#REF!</definedName>
    <definedName name="BLPH127" localSheetId="26" hidden="1">#REF!</definedName>
    <definedName name="BLPH127" localSheetId="27" hidden="1">#REF!</definedName>
    <definedName name="BLPH127" hidden="1">#REF!</definedName>
    <definedName name="BLPH128" localSheetId="17" hidden="1">#REF!</definedName>
    <definedName name="BLPH128" localSheetId="15" hidden="1">#REF!</definedName>
    <definedName name="BLPH128" localSheetId="12" hidden="1">#REF!</definedName>
    <definedName name="BLPH128" localSheetId="22" hidden="1">#REF!</definedName>
    <definedName name="BLPH128" localSheetId="20" hidden="1">#REF!</definedName>
    <definedName name="BLPH128" localSheetId="21" hidden="1">#REF!</definedName>
    <definedName name="BLPH128" localSheetId="23" hidden="1">#REF!</definedName>
    <definedName name="BLPH128" localSheetId="28" hidden="1">#REF!</definedName>
    <definedName name="BLPH128" localSheetId="26" hidden="1">#REF!</definedName>
    <definedName name="BLPH128" localSheetId="27" hidden="1">#REF!</definedName>
    <definedName name="BLPH128" hidden="1">#REF!</definedName>
    <definedName name="BLPH129" localSheetId="17" hidden="1">#REF!</definedName>
    <definedName name="BLPH129" localSheetId="15" hidden="1">#REF!</definedName>
    <definedName name="BLPH129" localSheetId="12" hidden="1">#REF!</definedName>
    <definedName name="BLPH129" localSheetId="22" hidden="1">#REF!</definedName>
    <definedName name="BLPH129" localSheetId="20" hidden="1">#REF!</definedName>
    <definedName name="BLPH129" localSheetId="21" hidden="1">#REF!</definedName>
    <definedName name="BLPH129" localSheetId="23" hidden="1">#REF!</definedName>
    <definedName name="BLPH129" localSheetId="28" hidden="1">#REF!</definedName>
    <definedName name="BLPH129" localSheetId="26" hidden="1">#REF!</definedName>
    <definedName name="BLPH129" localSheetId="27" hidden="1">#REF!</definedName>
    <definedName name="BLPH129" hidden="1">#REF!</definedName>
    <definedName name="BLPH13" localSheetId="17" hidden="1">#REF!</definedName>
    <definedName name="BLPH13" localSheetId="15" hidden="1">#REF!</definedName>
    <definedName name="BLPH13" localSheetId="12" hidden="1">#REF!</definedName>
    <definedName name="BLPH13" localSheetId="22" hidden="1">#REF!</definedName>
    <definedName name="BLPH13" localSheetId="20" hidden="1">#REF!</definedName>
    <definedName name="BLPH13" localSheetId="21" hidden="1">#REF!</definedName>
    <definedName name="BLPH13" localSheetId="23" hidden="1">#REF!</definedName>
    <definedName name="BLPH13" localSheetId="28" hidden="1">#REF!</definedName>
    <definedName name="BLPH13" localSheetId="26" hidden="1">#REF!</definedName>
    <definedName name="BLPH13" localSheetId="27" hidden="1">#REF!</definedName>
    <definedName name="BLPH13" hidden="1">#REF!</definedName>
    <definedName name="BLPH130" localSheetId="17" hidden="1">#REF!</definedName>
    <definedName name="BLPH130" localSheetId="15" hidden="1">#REF!</definedName>
    <definedName name="BLPH130" localSheetId="12" hidden="1">#REF!</definedName>
    <definedName name="BLPH130" localSheetId="22" hidden="1">#REF!</definedName>
    <definedName name="BLPH130" localSheetId="20" hidden="1">#REF!</definedName>
    <definedName name="BLPH130" localSheetId="21" hidden="1">#REF!</definedName>
    <definedName name="BLPH130" localSheetId="23" hidden="1">#REF!</definedName>
    <definedName name="BLPH130" localSheetId="28" hidden="1">#REF!</definedName>
    <definedName name="BLPH130" localSheetId="26" hidden="1">#REF!</definedName>
    <definedName name="BLPH130" localSheetId="27" hidden="1">#REF!</definedName>
    <definedName name="BLPH130" hidden="1">#REF!</definedName>
    <definedName name="BLPH131" localSheetId="17" hidden="1">#REF!</definedName>
    <definedName name="BLPH131" localSheetId="15" hidden="1">#REF!</definedName>
    <definedName name="BLPH131" localSheetId="12" hidden="1">#REF!</definedName>
    <definedName name="BLPH131" localSheetId="22" hidden="1">#REF!</definedName>
    <definedName name="BLPH131" localSheetId="20" hidden="1">#REF!</definedName>
    <definedName name="BLPH131" localSheetId="21" hidden="1">#REF!</definedName>
    <definedName name="BLPH131" localSheetId="23" hidden="1">#REF!</definedName>
    <definedName name="BLPH131" localSheetId="28" hidden="1">#REF!</definedName>
    <definedName name="BLPH131" localSheetId="26" hidden="1">#REF!</definedName>
    <definedName name="BLPH131" localSheetId="27" hidden="1">#REF!</definedName>
    <definedName name="BLPH131" hidden="1">#REF!</definedName>
    <definedName name="BLPH132" localSheetId="17" hidden="1">#REF!</definedName>
    <definedName name="BLPH132" localSheetId="15" hidden="1">#REF!</definedName>
    <definedName name="BLPH132" localSheetId="12" hidden="1">#REF!</definedName>
    <definedName name="BLPH132" localSheetId="22" hidden="1">#REF!</definedName>
    <definedName name="BLPH132" localSheetId="20" hidden="1">#REF!</definedName>
    <definedName name="BLPH132" localSheetId="21" hidden="1">#REF!</definedName>
    <definedName name="BLPH132" localSheetId="23" hidden="1">#REF!</definedName>
    <definedName name="BLPH132" localSheetId="28" hidden="1">#REF!</definedName>
    <definedName name="BLPH132" localSheetId="26" hidden="1">#REF!</definedName>
    <definedName name="BLPH132" localSheetId="27" hidden="1">#REF!</definedName>
    <definedName name="BLPH132" hidden="1">#REF!</definedName>
    <definedName name="BLPH133" localSheetId="17" hidden="1">#REF!</definedName>
    <definedName name="BLPH133" localSheetId="15" hidden="1">#REF!</definedName>
    <definedName name="BLPH133" localSheetId="12" hidden="1">#REF!</definedName>
    <definedName name="BLPH133" localSheetId="22" hidden="1">#REF!</definedName>
    <definedName name="BLPH133" localSheetId="20" hidden="1">#REF!</definedName>
    <definedName name="BLPH133" localSheetId="21" hidden="1">#REF!</definedName>
    <definedName name="BLPH133" localSheetId="23" hidden="1">#REF!</definedName>
    <definedName name="BLPH133" localSheetId="28" hidden="1">#REF!</definedName>
    <definedName name="BLPH133" localSheetId="26" hidden="1">#REF!</definedName>
    <definedName name="BLPH133" localSheetId="27" hidden="1">#REF!</definedName>
    <definedName name="BLPH133" hidden="1">#REF!</definedName>
    <definedName name="BLPH134" localSheetId="17" hidden="1">#REF!</definedName>
    <definedName name="BLPH134" localSheetId="15" hidden="1">#REF!</definedName>
    <definedName name="BLPH134" localSheetId="12" hidden="1">#REF!</definedName>
    <definedName name="BLPH134" localSheetId="22" hidden="1">#REF!</definedName>
    <definedName name="BLPH134" localSheetId="20" hidden="1">#REF!</definedName>
    <definedName name="BLPH134" localSheetId="21" hidden="1">#REF!</definedName>
    <definedName name="BLPH134" localSheetId="23" hidden="1">#REF!</definedName>
    <definedName name="BLPH134" localSheetId="28" hidden="1">#REF!</definedName>
    <definedName name="BLPH134" localSheetId="26" hidden="1">#REF!</definedName>
    <definedName name="BLPH134" localSheetId="27" hidden="1">#REF!</definedName>
    <definedName name="BLPH134" hidden="1">#REF!</definedName>
    <definedName name="BLPH135" localSheetId="17" hidden="1">#REF!</definedName>
    <definedName name="BLPH135" localSheetId="15" hidden="1">#REF!</definedName>
    <definedName name="BLPH135" localSheetId="12" hidden="1">#REF!</definedName>
    <definedName name="BLPH135" localSheetId="22" hidden="1">#REF!</definedName>
    <definedName name="BLPH135" localSheetId="20" hidden="1">#REF!</definedName>
    <definedName name="BLPH135" localSheetId="21" hidden="1">#REF!</definedName>
    <definedName name="BLPH135" localSheetId="23" hidden="1">#REF!</definedName>
    <definedName name="BLPH135" localSheetId="28" hidden="1">#REF!</definedName>
    <definedName name="BLPH135" localSheetId="26" hidden="1">#REF!</definedName>
    <definedName name="BLPH135" localSheetId="27" hidden="1">#REF!</definedName>
    <definedName name="BLPH135" hidden="1">#REF!</definedName>
    <definedName name="BLPH136" localSheetId="17" hidden="1">#REF!</definedName>
    <definedName name="BLPH136" localSheetId="15" hidden="1">#REF!</definedName>
    <definedName name="BLPH136" localSheetId="12" hidden="1">#REF!</definedName>
    <definedName name="BLPH136" localSheetId="22" hidden="1">#REF!</definedName>
    <definedName name="BLPH136" localSheetId="20" hidden="1">#REF!</definedName>
    <definedName name="BLPH136" localSheetId="21" hidden="1">#REF!</definedName>
    <definedName name="BLPH136" localSheetId="23" hidden="1">#REF!</definedName>
    <definedName name="BLPH136" localSheetId="28" hidden="1">#REF!</definedName>
    <definedName name="BLPH136" localSheetId="26" hidden="1">#REF!</definedName>
    <definedName name="BLPH136" localSheetId="27" hidden="1">#REF!</definedName>
    <definedName name="BLPH136" hidden="1">#REF!</definedName>
    <definedName name="BLPH137" localSheetId="17" hidden="1">#REF!</definedName>
    <definedName name="BLPH137" localSheetId="15" hidden="1">#REF!</definedName>
    <definedName name="BLPH137" localSheetId="12" hidden="1">#REF!</definedName>
    <definedName name="BLPH137" localSheetId="22" hidden="1">#REF!</definedName>
    <definedName name="BLPH137" localSheetId="20" hidden="1">#REF!</definedName>
    <definedName name="BLPH137" localSheetId="21" hidden="1">#REF!</definedName>
    <definedName name="BLPH137" localSheetId="23" hidden="1">#REF!</definedName>
    <definedName name="BLPH137" localSheetId="28" hidden="1">#REF!</definedName>
    <definedName name="BLPH137" localSheetId="26" hidden="1">#REF!</definedName>
    <definedName name="BLPH137" localSheetId="27" hidden="1">#REF!</definedName>
    <definedName name="BLPH137" hidden="1">#REF!</definedName>
    <definedName name="BLPH138" localSheetId="17" hidden="1">#REF!</definedName>
    <definedName name="BLPH138" localSheetId="15" hidden="1">#REF!</definedName>
    <definedName name="BLPH138" localSheetId="12" hidden="1">#REF!</definedName>
    <definedName name="BLPH138" localSheetId="22" hidden="1">#REF!</definedName>
    <definedName name="BLPH138" localSheetId="20" hidden="1">#REF!</definedName>
    <definedName name="BLPH138" localSheetId="21" hidden="1">#REF!</definedName>
    <definedName name="BLPH138" localSheetId="23" hidden="1">#REF!</definedName>
    <definedName name="BLPH138" localSheetId="28" hidden="1">#REF!</definedName>
    <definedName name="BLPH138" localSheetId="26" hidden="1">#REF!</definedName>
    <definedName name="BLPH138" localSheetId="27" hidden="1">#REF!</definedName>
    <definedName name="BLPH138" hidden="1">#REF!</definedName>
    <definedName name="BLPH139" localSheetId="17" hidden="1">#REF!</definedName>
    <definedName name="BLPH139" localSheetId="15" hidden="1">#REF!</definedName>
    <definedName name="BLPH139" localSheetId="12" hidden="1">#REF!</definedName>
    <definedName name="BLPH139" localSheetId="22" hidden="1">#REF!</definedName>
    <definedName name="BLPH139" localSheetId="20" hidden="1">#REF!</definedName>
    <definedName name="BLPH139" localSheetId="21" hidden="1">#REF!</definedName>
    <definedName name="BLPH139" localSheetId="23" hidden="1">#REF!</definedName>
    <definedName name="BLPH139" localSheetId="28" hidden="1">#REF!</definedName>
    <definedName name="BLPH139" localSheetId="26" hidden="1">#REF!</definedName>
    <definedName name="BLPH139" localSheetId="27" hidden="1">#REF!</definedName>
    <definedName name="BLPH139" hidden="1">#REF!</definedName>
    <definedName name="BLPH14" localSheetId="17" hidden="1">#REF!</definedName>
    <definedName name="BLPH14" localSheetId="15" hidden="1">#REF!</definedName>
    <definedName name="BLPH14" localSheetId="12" hidden="1">#REF!</definedName>
    <definedName name="BLPH14" localSheetId="22" hidden="1">#REF!</definedName>
    <definedName name="BLPH14" localSheetId="20" hidden="1">#REF!</definedName>
    <definedName name="BLPH14" localSheetId="21" hidden="1">#REF!</definedName>
    <definedName name="BLPH14" localSheetId="23" hidden="1">#REF!</definedName>
    <definedName name="BLPH14" localSheetId="28" hidden="1">#REF!</definedName>
    <definedName name="BLPH14" localSheetId="26" hidden="1">#REF!</definedName>
    <definedName name="BLPH14" localSheetId="27" hidden="1">#REF!</definedName>
    <definedName name="BLPH14" hidden="1">#REF!</definedName>
    <definedName name="BLPH140" localSheetId="17" hidden="1">#REF!</definedName>
    <definedName name="BLPH140" localSheetId="15" hidden="1">#REF!</definedName>
    <definedName name="BLPH140" localSheetId="12" hidden="1">#REF!</definedName>
    <definedName name="BLPH140" localSheetId="22" hidden="1">#REF!</definedName>
    <definedName name="BLPH140" localSheetId="20" hidden="1">#REF!</definedName>
    <definedName name="BLPH140" localSheetId="21" hidden="1">#REF!</definedName>
    <definedName name="BLPH140" localSheetId="23" hidden="1">#REF!</definedName>
    <definedName name="BLPH140" localSheetId="28" hidden="1">#REF!</definedName>
    <definedName name="BLPH140" localSheetId="26" hidden="1">#REF!</definedName>
    <definedName name="BLPH140" localSheetId="27" hidden="1">#REF!</definedName>
    <definedName name="BLPH140" hidden="1">#REF!</definedName>
    <definedName name="BLPH141" localSheetId="17" hidden="1">#REF!</definedName>
    <definedName name="BLPH141" localSheetId="15" hidden="1">#REF!</definedName>
    <definedName name="BLPH141" localSheetId="12" hidden="1">#REF!</definedName>
    <definedName name="BLPH141" localSheetId="22" hidden="1">#REF!</definedName>
    <definedName name="BLPH141" localSheetId="20" hidden="1">#REF!</definedName>
    <definedName name="BLPH141" localSheetId="21" hidden="1">#REF!</definedName>
    <definedName name="BLPH141" localSheetId="23" hidden="1">#REF!</definedName>
    <definedName name="BLPH141" localSheetId="28" hidden="1">#REF!</definedName>
    <definedName name="BLPH141" localSheetId="26" hidden="1">#REF!</definedName>
    <definedName name="BLPH141" localSheetId="27" hidden="1">#REF!</definedName>
    <definedName name="BLPH141" hidden="1">#REF!</definedName>
    <definedName name="BLPH142" localSheetId="17" hidden="1">#REF!</definedName>
    <definedName name="BLPH142" localSheetId="15" hidden="1">#REF!</definedName>
    <definedName name="BLPH142" localSheetId="12" hidden="1">#REF!</definedName>
    <definedName name="BLPH142" localSheetId="22" hidden="1">#REF!</definedName>
    <definedName name="BLPH142" localSheetId="20" hidden="1">#REF!</definedName>
    <definedName name="BLPH142" localSheetId="21" hidden="1">#REF!</definedName>
    <definedName name="BLPH142" localSheetId="23" hidden="1">#REF!</definedName>
    <definedName name="BLPH142" localSheetId="28" hidden="1">#REF!</definedName>
    <definedName name="BLPH142" localSheetId="26" hidden="1">#REF!</definedName>
    <definedName name="BLPH142" localSheetId="27" hidden="1">#REF!</definedName>
    <definedName name="BLPH142" hidden="1">#REF!</definedName>
    <definedName name="BLPH143" localSheetId="17" hidden="1">#REF!</definedName>
    <definedName name="BLPH143" localSheetId="15" hidden="1">#REF!</definedName>
    <definedName name="BLPH143" localSheetId="12" hidden="1">#REF!</definedName>
    <definedName name="BLPH143" localSheetId="22" hidden="1">#REF!</definedName>
    <definedName name="BLPH143" localSheetId="20" hidden="1">#REF!</definedName>
    <definedName name="BLPH143" localSheetId="21" hidden="1">#REF!</definedName>
    <definedName name="BLPH143" localSheetId="23" hidden="1">#REF!</definedName>
    <definedName name="BLPH143" localSheetId="28" hidden="1">#REF!</definedName>
    <definedName name="BLPH143" localSheetId="26" hidden="1">#REF!</definedName>
    <definedName name="BLPH143" localSheetId="27" hidden="1">#REF!</definedName>
    <definedName name="BLPH143" hidden="1">#REF!</definedName>
    <definedName name="BLPH144" localSheetId="17" hidden="1">#REF!</definedName>
    <definedName name="BLPH144" localSheetId="15" hidden="1">#REF!</definedName>
    <definedName name="BLPH144" localSheetId="12" hidden="1">#REF!</definedName>
    <definedName name="BLPH144" localSheetId="22" hidden="1">#REF!</definedName>
    <definedName name="BLPH144" localSheetId="20" hidden="1">#REF!</definedName>
    <definedName name="BLPH144" localSheetId="21" hidden="1">#REF!</definedName>
    <definedName name="BLPH144" localSheetId="23" hidden="1">#REF!</definedName>
    <definedName name="BLPH144" localSheetId="28" hidden="1">#REF!</definedName>
    <definedName name="BLPH144" localSheetId="26" hidden="1">#REF!</definedName>
    <definedName name="BLPH144" localSheetId="27" hidden="1">#REF!</definedName>
    <definedName name="BLPH144" hidden="1">#REF!</definedName>
    <definedName name="BLPH145" localSheetId="17" hidden="1">#REF!</definedName>
    <definedName name="BLPH145" localSheetId="15" hidden="1">#REF!</definedName>
    <definedName name="BLPH145" localSheetId="12" hidden="1">#REF!</definedName>
    <definedName name="BLPH145" localSheetId="22" hidden="1">#REF!</definedName>
    <definedName name="BLPH145" localSheetId="20" hidden="1">#REF!</definedName>
    <definedName name="BLPH145" localSheetId="21" hidden="1">#REF!</definedName>
    <definedName name="BLPH145" localSheetId="23" hidden="1">#REF!</definedName>
    <definedName name="BLPH145" localSheetId="28" hidden="1">#REF!</definedName>
    <definedName name="BLPH145" localSheetId="26" hidden="1">#REF!</definedName>
    <definedName name="BLPH145" localSheetId="27" hidden="1">#REF!</definedName>
    <definedName name="BLPH145" hidden="1">#REF!</definedName>
    <definedName name="BLPH146" localSheetId="17" hidden="1">#REF!</definedName>
    <definedName name="BLPH146" localSheetId="15" hidden="1">#REF!</definedName>
    <definedName name="BLPH146" localSheetId="12" hidden="1">#REF!</definedName>
    <definedName name="BLPH146" localSheetId="22" hidden="1">#REF!</definedName>
    <definedName name="BLPH146" localSheetId="20" hidden="1">#REF!</definedName>
    <definedName name="BLPH146" localSheetId="21" hidden="1">#REF!</definedName>
    <definedName name="BLPH146" localSheetId="23" hidden="1">#REF!</definedName>
    <definedName name="BLPH146" localSheetId="28" hidden="1">#REF!</definedName>
    <definedName name="BLPH146" localSheetId="26" hidden="1">#REF!</definedName>
    <definedName name="BLPH146" localSheetId="27" hidden="1">#REF!</definedName>
    <definedName name="BLPH146" hidden="1">#REF!</definedName>
    <definedName name="BLPH147" localSheetId="17" hidden="1">#REF!</definedName>
    <definedName name="BLPH147" localSheetId="15" hidden="1">#REF!</definedName>
    <definedName name="BLPH147" localSheetId="12" hidden="1">#REF!</definedName>
    <definedName name="BLPH147" localSheetId="22" hidden="1">#REF!</definedName>
    <definedName name="BLPH147" localSheetId="20" hidden="1">#REF!</definedName>
    <definedName name="BLPH147" localSheetId="21" hidden="1">#REF!</definedName>
    <definedName name="BLPH147" localSheetId="23" hidden="1">#REF!</definedName>
    <definedName name="BLPH147" localSheetId="28" hidden="1">#REF!</definedName>
    <definedName name="BLPH147" localSheetId="26" hidden="1">#REF!</definedName>
    <definedName name="BLPH147" localSheetId="27" hidden="1">#REF!</definedName>
    <definedName name="BLPH147" hidden="1">#REF!</definedName>
    <definedName name="BLPH148" localSheetId="17" hidden="1">#REF!</definedName>
    <definedName name="BLPH148" localSheetId="15" hidden="1">#REF!</definedName>
    <definedName name="BLPH148" localSheetId="12" hidden="1">#REF!</definedName>
    <definedName name="BLPH148" localSheetId="22" hidden="1">#REF!</definedName>
    <definedName name="BLPH148" localSheetId="20" hidden="1">#REF!</definedName>
    <definedName name="BLPH148" localSheetId="21" hidden="1">#REF!</definedName>
    <definedName name="BLPH148" localSheetId="23" hidden="1">#REF!</definedName>
    <definedName name="BLPH148" localSheetId="28" hidden="1">#REF!</definedName>
    <definedName name="BLPH148" localSheetId="26" hidden="1">#REF!</definedName>
    <definedName name="BLPH148" localSheetId="27" hidden="1">#REF!</definedName>
    <definedName name="BLPH148" hidden="1">#REF!</definedName>
    <definedName name="BLPH149" localSheetId="17" hidden="1">#REF!</definedName>
    <definedName name="BLPH149" localSheetId="15" hidden="1">#REF!</definedName>
    <definedName name="BLPH149" localSheetId="12" hidden="1">#REF!</definedName>
    <definedName name="BLPH149" localSheetId="22" hidden="1">#REF!</definedName>
    <definedName name="BLPH149" localSheetId="20" hidden="1">#REF!</definedName>
    <definedName name="BLPH149" localSheetId="21" hidden="1">#REF!</definedName>
    <definedName name="BLPH149" localSheetId="23" hidden="1">#REF!</definedName>
    <definedName name="BLPH149" localSheetId="28" hidden="1">#REF!</definedName>
    <definedName name="BLPH149" localSheetId="26" hidden="1">#REF!</definedName>
    <definedName name="BLPH149" localSheetId="27" hidden="1">#REF!</definedName>
    <definedName name="BLPH149" hidden="1">#REF!</definedName>
    <definedName name="BLPH15" localSheetId="17" hidden="1">#REF!</definedName>
    <definedName name="BLPH15" localSheetId="15" hidden="1">#REF!</definedName>
    <definedName name="BLPH15" localSheetId="12" hidden="1">#REF!</definedName>
    <definedName name="BLPH15" localSheetId="22" hidden="1">#REF!</definedName>
    <definedName name="BLPH15" localSheetId="20" hidden="1">#REF!</definedName>
    <definedName name="BLPH15" localSheetId="21" hidden="1">#REF!</definedName>
    <definedName name="BLPH15" localSheetId="23" hidden="1">#REF!</definedName>
    <definedName name="BLPH15" localSheetId="28" hidden="1">#REF!</definedName>
    <definedName name="BLPH15" localSheetId="26" hidden="1">#REF!</definedName>
    <definedName name="BLPH15" localSheetId="27" hidden="1">#REF!</definedName>
    <definedName name="BLPH15" hidden="1">#REF!</definedName>
    <definedName name="BLPH150" localSheetId="17" hidden="1">#REF!</definedName>
    <definedName name="BLPH150" localSheetId="15" hidden="1">#REF!</definedName>
    <definedName name="BLPH150" localSheetId="12" hidden="1">#REF!</definedName>
    <definedName name="BLPH150" localSheetId="22" hidden="1">#REF!</definedName>
    <definedName name="BLPH150" localSheetId="20" hidden="1">#REF!</definedName>
    <definedName name="BLPH150" localSheetId="21" hidden="1">#REF!</definedName>
    <definedName name="BLPH150" localSheetId="23" hidden="1">#REF!</definedName>
    <definedName name="BLPH150" localSheetId="28" hidden="1">#REF!</definedName>
    <definedName name="BLPH150" localSheetId="26" hidden="1">#REF!</definedName>
    <definedName name="BLPH150" localSheetId="27" hidden="1">#REF!</definedName>
    <definedName name="BLPH150" hidden="1">#REF!</definedName>
    <definedName name="BLPH151" localSheetId="17" hidden="1">#REF!</definedName>
    <definedName name="BLPH151" localSheetId="15" hidden="1">#REF!</definedName>
    <definedName name="BLPH151" localSheetId="12" hidden="1">#REF!</definedName>
    <definedName name="BLPH151" localSheetId="22" hidden="1">#REF!</definedName>
    <definedName name="BLPH151" localSheetId="20" hidden="1">#REF!</definedName>
    <definedName name="BLPH151" localSheetId="21" hidden="1">#REF!</definedName>
    <definedName name="BLPH151" localSheetId="23" hidden="1">#REF!</definedName>
    <definedName name="BLPH151" localSheetId="28" hidden="1">#REF!</definedName>
    <definedName name="BLPH151" localSheetId="26" hidden="1">#REF!</definedName>
    <definedName name="BLPH151" localSheetId="27" hidden="1">#REF!</definedName>
    <definedName name="BLPH151" hidden="1">#REF!</definedName>
    <definedName name="BLPH152" localSheetId="17" hidden="1">#REF!</definedName>
    <definedName name="BLPH152" localSheetId="15" hidden="1">#REF!</definedName>
    <definedName name="BLPH152" localSheetId="12" hidden="1">#REF!</definedName>
    <definedName name="BLPH152" localSheetId="22" hidden="1">#REF!</definedName>
    <definedName name="BLPH152" localSheetId="20" hidden="1">#REF!</definedName>
    <definedName name="BLPH152" localSheetId="21" hidden="1">#REF!</definedName>
    <definedName name="BLPH152" localSheetId="23" hidden="1">#REF!</definedName>
    <definedName name="BLPH152" localSheetId="28" hidden="1">#REF!</definedName>
    <definedName name="BLPH152" localSheetId="26" hidden="1">#REF!</definedName>
    <definedName name="BLPH152" localSheetId="27" hidden="1">#REF!</definedName>
    <definedName name="BLPH152" hidden="1">#REF!</definedName>
    <definedName name="BLPH153" localSheetId="17" hidden="1">#REF!</definedName>
    <definedName name="BLPH153" localSheetId="15" hidden="1">#REF!</definedName>
    <definedName name="BLPH153" localSheetId="12" hidden="1">#REF!</definedName>
    <definedName name="BLPH153" localSheetId="22" hidden="1">#REF!</definedName>
    <definedName name="BLPH153" localSheetId="20" hidden="1">#REF!</definedName>
    <definedName name="BLPH153" localSheetId="21" hidden="1">#REF!</definedName>
    <definedName name="BLPH153" localSheetId="23" hidden="1">#REF!</definedName>
    <definedName name="BLPH153" localSheetId="28" hidden="1">#REF!</definedName>
    <definedName name="BLPH153" localSheetId="26" hidden="1">#REF!</definedName>
    <definedName name="BLPH153" localSheetId="27" hidden="1">#REF!</definedName>
    <definedName name="BLPH153" hidden="1">#REF!</definedName>
    <definedName name="BLPH154" localSheetId="17" hidden="1">#REF!</definedName>
    <definedName name="BLPH154" localSheetId="15" hidden="1">#REF!</definedName>
    <definedName name="BLPH154" localSheetId="12" hidden="1">#REF!</definedName>
    <definedName name="BLPH154" localSheetId="22" hidden="1">#REF!</definedName>
    <definedName name="BLPH154" localSheetId="20" hidden="1">#REF!</definedName>
    <definedName name="BLPH154" localSheetId="21" hidden="1">#REF!</definedName>
    <definedName name="BLPH154" localSheetId="23" hidden="1">#REF!</definedName>
    <definedName name="BLPH154" localSheetId="28" hidden="1">#REF!</definedName>
    <definedName name="BLPH154" localSheetId="26" hidden="1">#REF!</definedName>
    <definedName name="BLPH154" localSheetId="27" hidden="1">#REF!</definedName>
    <definedName name="BLPH154" hidden="1">#REF!</definedName>
    <definedName name="BLPH155" localSheetId="17" hidden="1">#REF!</definedName>
    <definedName name="BLPH155" localSheetId="15" hidden="1">#REF!</definedName>
    <definedName name="BLPH155" localSheetId="12" hidden="1">#REF!</definedName>
    <definedName name="BLPH155" localSheetId="22" hidden="1">#REF!</definedName>
    <definedName name="BLPH155" localSheetId="20" hidden="1">#REF!</definedName>
    <definedName name="BLPH155" localSheetId="21" hidden="1">#REF!</definedName>
    <definedName name="BLPH155" localSheetId="23" hidden="1">#REF!</definedName>
    <definedName name="BLPH155" localSheetId="28" hidden="1">#REF!</definedName>
    <definedName name="BLPH155" localSheetId="26" hidden="1">#REF!</definedName>
    <definedName name="BLPH155" localSheetId="27" hidden="1">#REF!</definedName>
    <definedName name="BLPH155" hidden="1">#REF!</definedName>
    <definedName name="BLPH156" localSheetId="17" hidden="1">#REF!</definedName>
    <definedName name="BLPH156" localSheetId="15" hidden="1">#REF!</definedName>
    <definedName name="BLPH156" localSheetId="12" hidden="1">#REF!</definedName>
    <definedName name="BLPH156" localSheetId="22" hidden="1">#REF!</definedName>
    <definedName name="BLPH156" localSheetId="20" hidden="1">#REF!</definedName>
    <definedName name="BLPH156" localSheetId="21" hidden="1">#REF!</definedName>
    <definedName name="BLPH156" localSheetId="23" hidden="1">#REF!</definedName>
    <definedName name="BLPH156" localSheetId="28" hidden="1">#REF!</definedName>
    <definedName name="BLPH156" localSheetId="26" hidden="1">#REF!</definedName>
    <definedName name="BLPH156" localSheetId="27" hidden="1">#REF!</definedName>
    <definedName name="BLPH156" hidden="1">#REF!</definedName>
    <definedName name="BLPH157" localSheetId="17" hidden="1">#REF!</definedName>
    <definedName name="BLPH157" localSheetId="15" hidden="1">#REF!</definedName>
    <definedName name="BLPH157" localSheetId="12" hidden="1">#REF!</definedName>
    <definedName name="BLPH157" localSheetId="22" hidden="1">#REF!</definedName>
    <definedName name="BLPH157" localSheetId="20" hidden="1">#REF!</definedName>
    <definedName name="BLPH157" localSheetId="21" hidden="1">#REF!</definedName>
    <definedName name="BLPH157" localSheetId="23" hidden="1">#REF!</definedName>
    <definedName name="BLPH157" localSheetId="28" hidden="1">#REF!</definedName>
    <definedName name="BLPH157" localSheetId="26" hidden="1">#REF!</definedName>
    <definedName name="BLPH157" localSheetId="27" hidden="1">#REF!</definedName>
    <definedName name="BLPH157" hidden="1">#REF!</definedName>
    <definedName name="BLPH158" localSheetId="17" hidden="1">#REF!</definedName>
    <definedName name="BLPH158" localSheetId="15" hidden="1">#REF!</definedName>
    <definedName name="BLPH158" localSheetId="12" hidden="1">#REF!</definedName>
    <definedName name="BLPH158" localSheetId="22" hidden="1">#REF!</definedName>
    <definedName name="BLPH158" localSheetId="20" hidden="1">#REF!</definedName>
    <definedName name="BLPH158" localSheetId="21" hidden="1">#REF!</definedName>
    <definedName name="BLPH158" localSheetId="23" hidden="1">#REF!</definedName>
    <definedName name="BLPH158" localSheetId="28" hidden="1">#REF!</definedName>
    <definedName name="BLPH158" localSheetId="26" hidden="1">#REF!</definedName>
    <definedName name="BLPH158" localSheetId="27" hidden="1">#REF!</definedName>
    <definedName name="BLPH158" hidden="1">#REF!</definedName>
    <definedName name="BLPH159" localSheetId="17" hidden="1">#REF!</definedName>
    <definedName name="BLPH159" localSheetId="15" hidden="1">#REF!</definedName>
    <definedName name="BLPH159" localSheetId="12" hidden="1">#REF!</definedName>
    <definedName name="BLPH159" localSheetId="22" hidden="1">#REF!</definedName>
    <definedName name="BLPH159" localSheetId="20" hidden="1">#REF!</definedName>
    <definedName name="BLPH159" localSheetId="21" hidden="1">#REF!</definedName>
    <definedName name="BLPH159" localSheetId="23" hidden="1">#REF!</definedName>
    <definedName name="BLPH159" localSheetId="28" hidden="1">#REF!</definedName>
    <definedName name="BLPH159" localSheetId="26" hidden="1">#REF!</definedName>
    <definedName name="BLPH159" localSheetId="27" hidden="1">#REF!</definedName>
    <definedName name="BLPH159" hidden="1">#REF!</definedName>
    <definedName name="BLPH16" localSheetId="17" hidden="1">#REF!</definedName>
    <definedName name="BLPH16" localSheetId="15" hidden="1">#REF!</definedName>
    <definedName name="BLPH16" localSheetId="12" hidden="1">#REF!</definedName>
    <definedName name="BLPH16" localSheetId="22" hidden="1">#REF!</definedName>
    <definedName name="BLPH16" localSheetId="20" hidden="1">#REF!</definedName>
    <definedName name="BLPH16" localSheetId="21" hidden="1">#REF!</definedName>
    <definedName name="BLPH16" localSheetId="23" hidden="1">#REF!</definedName>
    <definedName name="BLPH16" localSheetId="28" hidden="1">#REF!</definedName>
    <definedName name="BLPH16" localSheetId="26" hidden="1">#REF!</definedName>
    <definedName name="BLPH16" localSheetId="27" hidden="1">#REF!</definedName>
    <definedName name="BLPH16" hidden="1">#REF!</definedName>
    <definedName name="BLPH160" localSheetId="17" hidden="1">#REF!</definedName>
    <definedName name="BLPH160" localSheetId="15" hidden="1">#REF!</definedName>
    <definedName name="BLPH160" localSheetId="12" hidden="1">#REF!</definedName>
    <definedName name="BLPH160" localSheetId="22" hidden="1">#REF!</definedName>
    <definedName name="BLPH160" localSheetId="20" hidden="1">#REF!</definedName>
    <definedName name="BLPH160" localSheetId="21" hidden="1">#REF!</definedName>
    <definedName name="BLPH160" localSheetId="23" hidden="1">#REF!</definedName>
    <definedName name="BLPH160" localSheetId="28" hidden="1">#REF!</definedName>
    <definedName name="BLPH160" localSheetId="26" hidden="1">#REF!</definedName>
    <definedName name="BLPH160" localSheetId="27" hidden="1">#REF!</definedName>
    <definedName name="BLPH160" hidden="1">#REF!</definedName>
    <definedName name="BLPH161" localSheetId="17" hidden="1">#REF!</definedName>
    <definedName name="BLPH161" localSheetId="15" hidden="1">#REF!</definedName>
    <definedName name="BLPH161" localSheetId="12" hidden="1">#REF!</definedName>
    <definedName name="BLPH161" localSheetId="22" hidden="1">#REF!</definedName>
    <definedName name="BLPH161" localSheetId="20" hidden="1">#REF!</definedName>
    <definedName name="BLPH161" localSheetId="21" hidden="1">#REF!</definedName>
    <definedName name="BLPH161" localSheetId="23" hidden="1">#REF!</definedName>
    <definedName name="BLPH161" localSheetId="28" hidden="1">#REF!</definedName>
    <definedName name="BLPH161" localSheetId="26" hidden="1">#REF!</definedName>
    <definedName name="BLPH161" localSheetId="27" hidden="1">#REF!</definedName>
    <definedName name="BLPH161" hidden="1">#REF!</definedName>
    <definedName name="BLPH162" localSheetId="17" hidden="1">#REF!</definedName>
    <definedName name="BLPH162" localSheetId="15" hidden="1">#REF!</definedName>
    <definedName name="BLPH162" localSheetId="12" hidden="1">#REF!</definedName>
    <definedName name="BLPH162" localSheetId="22" hidden="1">#REF!</definedName>
    <definedName name="BLPH162" localSheetId="20" hidden="1">#REF!</definedName>
    <definedName name="BLPH162" localSheetId="21" hidden="1">#REF!</definedName>
    <definedName name="BLPH162" localSheetId="23" hidden="1">#REF!</definedName>
    <definedName name="BLPH162" localSheetId="28" hidden="1">#REF!</definedName>
    <definedName name="BLPH162" localSheetId="26" hidden="1">#REF!</definedName>
    <definedName name="BLPH162" localSheetId="27" hidden="1">#REF!</definedName>
    <definedName name="BLPH162" hidden="1">#REF!</definedName>
    <definedName name="BLPH163" localSheetId="17" hidden="1">#REF!</definedName>
    <definedName name="BLPH163" localSheetId="15" hidden="1">#REF!</definedName>
    <definedName name="BLPH163" localSheetId="12" hidden="1">#REF!</definedName>
    <definedName name="BLPH163" localSheetId="22" hidden="1">#REF!</definedName>
    <definedName name="BLPH163" localSheetId="20" hidden="1">#REF!</definedName>
    <definedName name="BLPH163" localSheetId="21" hidden="1">#REF!</definedName>
    <definedName name="BLPH163" localSheetId="23" hidden="1">#REF!</definedName>
    <definedName name="BLPH163" localSheetId="28" hidden="1">#REF!</definedName>
    <definedName name="BLPH163" localSheetId="26" hidden="1">#REF!</definedName>
    <definedName name="BLPH163" localSheetId="27" hidden="1">#REF!</definedName>
    <definedName name="BLPH163" hidden="1">#REF!</definedName>
    <definedName name="BLPH164" localSheetId="17" hidden="1">#REF!</definedName>
    <definedName name="BLPH164" localSheetId="15" hidden="1">#REF!</definedName>
    <definedName name="BLPH164" localSheetId="12" hidden="1">#REF!</definedName>
    <definedName name="BLPH164" localSheetId="22" hidden="1">#REF!</definedName>
    <definedName name="BLPH164" localSheetId="20" hidden="1">#REF!</definedName>
    <definedName name="BLPH164" localSheetId="21" hidden="1">#REF!</definedName>
    <definedName name="BLPH164" localSheetId="23" hidden="1">#REF!</definedName>
    <definedName name="BLPH164" localSheetId="28" hidden="1">#REF!</definedName>
    <definedName name="BLPH164" localSheetId="26" hidden="1">#REF!</definedName>
    <definedName name="BLPH164" localSheetId="27" hidden="1">#REF!</definedName>
    <definedName name="BLPH164" hidden="1">#REF!</definedName>
    <definedName name="BLPH165" localSheetId="17" hidden="1">#REF!</definedName>
    <definedName name="BLPH165" localSheetId="15" hidden="1">#REF!</definedName>
    <definedName name="BLPH165" localSheetId="12" hidden="1">#REF!</definedName>
    <definedName name="BLPH165" localSheetId="22" hidden="1">#REF!</definedName>
    <definedName name="BLPH165" localSheetId="20" hidden="1">#REF!</definedName>
    <definedName name="BLPH165" localSheetId="21" hidden="1">#REF!</definedName>
    <definedName name="BLPH165" localSheetId="23" hidden="1">#REF!</definedName>
    <definedName name="BLPH165" localSheetId="28" hidden="1">#REF!</definedName>
    <definedName name="BLPH165" localSheetId="26" hidden="1">#REF!</definedName>
    <definedName name="BLPH165" localSheetId="27" hidden="1">#REF!</definedName>
    <definedName name="BLPH165" hidden="1">#REF!</definedName>
    <definedName name="BLPH166" localSheetId="17" hidden="1">#REF!</definedName>
    <definedName name="BLPH166" localSheetId="15" hidden="1">#REF!</definedName>
    <definedName name="BLPH166" localSheetId="12" hidden="1">#REF!</definedName>
    <definedName name="BLPH166" localSheetId="22" hidden="1">#REF!</definedName>
    <definedName name="BLPH166" localSheetId="20" hidden="1">#REF!</definedName>
    <definedName name="BLPH166" localSheetId="21" hidden="1">#REF!</definedName>
    <definedName name="BLPH166" localSheetId="23" hidden="1">#REF!</definedName>
    <definedName name="BLPH166" localSheetId="28" hidden="1">#REF!</definedName>
    <definedName name="BLPH166" localSheetId="26" hidden="1">#REF!</definedName>
    <definedName name="BLPH166" localSheetId="27" hidden="1">#REF!</definedName>
    <definedName name="BLPH166" hidden="1">#REF!</definedName>
    <definedName name="BLPH167" localSheetId="17" hidden="1">#REF!</definedName>
    <definedName name="BLPH167" localSheetId="15" hidden="1">#REF!</definedName>
    <definedName name="BLPH167" localSheetId="12" hidden="1">#REF!</definedName>
    <definedName name="BLPH167" localSheetId="22" hidden="1">#REF!</definedName>
    <definedName name="BLPH167" localSheetId="20" hidden="1">#REF!</definedName>
    <definedName name="BLPH167" localSheetId="21" hidden="1">#REF!</definedName>
    <definedName name="BLPH167" localSheetId="23" hidden="1">#REF!</definedName>
    <definedName name="BLPH167" localSheetId="28" hidden="1">#REF!</definedName>
    <definedName name="BLPH167" localSheetId="26" hidden="1">#REF!</definedName>
    <definedName name="BLPH167" localSheetId="27" hidden="1">#REF!</definedName>
    <definedName name="BLPH167" hidden="1">#REF!</definedName>
    <definedName name="BLPH168" localSheetId="17" hidden="1">#REF!</definedName>
    <definedName name="BLPH168" localSheetId="15" hidden="1">#REF!</definedName>
    <definedName name="BLPH168" localSheetId="12" hidden="1">#REF!</definedName>
    <definedName name="BLPH168" localSheetId="22" hidden="1">#REF!</definedName>
    <definedName name="BLPH168" localSheetId="20" hidden="1">#REF!</definedName>
    <definedName name="BLPH168" localSheetId="21" hidden="1">#REF!</definedName>
    <definedName name="BLPH168" localSheetId="23" hidden="1">#REF!</definedName>
    <definedName name="BLPH168" localSheetId="28" hidden="1">#REF!</definedName>
    <definedName name="BLPH168" localSheetId="26" hidden="1">#REF!</definedName>
    <definedName name="BLPH168" localSheetId="27" hidden="1">#REF!</definedName>
    <definedName name="BLPH168" hidden="1">#REF!</definedName>
    <definedName name="BLPH169" localSheetId="17" hidden="1">#REF!</definedName>
    <definedName name="BLPH169" localSheetId="15" hidden="1">#REF!</definedName>
    <definedName name="BLPH169" localSheetId="12" hidden="1">#REF!</definedName>
    <definedName name="BLPH169" localSheetId="22" hidden="1">#REF!</definedName>
    <definedName name="BLPH169" localSheetId="20" hidden="1">#REF!</definedName>
    <definedName name="BLPH169" localSheetId="21" hidden="1">#REF!</definedName>
    <definedName name="BLPH169" localSheetId="23" hidden="1">#REF!</definedName>
    <definedName name="BLPH169" localSheetId="28" hidden="1">#REF!</definedName>
    <definedName name="BLPH169" localSheetId="26" hidden="1">#REF!</definedName>
    <definedName name="BLPH169" localSheetId="27" hidden="1">#REF!</definedName>
    <definedName name="BLPH169" hidden="1">#REF!</definedName>
    <definedName name="BLPH17" localSheetId="17" hidden="1">#REF!</definedName>
    <definedName name="BLPH17" localSheetId="15" hidden="1">#REF!</definedName>
    <definedName name="BLPH17" localSheetId="12" hidden="1">#REF!</definedName>
    <definedName name="BLPH17" localSheetId="22" hidden="1">#REF!</definedName>
    <definedName name="BLPH17" localSheetId="20" hidden="1">#REF!</definedName>
    <definedName name="BLPH17" localSheetId="21" hidden="1">#REF!</definedName>
    <definedName name="BLPH17" localSheetId="23" hidden="1">#REF!</definedName>
    <definedName name="BLPH17" localSheetId="28" hidden="1">#REF!</definedName>
    <definedName name="BLPH17" localSheetId="26" hidden="1">#REF!</definedName>
    <definedName name="BLPH17" localSheetId="27" hidden="1">#REF!</definedName>
    <definedName name="BLPH17" hidden="1">#REF!</definedName>
    <definedName name="BLPH170" localSheetId="17" hidden="1">#REF!</definedName>
    <definedName name="BLPH170" localSheetId="15" hidden="1">#REF!</definedName>
    <definedName name="BLPH170" localSheetId="12" hidden="1">#REF!</definedName>
    <definedName name="BLPH170" localSheetId="22" hidden="1">#REF!</definedName>
    <definedName name="BLPH170" localSheetId="20" hidden="1">#REF!</definedName>
    <definedName name="BLPH170" localSheetId="21" hidden="1">#REF!</definedName>
    <definedName name="BLPH170" localSheetId="23" hidden="1">#REF!</definedName>
    <definedName name="BLPH170" localSheetId="28" hidden="1">#REF!</definedName>
    <definedName name="BLPH170" localSheetId="26" hidden="1">#REF!</definedName>
    <definedName name="BLPH170" localSheetId="27" hidden="1">#REF!</definedName>
    <definedName name="BLPH170" hidden="1">#REF!</definedName>
    <definedName name="BLPH171" localSheetId="17" hidden="1">#REF!</definedName>
    <definedName name="BLPH171" localSheetId="15" hidden="1">#REF!</definedName>
    <definedName name="BLPH171" localSheetId="12" hidden="1">#REF!</definedName>
    <definedName name="BLPH171" localSheetId="22" hidden="1">#REF!</definedName>
    <definedName name="BLPH171" localSheetId="20" hidden="1">#REF!</definedName>
    <definedName name="BLPH171" localSheetId="21" hidden="1">#REF!</definedName>
    <definedName name="BLPH171" localSheetId="23" hidden="1">#REF!</definedName>
    <definedName name="BLPH171" localSheetId="28" hidden="1">#REF!</definedName>
    <definedName name="BLPH171" localSheetId="26" hidden="1">#REF!</definedName>
    <definedName name="BLPH171" localSheetId="27" hidden="1">#REF!</definedName>
    <definedName name="BLPH171" hidden="1">#REF!</definedName>
    <definedName name="BLPH172" localSheetId="17" hidden="1">#REF!</definedName>
    <definedName name="BLPH172" localSheetId="15" hidden="1">#REF!</definedName>
    <definedName name="BLPH172" localSheetId="12" hidden="1">#REF!</definedName>
    <definedName name="BLPH172" localSheetId="22" hidden="1">#REF!</definedName>
    <definedName name="BLPH172" localSheetId="20" hidden="1">#REF!</definedName>
    <definedName name="BLPH172" localSheetId="21" hidden="1">#REF!</definedName>
    <definedName name="BLPH172" localSheetId="23" hidden="1">#REF!</definedName>
    <definedName name="BLPH172" localSheetId="28" hidden="1">#REF!</definedName>
    <definedName name="BLPH172" localSheetId="26" hidden="1">#REF!</definedName>
    <definedName name="BLPH172" localSheetId="27" hidden="1">#REF!</definedName>
    <definedName name="BLPH172" hidden="1">#REF!</definedName>
    <definedName name="BLPH173" localSheetId="17" hidden="1">#REF!</definedName>
    <definedName name="BLPH173" localSheetId="15" hidden="1">#REF!</definedName>
    <definedName name="BLPH173" localSheetId="12" hidden="1">#REF!</definedName>
    <definedName name="BLPH173" localSheetId="22" hidden="1">#REF!</definedName>
    <definedName name="BLPH173" localSheetId="20" hidden="1">#REF!</definedName>
    <definedName name="BLPH173" localSheetId="21" hidden="1">#REF!</definedName>
    <definedName name="BLPH173" localSheetId="23" hidden="1">#REF!</definedName>
    <definedName name="BLPH173" localSheetId="28" hidden="1">#REF!</definedName>
    <definedName name="BLPH173" localSheetId="26" hidden="1">#REF!</definedName>
    <definedName name="BLPH173" localSheetId="27" hidden="1">#REF!</definedName>
    <definedName name="BLPH173" hidden="1">#REF!</definedName>
    <definedName name="BLPH174" localSheetId="17" hidden="1">#REF!</definedName>
    <definedName name="BLPH174" localSheetId="15" hidden="1">#REF!</definedName>
    <definedName name="BLPH174" localSheetId="12" hidden="1">#REF!</definedName>
    <definedName name="BLPH174" localSheetId="22" hidden="1">#REF!</definedName>
    <definedName name="BLPH174" localSheetId="20" hidden="1">#REF!</definedName>
    <definedName name="BLPH174" localSheetId="21" hidden="1">#REF!</definedName>
    <definedName name="BLPH174" localSheetId="23" hidden="1">#REF!</definedName>
    <definedName name="BLPH174" localSheetId="28" hidden="1">#REF!</definedName>
    <definedName name="BLPH174" localSheetId="26" hidden="1">#REF!</definedName>
    <definedName name="BLPH174" localSheetId="27" hidden="1">#REF!</definedName>
    <definedName name="BLPH174" hidden="1">#REF!</definedName>
    <definedName name="BLPH175" localSheetId="17" hidden="1">#REF!</definedName>
    <definedName name="BLPH175" localSheetId="15" hidden="1">#REF!</definedName>
    <definedName name="BLPH175" localSheetId="12" hidden="1">#REF!</definedName>
    <definedName name="BLPH175" localSheetId="22" hidden="1">#REF!</definedName>
    <definedName name="BLPH175" localSheetId="20" hidden="1">#REF!</definedName>
    <definedName name="BLPH175" localSheetId="21" hidden="1">#REF!</definedName>
    <definedName name="BLPH175" localSheetId="23" hidden="1">#REF!</definedName>
    <definedName name="BLPH175" localSheetId="28" hidden="1">#REF!</definedName>
    <definedName name="BLPH175" localSheetId="26" hidden="1">#REF!</definedName>
    <definedName name="BLPH175" localSheetId="27" hidden="1">#REF!</definedName>
    <definedName name="BLPH175" hidden="1">#REF!</definedName>
    <definedName name="BLPH176" localSheetId="17" hidden="1">#REF!</definedName>
    <definedName name="BLPH176" localSheetId="15" hidden="1">#REF!</definedName>
    <definedName name="BLPH176" localSheetId="12" hidden="1">#REF!</definedName>
    <definedName name="BLPH176" localSheetId="22" hidden="1">#REF!</definedName>
    <definedName name="BLPH176" localSheetId="20" hidden="1">#REF!</definedName>
    <definedName name="BLPH176" localSheetId="21" hidden="1">#REF!</definedName>
    <definedName name="BLPH176" localSheetId="23" hidden="1">#REF!</definedName>
    <definedName name="BLPH176" localSheetId="28" hidden="1">#REF!</definedName>
    <definedName name="BLPH176" localSheetId="26" hidden="1">#REF!</definedName>
    <definedName name="BLPH176" localSheetId="27" hidden="1">#REF!</definedName>
    <definedName name="BLPH176" hidden="1">#REF!</definedName>
    <definedName name="BLPH177" localSheetId="17" hidden="1">#REF!</definedName>
    <definedName name="BLPH177" localSheetId="15" hidden="1">#REF!</definedName>
    <definedName name="BLPH177" localSheetId="12" hidden="1">#REF!</definedName>
    <definedName name="BLPH177" localSheetId="22" hidden="1">#REF!</definedName>
    <definedName name="BLPH177" localSheetId="20" hidden="1">#REF!</definedName>
    <definedName name="BLPH177" localSheetId="21" hidden="1">#REF!</definedName>
    <definedName name="BLPH177" localSheetId="23" hidden="1">#REF!</definedName>
    <definedName name="BLPH177" localSheetId="28" hidden="1">#REF!</definedName>
    <definedName name="BLPH177" localSheetId="26" hidden="1">#REF!</definedName>
    <definedName name="BLPH177" localSheetId="27" hidden="1">#REF!</definedName>
    <definedName name="BLPH177" hidden="1">#REF!</definedName>
    <definedName name="BLPH178" localSheetId="17" hidden="1">#REF!</definedName>
    <definedName name="BLPH178" localSheetId="15" hidden="1">#REF!</definedName>
    <definedName name="BLPH178" localSheetId="12" hidden="1">#REF!</definedName>
    <definedName name="BLPH178" localSheetId="22" hidden="1">#REF!</definedName>
    <definedName name="BLPH178" localSheetId="20" hidden="1">#REF!</definedName>
    <definedName name="BLPH178" localSheetId="21" hidden="1">#REF!</definedName>
    <definedName name="BLPH178" localSheetId="23" hidden="1">#REF!</definedName>
    <definedName name="BLPH178" localSheetId="28" hidden="1">#REF!</definedName>
    <definedName name="BLPH178" localSheetId="26" hidden="1">#REF!</definedName>
    <definedName name="BLPH178" localSheetId="27" hidden="1">#REF!</definedName>
    <definedName name="BLPH178" hidden="1">#REF!</definedName>
    <definedName name="BLPH179" localSheetId="17" hidden="1">#REF!</definedName>
    <definedName name="BLPH179" localSheetId="15" hidden="1">#REF!</definedName>
    <definedName name="BLPH179" localSheetId="12" hidden="1">#REF!</definedName>
    <definedName name="BLPH179" localSheetId="22" hidden="1">#REF!</definedName>
    <definedName name="BLPH179" localSheetId="20" hidden="1">#REF!</definedName>
    <definedName name="BLPH179" localSheetId="21" hidden="1">#REF!</definedName>
    <definedName name="BLPH179" localSheetId="23" hidden="1">#REF!</definedName>
    <definedName name="BLPH179" localSheetId="28" hidden="1">#REF!</definedName>
    <definedName name="BLPH179" localSheetId="26" hidden="1">#REF!</definedName>
    <definedName name="BLPH179" localSheetId="27" hidden="1">#REF!</definedName>
    <definedName name="BLPH179" hidden="1">#REF!</definedName>
    <definedName name="BLPH18" localSheetId="17" hidden="1">#REF!</definedName>
    <definedName name="BLPH18" localSheetId="15" hidden="1">#REF!</definedName>
    <definedName name="BLPH18" localSheetId="12" hidden="1">#REF!</definedName>
    <definedName name="BLPH18" localSheetId="22" hidden="1">#REF!</definedName>
    <definedName name="BLPH18" localSheetId="20" hidden="1">#REF!</definedName>
    <definedName name="BLPH18" localSheetId="21" hidden="1">#REF!</definedName>
    <definedName name="BLPH18" localSheetId="23" hidden="1">#REF!</definedName>
    <definedName name="BLPH18" localSheetId="28" hidden="1">#REF!</definedName>
    <definedName name="BLPH18" localSheetId="26" hidden="1">#REF!</definedName>
    <definedName name="BLPH18" localSheetId="27" hidden="1">#REF!</definedName>
    <definedName name="BLPH18" hidden="1">#REF!</definedName>
    <definedName name="BLPH180" localSheetId="17" hidden="1">#REF!</definedName>
    <definedName name="BLPH180" localSheetId="15" hidden="1">#REF!</definedName>
    <definedName name="BLPH180" localSheetId="12" hidden="1">#REF!</definedName>
    <definedName name="BLPH180" localSheetId="22" hidden="1">#REF!</definedName>
    <definedName name="BLPH180" localSheetId="20" hidden="1">#REF!</definedName>
    <definedName name="BLPH180" localSheetId="21" hidden="1">#REF!</definedName>
    <definedName name="BLPH180" localSheetId="23" hidden="1">#REF!</definedName>
    <definedName name="BLPH180" localSheetId="28" hidden="1">#REF!</definedName>
    <definedName name="BLPH180" localSheetId="26" hidden="1">#REF!</definedName>
    <definedName name="BLPH180" localSheetId="27" hidden="1">#REF!</definedName>
    <definedName name="BLPH180" hidden="1">#REF!</definedName>
    <definedName name="BLPH181" localSheetId="17" hidden="1">#REF!</definedName>
    <definedName name="BLPH181" localSheetId="15" hidden="1">#REF!</definedName>
    <definedName name="BLPH181" localSheetId="12" hidden="1">#REF!</definedName>
    <definedName name="BLPH181" localSheetId="22" hidden="1">#REF!</definedName>
    <definedName name="BLPH181" localSheetId="20" hidden="1">#REF!</definedName>
    <definedName name="BLPH181" localSheetId="21" hidden="1">#REF!</definedName>
    <definedName name="BLPH181" localSheetId="23" hidden="1">#REF!</definedName>
    <definedName name="BLPH181" localSheetId="28" hidden="1">#REF!</definedName>
    <definedName name="BLPH181" localSheetId="26" hidden="1">#REF!</definedName>
    <definedName name="BLPH181" localSheetId="27" hidden="1">#REF!</definedName>
    <definedName name="BLPH181" hidden="1">#REF!</definedName>
    <definedName name="BLPH182" localSheetId="17" hidden="1">#REF!</definedName>
    <definedName name="BLPH182" localSheetId="15" hidden="1">#REF!</definedName>
    <definedName name="BLPH182" localSheetId="12" hidden="1">#REF!</definedName>
    <definedName name="BLPH182" localSheetId="22" hidden="1">#REF!</definedName>
    <definedName name="BLPH182" localSheetId="20" hidden="1">#REF!</definedName>
    <definedName name="BLPH182" localSheetId="21" hidden="1">#REF!</definedName>
    <definedName name="BLPH182" localSheetId="23" hidden="1">#REF!</definedName>
    <definedName name="BLPH182" localSheetId="28" hidden="1">#REF!</definedName>
    <definedName name="BLPH182" localSheetId="26" hidden="1">#REF!</definedName>
    <definedName name="BLPH182" localSheetId="27" hidden="1">#REF!</definedName>
    <definedName name="BLPH182" hidden="1">#REF!</definedName>
    <definedName name="BLPH183" localSheetId="17" hidden="1">#REF!</definedName>
    <definedName name="BLPH183" localSheetId="15" hidden="1">#REF!</definedName>
    <definedName name="BLPH183" localSheetId="12" hidden="1">#REF!</definedName>
    <definedName name="BLPH183" localSheetId="22" hidden="1">#REF!</definedName>
    <definedName name="BLPH183" localSheetId="20" hidden="1">#REF!</definedName>
    <definedName name="BLPH183" localSheetId="21" hidden="1">#REF!</definedName>
    <definedName name="BLPH183" localSheetId="23" hidden="1">#REF!</definedName>
    <definedName name="BLPH183" localSheetId="28" hidden="1">#REF!</definedName>
    <definedName name="BLPH183" localSheetId="26" hidden="1">#REF!</definedName>
    <definedName name="BLPH183" localSheetId="27" hidden="1">#REF!</definedName>
    <definedName name="BLPH183" hidden="1">#REF!</definedName>
    <definedName name="BLPH184" localSheetId="17" hidden="1">#REF!</definedName>
    <definedName name="BLPH184" localSheetId="15" hidden="1">#REF!</definedName>
    <definedName name="BLPH184" localSheetId="12" hidden="1">#REF!</definedName>
    <definedName name="BLPH184" localSheetId="22" hidden="1">#REF!</definedName>
    <definedName name="BLPH184" localSheetId="20" hidden="1">#REF!</definedName>
    <definedName name="BLPH184" localSheetId="21" hidden="1">#REF!</definedName>
    <definedName name="BLPH184" localSheetId="23" hidden="1">#REF!</definedName>
    <definedName name="BLPH184" localSheetId="28" hidden="1">#REF!</definedName>
    <definedName name="BLPH184" localSheetId="26" hidden="1">#REF!</definedName>
    <definedName name="BLPH184" localSheetId="27" hidden="1">#REF!</definedName>
    <definedName name="BLPH184" hidden="1">#REF!</definedName>
    <definedName name="BLPH185" localSheetId="17" hidden="1">#REF!</definedName>
    <definedName name="BLPH185" localSheetId="15" hidden="1">#REF!</definedName>
    <definedName name="BLPH185" localSheetId="12" hidden="1">#REF!</definedName>
    <definedName name="BLPH185" localSheetId="22" hidden="1">#REF!</definedName>
    <definedName name="BLPH185" localSheetId="20" hidden="1">#REF!</definedName>
    <definedName name="BLPH185" localSheetId="21" hidden="1">#REF!</definedName>
    <definedName name="BLPH185" localSheetId="23" hidden="1">#REF!</definedName>
    <definedName name="BLPH185" localSheetId="28" hidden="1">#REF!</definedName>
    <definedName name="BLPH185" localSheetId="26" hidden="1">#REF!</definedName>
    <definedName name="BLPH185" localSheetId="27" hidden="1">#REF!</definedName>
    <definedName name="BLPH185" hidden="1">#REF!</definedName>
    <definedName name="BLPH186" localSheetId="17" hidden="1">#REF!</definedName>
    <definedName name="BLPH186" localSheetId="15" hidden="1">#REF!</definedName>
    <definedName name="BLPH186" localSheetId="12" hidden="1">#REF!</definedName>
    <definedName name="BLPH186" localSheetId="22" hidden="1">#REF!</definedName>
    <definedName name="BLPH186" localSheetId="20" hidden="1">#REF!</definedName>
    <definedName name="BLPH186" localSheetId="21" hidden="1">#REF!</definedName>
    <definedName name="BLPH186" localSheetId="23" hidden="1">#REF!</definedName>
    <definedName name="BLPH186" localSheetId="28" hidden="1">#REF!</definedName>
    <definedName name="BLPH186" localSheetId="26" hidden="1">#REF!</definedName>
    <definedName name="BLPH186" localSheetId="27" hidden="1">#REF!</definedName>
    <definedName name="BLPH186" hidden="1">#REF!</definedName>
    <definedName name="BLPH187" localSheetId="17" hidden="1">#REF!</definedName>
    <definedName name="BLPH187" localSheetId="15" hidden="1">#REF!</definedName>
    <definedName name="BLPH187" localSheetId="12" hidden="1">#REF!</definedName>
    <definedName name="BLPH187" localSheetId="22" hidden="1">#REF!</definedName>
    <definedName name="BLPH187" localSheetId="20" hidden="1">#REF!</definedName>
    <definedName name="BLPH187" localSheetId="21" hidden="1">#REF!</definedName>
    <definedName name="BLPH187" localSheetId="23" hidden="1">#REF!</definedName>
    <definedName name="BLPH187" localSheetId="28" hidden="1">#REF!</definedName>
    <definedName name="BLPH187" localSheetId="26" hidden="1">#REF!</definedName>
    <definedName name="BLPH187" localSheetId="27" hidden="1">#REF!</definedName>
    <definedName name="BLPH187" hidden="1">#REF!</definedName>
    <definedName name="BLPH188" localSheetId="17" hidden="1">#REF!</definedName>
    <definedName name="BLPH188" localSheetId="15" hidden="1">#REF!</definedName>
    <definedName name="BLPH188" localSheetId="12" hidden="1">#REF!</definedName>
    <definedName name="BLPH188" localSheetId="22" hidden="1">#REF!</definedName>
    <definedName name="BLPH188" localSheetId="20" hidden="1">#REF!</definedName>
    <definedName name="BLPH188" localSheetId="21" hidden="1">#REF!</definedName>
    <definedName name="BLPH188" localSheetId="23" hidden="1">#REF!</definedName>
    <definedName name="BLPH188" localSheetId="28" hidden="1">#REF!</definedName>
    <definedName name="BLPH188" localSheetId="26" hidden="1">#REF!</definedName>
    <definedName name="BLPH188" localSheetId="27" hidden="1">#REF!</definedName>
    <definedName name="BLPH188" hidden="1">#REF!</definedName>
    <definedName name="BLPH189" localSheetId="17" hidden="1">#REF!</definedName>
    <definedName name="BLPH189" localSheetId="15" hidden="1">#REF!</definedName>
    <definedName name="BLPH189" localSheetId="12" hidden="1">#REF!</definedName>
    <definedName name="BLPH189" localSheetId="22" hidden="1">#REF!</definedName>
    <definedName name="BLPH189" localSheetId="20" hidden="1">#REF!</definedName>
    <definedName name="BLPH189" localSheetId="21" hidden="1">#REF!</definedName>
    <definedName name="BLPH189" localSheetId="23" hidden="1">#REF!</definedName>
    <definedName name="BLPH189" localSheetId="28" hidden="1">#REF!</definedName>
    <definedName name="BLPH189" localSheetId="26" hidden="1">#REF!</definedName>
    <definedName name="BLPH189" localSheetId="27" hidden="1">#REF!</definedName>
    <definedName name="BLPH189" hidden="1">#REF!</definedName>
    <definedName name="BLPH19" localSheetId="17" hidden="1">#REF!</definedName>
    <definedName name="BLPH19" localSheetId="15" hidden="1">#REF!</definedName>
    <definedName name="BLPH19" localSheetId="12" hidden="1">#REF!</definedName>
    <definedName name="BLPH19" localSheetId="22" hidden="1">#REF!</definedName>
    <definedName name="BLPH19" localSheetId="20" hidden="1">#REF!</definedName>
    <definedName name="BLPH19" localSheetId="21" hidden="1">#REF!</definedName>
    <definedName name="BLPH19" localSheetId="23" hidden="1">#REF!</definedName>
    <definedName name="BLPH19" localSheetId="28" hidden="1">#REF!</definedName>
    <definedName name="BLPH19" localSheetId="26" hidden="1">#REF!</definedName>
    <definedName name="BLPH19" localSheetId="27" hidden="1">#REF!</definedName>
    <definedName name="BLPH19" hidden="1">#REF!</definedName>
    <definedName name="BLPH190" localSheetId="17" hidden="1">#REF!</definedName>
    <definedName name="BLPH190" localSheetId="15" hidden="1">#REF!</definedName>
    <definedName name="BLPH190" localSheetId="12" hidden="1">#REF!</definedName>
    <definedName name="BLPH190" localSheetId="22" hidden="1">#REF!</definedName>
    <definedName name="BLPH190" localSheetId="20" hidden="1">#REF!</definedName>
    <definedName name="BLPH190" localSheetId="21" hidden="1">#REF!</definedName>
    <definedName name="BLPH190" localSheetId="23" hidden="1">#REF!</definedName>
    <definedName name="BLPH190" localSheetId="28" hidden="1">#REF!</definedName>
    <definedName name="BLPH190" localSheetId="26" hidden="1">#REF!</definedName>
    <definedName name="BLPH190" localSheetId="27" hidden="1">#REF!</definedName>
    <definedName name="BLPH190" hidden="1">#REF!</definedName>
    <definedName name="BLPH191" localSheetId="17" hidden="1">#REF!</definedName>
    <definedName name="BLPH191" localSheetId="15" hidden="1">#REF!</definedName>
    <definedName name="BLPH191" localSheetId="12" hidden="1">#REF!</definedName>
    <definedName name="BLPH191" localSheetId="22" hidden="1">#REF!</definedName>
    <definedName name="BLPH191" localSheetId="20" hidden="1">#REF!</definedName>
    <definedName name="BLPH191" localSheetId="21" hidden="1">#REF!</definedName>
    <definedName name="BLPH191" localSheetId="23" hidden="1">#REF!</definedName>
    <definedName name="BLPH191" localSheetId="28" hidden="1">#REF!</definedName>
    <definedName name="BLPH191" localSheetId="26" hidden="1">#REF!</definedName>
    <definedName name="BLPH191" localSheetId="27" hidden="1">#REF!</definedName>
    <definedName name="BLPH191" hidden="1">#REF!</definedName>
    <definedName name="BLPH192" localSheetId="17" hidden="1">#REF!</definedName>
    <definedName name="BLPH192" localSheetId="15" hidden="1">#REF!</definedName>
    <definedName name="BLPH192" localSheetId="12" hidden="1">#REF!</definedName>
    <definedName name="BLPH192" localSheetId="22" hidden="1">#REF!</definedName>
    <definedName name="BLPH192" localSheetId="20" hidden="1">#REF!</definedName>
    <definedName name="BLPH192" localSheetId="21" hidden="1">#REF!</definedName>
    <definedName name="BLPH192" localSheetId="23" hidden="1">#REF!</definedName>
    <definedName name="BLPH192" localSheetId="28" hidden="1">#REF!</definedName>
    <definedName name="BLPH192" localSheetId="26" hidden="1">#REF!</definedName>
    <definedName name="BLPH192" localSheetId="27" hidden="1">#REF!</definedName>
    <definedName name="BLPH192" hidden="1">#REF!</definedName>
    <definedName name="BLPH193" localSheetId="17" hidden="1">#REF!</definedName>
    <definedName name="BLPH193" localSheetId="15" hidden="1">#REF!</definedName>
    <definedName name="BLPH193" localSheetId="12" hidden="1">#REF!</definedName>
    <definedName name="BLPH193" localSheetId="22" hidden="1">#REF!</definedName>
    <definedName name="BLPH193" localSheetId="20" hidden="1">#REF!</definedName>
    <definedName name="BLPH193" localSheetId="21" hidden="1">#REF!</definedName>
    <definedName name="BLPH193" localSheetId="23" hidden="1">#REF!</definedName>
    <definedName name="BLPH193" localSheetId="28" hidden="1">#REF!</definedName>
    <definedName name="BLPH193" localSheetId="26" hidden="1">#REF!</definedName>
    <definedName name="BLPH193" localSheetId="27" hidden="1">#REF!</definedName>
    <definedName name="BLPH193" hidden="1">#REF!</definedName>
    <definedName name="BLPH194" localSheetId="17" hidden="1">#REF!</definedName>
    <definedName name="BLPH194" localSheetId="15" hidden="1">#REF!</definedName>
    <definedName name="BLPH194" localSheetId="12" hidden="1">#REF!</definedName>
    <definedName name="BLPH194" localSheetId="22" hidden="1">#REF!</definedName>
    <definedName name="BLPH194" localSheetId="20" hidden="1">#REF!</definedName>
    <definedName name="BLPH194" localSheetId="21" hidden="1">#REF!</definedName>
    <definedName name="BLPH194" localSheetId="23" hidden="1">#REF!</definedName>
    <definedName name="BLPH194" localSheetId="28" hidden="1">#REF!</definedName>
    <definedName name="BLPH194" localSheetId="26" hidden="1">#REF!</definedName>
    <definedName name="BLPH194" localSheetId="27" hidden="1">#REF!</definedName>
    <definedName name="BLPH194" hidden="1">#REF!</definedName>
    <definedName name="BLPH195" localSheetId="17" hidden="1">#REF!</definedName>
    <definedName name="BLPH195" localSheetId="15" hidden="1">#REF!</definedName>
    <definedName name="BLPH195" localSheetId="12" hidden="1">#REF!</definedName>
    <definedName name="BLPH195" localSheetId="22" hidden="1">#REF!</definedName>
    <definedName name="BLPH195" localSheetId="20" hidden="1">#REF!</definedName>
    <definedName name="BLPH195" localSheetId="21" hidden="1">#REF!</definedName>
    <definedName name="BLPH195" localSheetId="23" hidden="1">#REF!</definedName>
    <definedName name="BLPH195" localSheetId="28" hidden="1">#REF!</definedName>
    <definedName name="BLPH195" localSheetId="26" hidden="1">#REF!</definedName>
    <definedName name="BLPH195" localSheetId="27" hidden="1">#REF!</definedName>
    <definedName name="BLPH195" hidden="1">#REF!</definedName>
    <definedName name="BLPH196" localSheetId="17" hidden="1">#REF!</definedName>
    <definedName name="BLPH196" localSheetId="15" hidden="1">#REF!</definedName>
    <definedName name="BLPH196" localSheetId="12" hidden="1">#REF!</definedName>
    <definedName name="BLPH196" localSheetId="22" hidden="1">#REF!</definedName>
    <definedName name="BLPH196" localSheetId="20" hidden="1">#REF!</definedName>
    <definedName name="BLPH196" localSheetId="21" hidden="1">#REF!</definedName>
    <definedName name="BLPH196" localSheetId="23" hidden="1">#REF!</definedName>
    <definedName name="BLPH196" localSheetId="28" hidden="1">#REF!</definedName>
    <definedName name="BLPH196" localSheetId="26" hidden="1">#REF!</definedName>
    <definedName name="BLPH196" localSheetId="27" hidden="1">#REF!</definedName>
    <definedName name="BLPH196" hidden="1">#REF!</definedName>
    <definedName name="BLPH197" localSheetId="17" hidden="1">#REF!</definedName>
    <definedName name="BLPH197" localSheetId="15" hidden="1">#REF!</definedName>
    <definedName name="BLPH197" localSheetId="12" hidden="1">#REF!</definedName>
    <definedName name="BLPH197" localSheetId="22" hidden="1">#REF!</definedName>
    <definedName name="BLPH197" localSheetId="20" hidden="1">#REF!</definedName>
    <definedName name="BLPH197" localSheetId="21" hidden="1">#REF!</definedName>
    <definedName name="BLPH197" localSheetId="23" hidden="1">#REF!</definedName>
    <definedName name="BLPH197" localSheetId="28" hidden="1">#REF!</definedName>
    <definedName name="BLPH197" localSheetId="26" hidden="1">#REF!</definedName>
    <definedName name="BLPH197" localSheetId="27" hidden="1">#REF!</definedName>
    <definedName name="BLPH197" hidden="1">#REF!</definedName>
    <definedName name="BLPH198" localSheetId="17" hidden="1">#REF!</definedName>
    <definedName name="BLPH198" localSheetId="15" hidden="1">#REF!</definedName>
    <definedName name="BLPH198" localSheetId="12" hidden="1">#REF!</definedName>
    <definedName name="BLPH198" localSheetId="22" hidden="1">#REF!</definedName>
    <definedName name="BLPH198" localSheetId="20" hidden="1">#REF!</definedName>
    <definedName name="BLPH198" localSheetId="21" hidden="1">#REF!</definedName>
    <definedName name="BLPH198" localSheetId="23" hidden="1">#REF!</definedName>
    <definedName name="BLPH198" localSheetId="28" hidden="1">#REF!</definedName>
    <definedName name="BLPH198" localSheetId="26" hidden="1">#REF!</definedName>
    <definedName name="BLPH198" localSheetId="27" hidden="1">#REF!</definedName>
    <definedName name="BLPH198" hidden="1">#REF!</definedName>
    <definedName name="BLPH199" localSheetId="17" hidden="1">#REF!</definedName>
    <definedName name="BLPH199" localSheetId="15" hidden="1">#REF!</definedName>
    <definedName name="BLPH199" localSheetId="12" hidden="1">#REF!</definedName>
    <definedName name="BLPH199" localSheetId="22" hidden="1">#REF!</definedName>
    <definedName name="BLPH199" localSheetId="20" hidden="1">#REF!</definedName>
    <definedName name="BLPH199" localSheetId="21" hidden="1">#REF!</definedName>
    <definedName name="BLPH199" localSheetId="23" hidden="1">#REF!</definedName>
    <definedName name="BLPH199" localSheetId="28" hidden="1">#REF!</definedName>
    <definedName name="BLPH199" localSheetId="26" hidden="1">#REF!</definedName>
    <definedName name="BLPH199" localSheetId="27" hidden="1">#REF!</definedName>
    <definedName name="BLPH199" hidden="1">#REF!</definedName>
    <definedName name="BLPH2" localSheetId="17" hidden="1">#REF!</definedName>
    <definedName name="BLPH2" localSheetId="15" hidden="1">#REF!</definedName>
    <definedName name="BLPH2" localSheetId="12" hidden="1">#REF!</definedName>
    <definedName name="BLPH2" localSheetId="22" hidden="1">#REF!</definedName>
    <definedName name="BLPH2" localSheetId="20" hidden="1">#REF!</definedName>
    <definedName name="BLPH2" localSheetId="21" hidden="1">#REF!</definedName>
    <definedName name="BLPH2" localSheetId="23" hidden="1">#REF!</definedName>
    <definedName name="BLPH2" localSheetId="28" hidden="1">#REF!</definedName>
    <definedName name="BLPH2" localSheetId="26" hidden="1">#REF!</definedName>
    <definedName name="BLPH2" localSheetId="27" hidden="1">#REF!</definedName>
    <definedName name="BLPH2" hidden="1">#REF!</definedName>
    <definedName name="BLPH20" localSheetId="17" hidden="1">#REF!</definedName>
    <definedName name="BLPH20" localSheetId="15" hidden="1">#REF!</definedName>
    <definedName name="BLPH20" localSheetId="12" hidden="1">#REF!</definedName>
    <definedName name="BLPH20" localSheetId="22" hidden="1">#REF!</definedName>
    <definedName name="BLPH20" localSheetId="20" hidden="1">#REF!</definedName>
    <definedName name="BLPH20" localSheetId="21" hidden="1">#REF!</definedName>
    <definedName name="BLPH20" localSheetId="23" hidden="1">#REF!</definedName>
    <definedName name="BLPH20" localSheetId="28" hidden="1">#REF!</definedName>
    <definedName name="BLPH20" localSheetId="26" hidden="1">#REF!</definedName>
    <definedName name="BLPH20" localSheetId="27" hidden="1">#REF!</definedName>
    <definedName name="BLPH20" hidden="1">#REF!</definedName>
    <definedName name="BLPH200" localSheetId="17" hidden="1">#REF!</definedName>
    <definedName name="BLPH200" localSheetId="15" hidden="1">#REF!</definedName>
    <definedName name="BLPH200" localSheetId="12" hidden="1">#REF!</definedName>
    <definedName name="BLPH200" localSheetId="22" hidden="1">#REF!</definedName>
    <definedName name="BLPH200" localSheetId="20" hidden="1">#REF!</definedName>
    <definedName name="BLPH200" localSheetId="21" hidden="1">#REF!</definedName>
    <definedName name="BLPH200" localSheetId="23" hidden="1">#REF!</definedName>
    <definedName name="BLPH200" localSheetId="28" hidden="1">#REF!</definedName>
    <definedName name="BLPH200" localSheetId="26" hidden="1">#REF!</definedName>
    <definedName name="BLPH200" localSheetId="27" hidden="1">#REF!</definedName>
    <definedName name="BLPH200" hidden="1">#REF!</definedName>
    <definedName name="BLPH201" localSheetId="17" hidden="1">#REF!</definedName>
    <definedName name="BLPH201" localSheetId="15" hidden="1">#REF!</definedName>
    <definedName name="BLPH201" localSheetId="12" hidden="1">#REF!</definedName>
    <definedName name="BLPH201" localSheetId="22" hidden="1">#REF!</definedName>
    <definedName name="BLPH201" localSheetId="20" hidden="1">#REF!</definedName>
    <definedName name="BLPH201" localSheetId="21" hidden="1">#REF!</definedName>
    <definedName name="BLPH201" localSheetId="23" hidden="1">#REF!</definedName>
    <definedName name="BLPH201" localSheetId="28" hidden="1">#REF!</definedName>
    <definedName name="BLPH201" localSheetId="26" hidden="1">#REF!</definedName>
    <definedName name="BLPH201" localSheetId="27" hidden="1">#REF!</definedName>
    <definedName name="BLPH201" hidden="1">#REF!</definedName>
    <definedName name="BLPH21" localSheetId="17" hidden="1">#REF!</definedName>
    <definedName name="BLPH21" localSheetId="15" hidden="1">#REF!</definedName>
    <definedName name="BLPH21" localSheetId="12" hidden="1">#REF!</definedName>
    <definedName name="BLPH21" localSheetId="22" hidden="1">#REF!</definedName>
    <definedName name="BLPH21" localSheetId="20" hidden="1">#REF!</definedName>
    <definedName name="BLPH21" localSheetId="21" hidden="1">#REF!</definedName>
    <definedName name="BLPH21" localSheetId="23" hidden="1">#REF!</definedName>
    <definedName name="BLPH21" localSheetId="28" hidden="1">#REF!</definedName>
    <definedName name="BLPH21" localSheetId="26" hidden="1">#REF!</definedName>
    <definedName name="BLPH21" localSheetId="27" hidden="1">#REF!</definedName>
    <definedName name="BLPH21" hidden="1">#REF!</definedName>
    <definedName name="BLPH22" localSheetId="17" hidden="1">#REF!</definedName>
    <definedName name="BLPH22" localSheetId="15" hidden="1">#REF!</definedName>
    <definedName name="BLPH22" localSheetId="12" hidden="1">#REF!</definedName>
    <definedName name="BLPH22" localSheetId="22" hidden="1">#REF!</definedName>
    <definedName name="BLPH22" localSheetId="20" hidden="1">#REF!</definedName>
    <definedName name="BLPH22" localSheetId="21" hidden="1">#REF!</definedName>
    <definedName name="BLPH22" localSheetId="23" hidden="1">#REF!</definedName>
    <definedName name="BLPH22" localSheetId="28" hidden="1">#REF!</definedName>
    <definedName name="BLPH22" localSheetId="26" hidden="1">#REF!</definedName>
    <definedName name="BLPH22" localSheetId="27" hidden="1">#REF!</definedName>
    <definedName name="BLPH22" hidden="1">#REF!</definedName>
    <definedName name="BLPH23" localSheetId="17" hidden="1">#REF!</definedName>
    <definedName name="BLPH23" localSheetId="15" hidden="1">#REF!</definedName>
    <definedName name="BLPH23" localSheetId="12" hidden="1">#REF!</definedName>
    <definedName name="BLPH23" localSheetId="22" hidden="1">#REF!</definedName>
    <definedName name="BLPH23" localSheetId="20" hidden="1">#REF!</definedName>
    <definedName name="BLPH23" localSheetId="21" hidden="1">#REF!</definedName>
    <definedName name="BLPH23" localSheetId="23" hidden="1">#REF!</definedName>
    <definedName name="BLPH23" localSheetId="28" hidden="1">#REF!</definedName>
    <definedName name="BLPH23" localSheetId="26" hidden="1">#REF!</definedName>
    <definedName name="BLPH23" localSheetId="27" hidden="1">#REF!</definedName>
    <definedName name="BLPH23" hidden="1">#REF!</definedName>
    <definedName name="BLPH24" localSheetId="17" hidden="1">#REF!</definedName>
    <definedName name="BLPH24" localSheetId="15" hidden="1">#REF!</definedName>
    <definedName name="BLPH24" localSheetId="12" hidden="1">#REF!</definedName>
    <definedName name="BLPH24" localSheetId="22" hidden="1">#REF!</definedName>
    <definedName name="BLPH24" localSheetId="20" hidden="1">#REF!</definedName>
    <definedName name="BLPH24" localSheetId="21" hidden="1">#REF!</definedName>
    <definedName name="BLPH24" localSheetId="23" hidden="1">#REF!</definedName>
    <definedName name="BLPH24" localSheetId="28" hidden="1">#REF!</definedName>
    <definedName name="BLPH24" localSheetId="26" hidden="1">#REF!</definedName>
    <definedName name="BLPH24" localSheetId="27" hidden="1">#REF!</definedName>
    <definedName name="BLPH24" hidden="1">#REF!</definedName>
    <definedName name="BLPH25" localSheetId="17" hidden="1">#REF!</definedName>
    <definedName name="BLPH25" localSheetId="15" hidden="1">#REF!</definedName>
    <definedName name="BLPH25" localSheetId="12" hidden="1">#REF!</definedName>
    <definedName name="BLPH25" localSheetId="22" hidden="1">#REF!</definedName>
    <definedName name="BLPH25" localSheetId="20" hidden="1">#REF!</definedName>
    <definedName name="BLPH25" localSheetId="21" hidden="1">#REF!</definedName>
    <definedName name="BLPH25" localSheetId="23" hidden="1">#REF!</definedName>
    <definedName name="BLPH25" localSheetId="28" hidden="1">#REF!</definedName>
    <definedName name="BLPH25" localSheetId="26" hidden="1">#REF!</definedName>
    <definedName name="BLPH25" localSheetId="27" hidden="1">#REF!</definedName>
    <definedName name="BLPH25" hidden="1">#REF!</definedName>
    <definedName name="BLPH26" localSheetId="17" hidden="1">#REF!</definedName>
    <definedName name="BLPH26" localSheetId="15" hidden="1">#REF!</definedName>
    <definedName name="BLPH26" localSheetId="12" hidden="1">#REF!</definedName>
    <definedName name="BLPH26" localSheetId="22" hidden="1">#REF!</definedName>
    <definedName name="BLPH26" localSheetId="20" hidden="1">#REF!</definedName>
    <definedName name="BLPH26" localSheetId="21" hidden="1">#REF!</definedName>
    <definedName name="BLPH26" localSheetId="23" hidden="1">#REF!</definedName>
    <definedName name="BLPH26" localSheetId="28" hidden="1">#REF!</definedName>
    <definedName name="BLPH26" localSheetId="26" hidden="1">#REF!</definedName>
    <definedName name="BLPH26" localSheetId="27" hidden="1">#REF!</definedName>
    <definedName name="BLPH26" hidden="1">#REF!</definedName>
    <definedName name="BLPH27" localSheetId="17" hidden="1">#REF!</definedName>
    <definedName name="BLPH27" localSheetId="15" hidden="1">#REF!</definedName>
    <definedName name="BLPH27" localSheetId="12" hidden="1">#REF!</definedName>
    <definedName name="BLPH27" localSheetId="22" hidden="1">#REF!</definedName>
    <definedName name="BLPH27" localSheetId="20" hidden="1">#REF!</definedName>
    <definedName name="BLPH27" localSheetId="21" hidden="1">#REF!</definedName>
    <definedName name="BLPH27" localSheetId="23" hidden="1">#REF!</definedName>
    <definedName name="BLPH27" localSheetId="28" hidden="1">#REF!</definedName>
    <definedName name="BLPH27" localSheetId="26" hidden="1">#REF!</definedName>
    <definedName name="BLPH27" localSheetId="27" hidden="1">#REF!</definedName>
    <definedName name="BLPH27" hidden="1">#REF!</definedName>
    <definedName name="BLPH28" localSheetId="17" hidden="1">#REF!</definedName>
    <definedName name="BLPH28" localSheetId="15" hidden="1">#REF!</definedName>
    <definedName name="BLPH28" localSheetId="12" hidden="1">#REF!</definedName>
    <definedName name="BLPH28" localSheetId="22" hidden="1">#REF!</definedName>
    <definedName name="BLPH28" localSheetId="20" hidden="1">#REF!</definedName>
    <definedName name="BLPH28" localSheetId="21" hidden="1">#REF!</definedName>
    <definedName name="BLPH28" localSheetId="23" hidden="1">#REF!</definedName>
    <definedName name="BLPH28" localSheetId="28" hidden="1">#REF!</definedName>
    <definedName name="BLPH28" localSheetId="26" hidden="1">#REF!</definedName>
    <definedName name="BLPH28" localSheetId="27" hidden="1">#REF!</definedName>
    <definedName name="BLPH28" hidden="1">#REF!</definedName>
    <definedName name="BLPH29" localSheetId="17" hidden="1">#REF!</definedName>
    <definedName name="BLPH29" localSheetId="15" hidden="1">#REF!</definedName>
    <definedName name="BLPH29" localSheetId="12" hidden="1">#REF!</definedName>
    <definedName name="BLPH29" localSheetId="22" hidden="1">#REF!</definedName>
    <definedName name="BLPH29" localSheetId="20" hidden="1">#REF!</definedName>
    <definedName name="BLPH29" localSheetId="21" hidden="1">#REF!</definedName>
    <definedName name="BLPH29" localSheetId="23" hidden="1">#REF!</definedName>
    <definedName name="BLPH29" localSheetId="28" hidden="1">#REF!</definedName>
    <definedName name="BLPH29" localSheetId="26" hidden="1">#REF!</definedName>
    <definedName name="BLPH29" localSheetId="27" hidden="1">#REF!</definedName>
    <definedName name="BLPH29" hidden="1">#REF!</definedName>
    <definedName name="BLPH3" localSheetId="17" hidden="1">#REF!</definedName>
    <definedName name="BLPH3" localSheetId="15" hidden="1">#REF!</definedName>
    <definedName name="BLPH3" localSheetId="12" hidden="1">#REF!</definedName>
    <definedName name="BLPH3" localSheetId="22" hidden="1">#REF!</definedName>
    <definedName name="BLPH3" localSheetId="20" hidden="1">#REF!</definedName>
    <definedName name="BLPH3" localSheetId="21" hidden="1">#REF!</definedName>
    <definedName name="BLPH3" localSheetId="23" hidden="1">#REF!</definedName>
    <definedName name="BLPH3" localSheetId="28" hidden="1">#REF!</definedName>
    <definedName name="BLPH3" localSheetId="26" hidden="1">#REF!</definedName>
    <definedName name="BLPH3" localSheetId="27" hidden="1">#REF!</definedName>
    <definedName name="BLPH3" hidden="1">#REF!</definedName>
    <definedName name="BLPH30" localSheetId="17" hidden="1">#REF!</definedName>
    <definedName name="BLPH30" localSheetId="15" hidden="1">#REF!</definedName>
    <definedName name="BLPH30" localSheetId="12" hidden="1">#REF!</definedName>
    <definedName name="BLPH30" localSheetId="22" hidden="1">#REF!</definedName>
    <definedName name="BLPH30" localSheetId="20" hidden="1">#REF!</definedName>
    <definedName name="BLPH30" localSheetId="21" hidden="1">#REF!</definedName>
    <definedName name="BLPH30" localSheetId="23" hidden="1">#REF!</definedName>
    <definedName name="BLPH30" localSheetId="28" hidden="1">#REF!</definedName>
    <definedName name="BLPH30" localSheetId="26" hidden="1">#REF!</definedName>
    <definedName name="BLPH30" localSheetId="27" hidden="1">#REF!</definedName>
    <definedName name="BLPH30" hidden="1">#REF!</definedName>
    <definedName name="BLPH31" localSheetId="17" hidden="1">#REF!</definedName>
    <definedName name="BLPH31" localSheetId="15" hidden="1">#REF!</definedName>
    <definedName name="BLPH31" localSheetId="12" hidden="1">#REF!</definedName>
    <definedName name="BLPH31" localSheetId="22" hidden="1">#REF!</definedName>
    <definedName name="BLPH31" localSheetId="20" hidden="1">#REF!</definedName>
    <definedName name="BLPH31" localSheetId="21" hidden="1">#REF!</definedName>
    <definedName name="BLPH31" localSheetId="23" hidden="1">#REF!</definedName>
    <definedName name="BLPH31" localSheetId="28" hidden="1">#REF!</definedName>
    <definedName name="BLPH31" localSheetId="26" hidden="1">#REF!</definedName>
    <definedName name="BLPH31" localSheetId="27" hidden="1">#REF!</definedName>
    <definedName name="BLPH31" hidden="1">#REF!</definedName>
    <definedName name="BLPH32" localSheetId="17" hidden="1">#REF!</definedName>
    <definedName name="BLPH32" localSheetId="15" hidden="1">#REF!</definedName>
    <definedName name="BLPH32" localSheetId="12" hidden="1">#REF!</definedName>
    <definedName name="BLPH32" localSheetId="22" hidden="1">#REF!</definedName>
    <definedName name="BLPH32" localSheetId="20" hidden="1">#REF!</definedName>
    <definedName name="BLPH32" localSheetId="21" hidden="1">#REF!</definedName>
    <definedName name="BLPH32" localSheetId="23" hidden="1">#REF!</definedName>
    <definedName name="BLPH32" localSheetId="28" hidden="1">#REF!</definedName>
    <definedName name="BLPH32" localSheetId="26" hidden="1">#REF!</definedName>
    <definedName name="BLPH32" localSheetId="27" hidden="1">#REF!</definedName>
    <definedName name="BLPH32" hidden="1">#REF!</definedName>
    <definedName name="BLPH33" localSheetId="17" hidden="1">#REF!</definedName>
    <definedName name="BLPH33" localSheetId="15" hidden="1">#REF!</definedName>
    <definedName name="BLPH33" localSheetId="12" hidden="1">#REF!</definedName>
    <definedName name="BLPH33" localSheetId="22" hidden="1">#REF!</definedName>
    <definedName name="BLPH33" localSheetId="20" hidden="1">#REF!</definedName>
    <definedName name="BLPH33" localSheetId="21" hidden="1">#REF!</definedName>
    <definedName name="BLPH33" localSheetId="23" hidden="1">#REF!</definedName>
    <definedName name="BLPH33" localSheetId="28" hidden="1">#REF!</definedName>
    <definedName name="BLPH33" localSheetId="26" hidden="1">#REF!</definedName>
    <definedName name="BLPH33" localSheetId="27" hidden="1">#REF!</definedName>
    <definedName name="BLPH33" hidden="1">#REF!</definedName>
    <definedName name="BLPH34" localSheetId="17" hidden="1">#REF!</definedName>
    <definedName name="BLPH34" localSheetId="15" hidden="1">#REF!</definedName>
    <definedName name="BLPH34" localSheetId="12" hidden="1">#REF!</definedName>
    <definedName name="BLPH34" localSheetId="22" hidden="1">#REF!</definedName>
    <definedName name="BLPH34" localSheetId="20" hidden="1">#REF!</definedName>
    <definedName name="BLPH34" localSheetId="21" hidden="1">#REF!</definedName>
    <definedName name="BLPH34" localSheetId="23" hidden="1">#REF!</definedName>
    <definedName name="BLPH34" localSheetId="28" hidden="1">#REF!</definedName>
    <definedName name="BLPH34" localSheetId="26" hidden="1">#REF!</definedName>
    <definedName name="BLPH34" localSheetId="27" hidden="1">#REF!</definedName>
    <definedName name="BLPH34" hidden="1">#REF!</definedName>
    <definedName name="BLPH35" localSheetId="17" hidden="1">#REF!</definedName>
    <definedName name="BLPH35" localSheetId="15" hidden="1">#REF!</definedName>
    <definedName name="BLPH35" localSheetId="12" hidden="1">#REF!</definedName>
    <definedName name="BLPH35" localSheetId="22" hidden="1">#REF!</definedName>
    <definedName name="BLPH35" localSheetId="20" hidden="1">#REF!</definedName>
    <definedName name="BLPH35" localSheetId="21" hidden="1">#REF!</definedName>
    <definedName name="BLPH35" localSheetId="23" hidden="1">#REF!</definedName>
    <definedName name="BLPH35" localSheetId="28" hidden="1">#REF!</definedName>
    <definedName name="BLPH35" localSheetId="26" hidden="1">#REF!</definedName>
    <definedName name="BLPH35" localSheetId="27" hidden="1">#REF!</definedName>
    <definedName name="BLPH35" hidden="1">#REF!</definedName>
    <definedName name="BLPH36" localSheetId="17" hidden="1">#REF!</definedName>
    <definedName name="BLPH36" localSheetId="15" hidden="1">#REF!</definedName>
    <definedName name="BLPH36" localSheetId="12" hidden="1">#REF!</definedName>
    <definedName name="BLPH36" localSheetId="22" hidden="1">#REF!</definedName>
    <definedName name="BLPH36" localSheetId="20" hidden="1">#REF!</definedName>
    <definedName name="BLPH36" localSheetId="21" hidden="1">#REF!</definedName>
    <definedName name="BLPH36" localSheetId="23" hidden="1">#REF!</definedName>
    <definedName name="BLPH36" localSheetId="28" hidden="1">#REF!</definedName>
    <definedName name="BLPH36" localSheetId="26" hidden="1">#REF!</definedName>
    <definedName name="BLPH36" localSheetId="27" hidden="1">#REF!</definedName>
    <definedName name="BLPH36" hidden="1">#REF!</definedName>
    <definedName name="BLPH37" localSheetId="17" hidden="1">#REF!</definedName>
    <definedName name="BLPH37" localSheetId="15" hidden="1">#REF!</definedName>
    <definedName name="BLPH37" localSheetId="12" hidden="1">#REF!</definedName>
    <definedName name="BLPH37" localSheetId="22" hidden="1">#REF!</definedName>
    <definedName name="BLPH37" localSheetId="20" hidden="1">#REF!</definedName>
    <definedName name="BLPH37" localSheetId="21" hidden="1">#REF!</definedName>
    <definedName name="BLPH37" localSheetId="23" hidden="1">#REF!</definedName>
    <definedName name="BLPH37" localSheetId="28" hidden="1">#REF!</definedName>
    <definedName name="BLPH37" localSheetId="26" hidden="1">#REF!</definedName>
    <definedName name="BLPH37" localSheetId="27" hidden="1">#REF!</definedName>
    <definedName name="BLPH37" hidden="1">#REF!</definedName>
    <definedName name="BLPH38" localSheetId="17" hidden="1">#REF!</definedName>
    <definedName name="BLPH38" localSheetId="15" hidden="1">#REF!</definedName>
    <definedName name="BLPH38" localSheetId="12" hidden="1">#REF!</definedName>
    <definedName name="BLPH38" localSheetId="22" hidden="1">#REF!</definedName>
    <definedName name="BLPH38" localSheetId="20" hidden="1">#REF!</definedName>
    <definedName name="BLPH38" localSheetId="21" hidden="1">#REF!</definedName>
    <definedName name="BLPH38" localSheetId="23" hidden="1">#REF!</definedName>
    <definedName name="BLPH38" localSheetId="28" hidden="1">#REF!</definedName>
    <definedName name="BLPH38" localSheetId="26" hidden="1">#REF!</definedName>
    <definedName name="BLPH38" localSheetId="27" hidden="1">#REF!</definedName>
    <definedName name="BLPH38" hidden="1">#REF!</definedName>
    <definedName name="BLPH39" localSheetId="17" hidden="1">#REF!</definedName>
    <definedName name="BLPH39" localSheetId="15" hidden="1">#REF!</definedName>
    <definedName name="BLPH39" localSheetId="12" hidden="1">#REF!</definedName>
    <definedName name="BLPH39" localSheetId="22" hidden="1">#REF!</definedName>
    <definedName name="BLPH39" localSheetId="20" hidden="1">#REF!</definedName>
    <definedName name="BLPH39" localSheetId="21" hidden="1">#REF!</definedName>
    <definedName name="BLPH39" localSheetId="23" hidden="1">#REF!</definedName>
    <definedName name="BLPH39" localSheetId="28" hidden="1">#REF!</definedName>
    <definedName name="BLPH39" localSheetId="26" hidden="1">#REF!</definedName>
    <definedName name="BLPH39" localSheetId="27" hidden="1">#REF!</definedName>
    <definedName name="BLPH39" hidden="1">#REF!</definedName>
    <definedName name="BLPH4" localSheetId="17" hidden="1">#REF!</definedName>
    <definedName name="BLPH4" localSheetId="15" hidden="1">#REF!</definedName>
    <definedName name="BLPH4" localSheetId="12" hidden="1">#REF!</definedName>
    <definedName name="BLPH4" localSheetId="22" hidden="1">#REF!</definedName>
    <definedName name="BLPH4" localSheetId="20" hidden="1">#REF!</definedName>
    <definedName name="BLPH4" localSheetId="21" hidden="1">#REF!</definedName>
    <definedName name="BLPH4" localSheetId="23" hidden="1">#REF!</definedName>
    <definedName name="BLPH4" localSheetId="28" hidden="1">#REF!</definedName>
    <definedName name="BLPH4" localSheetId="26" hidden="1">#REF!</definedName>
    <definedName name="BLPH4" localSheetId="27" hidden="1">#REF!</definedName>
    <definedName name="BLPH4" hidden="1">#REF!</definedName>
    <definedName name="BLPH40" localSheetId="17" hidden="1">#REF!</definedName>
    <definedName name="BLPH40" localSheetId="15" hidden="1">#REF!</definedName>
    <definedName name="BLPH40" localSheetId="12" hidden="1">#REF!</definedName>
    <definedName name="BLPH40" localSheetId="22" hidden="1">#REF!</definedName>
    <definedName name="BLPH40" localSheetId="20" hidden="1">#REF!</definedName>
    <definedName name="BLPH40" localSheetId="21" hidden="1">#REF!</definedName>
    <definedName name="BLPH40" localSheetId="23" hidden="1">#REF!</definedName>
    <definedName name="BLPH40" localSheetId="28" hidden="1">#REF!</definedName>
    <definedName name="BLPH40" localSheetId="26" hidden="1">#REF!</definedName>
    <definedName name="BLPH40" localSheetId="27" hidden="1">#REF!</definedName>
    <definedName name="BLPH40" hidden="1">#REF!</definedName>
    <definedName name="BLPH41" localSheetId="17" hidden="1">#REF!</definedName>
    <definedName name="BLPH41" localSheetId="15" hidden="1">#REF!</definedName>
    <definedName name="BLPH41" localSheetId="12" hidden="1">#REF!</definedName>
    <definedName name="BLPH41" localSheetId="22" hidden="1">#REF!</definedName>
    <definedName name="BLPH41" localSheetId="20" hidden="1">#REF!</definedName>
    <definedName name="BLPH41" localSheetId="21" hidden="1">#REF!</definedName>
    <definedName name="BLPH41" localSheetId="23" hidden="1">#REF!</definedName>
    <definedName name="BLPH41" localSheetId="28" hidden="1">#REF!</definedName>
    <definedName name="BLPH41" localSheetId="26" hidden="1">#REF!</definedName>
    <definedName name="BLPH41" localSheetId="27" hidden="1">#REF!</definedName>
    <definedName name="BLPH41" hidden="1">#REF!</definedName>
    <definedName name="BLPH42" localSheetId="17" hidden="1">#REF!</definedName>
    <definedName name="BLPH42" localSheetId="15" hidden="1">#REF!</definedName>
    <definedName name="BLPH42" localSheetId="12" hidden="1">#REF!</definedName>
    <definedName name="BLPH42" localSheetId="22" hidden="1">#REF!</definedName>
    <definedName name="BLPH42" localSheetId="20" hidden="1">#REF!</definedName>
    <definedName name="BLPH42" localSheetId="21" hidden="1">#REF!</definedName>
    <definedName name="BLPH42" localSheetId="23" hidden="1">#REF!</definedName>
    <definedName name="BLPH42" localSheetId="28" hidden="1">#REF!</definedName>
    <definedName name="BLPH42" localSheetId="26" hidden="1">#REF!</definedName>
    <definedName name="BLPH42" localSheetId="27" hidden="1">#REF!</definedName>
    <definedName name="BLPH42" hidden="1">#REF!</definedName>
    <definedName name="BLPH43" localSheetId="17" hidden="1">#REF!</definedName>
    <definedName name="BLPH43" localSheetId="15" hidden="1">#REF!</definedName>
    <definedName name="BLPH43" localSheetId="12" hidden="1">#REF!</definedName>
    <definedName name="BLPH43" localSheetId="22" hidden="1">#REF!</definedName>
    <definedName name="BLPH43" localSheetId="20" hidden="1">#REF!</definedName>
    <definedName name="BLPH43" localSheetId="21" hidden="1">#REF!</definedName>
    <definedName name="BLPH43" localSheetId="23" hidden="1">#REF!</definedName>
    <definedName name="BLPH43" localSheetId="28" hidden="1">#REF!</definedName>
    <definedName name="BLPH43" localSheetId="26" hidden="1">#REF!</definedName>
    <definedName name="BLPH43" localSheetId="27" hidden="1">#REF!</definedName>
    <definedName name="BLPH43" hidden="1">#REF!</definedName>
    <definedName name="BLPH44" localSheetId="17" hidden="1">#REF!</definedName>
    <definedName name="BLPH44" localSheetId="15" hidden="1">#REF!</definedName>
    <definedName name="BLPH44" localSheetId="12" hidden="1">#REF!</definedName>
    <definedName name="BLPH44" localSheetId="22" hidden="1">#REF!</definedName>
    <definedName name="BLPH44" localSheetId="20" hidden="1">#REF!</definedName>
    <definedName name="BLPH44" localSheetId="21" hidden="1">#REF!</definedName>
    <definedName name="BLPH44" localSheetId="23" hidden="1">#REF!</definedName>
    <definedName name="BLPH44" localSheetId="28" hidden="1">#REF!</definedName>
    <definedName name="BLPH44" localSheetId="26" hidden="1">#REF!</definedName>
    <definedName name="BLPH44" localSheetId="27" hidden="1">#REF!</definedName>
    <definedName name="BLPH44" hidden="1">#REF!</definedName>
    <definedName name="BLPH45" localSheetId="17" hidden="1">#REF!</definedName>
    <definedName name="BLPH45" localSheetId="15" hidden="1">#REF!</definedName>
    <definedName name="BLPH45" localSheetId="12" hidden="1">#REF!</definedName>
    <definedName name="BLPH45" localSheetId="22" hidden="1">#REF!</definedName>
    <definedName name="BLPH45" localSheetId="20" hidden="1">#REF!</definedName>
    <definedName name="BLPH45" localSheetId="21" hidden="1">#REF!</definedName>
    <definedName name="BLPH45" localSheetId="23" hidden="1">#REF!</definedName>
    <definedName name="BLPH45" localSheetId="28" hidden="1">#REF!</definedName>
    <definedName name="BLPH45" localSheetId="26" hidden="1">#REF!</definedName>
    <definedName name="BLPH45" localSheetId="27" hidden="1">#REF!</definedName>
    <definedName name="BLPH45" hidden="1">#REF!</definedName>
    <definedName name="BLPH46" localSheetId="17" hidden="1">#REF!</definedName>
    <definedName name="BLPH46" localSheetId="15" hidden="1">#REF!</definedName>
    <definedName name="BLPH46" localSheetId="12" hidden="1">#REF!</definedName>
    <definedName name="BLPH46" localSheetId="22" hidden="1">#REF!</definedName>
    <definedName name="BLPH46" localSheetId="20" hidden="1">#REF!</definedName>
    <definedName name="BLPH46" localSheetId="21" hidden="1">#REF!</definedName>
    <definedName name="BLPH46" localSheetId="23" hidden="1">#REF!</definedName>
    <definedName name="BLPH46" localSheetId="28" hidden="1">#REF!</definedName>
    <definedName name="BLPH46" localSheetId="26" hidden="1">#REF!</definedName>
    <definedName name="BLPH46" localSheetId="27" hidden="1">#REF!</definedName>
    <definedName name="BLPH46" hidden="1">#REF!</definedName>
    <definedName name="BLPH47" localSheetId="17" hidden="1">#REF!</definedName>
    <definedName name="BLPH47" localSheetId="15" hidden="1">#REF!</definedName>
    <definedName name="BLPH47" localSheetId="12" hidden="1">#REF!</definedName>
    <definedName name="BLPH47" localSheetId="22" hidden="1">#REF!</definedName>
    <definedName name="BLPH47" localSheetId="20" hidden="1">#REF!</definedName>
    <definedName name="BLPH47" localSheetId="21" hidden="1">#REF!</definedName>
    <definedName name="BLPH47" localSheetId="23" hidden="1">#REF!</definedName>
    <definedName name="BLPH47" localSheetId="28" hidden="1">#REF!</definedName>
    <definedName name="BLPH47" localSheetId="26" hidden="1">#REF!</definedName>
    <definedName name="BLPH47" localSheetId="27" hidden="1">#REF!</definedName>
    <definedName name="BLPH47" hidden="1">#REF!</definedName>
    <definedName name="BLPH472" localSheetId="17" hidden="1">'[30]BalanceSheet &amp; Rates'!#REF!</definedName>
    <definedName name="BLPH472" localSheetId="15" hidden="1">'[30]BalanceSheet &amp; Rates'!#REF!</definedName>
    <definedName name="BLPH472" localSheetId="12" hidden="1">'[30]BalanceSheet &amp; Rates'!#REF!</definedName>
    <definedName name="BLPH472" localSheetId="22" hidden="1">'[30]BalanceSheet &amp; Rates'!#REF!</definedName>
    <definedName name="BLPH472" localSheetId="20" hidden="1">'[30]BalanceSheet &amp; Rates'!#REF!</definedName>
    <definedName name="BLPH472" localSheetId="21" hidden="1">'[30]BalanceSheet &amp; Rates'!#REF!</definedName>
    <definedName name="BLPH472" localSheetId="23" hidden="1">'[30]BalanceSheet &amp; Rates'!#REF!</definedName>
    <definedName name="BLPH472" localSheetId="28" hidden="1">'[30]BalanceSheet &amp; Rates'!#REF!</definedName>
    <definedName name="BLPH472" localSheetId="26" hidden="1">'[30]BalanceSheet &amp; Rates'!#REF!</definedName>
    <definedName name="BLPH472" localSheetId="27" hidden="1">'[30]BalanceSheet &amp; Rates'!#REF!</definedName>
    <definedName name="BLPH472" hidden="1">'[30]BalanceSheet &amp; Rates'!#REF!</definedName>
    <definedName name="BLPH473" localSheetId="17" hidden="1">'[30]BalanceSheet &amp; Rates'!#REF!</definedName>
    <definedName name="BLPH473" localSheetId="15" hidden="1">'[30]BalanceSheet &amp; Rates'!#REF!</definedName>
    <definedName name="BLPH473" localSheetId="12" hidden="1">'[30]BalanceSheet &amp; Rates'!#REF!</definedName>
    <definedName name="BLPH473" localSheetId="22" hidden="1">'[30]BalanceSheet &amp; Rates'!#REF!</definedName>
    <definedName name="BLPH473" localSheetId="20" hidden="1">'[30]BalanceSheet &amp; Rates'!#REF!</definedName>
    <definedName name="BLPH473" localSheetId="21" hidden="1">'[30]BalanceSheet &amp; Rates'!#REF!</definedName>
    <definedName name="BLPH473" localSheetId="23" hidden="1">'[30]BalanceSheet &amp; Rates'!#REF!</definedName>
    <definedName name="BLPH473" localSheetId="28" hidden="1">'[30]BalanceSheet &amp; Rates'!#REF!</definedName>
    <definedName name="BLPH473" localSheetId="26" hidden="1">'[30]BalanceSheet &amp; Rates'!#REF!</definedName>
    <definedName name="BLPH473" localSheetId="27" hidden="1">'[30]BalanceSheet &amp; Rates'!#REF!</definedName>
    <definedName name="BLPH473" hidden="1">'[30]BalanceSheet &amp; Rates'!#REF!</definedName>
    <definedName name="BLPH474" localSheetId="17" hidden="1">'[30]BalanceSheet &amp; Rates'!#REF!</definedName>
    <definedName name="BLPH474" localSheetId="15" hidden="1">'[30]BalanceSheet &amp; Rates'!#REF!</definedName>
    <definedName name="BLPH474" localSheetId="22" hidden="1">'[30]BalanceSheet &amp; Rates'!#REF!</definedName>
    <definedName name="BLPH474" localSheetId="20" hidden="1">'[30]BalanceSheet &amp; Rates'!#REF!</definedName>
    <definedName name="BLPH474" localSheetId="21" hidden="1">'[30]BalanceSheet &amp; Rates'!#REF!</definedName>
    <definedName name="BLPH474" localSheetId="23" hidden="1">'[30]BalanceSheet &amp; Rates'!#REF!</definedName>
    <definedName name="BLPH474" localSheetId="28" hidden="1">'[30]BalanceSheet &amp; Rates'!#REF!</definedName>
    <definedName name="BLPH474" localSheetId="26" hidden="1">'[30]BalanceSheet &amp; Rates'!#REF!</definedName>
    <definedName name="BLPH474" localSheetId="27" hidden="1">'[30]BalanceSheet &amp; Rates'!#REF!</definedName>
    <definedName name="BLPH474" hidden="1">'[30]BalanceSheet &amp; Rates'!#REF!</definedName>
    <definedName name="BLPH475" localSheetId="17" hidden="1">'[30]Data (from 01-01-02)'!#REF!</definedName>
    <definedName name="BLPH475" localSheetId="15" hidden="1">'[30]Data (from 01-01-02)'!#REF!</definedName>
    <definedName name="BLPH475" localSheetId="22" hidden="1">'[30]Data (from 01-01-02)'!#REF!</definedName>
    <definedName name="BLPH475" localSheetId="20" hidden="1">'[30]Data (from 01-01-02)'!#REF!</definedName>
    <definedName name="BLPH475" localSheetId="21" hidden="1">'[30]Data (from 01-01-02)'!#REF!</definedName>
    <definedName name="BLPH475" localSheetId="23" hidden="1">'[30]Data (from 01-01-02)'!#REF!</definedName>
    <definedName name="BLPH475" localSheetId="28" hidden="1">'[30]Data (from 01-01-02)'!#REF!</definedName>
    <definedName name="BLPH475" localSheetId="26" hidden="1">'[30]Data (from 01-01-02)'!#REF!</definedName>
    <definedName name="BLPH475" localSheetId="27" hidden="1">'[30]Data (from 01-01-02)'!#REF!</definedName>
    <definedName name="BLPH475" hidden="1">'[30]Data (from 01-01-02)'!#REF!</definedName>
    <definedName name="BLPH48" localSheetId="17" hidden="1">#REF!</definedName>
    <definedName name="BLPH48" localSheetId="15" hidden="1">#REF!</definedName>
    <definedName name="BLPH48" localSheetId="12" hidden="1">#REF!</definedName>
    <definedName name="BLPH48" localSheetId="22" hidden="1">#REF!</definedName>
    <definedName name="BLPH48" localSheetId="20" hidden="1">#REF!</definedName>
    <definedName name="BLPH48" localSheetId="21" hidden="1">#REF!</definedName>
    <definedName name="BLPH48" localSheetId="23" hidden="1">#REF!</definedName>
    <definedName name="BLPH48" localSheetId="28" hidden="1">#REF!</definedName>
    <definedName name="BLPH48" localSheetId="26" hidden="1">#REF!</definedName>
    <definedName name="BLPH48" localSheetId="27" hidden="1">#REF!</definedName>
    <definedName name="BLPH48" hidden="1">#REF!</definedName>
    <definedName name="BLPH49" localSheetId="17" hidden="1">#REF!</definedName>
    <definedName name="BLPH49" localSheetId="15" hidden="1">#REF!</definedName>
    <definedName name="BLPH49" localSheetId="12" hidden="1">#REF!</definedName>
    <definedName name="BLPH49" localSheetId="22" hidden="1">#REF!</definedName>
    <definedName name="BLPH49" localSheetId="20" hidden="1">#REF!</definedName>
    <definedName name="BLPH49" localSheetId="21" hidden="1">#REF!</definedName>
    <definedName name="BLPH49" localSheetId="23" hidden="1">#REF!</definedName>
    <definedName name="BLPH49" localSheetId="28" hidden="1">#REF!</definedName>
    <definedName name="BLPH49" localSheetId="26" hidden="1">#REF!</definedName>
    <definedName name="BLPH49" localSheetId="27" hidden="1">#REF!</definedName>
    <definedName name="BLPH49" hidden="1">#REF!</definedName>
    <definedName name="BLPH5" localSheetId="17" hidden="1">#REF!</definedName>
    <definedName name="BLPH5" localSheetId="15" hidden="1">#REF!</definedName>
    <definedName name="BLPH5" localSheetId="12" hidden="1">#REF!</definedName>
    <definedName name="BLPH5" localSheetId="22" hidden="1">#REF!</definedName>
    <definedName name="BLPH5" localSheetId="20" hidden="1">#REF!</definedName>
    <definedName name="BLPH5" localSheetId="21" hidden="1">#REF!</definedName>
    <definedName name="BLPH5" localSheetId="23" hidden="1">#REF!</definedName>
    <definedName name="BLPH5" localSheetId="28" hidden="1">#REF!</definedName>
    <definedName name="BLPH5" localSheetId="26" hidden="1">#REF!</definedName>
    <definedName name="BLPH5" localSheetId="27" hidden="1">#REF!</definedName>
    <definedName name="BLPH5" hidden="1">#REF!</definedName>
    <definedName name="BLPH50" localSheetId="17" hidden="1">#REF!</definedName>
    <definedName name="BLPH50" localSheetId="15" hidden="1">#REF!</definedName>
    <definedName name="BLPH50" localSheetId="12" hidden="1">#REF!</definedName>
    <definedName name="BLPH50" localSheetId="22" hidden="1">#REF!</definedName>
    <definedName name="BLPH50" localSheetId="20" hidden="1">#REF!</definedName>
    <definedName name="BLPH50" localSheetId="21" hidden="1">#REF!</definedName>
    <definedName name="BLPH50" localSheetId="23" hidden="1">#REF!</definedName>
    <definedName name="BLPH50" localSheetId="28" hidden="1">#REF!</definedName>
    <definedName name="BLPH50" localSheetId="26" hidden="1">#REF!</definedName>
    <definedName name="BLPH50" localSheetId="27" hidden="1">#REF!</definedName>
    <definedName name="BLPH50" hidden="1">#REF!</definedName>
    <definedName name="BLPH51" localSheetId="17" hidden="1">#REF!</definedName>
    <definedName name="BLPH51" localSheetId="15" hidden="1">#REF!</definedName>
    <definedName name="BLPH51" localSheetId="12" hidden="1">#REF!</definedName>
    <definedName name="BLPH51" localSheetId="22" hidden="1">#REF!</definedName>
    <definedName name="BLPH51" localSheetId="20" hidden="1">#REF!</definedName>
    <definedName name="BLPH51" localSheetId="21" hidden="1">#REF!</definedName>
    <definedName name="BLPH51" localSheetId="23" hidden="1">#REF!</definedName>
    <definedName name="BLPH51" localSheetId="28" hidden="1">#REF!</definedName>
    <definedName name="BLPH51" localSheetId="26" hidden="1">#REF!</definedName>
    <definedName name="BLPH51" localSheetId="27" hidden="1">#REF!</definedName>
    <definedName name="BLPH51" hidden="1">#REF!</definedName>
    <definedName name="BLPH52" localSheetId="17" hidden="1">#REF!</definedName>
    <definedName name="BLPH52" localSheetId="15" hidden="1">#REF!</definedName>
    <definedName name="BLPH52" localSheetId="12" hidden="1">#REF!</definedName>
    <definedName name="BLPH52" localSheetId="22" hidden="1">#REF!</definedName>
    <definedName name="BLPH52" localSheetId="20" hidden="1">#REF!</definedName>
    <definedName name="BLPH52" localSheetId="21" hidden="1">#REF!</definedName>
    <definedName name="BLPH52" localSheetId="23" hidden="1">#REF!</definedName>
    <definedName name="BLPH52" localSheetId="28" hidden="1">#REF!</definedName>
    <definedName name="BLPH52" localSheetId="26" hidden="1">#REF!</definedName>
    <definedName name="BLPH52" localSheetId="27" hidden="1">#REF!</definedName>
    <definedName name="BLPH52" hidden="1">#REF!</definedName>
    <definedName name="BLPH53" localSheetId="17" hidden="1">#REF!</definedName>
    <definedName name="BLPH53" localSheetId="15" hidden="1">#REF!</definedName>
    <definedName name="BLPH53" localSheetId="12" hidden="1">#REF!</definedName>
    <definedName name="BLPH53" localSheetId="22" hidden="1">#REF!</definedName>
    <definedName name="BLPH53" localSheetId="20" hidden="1">#REF!</definedName>
    <definedName name="BLPH53" localSheetId="21" hidden="1">#REF!</definedName>
    <definedName name="BLPH53" localSheetId="23" hidden="1">#REF!</definedName>
    <definedName name="BLPH53" localSheetId="28" hidden="1">#REF!</definedName>
    <definedName name="BLPH53" localSheetId="26" hidden="1">#REF!</definedName>
    <definedName name="BLPH53" localSheetId="27" hidden="1">#REF!</definedName>
    <definedName name="BLPH53" hidden="1">#REF!</definedName>
    <definedName name="BLPH54" localSheetId="17" hidden="1">#REF!</definedName>
    <definedName name="BLPH54" localSheetId="15" hidden="1">#REF!</definedName>
    <definedName name="BLPH54" localSheetId="12" hidden="1">#REF!</definedName>
    <definedName name="BLPH54" localSheetId="22" hidden="1">#REF!</definedName>
    <definedName name="BLPH54" localSheetId="20" hidden="1">#REF!</definedName>
    <definedName name="BLPH54" localSheetId="21" hidden="1">#REF!</definedName>
    <definedName name="BLPH54" localSheetId="23" hidden="1">#REF!</definedName>
    <definedName name="BLPH54" localSheetId="28" hidden="1">#REF!</definedName>
    <definedName name="BLPH54" localSheetId="26" hidden="1">#REF!</definedName>
    <definedName name="BLPH54" localSheetId="27" hidden="1">#REF!</definedName>
    <definedName name="BLPH54" hidden="1">#REF!</definedName>
    <definedName name="BLPH55" localSheetId="17" hidden="1">#REF!</definedName>
    <definedName name="BLPH55" localSheetId="15" hidden="1">#REF!</definedName>
    <definedName name="BLPH55" localSheetId="12" hidden="1">#REF!</definedName>
    <definedName name="BLPH55" localSheetId="22" hidden="1">#REF!</definedName>
    <definedName name="BLPH55" localSheetId="20" hidden="1">#REF!</definedName>
    <definedName name="BLPH55" localSheetId="21" hidden="1">#REF!</definedName>
    <definedName name="BLPH55" localSheetId="23" hidden="1">#REF!</definedName>
    <definedName name="BLPH55" localSheetId="28" hidden="1">#REF!</definedName>
    <definedName name="BLPH55" localSheetId="26" hidden="1">#REF!</definedName>
    <definedName name="BLPH55" localSheetId="27" hidden="1">#REF!</definedName>
    <definedName name="BLPH55" hidden="1">#REF!</definedName>
    <definedName name="BLPH56" localSheetId="17" hidden="1">'[30]BalanceSheet &amp; Rates'!#REF!</definedName>
    <definedName name="BLPH56" localSheetId="15" hidden="1">'[30]BalanceSheet &amp; Rates'!#REF!</definedName>
    <definedName name="BLPH56" localSheetId="12" hidden="1">'[30]BalanceSheet &amp; Rates'!#REF!</definedName>
    <definedName name="BLPH56" localSheetId="22" hidden="1">'[30]BalanceSheet &amp; Rates'!#REF!</definedName>
    <definedName name="BLPH56" localSheetId="20" hidden="1">'[30]BalanceSheet &amp; Rates'!#REF!</definedName>
    <definedName name="BLPH56" localSheetId="21" hidden="1">'[30]BalanceSheet &amp; Rates'!#REF!</definedName>
    <definedName name="BLPH56" localSheetId="23" hidden="1">'[30]BalanceSheet &amp; Rates'!#REF!</definedName>
    <definedName name="BLPH56" localSheetId="28" hidden="1">'[30]BalanceSheet &amp; Rates'!#REF!</definedName>
    <definedName name="BLPH56" localSheetId="26" hidden="1">'[30]BalanceSheet &amp; Rates'!#REF!</definedName>
    <definedName name="BLPH56" localSheetId="27" hidden="1">'[30]BalanceSheet &amp; Rates'!#REF!</definedName>
    <definedName name="BLPH56" hidden="1">'[30]BalanceSheet &amp; Rates'!#REF!</definedName>
    <definedName name="BLPH57" localSheetId="17" hidden="1">#REF!</definedName>
    <definedName name="BLPH57" localSheetId="15" hidden="1">#REF!</definedName>
    <definedName name="BLPH57" localSheetId="12" hidden="1">#REF!</definedName>
    <definedName name="BLPH57" localSheetId="22" hidden="1">#REF!</definedName>
    <definedName name="BLPH57" localSheetId="20" hidden="1">#REF!</definedName>
    <definedName name="BLPH57" localSheetId="21" hidden="1">#REF!</definedName>
    <definedName name="BLPH57" localSheetId="23" hidden="1">#REF!</definedName>
    <definedName name="BLPH57" localSheetId="28" hidden="1">#REF!</definedName>
    <definedName name="BLPH57" localSheetId="26" hidden="1">#REF!</definedName>
    <definedName name="BLPH57" localSheetId="27" hidden="1">#REF!</definedName>
    <definedName name="BLPH57" hidden="1">#REF!</definedName>
    <definedName name="BLPH58" localSheetId="17" hidden="1">#REF!</definedName>
    <definedName name="BLPH58" localSheetId="15" hidden="1">#REF!</definedName>
    <definedName name="BLPH58" localSheetId="12" hidden="1">#REF!</definedName>
    <definedName name="BLPH58" localSheetId="22" hidden="1">#REF!</definedName>
    <definedName name="BLPH58" localSheetId="20" hidden="1">#REF!</definedName>
    <definedName name="BLPH58" localSheetId="21" hidden="1">#REF!</definedName>
    <definedName name="BLPH58" localSheetId="23" hidden="1">#REF!</definedName>
    <definedName name="BLPH58" localSheetId="28" hidden="1">#REF!</definedName>
    <definedName name="BLPH58" localSheetId="26" hidden="1">#REF!</definedName>
    <definedName name="BLPH58" localSheetId="27" hidden="1">#REF!</definedName>
    <definedName name="BLPH58" hidden="1">#REF!</definedName>
    <definedName name="BLPH59" localSheetId="17" hidden="1">#REF!</definedName>
    <definedName name="BLPH59" localSheetId="15" hidden="1">#REF!</definedName>
    <definedName name="BLPH59" localSheetId="12" hidden="1">#REF!</definedName>
    <definedName name="BLPH59" localSheetId="22" hidden="1">#REF!</definedName>
    <definedName name="BLPH59" localSheetId="20" hidden="1">#REF!</definedName>
    <definedName name="BLPH59" localSheetId="21" hidden="1">#REF!</definedName>
    <definedName name="BLPH59" localSheetId="23" hidden="1">#REF!</definedName>
    <definedName name="BLPH59" localSheetId="28" hidden="1">#REF!</definedName>
    <definedName name="BLPH59" localSheetId="26" hidden="1">#REF!</definedName>
    <definedName name="BLPH59" localSheetId="27" hidden="1">#REF!</definedName>
    <definedName name="BLPH59" hidden="1">#REF!</definedName>
    <definedName name="BLPH6" localSheetId="17" hidden="1">#REF!</definedName>
    <definedName name="BLPH6" localSheetId="15" hidden="1">#REF!</definedName>
    <definedName name="BLPH6" localSheetId="12" hidden="1">#REF!</definedName>
    <definedName name="BLPH6" localSheetId="22" hidden="1">#REF!</definedName>
    <definedName name="BLPH6" localSheetId="20" hidden="1">#REF!</definedName>
    <definedName name="BLPH6" localSheetId="21" hidden="1">#REF!</definedName>
    <definedName name="BLPH6" localSheetId="23" hidden="1">#REF!</definedName>
    <definedName name="BLPH6" localSheetId="28" hidden="1">#REF!</definedName>
    <definedName name="BLPH6" localSheetId="26" hidden="1">#REF!</definedName>
    <definedName name="BLPH6" localSheetId="27" hidden="1">#REF!</definedName>
    <definedName name="BLPH6" hidden="1">#REF!</definedName>
    <definedName name="BLPH60" localSheetId="17" hidden="1">#REF!</definedName>
    <definedName name="BLPH60" localSheetId="15" hidden="1">#REF!</definedName>
    <definedName name="BLPH60" localSheetId="12" hidden="1">#REF!</definedName>
    <definedName name="BLPH60" localSheetId="22" hidden="1">#REF!</definedName>
    <definedName name="BLPH60" localSheetId="20" hidden="1">#REF!</definedName>
    <definedName name="BLPH60" localSheetId="21" hidden="1">#REF!</definedName>
    <definedName name="BLPH60" localSheetId="23" hidden="1">#REF!</definedName>
    <definedName name="BLPH60" localSheetId="28" hidden="1">#REF!</definedName>
    <definedName name="BLPH60" localSheetId="26" hidden="1">#REF!</definedName>
    <definedName name="BLPH60" localSheetId="27" hidden="1">#REF!</definedName>
    <definedName name="BLPH60" hidden="1">#REF!</definedName>
    <definedName name="BLPH61" localSheetId="17" hidden="1">#REF!</definedName>
    <definedName name="BLPH61" localSheetId="15" hidden="1">#REF!</definedName>
    <definedName name="BLPH61" localSheetId="12" hidden="1">#REF!</definedName>
    <definedName name="BLPH61" localSheetId="22" hidden="1">#REF!</definedName>
    <definedName name="BLPH61" localSheetId="20" hidden="1">#REF!</definedName>
    <definedName name="BLPH61" localSheetId="21" hidden="1">#REF!</definedName>
    <definedName name="BLPH61" localSheetId="23" hidden="1">#REF!</definedName>
    <definedName name="BLPH61" localSheetId="28" hidden="1">#REF!</definedName>
    <definedName name="BLPH61" localSheetId="26" hidden="1">#REF!</definedName>
    <definedName name="BLPH61" localSheetId="27" hidden="1">#REF!</definedName>
    <definedName name="BLPH61" hidden="1">#REF!</definedName>
    <definedName name="BLPH62" localSheetId="17" hidden="1">#REF!</definedName>
    <definedName name="BLPH62" localSheetId="15" hidden="1">#REF!</definedName>
    <definedName name="BLPH62" localSheetId="12" hidden="1">#REF!</definedName>
    <definedName name="BLPH62" localSheetId="22" hidden="1">#REF!</definedName>
    <definedName name="BLPH62" localSheetId="20" hidden="1">#REF!</definedName>
    <definedName name="BLPH62" localSheetId="21" hidden="1">#REF!</definedName>
    <definedName name="BLPH62" localSheetId="23" hidden="1">#REF!</definedName>
    <definedName name="BLPH62" localSheetId="28" hidden="1">#REF!</definedName>
    <definedName name="BLPH62" localSheetId="26" hidden="1">#REF!</definedName>
    <definedName name="BLPH62" localSheetId="27" hidden="1">#REF!</definedName>
    <definedName name="BLPH62" hidden="1">#REF!</definedName>
    <definedName name="BLPH63" localSheetId="17" hidden="1">#REF!</definedName>
    <definedName name="BLPH63" localSheetId="15" hidden="1">#REF!</definedName>
    <definedName name="BLPH63" localSheetId="12" hidden="1">#REF!</definedName>
    <definedName name="BLPH63" localSheetId="22" hidden="1">#REF!</definedName>
    <definedName name="BLPH63" localSheetId="20" hidden="1">#REF!</definedName>
    <definedName name="BLPH63" localSheetId="21" hidden="1">#REF!</definedName>
    <definedName name="BLPH63" localSheetId="23" hidden="1">#REF!</definedName>
    <definedName name="BLPH63" localSheetId="28" hidden="1">#REF!</definedName>
    <definedName name="BLPH63" localSheetId="26" hidden="1">#REF!</definedName>
    <definedName name="BLPH63" localSheetId="27" hidden="1">#REF!</definedName>
    <definedName name="BLPH63" hidden="1">#REF!</definedName>
    <definedName name="BLPH64" localSheetId="17" hidden="1">#REF!</definedName>
    <definedName name="BLPH64" localSheetId="15" hidden="1">#REF!</definedName>
    <definedName name="BLPH64" localSheetId="12" hidden="1">#REF!</definedName>
    <definedName name="BLPH64" localSheetId="22" hidden="1">#REF!</definedName>
    <definedName name="BLPH64" localSheetId="20" hidden="1">#REF!</definedName>
    <definedName name="BLPH64" localSheetId="21" hidden="1">#REF!</definedName>
    <definedName name="BLPH64" localSheetId="23" hidden="1">#REF!</definedName>
    <definedName name="BLPH64" localSheetId="28" hidden="1">#REF!</definedName>
    <definedName name="BLPH64" localSheetId="26" hidden="1">#REF!</definedName>
    <definedName name="BLPH64" localSheetId="27" hidden="1">#REF!</definedName>
    <definedName name="BLPH64" hidden="1">#REF!</definedName>
    <definedName name="BLPH65" localSheetId="17" hidden="1">#REF!</definedName>
    <definedName name="BLPH65" localSheetId="15" hidden="1">#REF!</definedName>
    <definedName name="BLPH65" localSheetId="12" hidden="1">#REF!</definedName>
    <definedName name="BLPH65" localSheetId="22" hidden="1">#REF!</definedName>
    <definedName name="BLPH65" localSheetId="20" hidden="1">#REF!</definedName>
    <definedName name="BLPH65" localSheetId="21" hidden="1">#REF!</definedName>
    <definedName name="BLPH65" localSheetId="23" hidden="1">#REF!</definedName>
    <definedName name="BLPH65" localSheetId="28" hidden="1">#REF!</definedName>
    <definedName name="BLPH65" localSheetId="26" hidden="1">#REF!</definedName>
    <definedName name="BLPH65" localSheetId="27" hidden="1">#REF!</definedName>
    <definedName name="BLPH65" hidden="1">#REF!</definedName>
    <definedName name="BLPH66" localSheetId="17" hidden="1">#REF!</definedName>
    <definedName name="BLPH66" localSheetId="15" hidden="1">#REF!</definedName>
    <definedName name="BLPH66" localSheetId="12" hidden="1">#REF!</definedName>
    <definedName name="BLPH66" localSheetId="22" hidden="1">#REF!</definedName>
    <definedName name="BLPH66" localSheetId="20" hidden="1">#REF!</definedName>
    <definedName name="BLPH66" localSheetId="21" hidden="1">#REF!</definedName>
    <definedName name="BLPH66" localSheetId="23" hidden="1">#REF!</definedName>
    <definedName name="BLPH66" localSheetId="28" hidden="1">#REF!</definedName>
    <definedName name="BLPH66" localSheetId="26" hidden="1">#REF!</definedName>
    <definedName name="BLPH66" localSheetId="27" hidden="1">#REF!</definedName>
    <definedName name="BLPH66" hidden="1">#REF!</definedName>
    <definedName name="BLPH67" localSheetId="17" hidden="1">#REF!</definedName>
    <definedName name="BLPH67" localSheetId="15" hidden="1">#REF!</definedName>
    <definedName name="BLPH67" localSheetId="12" hidden="1">#REF!</definedName>
    <definedName name="BLPH67" localSheetId="22" hidden="1">#REF!</definedName>
    <definedName name="BLPH67" localSheetId="20" hidden="1">#REF!</definedName>
    <definedName name="BLPH67" localSheetId="21" hidden="1">#REF!</definedName>
    <definedName name="BLPH67" localSheetId="23" hidden="1">#REF!</definedName>
    <definedName name="BLPH67" localSheetId="28" hidden="1">#REF!</definedName>
    <definedName name="BLPH67" localSheetId="26" hidden="1">#REF!</definedName>
    <definedName name="BLPH67" localSheetId="27" hidden="1">#REF!</definedName>
    <definedName name="BLPH67" hidden="1">#REF!</definedName>
    <definedName name="BLPH68" localSheetId="17" hidden="1">#REF!</definedName>
    <definedName name="BLPH68" localSheetId="15" hidden="1">#REF!</definedName>
    <definedName name="BLPH68" localSheetId="12" hidden="1">#REF!</definedName>
    <definedName name="BLPH68" localSheetId="22" hidden="1">#REF!</definedName>
    <definedName name="BLPH68" localSheetId="20" hidden="1">#REF!</definedName>
    <definedName name="BLPH68" localSheetId="21" hidden="1">#REF!</definedName>
    <definedName name="BLPH68" localSheetId="23" hidden="1">#REF!</definedName>
    <definedName name="BLPH68" localSheetId="28" hidden="1">#REF!</definedName>
    <definedName name="BLPH68" localSheetId="26" hidden="1">#REF!</definedName>
    <definedName name="BLPH68" localSheetId="27" hidden="1">#REF!</definedName>
    <definedName name="BLPH68" hidden="1">#REF!</definedName>
    <definedName name="BLPH69" localSheetId="17" hidden="1">#REF!</definedName>
    <definedName name="BLPH69" localSheetId="15" hidden="1">#REF!</definedName>
    <definedName name="BLPH69" localSheetId="12" hidden="1">#REF!</definedName>
    <definedName name="BLPH69" localSheetId="22" hidden="1">#REF!</definedName>
    <definedName name="BLPH69" localSheetId="20" hidden="1">#REF!</definedName>
    <definedName name="BLPH69" localSheetId="21" hidden="1">#REF!</definedName>
    <definedName name="BLPH69" localSheetId="23" hidden="1">#REF!</definedName>
    <definedName name="BLPH69" localSheetId="28" hidden="1">#REF!</definedName>
    <definedName name="BLPH69" localSheetId="26" hidden="1">#REF!</definedName>
    <definedName name="BLPH69" localSheetId="27" hidden="1">#REF!</definedName>
    <definedName name="BLPH69" hidden="1">#REF!</definedName>
    <definedName name="BLPH7" localSheetId="17" hidden="1">#REF!</definedName>
    <definedName name="BLPH7" localSheetId="15" hidden="1">#REF!</definedName>
    <definedName name="BLPH7" localSheetId="12" hidden="1">#REF!</definedName>
    <definedName name="BLPH7" localSheetId="22" hidden="1">#REF!</definedName>
    <definedName name="BLPH7" localSheetId="20" hidden="1">#REF!</definedName>
    <definedName name="BLPH7" localSheetId="21" hidden="1">#REF!</definedName>
    <definedName name="BLPH7" localSheetId="23" hidden="1">#REF!</definedName>
    <definedName name="BLPH7" localSheetId="28" hidden="1">#REF!</definedName>
    <definedName name="BLPH7" localSheetId="26" hidden="1">#REF!</definedName>
    <definedName name="BLPH7" localSheetId="27" hidden="1">#REF!</definedName>
    <definedName name="BLPH7" hidden="1">#REF!</definedName>
    <definedName name="BLPH70" localSheetId="17" hidden="1">#REF!</definedName>
    <definedName name="BLPH70" localSheetId="15" hidden="1">#REF!</definedName>
    <definedName name="BLPH70" localSheetId="12" hidden="1">#REF!</definedName>
    <definedName name="BLPH70" localSheetId="22" hidden="1">#REF!</definedName>
    <definedName name="BLPH70" localSheetId="20" hidden="1">#REF!</definedName>
    <definedName name="BLPH70" localSheetId="21" hidden="1">#REF!</definedName>
    <definedName name="BLPH70" localSheetId="23" hidden="1">#REF!</definedName>
    <definedName name="BLPH70" localSheetId="28" hidden="1">#REF!</definedName>
    <definedName name="BLPH70" localSheetId="26" hidden="1">#REF!</definedName>
    <definedName name="BLPH70" localSheetId="27" hidden="1">#REF!</definedName>
    <definedName name="BLPH70" hidden="1">#REF!</definedName>
    <definedName name="BLPH71" localSheetId="17" hidden="1">#REF!</definedName>
    <definedName name="BLPH71" localSheetId="15" hidden="1">#REF!</definedName>
    <definedName name="BLPH71" localSheetId="12" hidden="1">#REF!</definedName>
    <definedName name="BLPH71" localSheetId="22" hidden="1">#REF!</definedName>
    <definedName name="BLPH71" localSheetId="20" hidden="1">#REF!</definedName>
    <definedName name="BLPH71" localSheetId="21" hidden="1">#REF!</definedName>
    <definedName name="BLPH71" localSheetId="23" hidden="1">#REF!</definedName>
    <definedName name="BLPH71" localSheetId="28" hidden="1">#REF!</definedName>
    <definedName name="BLPH71" localSheetId="26" hidden="1">#REF!</definedName>
    <definedName name="BLPH71" localSheetId="27" hidden="1">#REF!</definedName>
    <definedName name="BLPH71" hidden="1">#REF!</definedName>
    <definedName name="BLPH72" localSheetId="17" hidden="1">#REF!</definedName>
    <definedName name="BLPH72" localSheetId="15" hidden="1">#REF!</definedName>
    <definedName name="BLPH72" localSheetId="12" hidden="1">#REF!</definedName>
    <definedName name="BLPH72" localSheetId="22" hidden="1">#REF!</definedName>
    <definedName name="BLPH72" localSheetId="20" hidden="1">#REF!</definedName>
    <definedName name="BLPH72" localSheetId="21" hidden="1">#REF!</definedName>
    <definedName name="BLPH72" localSheetId="23" hidden="1">#REF!</definedName>
    <definedName name="BLPH72" localSheetId="28" hidden="1">#REF!</definedName>
    <definedName name="BLPH72" localSheetId="26" hidden="1">#REF!</definedName>
    <definedName name="BLPH72" localSheetId="27" hidden="1">#REF!</definedName>
    <definedName name="BLPH72" hidden="1">#REF!</definedName>
    <definedName name="BLPH73" localSheetId="17" hidden="1">#REF!</definedName>
    <definedName name="BLPH73" localSheetId="15" hidden="1">#REF!</definedName>
    <definedName name="BLPH73" localSheetId="12" hidden="1">#REF!</definedName>
    <definedName name="BLPH73" localSheetId="22" hidden="1">#REF!</definedName>
    <definedName name="BLPH73" localSheetId="20" hidden="1">#REF!</definedName>
    <definedName name="BLPH73" localSheetId="21" hidden="1">#REF!</definedName>
    <definedName name="BLPH73" localSheetId="23" hidden="1">#REF!</definedName>
    <definedName name="BLPH73" localSheetId="28" hidden="1">#REF!</definedName>
    <definedName name="BLPH73" localSheetId="26" hidden="1">#REF!</definedName>
    <definedName name="BLPH73" localSheetId="27" hidden="1">#REF!</definedName>
    <definedName name="BLPH73" hidden="1">#REF!</definedName>
    <definedName name="BLPH74" localSheetId="17" hidden="1">#REF!</definedName>
    <definedName name="BLPH74" localSheetId="15" hidden="1">#REF!</definedName>
    <definedName name="BLPH74" localSheetId="12" hidden="1">#REF!</definedName>
    <definedName name="BLPH74" localSheetId="22" hidden="1">#REF!</definedName>
    <definedName name="BLPH74" localSheetId="20" hidden="1">#REF!</definedName>
    <definedName name="BLPH74" localSheetId="21" hidden="1">#REF!</definedName>
    <definedName name="BLPH74" localSheetId="23" hidden="1">#REF!</definedName>
    <definedName name="BLPH74" localSheetId="28" hidden="1">#REF!</definedName>
    <definedName name="BLPH74" localSheetId="26" hidden="1">#REF!</definedName>
    <definedName name="BLPH74" localSheetId="27" hidden="1">#REF!</definedName>
    <definedName name="BLPH74" hidden="1">#REF!</definedName>
    <definedName name="BLPH75" localSheetId="17" hidden="1">#REF!</definedName>
    <definedName name="BLPH75" localSheetId="15" hidden="1">#REF!</definedName>
    <definedName name="BLPH75" localSheetId="12" hidden="1">#REF!</definedName>
    <definedName name="BLPH75" localSheetId="22" hidden="1">#REF!</definedName>
    <definedName name="BLPH75" localSheetId="20" hidden="1">#REF!</definedName>
    <definedName name="BLPH75" localSheetId="21" hidden="1">#REF!</definedName>
    <definedName name="BLPH75" localSheetId="23" hidden="1">#REF!</definedName>
    <definedName name="BLPH75" localSheetId="28" hidden="1">#REF!</definedName>
    <definedName name="BLPH75" localSheetId="26" hidden="1">#REF!</definedName>
    <definedName name="BLPH75" localSheetId="27" hidden="1">#REF!</definedName>
    <definedName name="BLPH75" hidden="1">#REF!</definedName>
    <definedName name="BLPH76" localSheetId="17" hidden="1">#REF!</definedName>
    <definedName name="BLPH76" localSheetId="15" hidden="1">#REF!</definedName>
    <definedName name="BLPH76" localSheetId="12" hidden="1">#REF!</definedName>
    <definedName name="BLPH76" localSheetId="22" hidden="1">#REF!</definedName>
    <definedName name="BLPH76" localSheetId="20" hidden="1">#REF!</definedName>
    <definedName name="BLPH76" localSheetId="21" hidden="1">#REF!</definedName>
    <definedName name="BLPH76" localSheetId="23" hidden="1">#REF!</definedName>
    <definedName name="BLPH76" localSheetId="28" hidden="1">#REF!</definedName>
    <definedName name="BLPH76" localSheetId="26" hidden="1">#REF!</definedName>
    <definedName name="BLPH76" localSheetId="27" hidden="1">#REF!</definedName>
    <definedName name="BLPH76" hidden="1">#REF!</definedName>
    <definedName name="BLPH77" localSheetId="17" hidden="1">#REF!</definedName>
    <definedName name="BLPH77" localSheetId="15" hidden="1">#REF!</definedName>
    <definedName name="BLPH77" localSheetId="12" hidden="1">#REF!</definedName>
    <definedName name="BLPH77" localSheetId="22" hidden="1">#REF!</definedName>
    <definedName name="BLPH77" localSheetId="20" hidden="1">#REF!</definedName>
    <definedName name="BLPH77" localSheetId="21" hidden="1">#REF!</definedName>
    <definedName name="BLPH77" localSheetId="23" hidden="1">#REF!</definedName>
    <definedName name="BLPH77" localSheetId="28" hidden="1">#REF!</definedName>
    <definedName name="BLPH77" localSheetId="26" hidden="1">#REF!</definedName>
    <definedName name="BLPH77" localSheetId="27" hidden="1">#REF!</definedName>
    <definedName name="BLPH77" hidden="1">#REF!</definedName>
    <definedName name="BLPH78" localSheetId="17" hidden="1">#REF!</definedName>
    <definedName name="BLPH78" localSheetId="15" hidden="1">#REF!</definedName>
    <definedName name="BLPH78" localSheetId="12" hidden="1">#REF!</definedName>
    <definedName name="BLPH78" localSheetId="22" hidden="1">#REF!</definedName>
    <definedName name="BLPH78" localSheetId="20" hidden="1">#REF!</definedName>
    <definedName name="BLPH78" localSheetId="21" hidden="1">#REF!</definedName>
    <definedName name="BLPH78" localSheetId="23" hidden="1">#REF!</definedName>
    <definedName name="BLPH78" localSheetId="28" hidden="1">#REF!</definedName>
    <definedName name="BLPH78" localSheetId="26" hidden="1">#REF!</definedName>
    <definedName name="BLPH78" localSheetId="27" hidden="1">#REF!</definedName>
    <definedName name="BLPH78" hidden="1">#REF!</definedName>
    <definedName name="BLPH79" localSheetId="17" hidden="1">#REF!</definedName>
    <definedName name="BLPH79" localSheetId="15" hidden="1">#REF!</definedName>
    <definedName name="BLPH79" localSheetId="12" hidden="1">#REF!</definedName>
    <definedName name="BLPH79" localSheetId="22" hidden="1">#REF!</definedName>
    <definedName name="BLPH79" localSheetId="20" hidden="1">#REF!</definedName>
    <definedName name="BLPH79" localSheetId="21" hidden="1">#REF!</definedName>
    <definedName name="BLPH79" localSheetId="23" hidden="1">#REF!</definedName>
    <definedName name="BLPH79" localSheetId="28" hidden="1">#REF!</definedName>
    <definedName name="BLPH79" localSheetId="26" hidden="1">#REF!</definedName>
    <definedName name="BLPH79" localSheetId="27" hidden="1">#REF!</definedName>
    <definedName name="BLPH79" hidden="1">#REF!</definedName>
    <definedName name="BLPH8" localSheetId="17" hidden="1">#REF!</definedName>
    <definedName name="BLPH8" localSheetId="15" hidden="1">#REF!</definedName>
    <definedName name="BLPH8" localSheetId="12" hidden="1">#REF!</definedName>
    <definedName name="BLPH8" localSheetId="22" hidden="1">#REF!</definedName>
    <definedName name="BLPH8" localSheetId="20" hidden="1">#REF!</definedName>
    <definedName name="BLPH8" localSheetId="21" hidden="1">#REF!</definedName>
    <definedName name="BLPH8" localSheetId="23" hidden="1">#REF!</definedName>
    <definedName name="BLPH8" localSheetId="28" hidden="1">#REF!</definedName>
    <definedName name="BLPH8" localSheetId="26" hidden="1">#REF!</definedName>
    <definedName name="BLPH8" localSheetId="27" hidden="1">#REF!</definedName>
    <definedName name="BLPH8" hidden="1">#REF!</definedName>
    <definedName name="BLPH80" localSheetId="17" hidden="1">#REF!</definedName>
    <definedName name="BLPH80" localSheetId="15" hidden="1">#REF!</definedName>
    <definedName name="BLPH80" localSheetId="12" hidden="1">#REF!</definedName>
    <definedName name="BLPH80" localSheetId="22" hidden="1">#REF!</definedName>
    <definedName name="BLPH80" localSheetId="20" hidden="1">#REF!</definedName>
    <definedName name="BLPH80" localSheetId="21" hidden="1">#REF!</definedName>
    <definedName name="BLPH80" localSheetId="23" hidden="1">#REF!</definedName>
    <definedName name="BLPH80" localSheetId="28" hidden="1">#REF!</definedName>
    <definedName name="BLPH80" localSheetId="26" hidden="1">#REF!</definedName>
    <definedName name="BLPH80" localSheetId="27" hidden="1">#REF!</definedName>
    <definedName name="BLPH80" hidden="1">#REF!</definedName>
    <definedName name="BLPH81" localSheetId="17" hidden="1">#REF!</definedName>
    <definedName name="BLPH81" localSheetId="15" hidden="1">#REF!</definedName>
    <definedName name="BLPH81" localSheetId="12" hidden="1">#REF!</definedName>
    <definedName name="BLPH81" localSheetId="22" hidden="1">#REF!</definedName>
    <definedName name="BLPH81" localSheetId="20" hidden="1">#REF!</definedName>
    <definedName name="BLPH81" localSheetId="21" hidden="1">#REF!</definedName>
    <definedName name="BLPH81" localSheetId="23" hidden="1">#REF!</definedName>
    <definedName name="BLPH81" localSheetId="28" hidden="1">#REF!</definedName>
    <definedName name="BLPH81" localSheetId="26" hidden="1">#REF!</definedName>
    <definedName name="BLPH81" localSheetId="27" hidden="1">#REF!</definedName>
    <definedName name="BLPH81" hidden="1">#REF!</definedName>
    <definedName name="BLPH82" localSheetId="17" hidden="1">#REF!</definedName>
    <definedName name="BLPH82" localSheetId="15" hidden="1">#REF!</definedName>
    <definedName name="BLPH82" localSheetId="12" hidden="1">#REF!</definedName>
    <definedName name="BLPH82" localSheetId="22" hidden="1">#REF!</definedName>
    <definedName name="BLPH82" localSheetId="20" hidden="1">#REF!</definedName>
    <definedName name="BLPH82" localSheetId="21" hidden="1">#REF!</definedName>
    <definedName name="BLPH82" localSheetId="23" hidden="1">#REF!</definedName>
    <definedName name="BLPH82" localSheetId="28" hidden="1">#REF!</definedName>
    <definedName name="BLPH82" localSheetId="26" hidden="1">#REF!</definedName>
    <definedName name="BLPH82" localSheetId="27" hidden="1">#REF!</definedName>
    <definedName name="BLPH82" hidden="1">#REF!</definedName>
    <definedName name="BLPH83" localSheetId="17" hidden="1">#REF!</definedName>
    <definedName name="BLPH83" localSheetId="15" hidden="1">#REF!</definedName>
    <definedName name="BLPH83" localSheetId="12" hidden="1">#REF!</definedName>
    <definedName name="BLPH83" localSheetId="22" hidden="1">#REF!</definedName>
    <definedName name="BLPH83" localSheetId="20" hidden="1">#REF!</definedName>
    <definedName name="BLPH83" localSheetId="21" hidden="1">#REF!</definedName>
    <definedName name="BLPH83" localSheetId="23" hidden="1">#REF!</definedName>
    <definedName name="BLPH83" localSheetId="28" hidden="1">#REF!</definedName>
    <definedName name="BLPH83" localSheetId="26" hidden="1">#REF!</definedName>
    <definedName name="BLPH83" localSheetId="27" hidden="1">#REF!</definedName>
    <definedName name="BLPH83" hidden="1">#REF!</definedName>
    <definedName name="BLPH84" localSheetId="17" hidden="1">#REF!</definedName>
    <definedName name="BLPH84" localSheetId="15" hidden="1">#REF!</definedName>
    <definedName name="BLPH84" localSheetId="12" hidden="1">#REF!</definedName>
    <definedName name="BLPH84" localSheetId="22" hidden="1">#REF!</definedName>
    <definedName name="BLPH84" localSheetId="20" hidden="1">#REF!</definedName>
    <definedName name="BLPH84" localSheetId="21" hidden="1">#REF!</definedName>
    <definedName name="BLPH84" localSheetId="23" hidden="1">#REF!</definedName>
    <definedName name="BLPH84" localSheetId="28" hidden="1">#REF!</definedName>
    <definedName name="BLPH84" localSheetId="26" hidden="1">#REF!</definedName>
    <definedName name="BLPH84" localSheetId="27" hidden="1">#REF!</definedName>
    <definedName name="BLPH84" hidden="1">#REF!</definedName>
    <definedName name="BLPH85" localSheetId="17" hidden="1">#REF!</definedName>
    <definedName name="BLPH85" localSheetId="15" hidden="1">#REF!</definedName>
    <definedName name="BLPH85" localSheetId="12" hidden="1">#REF!</definedName>
    <definedName name="BLPH85" localSheetId="22" hidden="1">#REF!</definedName>
    <definedName name="BLPH85" localSheetId="20" hidden="1">#REF!</definedName>
    <definedName name="BLPH85" localSheetId="21" hidden="1">#REF!</definedName>
    <definedName name="BLPH85" localSheetId="23" hidden="1">#REF!</definedName>
    <definedName name="BLPH85" localSheetId="28" hidden="1">#REF!</definedName>
    <definedName name="BLPH85" localSheetId="26" hidden="1">#REF!</definedName>
    <definedName name="BLPH85" localSheetId="27" hidden="1">#REF!</definedName>
    <definedName name="BLPH85" hidden="1">#REF!</definedName>
    <definedName name="BLPH86" localSheetId="17" hidden="1">#REF!</definedName>
    <definedName name="BLPH86" localSheetId="15" hidden="1">#REF!</definedName>
    <definedName name="BLPH86" localSheetId="12" hidden="1">#REF!</definedName>
    <definedName name="BLPH86" localSheetId="22" hidden="1">#REF!</definedName>
    <definedName name="BLPH86" localSheetId="20" hidden="1">#REF!</definedName>
    <definedName name="BLPH86" localSheetId="21" hidden="1">#REF!</definedName>
    <definedName name="BLPH86" localSheetId="23" hidden="1">#REF!</definedName>
    <definedName name="BLPH86" localSheetId="28" hidden="1">#REF!</definedName>
    <definedName name="BLPH86" localSheetId="26" hidden="1">#REF!</definedName>
    <definedName name="BLPH86" localSheetId="27" hidden="1">#REF!</definedName>
    <definedName name="BLPH86" hidden="1">#REF!</definedName>
    <definedName name="BLPH87" localSheetId="17" hidden="1">#REF!</definedName>
    <definedName name="BLPH87" localSheetId="15" hidden="1">#REF!</definedName>
    <definedName name="BLPH87" localSheetId="12" hidden="1">#REF!</definedName>
    <definedName name="BLPH87" localSheetId="22" hidden="1">#REF!</definedName>
    <definedName name="BLPH87" localSheetId="20" hidden="1">#REF!</definedName>
    <definedName name="BLPH87" localSheetId="21" hidden="1">#REF!</definedName>
    <definedName name="BLPH87" localSheetId="23" hidden="1">#REF!</definedName>
    <definedName name="BLPH87" localSheetId="28" hidden="1">#REF!</definedName>
    <definedName name="BLPH87" localSheetId="26" hidden="1">#REF!</definedName>
    <definedName name="BLPH87" localSheetId="27" hidden="1">#REF!</definedName>
    <definedName name="BLPH87" hidden="1">#REF!</definedName>
    <definedName name="BLPH88" localSheetId="17" hidden="1">#REF!</definedName>
    <definedName name="BLPH88" localSheetId="15" hidden="1">#REF!</definedName>
    <definedName name="BLPH88" localSheetId="12" hidden="1">#REF!</definedName>
    <definedName name="BLPH88" localSheetId="22" hidden="1">#REF!</definedName>
    <definedName name="BLPH88" localSheetId="20" hidden="1">#REF!</definedName>
    <definedName name="BLPH88" localSheetId="21" hidden="1">#REF!</definedName>
    <definedName name="BLPH88" localSheetId="23" hidden="1">#REF!</definedName>
    <definedName name="BLPH88" localSheetId="28" hidden="1">#REF!</definedName>
    <definedName name="BLPH88" localSheetId="26" hidden="1">#REF!</definedName>
    <definedName name="BLPH88" localSheetId="27" hidden="1">#REF!</definedName>
    <definedName name="BLPH88" hidden="1">#REF!</definedName>
    <definedName name="BLPH89" localSheetId="17" hidden="1">#REF!</definedName>
    <definedName name="BLPH89" localSheetId="15" hidden="1">#REF!</definedName>
    <definedName name="BLPH89" localSheetId="12" hidden="1">#REF!</definedName>
    <definedName name="BLPH89" localSheetId="22" hidden="1">#REF!</definedName>
    <definedName name="BLPH89" localSheetId="20" hidden="1">#REF!</definedName>
    <definedName name="BLPH89" localSheetId="21" hidden="1">#REF!</definedName>
    <definedName name="BLPH89" localSheetId="23" hidden="1">#REF!</definedName>
    <definedName name="BLPH89" localSheetId="28" hidden="1">#REF!</definedName>
    <definedName name="BLPH89" localSheetId="26" hidden="1">#REF!</definedName>
    <definedName name="BLPH89" localSheetId="27" hidden="1">#REF!</definedName>
    <definedName name="BLPH89" hidden="1">#REF!</definedName>
    <definedName name="BLPH9" localSheetId="17" hidden="1">#REF!</definedName>
    <definedName name="BLPH9" localSheetId="15" hidden="1">#REF!</definedName>
    <definedName name="BLPH9" localSheetId="12" hidden="1">#REF!</definedName>
    <definedName name="BLPH9" localSheetId="22" hidden="1">#REF!</definedName>
    <definedName name="BLPH9" localSheetId="20" hidden="1">#REF!</definedName>
    <definedName name="BLPH9" localSheetId="21" hidden="1">#REF!</definedName>
    <definedName name="BLPH9" localSheetId="23" hidden="1">#REF!</definedName>
    <definedName name="BLPH9" localSheetId="28" hidden="1">#REF!</definedName>
    <definedName name="BLPH9" localSheetId="26" hidden="1">#REF!</definedName>
    <definedName name="BLPH9" localSheetId="27" hidden="1">#REF!</definedName>
    <definedName name="BLPH9" hidden="1">#REF!</definedName>
    <definedName name="BLPH90" localSheetId="17" hidden="1">#REF!</definedName>
    <definedName name="BLPH90" localSheetId="15" hidden="1">#REF!</definedName>
    <definedName name="BLPH90" localSheetId="12" hidden="1">#REF!</definedName>
    <definedName name="BLPH90" localSheetId="22" hidden="1">#REF!</definedName>
    <definedName name="BLPH90" localSheetId="20" hidden="1">#REF!</definedName>
    <definedName name="BLPH90" localSheetId="21" hidden="1">#REF!</definedName>
    <definedName name="BLPH90" localSheetId="23" hidden="1">#REF!</definedName>
    <definedName name="BLPH90" localSheetId="28" hidden="1">#REF!</definedName>
    <definedName name="BLPH90" localSheetId="26" hidden="1">#REF!</definedName>
    <definedName name="BLPH90" localSheetId="27" hidden="1">#REF!</definedName>
    <definedName name="BLPH90" hidden="1">#REF!</definedName>
    <definedName name="BLPH91" localSheetId="17" hidden="1">#REF!</definedName>
    <definedName name="BLPH91" localSheetId="15" hidden="1">#REF!</definedName>
    <definedName name="BLPH91" localSheetId="12" hidden="1">#REF!</definedName>
    <definedName name="BLPH91" localSheetId="22" hidden="1">#REF!</definedName>
    <definedName name="BLPH91" localSheetId="20" hidden="1">#REF!</definedName>
    <definedName name="BLPH91" localSheetId="21" hidden="1">#REF!</definedName>
    <definedName name="BLPH91" localSheetId="23" hidden="1">#REF!</definedName>
    <definedName name="BLPH91" localSheetId="28" hidden="1">#REF!</definedName>
    <definedName name="BLPH91" localSheetId="26" hidden="1">#REF!</definedName>
    <definedName name="BLPH91" localSheetId="27" hidden="1">#REF!</definedName>
    <definedName name="BLPH91" hidden="1">#REF!</definedName>
    <definedName name="BLPH92" localSheetId="17" hidden="1">#REF!</definedName>
    <definedName name="BLPH92" localSheetId="15" hidden="1">#REF!</definedName>
    <definedName name="BLPH92" localSheetId="12" hidden="1">#REF!</definedName>
    <definedName name="BLPH92" localSheetId="22" hidden="1">#REF!</definedName>
    <definedName name="BLPH92" localSheetId="20" hidden="1">#REF!</definedName>
    <definedName name="BLPH92" localSheetId="21" hidden="1">#REF!</definedName>
    <definedName name="BLPH92" localSheetId="23" hidden="1">#REF!</definedName>
    <definedName name="BLPH92" localSheetId="28" hidden="1">#REF!</definedName>
    <definedName name="BLPH92" localSheetId="26" hidden="1">#REF!</definedName>
    <definedName name="BLPH92" localSheetId="27" hidden="1">#REF!</definedName>
    <definedName name="BLPH92" hidden="1">#REF!</definedName>
    <definedName name="BLPH93" localSheetId="17" hidden="1">#REF!</definedName>
    <definedName name="BLPH93" localSheetId="15" hidden="1">#REF!</definedName>
    <definedName name="BLPH93" localSheetId="12" hidden="1">#REF!</definedName>
    <definedName name="BLPH93" localSheetId="22" hidden="1">#REF!</definedName>
    <definedName name="BLPH93" localSheetId="20" hidden="1">#REF!</definedName>
    <definedName name="BLPH93" localSheetId="21" hidden="1">#REF!</definedName>
    <definedName name="BLPH93" localSheetId="23" hidden="1">#REF!</definedName>
    <definedName name="BLPH93" localSheetId="28" hidden="1">#REF!</definedName>
    <definedName name="BLPH93" localSheetId="26" hidden="1">#REF!</definedName>
    <definedName name="BLPH93" localSheetId="27" hidden="1">#REF!</definedName>
    <definedName name="BLPH93" hidden="1">#REF!</definedName>
    <definedName name="BLPH94" localSheetId="17" hidden="1">#REF!</definedName>
    <definedName name="BLPH94" localSheetId="15" hidden="1">#REF!</definedName>
    <definedName name="BLPH94" localSheetId="12" hidden="1">#REF!</definedName>
    <definedName name="BLPH94" localSheetId="22" hidden="1">#REF!</definedName>
    <definedName name="BLPH94" localSheetId="20" hidden="1">#REF!</definedName>
    <definedName name="BLPH94" localSheetId="21" hidden="1">#REF!</definedName>
    <definedName name="BLPH94" localSheetId="23" hidden="1">#REF!</definedName>
    <definedName name="BLPH94" localSheetId="28" hidden="1">#REF!</definedName>
    <definedName name="BLPH94" localSheetId="26" hidden="1">#REF!</definedName>
    <definedName name="BLPH94" localSheetId="27" hidden="1">#REF!</definedName>
    <definedName name="BLPH94" hidden="1">#REF!</definedName>
    <definedName name="BLPH95" localSheetId="17" hidden="1">#REF!</definedName>
    <definedName name="BLPH95" localSheetId="15" hidden="1">#REF!</definedName>
    <definedName name="BLPH95" localSheetId="12" hidden="1">#REF!</definedName>
    <definedName name="BLPH95" localSheetId="22" hidden="1">#REF!</definedName>
    <definedName name="BLPH95" localSheetId="20" hidden="1">#REF!</definedName>
    <definedName name="BLPH95" localSheetId="21" hidden="1">#REF!</definedName>
    <definedName name="BLPH95" localSheetId="23" hidden="1">#REF!</definedName>
    <definedName name="BLPH95" localSheetId="28" hidden="1">#REF!</definedName>
    <definedName name="BLPH95" localSheetId="26" hidden="1">#REF!</definedName>
    <definedName name="BLPH95" localSheetId="27" hidden="1">#REF!</definedName>
    <definedName name="BLPH95" hidden="1">#REF!</definedName>
    <definedName name="BLPH96" localSheetId="17" hidden="1">#REF!</definedName>
    <definedName name="BLPH96" localSheetId="15" hidden="1">#REF!</definedName>
    <definedName name="BLPH96" localSheetId="12" hidden="1">#REF!</definedName>
    <definedName name="BLPH96" localSheetId="22" hidden="1">#REF!</definedName>
    <definedName name="BLPH96" localSheetId="20" hidden="1">#REF!</definedName>
    <definedName name="BLPH96" localSheetId="21" hidden="1">#REF!</definedName>
    <definedName name="BLPH96" localSheetId="23" hidden="1">#REF!</definedName>
    <definedName name="BLPH96" localSheetId="28" hidden="1">#REF!</definedName>
    <definedName name="BLPH96" localSheetId="26" hidden="1">#REF!</definedName>
    <definedName name="BLPH96" localSheetId="27" hidden="1">#REF!</definedName>
    <definedName name="BLPH96" hidden="1">#REF!</definedName>
    <definedName name="BLPH97" localSheetId="17" hidden="1">#REF!</definedName>
    <definedName name="BLPH97" localSheetId="15" hidden="1">#REF!</definedName>
    <definedName name="BLPH97" localSheetId="12" hidden="1">#REF!</definedName>
    <definedName name="BLPH97" localSheetId="22" hidden="1">#REF!</definedName>
    <definedName name="BLPH97" localSheetId="20" hidden="1">#REF!</definedName>
    <definedName name="BLPH97" localSheetId="21" hidden="1">#REF!</definedName>
    <definedName name="BLPH97" localSheetId="23" hidden="1">#REF!</definedName>
    <definedName name="BLPH97" localSheetId="28" hidden="1">#REF!</definedName>
    <definedName name="BLPH97" localSheetId="26" hidden="1">#REF!</definedName>
    <definedName name="BLPH97" localSheetId="27" hidden="1">#REF!</definedName>
    <definedName name="BLPH97" hidden="1">#REF!</definedName>
    <definedName name="BLPH98" localSheetId="17" hidden="1">#REF!</definedName>
    <definedName name="BLPH98" localSheetId="15" hidden="1">#REF!</definedName>
    <definedName name="BLPH98" localSheetId="12" hidden="1">#REF!</definedName>
    <definedName name="BLPH98" localSheetId="22" hidden="1">#REF!</definedName>
    <definedName name="BLPH98" localSheetId="20" hidden="1">#REF!</definedName>
    <definedName name="BLPH98" localSheetId="21" hidden="1">#REF!</definedName>
    <definedName name="BLPH98" localSheetId="23" hidden="1">#REF!</definedName>
    <definedName name="BLPH98" localSheetId="28" hidden="1">#REF!</definedName>
    <definedName name="BLPH98" localSheetId="26" hidden="1">#REF!</definedName>
    <definedName name="BLPH98" localSheetId="27" hidden="1">#REF!</definedName>
    <definedName name="BLPH98" hidden="1">#REF!</definedName>
    <definedName name="BLPH99" localSheetId="17" hidden="1">#REF!</definedName>
    <definedName name="BLPH99" localSheetId="15" hidden="1">#REF!</definedName>
    <definedName name="BLPH99" localSheetId="12" hidden="1">#REF!</definedName>
    <definedName name="BLPH99" localSheetId="22" hidden="1">#REF!</definedName>
    <definedName name="BLPH99" localSheetId="20" hidden="1">#REF!</definedName>
    <definedName name="BLPH99" localSheetId="21" hidden="1">#REF!</definedName>
    <definedName name="BLPH99" localSheetId="23" hidden="1">#REF!</definedName>
    <definedName name="BLPH99" localSheetId="28" hidden="1">#REF!</definedName>
    <definedName name="BLPH99" localSheetId="26" hidden="1">#REF!</definedName>
    <definedName name="BLPH99" localSheetId="27" hidden="1">#REF!</definedName>
    <definedName name="BLPH99" hidden="1">#REF!</definedName>
    <definedName name="BRC">#REF!</definedName>
    <definedName name="bs">#REF!</definedName>
    <definedName name="BS_00">#REF!</definedName>
    <definedName name="BS_01">#REF!</definedName>
    <definedName name="BS_10">#REF!</definedName>
    <definedName name="BS_99">#REF!</definedName>
    <definedName name="BS_CA_Oth">#REF!</definedName>
    <definedName name="BS_CL_Oth">#REF!</definedName>
    <definedName name="BS_Def_Tax_Asset">#REF!</definedName>
    <definedName name="BS_Invest_LT">#REF!</definedName>
    <definedName name="BS_Invest_ST">#REF!</definedName>
    <definedName name="BS_Provision">#REF!</definedName>
    <definedName name="BS추정" localSheetId="17" hidden="1">{"'보고양식'!$A$58:$K$111"}</definedName>
    <definedName name="BS추정" localSheetId="15" hidden="1">{"'보고양식'!$A$58:$K$111"}</definedName>
    <definedName name="BS추정" localSheetId="12" hidden="1">{"'보고양식'!$A$58:$K$111"}</definedName>
    <definedName name="BS추정" localSheetId="22" hidden="1">{"'보고양식'!$A$58:$K$111"}</definedName>
    <definedName name="BS추정" localSheetId="20" hidden="1">{"'보고양식'!$A$58:$K$111"}</definedName>
    <definedName name="BS추정" localSheetId="21" hidden="1">{"'보고양식'!$A$58:$K$111"}</definedName>
    <definedName name="BS추정" localSheetId="23" hidden="1">{"'보고양식'!$A$58:$K$111"}</definedName>
    <definedName name="BS추정" localSheetId="1" hidden="1">{"'보고양식'!$A$58:$K$111"}</definedName>
    <definedName name="BS추정" localSheetId="28" hidden="1">{"'보고양식'!$A$58:$K$111"}</definedName>
    <definedName name="BS추정" localSheetId="26" hidden="1">{"'보고양식'!$A$58:$K$111"}</definedName>
    <definedName name="BS추정" localSheetId="27" hidden="1">{"'보고양식'!$A$58:$K$111"}</definedName>
    <definedName name="BS추정" hidden="1">{"'보고양식'!$A$58:$K$111"}</definedName>
    <definedName name="Cap_Struc">#REF!</definedName>
    <definedName name="carlin">#REF!</definedName>
    <definedName name="Case">'[31]Assumptions_Stand-Alone AR'!$X$3</definedName>
    <definedName name="cash_Flow">#REF!</definedName>
    <definedName name="cash93">#REF!</definedName>
    <definedName name="cash94">#REF!</definedName>
    <definedName name="c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f">#REF!</definedName>
    <definedName name="CF_01">#REF!</definedName>
    <definedName name="CF_10">#REF!</definedName>
    <definedName name="CF_BOE_1998">#REF!</definedName>
    <definedName name="CF_BOE_1999">#REF!</definedName>
    <definedName name="CF_BOE_2000">#REF!</definedName>
    <definedName name="CF_BOE_2001">#REF!</definedName>
    <definedName name="CF_BOE_2002">#REF!</definedName>
    <definedName name="CF_BOE_2003">#REF!</definedName>
    <definedName name="CF_BOE_2004">#REF!</definedName>
    <definedName name="CF_BOE_2005">#REF!</definedName>
    <definedName name="CF_BOE_2006">#REF!</definedName>
    <definedName name="CF_BOE_2007">#REF!</definedName>
    <definedName name="CF_BOE_2008">#REF!</definedName>
    <definedName name="CF_Capex_IA">#REF!</definedName>
    <definedName name="CF_Chg_Debt_LT">#REF!</definedName>
    <definedName name="CF_Treasury_Stock">#REF!</definedName>
    <definedName name="CFPS_Curr_Yr">#REF!</definedName>
    <definedName name="CFPS_Lst_Yr">#REF!</definedName>
    <definedName name="CFPS_Next_Yr">#REF!</definedName>
    <definedName name="CIQWBGuid" localSheetId="15" hidden="1">"Aston Martin One-Page Summary 12.30.11.xlsx"</definedName>
    <definedName name="CIQWBGuid" localSheetId="6" hidden="1">"80a13328-ae7b-41f4-92ab-33ff197f8cbe"</definedName>
    <definedName name="CIQWBGuid" localSheetId="20" hidden="1">"Aston Martin One-Page Summary 12.30.11.xlsx"</definedName>
    <definedName name="CIQWBGuid" localSheetId="21" hidden="1">"Aston Martin One-Page Summary 12.30.11.xlsx"</definedName>
    <definedName name="CIQWBGuid" localSheetId="23" hidden="1">"Aston Martin One-Page Summary 12.30.11.xlsx"</definedName>
    <definedName name="CIQWBGuid" localSheetId="26" hidden="1">"Aston Martin One-Page Summary 12.30.11.xlsx"</definedName>
    <definedName name="CIQWBGuid" localSheetId="27" hidden="1">"Aston Martin One-Page Summary 12.30.11.xlsx"</definedName>
    <definedName name="CIQWBGuid" hidden="1">"REN Transaction Expenses.xlsx"</definedName>
    <definedName name="CIQWBInfo" hidden="1">"{ ""CIQVersion"":""9.45.614.5792"" }"</definedName>
    <definedName name="Circ" localSheetId="23">[27]Debt!$V$2</definedName>
    <definedName name="Circ">'UAL Debt'!$R$2</definedName>
    <definedName name="ConsumerSeg">#REF!</definedName>
    <definedName name="CONVERGE">#REF!</definedName>
    <definedName name="COP_BS_EP_2004">#REF!</definedName>
    <definedName name="COP_BS_EP_2005">#REF!</definedName>
    <definedName name="COP_BS_EP_2006">#REF!</definedName>
    <definedName name="cox" localSheetId="17" hidden="1">{#N/A,#N/A,FALSE,"Time Warner";#N/A,#N/A,FALSE,"Entertainment Group";#N/A,#N/A,FALSE,"EBITDA";#N/A,#N/A,FALSE,"Notes"}</definedName>
    <definedName name="cox" localSheetId="15" hidden="1">{#N/A,#N/A,FALSE,"Time Warner";#N/A,#N/A,FALSE,"Entertainment Group";#N/A,#N/A,FALSE,"EBITDA";#N/A,#N/A,FALSE,"Notes"}</definedName>
    <definedName name="cox" localSheetId="12" hidden="1">{#N/A,#N/A,FALSE,"Time Warner";#N/A,#N/A,FALSE,"Entertainment Group";#N/A,#N/A,FALSE,"EBITDA";#N/A,#N/A,FALSE,"Notes"}</definedName>
    <definedName name="cox" localSheetId="22" hidden="1">{#N/A,#N/A,FALSE,"Time Warner";#N/A,#N/A,FALSE,"Entertainment Group";#N/A,#N/A,FALSE,"EBITDA";#N/A,#N/A,FALSE,"Notes"}</definedName>
    <definedName name="cox" localSheetId="20" hidden="1">{#N/A,#N/A,FALSE,"Time Warner";#N/A,#N/A,FALSE,"Entertainment Group";#N/A,#N/A,FALSE,"EBITDA";#N/A,#N/A,FALSE,"Notes"}</definedName>
    <definedName name="cox" localSheetId="21" hidden="1">{#N/A,#N/A,FALSE,"Time Warner";#N/A,#N/A,FALSE,"Entertainment Group";#N/A,#N/A,FALSE,"EBITDA";#N/A,#N/A,FALSE,"Notes"}</definedName>
    <definedName name="cox" localSheetId="23" hidden="1">{#N/A,#N/A,FALSE,"Time Warner";#N/A,#N/A,FALSE,"Entertainment Group";#N/A,#N/A,FALSE,"EBITDA";#N/A,#N/A,FALSE,"Notes"}</definedName>
    <definedName name="cox" localSheetId="1" hidden="1">{#N/A,#N/A,FALSE,"Time Warner";#N/A,#N/A,FALSE,"Entertainment Group";#N/A,#N/A,FALSE,"EBITDA";#N/A,#N/A,FALSE,"Notes"}</definedName>
    <definedName name="cox" localSheetId="28" hidden="1">{#N/A,#N/A,FALSE,"Time Warner";#N/A,#N/A,FALSE,"Entertainment Group";#N/A,#N/A,FALSE,"EBITDA";#N/A,#N/A,FALSE,"Notes"}</definedName>
    <definedName name="cox" localSheetId="26" hidden="1">{#N/A,#N/A,FALSE,"Time Warner";#N/A,#N/A,FALSE,"Entertainment Group";#N/A,#N/A,FALSE,"EBITDA";#N/A,#N/A,FALSE,"Notes"}</definedName>
    <definedName name="cox" localSheetId="27" hidden="1">{#N/A,#N/A,FALSE,"Time Warner";#N/A,#N/A,FALSE,"Entertainment Group";#N/A,#N/A,FALSE,"EBITDA";#N/A,#N/A,FALSE,"Notes"}</definedName>
    <definedName name="cox" hidden="1">{#N/A,#N/A,FALSE,"Time Warner";#N/A,#N/A,FALSE,"Entertainment Group";#N/A,#N/A,FALSE,"EBITDA";#N/A,#N/A,FALSE,"Notes"}</definedName>
    <definedName name="cu102.ShareScalingFactor" hidden="1">1000000</definedName>
    <definedName name="cu103.EmployeeScalingFactor" hidden="1">1000</definedName>
    <definedName name="cu107.EPSSymbol" hidden="1">"CHF"</definedName>
    <definedName name="cu119.CopyLastPeriodRows" localSheetId="17" hidden="1">{"AVSHAR","BSHAR"}</definedName>
    <definedName name="cu119.CopyLastPeriodRows" localSheetId="15" hidden="1">{"AVSHAR","BSHAR"}</definedName>
    <definedName name="cu119.CopyLastPeriodRows" localSheetId="12" hidden="1">{"AVSHAR","BSHAR"}</definedName>
    <definedName name="cu119.CopyLastPeriodRows" localSheetId="22" hidden="1">{"AVSHAR","BSHAR"}</definedName>
    <definedName name="cu119.CopyLastPeriodRows" localSheetId="20" hidden="1">{"AVSHAR","BSHAR"}</definedName>
    <definedName name="cu119.CopyLastPeriodRows" localSheetId="21" hidden="1">{"AVSHAR","BSHAR"}</definedName>
    <definedName name="cu119.CopyLastPeriodRows" localSheetId="23" hidden="1">{"AVSHAR","BSHAR"}</definedName>
    <definedName name="cu119.CopyLastPeriodRows" localSheetId="1" hidden="1">{"AVSHAR","BSHAR"}</definedName>
    <definedName name="cu119.CopyLastPeriodRows" localSheetId="28" hidden="1">{"AVSHAR","BSHAR"}</definedName>
    <definedName name="cu119.CopyLastPeriodRows" localSheetId="26" hidden="1">{"AVSHAR","BSHAR"}</definedName>
    <definedName name="cu119.CopyLastPeriodRows" localSheetId="27" hidden="1">{"AVSHAR","BSHAR"}</definedName>
    <definedName name="cu119.CopyLastPeriodRows" hidden="1">{"AVSHAR","BSHAR"}</definedName>
    <definedName name="cu71.ScalingFactor" hidden="1">1000000</definedName>
    <definedName name="d" localSheetId="17" hidden="1">{"comps",#N/A,FALSE,"TXTCOMPS";"segment_EPS",#N/A,FALSE,"TXTCOMPS";"valuation",#N/A,FALSE,"TXTCOMPS"}</definedName>
    <definedName name="d" localSheetId="15" hidden="1">{"comps",#N/A,FALSE,"TXTCOMPS";"segment_EPS",#N/A,FALSE,"TXTCOMPS";"valuation",#N/A,FALSE,"TXTCOMPS"}</definedName>
    <definedName name="d" localSheetId="12" hidden="1">{"comps",#N/A,FALSE,"TXTCOMPS";"segment_EPS",#N/A,FALSE,"TXTCOMPS";"valuation",#N/A,FALSE,"TXTCOMPS"}</definedName>
    <definedName name="d" localSheetId="22" hidden="1">{"comps",#N/A,FALSE,"TXTCOMPS";"segment_EPS",#N/A,FALSE,"TXTCOMPS";"valuation",#N/A,FALSE,"TXTCOMPS"}</definedName>
    <definedName name="d" localSheetId="20" hidden="1">{"comps",#N/A,FALSE,"TXTCOMPS";"segment_EPS",#N/A,FALSE,"TXTCOMPS";"valuation",#N/A,FALSE,"TXTCOMPS"}</definedName>
    <definedName name="d" localSheetId="21" hidden="1">{"comps",#N/A,FALSE,"TXTCOMPS";"segment_EPS",#N/A,FALSE,"TXTCOMPS";"valuation",#N/A,FALSE,"TXTCOMPS"}</definedName>
    <definedName name="d" localSheetId="23" hidden="1">{"comps",#N/A,FALSE,"TXTCOMPS";"segment_EPS",#N/A,FALSE,"TXTCOMPS";"valuation",#N/A,FALSE,"TXTCOMPS"}</definedName>
    <definedName name="d" localSheetId="1" hidden="1">{"comps",#N/A,FALSE,"TXTCOMPS";"segment_EPS",#N/A,FALSE,"TXTCOMPS";"valuation",#N/A,FALSE,"TXTCOMPS"}</definedName>
    <definedName name="d" localSheetId="28" hidden="1">{"comps",#N/A,FALSE,"TXTCOMPS";"segment_EPS",#N/A,FALSE,"TXTCOMPS";"valuation",#N/A,FALSE,"TXTCOMPS"}</definedName>
    <definedName name="d" localSheetId="26" hidden="1">{"comps",#N/A,FALSE,"TXTCOMPS";"segment_EPS",#N/A,FALSE,"TXTCOMPS";"valuation",#N/A,FALSE,"TXTCOMPS"}</definedName>
    <definedName name="d" localSheetId="27" hidden="1">{"comps",#N/A,FALSE,"TXTCOMPS";"segment_EPS",#N/A,FALSE,"TXTCOMPS";"valuation",#N/A,FALSE,"TXTCOMPS"}</definedName>
    <definedName name="d" hidden="1">{"comps",#N/A,FALSE,"TXTCOMPS";"segment_EPS",#N/A,FALSE,"TXTCOMPS";"valuation",#N/A,FALSE,"TXTCOMPS"}</definedName>
    <definedName name="DAN">#REF!</definedName>
    <definedName name="Detail1">#REF!</definedName>
    <definedName name="DI">#REF!</definedName>
    <definedName name="djsj" localSheetId="17" hidden="1">{"comps",#N/A,FALSE,"TXTCOMPS";"segment_EPS",#N/A,FALSE,"TXTCOMPS";"valuation",#N/A,FALSE,"TXTCOMPS"}</definedName>
    <definedName name="djsj" localSheetId="15" hidden="1">{"comps",#N/A,FALSE,"TXTCOMPS";"segment_EPS",#N/A,FALSE,"TXTCOMPS";"valuation",#N/A,FALSE,"TXTCOMPS"}</definedName>
    <definedName name="djsj" localSheetId="12" hidden="1">{"comps",#N/A,FALSE,"TXTCOMPS";"segment_EPS",#N/A,FALSE,"TXTCOMPS";"valuation",#N/A,FALSE,"TXTCOMPS"}</definedName>
    <definedName name="djsj" localSheetId="22" hidden="1">{"comps",#N/A,FALSE,"TXTCOMPS";"segment_EPS",#N/A,FALSE,"TXTCOMPS";"valuation",#N/A,FALSE,"TXTCOMPS"}</definedName>
    <definedName name="djsj" localSheetId="20" hidden="1">{"comps",#N/A,FALSE,"TXTCOMPS";"segment_EPS",#N/A,FALSE,"TXTCOMPS";"valuation",#N/A,FALSE,"TXTCOMPS"}</definedName>
    <definedName name="djsj" localSheetId="21" hidden="1">{"comps",#N/A,FALSE,"TXTCOMPS";"segment_EPS",#N/A,FALSE,"TXTCOMPS";"valuation",#N/A,FALSE,"TXTCOMPS"}</definedName>
    <definedName name="djsj" localSheetId="23" hidden="1">{"comps",#N/A,FALSE,"TXTCOMPS";"segment_EPS",#N/A,FALSE,"TXTCOMPS";"valuation",#N/A,FALSE,"TXTCOMPS"}</definedName>
    <definedName name="djsj" localSheetId="1" hidden="1">{"comps",#N/A,FALSE,"TXTCOMPS";"segment_EPS",#N/A,FALSE,"TXTCOMPS";"valuation",#N/A,FALSE,"TXTCOMPS"}</definedName>
    <definedName name="djsj" localSheetId="28" hidden="1">{"comps",#N/A,FALSE,"TXTCOMPS";"segment_EPS",#N/A,FALSE,"TXTCOMPS";"valuation",#N/A,FALSE,"TXTCOMPS"}</definedName>
    <definedName name="djsj" localSheetId="26" hidden="1">{"comps",#N/A,FALSE,"TXTCOMPS";"segment_EPS",#N/A,FALSE,"TXTCOMPS";"valuation",#N/A,FALSE,"TXTCOMPS"}</definedName>
    <definedName name="djsj" localSheetId="27" hidden="1">{"comps",#N/A,FALSE,"TXTCOMPS";"segment_EPS",#N/A,FALSE,"TXTCOMPS";"valuation",#N/A,FALSE,"TXTCOMPS"}</definedName>
    <definedName name="djsj" hidden="1">{"comps",#N/A,FALSE,"TXTCOMPS";"segment_EPS",#N/A,FALSE,"TXTCOMPS";"valuation",#N/A,FALSE,"TXTCOMPS"}</definedName>
    <definedName name="DPS_Curr_Yr">#REF!</definedName>
    <definedName name="DPS_Lst_Yr">#REF!</definedName>
    <definedName name="dps_LT_CAGR">#REF!</definedName>
    <definedName name="DPS_Next_Yr">#REF!</definedName>
    <definedName name="DRAFT_RCnum">#REF!</definedName>
    <definedName name="e" localSheetId="17" hidden="1">{"Qearn1",#N/A,FALSE,"Qearn";"Qearn2",#N/A,FALSE,"Qearn";"Qmargin",#N/A,FALSE,"Qmargin";"Cashflow",#N/A,FALSE,"Cashflow"}</definedName>
    <definedName name="e" localSheetId="15" hidden="1">{"Qearn1",#N/A,FALSE,"Qearn";"Qearn2",#N/A,FALSE,"Qearn";"Qmargin",#N/A,FALSE,"Qmargin";"Cashflow",#N/A,FALSE,"Cashflow"}</definedName>
    <definedName name="e" localSheetId="12" hidden="1">{"Qearn1",#N/A,FALSE,"Qearn";"Qearn2",#N/A,FALSE,"Qearn";"Qmargin",#N/A,FALSE,"Qmargin";"Cashflow",#N/A,FALSE,"Cashflow"}</definedName>
    <definedName name="e" localSheetId="22" hidden="1">{"Qearn1",#N/A,FALSE,"Qearn";"Qearn2",#N/A,FALSE,"Qearn";"Qmargin",#N/A,FALSE,"Qmargin";"Cashflow",#N/A,FALSE,"Cashflow"}</definedName>
    <definedName name="e" localSheetId="20" hidden="1">{"Qearn1",#N/A,FALSE,"Qearn";"Qearn2",#N/A,FALSE,"Qearn";"Qmargin",#N/A,FALSE,"Qmargin";"Cashflow",#N/A,FALSE,"Cashflow"}</definedName>
    <definedName name="e" localSheetId="21" hidden="1">{"Qearn1",#N/A,FALSE,"Qearn";"Qearn2",#N/A,FALSE,"Qearn";"Qmargin",#N/A,FALSE,"Qmargin";"Cashflow",#N/A,FALSE,"Cashflow"}</definedName>
    <definedName name="e" localSheetId="23" hidden="1">{"Qearn1",#N/A,FALSE,"Qearn";"Qearn2",#N/A,FALSE,"Qearn";"Qmargin",#N/A,FALSE,"Qmargin";"Cashflow",#N/A,FALSE,"Cashflow"}</definedName>
    <definedName name="e" localSheetId="1" hidden="1">{"Qearn1",#N/A,FALSE,"Qearn";"Qearn2",#N/A,FALSE,"Qearn";"Qmargin",#N/A,FALSE,"Qmargin";"Cashflow",#N/A,FALSE,"Cashflow"}</definedName>
    <definedName name="e" localSheetId="28" hidden="1">{"Qearn1",#N/A,FALSE,"Qearn";"Qearn2",#N/A,FALSE,"Qearn";"Qmargin",#N/A,FALSE,"Qmargin";"Cashflow",#N/A,FALSE,"Cashflow"}</definedName>
    <definedName name="e" localSheetId="26" hidden="1">{"Qearn1",#N/A,FALSE,"Qearn";"Qearn2",#N/A,FALSE,"Qearn";"Qmargin",#N/A,FALSE,"Qmargin";"Cashflow",#N/A,FALSE,"Cashflow"}</definedName>
    <definedName name="e" localSheetId="27" hidden="1">{"Qearn1",#N/A,FALSE,"Qearn";"Qearn2",#N/A,FALSE,"Qearn";"Qmargin",#N/A,FALSE,"Qmargin";"Cashflow",#N/A,FALSE,"Cashflow"}</definedName>
    <definedName name="e" hidden="1">{"Qearn1",#N/A,FALSE,"Qearn";"Qearn2",#N/A,FALSE,"Qearn";"Qmargin",#N/A,FALSE,"Qmargin";"Cashflow",#N/A,FALSE,"Cashflow"}</definedName>
    <definedName name="EARN" localSheetId="17" hidden="1">#REF!</definedName>
    <definedName name="EARN" localSheetId="15" hidden="1">#REF!</definedName>
    <definedName name="EARN" localSheetId="12" hidden="1">#REF!</definedName>
    <definedName name="EARN" localSheetId="22" hidden="1">#REF!</definedName>
    <definedName name="EARN" localSheetId="20" hidden="1">#REF!</definedName>
    <definedName name="EARN" localSheetId="21" hidden="1">#REF!</definedName>
    <definedName name="EARN" localSheetId="23" hidden="1">#REF!</definedName>
    <definedName name="EARN" localSheetId="28" hidden="1">#REF!</definedName>
    <definedName name="EARN" localSheetId="26" hidden="1">#REF!</definedName>
    <definedName name="EARN" localSheetId="27" hidden="1">#REF!</definedName>
    <definedName name="EARN" hidden="1">#REF!</definedName>
    <definedName name="Earnings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d" localSheetId="17" hidden="1">{"'보고양식'!$A$58:$K$111"}</definedName>
    <definedName name="ed" localSheetId="15" hidden="1">{"'보고양식'!$A$58:$K$111"}</definedName>
    <definedName name="ed" localSheetId="12" hidden="1">{"'보고양식'!$A$58:$K$111"}</definedName>
    <definedName name="ed" localSheetId="22" hidden="1">{"'보고양식'!$A$58:$K$111"}</definedName>
    <definedName name="ed" localSheetId="20" hidden="1">{"'보고양식'!$A$58:$K$111"}</definedName>
    <definedName name="ed" localSheetId="21" hidden="1">{"'보고양식'!$A$58:$K$111"}</definedName>
    <definedName name="ed" localSheetId="23" hidden="1">{"'보고양식'!$A$58:$K$111"}</definedName>
    <definedName name="ed" localSheetId="1" hidden="1">{"'보고양식'!$A$58:$K$111"}</definedName>
    <definedName name="ed" localSheetId="28" hidden="1">{"'보고양식'!$A$58:$K$111"}</definedName>
    <definedName name="ed" localSheetId="26" hidden="1">{"'보고양식'!$A$58:$K$111"}</definedName>
    <definedName name="ed" localSheetId="27" hidden="1">{"'보고양식'!$A$58:$K$111"}</definedName>
    <definedName name="ed" hidden="1">{"'보고양식'!$A$58:$K$111"}</definedName>
    <definedName name="eg" localSheetId="17" hidden="1">{"comps",#N/A,FALSE,"TXTCOMPS";"segment_EPS",#N/A,FALSE,"TXTCOMPS";"valuation",#N/A,FALSE,"TXTCOMPS"}</definedName>
    <definedName name="eg" localSheetId="15" hidden="1">{"comps",#N/A,FALSE,"TXTCOMPS";"segment_EPS",#N/A,FALSE,"TXTCOMPS";"valuation",#N/A,FALSE,"TXTCOMPS"}</definedName>
    <definedName name="eg" localSheetId="12" hidden="1">{"comps",#N/A,FALSE,"TXTCOMPS";"segment_EPS",#N/A,FALSE,"TXTCOMPS";"valuation",#N/A,FALSE,"TXTCOMPS"}</definedName>
    <definedName name="eg" localSheetId="22" hidden="1">{"comps",#N/A,FALSE,"TXTCOMPS";"segment_EPS",#N/A,FALSE,"TXTCOMPS";"valuation",#N/A,FALSE,"TXTCOMPS"}</definedName>
    <definedName name="eg" localSheetId="20" hidden="1">{"comps",#N/A,FALSE,"TXTCOMPS";"segment_EPS",#N/A,FALSE,"TXTCOMPS";"valuation",#N/A,FALSE,"TXTCOMPS"}</definedName>
    <definedName name="eg" localSheetId="21" hidden="1">{"comps",#N/A,FALSE,"TXTCOMPS";"segment_EPS",#N/A,FALSE,"TXTCOMPS";"valuation",#N/A,FALSE,"TXTCOMPS"}</definedName>
    <definedName name="eg" localSheetId="23" hidden="1">{"comps",#N/A,FALSE,"TXTCOMPS";"segment_EPS",#N/A,FALSE,"TXTCOMPS";"valuation",#N/A,FALSE,"TXTCOMPS"}</definedName>
    <definedName name="eg" localSheetId="1" hidden="1">{"comps",#N/A,FALSE,"TXTCOMPS";"segment_EPS",#N/A,FALSE,"TXTCOMPS";"valuation",#N/A,FALSE,"TXTCOMPS"}</definedName>
    <definedName name="eg" localSheetId="28" hidden="1">{"comps",#N/A,FALSE,"TXTCOMPS";"segment_EPS",#N/A,FALSE,"TXTCOMPS";"valuation",#N/A,FALSE,"TXTCOMPS"}</definedName>
    <definedName name="eg" localSheetId="26" hidden="1">{"comps",#N/A,FALSE,"TXTCOMPS";"segment_EPS",#N/A,FALSE,"TXTCOMPS";"valuation",#N/A,FALSE,"TXTCOMPS"}</definedName>
    <definedName name="eg" localSheetId="27" hidden="1">{"comps",#N/A,FALSE,"TXTCOMPS";"segment_EPS",#N/A,FALSE,"TXTCOMPS";"valuation",#N/A,FALSE,"TXTCOMPS"}</definedName>
    <definedName name="eg" hidden="1">{"comps",#N/A,FALSE,"TXTCOMPS";"segment_EPS",#N/A,FALSE,"TXTCOMPS";"valuation",#N/A,FALSE,"TXTCOMPS"}</definedName>
    <definedName name="EN">#REF!</definedName>
    <definedName name="EOK">#REF!</definedName>
    <definedName name="EPS_Curr_Qtr">#REF!</definedName>
    <definedName name="EPS_Curr_Yr">#REF!</definedName>
    <definedName name="EPS_Growth_Rate">#REF!</definedName>
    <definedName name="EPS_Lst_Yr">#REF!</definedName>
    <definedName name="eps_LT_CAGR">#REF!</definedName>
    <definedName name="EPS_Next_Yr">#REF!</definedName>
    <definedName name="EPS_Qtr_Date">#REF!</definedName>
    <definedName name="EPSContribution">#REF!</definedName>
    <definedName name="Equity_Ticker">#REF!</definedName>
    <definedName name="ESV">#REF!</definedName>
    <definedName name="evtab" localSheetId="17" hidden="1">{#N/A,#N/A,FALSE,"COVER";#N/A,#N/A,FALSE,"PF ASSUMPT";#N/A,#N/A,FALSE,"PF EPS";#N/A,#N/A,FALSE,"CASHFLOWS";#N/A,#N/A,FALSE,"BALANCESHEET"}</definedName>
    <definedName name="evtab" localSheetId="15" hidden="1">{#N/A,#N/A,FALSE,"COVER";#N/A,#N/A,FALSE,"PF ASSUMPT";#N/A,#N/A,FALSE,"PF EPS";#N/A,#N/A,FALSE,"CASHFLOWS";#N/A,#N/A,FALSE,"BALANCESHEET"}</definedName>
    <definedName name="evtab" localSheetId="12" hidden="1">{#N/A,#N/A,FALSE,"COVER";#N/A,#N/A,FALSE,"PF ASSUMPT";#N/A,#N/A,FALSE,"PF EPS";#N/A,#N/A,FALSE,"CASHFLOWS";#N/A,#N/A,FALSE,"BALANCESHEET"}</definedName>
    <definedName name="evtab" localSheetId="22" hidden="1">{#N/A,#N/A,FALSE,"COVER";#N/A,#N/A,FALSE,"PF ASSUMPT";#N/A,#N/A,FALSE,"PF EPS";#N/A,#N/A,FALSE,"CASHFLOWS";#N/A,#N/A,FALSE,"BALANCESHEET"}</definedName>
    <definedName name="evtab" localSheetId="20" hidden="1">{#N/A,#N/A,FALSE,"COVER";#N/A,#N/A,FALSE,"PF ASSUMPT";#N/A,#N/A,FALSE,"PF EPS";#N/A,#N/A,FALSE,"CASHFLOWS";#N/A,#N/A,FALSE,"BALANCESHEET"}</definedName>
    <definedName name="evtab" localSheetId="21" hidden="1">{#N/A,#N/A,FALSE,"COVER";#N/A,#N/A,FALSE,"PF ASSUMPT";#N/A,#N/A,FALSE,"PF EPS";#N/A,#N/A,FALSE,"CASHFLOWS";#N/A,#N/A,FALSE,"BALANCESHEET"}</definedName>
    <definedName name="evtab" localSheetId="23" hidden="1">{#N/A,#N/A,FALSE,"COVER";#N/A,#N/A,FALSE,"PF ASSUMPT";#N/A,#N/A,FALSE,"PF EPS";#N/A,#N/A,FALSE,"CASHFLOWS";#N/A,#N/A,FALSE,"BALANCESHEET"}</definedName>
    <definedName name="evtab" localSheetId="1" hidden="1">{#N/A,#N/A,FALSE,"COVER";#N/A,#N/A,FALSE,"PF ASSUMPT";#N/A,#N/A,FALSE,"PF EPS";#N/A,#N/A,FALSE,"CASHFLOWS";#N/A,#N/A,FALSE,"BALANCESHEET"}</definedName>
    <definedName name="evtab" localSheetId="28" hidden="1">{#N/A,#N/A,FALSE,"COVER";#N/A,#N/A,FALSE,"PF ASSUMPT";#N/A,#N/A,FALSE,"PF EPS";#N/A,#N/A,FALSE,"CASHFLOWS";#N/A,#N/A,FALSE,"BALANCESHEET"}</definedName>
    <definedName name="evtab" localSheetId="26" hidden="1">{#N/A,#N/A,FALSE,"COVER";#N/A,#N/A,FALSE,"PF ASSUMPT";#N/A,#N/A,FALSE,"PF EPS";#N/A,#N/A,FALSE,"CASHFLOWS";#N/A,#N/A,FALSE,"BALANCESHEET"}</definedName>
    <definedName name="evtab" localSheetId="27" hidden="1">{#N/A,#N/A,FALSE,"COVER";#N/A,#N/A,FALSE,"PF ASSUMPT";#N/A,#N/A,FALSE,"PF EPS";#N/A,#N/A,FALSE,"CASHFLOWS";#N/A,#N/A,FALSE,"BALANCESHEET"}</definedName>
    <definedName name="evtab" hidden="1">{#N/A,#N/A,FALSE,"COVER";#N/A,#N/A,FALSE,"PF ASSUMPT";#N/A,#N/A,FALSE,"PF EPS";#N/A,#N/A,FALSE,"CASHFLOWS";#N/A,#N/A,FALSE,"BALANCESHEET"}</definedName>
    <definedName name="ExcPostTaxOther">#REF!</definedName>
    <definedName name="f" localSheetId="17" hidden="1">{"cover a","1q",FALSE,"Cover";"Op Earn Mgd Q1",#N/A,FALSE,"Op-Earn (Mng)";"Op Earn Rpt Q1",#N/A,FALSE,"Op-Earn (Rpt)";"Loans",#N/A,FALSE,"Loans";"Credit Costs",#N/A,FALSE,"CCosts";"Net Interest Margin",#N/A,FALSE,"Margin";"Nonint Income",#N/A,FALSE,"NonII";"Nonint Exp",#N/A,FALSE,"NonIE";"Valuation",#N/A,FALSE,"Valuation"}</definedName>
    <definedName name="f" localSheetId="15" hidden="1">{"cover a","1q",FALSE,"Cover";"Op Earn Mgd Q1",#N/A,FALSE,"Op-Earn (Mng)";"Op Earn Rpt Q1",#N/A,FALSE,"Op-Earn (Rpt)";"Loans",#N/A,FALSE,"Loans";"Credit Costs",#N/A,FALSE,"CCosts";"Net Interest Margin",#N/A,FALSE,"Margin";"Nonint Income",#N/A,FALSE,"NonII";"Nonint Exp",#N/A,FALSE,"NonIE";"Valuation",#N/A,FALSE,"Valuation"}</definedName>
    <definedName name="f" localSheetId="12" hidden="1">{"cover a","1q",FALSE,"Cover";"Op Earn Mgd Q1",#N/A,FALSE,"Op-Earn (Mng)";"Op Earn Rpt Q1",#N/A,FALSE,"Op-Earn (Rpt)";"Loans",#N/A,FALSE,"Loans";"Credit Costs",#N/A,FALSE,"CCosts";"Net Interest Margin",#N/A,FALSE,"Margin";"Nonint Income",#N/A,FALSE,"NonII";"Nonint Exp",#N/A,FALSE,"NonIE";"Valuation",#N/A,FALSE,"Valuation"}</definedName>
    <definedName name="f" localSheetId="22" hidden="1">{"cover a","1q",FALSE,"Cover";"Op Earn Mgd Q1",#N/A,FALSE,"Op-Earn (Mng)";"Op Earn Rpt Q1",#N/A,FALSE,"Op-Earn (Rpt)";"Loans",#N/A,FALSE,"Loans";"Credit Costs",#N/A,FALSE,"CCosts";"Net Interest Margin",#N/A,FALSE,"Margin";"Nonint Income",#N/A,FALSE,"NonII";"Nonint Exp",#N/A,FALSE,"NonIE";"Valuation",#N/A,FALSE,"Valuation"}</definedName>
    <definedName name="f" localSheetId="20" hidden="1">{"cover a","1q",FALSE,"Cover";"Op Earn Mgd Q1",#N/A,FALSE,"Op-Earn (Mng)";"Op Earn Rpt Q1",#N/A,FALSE,"Op-Earn (Rpt)";"Loans",#N/A,FALSE,"Loans";"Credit Costs",#N/A,FALSE,"CCosts";"Net Interest Margin",#N/A,FALSE,"Margin";"Nonint Income",#N/A,FALSE,"NonII";"Nonint Exp",#N/A,FALSE,"NonIE";"Valuation",#N/A,FALSE,"Valuation"}</definedName>
    <definedName name="f" localSheetId="21" hidden="1">{"cover a","1q",FALSE,"Cover";"Op Earn Mgd Q1",#N/A,FALSE,"Op-Earn (Mng)";"Op Earn Rpt Q1",#N/A,FALSE,"Op-Earn (Rpt)";"Loans",#N/A,FALSE,"Loans";"Credit Costs",#N/A,FALSE,"CCosts";"Net Interest Margin",#N/A,FALSE,"Margin";"Nonint Income",#N/A,FALSE,"NonII";"Nonint Exp",#N/A,FALSE,"NonIE";"Valuation",#N/A,FALSE,"Valuation"}</definedName>
    <definedName name="f" localSheetId="23" hidden="1">{"cover a","1q",FALSE,"Cover";"Op Earn Mgd Q1",#N/A,FALSE,"Op-Earn (Mng)";"Op Earn Rpt Q1",#N/A,FALSE,"Op-Earn (Rpt)";"Loans",#N/A,FALSE,"Loans";"Credit Costs",#N/A,FALSE,"CCosts";"Net Interest Margin",#N/A,FALSE,"Margin";"Nonint Income",#N/A,FALSE,"NonII";"Nonint Exp",#N/A,FALSE,"NonIE";"Valuation",#N/A,FALSE,"Valuation"}</definedName>
    <definedName name="f" localSheetId="28" hidden="1">{"cover a","1q",FALSE,"Cover";"Op Earn Mgd Q1",#N/A,FALSE,"Op-Earn (Mng)";"Op Earn Rpt Q1",#N/A,FALSE,"Op-Earn (Rpt)";"Loans",#N/A,FALSE,"Loans";"Credit Costs",#N/A,FALSE,"CCosts";"Net Interest Margin",#N/A,FALSE,"Margin";"Nonint Income",#N/A,FALSE,"NonII";"Nonint Exp",#N/A,FALSE,"NonIE";"Valuation",#N/A,FALSE,"Valuation"}</definedName>
    <definedName name="f" localSheetId="26" hidden="1">{"cover a","1q",FALSE,"Cover";"Op Earn Mgd Q1",#N/A,FALSE,"Op-Earn (Mng)";"Op Earn Rpt Q1",#N/A,FALSE,"Op-Earn (Rpt)";"Loans",#N/A,FALSE,"Loans";"Credit Costs",#N/A,FALSE,"CCosts";"Net Interest Margin",#N/A,FALSE,"Margin";"Nonint Income",#N/A,FALSE,"NonII";"Nonint Exp",#N/A,FALSE,"NonIE";"Valuation",#N/A,FALSE,"Valuation"}</definedName>
    <definedName name="f" localSheetId="27" hidden="1">{"cover a","1q",FALSE,"Cover";"Op Earn Mgd Q1",#N/A,FALSE,"Op-Earn (Mng)";"Op Earn Rpt Q1",#N/A,FALSE,"Op-Earn (Rpt)";"Loans",#N/A,FALSE,"Loans";"Credit Costs",#N/A,FALSE,"CCosts";"Net Interest Margin",#N/A,FALSE,"Margin";"Nonint Income",#N/A,FALSE,"NonII";"Nonint Exp",#N/A,FALSE,"NonIE";"Valuation",#N/A,FALSE,"Valuation"}</definedName>
    <definedName name="f" hidden="1">{"cover a","1q",FALSE,"Cover";"Op Earn Mgd Q1",#N/A,FALSE,"Op-Earn (Mng)";"Op Earn Rpt Q1",#N/A,FALSE,"Op-Earn (Rpt)";"Loans",#N/A,FALSE,"Loans";"Credit Costs",#N/A,FALSE,"CCosts";"Net Interest Margin",#N/A,FALSE,"Margin";"Nonint Income",#N/A,FALSE,"NonII";"Nonint Exp",#N/A,FALSE,"NonIE";"Valuation",#N/A,FALSE,"Valuation"}</definedName>
    <definedName name="ｆ" hidden="1">"iQShowAnnual"</definedName>
    <definedName name="fasdfsdasd" localSheetId="17" hidden="1">{"comps",#N/A,FALSE,"TXTCOMPS";"segment_EPS",#N/A,FALSE,"TXTCOMPS";"valuation",#N/A,FALSE,"TXTCOMPS"}</definedName>
    <definedName name="fasdfsdasd" localSheetId="15" hidden="1">{"comps",#N/A,FALSE,"TXTCOMPS";"segment_EPS",#N/A,FALSE,"TXTCOMPS";"valuation",#N/A,FALSE,"TXTCOMPS"}</definedName>
    <definedName name="fasdfsdasd" localSheetId="12" hidden="1">{"comps",#N/A,FALSE,"TXTCOMPS";"segment_EPS",#N/A,FALSE,"TXTCOMPS";"valuation",#N/A,FALSE,"TXTCOMPS"}</definedName>
    <definedName name="fasdfsdasd" localSheetId="22" hidden="1">{"comps",#N/A,FALSE,"TXTCOMPS";"segment_EPS",#N/A,FALSE,"TXTCOMPS";"valuation",#N/A,FALSE,"TXTCOMPS"}</definedName>
    <definedName name="fasdfsdasd" localSheetId="20" hidden="1">{"comps",#N/A,FALSE,"TXTCOMPS";"segment_EPS",#N/A,FALSE,"TXTCOMPS";"valuation",#N/A,FALSE,"TXTCOMPS"}</definedName>
    <definedName name="fasdfsdasd" localSheetId="21" hidden="1">{"comps",#N/A,FALSE,"TXTCOMPS";"segment_EPS",#N/A,FALSE,"TXTCOMPS";"valuation",#N/A,FALSE,"TXTCOMPS"}</definedName>
    <definedName name="fasdfsdasd" localSheetId="23" hidden="1">{"comps",#N/A,FALSE,"TXTCOMPS";"segment_EPS",#N/A,FALSE,"TXTCOMPS";"valuation",#N/A,FALSE,"TXTCOMPS"}</definedName>
    <definedName name="fasdfsdasd" localSheetId="1" hidden="1">{"comps",#N/A,FALSE,"TXTCOMPS";"segment_EPS",#N/A,FALSE,"TXTCOMPS";"valuation",#N/A,FALSE,"TXTCOMPS"}</definedName>
    <definedName name="fasdfsdasd" localSheetId="28" hidden="1">{"comps",#N/A,FALSE,"TXTCOMPS";"segment_EPS",#N/A,FALSE,"TXTCOMPS";"valuation",#N/A,FALSE,"TXTCOMPS"}</definedName>
    <definedName name="fasdfsdasd" localSheetId="26" hidden="1">{"comps",#N/A,FALSE,"TXTCOMPS";"segment_EPS",#N/A,FALSE,"TXTCOMPS";"valuation",#N/A,FALSE,"TXTCOMPS"}</definedName>
    <definedName name="fasdfsdasd" localSheetId="27" hidden="1">{"comps",#N/A,FALSE,"TXTCOMPS";"segment_EPS",#N/A,FALSE,"TXTCOMPS";"valuation",#N/A,FALSE,"TXTCOMPS"}</definedName>
    <definedName name="fasdfsdasd" hidden="1">{"comps",#N/A,FALSE,"TXTCOMPS";"segment_EPS",#N/A,FALSE,"TXTCOMPS";"valuation",#N/A,FALSE,"TXTCOMPS"}</definedName>
    <definedName name="FDP_0_1_aUrv" localSheetId="17" hidden="1">#REF!</definedName>
    <definedName name="FDP_0_1_aUrv" localSheetId="15" hidden="1">#REF!</definedName>
    <definedName name="FDP_0_1_aUrv" localSheetId="12" hidden="1">#REF!</definedName>
    <definedName name="FDP_0_1_aUrv" localSheetId="22" hidden="1">#REF!</definedName>
    <definedName name="FDP_0_1_aUrv" localSheetId="20" hidden="1">#REF!</definedName>
    <definedName name="FDP_0_1_aUrv" localSheetId="21" hidden="1">#REF!</definedName>
    <definedName name="FDP_0_1_aUrv" localSheetId="23" hidden="1">#REF!</definedName>
    <definedName name="FDP_0_1_aUrv" localSheetId="28" hidden="1">#REF!</definedName>
    <definedName name="FDP_0_1_aUrv" localSheetId="26" hidden="1">#REF!</definedName>
    <definedName name="FDP_0_1_aUrv" localSheetId="27" hidden="1">#REF!</definedName>
    <definedName name="FDP_0_1_aUrv" hidden="1">#REF!</definedName>
    <definedName name="FDP_1_1_aUrv" localSheetId="17" hidden="1">#REF!</definedName>
    <definedName name="FDP_1_1_aUrv" localSheetId="15" hidden="1">#REF!</definedName>
    <definedName name="FDP_1_1_aUrv" localSheetId="12" hidden="1">#REF!</definedName>
    <definedName name="FDP_1_1_aUrv" localSheetId="22" hidden="1">#REF!</definedName>
    <definedName name="FDP_1_1_aUrv" localSheetId="20" hidden="1">#REF!</definedName>
    <definedName name="FDP_1_1_aUrv" localSheetId="21" hidden="1">#REF!</definedName>
    <definedName name="FDP_1_1_aUrv" localSheetId="23" hidden="1">#REF!</definedName>
    <definedName name="FDP_1_1_aUrv" localSheetId="28" hidden="1">#REF!</definedName>
    <definedName name="FDP_1_1_aUrv" localSheetId="26" hidden="1">#REF!</definedName>
    <definedName name="FDP_1_1_aUrv" localSheetId="27" hidden="1">#REF!</definedName>
    <definedName name="FDP_1_1_aUrv" hidden="1">#REF!</definedName>
    <definedName name="FDP_10_1_aUrv" localSheetId="17" hidden="1">#REF!</definedName>
    <definedName name="FDP_10_1_aUrv" localSheetId="15" hidden="1">#REF!</definedName>
    <definedName name="FDP_10_1_aUrv" localSheetId="12" hidden="1">#REF!</definedName>
    <definedName name="FDP_10_1_aUrv" localSheetId="22" hidden="1">#REF!</definedName>
    <definedName name="FDP_10_1_aUrv" localSheetId="20" hidden="1">#REF!</definedName>
    <definedName name="FDP_10_1_aUrv" localSheetId="21" hidden="1">#REF!</definedName>
    <definedName name="FDP_10_1_aUrv" localSheetId="23" hidden="1">#REF!</definedName>
    <definedName name="FDP_10_1_aUrv" localSheetId="28" hidden="1">#REF!</definedName>
    <definedName name="FDP_10_1_aUrv" localSheetId="26" hidden="1">#REF!</definedName>
    <definedName name="FDP_10_1_aUrv" localSheetId="27" hidden="1">#REF!</definedName>
    <definedName name="FDP_10_1_aUrv" hidden="1">#REF!</definedName>
    <definedName name="FDP_100_1_aUrv" localSheetId="17" hidden="1">#REF!</definedName>
    <definedName name="FDP_100_1_aUrv" localSheetId="15" hidden="1">#REF!</definedName>
    <definedName name="FDP_100_1_aUrv" localSheetId="12" hidden="1">#REF!</definedName>
    <definedName name="FDP_100_1_aUrv" localSheetId="22" hidden="1">#REF!</definedName>
    <definedName name="FDP_100_1_aUrv" localSheetId="20" hidden="1">#REF!</definedName>
    <definedName name="FDP_100_1_aUrv" localSheetId="21" hidden="1">#REF!</definedName>
    <definedName name="FDP_100_1_aUrv" localSheetId="23" hidden="1">#REF!</definedName>
    <definedName name="FDP_100_1_aUrv" localSheetId="28" hidden="1">#REF!</definedName>
    <definedName name="FDP_100_1_aUrv" localSheetId="26" hidden="1">#REF!</definedName>
    <definedName name="FDP_100_1_aUrv" localSheetId="27" hidden="1">#REF!</definedName>
    <definedName name="FDP_100_1_aUrv" hidden="1">#REF!</definedName>
    <definedName name="FDP_101_1_aUrv" localSheetId="17" hidden="1">#REF!</definedName>
    <definedName name="FDP_101_1_aUrv" localSheetId="15" hidden="1">#REF!</definedName>
    <definedName name="FDP_101_1_aUrv" localSheetId="12" hidden="1">#REF!</definedName>
    <definedName name="FDP_101_1_aUrv" localSheetId="22" hidden="1">#REF!</definedName>
    <definedName name="FDP_101_1_aUrv" localSheetId="20" hidden="1">#REF!</definedName>
    <definedName name="FDP_101_1_aUrv" localSheetId="21" hidden="1">#REF!</definedName>
    <definedName name="FDP_101_1_aUrv" localSheetId="23" hidden="1">#REF!</definedName>
    <definedName name="FDP_101_1_aUrv" localSheetId="28" hidden="1">#REF!</definedName>
    <definedName name="FDP_101_1_aUrv" localSheetId="26" hidden="1">#REF!</definedName>
    <definedName name="FDP_101_1_aUrv" localSheetId="27" hidden="1">#REF!</definedName>
    <definedName name="FDP_101_1_aUrv" hidden="1">#REF!</definedName>
    <definedName name="FDP_102_1_aUrv" localSheetId="17" hidden="1">#REF!</definedName>
    <definedName name="FDP_102_1_aUrv" localSheetId="15" hidden="1">#REF!</definedName>
    <definedName name="FDP_102_1_aUrv" localSheetId="12" hidden="1">#REF!</definedName>
    <definedName name="FDP_102_1_aUrv" localSheetId="22" hidden="1">#REF!</definedName>
    <definedName name="FDP_102_1_aUrv" localSheetId="20" hidden="1">#REF!</definedName>
    <definedName name="FDP_102_1_aUrv" localSheetId="21" hidden="1">#REF!</definedName>
    <definedName name="FDP_102_1_aUrv" localSheetId="23" hidden="1">#REF!</definedName>
    <definedName name="FDP_102_1_aUrv" localSheetId="28" hidden="1">#REF!</definedName>
    <definedName name="FDP_102_1_aUrv" localSheetId="26" hidden="1">#REF!</definedName>
    <definedName name="FDP_102_1_aUrv" localSheetId="27" hidden="1">#REF!</definedName>
    <definedName name="FDP_102_1_aUrv" hidden="1">#REF!</definedName>
    <definedName name="FDP_103_1_aUrv" localSheetId="17" hidden="1">#REF!</definedName>
    <definedName name="FDP_103_1_aUrv" localSheetId="15" hidden="1">#REF!</definedName>
    <definedName name="FDP_103_1_aUrv" localSheetId="12" hidden="1">#REF!</definedName>
    <definedName name="FDP_103_1_aUrv" localSheetId="22" hidden="1">#REF!</definedName>
    <definedName name="FDP_103_1_aUrv" localSheetId="20" hidden="1">#REF!</definedName>
    <definedName name="FDP_103_1_aUrv" localSheetId="21" hidden="1">#REF!</definedName>
    <definedName name="FDP_103_1_aUrv" localSheetId="23" hidden="1">#REF!</definedName>
    <definedName name="FDP_103_1_aUrv" localSheetId="28" hidden="1">#REF!</definedName>
    <definedName name="FDP_103_1_aUrv" localSheetId="26" hidden="1">#REF!</definedName>
    <definedName name="FDP_103_1_aUrv" localSheetId="27" hidden="1">#REF!</definedName>
    <definedName name="FDP_103_1_aUrv" hidden="1">#REF!</definedName>
    <definedName name="FDP_104_1_aUrv" localSheetId="17" hidden="1">#REF!</definedName>
    <definedName name="FDP_104_1_aUrv" localSheetId="15" hidden="1">#REF!</definedName>
    <definedName name="FDP_104_1_aUrv" localSheetId="12" hidden="1">#REF!</definedName>
    <definedName name="FDP_104_1_aUrv" localSheetId="22" hidden="1">#REF!</definedName>
    <definedName name="FDP_104_1_aUrv" localSheetId="20" hidden="1">#REF!</definedName>
    <definedName name="FDP_104_1_aUrv" localSheetId="21" hidden="1">#REF!</definedName>
    <definedName name="FDP_104_1_aUrv" localSheetId="23" hidden="1">#REF!</definedName>
    <definedName name="FDP_104_1_aUrv" localSheetId="28" hidden="1">#REF!</definedName>
    <definedName name="FDP_104_1_aUrv" localSheetId="26" hidden="1">#REF!</definedName>
    <definedName name="FDP_104_1_aUrv" localSheetId="27" hidden="1">#REF!</definedName>
    <definedName name="FDP_104_1_aUrv" hidden="1">#REF!</definedName>
    <definedName name="FDP_105_1_aUrv" localSheetId="17" hidden="1">#REF!</definedName>
    <definedName name="FDP_105_1_aUrv" localSheetId="15" hidden="1">#REF!</definedName>
    <definedName name="FDP_105_1_aUrv" localSheetId="12" hidden="1">#REF!</definedName>
    <definedName name="FDP_105_1_aUrv" localSheetId="22" hidden="1">#REF!</definedName>
    <definedName name="FDP_105_1_aUrv" localSheetId="20" hidden="1">#REF!</definedName>
    <definedName name="FDP_105_1_aUrv" localSheetId="21" hidden="1">#REF!</definedName>
    <definedName name="FDP_105_1_aUrv" localSheetId="23" hidden="1">#REF!</definedName>
    <definedName name="FDP_105_1_aUrv" localSheetId="28" hidden="1">#REF!</definedName>
    <definedName name="FDP_105_1_aUrv" localSheetId="26" hidden="1">#REF!</definedName>
    <definedName name="FDP_105_1_aUrv" localSheetId="27" hidden="1">#REF!</definedName>
    <definedName name="FDP_105_1_aUrv" hidden="1">#REF!</definedName>
    <definedName name="FDP_106_1_aUrv" localSheetId="17" hidden="1">#REF!</definedName>
    <definedName name="FDP_106_1_aUrv" localSheetId="15" hidden="1">#REF!</definedName>
    <definedName name="FDP_106_1_aUrv" localSheetId="12" hidden="1">#REF!</definedName>
    <definedName name="FDP_106_1_aUrv" localSheetId="22" hidden="1">#REF!</definedName>
    <definedName name="FDP_106_1_aUrv" localSheetId="20" hidden="1">#REF!</definedName>
    <definedName name="FDP_106_1_aUrv" localSheetId="21" hidden="1">#REF!</definedName>
    <definedName name="FDP_106_1_aUrv" localSheetId="23" hidden="1">#REF!</definedName>
    <definedName name="FDP_106_1_aUrv" localSheetId="28" hidden="1">#REF!</definedName>
    <definedName name="FDP_106_1_aUrv" localSheetId="26" hidden="1">#REF!</definedName>
    <definedName name="FDP_106_1_aUrv" localSheetId="27" hidden="1">#REF!</definedName>
    <definedName name="FDP_106_1_aUrv" hidden="1">#REF!</definedName>
    <definedName name="FDP_107_1_aUrv" localSheetId="17" hidden="1">#REF!</definedName>
    <definedName name="FDP_107_1_aUrv" localSheetId="15" hidden="1">#REF!</definedName>
    <definedName name="FDP_107_1_aUrv" localSheetId="12" hidden="1">#REF!</definedName>
    <definedName name="FDP_107_1_aUrv" localSheetId="22" hidden="1">#REF!</definedName>
    <definedName name="FDP_107_1_aUrv" localSheetId="20" hidden="1">#REF!</definedName>
    <definedName name="FDP_107_1_aUrv" localSheetId="21" hidden="1">#REF!</definedName>
    <definedName name="FDP_107_1_aUrv" localSheetId="23" hidden="1">#REF!</definedName>
    <definedName name="FDP_107_1_aUrv" localSheetId="28" hidden="1">#REF!</definedName>
    <definedName name="FDP_107_1_aUrv" localSheetId="26" hidden="1">#REF!</definedName>
    <definedName name="FDP_107_1_aUrv" localSheetId="27" hidden="1">#REF!</definedName>
    <definedName name="FDP_107_1_aUrv" hidden="1">#REF!</definedName>
    <definedName name="FDP_108_1_aUrv" localSheetId="17" hidden="1">#REF!</definedName>
    <definedName name="FDP_108_1_aUrv" localSheetId="15" hidden="1">#REF!</definedName>
    <definedName name="FDP_108_1_aUrv" localSheetId="12" hidden="1">#REF!</definedName>
    <definedName name="FDP_108_1_aUrv" localSheetId="22" hidden="1">#REF!</definedName>
    <definedName name="FDP_108_1_aUrv" localSheetId="20" hidden="1">#REF!</definedName>
    <definedName name="FDP_108_1_aUrv" localSheetId="21" hidden="1">#REF!</definedName>
    <definedName name="FDP_108_1_aUrv" localSheetId="23" hidden="1">#REF!</definedName>
    <definedName name="FDP_108_1_aUrv" localSheetId="28" hidden="1">#REF!</definedName>
    <definedName name="FDP_108_1_aUrv" localSheetId="26" hidden="1">#REF!</definedName>
    <definedName name="FDP_108_1_aUrv" localSheetId="27" hidden="1">#REF!</definedName>
    <definedName name="FDP_108_1_aUrv" hidden="1">#REF!</definedName>
    <definedName name="FDP_109_1_aUrv" localSheetId="17" hidden="1">#REF!</definedName>
    <definedName name="FDP_109_1_aUrv" localSheetId="15" hidden="1">#REF!</definedName>
    <definedName name="FDP_109_1_aUrv" localSheetId="12" hidden="1">#REF!</definedName>
    <definedName name="FDP_109_1_aUrv" localSheetId="22" hidden="1">#REF!</definedName>
    <definedName name="FDP_109_1_aUrv" localSheetId="20" hidden="1">#REF!</definedName>
    <definedName name="FDP_109_1_aUrv" localSheetId="21" hidden="1">#REF!</definedName>
    <definedName name="FDP_109_1_aUrv" localSheetId="23" hidden="1">#REF!</definedName>
    <definedName name="FDP_109_1_aUrv" localSheetId="28" hidden="1">#REF!</definedName>
    <definedName name="FDP_109_1_aUrv" localSheetId="26" hidden="1">#REF!</definedName>
    <definedName name="FDP_109_1_aUrv" localSheetId="27" hidden="1">#REF!</definedName>
    <definedName name="FDP_109_1_aUrv" hidden="1">#REF!</definedName>
    <definedName name="FDP_11_1_aDrv" localSheetId="17" hidden="1">#REF!</definedName>
    <definedName name="FDP_11_1_aDrv" localSheetId="15" hidden="1">#REF!</definedName>
    <definedName name="FDP_11_1_aDrv" localSheetId="12" hidden="1">#REF!</definedName>
    <definedName name="FDP_11_1_aDrv" localSheetId="22" hidden="1">#REF!</definedName>
    <definedName name="FDP_11_1_aDrv" localSheetId="20" hidden="1">#REF!</definedName>
    <definedName name="FDP_11_1_aDrv" localSheetId="21" hidden="1">#REF!</definedName>
    <definedName name="FDP_11_1_aDrv" localSheetId="23" hidden="1">#REF!</definedName>
    <definedName name="FDP_11_1_aDrv" localSheetId="28" hidden="1">#REF!</definedName>
    <definedName name="FDP_11_1_aDrv" localSheetId="26" hidden="1">#REF!</definedName>
    <definedName name="FDP_11_1_aDrv" localSheetId="27" hidden="1">#REF!</definedName>
    <definedName name="FDP_11_1_aDrv" hidden="1">#REF!</definedName>
    <definedName name="FDP_110_1_aUrv" localSheetId="17" hidden="1">#REF!</definedName>
    <definedName name="FDP_110_1_aUrv" localSheetId="15" hidden="1">#REF!</definedName>
    <definedName name="FDP_110_1_aUrv" localSheetId="12" hidden="1">#REF!</definedName>
    <definedName name="FDP_110_1_aUrv" localSheetId="22" hidden="1">#REF!</definedName>
    <definedName name="FDP_110_1_aUrv" localSheetId="20" hidden="1">#REF!</definedName>
    <definedName name="FDP_110_1_aUrv" localSheetId="21" hidden="1">#REF!</definedName>
    <definedName name="FDP_110_1_aUrv" localSheetId="23" hidden="1">#REF!</definedName>
    <definedName name="FDP_110_1_aUrv" localSheetId="28" hidden="1">#REF!</definedName>
    <definedName name="FDP_110_1_aUrv" localSheetId="26" hidden="1">#REF!</definedName>
    <definedName name="FDP_110_1_aUrv" localSheetId="27" hidden="1">#REF!</definedName>
    <definedName name="FDP_110_1_aUrv" hidden="1">#REF!</definedName>
    <definedName name="FDP_111_1_aUrv" localSheetId="17" hidden="1">#REF!</definedName>
    <definedName name="FDP_111_1_aUrv" localSheetId="15" hidden="1">#REF!</definedName>
    <definedName name="FDP_111_1_aUrv" localSheetId="12" hidden="1">#REF!</definedName>
    <definedName name="FDP_111_1_aUrv" localSheetId="22" hidden="1">#REF!</definedName>
    <definedName name="FDP_111_1_aUrv" localSheetId="20" hidden="1">#REF!</definedName>
    <definedName name="FDP_111_1_aUrv" localSheetId="21" hidden="1">#REF!</definedName>
    <definedName name="FDP_111_1_aUrv" localSheetId="23" hidden="1">#REF!</definedName>
    <definedName name="FDP_111_1_aUrv" localSheetId="28" hidden="1">#REF!</definedName>
    <definedName name="FDP_111_1_aUrv" localSheetId="26" hidden="1">#REF!</definedName>
    <definedName name="FDP_111_1_aUrv" localSheetId="27" hidden="1">#REF!</definedName>
    <definedName name="FDP_111_1_aUrv" hidden="1">#REF!</definedName>
    <definedName name="FDP_112_1_aUrv" localSheetId="17" hidden="1">#REF!</definedName>
    <definedName name="FDP_112_1_aUrv" localSheetId="15" hidden="1">#REF!</definedName>
    <definedName name="FDP_112_1_aUrv" localSheetId="12" hidden="1">#REF!</definedName>
    <definedName name="FDP_112_1_aUrv" localSheetId="22" hidden="1">#REF!</definedName>
    <definedName name="FDP_112_1_aUrv" localSheetId="20" hidden="1">#REF!</definedName>
    <definedName name="FDP_112_1_aUrv" localSheetId="21" hidden="1">#REF!</definedName>
    <definedName name="FDP_112_1_aUrv" localSheetId="23" hidden="1">#REF!</definedName>
    <definedName name="FDP_112_1_aUrv" localSheetId="28" hidden="1">#REF!</definedName>
    <definedName name="FDP_112_1_aUrv" localSheetId="26" hidden="1">#REF!</definedName>
    <definedName name="FDP_112_1_aUrv" localSheetId="27" hidden="1">#REF!</definedName>
    <definedName name="FDP_112_1_aUrv" hidden="1">#REF!</definedName>
    <definedName name="FDP_113_1_aUrv" localSheetId="17" hidden="1">#REF!</definedName>
    <definedName name="FDP_113_1_aUrv" localSheetId="15" hidden="1">#REF!</definedName>
    <definedName name="FDP_113_1_aUrv" localSheetId="12" hidden="1">#REF!</definedName>
    <definedName name="FDP_113_1_aUrv" localSheetId="22" hidden="1">#REF!</definedName>
    <definedName name="FDP_113_1_aUrv" localSheetId="20" hidden="1">#REF!</definedName>
    <definedName name="FDP_113_1_aUrv" localSheetId="21" hidden="1">#REF!</definedName>
    <definedName name="FDP_113_1_aUrv" localSheetId="23" hidden="1">#REF!</definedName>
    <definedName name="FDP_113_1_aUrv" localSheetId="28" hidden="1">#REF!</definedName>
    <definedName name="FDP_113_1_aUrv" localSheetId="26" hidden="1">#REF!</definedName>
    <definedName name="FDP_113_1_aUrv" localSheetId="27" hidden="1">#REF!</definedName>
    <definedName name="FDP_113_1_aUrv" hidden="1">#REF!</definedName>
    <definedName name="FDP_114_1_aUrv" localSheetId="17" hidden="1">#REF!</definedName>
    <definedName name="FDP_114_1_aUrv" localSheetId="15" hidden="1">#REF!</definedName>
    <definedName name="FDP_114_1_aUrv" localSheetId="12" hidden="1">#REF!</definedName>
    <definedName name="FDP_114_1_aUrv" localSheetId="22" hidden="1">#REF!</definedName>
    <definedName name="FDP_114_1_aUrv" localSheetId="20" hidden="1">#REF!</definedName>
    <definedName name="FDP_114_1_aUrv" localSheetId="21" hidden="1">#REF!</definedName>
    <definedName name="FDP_114_1_aUrv" localSheetId="23" hidden="1">#REF!</definedName>
    <definedName name="FDP_114_1_aUrv" localSheetId="28" hidden="1">#REF!</definedName>
    <definedName name="FDP_114_1_aUrv" localSheetId="26" hidden="1">#REF!</definedName>
    <definedName name="FDP_114_1_aUrv" localSheetId="27" hidden="1">#REF!</definedName>
    <definedName name="FDP_114_1_aUrv" hidden="1">#REF!</definedName>
    <definedName name="FDP_115_1_aUrv" localSheetId="17" hidden="1">#REF!</definedName>
    <definedName name="FDP_115_1_aUrv" localSheetId="15" hidden="1">#REF!</definedName>
    <definedName name="FDP_115_1_aUrv" localSheetId="12" hidden="1">#REF!</definedName>
    <definedName name="FDP_115_1_aUrv" localSheetId="22" hidden="1">#REF!</definedName>
    <definedName name="FDP_115_1_aUrv" localSheetId="20" hidden="1">#REF!</definedName>
    <definedName name="FDP_115_1_aUrv" localSheetId="21" hidden="1">#REF!</definedName>
    <definedName name="FDP_115_1_aUrv" localSheetId="23" hidden="1">#REF!</definedName>
    <definedName name="FDP_115_1_aUrv" localSheetId="28" hidden="1">#REF!</definedName>
    <definedName name="FDP_115_1_aUrv" localSheetId="26" hidden="1">#REF!</definedName>
    <definedName name="FDP_115_1_aUrv" localSheetId="27" hidden="1">#REF!</definedName>
    <definedName name="FDP_115_1_aUrv" hidden="1">#REF!</definedName>
    <definedName name="FDP_116_1_aUrv" localSheetId="17" hidden="1">#REF!</definedName>
    <definedName name="FDP_116_1_aUrv" localSheetId="15" hidden="1">#REF!</definedName>
    <definedName name="FDP_116_1_aUrv" localSheetId="12" hidden="1">#REF!</definedName>
    <definedName name="FDP_116_1_aUrv" localSheetId="22" hidden="1">#REF!</definedName>
    <definedName name="FDP_116_1_aUrv" localSheetId="20" hidden="1">#REF!</definedName>
    <definedName name="FDP_116_1_aUrv" localSheetId="21" hidden="1">#REF!</definedName>
    <definedName name="FDP_116_1_aUrv" localSheetId="23" hidden="1">#REF!</definedName>
    <definedName name="FDP_116_1_aUrv" localSheetId="28" hidden="1">#REF!</definedName>
    <definedName name="FDP_116_1_aUrv" localSheetId="26" hidden="1">#REF!</definedName>
    <definedName name="FDP_116_1_aUrv" localSheetId="27" hidden="1">#REF!</definedName>
    <definedName name="FDP_116_1_aUrv" hidden="1">#REF!</definedName>
    <definedName name="FDP_117_1_aUrv" localSheetId="17" hidden="1">#REF!</definedName>
    <definedName name="FDP_117_1_aUrv" localSheetId="15" hidden="1">#REF!</definedName>
    <definedName name="FDP_117_1_aUrv" localSheetId="12" hidden="1">#REF!</definedName>
    <definedName name="FDP_117_1_aUrv" localSheetId="22" hidden="1">#REF!</definedName>
    <definedName name="FDP_117_1_aUrv" localSheetId="20" hidden="1">#REF!</definedName>
    <definedName name="FDP_117_1_aUrv" localSheetId="21" hidden="1">#REF!</definedName>
    <definedName name="FDP_117_1_aUrv" localSheetId="23" hidden="1">#REF!</definedName>
    <definedName name="FDP_117_1_aUrv" localSheetId="28" hidden="1">#REF!</definedName>
    <definedName name="FDP_117_1_aUrv" localSheetId="26" hidden="1">#REF!</definedName>
    <definedName name="FDP_117_1_aUrv" localSheetId="27" hidden="1">#REF!</definedName>
    <definedName name="FDP_117_1_aUrv" hidden="1">#REF!</definedName>
    <definedName name="FDP_118_1_aUrv" localSheetId="17" hidden="1">#REF!</definedName>
    <definedName name="FDP_118_1_aUrv" localSheetId="15" hidden="1">#REF!</definedName>
    <definedName name="FDP_118_1_aUrv" localSheetId="12" hidden="1">#REF!</definedName>
    <definedName name="FDP_118_1_aUrv" localSheetId="22" hidden="1">#REF!</definedName>
    <definedName name="FDP_118_1_aUrv" localSheetId="20" hidden="1">#REF!</definedName>
    <definedName name="FDP_118_1_aUrv" localSheetId="21" hidden="1">#REF!</definedName>
    <definedName name="FDP_118_1_aUrv" localSheetId="23" hidden="1">#REF!</definedName>
    <definedName name="FDP_118_1_aUrv" localSheetId="28" hidden="1">#REF!</definedName>
    <definedName name="FDP_118_1_aUrv" localSheetId="26" hidden="1">#REF!</definedName>
    <definedName name="FDP_118_1_aUrv" localSheetId="27" hidden="1">#REF!</definedName>
    <definedName name="FDP_118_1_aUrv" hidden="1">#REF!</definedName>
    <definedName name="FDP_119_1_aUrv" localSheetId="17" hidden="1">#REF!</definedName>
    <definedName name="FDP_119_1_aUrv" localSheetId="15" hidden="1">#REF!</definedName>
    <definedName name="FDP_119_1_aUrv" localSheetId="12" hidden="1">#REF!</definedName>
    <definedName name="FDP_119_1_aUrv" localSheetId="22" hidden="1">#REF!</definedName>
    <definedName name="FDP_119_1_aUrv" localSheetId="20" hidden="1">#REF!</definedName>
    <definedName name="FDP_119_1_aUrv" localSheetId="21" hidden="1">#REF!</definedName>
    <definedName name="FDP_119_1_aUrv" localSheetId="23" hidden="1">#REF!</definedName>
    <definedName name="FDP_119_1_aUrv" localSheetId="28" hidden="1">#REF!</definedName>
    <definedName name="FDP_119_1_aUrv" localSheetId="26" hidden="1">#REF!</definedName>
    <definedName name="FDP_119_1_aUrv" localSheetId="27" hidden="1">#REF!</definedName>
    <definedName name="FDP_119_1_aUrv" hidden="1">#REF!</definedName>
    <definedName name="FDP_12_1_aDrv" localSheetId="17" hidden="1">#REF!</definedName>
    <definedName name="FDP_12_1_aDrv" localSheetId="15" hidden="1">#REF!</definedName>
    <definedName name="FDP_12_1_aDrv" localSheetId="12" hidden="1">#REF!</definedName>
    <definedName name="FDP_12_1_aDrv" localSheetId="22" hidden="1">#REF!</definedName>
    <definedName name="FDP_12_1_aDrv" localSheetId="20" hidden="1">#REF!</definedName>
    <definedName name="FDP_12_1_aDrv" localSheetId="21" hidden="1">#REF!</definedName>
    <definedName name="FDP_12_1_aDrv" localSheetId="23" hidden="1">#REF!</definedName>
    <definedName name="FDP_12_1_aDrv" localSheetId="28" hidden="1">#REF!</definedName>
    <definedName name="FDP_12_1_aDrv" localSheetId="26" hidden="1">#REF!</definedName>
    <definedName name="FDP_12_1_aDrv" localSheetId="27" hidden="1">#REF!</definedName>
    <definedName name="FDP_12_1_aDrv" hidden="1">#REF!</definedName>
    <definedName name="FDP_120_1_aUrv" localSheetId="17" hidden="1">#REF!</definedName>
    <definedName name="FDP_120_1_aUrv" localSheetId="15" hidden="1">#REF!</definedName>
    <definedName name="FDP_120_1_aUrv" localSheetId="12" hidden="1">#REF!</definedName>
    <definedName name="FDP_120_1_aUrv" localSheetId="22" hidden="1">#REF!</definedName>
    <definedName name="FDP_120_1_aUrv" localSheetId="20" hidden="1">#REF!</definedName>
    <definedName name="FDP_120_1_aUrv" localSheetId="21" hidden="1">#REF!</definedName>
    <definedName name="FDP_120_1_aUrv" localSheetId="23" hidden="1">#REF!</definedName>
    <definedName name="FDP_120_1_aUrv" localSheetId="28" hidden="1">#REF!</definedName>
    <definedName name="FDP_120_1_aUrv" localSheetId="26" hidden="1">#REF!</definedName>
    <definedName name="FDP_120_1_aUrv" localSheetId="27" hidden="1">#REF!</definedName>
    <definedName name="FDP_120_1_aUrv" hidden="1">#REF!</definedName>
    <definedName name="FDP_121_1_aUrv" localSheetId="17" hidden="1">#REF!</definedName>
    <definedName name="FDP_121_1_aUrv" localSheetId="15" hidden="1">#REF!</definedName>
    <definedName name="FDP_121_1_aUrv" localSheetId="12" hidden="1">#REF!</definedName>
    <definedName name="FDP_121_1_aUrv" localSheetId="22" hidden="1">#REF!</definedName>
    <definedName name="FDP_121_1_aUrv" localSheetId="20" hidden="1">#REF!</definedName>
    <definedName name="FDP_121_1_aUrv" localSheetId="21" hidden="1">#REF!</definedName>
    <definedName name="FDP_121_1_aUrv" localSheetId="23" hidden="1">#REF!</definedName>
    <definedName name="FDP_121_1_aUrv" localSheetId="28" hidden="1">#REF!</definedName>
    <definedName name="FDP_121_1_aUrv" localSheetId="26" hidden="1">#REF!</definedName>
    <definedName name="FDP_121_1_aUrv" localSheetId="27" hidden="1">#REF!</definedName>
    <definedName name="FDP_121_1_aUrv" hidden="1">#REF!</definedName>
    <definedName name="FDP_122_1_aUrv" localSheetId="17" hidden="1">#REF!</definedName>
    <definedName name="FDP_122_1_aUrv" localSheetId="15" hidden="1">#REF!</definedName>
    <definedName name="FDP_122_1_aUrv" localSheetId="12" hidden="1">#REF!</definedName>
    <definedName name="FDP_122_1_aUrv" localSheetId="22" hidden="1">#REF!</definedName>
    <definedName name="FDP_122_1_aUrv" localSheetId="20" hidden="1">#REF!</definedName>
    <definedName name="FDP_122_1_aUrv" localSheetId="21" hidden="1">#REF!</definedName>
    <definedName name="FDP_122_1_aUrv" localSheetId="23" hidden="1">#REF!</definedName>
    <definedName name="FDP_122_1_aUrv" localSheetId="28" hidden="1">#REF!</definedName>
    <definedName name="FDP_122_1_aUrv" localSheetId="26" hidden="1">#REF!</definedName>
    <definedName name="FDP_122_1_aUrv" localSheetId="27" hidden="1">#REF!</definedName>
    <definedName name="FDP_122_1_aUrv" hidden="1">#REF!</definedName>
    <definedName name="FDP_123_1_aUrv" localSheetId="17" hidden="1">#REF!</definedName>
    <definedName name="FDP_123_1_aUrv" localSheetId="15" hidden="1">#REF!</definedName>
    <definedName name="FDP_123_1_aUrv" localSheetId="12" hidden="1">#REF!</definedName>
    <definedName name="FDP_123_1_aUrv" localSheetId="22" hidden="1">#REF!</definedName>
    <definedName name="FDP_123_1_aUrv" localSheetId="20" hidden="1">#REF!</definedName>
    <definedName name="FDP_123_1_aUrv" localSheetId="21" hidden="1">#REF!</definedName>
    <definedName name="FDP_123_1_aUrv" localSheetId="23" hidden="1">#REF!</definedName>
    <definedName name="FDP_123_1_aUrv" localSheetId="28" hidden="1">#REF!</definedName>
    <definedName name="FDP_123_1_aUrv" localSheetId="26" hidden="1">#REF!</definedName>
    <definedName name="FDP_123_1_aUrv" localSheetId="27" hidden="1">#REF!</definedName>
    <definedName name="FDP_123_1_aUrv" hidden="1">#REF!</definedName>
    <definedName name="FDP_124_1_aUrv" localSheetId="17" hidden="1">#REF!</definedName>
    <definedName name="FDP_124_1_aUrv" localSheetId="15" hidden="1">#REF!</definedName>
    <definedName name="FDP_124_1_aUrv" localSheetId="12" hidden="1">#REF!</definedName>
    <definedName name="FDP_124_1_aUrv" localSheetId="22" hidden="1">#REF!</definedName>
    <definedName name="FDP_124_1_aUrv" localSheetId="20" hidden="1">#REF!</definedName>
    <definedName name="FDP_124_1_aUrv" localSheetId="21" hidden="1">#REF!</definedName>
    <definedName name="FDP_124_1_aUrv" localSheetId="23" hidden="1">#REF!</definedName>
    <definedName name="FDP_124_1_aUrv" localSheetId="28" hidden="1">#REF!</definedName>
    <definedName name="FDP_124_1_aUrv" localSheetId="26" hidden="1">#REF!</definedName>
    <definedName name="FDP_124_1_aUrv" localSheetId="27" hidden="1">#REF!</definedName>
    <definedName name="FDP_124_1_aUrv" hidden="1">#REF!</definedName>
    <definedName name="FDP_125_1_aUrv" localSheetId="17" hidden="1">#REF!</definedName>
    <definedName name="FDP_125_1_aUrv" localSheetId="15" hidden="1">#REF!</definedName>
    <definedName name="FDP_125_1_aUrv" localSheetId="12" hidden="1">#REF!</definedName>
    <definedName name="FDP_125_1_aUrv" localSheetId="22" hidden="1">#REF!</definedName>
    <definedName name="FDP_125_1_aUrv" localSheetId="20" hidden="1">#REF!</definedName>
    <definedName name="FDP_125_1_aUrv" localSheetId="21" hidden="1">#REF!</definedName>
    <definedName name="FDP_125_1_aUrv" localSheetId="23" hidden="1">#REF!</definedName>
    <definedName name="FDP_125_1_aUrv" localSheetId="28" hidden="1">#REF!</definedName>
    <definedName name="FDP_125_1_aUrv" localSheetId="26" hidden="1">#REF!</definedName>
    <definedName name="FDP_125_1_aUrv" localSheetId="27" hidden="1">#REF!</definedName>
    <definedName name="FDP_125_1_aUrv" hidden="1">#REF!</definedName>
    <definedName name="FDP_126_1_aUrv" localSheetId="17" hidden="1">#REF!</definedName>
    <definedName name="FDP_126_1_aUrv" localSheetId="15" hidden="1">#REF!</definedName>
    <definedName name="FDP_126_1_aUrv" localSheetId="12" hidden="1">#REF!</definedName>
    <definedName name="FDP_126_1_aUrv" localSheetId="22" hidden="1">#REF!</definedName>
    <definedName name="FDP_126_1_aUrv" localSheetId="20" hidden="1">#REF!</definedName>
    <definedName name="FDP_126_1_aUrv" localSheetId="21" hidden="1">#REF!</definedName>
    <definedName name="FDP_126_1_aUrv" localSheetId="23" hidden="1">#REF!</definedName>
    <definedName name="FDP_126_1_aUrv" localSheetId="28" hidden="1">#REF!</definedName>
    <definedName name="FDP_126_1_aUrv" localSheetId="26" hidden="1">#REF!</definedName>
    <definedName name="FDP_126_1_aUrv" localSheetId="27" hidden="1">#REF!</definedName>
    <definedName name="FDP_126_1_aUrv" hidden="1">#REF!</definedName>
    <definedName name="FDP_127_1_aUrv" localSheetId="17" hidden="1">#REF!</definedName>
    <definedName name="FDP_127_1_aUrv" localSheetId="15" hidden="1">#REF!</definedName>
    <definedName name="FDP_127_1_aUrv" localSheetId="12" hidden="1">#REF!</definedName>
    <definedName name="FDP_127_1_aUrv" localSheetId="22" hidden="1">#REF!</definedName>
    <definedName name="FDP_127_1_aUrv" localSheetId="20" hidden="1">#REF!</definedName>
    <definedName name="FDP_127_1_aUrv" localSheetId="21" hidden="1">#REF!</definedName>
    <definedName name="FDP_127_1_aUrv" localSheetId="23" hidden="1">#REF!</definedName>
    <definedName name="FDP_127_1_aUrv" localSheetId="28" hidden="1">#REF!</definedName>
    <definedName name="FDP_127_1_aUrv" localSheetId="26" hidden="1">#REF!</definedName>
    <definedName name="FDP_127_1_aUrv" localSheetId="27" hidden="1">#REF!</definedName>
    <definedName name="FDP_127_1_aUrv" hidden="1">#REF!</definedName>
    <definedName name="FDP_128_1_aUrv" localSheetId="17" hidden="1">#REF!</definedName>
    <definedName name="FDP_128_1_aUrv" localSheetId="15" hidden="1">#REF!</definedName>
    <definedName name="FDP_128_1_aUrv" localSheetId="12" hidden="1">#REF!</definedName>
    <definedName name="FDP_128_1_aUrv" localSheetId="22" hidden="1">#REF!</definedName>
    <definedName name="FDP_128_1_aUrv" localSheetId="20" hidden="1">#REF!</definedName>
    <definedName name="FDP_128_1_aUrv" localSheetId="21" hidden="1">#REF!</definedName>
    <definedName name="FDP_128_1_aUrv" localSheetId="23" hidden="1">#REF!</definedName>
    <definedName name="FDP_128_1_aUrv" localSheetId="28" hidden="1">#REF!</definedName>
    <definedName name="FDP_128_1_aUrv" localSheetId="26" hidden="1">#REF!</definedName>
    <definedName name="FDP_128_1_aUrv" localSheetId="27" hidden="1">#REF!</definedName>
    <definedName name="FDP_128_1_aUrv" hidden="1">#REF!</definedName>
    <definedName name="FDP_129_1_aUrv" localSheetId="17" hidden="1">#REF!</definedName>
    <definedName name="FDP_129_1_aUrv" localSheetId="15" hidden="1">#REF!</definedName>
    <definedName name="FDP_129_1_aUrv" localSheetId="12" hidden="1">#REF!</definedName>
    <definedName name="FDP_129_1_aUrv" localSheetId="22" hidden="1">#REF!</definedName>
    <definedName name="FDP_129_1_aUrv" localSheetId="20" hidden="1">#REF!</definedName>
    <definedName name="FDP_129_1_aUrv" localSheetId="21" hidden="1">#REF!</definedName>
    <definedName name="FDP_129_1_aUrv" localSheetId="23" hidden="1">#REF!</definedName>
    <definedName name="FDP_129_1_aUrv" localSheetId="28" hidden="1">#REF!</definedName>
    <definedName name="FDP_129_1_aUrv" localSheetId="26" hidden="1">#REF!</definedName>
    <definedName name="FDP_129_1_aUrv" localSheetId="27" hidden="1">#REF!</definedName>
    <definedName name="FDP_129_1_aUrv" hidden="1">#REF!</definedName>
    <definedName name="FDP_13_1_aDrv" localSheetId="17" hidden="1">#REF!</definedName>
    <definedName name="FDP_13_1_aDrv" localSheetId="15" hidden="1">#REF!</definedName>
    <definedName name="FDP_13_1_aDrv" localSheetId="12" hidden="1">#REF!</definedName>
    <definedName name="FDP_13_1_aDrv" localSheetId="22" hidden="1">#REF!</definedName>
    <definedName name="FDP_13_1_aDrv" localSheetId="20" hidden="1">#REF!</definedName>
    <definedName name="FDP_13_1_aDrv" localSheetId="21" hidden="1">#REF!</definedName>
    <definedName name="FDP_13_1_aDrv" localSheetId="23" hidden="1">#REF!</definedName>
    <definedName name="FDP_13_1_aDrv" localSheetId="28" hidden="1">#REF!</definedName>
    <definedName name="FDP_13_1_aDrv" localSheetId="26" hidden="1">#REF!</definedName>
    <definedName name="FDP_13_1_aDrv" localSheetId="27" hidden="1">#REF!</definedName>
    <definedName name="FDP_13_1_aDrv" hidden="1">#REF!</definedName>
    <definedName name="FDP_130_1_aUrv" localSheetId="17" hidden="1">#REF!</definedName>
    <definedName name="FDP_130_1_aUrv" localSheetId="15" hidden="1">#REF!</definedName>
    <definedName name="FDP_130_1_aUrv" localSheetId="12" hidden="1">#REF!</definedName>
    <definedName name="FDP_130_1_aUrv" localSheetId="22" hidden="1">#REF!</definedName>
    <definedName name="FDP_130_1_aUrv" localSheetId="20" hidden="1">#REF!</definedName>
    <definedName name="FDP_130_1_aUrv" localSheetId="21" hidden="1">#REF!</definedName>
    <definedName name="FDP_130_1_aUrv" localSheetId="23" hidden="1">#REF!</definedName>
    <definedName name="FDP_130_1_aUrv" localSheetId="28" hidden="1">#REF!</definedName>
    <definedName name="FDP_130_1_aUrv" localSheetId="26" hidden="1">#REF!</definedName>
    <definedName name="FDP_130_1_aUrv" localSheetId="27" hidden="1">#REF!</definedName>
    <definedName name="FDP_130_1_aUrv" hidden="1">#REF!</definedName>
    <definedName name="FDP_131_1_aUrv" localSheetId="17" hidden="1">#REF!</definedName>
    <definedName name="FDP_131_1_aUrv" localSheetId="15" hidden="1">#REF!</definedName>
    <definedName name="FDP_131_1_aUrv" localSheetId="12" hidden="1">#REF!</definedName>
    <definedName name="FDP_131_1_aUrv" localSheetId="22" hidden="1">#REF!</definedName>
    <definedName name="FDP_131_1_aUrv" localSheetId="20" hidden="1">#REF!</definedName>
    <definedName name="FDP_131_1_aUrv" localSheetId="21" hidden="1">#REF!</definedName>
    <definedName name="FDP_131_1_aUrv" localSheetId="23" hidden="1">#REF!</definedName>
    <definedName name="FDP_131_1_aUrv" localSheetId="28" hidden="1">#REF!</definedName>
    <definedName name="FDP_131_1_aUrv" localSheetId="26" hidden="1">#REF!</definedName>
    <definedName name="FDP_131_1_aUrv" localSheetId="27" hidden="1">#REF!</definedName>
    <definedName name="FDP_131_1_aUrv" hidden="1">#REF!</definedName>
    <definedName name="FDP_132_1_aUrv" localSheetId="17" hidden="1">#REF!</definedName>
    <definedName name="FDP_132_1_aUrv" localSheetId="15" hidden="1">#REF!</definedName>
    <definedName name="FDP_132_1_aUrv" localSheetId="12" hidden="1">#REF!</definedName>
    <definedName name="FDP_132_1_aUrv" localSheetId="22" hidden="1">#REF!</definedName>
    <definedName name="FDP_132_1_aUrv" localSheetId="20" hidden="1">#REF!</definedName>
    <definedName name="FDP_132_1_aUrv" localSheetId="21" hidden="1">#REF!</definedName>
    <definedName name="FDP_132_1_aUrv" localSheetId="23" hidden="1">#REF!</definedName>
    <definedName name="FDP_132_1_aUrv" localSheetId="28" hidden="1">#REF!</definedName>
    <definedName name="FDP_132_1_aUrv" localSheetId="26" hidden="1">#REF!</definedName>
    <definedName name="FDP_132_1_aUrv" localSheetId="27" hidden="1">#REF!</definedName>
    <definedName name="FDP_132_1_aUrv" hidden="1">#REF!</definedName>
    <definedName name="FDP_133_1_aUrv" localSheetId="17" hidden="1">#REF!</definedName>
    <definedName name="FDP_133_1_aUrv" localSheetId="15" hidden="1">#REF!</definedName>
    <definedName name="FDP_133_1_aUrv" localSheetId="12" hidden="1">#REF!</definedName>
    <definedName name="FDP_133_1_aUrv" localSheetId="22" hidden="1">#REF!</definedName>
    <definedName name="FDP_133_1_aUrv" localSheetId="20" hidden="1">#REF!</definedName>
    <definedName name="FDP_133_1_aUrv" localSheetId="21" hidden="1">#REF!</definedName>
    <definedName name="FDP_133_1_aUrv" localSheetId="23" hidden="1">#REF!</definedName>
    <definedName name="FDP_133_1_aUrv" localSheetId="28" hidden="1">#REF!</definedName>
    <definedName name="FDP_133_1_aUrv" localSheetId="26" hidden="1">#REF!</definedName>
    <definedName name="FDP_133_1_aUrv" localSheetId="27" hidden="1">#REF!</definedName>
    <definedName name="FDP_133_1_aUrv" hidden="1">#REF!</definedName>
    <definedName name="FDP_134_1_aUrv" localSheetId="17" hidden="1">#REF!</definedName>
    <definedName name="FDP_134_1_aUrv" localSheetId="15" hidden="1">#REF!</definedName>
    <definedName name="FDP_134_1_aUrv" localSheetId="12" hidden="1">#REF!</definedName>
    <definedName name="FDP_134_1_aUrv" localSheetId="22" hidden="1">#REF!</definedName>
    <definedName name="FDP_134_1_aUrv" localSheetId="20" hidden="1">#REF!</definedName>
    <definedName name="FDP_134_1_aUrv" localSheetId="21" hidden="1">#REF!</definedName>
    <definedName name="FDP_134_1_aUrv" localSheetId="23" hidden="1">#REF!</definedName>
    <definedName name="FDP_134_1_aUrv" localSheetId="28" hidden="1">#REF!</definedName>
    <definedName name="FDP_134_1_aUrv" localSheetId="26" hidden="1">#REF!</definedName>
    <definedName name="FDP_134_1_aUrv" localSheetId="27" hidden="1">#REF!</definedName>
    <definedName name="FDP_134_1_aUrv" hidden="1">#REF!</definedName>
    <definedName name="FDP_135_1_aUrv" localSheetId="17" hidden="1">#REF!</definedName>
    <definedName name="FDP_135_1_aUrv" localSheetId="15" hidden="1">#REF!</definedName>
    <definedName name="FDP_135_1_aUrv" localSheetId="12" hidden="1">#REF!</definedName>
    <definedName name="FDP_135_1_aUrv" localSheetId="22" hidden="1">#REF!</definedName>
    <definedName name="FDP_135_1_aUrv" localSheetId="20" hidden="1">#REF!</definedName>
    <definedName name="FDP_135_1_aUrv" localSheetId="21" hidden="1">#REF!</definedName>
    <definedName name="FDP_135_1_aUrv" localSheetId="23" hidden="1">#REF!</definedName>
    <definedName name="FDP_135_1_aUrv" localSheetId="28" hidden="1">#REF!</definedName>
    <definedName name="FDP_135_1_aUrv" localSheetId="26" hidden="1">#REF!</definedName>
    <definedName name="FDP_135_1_aUrv" localSheetId="27" hidden="1">#REF!</definedName>
    <definedName name="FDP_135_1_aUrv" hidden="1">#REF!</definedName>
    <definedName name="FDP_136_1_aSrv" localSheetId="17" hidden="1">#REF!</definedName>
    <definedName name="FDP_136_1_aSrv" localSheetId="15" hidden="1">#REF!</definedName>
    <definedName name="FDP_136_1_aSrv" localSheetId="12" hidden="1">#REF!</definedName>
    <definedName name="FDP_136_1_aSrv" localSheetId="22" hidden="1">#REF!</definedName>
    <definedName name="FDP_136_1_aSrv" localSheetId="20" hidden="1">#REF!</definedName>
    <definedName name="FDP_136_1_aSrv" localSheetId="21" hidden="1">#REF!</definedName>
    <definedName name="FDP_136_1_aSrv" localSheetId="23" hidden="1">#REF!</definedName>
    <definedName name="FDP_136_1_aSrv" localSheetId="28" hidden="1">#REF!</definedName>
    <definedName name="FDP_136_1_aSrv" localSheetId="26" hidden="1">#REF!</definedName>
    <definedName name="FDP_136_1_aSrv" localSheetId="27" hidden="1">#REF!</definedName>
    <definedName name="FDP_136_1_aSrv" hidden="1">#REF!</definedName>
    <definedName name="FDP_137_1_aUrv" localSheetId="17" hidden="1">#REF!</definedName>
    <definedName name="FDP_137_1_aUrv" localSheetId="15" hidden="1">#REF!</definedName>
    <definedName name="FDP_137_1_aUrv" localSheetId="12" hidden="1">#REF!</definedName>
    <definedName name="FDP_137_1_aUrv" localSheetId="22" hidden="1">#REF!</definedName>
    <definedName name="FDP_137_1_aUrv" localSheetId="20" hidden="1">#REF!</definedName>
    <definedName name="FDP_137_1_aUrv" localSheetId="21" hidden="1">#REF!</definedName>
    <definedName name="FDP_137_1_aUrv" localSheetId="23" hidden="1">#REF!</definedName>
    <definedName name="FDP_137_1_aUrv" localSheetId="28" hidden="1">#REF!</definedName>
    <definedName name="FDP_137_1_aUrv" localSheetId="26" hidden="1">#REF!</definedName>
    <definedName name="FDP_137_1_aUrv" localSheetId="27" hidden="1">#REF!</definedName>
    <definedName name="FDP_137_1_aUrv" hidden="1">#REF!</definedName>
    <definedName name="FDP_138_1_aUrv" localSheetId="17" hidden="1">#REF!</definedName>
    <definedName name="FDP_138_1_aUrv" localSheetId="15" hidden="1">#REF!</definedName>
    <definedName name="FDP_138_1_aUrv" localSheetId="12" hidden="1">#REF!</definedName>
    <definedName name="FDP_138_1_aUrv" localSheetId="22" hidden="1">#REF!</definedName>
    <definedName name="FDP_138_1_aUrv" localSheetId="20" hidden="1">#REF!</definedName>
    <definedName name="FDP_138_1_aUrv" localSheetId="21" hidden="1">#REF!</definedName>
    <definedName name="FDP_138_1_aUrv" localSheetId="23" hidden="1">#REF!</definedName>
    <definedName name="FDP_138_1_aUrv" localSheetId="28" hidden="1">#REF!</definedName>
    <definedName name="FDP_138_1_aUrv" localSheetId="26" hidden="1">#REF!</definedName>
    <definedName name="FDP_138_1_aUrv" localSheetId="27" hidden="1">#REF!</definedName>
    <definedName name="FDP_138_1_aUrv" hidden="1">#REF!</definedName>
    <definedName name="FDP_139_1_aUrv" localSheetId="17" hidden="1">#REF!</definedName>
    <definedName name="FDP_139_1_aUrv" localSheetId="15" hidden="1">#REF!</definedName>
    <definedName name="FDP_139_1_aUrv" localSheetId="12" hidden="1">#REF!</definedName>
    <definedName name="FDP_139_1_aUrv" localSheetId="22" hidden="1">#REF!</definedName>
    <definedName name="FDP_139_1_aUrv" localSheetId="20" hidden="1">#REF!</definedName>
    <definedName name="FDP_139_1_aUrv" localSheetId="21" hidden="1">#REF!</definedName>
    <definedName name="FDP_139_1_aUrv" localSheetId="23" hidden="1">#REF!</definedName>
    <definedName name="FDP_139_1_aUrv" localSheetId="28" hidden="1">#REF!</definedName>
    <definedName name="FDP_139_1_aUrv" localSheetId="26" hidden="1">#REF!</definedName>
    <definedName name="FDP_139_1_aUrv" localSheetId="27" hidden="1">#REF!</definedName>
    <definedName name="FDP_139_1_aUrv" hidden="1">#REF!</definedName>
    <definedName name="FDP_14_1_aDrv" localSheetId="17" hidden="1">#REF!</definedName>
    <definedName name="FDP_14_1_aDrv" localSheetId="15" hidden="1">#REF!</definedName>
    <definedName name="FDP_14_1_aDrv" localSheetId="12" hidden="1">#REF!</definedName>
    <definedName name="FDP_14_1_aDrv" localSheetId="22" hidden="1">#REF!</definedName>
    <definedName name="FDP_14_1_aDrv" localSheetId="20" hidden="1">#REF!</definedName>
    <definedName name="FDP_14_1_aDrv" localSheetId="21" hidden="1">#REF!</definedName>
    <definedName name="FDP_14_1_aDrv" localSheetId="23" hidden="1">#REF!</definedName>
    <definedName name="FDP_14_1_aDrv" localSheetId="28" hidden="1">#REF!</definedName>
    <definedName name="FDP_14_1_aDrv" localSheetId="26" hidden="1">#REF!</definedName>
    <definedName name="FDP_14_1_aDrv" localSheetId="27" hidden="1">#REF!</definedName>
    <definedName name="FDP_14_1_aDrv" hidden="1">#REF!</definedName>
    <definedName name="FDP_140_1_aUrv" localSheetId="17" hidden="1">#REF!</definedName>
    <definedName name="FDP_140_1_aUrv" localSheetId="15" hidden="1">#REF!</definedName>
    <definedName name="FDP_140_1_aUrv" localSheetId="12" hidden="1">#REF!</definedName>
    <definedName name="FDP_140_1_aUrv" localSheetId="22" hidden="1">#REF!</definedName>
    <definedName name="FDP_140_1_aUrv" localSheetId="20" hidden="1">#REF!</definedName>
    <definedName name="FDP_140_1_aUrv" localSheetId="21" hidden="1">#REF!</definedName>
    <definedName name="FDP_140_1_aUrv" localSheetId="23" hidden="1">#REF!</definedName>
    <definedName name="FDP_140_1_aUrv" localSheetId="28" hidden="1">#REF!</definedName>
    <definedName name="FDP_140_1_aUrv" localSheetId="26" hidden="1">#REF!</definedName>
    <definedName name="FDP_140_1_aUrv" localSheetId="27" hidden="1">#REF!</definedName>
    <definedName name="FDP_140_1_aUrv" hidden="1">#REF!</definedName>
    <definedName name="FDP_141_1_aSrv" localSheetId="17" hidden="1">#REF!</definedName>
    <definedName name="FDP_141_1_aSrv" localSheetId="15" hidden="1">#REF!</definedName>
    <definedName name="FDP_141_1_aSrv" localSheetId="12" hidden="1">#REF!</definedName>
    <definedName name="FDP_141_1_aSrv" localSheetId="22" hidden="1">#REF!</definedName>
    <definedName name="FDP_141_1_aSrv" localSheetId="20" hidden="1">#REF!</definedName>
    <definedName name="FDP_141_1_aSrv" localSheetId="21" hidden="1">#REF!</definedName>
    <definedName name="FDP_141_1_aSrv" localSheetId="23" hidden="1">#REF!</definedName>
    <definedName name="FDP_141_1_aSrv" localSheetId="28" hidden="1">#REF!</definedName>
    <definedName name="FDP_141_1_aSrv" localSheetId="26" hidden="1">#REF!</definedName>
    <definedName name="FDP_141_1_aSrv" localSheetId="27" hidden="1">#REF!</definedName>
    <definedName name="FDP_141_1_aSrv" hidden="1">#REF!</definedName>
    <definedName name="FDP_142_1_aUrv" localSheetId="17" hidden="1">#REF!</definedName>
    <definedName name="FDP_142_1_aUrv" localSheetId="15" hidden="1">#REF!</definedName>
    <definedName name="FDP_142_1_aUrv" localSheetId="12" hidden="1">#REF!</definedName>
    <definedName name="FDP_142_1_aUrv" localSheetId="22" hidden="1">#REF!</definedName>
    <definedName name="FDP_142_1_aUrv" localSheetId="20" hidden="1">#REF!</definedName>
    <definedName name="FDP_142_1_aUrv" localSheetId="21" hidden="1">#REF!</definedName>
    <definedName name="FDP_142_1_aUrv" localSheetId="23" hidden="1">#REF!</definedName>
    <definedName name="FDP_142_1_aUrv" localSheetId="28" hidden="1">#REF!</definedName>
    <definedName name="FDP_142_1_aUrv" localSheetId="26" hidden="1">#REF!</definedName>
    <definedName name="FDP_142_1_aUrv" localSheetId="27" hidden="1">#REF!</definedName>
    <definedName name="FDP_142_1_aUrv" hidden="1">#REF!</definedName>
    <definedName name="FDP_143_1_aUrv" localSheetId="17" hidden="1">#REF!</definedName>
    <definedName name="FDP_143_1_aUrv" localSheetId="15" hidden="1">#REF!</definedName>
    <definedName name="FDP_143_1_aUrv" localSheetId="12" hidden="1">#REF!</definedName>
    <definedName name="FDP_143_1_aUrv" localSheetId="22" hidden="1">#REF!</definedName>
    <definedName name="FDP_143_1_aUrv" localSheetId="20" hidden="1">#REF!</definedName>
    <definedName name="FDP_143_1_aUrv" localSheetId="21" hidden="1">#REF!</definedName>
    <definedName name="FDP_143_1_aUrv" localSheetId="23" hidden="1">#REF!</definedName>
    <definedName name="FDP_143_1_aUrv" localSheetId="28" hidden="1">#REF!</definedName>
    <definedName name="FDP_143_1_aUrv" localSheetId="26" hidden="1">#REF!</definedName>
    <definedName name="FDP_143_1_aUrv" localSheetId="27" hidden="1">#REF!</definedName>
    <definedName name="FDP_143_1_aUrv" hidden="1">#REF!</definedName>
    <definedName name="FDP_144_1_aUrv" localSheetId="17" hidden="1">#REF!</definedName>
    <definedName name="FDP_144_1_aUrv" localSheetId="15" hidden="1">#REF!</definedName>
    <definedName name="FDP_144_1_aUrv" localSheetId="12" hidden="1">#REF!</definedName>
    <definedName name="FDP_144_1_aUrv" localSheetId="22" hidden="1">#REF!</definedName>
    <definedName name="FDP_144_1_aUrv" localSheetId="20" hidden="1">#REF!</definedName>
    <definedName name="FDP_144_1_aUrv" localSheetId="21" hidden="1">#REF!</definedName>
    <definedName name="FDP_144_1_aUrv" localSheetId="23" hidden="1">#REF!</definedName>
    <definedName name="FDP_144_1_aUrv" localSheetId="28" hidden="1">#REF!</definedName>
    <definedName name="FDP_144_1_aUrv" localSheetId="26" hidden="1">#REF!</definedName>
    <definedName name="FDP_144_1_aUrv" localSheetId="27" hidden="1">#REF!</definedName>
    <definedName name="FDP_144_1_aUrv" hidden="1">#REF!</definedName>
    <definedName name="FDP_145_1_aUrv" localSheetId="17" hidden="1">#REF!</definedName>
    <definedName name="FDP_145_1_aUrv" localSheetId="15" hidden="1">#REF!</definedName>
    <definedName name="FDP_145_1_aUrv" localSheetId="12" hidden="1">#REF!</definedName>
    <definedName name="FDP_145_1_aUrv" localSheetId="22" hidden="1">#REF!</definedName>
    <definedName name="FDP_145_1_aUrv" localSheetId="20" hidden="1">#REF!</definedName>
    <definedName name="FDP_145_1_aUrv" localSheetId="21" hidden="1">#REF!</definedName>
    <definedName name="FDP_145_1_aUrv" localSheetId="23" hidden="1">#REF!</definedName>
    <definedName name="FDP_145_1_aUrv" localSheetId="28" hidden="1">#REF!</definedName>
    <definedName name="FDP_145_1_aUrv" localSheetId="26" hidden="1">#REF!</definedName>
    <definedName name="FDP_145_1_aUrv" localSheetId="27" hidden="1">#REF!</definedName>
    <definedName name="FDP_145_1_aUrv" hidden="1">#REF!</definedName>
    <definedName name="FDP_146_1_aUrv" localSheetId="17" hidden="1">#REF!</definedName>
    <definedName name="FDP_146_1_aUrv" localSheetId="15" hidden="1">#REF!</definedName>
    <definedName name="FDP_146_1_aUrv" localSheetId="12" hidden="1">#REF!</definedName>
    <definedName name="FDP_146_1_aUrv" localSheetId="22" hidden="1">#REF!</definedName>
    <definedName name="FDP_146_1_aUrv" localSheetId="20" hidden="1">#REF!</definedName>
    <definedName name="FDP_146_1_aUrv" localSheetId="21" hidden="1">#REF!</definedName>
    <definedName name="FDP_146_1_aUrv" localSheetId="23" hidden="1">#REF!</definedName>
    <definedName name="FDP_146_1_aUrv" localSheetId="28" hidden="1">#REF!</definedName>
    <definedName name="FDP_146_1_aUrv" localSheetId="26" hidden="1">#REF!</definedName>
    <definedName name="FDP_146_1_aUrv" localSheetId="27" hidden="1">#REF!</definedName>
    <definedName name="FDP_146_1_aUrv" hidden="1">#REF!</definedName>
    <definedName name="FDP_147_1_aUrv" localSheetId="17" hidden="1">#REF!</definedName>
    <definedName name="FDP_147_1_aUrv" localSheetId="15" hidden="1">#REF!</definedName>
    <definedName name="FDP_147_1_aUrv" localSheetId="12" hidden="1">#REF!</definedName>
    <definedName name="FDP_147_1_aUrv" localSheetId="22" hidden="1">#REF!</definedName>
    <definedName name="FDP_147_1_aUrv" localSheetId="20" hidden="1">#REF!</definedName>
    <definedName name="FDP_147_1_aUrv" localSheetId="21" hidden="1">#REF!</definedName>
    <definedName name="FDP_147_1_aUrv" localSheetId="23" hidden="1">#REF!</definedName>
    <definedName name="FDP_147_1_aUrv" localSheetId="28" hidden="1">#REF!</definedName>
    <definedName name="FDP_147_1_aUrv" localSheetId="26" hidden="1">#REF!</definedName>
    <definedName name="FDP_147_1_aUrv" localSheetId="27" hidden="1">#REF!</definedName>
    <definedName name="FDP_147_1_aUrv" hidden="1">#REF!</definedName>
    <definedName name="FDP_148_1_aUrv" localSheetId="17" hidden="1">#REF!</definedName>
    <definedName name="FDP_148_1_aUrv" localSheetId="15" hidden="1">#REF!</definedName>
    <definedName name="FDP_148_1_aUrv" localSheetId="12" hidden="1">#REF!</definedName>
    <definedName name="FDP_148_1_aUrv" localSheetId="22" hidden="1">#REF!</definedName>
    <definedName name="FDP_148_1_aUrv" localSheetId="20" hidden="1">#REF!</definedName>
    <definedName name="FDP_148_1_aUrv" localSheetId="21" hidden="1">#REF!</definedName>
    <definedName name="FDP_148_1_aUrv" localSheetId="23" hidden="1">#REF!</definedName>
    <definedName name="FDP_148_1_aUrv" localSheetId="28" hidden="1">#REF!</definedName>
    <definedName name="FDP_148_1_aUrv" localSheetId="26" hidden="1">#REF!</definedName>
    <definedName name="FDP_148_1_aUrv" localSheetId="27" hidden="1">#REF!</definedName>
    <definedName name="FDP_148_1_aUrv" hidden="1">#REF!</definedName>
    <definedName name="FDP_149_1_aUrv" localSheetId="17" hidden="1">#REF!</definedName>
    <definedName name="FDP_149_1_aUrv" localSheetId="15" hidden="1">#REF!</definedName>
    <definedName name="FDP_149_1_aUrv" localSheetId="12" hidden="1">#REF!</definedName>
    <definedName name="FDP_149_1_aUrv" localSheetId="22" hidden="1">#REF!</definedName>
    <definedName name="FDP_149_1_aUrv" localSheetId="20" hidden="1">#REF!</definedName>
    <definedName name="FDP_149_1_aUrv" localSheetId="21" hidden="1">#REF!</definedName>
    <definedName name="FDP_149_1_aUrv" localSheetId="23" hidden="1">#REF!</definedName>
    <definedName name="FDP_149_1_aUrv" localSheetId="28" hidden="1">#REF!</definedName>
    <definedName name="FDP_149_1_aUrv" localSheetId="26" hidden="1">#REF!</definedName>
    <definedName name="FDP_149_1_aUrv" localSheetId="27" hidden="1">#REF!</definedName>
    <definedName name="FDP_149_1_aUrv" hidden="1">#REF!</definedName>
    <definedName name="FDP_15_1_aUrv" localSheetId="17" hidden="1">#REF!</definedName>
    <definedName name="FDP_15_1_aUrv" localSheetId="15" hidden="1">#REF!</definedName>
    <definedName name="FDP_15_1_aUrv" localSheetId="12" hidden="1">#REF!</definedName>
    <definedName name="FDP_15_1_aUrv" localSheetId="22" hidden="1">#REF!</definedName>
    <definedName name="FDP_15_1_aUrv" localSheetId="20" hidden="1">#REF!</definedName>
    <definedName name="FDP_15_1_aUrv" localSheetId="21" hidden="1">#REF!</definedName>
    <definedName name="FDP_15_1_aUrv" localSheetId="23" hidden="1">#REF!</definedName>
    <definedName name="FDP_15_1_aUrv" localSheetId="28" hidden="1">#REF!</definedName>
    <definedName name="FDP_15_1_aUrv" localSheetId="26" hidden="1">#REF!</definedName>
    <definedName name="FDP_15_1_aUrv" localSheetId="27" hidden="1">#REF!</definedName>
    <definedName name="FDP_15_1_aUrv" hidden="1">#REF!</definedName>
    <definedName name="FDP_150_1_aUrv" localSheetId="17" hidden="1">#REF!</definedName>
    <definedName name="FDP_150_1_aUrv" localSheetId="15" hidden="1">#REF!</definedName>
    <definedName name="FDP_150_1_aUrv" localSheetId="12" hidden="1">#REF!</definedName>
    <definedName name="FDP_150_1_aUrv" localSheetId="22" hidden="1">#REF!</definedName>
    <definedName name="FDP_150_1_aUrv" localSheetId="20" hidden="1">#REF!</definedName>
    <definedName name="FDP_150_1_aUrv" localSheetId="21" hidden="1">#REF!</definedName>
    <definedName name="FDP_150_1_aUrv" localSheetId="23" hidden="1">#REF!</definedName>
    <definedName name="FDP_150_1_aUrv" localSheetId="28" hidden="1">#REF!</definedName>
    <definedName name="FDP_150_1_aUrv" localSheetId="26" hidden="1">#REF!</definedName>
    <definedName name="FDP_150_1_aUrv" localSheetId="27" hidden="1">#REF!</definedName>
    <definedName name="FDP_150_1_aUrv" hidden="1">#REF!</definedName>
    <definedName name="FDP_151_1_aUrv" localSheetId="17" hidden="1">#REF!</definedName>
    <definedName name="FDP_151_1_aUrv" localSheetId="15" hidden="1">#REF!</definedName>
    <definedName name="FDP_151_1_aUrv" localSheetId="12" hidden="1">#REF!</definedName>
    <definedName name="FDP_151_1_aUrv" localSheetId="22" hidden="1">#REF!</definedName>
    <definedName name="FDP_151_1_aUrv" localSheetId="20" hidden="1">#REF!</definedName>
    <definedName name="FDP_151_1_aUrv" localSheetId="21" hidden="1">#REF!</definedName>
    <definedName name="FDP_151_1_aUrv" localSheetId="23" hidden="1">#REF!</definedName>
    <definedName name="FDP_151_1_aUrv" localSheetId="28" hidden="1">#REF!</definedName>
    <definedName name="FDP_151_1_aUrv" localSheetId="26" hidden="1">#REF!</definedName>
    <definedName name="FDP_151_1_aUrv" localSheetId="27" hidden="1">#REF!</definedName>
    <definedName name="FDP_151_1_aUrv" hidden="1">#REF!</definedName>
    <definedName name="FDP_152_1_aUrv" localSheetId="17" hidden="1">#REF!</definedName>
    <definedName name="FDP_152_1_aUrv" localSheetId="15" hidden="1">#REF!</definedName>
    <definedName name="FDP_152_1_aUrv" localSheetId="12" hidden="1">#REF!</definedName>
    <definedName name="FDP_152_1_aUrv" localSheetId="22" hidden="1">#REF!</definedName>
    <definedName name="FDP_152_1_aUrv" localSheetId="20" hidden="1">#REF!</definedName>
    <definedName name="FDP_152_1_aUrv" localSheetId="21" hidden="1">#REF!</definedName>
    <definedName name="FDP_152_1_aUrv" localSheetId="23" hidden="1">#REF!</definedName>
    <definedName name="FDP_152_1_aUrv" localSheetId="28" hidden="1">#REF!</definedName>
    <definedName name="FDP_152_1_aUrv" localSheetId="26" hidden="1">#REF!</definedName>
    <definedName name="FDP_152_1_aUrv" localSheetId="27" hidden="1">#REF!</definedName>
    <definedName name="FDP_152_1_aUrv" hidden="1">#REF!</definedName>
    <definedName name="FDP_153_1_aUrv" localSheetId="17" hidden="1">#REF!</definedName>
    <definedName name="FDP_153_1_aUrv" localSheetId="15" hidden="1">#REF!</definedName>
    <definedName name="FDP_153_1_aUrv" localSheetId="12" hidden="1">#REF!</definedName>
    <definedName name="FDP_153_1_aUrv" localSheetId="22" hidden="1">#REF!</definedName>
    <definedName name="FDP_153_1_aUrv" localSheetId="20" hidden="1">#REF!</definedName>
    <definedName name="FDP_153_1_aUrv" localSheetId="21" hidden="1">#REF!</definedName>
    <definedName name="FDP_153_1_aUrv" localSheetId="23" hidden="1">#REF!</definedName>
    <definedName name="FDP_153_1_aUrv" localSheetId="28" hidden="1">#REF!</definedName>
    <definedName name="FDP_153_1_aUrv" localSheetId="26" hidden="1">#REF!</definedName>
    <definedName name="FDP_153_1_aUrv" localSheetId="27" hidden="1">#REF!</definedName>
    <definedName name="FDP_153_1_aUrv" hidden="1">#REF!</definedName>
    <definedName name="FDP_154_1_aUrv" localSheetId="17" hidden="1">#REF!</definedName>
    <definedName name="FDP_154_1_aUrv" localSheetId="15" hidden="1">#REF!</definedName>
    <definedName name="FDP_154_1_aUrv" localSheetId="12" hidden="1">#REF!</definedName>
    <definedName name="FDP_154_1_aUrv" localSheetId="22" hidden="1">#REF!</definedName>
    <definedName name="FDP_154_1_aUrv" localSheetId="20" hidden="1">#REF!</definedName>
    <definedName name="FDP_154_1_aUrv" localSheetId="21" hidden="1">#REF!</definedName>
    <definedName name="FDP_154_1_aUrv" localSheetId="23" hidden="1">#REF!</definedName>
    <definedName name="FDP_154_1_aUrv" localSheetId="28" hidden="1">#REF!</definedName>
    <definedName name="FDP_154_1_aUrv" localSheetId="26" hidden="1">#REF!</definedName>
    <definedName name="FDP_154_1_aUrv" localSheetId="27" hidden="1">#REF!</definedName>
    <definedName name="FDP_154_1_aUrv" hidden="1">#REF!</definedName>
    <definedName name="FDP_155_1_aSrv" localSheetId="17" hidden="1">#REF!</definedName>
    <definedName name="FDP_155_1_aSrv" localSheetId="15" hidden="1">#REF!</definedName>
    <definedName name="FDP_155_1_aSrv" localSheetId="12" hidden="1">#REF!</definedName>
    <definedName name="FDP_155_1_aSrv" localSheetId="22" hidden="1">#REF!</definedName>
    <definedName name="FDP_155_1_aSrv" localSheetId="20" hidden="1">#REF!</definedName>
    <definedName name="FDP_155_1_aSrv" localSheetId="21" hidden="1">#REF!</definedName>
    <definedName name="FDP_155_1_aSrv" localSheetId="23" hidden="1">#REF!</definedName>
    <definedName name="FDP_155_1_aSrv" localSheetId="28" hidden="1">#REF!</definedName>
    <definedName name="FDP_155_1_aSrv" localSheetId="26" hidden="1">#REF!</definedName>
    <definedName name="FDP_155_1_aSrv" localSheetId="27" hidden="1">#REF!</definedName>
    <definedName name="FDP_155_1_aSrv" hidden="1">#REF!</definedName>
    <definedName name="FDP_156_1_aUrv" localSheetId="17" hidden="1">#REF!</definedName>
    <definedName name="FDP_156_1_aUrv" localSheetId="15" hidden="1">#REF!</definedName>
    <definedName name="FDP_156_1_aUrv" localSheetId="12" hidden="1">#REF!</definedName>
    <definedName name="FDP_156_1_aUrv" localSheetId="22" hidden="1">#REF!</definedName>
    <definedName name="FDP_156_1_aUrv" localSheetId="20" hidden="1">#REF!</definedName>
    <definedName name="FDP_156_1_aUrv" localSheetId="21" hidden="1">#REF!</definedName>
    <definedName name="FDP_156_1_aUrv" localSheetId="23" hidden="1">#REF!</definedName>
    <definedName name="FDP_156_1_aUrv" localSheetId="28" hidden="1">#REF!</definedName>
    <definedName name="FDP_156_1_aUrv" localSheetId="26" hidden="1">#REF!</definedName>
    <definedName name="FDP_156_1_aUrv" localSheetId="27" hidden="1">#REF!</definedName>
    <definedName name="FDP_156_1_aUrv" hidden="1">#REF!</definedName>
    <definedName name="FDP_157_1_aSrv" localSheetId="17" hidden="1">#REF!</definedName>
    <definedName name="FDP_157_1_aSrv" localSheetId="15" hidden="1">#REF!</definedName>
    <definedName name="FDP_157_1_aSrv" localSheetId="12" hidden="1">#REF!</definedName>
    <definedName name="FDP_157_1_aSrv" localSheetId="22" hidden="1">#REF!</definedName>
    <definedName name="FDP_157_1_aSrv" localSheetId="20" hidden="1">#REF!</definedName>
    <definedName name="FDP_157_1_aSrv" localSheetId="21" hidden="1">#REF!</definedName>
    <definedName name="FDP_157_1_aSrv" localSheetId="23" hidden="1">#REF!</definedName>
    <definedName name="FDP_157_1_aSrv" localSheetId="28" hidden="1">#REF!</definedName>
    <definedName name="FDP_157_1_aSrv" localSheetId="26" hidden="1">#REF!</definedName>
    <definedName name="FDP_157_1_aSrv" localSheetId="27" hidden="1">#REF!</definedName>
    <definedName name="FDP_157_1_aSrv" hidden="1">#REF!</definedName>
    <definedName name="FDP_158_1_aUrv" localSheetId="17" hidden="1">#REF!</definedName>
    <definedName name="FDP_158_1_aUrv" localSheetId="15" hidden="1">#REF!</definedName>
    <definedName name="FDP_158_1_aUrv" localSheetId="12" hidden="1">#REF!</definedName>
    <definedName name="FDP_158_1_aUrv" localSheetId="22" hidden="1">#REF!</definedName>
    <definedName name="FDP_158_1_aUrv" localSheetId="20" hidden="1">#REF!</definedName>
    <definedName name="FDP_158_1_aUrv" localSheetId="21" hidden="1">#REF!</definedName>
    <definedName name="FDP_158_1_aUrv" localSheetId="23" hidden="1">#REF!</definedName>
    <definedName name="FDP_158_1_aUrv" localSheetId="28" hidden="1">#REF!</definedName>
    <definedName name="FDP_158_1_aUrv" localSheetId="26" hidden="1">#REF!</definedName>
    <definedName name="FDP_158_1_aUrv" localSheetId="27" hidden="1">#REF!</definedName>
    <definedName name="FDP_158_1_aUrv" hidden="1">#REF!</definedName>
    <definedName name="FDP_159_1_aSrv" localSheetId="17" hidden="1">#REF!</definedName>
    <definedName name="FDP_159_1_aSrv" localSheetId="15" hidden="1">#REF!</definedName>
    <definedName name="FDP_159_1_aSrv" localSheetId="12" hidden="1">#REF!</definedName>
    <definedName name="FDP_159_1_aSrv" localSheetId="22" hidden="1">#REF!</definedName>
    <definedName name="FDP_159_1_aSrv" localSheetId="20" hidden="1">#REF!</definedName>
    <definedName name="FDP_159_1_aSrv" localSheetId="21" hidden="1">#REF!</definedName>
    <definedName name="FDP_159_1_aSrv" localSheetId="23" hidden="1">#REF!</definedName>
    <definedName name="FDP_159_1_aSrv" localSheetId="28" hidden="1">#REF!</definedName>
    <definedName name="FDP_159_1_aSrv" localSheetId="26" hidden="1">#REF!</definedName>
    <definedName name="FDP_159_1_aSrv" localSheetId="27" hidden="1">#REF!</definedName>
    <definedName name="FDP_159_1_aSrv" hidden="1">#REF!</definedName>
    <definedName name="FDP_16_1_aDrv" localSheetId="17" hidden="1">#REF!</definedName>
    <definedName name="FDP_16_1_aDrv" localSheetId="15" hidden="1">#REF!</definedName>
    <definedName name="FDP_16_1_aDrv" localSheetId="12" hidden="1">#REF!</definedName>
    <definedName name="FDP_16_1_aDrv" localSheetId="22" hidden="1">#REF!</definedName>
    <definedName name="FDP_16_1_aDrv" localSheetId="20" hidden="1">#REF!</definedName>
    <definedName name="FDP_16_1_aDrv" localSheetId="21" hidden="1">#REF!</definedName>
    <definedName name="FDP_16_1_aDrv" localSheetId="23" hidden="1">#REF!</definedName>
    <definedName name="FDP_16_1_aDrv" localSheetId="28" hidden="1">#REF!</definedName>
    <definedName name="FDP_16_1_aDrv" localSheetId="26" hidden="1">#REF!</definedName>
    <definedName name="FDP_16_1_aDrv" localSheetId="27" hidden="1">#REF!</definedName>
    <definedName name="FDP_16_1_aDrv" hidden="1">#REF!</definedName>
    <definedName name="FDP_160_1_aUrv" localSheetId="17" hidden="1">#REF!</definedName>
    <definedName name="FDP_160_1_aUrv" localSheetId="15" hidden="1">#REF!</definedName>
    <definedName name="FDP_160_1_aUrv" localSheetId="12" hidden="1">#REF!</definedName>
    <definedName name="FDP_160_1_aUrv" localSheetId="22" hidden="1">#REF!</definedName>
    <definedName name="FDP_160_1_aUrv" localSheetId="20" hidden="1">#REF!</definedName>
    <definedName name="FDP_160_1_aUrv" localSheetId="21" hidden="1">#REF!</definedName>
    <definedName name="FDP_160_1_aUrv" localSheetId="23" hidden="1">#REF!</definedName>
    <definedName name="FDP_160_1_aUrv" localSheetId="28" hidden="1">#REF!</definedName>
    <definedName name="FDP_160_1_aUrv" localSheetId="26" hidden="1">#REF!</definedName>
    <definedName name="FDP_160_1_aUrv" localSheetId="27" hidden="1">#REF!</definedName>
    <definedName name="FDP_160_1_aUrv" hidden="1">#REF!</definedName>
    <definedName name="FDP_161_1_aSrv" localSheetId="17" hidden="1">#REF!</definedName>
    <definedName name="FDP_161_1_aSrv" localSheetId="15" hidden="1">#REF!</definedName>
    <definedName name="FDP_161_1_aSrv" localSheetId="12" hidden="1">#REF!</definedName>
    <definedName name="FDP_161_1_aSrv" localSheetId="22" hidden="1">#REF!</definedName>
    <definedName name="FDP_161_1_aSrv" localSheetId="20" hidden="1">#REF!</definedName>
    <definedName name="FDP_161_1_aSrv" localSheetId="21" hidden="1">#REF!</definedName>
    <definedName name="FDP_161_1_aSrv" localSheetId="23" hidden="1">#REF!</definedName>
    <definedName name="FDP_161_1_aSrv" localSheetId="28" hidden="1">#REF!</definedName>
    <definedName name="FDP_161_1_aSrv" localSheetId="26" hidden="1">#REF!</definedName>
    <definedName name="FDP_161_1_aSrv" localSheetId="27" hidden="1">#REF!</definedName>
    <definedName name="FDP_161_1_aSrv" hidden="1">#REF!</definedName>
    <definedName name="FDP_162_1_aUrv" localSheetId="17" hidden="1">#REF!</definedName>
    <definedName name="FDP_162_1_aUrv" localSheetId="15" hidden="1">#REF!</definedName>
    <definedName name="FDP_162_1_aUrv" localSheetId="12" hidden="1">#REF!</definedName>
    <definedName name="FDP_162_1_aUrv" localSheetId="22" hidden="1">#REF!</definedName>
    <definedName name="FDP_162_1_aUrv" localSheetId="20" hidden="1">#REF!</definedName>
    <definedName name="FDP_162_1_aUrv" localSheetId="21" hidden="1">#REF!</definedName>
    <definedName name="FDP_162_1_aUrv" localSheetId="23" hidden="1">#REF!</definedName>
    <definedName name="FDP_162_1_aUrv" localSheetId="28" hidden="1">#REF!</definedName>
    <definedName name="FDP_162_1_aUrv" localSheetId="26" hidden="1">#REF!</definedName>
    <definedName name="FDP_162_1_aUrv" localSheetId="27" hidden="1">#REF!</definedName>
    <definedName name="FDP_162_1_aUrv" hidden="1">#REF!</definedName>
    <definedName name="FDP_163_1_aSrv" localSheetId="17" hidden="1">#REF!</definedName>
    <definedName name="FDP_163_1_aSrv" localSheetId="15" hidden="1">#REF!</definedName>
    <definedName name="FDP_163_1_aSrv" localSheetId="12" hidden="1">#REF!</definedName>
    <definedName name="FDP_163_1_aSrv" localSheetId="22" hidden="1">#REF!</definedName>
    <definedName name="FDP_163_1_aSrv" localSheetId="20" hidden="1">#REF!</definedName>
    <definedName name="FDP_163_1_aSrv" localSheetId="21" hidden="1">#REF!</definedName>
    <definedName name="FDP_163_1_aSrv" localSheetId="23" hidden="1">#REF!</definedName>
    <definedName name="FDP_163_1_aSrv" localSheetId="28" hidden="1">#REF!</definedName>
    <definedName name="FDP_163_1_aSrv" localSheetId="26" hidden="1">#REF!</definedName>
    <definedName name="FDP_163_1_aSrv" localSheetId="27" hidden="1">#REF!</definedName>
    <definedName name="FDP_163_1_aSrv" hidden="1">#REF!</definedName>
    <definedName name="FDP_164_1_aUrv" localSheetId="17" hidden="1">#REF!</definedName>
    <definedName name="FDP_164_1_aUrv" localSheetId="15" hidden="1">#REF!</definedName>
    <definedName name="FDP_164_1_aUrv" localSheetId="12" hidden="1">#REF!</definedName>
    <definedName name="FDP_164_1_aUrv" localSheetId="22" hidden="1">#REF!</definedName>
    <definedName name="FDP_164_1_aUrv" localSheetId="20" hidden="1">#REF!</definedName>
    <definedName name="FDP_164_1_aUrv" localSheetId="21" hidden="1">#REF!</definedName>
    <definedName name="FDP_164_1_aUrv" localSheetId="23" hidden="1">#REF!</definedName>
    <definedName name="FDP_164_1_aUrv" localSheetId="28" hidden="1">#REF!</definedName>
    <definedName name="FDP_164_1_aUrv" localSheetId="26" hidden="1">#REF!</definedName>
    <definedName name="FDP_164_1_aUrv" localSheetId="27" hidden="1">#REF!</definedName>
    <definedName name="FDP_164_1_aUrv" hidden="1">#REF!</definedName>
    <definedName name="FDP_165_1_aSrv" localSheetId="17" hidden="1">#REF!</definedName>
    <definedName name="FDP_165_1_aSrv" localSheetId="15" hidden="1">#REF!</definedName>
    <definedName name="FDP_165_1_aSrv" localSheetId="12" hidden="1">#REF!</definedName>
    <definedName name="FDP_165_1_aSrv" localSheetId="22" hidden="1">#REF!</definedName>
    <definedName name="FDP_165_1_aSrv" localSheetId="20" hidden="1">#REF!</definedName>
    <definedName name="FDP_165_1_aSrv" localSheetId="21" hidden="1">#REF!</definedName>
    <definedName name="FDP_165_1_aSrv" localSheetId="23" hidden="1">#REF!</definedName>
    <definedName name="FDP_165_1_aSrv" localSheetId="28" hidden="1">#REF!</definedName>
    <definedName name="FDP_165_1_aSrv" localSheetId="26" hidden="1">#REF!</definedName>
    <definedName name="FDP_165_1_aSrv" localSheetId="27" hidden="1">#REF!</definedName>
    <definedName name="FDP_165_1_aSrv" hidden="1">#REF!</definedName>
    <definedName name="FDP_166_1_aDrv" localSheetId="17" hidden="1">#REF!</definedName>
    <definedName name="FDP_166_1_aDrv" localSheetId="15" hidden="1">#REF!</definedName>
    <definedName name="FDP_166_1_aDrv" localSheetId="12" hidden="1">#REF!</definedName>
    <definedName name="FDP_166_1_aDrv" localSheetId="22" hidden="1">#REF!</definedName>
    <definedName name="FDP_166_1_aDrv" localSheetId="20" hidden="1">#REF!</definedName>
    <definedName name="FDP_166_1_aDrv" localSheetId="21" hidden="1">#REF!</definedName>
    <definedName name="FDP_166_1_aDrv" localSheetId="23" hidden="1">#REF!</definedName>
    <definedName name="FDP_166_1_aDrv" localSheetId="28" hidden="1">#REF!</definedName>
    <definedName name="FDP_166_1_aDrv" localSheetId="26" hidden="1">#REF!</definedName>
    <definedName name="FDP_166_1_aDrv" localSheetId="27" hidden="1">#REF!</definedName>
    <definedName name="FDP_166_1_aDrv" hidden="1">#REF!</definedName>
    <definedName name="FDP_167_1_aDrv" localSheetId="17" hidden="1">#REF!</definedName>
    <definedName name="FDP_167_1_aDrv" localSheetId="15" hidden="1">#REF!</definedName>
    <definedName name="FDP_167_1_aDrv" localSheetId="12" hidden="1">#REF!</definedName>
    <definedName name="FDP_167_1_aDrv" localSheetId="22" hidden="1">#REF!</definedName>
    <definedName name="FDP_167_1_aDrv" localSheetId="20" hidden="1">#REF!</definedName>
    <definedName name="FDP_167_1_aDrv" localSheetId="21" hidden="1">#REF!</definedName>
    <definedName name="FDP_167_1_aDrv" localSheetId="23" hidden="1">#REF!</definedName>
    <definedName name="FDP_167_1_aDrv" localSheetId="28" hidden="1">#REF!</definedName>
    <definedName name="FDP_167_1_aDrv" localSheetId="26" hidden="1">#REF!</definedName>
    <definedName name="FDP_167_1_aDrv" localSheetId="27" hidden="1">#REF!</definedName>
    <definedName name="FDP_167_1_aDrv" hidden="1">#REF!</definedName>
    <definedName name="FDP_168_1_aDrv" localSheetId="17" hidden="1">#REF!</definedName>
    <definedName name="FDP_168_1_aDrv" localSheetId="15" hidden="1">#REF!</definedName>
    <definedName name="FDP_168_1_aDrv" localSheetId="12" hidden="1">#REF!</definedName>
    <definedName name="FDP_168_1_aDrv" localSheetId="22" hidden="1">#REF!</definedName>
    <definedName name="FDP_168_1_aDrv" localSheetId="20" hidden="1">#REF!</definedName>
    <definedName name="FDP_168_1_aDrv" localSheetId="21" hidden="1">#REF!</definedName>
    <definedName name="FDP_168_1_aDrv" localSheetId="23" hidden="1">#REF!</definedName>
    <definedName name="FDP_168_1_aDrv" localSheetId="28" hidden="1">#REF!</definedName>
    <definedName name="FDP_168_1_aDrv" localSheetId="26" hidden="1">#REF!</definedName>
    <definedName name="FDP_168_1_aDrv" localSheetId="27" hidden="1">#REF!</definedName>
    <definedName name="FDP_168_1_aDrv" hidden="1">#REF!</definedName>
    <definedName name="FDP_169_1_aDrv" localSheetId="17" hidden="1">#REF!</definedName>
    <definedName name="FDP_169_1_aDrv" localSheetId="15" hidden="1">#REF!</definedName>
    <definedName name="FDP_169_1_aDrv" localSheetId="12" hidden="1">#REF!</definedName>
    <definedName name="FDP_169_1_aDrv" localSheetId="22" hidden="1">#REF!</definedName>
    <definedName name="FDP_169_1_aDrv" localSheetId="20" hidden="1">#REF!</definedName>
    <definedName name="FDP_169_1_aDrv" localSheetId="21" hidden="1">#REF!</definedName>
    <definedName name="FDP_169_1_aDrv" localSheetId="23" hidden="1">#REF!</definedName>
    <definedName name="FDP_169_1_aDrv" localSheetId="28" hidden="1">#REF!</definedName>
    <definedName name="FDP_169_1_aDrv" localSheetId="26" hidden="1">#REF!</definedName>
    <definedName name="FDP_169_1_aDrv" localSheetId="27" hidden="1">#REF!</definedName>
    <definedName name="FDP_169_1_aDrv" hidden="1">#REF!</definedName>
    <definedName name="FDP_17_1_aUrv" localSheetId="17" hidden="1">#REF!</definedName>
    <definedName name="FDP_17_1_aUrv" localSheetId="15" hidden="1">#REF!</definedName>
    <definedName name="FDP_17_1_aUrv" localSheetId="12" hidden="1">#REF!</definedName>
    <definedName name="FDP_17_1_aUrv" localSheetId="22" hidden="1">#REF!</definedName>
    <definedName name="FDP_17_1_aUrv" localSheetId="20" hidden="1">#REF!</definedName>
    <definedName name="FDP_17_1_aUrv" localSheetId="21" hidden="1">#REF!</definedName>
    <definedName name="FDP_17_1_aUrv" localSheetId="23" hidden="1">#REF!</definedName>
    <definedName name="FDP_17_1_aUrv" localSheetId="28" hidden="1">#REF!</definedName>
    <definedName name="FDP_17_1_aUrv" localSheetId="26" hidden="1">#REF!</definedName>
    <definedName name="FDP_17_1_aUrv" localSheetId="27" hidden="1">#REF!</definedName>
    <definedName name="FDP_17_1_aUrv" hidden="1">#REF!</definedName>
    <definedName name="FDP_170_1_aDrv" localSheetId="17" hidden="1">#REF!</definedName>
    <definedName name="FDP_170_1_aDrv" localSheetId="15" hidden="1">#REF!</definedName>
    <definedName name="FDP_170_1_aDrv" localSheetId="12" hidden="1">#REF!</definedName>
    <definedName name="FDP_170_1_aDrv" localSheetId="22" hidden="1">#REF!</definedName>
    <definedName name="FDP_170_1_aDrv" localSheetId="20" hidden="1">#REF!</definedName>
    <definedName name="FDP_170_1_aDrv" localSheetId="21" hidden="1">#REF!</definedName>
    <definedName name="FDP_170_1_aDrv" localSheetId="23" hidden="1">#REF!</definedName>
    <definedName name="FDP_170_1_aDrv" localSheetId="28" hidden="1">#REF!</definedName>
    <definedName name="FDP_170_1_aDrv" localSheetId="26" hidden="1">#REF!</definedName>
    <definedName name="FDP_170_1_aDrv" localSheetId="27" hidden="1">#REF!</definedName>
    <definedName name="FDP_170_1_aDrv" hidden="1">#REF!</definedName>
    <definedName name="FDP_171_1_aDrv" localSheetId="17" hidden="1">#REF!</definedName>
    <definedName name="FDP_171_1_aDrv" localSheetId="15" hidden="1">#REF!</definedName>
    <definedName name="FDP_171_1_aDrv" localSheetId="12" hidden="1">#REF!</definedName>
    <definedName name="FDP_171_1_aDrv" localSheetId="22" hidden="1">#REF!</definedName>
    <definedName name="FDP_171_1_aDrv" localSheetId="20" hidden="1">#REF!</definedName>
    <definedName name="FDP_171_1_aDrv" localSheetId="21" hidden="1">#REF!</definedName>
    <definedName name="FDP_171_1_aDrv" localSheetId="23" hidden="1">#REF!</definedName>
    <definedName name="FDP_171_1_aDrv" localSheetId="28" hidden="1">#REF!</definedName>
    <definedName name="FDP_171_1_aDrv" localSheetId="26" hidden="1">#REF!</definedName>
    <definedName name="FDP_171_1_aDrv" localSheetId="27" hidden="1">#REF!</definedName>
    <definedName name="FDP_171_1_aDrv" hidden="1">#REF!</definedName>
    <definedName name="FDP_172_1_aDrv" localSheetId="17" hidden="1">#REF!</definedName>
    <definedName name="FDP_172_1_aDrv" localSheetId="15" hidden="1">#REF!</definedName>
    <definedName name="FDP_172_1_aDrv" localSheetId="12" hidden="1">#REF!</definedName>
    <definedName name="FDP_172_1_aDrv" localSheetId="22" hidden="1">#REF!</definedName>
    <definedName name="FDP_172_1_aDrv" localSheetId="20" hidden="1">#REF!</definedName>
    <definedName name="FDP_172_1_aDrv" localSheetId="21" hidden="1">#REF!</definedName>
    <definedName name="FDP_172_1_aDrv" localSheetId="23" hidden="1">#REF!</definedName>
    <definedName name="FDP_172_1_aDrv" localSheetId="28" hidden="1">#REF!</definedName>
    <definedName name="FDP_172_1_aDrv" localSheetId="26" hidden="1">#REF!</definedName>
    <definedName name="FDP_172_1_aDrv" localSheetId="27" hidden="1">#REF!</definedName>
    <definedName name="FDP_172_1_aDrv" hidden="1">#REF!</definedName>
    <definedName name="FDP_173_1_aDrv" localSheetId="17" hidden="1">#REF!</definedName>
    <definedName name="FDP_173_1_aDrv" localSheetId="15" hidden="1">#REF!</definedName>
    <definedName name="FDP_173_1_aDrv" localSheetId="12" hidden="1">#REF!</definedName>
    <definedName name="FDP_173_1_aDrv" localSheetId="22" hidden="1">#REF!</definedName>
    <definedName name="FDP_173_1_aDrv" localSheetId="20" hidden="1">#REF!</definedName>
    <definedName name="FDP_173_1_aDrv" localSheetId="21" hidden="1">#REF!</definedName>
    <definedName name="FDP_173_1_aDrv" localSheetId="23" hidden="1">#REF!</definedName>
    <definedName name="FDP_173_1_aDrv" localSheetId="28" hidden="1">#REF!</definedName>
    <definedName name="FDP_173_1_aDrv" localSheetId="26" hidden="1">#REF!</definedName>
    <definedName name="FDP_173_1_aDrv" localSheetId="27" hidden="1">#REF!</definedName>
    <definedName name="FDP_173_1_aDrv" hidden="1">#REF!</definedName>
    <definedName name="FDP_174_1_aDrv" localSheetId="17" hidden="1">#REF!</definedName>
    <definedName name="FDP_174_1_aDrv" localSheetId="15" hidden="1">#REF!</definedName>
    <definedName name="FDP_174_1_aDrv" localSheetId="12" hidden="1">#REF!</definedName>
    <definedName name="FDP_174_1_aDrv" localSheetId="22" hidden="1">#REF!</definedName>
    <definedName name="FDP_174_1_aDrv" localSheetId="20" hidden="1">#REF!</definedName>
    <definedName name="FDP_174_1_aDrv" localSheetId="21" hidden="1">#REF!</definedName>
    <definedName name="FDP_174_1_aDrv" localSheetId="23" hidden="1">#REF!</definedName>
    <definedName name="FDP_174_1_aDrv" localSheetId="28" hidden="1">#REF!</definedName>
    <definedName name="FDP_174_1_aDrv" localSheetId="26" hidden="1">#REF!</definedName>
    <definedName name="FDP_174_1_aDrv" localSheetId="27" hidden="1">#REF!</definedName>
    <definedName name="FDP_174_1_aDrv" hidden="1">#REF!</definedName>
    <definedName name="FDP_175_1_aDrv" localSheetId="17" hidden="1">#REF!</definedName>
    <definedName name="FDP_175_1_aDrv" localSheetId="15" hidden="1">#REF!</definedName>
    <definedName name="FDP_175_1_aDrv" localSheetId="12" hidden="1">#REF!</definedName>
    <definedName name="FDP_175_1_aDrv" localSheetId="22" hidden="1">#REF!</definedName>
    <definedName name="FDP_175_1_aDrv" localSheetId="20" hidden="1">#REF!</definedName>
    <definedName name="FDP_175_1_aDrv" localSheetId="21" hidden="1">#REF!</definedName>
    <definedName name="FDP_175_1_aDrv" localSheetId="23" hidden="1">#REF!</definedName>
    <definedName name="FDP_175_1_aDrv" localSheetId="28" hidden="1">#REF!</definedName>
    <definedName name="FDP_175_1_aDrv" localSheetId="26" hidden="1">#REF!</definedName>
    <definedName name="FDP_175_1_aDrv" localSheetId="27" hidden="1">#REF!</definedName>
    <definedName name="FDP_175_1_aDrv" hidden="1">#REF!</definedName>
    <definedName name="FDP_176_1_aDrv" localSheetId="17" hidden="1">#REF!</definedName>
    <definedName name="FDP_176_1_aDrv" localSheetId="15" hidden="1">#REF!</definedName>
    <definedName name="FDP_176_1_aDrv" localSheetId="12" hidden="1">#REF!</definedName>
    <definedName name="FDP_176_1_aDrv" localSheetId="22" hidden="1">#REF!</definedName>
    <definedName name="FDP_176_1_aDrv" localSheetId="20" hidden="1">#REF!</definedName>
    <definedName name="FDP_176_1_aDrv" localSheetId="21" hidden="1">#REF!</definedName>
    <definedName name="FDP_176_1_aDrv" localSheetId="23" hidden="1">#REF!</definedName>
    <definedName name="FDP_176_1_aDrv" localSheetId="28" hidden="1">#REF!</definedName>
    <definedName name="FDP_176_1_aDrv" localSheetId="26" hidden="1">#REF!</definedName>
    <definedName name="FDP_176_1_aDrv" localSheetId="27" hidden="1">#REF!</definedName>
    <definedName name="FDP_176_1_aDrv" hidden="1">#REF!</definedName>
    <definedName name="FDP_177_1_aDrv" localSheetId="17" hidden="1">#REF!</definedName>
    <definedName name="FDP_177_1_aDrv" localSheetId="15" hidden="1">#REF!</definedName>
    <definedName name="FDP_177_1_aDrv" localSheetId="12" hidden="1">#REF!</definedName>
    <definedName name="FDP_177_1_aDrv" localSheetId="22" hidden="1">#REF!</definedName>
    <definedName name="FDP_177_1_aDrv" localSheetId="20" hidden="1">#REF!</definedName>
    <definedName name="FDP_177_1_aDrv" localSheetId="21" hidden="1">#REF!</definedName>
    <definedName name="FDP_177_1_aDrv" localSheetId="23" hidden="1">#REF!</definedName>
    <definedName name="FDP_177_1_aDrv" localSheetId="28" hidden="1">#REF!</definedName>
    <definedName name="FDP_177_1_aDrv" localSheetId="26" hidden="1">#REF!</definedName>
    <definedName name="FDP_177_1_aDrv" localSheetId="27" hidden="1">#REF!</definedName>
    <definedName name="FDP_177_1_aDrv" hidden="1">#REF!</definedName>
    <definedName name="FDP_178_1_aDrv" localSheetId="17" hidden="1">#REF!</definedName>
    <definedName name="FDP_178_1_aDrv" localSheetId="15" hidden="1">#REF!</definedName>
    <definedName name="FDP_178_1_aDrv" localSheetId="12" hidden="1">#REF!</definedName>
    <definedName name="FDP_178_1_aDrv" localSheetId="22" hidden="1">#REF!</definedName>
    <definedName name="FDP_178_1_aDrv" localSheetId="20" hidden="1">#REF!</definedName>
    <definedName name="FDP_178_1_aDrv" localSheetId="21" hidden="1">#REF!</definedName>
    <definedName name="FDP_178_1_aDrv" localSheetId="23" hidden="1">#REF!</definedName>
    <definedName name="FDP_178_1_aDrv" localSheetId="28" hidden="1">#REF!</definedName>
    <definedName name="FDP_178_1_aDrv" localSheetId="26" hidden="1">#REF!</definedName>
    <definedName name="FDP_178_1_aDrv" localSheetId="27" hidden="1">#REF!</definedName>
    <definedName name="FDP_178_1_aDrv" hidden="1">#REF!</definedName>
    <definedName name="FDP_179_1_aUrv" localSheetId="17" hidden="1">#REF!</definedName>
    <definedName name="FDP_179_1_aUrv" localSheetId="15" hidden="1">#REF!</definedName>
    <definedName name="FDP_179_1_aUrv" localSheetId="12" hidden="1">#REF!</definedName>
    <definedName name="FDP_179_1_aUrv" localSheetId="22" hidden="1">#REF!</definedName>
    <definedName name="FDP_179_1_aUrv" localSheetId="20" hidden="1">#REF!</definedName>
    <definedName name="FDP_179_1_aUrv" localSheetId="21" hidden="1">#REF!</definedName>
    <definedName name="FDP_179_1_aUrv" localSheetId="23" hidden="1">#REF!</definedName>
    <definedName name="FDP_179_1_aUrv" localSheetId="28" hidden="1">#REF!</definedName>
    <definedName name="FDP_179_1_aUrv" localSheetId="26" hidden="1">#REF!</definedName>
    <definedName name="FDP_179_1_aUrv" localSheetId="27" hidden="1">#REF!</definedName>
    <definedName name="FDP_179_1_aUrv" hidden="1">#REF!</definedName>
    <definedName name="FDP_18_1_aUrv" localSheetId="17" hidden="1">#REF!</definedName>
    <definedName name="FDP_18_1_aUrv" localSheetId="15" hidden="1">#REF!</definedName>
    <definedName name="FDP_18_1_aUrv" localSheetId="12" hidden="1">#REF!</definedName>
    <definedName name="FDP_18_1_aUrv" localSheetId="22" hidden="1">#REF!</definedName>
    <definedName name="FDP_18_1_aUrv" localSheetId="20" hidden="1">#REF!</definedName>
    <definedName name="FDP_18_1_aUrv" localSheetId="21" hidden="1">#REF!</definedName>
    <definedName name="FDP_18_1_aUrv" localSheetId="23" hidden="1">#REF!</definedName>
    <definedName name="FDP_18_1_aUrv" localSheetId="28" hidden="1">#REF!</definedName>
    <definedName name="FDP_18_1_aUrv" localSheetId="26" hidden="1">#REF!</definedName>
    <definedName name="FDP_18_1_aUrv" localSheetId="27" hidden="1">#REF!</definedName>
    <definedName name="FDP_18_1_aUrv" hidden="1">#REF!</definedName>
    <definedName name="FDP_180_1_aUrv" localSheetId="17" hidden="1">#REF!</definedName>
    <definedName name="FDP_180_1_aUrv" localSheetId="15" hidden="1">#REF!</definedName>
    <definedName name="FDP_180_1_aUrv" localSheetId="12" hidden="1">#REF!</definedName>
    <definedName name="FDP_180_1_aUrv" localSheetId="22" hidden="1">#REF!</definedName>
    <definedName name="FDP_180_1_aUrv" localSheetId="20" hidden="1">#REF!</definedName>
    <definedName name="FDP_180_1_aUrv" localSheetId="21" hidden="1">#REF!</definedName>
    <definedName name="FDP_180_1_aUrv" localSheetId="23" hidden="1">#REF!</definedName>
    <definedName name="FDP_180_1_aUrv" localSheetId="28" hidden="1">#REF!</definedName>
    <definedName name="FDP_180_1_aUrv" localSheetId="26" hidden="1">#REF!</definedName>
    <definedName name="FDP_180_1_aUrv" localSheetId="27" hidden="1">#REF!</definedName>
    <definedName name="FDP_180_1_aUrv" hidden="1">#REF!</definedName>
    <definedName name="FDP_181_1_aUrv" localSheetId="17" hidden="1">#REF!</definedName>
    <definedName name="FDP_181_1_aUrv" localSheetId="15" hidden="1">#REF!</definedName>
    <definedName name="FDP_181_1_aUrv" localSheetId="12" hidden="1">#REF!</definedName>
    <definedName name="FDP_181_1_aUrv" localSheetId="22" hidden="1">#REF!</definedName>
    <definedName name="FDP_181_1_aUrv" localSheetId="20" hidden="1">#REF!</definedName>
    <definedName name="FDP_181_1_aUrv" localSheetId="21" hidden="1">#REF!</definedName>
    <definedName name="FDP_181_1_aUrv" localSheetId="23" hidden="1">#REF!</definedName>
    <definedName name="FDP_181_1_aUrv" localSheetId="28" hidden="1">#REF!</definedName>
    <definedName name="FDP_181_1_aUrv" localSheetId="26" hidden="1">#REF!</definedName>
    <definedName name="FDP_181_1_aUrv" localSheetId="27" hidden="1">#REF!</definedName>
    <definedName name="FDP_181_1_aUrv" hidden="1">#REF!</definedName>
    <definedName name="FDP_182_1_aDrv" localSheetId="17" hidden="1">#REF!</definedName>
    <definedName name="FDP_182_1_aDrv" localSheetId="15" hidden="1">#REF!</definedName>
    <definedName name="FDP_182_1_aDrv" localSheetId="12" hidden="1">#REF!</definedName>
    <definedName name="FDP_182_1_aDrv" localSheetId="22" hidden="1">#REF!</definedName>
    <definedName name="FDP_182_1_aDrv" localSheetId="20" hidden="1">#REF!</definedName>
    <definedName name="FDP_182_1_aDrv" localSheetId="21" hidden="1">#REF!</definedName>
    <definedName name="FDP_182_1_aDrv" localSheetId="23" hidden="1">#REF!</definedName>
    <definedName name="FDP_182_1_aDrv" localSheetId="28" hidden="1">#REF!</definedName>
    <definedName name="FDP_182_1_aDrv" localSheetId="26" hidden="1">#REF!</definedName>
    <definedName name="FDP_182_1_aDrv" localSheetId="27" hidden="1">#REF!</definedName>
    <definedName name="FDP_182_1_aDrv" hidden="1">#REF!</definedName>
    <definedName name="FDP_183_1_aDrv" localSheetId="17" hidden="1">#REF!</definedName>
    <definedName name="FDP_183_1_aDrv" localSheetId="15" hidden="1">#REF!</definedName>
    <definedName name="FDP_183_1_aDrv" localSheetId="12" hidden="1">#REF!</definedName>
    <definedName name="FDP_183_1_aDrv" localSheetId="22" hidden="1">#REF!</definedName>
    <definedName name="FDP_183_1_aDrv" localSheetId="20" hidden="1">#REF!</definedName>
    <definedName name="FDP_183_1_aDrv" localSheetId="21" hidden="1">#REF!</definedName>
    <definedName name="FDP_183_1_aDrv" localSheetId="23" hidden="1">#REF!</definedName>
    <definedName name="FDP_183_1_aDrv" localSheetId="28" hidden="1">#REF!</definedName>
    <definedName name="FDP_183_1_aDrv" localSheetId="26" hidden="1">#REF!</definedName>
    <definedName name="FDP_183_1_aDrv" localSheetId="27" hidden="1">#REF!</definedName>
    <definedName name="FDP_183_1_aDrv" hidden="1">#REF!</definedName>
    <definedName name="FDP_184_1_aUdv" localSheetId="17" hidden="1">#REF!</definedName>
    <definedName name="FDP_184_1_aUdv" localSheetId="15" hidden="1">#REF!</definedName>
    <definedName name="FDP_184_1_aUdv" localSheetId="12" hidden="1">#REF!</definedName>
    <definedName name="FDP_184_1_aUdv" localSheetId="22" hidden="1">#REF!</definedName>
    <definedName name="FDP_184_1_aUdv" localSheetId="20" hidden="1">#REF!</definedName>
    <definedName name="FDP_184_1_aUdv" localSheetId="21" hidden="1">#REF!</definedName>
    <definedName name="FDP_184_1_aUdv" localSheetId="23" hidden="1">#REF!</definedName>
    <definedName name="FDP_184_1_aUdv" localSheetId="28" hidden="1">#REF!</definedName>
    <definedName name="FDP_184_1_aUdv" localSheetId="26" hidden="1">#REF!</definedName>
    <definedName name="FDP_184_1_aUdv" localSheetId="27" hidden="1">#REF!</definedName>
    <definedName name="FDP_184_1_aUdv" hidden="1">#REF!</definedName>
    <definedName name="FDP_185_1_aUdv" localSheetId="17" hidden="1">#REF!</definedName>
    <definedName name="FDP_185_1_aUdv" localSheetId="15" hidden="1">#REF!</definedName>
    <definedName name="FDP_185_1_aUdv" localSheetId="12" hidden="1">#REF!</definedName>
    <definedName name="FDP_185_1_aUdv" localSheetId="22" hidden="1">#REF!</definedName>
    <definedName name="FDP_185_1_aUdv" localSheetId="20" hidden="1">#REF!</definedName>
    <definedName name="FDP_185_1_aUdv" localSheetId="21" hidden="1">#REF!</definedName>
    <definedName name="FDP_185_1_aUdv" localSheetId="23" hidden="1">#REF!</definedName>
    <definedName name="FDP_185_1_aUdv" localSheetId="28" hidden="1">#REF!</definedName>
    <definedName name="FDP_185_1_aUdv" localSheetId="26" hidden="1">#REF!</definedName>
    <definedName name="FDP_185_1_aUdv" localSheetId="27" hidden="1">#REF!</definedName>
    <definedName name="FDP_185_1_aUdv" hidden="1">#REF!</definedName>
    <definedName name="FDP_186_1_aUdv" localSheetId="17" hidden="1">#REF!</definedName>
    <definedName name="FDP_186_1_aUdv" localSheetId="15" hidden="1">#REF!</definedName>
    <definedName name="FDP_186_1_aUdv" localSheetId="12" hidden="1">#REF!</definedName>
    <definedName name="FDP_186_1_aUdv" localSheetId="22" hidden="1">#REF!</definedName>
    <definedName name="FDP_186_1_aUdv" localSheetId="20" hidden="1">#REF!</definedName>
    <definedName name="FDP_186_1_aUdv" localSheetId="21" hidden="1">#REF!</definedName>
    <definedName name="FDP_186_1_aUdv" localSheetId="23" hidden="1">#REF!</definedName>
    <definedName name="FDP_186_1_aUdv" localSheetId="28" hidden="1">#REF!</definedName>
    <definedName name="FDP_186_1_aUdv" localSheetId="26" hidden="1">#REF!</definedName>
    <definedName name="FDP_186_1_aUdv" localSheetId="27" hidden="1">#REF!</definedName>
    <definedName name="FDP_186_1_aUdv" hidden="1">#REF!</definedName>
    <definedName name="FDP_187_1_aUdv" localSheetId="17" hidden="1">#REF!</definedName>
    <definedName name="FDP_187_1_aUdv" localSheetId="15" hidden="1">#REF!</definedName>
    <definedName name="FDP_187_1_aUdv" localSheetId="12" hidden="1">#REF!</definedName>
    <definedName name="FDP_187_1_aUdv" localSheetId="22" hidden="1">#REF!</definedName>
    <definedName name="FDP_187_1_aUdv" localSheetId="20" hidden="1">#REF!</definedName>
    <definedName name="FDP_187_1_aUdv" localSheetId="21" hidden="1">#REF!</definedName>
    <definedName name="FDP_187_1_aUdv" localSheetId="23" hidden="1">#REF!</definedName>
    <definedName name="FDP_187_1_aUdv" localSheetId="28" hidden="1">#REF!</definedName>
    <definedName name="FDP_187_1_aUdv" localSheetId="26" hidden="1">#REF!</definedName>
    <definedName name="FDP_187_1_aUdv" localSheetId="27" hidden="1">#REF!</definedName>
    <definedName name="FDP_187_1_aUdv" hidden="1">#REF!</definedName>
    <definedName name="FDP_188_1_aUdv" localSheetId="17" hidden="1">#REF!</definedName>
    <definedName name="FDP_188_1_aUdv" localSheetId="15" hidden="1">#REF!</definedName>
    <definedName name="FDP_188_1_aUdv" localSheetId="12" hidden="1">#REF!</definedName>
    <definedName name="FDP_188_1_aUdv" localSheetId="22" hidden="1">#REF!</definedName>
    <definedName name="FDP_188_1_aUdv" localSheetId="20" hidden="1">#REF!</definedName>
    <definedName name="FDP_188_1_aUdv" localSheetId="21" hidden="1">#REF!</definedName>
    <definedName name="FDP_188_1_aUdv" localSheetId="23" hidden="1">#REF!</definedName>
    <definedName name="FDP_188_1_aUdv" localSheetId="28" hidden="1">#REF!</definedName>
    <definedName name="FDP_188_1_aUdv" localSheetId="26" hidden="1">#REF!</definedName>
    <definedName name="FDP_188_1_aUdv" localSheetId="27" hidden="1">#REF!</definedName>
    <definedName name="FDP_188_1_aUdv" hidden="1">#REF!</definedName>
    <definedName name="FDP_189_1_aUdv" localSheetId="17" hidden="1">#REF!</definedName>
    <definedName name="FDP_189_1_aUdv" localSheetId="15" hidden="1">#REF!</definedName>
    <definedName name="FDP_189_1_aUdv" localSheetId="12" hidden="1">#REF!</definedName>
    <definedName name="FDP_189_1_aUdv" localSheetId="22" hidden="1">#REF!</definedName>
    <definedName name="FDP_189_1_aUdv" localSheetId="20" hidden="1">#REF!</definedName>
    <definedName name="FDP_189_1_aUdv" localSheetId="21" hidden="1">#REF!</definedName>
    <definedName name="FDP_189_1_aUdv" localSheetId="23" hidden="1">#REF!</definedName>
    <definedName name="FDP_189_1_aUdv" localSheetId="28" hidden="1">#REF!</definedName>
    <definedName name="FDP_189_1_aUdv" localSheetId="26" hidden="1">#REF!</definedName>
    <definedName name="FDP_189_1_aUdv" localSheetId="27" hidden="1">#REF!</definedName>
    <definedName name="FDP_189_1_aUdv" hidden="1">#REF!</definedName>
    <definedName name="FDP_19_1_aDrv" localSheetId="17" hidden="1">#REF!</definedName>
    <definedName name="FDP_19_1_aDrv" localSheetId="15" hidden="1">#REF!</definedName>
    <definedName name="FDP_19_1_aDrv" localSheetId="12" hidden="1">#REF!</definedName>
    <definedName name="FDP_19_1_aDrv" localSheetId="22" hidden="1">#REF!</definedName>
    <definedName name="FDP_19_1_aDrv" localSheetId="20" hidden="1">#REF!</definedName>
    <definedName name="FDP_19_1_aDrv" localSheetId="21" hidden="1">#REF!</definedName>
    <definedName name="FDP_19_1_aDrv" localSheetId="23" hidden="1">#REF!</definedName>
    <definedName name="FDP_19_1_aDrv" localSheetId="28" hidden="1">#REF!</definedName>
    <definedName name="FDP_19_1_aDrv" localSheetId="26" hidden="1">#REF!</definedName>
    <definedName name="FDP_19_1_aDrv" localSheetId="27" hidden="1">#REF!</definedName>
    <definedName name="FDP_19_1_aDrv" hidden="1">#REF!</definedName>
    <definedName name="FDP_190_1_aUdv" localSheetId="17" hidden="1">#REF!</definedName>
    <definedName name="FDP_190_1_aUdv" localSheetId="15" hidden="1">#REF!</definedName>
    <definedName name="FDP_190_1_aUdv" localSheetId="12" hidden="1">#REF!</definedName>
    <definedName name="FDP_190_1_aUdv" localSheetId="22" hidden="1">#REF!</definedName>
    <definedName name="FDP_190_1_aUdv" localSheetId="20" hidden="1">#REF!</definedName>
    <definedName name="FDP_190_1_aUdv" localSheetId="21" hidden="1">#REF!</definedName>
    <definedName name="FDP_190_1_aUdv" localSheetId="23" hidden="1">#REF!</definedName>
    <definedName name="FDP_190_1_aUdv" localSheetId="28" hidden="1">#REF!</definedName>
    <definedName name="FDP_190_1_aUdv" localSheetId="26" hidden="1">#REF!</definedName>
    <definedName name="FDP_190_1_aUdv" localSheetId="27" hidden="1">#REF!</definedName>
    <definedName name="FDP_190_1_aUdv" hidden="1">#REF!</definedName>
    <definedName name="FDP_191_1_aUdv" localSheetId="17" hidden="1">#REF!</definedName>
    <definedName name="FDP_191_1_aUdv" localSheetId="15" hidden="1">#REF!</definedName>
    <definedName name="FDP_191_1_aUdv" localSheetId="12" hidden="1">#REF!</definedName>
    <definedName name="FDP_191_1_aUdv" localSheetId="22" hidden="1">#REF!</definedName>
    <definedName name="FDP_191_1_aUdv" localSheetId="20" hidden="1">#REF!</definedName>
    <definedName name="FDP_191_1_aUdv" localSheetId="21" hidden="1">#REF!</definedName>
    <definedName name="FDP_191_1_aUdv" localSheetId="23" hidden="1">#REF!</definedName>
    <definedName name="FDP_191_1_aUdv" localSheetId="28" hidden="1">#REF!</definedName>
    <definedName name="FDP_191_1_aUdv" localSheetId="26" hidden="1">#REF!</definedName>
    <definedName name="FDP_191_1_aUdv" localSheetId="27" hidden="1">#REF!</definedName>
    <definedName name="FDP_191_1_aUdv" hidden="1">#REF!</definedName>
    <definedName name="FDP_192_1_aUdv" localSheetId="17" hidden="1">#REF!</definedName>
    <definedName name="FDP_192_1_aUdv" localSheetId="15" hidden="1">#REF!</definedName>
    <definedName name="FDP_192_1_aUdv" localSheetId="12" hidden="1">#REF!</definedName>
    <definedName name="FDP_192_1_aUdv" localSheetId="22" hidden="1">#REF!</definedName>
    <definedName name="FDP_192_1_aUdv" localSheetId="20" hidden="1">#REF!</definedName>
    <definedName name="FDP_192_1_aUdv" localSheetId="21" hidden="1">#REF!</definedName>
    <definedName name="FDP_192_1_aUdv" localSheetId="23" hidden="1">#REF!</definedName>
    <definedName name="FDP_192_1_aUdv" localSheetId="28" hidden="1">#REF!</definedName>
    <definedName name="FDP_192_1_aUdv" localSheetId="26" hidden="1">#REF!</definedName>
    <definedName name="FDP_192_1_aUdv" localSheetId="27" hidden="1">#REF!</definedName>
    <definedName name="FDP_192_1_aUdv" hidden="1">#REF!</definedName>
    <definedName name="FDP_193_1_aUdv" localSheetId="17" hidden="1">#REF!</definedName>
    <definedName name="FDP_193_1_aUdv" localSheetId="15" hidden="1">#REF!</definedName>
    <definedName name="FDP_193_1_aUdv" localSheetId="12" hidden="1">#REF!</definedName>
    <definedName name="FDP_193_1_aUdv" localSheetId="22" hidden="1">#REF!</definedName>
    <definedName name="FDP_193_1_aUdv" localSheetId="20" hidden="1">#REF!</definedName>
    <definedName name="FDP_193_1_aUdv" localSheetId="21" hidden="1">#REF!</definedName>
    <definedName name="FDP_193_1_aUdv" localSheetId="23" hidden="1">#REF!</definedName>
    <definedName name="FDP_193_1_aUdv" localSheetId="28" hidden="1">#REF!</definedName>
    <definedName name="FDP_193_1_aUdv" localSheetId="26" hidden="1">#REF!</definedName>
    <definedName name="FDP_193_1_aUdv" localSheetId="27" hidden="1">#REF!</definedName>
    <definedName name="FDP_193_1_aUdv" hidden="1">#REF!</definedName>
    <definedName name="FDP_194_1_aUdv" localSheetId="17" hidden="1">#REF!</definedName>
    <definedName name="FDP_194_1_aUdv" localSheetId="15" hidden="1">#REF!</definedName>
    <definedName name="FDP_194_1_aUdv" localSheetId="12" hidden="1">#REF!</definedName>
    <definedName name="FDP_194_1_aUdv" localSheetId="22" hidden="1">#REF!</definedName>
    <definedName name="FDP_194_1_aUdv" localSheetId="20" hidden="1">#REF!</definedName>
    <definedName name="FDP_194_1_aUdv" localSheetId="21" hidden="1">#REF!</definedName>
    <definedName name="FDP_194_1_aUdv" localSheetId="23" hidden="1">#REF!</definedName>
    <definedName name="FDP_194_1_aUdv" localSheetId="28" hidden="1">#REF!</definedName>
    <definedName name="FDP_194_1_aUdv" localSheetId="26" hidden="1">#REF!</definedName>
    <definedName name="FDP_194_1_aUdv" localSheetId="27" hidden="1">#REF!</definedName>
    <definedName name="FDP_194_1_aUdv" hidden="1">#REF!</definedName>
    <definedName name="FDP_195_1_aUdv" localSheetId="17" hidden="1">#REF!</definedName>
    <definedName name="FDP_195_1_aUdv" localSheetId="15" hidden="1">#REF!</definedName>
    <definedName name="FDP_195_1_aUdv" localSheetId="12" hidden="1">#REF!</definedName>
    <definedName name="FDP_195_1_aUdv" localSheetId="22" hidden="1">#REF!</definedName>
    <definedName name="FDP_195_1_aUdv" localSheetId="20" hidden="1">#REF!</definedName>
    <definedName name="FDP_195_1_aUdv" localSheetId="21" hidden="1">#REF!</definedName>
    <definedName name="FDP_195_1_aUdv" localSheetId="23" hidden="1">#REF!</definedName>
    <definedName name="FDP_195_1_aUdv" localSheetId="28" hidden="1">#REF!</definedName>
    <definedName name="FDP_195_1_aUdv" localSheetId="26" hidden="1">#REF!</definedName>
    <definedName name="FDP_195_1_aUdv" localSheetId="27" hidden="1">#REF!</definedName>
    <definedName name="FDP_195_1_aUdv" hidden="1">#REF!</definedName>
    <definedName name="FDP_196_1_aUdv" localSheetId="17" hidden="1">#REF!</definedName>
    <definedName name="FDP_196_1_aUdv" localSheetId="15" hidden="1">#REF!</definedName>
    <definedName name="FDP_196_1_aUdv" localSheetId="12" hidden="1">#REF!</definedName>
    <definedName name="FDP_196_1_aUdv" localSheetId="22" hidden="1">#REF!</definedName>
    <definedName name="FDP_196_1_aUdv" localSheetId="20" hidden="1">#REF!</definedName>
    <definedName name="FDP_196_1_aUdv" localSheetId="21" hidden="1">#REF!</definedName>
    <definedName name="FDP_196_1_aUdv" localSheetId="23" hidden="1">#REF!</definedName>
    <definedName name="FDP_196_1_aUdv" localSheetId="28" hidden="1">#REF!</definedName>
    <definedName name="FDP_196_1_aUdv" localSheetId="26" hidden="1">#REF!</definedName>
    <definedName name="FDP_196_1_aUdv" localSheetId="27" hidden="1">#REF!</definedName>
    <definedName name="FDP_196_1_aUdv" hidden="1">#REF!</definedName>
    <definedName name="FDP_197_1_aUdv" localSheetId="17" hidden="1">#REF!</definedName>
    <definedName name="FDP_197_1_aUdv" localSheetId="15" hidden="1">#REF!</definedName>
    <definedName name="FDP_197_1_aUdv" localSheetId="12" hidden="1">#REF!</definedName>
    <definedName name="FDP_197_1_aUdv" localSheetId="22" hidden="1">#REF!</definedName>
    <definedName name="FDP_197_1_aUdv" localSheetId="20" hidden="1">#REF!</definedName>
    <definedName name="FDP_197_1_aUdv" localSheetId="21" hidden="1">#REF!</definedName>
    <definedName name="FDP_197_1_aUdv" localSheetId="23" hidden="1">#REF!</definedName>
    <definedName name="FDP_197_1_aUdv" localSheetId="28" hidden="1">#REF!</definedName>
    <definedName name="FDP_197_1_aUdv" localSheetId="26" hidden="1">#REF!</definedName>
    <definedName name="FDP_197_1_aUdv" localSheetId="27" hidden="1">#REF!</definedName>
    <definedName name="FDP_197_1_aUdv" hidden="1">#REF!</definedName>
    <definedName name="FDP_198_1_aUdv" localSheetId="17" hidden="1">#REF!</definedName>
    <definedName name="FDP_198_1_aUdv" localSheetId="15" hidden="1">#REF!</definedName>
    <definedName name="FDP_198_1_aUdv" localSheetId="12" hidden="1">#REF!</definedName>
    <definedName name="FDP_198_1_aUdv" localSheetId="22" hidden="1">#REF!</definedName>
    <definedName name="FDP_198_1_aUdv" localSheetId="20" hidden="1">#REF!</definedName>
    <definedName name="FDP_198_1_aUdv" localSheetId="21" hidden="1">#REF!</definedName>
    <definedName name="FDP_198_1_aUdv" localSheetId="23" hidden="1">#REF!</definedName>
    <definedName name="FDP_198_1_aUdv" localSheetId="28" hidden="1">#REF!</definedName>
    <definedName name="FDP_198_1_aUdv" localSheetId="26" hidden="1">#REF!</definedName>
    <definedName name="FDP_198_1_aUdv" localSheetId="27" hidden="1">#REF!</definedName>
    <definedName name="FDP_198_1_aUdv" hidden="1">#REF!</definedName>
    <definedName name="FDP_199_1_aUdv" localSheetId="17" hidden="1">#REF!</definedName>
    <definedName name="FDP_199_1_aUdv" localSheetId="15" hidden="1">#REF!</definedName>
    <definedName name="FDP_199_1_aUdv" localSheetId="12" hidden="1">#REF!</definedName>
    <definedName name="FDP_199_1_aUdv" localSheetId="22" hidden="1">#REF!</definedName>
    <definedName name="FDP_199_1_aUdv" localSheetId="20" hidden="1">#REF!</definedName>
    <definedName name="FDP_199_1_aUdv" localSheetId="21" hidden="1">#REF!</definedName>
    <definedName name="FDP_199_1_aUdv" localSheetId="23" hidden="1">#REF!</definedName>
    <definedName name="FDP_199_1_aUdv" localSheetId="28" hidden="1">#REF!</definedName>
    <definedName name="FDP_199_1_aUdv" localSheetId="26" hidden="1">#REF!</definedName>
    <definedName name="FDP_199_1_aUdv" localSheetId="27" hidden="1">#REF!</definedName>
    <definedName name="FDP_199_1_aUdv" hidden="1">#REF!</definedName>
    <definedName name="FDP_2_1_aUrv" localSheetId="17" hidden="1">#REF!</definedName>
    <definedName name="FDP_2_1_aUrv" localSheetId="15" hidden="1">#REF!</definedName>
    <definedName name="FDP_2_1_aUrv" localSheetId="12" hidden="1">#REF!</definedName>
    <definedName name="FDP_2_1_aUrv" localSheetId="22" hidden="1">#REF!</definedName>
    <definedName name="FDP_2_1_aUrv" localSheetId="20" hidden="1">#REF!</definedName>
    <definedName name="FDP_2_1_aUrv" localSheetId="21" hidden="1">#REF!</definedName>
    <definedName name="FDP_2_1_aUrv" localSheetId="23" hidden="1">#REF!</definedName>
    <definedName name="FDP_2_1_aUrv" localSheetId="28" hidden="1">#REF!</definedName>
    <definedName name="FDP_2_1_aUrv" localSheetId="26" hidden="1">#REF!</definedName>
    <definedName name="FDP_2_1_aUrv" localSheetId="27" hidden="1">#REF!</definedName>
    <definedName name="FDP_2_1_aUrv" hidden="1">#REF!</definedName>
    <definedName name="FDP_20_1_aDrv" localSheetId="17" hidden="1">#REF!</definedName>
    <definedName name="FDP_20_1_aDrv" localSheetId="15" hidden="1">#REF!</definedName>
    <definedName name="FDP_20_1_aDrv" localSheetId="12" hidden="1">#REF!</definedName>
    <definedName name="FDP_20_1_aDrv" localSheetId="22" hidden="1">#REF!</definedName>
    <definedName name="FDP_20_1_aDrv" localSheetId="20" hidden="1">#REF!</definedName>
    <definedName name="FDP_20_1_aDrv" localSheetId="21" hidden="1">#REF!</definedName>
    <definedName name="FDP_20_1_aDrv" localSheetId="23" hidden="1">#REF!</definedName>
    <definedName name="FDP_20_1_aDrv" localSheetId="28" hidden="1">#REF!</definedName>
    <definedName name="FDP_20_1_aDrv" localSheetId="26" hidden="1">#REF!</definedName>
    <definedName name="FDP_20_1_aDrv" localSheetId="27" hidden="1">#REF!</definedName>
    <definedName name="FDP_20_1_aDrv" hidden="1">#REF!</definedName>
    <definedName name="FDP_200_1_aDdv" localSheetId="17" hidden="1">#REF!</definedName>
    <definedName name="FDP_200_1_aDdv" localSheetId="15" hidden="1">#REF!</definedName>
    <definedName name="FDP_200_1_aDdv" localSheetId="12" hidden="1">#REF!</definedName>
    <definedName name="FDP_200_1_aDdv" localSheetId="22" hidden="1">#REF!</definedName>
    <definedName name="FDP_200_1_aDdv" localSheetId="20" hidden="1">#REF!</definedName>
    <definedName name="FDP_200_1_aDdv" localSheetId="21" hidden="1">#REF!</definedName>
    <definedName name="FDP_200_1_aDdv" localSheetId="23" hidden="1">#REF!</definedName>
    <definedName name="FDP_200_1_aDdv" localSheetId="28" hidden="1">#REF!</definedName>
    <definedName name="FDP_200_1_aDdv" localSheetId="26" hidden="1">#REF!</definedName>
    <definedName name="FDP_200_1_aDdv" localSheetId="27" hidden="1">#REF!</definedName>
    <definedName name="FDP_200_1_aDdv" hidden="1">#REF!</definedName>
    <definedName name="FDP_201_1_aDdv" localSheetId="17" hidden="1">#REF!</definedName>
    <definedName name="FDP_201_1_aDdv" localSheetId="15" hidden="1">#REF!</definedName>
    <definedName name="FDP_201_1_aDdv" localSheetId="12" hidden="1">#REF!</definedName>
    <definedName name="FDP_201_1_aDdv" localSheetId="22" hidden="1">#REF!</definedName>
    <definedName name="FDP_201_1_aDdv" localSheetId="20" hidden="1">#REF!</definedName>
    <definedName name="FDP_201_1_aDdv" localSheetId="21" hidden="1">#REF!</definedName>
    <definedName name="FDP_201_1_aDdv" localSheetId="23" hidden="1">#REF!</definedName>
    <definedName name="FDP_201_1_aDdv" localSheetId="28" hidden="1">#REF!</definedName>
    <definedName name="FDP_201_1_aDdv" localSheetId="26" hidden="1">#REF!</definedName>
    <definedName name="FDP_201_1_aDdv" localSheetId="27" hidden="1">#REF!</definedName>
    <definedName name="FDP_201_1_aDdv" hidden="1">#REF!</definedName>
    <definedName name="FDP_202_1_aDdv" localSheetId="17" hidden="1">#REF!</definedName>
    <definedName name="FDP_202_1_aDdv" localSheetId="15" hidden="1">#REF!</definedName>
    <definedName name="FDP_202_1_aDdv" localSheetId="12" hidden="1">#REF!</definedName>
    <definedName name="FDP_202_1_aDdv" localSheetId="22" hidden="1">#REF!</definedName>
    <definedName name="FDP_202_1_aDdv" localSheetId="20" hidden="1">#REF!</definedName>
    <definedName name="FDP_202_1_aDdv" localSheetId="21" hidden="1">#REF!</definedName>
    <definedName name="FDP_202_1_aDdv" localSheetId="23" hidden="1">#REF!</definedName>
    <definedName name="FDP_202_1_aDdv" localSheetId="28" hidden="1">#REF!</definedName>
    <definedName name="FDP_202_1_aDdv" localSheetId="26" hidden="1">#REF!</definedName>
    <definedName name="FDP_202_1_aDdv" localSheetId="27" hidden="1">#REF!</definedName>
    <definedName name="FDP_202_1_aDdv" hidden="1">#REF!</definedName>
    <definedName name="FDP_203_1_aDdv" localSheetId="17" hidden="1">#REF!</definedName>
    <definedName name="FDP_203_1_aDdv" localSheetId="15" hidden="1">#REF!</definedName>
    <definedName name="FDP_203_1_aDdv" localSheetId="12" hidden="1">#REF!</definedName>
    <definedName name="FDP_203_1_aDdv" localSheetId="22" hidden="1">#REF!</definedName>
    <definedName name="FDP_203_1_aDdv" localSheetId="20" hidden="1">#REF!</definedName>
    <definedName name="FDP_203_1_aDdv" localSheetId="21" hidden="1">#REF!</definedName>
    <definedName name="FDP_203_1_aDdv" localSheetId="23" hidden="1">#REF!</definedName>
    <definedName name="FDP_203_1_aDdv" localSheetId="28" hidden="1">#REF!</definedName>
    <definedName name="FDP_203_1_aDdv" localSheetId="26" hidden="1">#REF!</definedName>
    <definedName name="FDP_203_1_aDdv" localSheetId="27" hidden="1">#REF!</definedName>
    <definedName name="FDP_203_1_aDdv" hidden="1">#REF!</definedName>
    <definedName name="FDP_204_1_aUrv" localSheetId="17" hidden="1">#REF!</definedName>
    <definedName name="FDP_204_1_aUrv" localSheetId="15" hidden="1">#REF!</definedName>
    <definedName name="FDP_204_1_aUrv" localSheetId="12" hidden="1">#REF!</definedName>
    <definedName name="FDP_204_1_aUrv" localSheetId="22" hidden="1">#REF!</definedName>
    <definedName name="FDP_204_1_aUrv" localSheetId="20" hidden="1">#REF!</definedName>
    <definedName name="FDP_204_1_aUrv" localSheetId="21" hidden="1">#REF!</definedName>
    <definedName name="FDP_204_1_aUrv" localSheetId="23" hidden="1">#REF!</definedName>
    <definedName name="FDP_204_1_aUrv" localSheetId="28" hidden="1">#REF!</definedName>
    <definedName name="FDP_204_1_aUrv" localSheetId="26" hidden="1">#REF!</definedName>
    <definedName name="FDP_204_1_aUrv" localSheetId="27" hidden="1">#REF!</definedName>
    <definedName name="FDP_204_1_aUrv" hidden="1">#REF!</definedName>
    <definedName name="FDP_205_1_aUrv" localSheetId="17" hidden="1">#REF!</definedName>
    <definedName name="FDP_205_1_aUrv" localSheetId="15" hidden="1">#REF!</definedName>
    <definedName name="FDP_205_1_aUrv" localSheetId="12" hidden="1">#REF!</definedName>
    <definedName name="FDP_205_1_aUrv" localSheetId="22" hidden="1">#REF!</definedName>
    <definedName name="FDP_205_1_aUrv" localSheetId="20" hidden="1">#REF!</definedName>
    <definedName name="FDP_205_1_aUrv" localSheetId="21" hidden="1">#REF!</definedName>
    <definedName name="FDP_205_1_aUrv" localSheetId="23" hidden="1">#REF!</definedName>
    <definedName name="FDP_205_1_aUrv" localSheetId="28" hidden="1">#REF!</definedName>
    <definedName name="FDP_205_1_aUrv" localSheetId="26" hidden="1">#REF!</definedName>
    <definedName name="FDP_205_1_aUrv" localSheetId="27" hidden="1">#REF!</definedName>
    <definedName name="FDP_205_1_aUrv" hidden="1">#REF!</definedName>
    <definedName name="FDP_206_1_aDrv" localSheetId="17" hidden="1">#REF!</definedName>
    <definedName name="FDP_206_1_aDrv" localSheetId="15" hidden="1">#REF!</definedName>
    <definedName name="FDP_206_1_aDrv" localSheetId="12" hidden="1">#REF!</definedName>
    <definedName name="FDP_206_1_aDrv" localSheetId="22" hidden="1">#REF!</definedName>
    <definedName name="FDP_206_1_aDrv" localSheetId="20" hidden="1">#REF!</definedName>
    <definedName name="FDP_206_1_aDrv" localSheetId="21" hidden="1">#REF!</definedName>
    <definedName name="FDP_206_1_aDrv" localSheetId="23" hidden="1">#REF!</definedName>
    <definedName name="FDP_206_1_aDrv" localSheetId="28" hidden="1">#REF!</definedName>
    <definedName name="FDP_206_1_aDrv" localSheetId="26" hidden="1">#REF!</definedName>
    <definedName name="FDP_206_1_aDrv" localSheetId="27" hidden="1">#REF!</definedName>
    <definedName name="FDP_206_1_aDrv" hidden="1">#REF!</definedName>
    <definedName name="FDP_21_1_aDrv" localSheetId="17" hidden="1">#REF!</definedName>
    <definedName name="FDP_21_1_aDrv" localSheetId="15" hidden="1">#REF!</definedName>
    <definedName name="FDP_21_1_aDrv" localSheetId="12" hidden="1">#REF!</definedName>
    <definedName name="FDP_21_1_aDrv" localSheetId="22" hidden="1">#REF!</definedName>
    <definedName name="FDP_21_1_aDrv" localSheetId="20" hidden="1">#REF!</definedName>
    <definedName name="FDP_21_1_aDrv" localSheetId="21" hidden="1">#REF!</definedName>
    <definedName name="FDP_21_1_aDrv" localSheetId="23" hidden="1">#REF!</definedName>
    <definedName name="FDP_21_1_aDrv" localSheetId="28" hidden="1">#REF!</definedName>
    <definedName name="FDP_21_1_aDrv" localSheetId="26" hidden="1">#REF!</definedName>
    <definedName name="FDP_21_1_aDrv" localSheetId="27" hidden="1">#REF!</definedName>
    <definedName name="FDP_21_1_aDrv" hidden="1">#REF!</definedName>
    <definedName name="FDP_22_1_aDrv" localSheetId="17" hidden="1">#REF!</definedName>
    <definedName name="FDP_22_1_aDrv" localSheetId="15" hidden="1">#REF!</definedName>
    <definedName name="FDP_22_1_aDrv" localSheetId="12" hidden="1">#REF!</definedName>
    <definedName name="FDP_22_1_aDrv" localSheetId="22" hidden="1">#REF!</definedName>
    <definedName name="FDP_22_1_aDrv" localSheetId="20" hidden="1">#REF!</definedName>
    <definedName name="FDP_22_1_aDrv" localSheetId="21" hidden="1">#REF!</definedName>
    <definedName name="FDP_22_1_aDrv" localSheetId="23" hidden="1">#REF!</definedName>
    <definedName name="FDP_22_1_aDrv" localSheetId="28" hidden="1">#REF!</definedName>
    <definedName name="FDP_22_1_aDrv" localSheetId="26" hidden="1">#REF!</definedName>
    <definedName name="FDP_22_1_aDrv" localSheetId="27" hidden="1">#REF!</definedName>
    <definedName name="FDP_22_1_aDrv" hidden="1">#REF!</definedName>
    <definedName name="FDP_23_1_aDrv" localSheetId="17" hidden="1">#REF!</definedName>
    <definedName name="FDP_23_1_aDrv" localSheetId="15" hidden="1">#REF!</definedName>
    <definedName name="FDP_23_1_aDrv" localSheetId="12" hidden="1">#REF!</definedName>
    <definedName name="FDP_23_1_aDrv" localSheetId="22" hidden="1">#REF!</definedName>
    <definedName name="FDP_23_1_aDrv" localSheetId="20" hidden="1">#REF!</definedName>
    <definedName name="FDP_23_1_aDrv" localSheetId="21" hidden="1">#REF!</definedName>
    <definedName name="FDP_23_1_aDrv" localSheetId="23" hidden="1">#REF!</definedName>
    <definedName name="FDP_23_1_aDrv" localSheetId="28" hidden="1">#REF!</definedName>
    <definedName name="FDP_23_1_aDrv" localSheetId="26" hidden="1">#REF!</definedName>
    <definedName name="FDP_23_1_aDrv" localSheetId="27" hidden="1">#REF!</definedName>
    <definedName name="FDP_23_1_aDrv" hidden="1">#REF!</definedName>
    <definedName name="FDP_24_1_aDrv" localSheetId="17" hidden="1">#REF!</definedName>
    <definedName name="FDP_24_1_aDrv" localSheetId="15" hidden="1">#REF!</definedName>
    <definedName name="FDP_24_1_aDrv" localSheetId="12" hidden="1">#REF!</definedName>
    <definedName name="FDP_24_1_aDrv" localSheetId="22" hidden="1">#REF!</definedName>
    <definedName name="FDP_24_1_aDrv" localSheetId="20" hidden="1">#REF!</definedName>
    <definedName name="FDP_24_1_aDrv" localSheetId="21" hidden="1">#REF!</definedName>
    <definedName name="FDP_24_1_aDrv" localSheetId="23" hidden="1">#REF!</definedName>
    <definedName name="FDP_24_1_aDrv" localSheetId="28" hidden="1">#REF!</definedName>
    <definedName name="FDP_24_1_aDrv" localSheetId="26" hidden="1">#REF!</definedName>
    <definedName name="FDP_24_1_aDrv" localSheetId="27" hidden="1">#REF!</definedName>
    <definedName name="FDP_24_1_aDrv" hidden="1">#REF!</definedName>
    <definedName name="FDP_25_1_aUrv" localSheetId="17" hidden="1">#REF!</definedName>
    <definedName name="FDP_25_1_aUrv" localSheetId="15" hidden="1">#REF!</definedName>
    <definedName name="FDP_25_1_aUrv" localSheetId="12" hidden="1">#REF!</definedName>
    <definedName name="FDP_25_1_aUrv" localSheetId="22" hidden="1">#REF!</definedName>
    <definedName name="FDP_25_1_aUrv" localSheetId="20" hidden="1">#REF!</definedName>
    <definedName name="FDP_25_1_aUrv" localSheetId="21" hidden="1">#REF!</definedName>
    <definedName name="FDP_25_1_aUrv" localSheetId="23" hidden="1">#REF!</definedName>
    <definedName name="FDP_25_1_aUrv" localSheetId="28" hidden="1">#REF!</definedName>
    <definedName name="FDP_25_1_aUrv" localSheetId="26" hidden="1">#REF!</definedName>
    <definedName name="FDP_25_1_aUrv" localSheetId="27" hidden="1">#REF!</definedName>
    <definedName name="FDP_25_1_aUrv" hidden="1">#REF!</definedName>
    <definedName name="FDP_26_1_aUrv" localSheetId="17" hidden="1">#REF!</definedName>
    <definedName name="FDP_26_1_aUrv" localSheetId="15" hidden="1">#REF!</definedName>
    <definedName name="FDP_26_1_aUrv" localSheetId="12" hidden="1">#REF!</definedName>
    <definedName name="FDP_26_1_aUrv" localSheetId="22" hidden="1">#REF!</definedName>
    <definedName name="FDP_26_1_aUrv" localSheetId="20" hidden="1">#REF!</definedName>
    <definedName name="FDP_26_1_aUrv" localSheetId="21" hidden="1">#REF!</definedName>
    <definedName name="FDP_26_1_aUrv" localSheetId="23" hidden="1">#REF!</definedName>
    <definedName name="FDP_26_1_aUrv" localSheetId="28" hidden="1">#REF!</definedName>
    <definedName name="FDP_26_1_aUrv" localSheetId="26" hidden="1">#REF!</definedName>
    <definedName name="FDP_26_1_aUrv" localSheetId="27" hidden="1">#REF!</definedName>
    <definedName name="FDP_26_1_aUrv" hidden="1">#REF!</definedName>
    <definedName name="FDP_27_1_aDrv" localSheetId="17" hidden="1">#REF!</definedName>
    <definedName name="FDP_27_1_aDrv" localSheetId="15" hidden="1">#REF!</definedName>
    <definedName name="FDP_27_1_aDrv" localSheetId="12" hidden="1">#REF!</definedName>
    <definedName name="FDP_27_1_aDrv" localSheetId="22" hidden="1">#REF!</definedName>
    <definedName name="FDP_27_1_aDrv" localSheetId="20" hidden="1">#REF!</definedName>
    <definedName name="FDP_27_1_aDrv" localSheetId="21" hidden="1">#REF!</definedName>
    <definedName name="FDP_27_1_aDrv" localSheetId="23" hidden="1">#REF!</definedName>
    <definedName name="FDP_27_1_aDrv" localSheetId="28" hidden="1">#REF!</definedName>
    <definedName name="FDP_27_1_aDrv" localSheetId="26" hidden="1">#REF!</definedName>
    <definedName name="FDP_27_1_aDrv" localSheetId="27" hidden="1">#REF!</definedName>
    <definedName name="FDP_27_1_aDrv" hidden="1">#REF!</definedName>
    <definedName name="FDP_28_1_aUrv" localSheetId="17" hidden="1">#REF!</definedName>
    <definedName name="FDP_28_1_aUrv" localSheetId="15" hidden="1">#REF!</definedName>
    <definedName name="FDP_28_1_aUrv" localSheetId="12" hidden="1">#REF!</definedName>
    <definedName name="FDP_28_1_aUrv" localSheetId="22" hidden="1">#REF!</definedName>
    <definedName name="FDP_28_1_aUrv" localSheetId="20" hidden="1">#REF!</definedName>
    <definedName name="FDP_28_1_aUrv" localSheetId="21" hidden="1">#REF!</definedName>
    <definedName name="FDP_28_1_aUrv" localSheetId="23" hidden="1">#REF!</definedName>
    <definedName name="FDP_28_1_aUrv" localSheetId="28" hidden="1">#REF!</definedName>
    <definedName name="FDP_28_1_aUrv" localSheetId="26" hidden="1">#REF!</definedName>
    <definedName name="FDP_28_1_aUrv" localSheetId="27" hidden="1">#REF!</definedName>
    <definedName name="FDP_28_1_aUrv" hidden="1">#REF!</definedName>
    <definedName name="FDP_29_1_aUrv" localSheetId="17" hidden="1">#REF!</definedName>
    <definedName name="FDP_29_1_aUrv" localSheetId="15" hidden="1">#REF!</definedName>
    <definedName name="FDP_29_1_aUrv" localSheetId="12" hidden="1">#REF!</definedName>
    <definedName name="FDP_29_1_aUrv" localSheetId="22" hidden="1">#REF!</definedName>
    <definedName name="FDP_29_1_aUrv" localSheetId="20" hidden="1">#REF!</definedName>
    <definedName name="FDP_29_1_aUrv" localSheetId="21" hidden="1">#REF!</definedName>
    <definedName name="FDP_29_1_aUrv" localSheetId="23" hidden="1">#REF!</definedName>
    <definedName name="FDP_29_1_aUrv" localSheetId="28" hidden="1">#REF!</definedName>
    <definedName name="FDP_29_1_aUrv" localSheetId="26" hidden="1">#REF!</definedName>
    <definedName name="FDP_29_1_aUrv" localSheetId="27" hidden="1">#REF!</definedName>
    <definedName name="FDP_29_1_aUrv" hidden="1">#REF!</definedName>
    <definedName name="FDP_3_1_aUrv" localSheetId="17" hidden="1">#REF!</definedName>
    <definedName name="FDP_3_1_aUrv" localSheetId="15" hidden="1">#REF!</definedName>
    <definedName name="FDP_3_1_aUrv" localSheetId="12" hidden="1">#REF!</definedName>
    <definedName name="FDP_3_1_aUrv" localSheetId="22" hidden="1">#REF!</definedName>
    <definedName name="FDP_3_1_aUrv" localSheetId="20" hidden="1">#REF!</definedName>
    <definedName name="FDP_3_1_aUrv" localSheetId="21" hidden="1">#REF!</definedName>
    <definedName name="FDP_3_1_aUrv" localSheetId="23" hidden="1">#REF!</definedName>
    <definedName name="FDP_3_1_aUrv" localSheetId="28" hidden="1">#REF!</definedName>
    <definedName name="FDP_3_1_aUrv" localSheetId="26" hidden="1">#REF!</definedName>
    <definedName name="FDP_3_1_aUrv" localSheetId="27" hidden="1">#REF!</definedName>
    <definedName name="FDP_3_1_aUrv" hidden="1">#REF!</definedName>
    <definedName name="FDP_30_1_aUrv" localSheetId="17" hidden="1">#REF!</definedName>
    <definedName name="FDP_30_1_aUrv" localSheetId="15" hidden="1">#REF!</definedName>
    <definedName name="FDP_30_1_aUrv" localSheetId="12" hidden="1">#REF!</definedName>
    <definedName name="FDP_30_1_aUrv" localSheetId="22" hidden="1">#REF!</definedName>
    <definedName name="FDP_30_1_aUrv" localSheetId="20" hidden="1">#REF!</definedName>
    <definedName name="FDP_30_1_aUrv" localSheetId="21" hidden="1">#REF!</definedName>
    <definedName name="FDP_30_1_aUrv" localSheetId="23" hidden="1">#REF!</definedName>
    <definedName name="FDP_30_1_aUrv" localSheetId="28" hidden="1">#REF!</definedName>
    <definedName name="FDP_30_1_aUrv" localSheetId="26" hidden="1">#REF!</definedName>
    <definedName name="FDP_30_1_aUrv" localSheetId="27" hidden="1">#REF!</definedName>
    <definedName name="FDP_30_1_aUrv" hidden="1">#REF!</definedName>
    <definedName name="FDP_31_1_aUrv" localSheetId="17" hidden="1">#REF!</definedName>
    <definedName name="FDP_31_1_aUrv" localSheetId="15" hidden="1">#REF!</definedName>
    <definedName name="FDP_31_1_aUrv" localSheetId="12" hidden="1">#REF!</definedName>
    <definedName name="FDP_31_1_aUrv" localSheetId="22" hidden="1">#REF!</definedName>
    <definedName name="FDP_31_1_aUrv" localSheetId="20" hidden="1">#REF!</definedName>
    <definedName name="FDP_31_1_aUrv" localSheetId="21" hidden="1">#REF!</definedName>
    <definedName name="FDP_31_1_aUrv" localSheetId="23" hidden="1">#REF!</definedName>
    <definedName name="FDP_31_1_aUrv" localSheetId="28" hidden="1">#REF!</definedName>
    <definedName name="FDP_31_1_aUrv" localSheetId="26" hidden="1">#REF!</definedName>
    <definedName name="FDP_31_1_aUrv" localSheetId="27" hidden="1">#REF!</definedName>
    <definedName name="FDP_31_1_aUrv" hidden="1">#REF!</definedName>
    <definedName name="FDP_32_1_aUrv" localSheetId="17" hidden="1">#REF!</definedName>
    <definedName name="FDP_32_1_aUrv" localSheetId="15" hidden="1">#REF!</definedName>
    <definedName name="FDP_32_1_aUrv" localSheetId="12" hidden="1">#REF!</definedName>
    <definedName name="FDP_32_1_aUrv" localSheetId="22" hidden="1">#REF!</definedName>
    <definedName name="FDP_32_1_aUrv" localSheetId="20" hidden="1">#REF!</definedName>
    <definedName name="FDP_32_1_aUrv" localSheetId="21" hidden="1">#REF!</definedName>
    <definedName name="FDP_32_1_aUrv" localSheetId="23" hidden="1">#REF!</definedName>
    <definedName name="FDP_32_1_aUrv" localSheetId="28" hidden="1">#REF!</definedName>
    <definedName name="FDP_32_1_aUrv" localSheetId="26" hidden="1">#REF!</definedName>
    <definedName name="FDP_32_1_aUrv" localSheetId="27" hidden="1">#REF!</definedName>
    <definedName name="FDP_32_1_aUrv" hidden="1">#REF!</definedName>
    <definedName name="FDP_33_1_aDrv" localSheetId="17" hidden="1">#REF!</definedName>
    <definedName name="FDP_33_1_aDrv" localSheetId="15" hidden="1">#REF!</definedName>
    <definedName name="FDP_33_1_aDrv" localSheetId="12" hidden="1">#REF!</definedName>
    <definedName name="FDP_33_1_aDrv" localSheetId="22" hidden="1">#REF!</definedName>
    <definedName name="FDP_33_1_aDrv" localSheetId="20" hidden="1">#REF!</definedName>
    <definedName name="FDP_33_1_aDrv" localSheetId="21" hidden="1">#REF!</definedName>
    <definedName name="FDP_33_1_aDrv" localSheetId="23" hidden="1">#REF!</definedName>
    <definedName name="FDP_33_1_aDrv" localSheetId="28" hidden="1">#REF!</definedName>
    <definedName name="FDP_33_1_aDrv" localSheetId="26" hidden="1">#REF!</definedName>
    <definedName name="FDP_33_1_aDrv" localSheetId="27" hidden="1">#REF!</definedName>
    <definedName name="FDP_33_1_aDrv" hidden="1">#REF!</definedName>
    <definedName name="FDP_34_1_aUrv" localSheetId="17" hidden="1">#REF!</definedName>
    <definedName name="FDP_34_1_aUrv" localSheetId="15" hidden="1">#REF!</definedName>
    <definedName name="FDP_34_1_aUrv" localSheetId="12" hidden="1">#REF!</definedName>
    <definedName name="FDP_34_1_aUrv" localSheetId="22" hidden="1">#REF!</definedName>
    <definedName name="FDP_34_1_aUrv" localSheetId="20" hidden="1">#REF!</definedName>
    <definedName name="FDP_34_1_aUrv" localSheetId="21" hidden="1">#REF!</definedName>
    <definedName name="FDP_34_1_aUrv" localSheetId="23" hidden="1">#REF!</definedName>
    <definedName name="FDP_34_1_aUrv" localSheetId="28" hidden="1">#REF!</definedName>
    <definedName name="FDP_34_1_aUrv" localSheetId="26" hidden="1">#REF!</definedName>
    <definedName name="FDP_34_1_aUrv" localSheetId="27" hidden="1">#REF!</definedName>
    <definedName name="FDP_34_1_aUrv" hidden="1">#REF!</definedName>
    <definedName name="FDP_35_1_aUrv" localSheetId="17" hidden="1">#REF!</definedName>
    <definedName name="FDP_35_1_aUrv" localSheetId="15" hidden="1">#REF!</definedName>
    <definedName name="FDP_35_1_aUrv" localSheetId="12" hidden="1">#REF!</definedName>
    <definedName name="FDP_35_1_aUrv" localSheetId="22" hidden="1">#REF!</definedName>
    <definedName name="FDP_35_1_aUrv" localSheetId="20" hidden="1">#REF!</definedName>
    <definedName name="FDP_35_1_aUrv" localSheetId="21" hidden="1">#REF!</definedName>
    <definedName name="FDP_35_1_aUrv" localSheetId="23" hidden="1">#REF!</definedName>
    <definedName name="FDP_35_1_aUrv" localSheetId="28" hidden="1">#REF!</definedName>
    <definedName name="FDP_35_1_aUrv" localSheetId="26" hidden="1">#REF!</definedName>
    <definedName name="FDP_35_1_aUrv" localSheetId="27" hidden="1">#REF!</definedName>
    <definedName name="FDP_35_1_aUrv" hidden="1">#REF!</definedName>
    <definedName name="FDP_36_1_aUrv" localSheetId="17" hidden="1">#REF!</definedName>
    <definedName name="FDP_36_1_aUrv" localSheetId="15" hidden="1">#REF!</definedName>
    <definedName name="FDP_36_1_aUrv" localSheetId="12" hidden="1">#REF!</definedName>
    <definedName name="FDP_36_1_aUrv" localSheetId="22" hidden="1">#REF!</definedName>
    <definedName name="FDP_36_1_aUrv" localSheetId="20" hidden="1">#REF!</definedName>
    <definedName name="FDP_36_1_aUrv" localSheetId="21" hidden="1">#REF!</definedName>
    <definedName name="FDP_36_1_aUrv" localSheetId="23" hidden="1">#REF!</definedName>
    <definedName name="FDP_36_1_aUrv" localSheetId="28" hidden="1">#REF!</definedName>
    <definedName name="FDP_36_1_aUrv" localSheetId="26" hidden="1">#REF!</definedName>
    <definedName name="FDP_36_1_aUrv" localSheetId="27" hidden="1">#REF!</definedName>
    <definedName name="FDP_36_1_aUrv" hidden="1">#REF!</definedName>
    <definedName name="FDP_37_1_aUrv" localSheetId="17" hidden="1">#REF!</definedName>
    <definedName name="FDP_37_1_aUrv" localSheetId="15" hidden="1">#REF!</definedName>
    <definedName name="FDP_37_1_aUrv" localSheetId="12" hidden="1">#REF!</definedName>
    <definedName name="FDP_37_1_aUrv" localSheetId="22" hidden="1">#REF!</definedName>
    <definedName name="FDP_37_1_aUrv" localSheetId="20" hidden="1">#REF!</definedName>
    <definedName name="FDP_37_1_aUrv" localSheetId="21" hidden="1">#REF!</definedName>
    <definedName name="FDP_37_1_aUrv" localSheetId="23" hidden="1">#REF!</definedName>
    <definedName name="FDP_37_1_aUrv" localSheetId="28" hidden="1">#REF!</definedName>
    <definedName name="FDP_37_1_aUrv" localSheetId="26" hidden="1">#REF!</definedName>
    <definedName name="FDP_37_1_aUrv" localSheetId="27" hidden="1">#REF!</definedName>
    <definedName name="FDP_37_1_aUrv" hidden="1">#REF!</definedName>
    <definedName name="FDP_38_1_aUrv" localSheetId="17" hidden="1">#REF!</definedName>
    <definedName name="FDP_38_1_aUrv" localSheetId="15" hidden="1">#REF!</definedName>
    <definedName name="FDP_38_1_aUrv" localSheetId="12" hidden="1">#REF!</definedName>
    <definedName name="FDP_38_1_aUrv" localSheetId="22" hidden="1">#REF!</definedName>
    <definedName name="FDP_38_1_aUrv" localSheetId="20" hidden="1">#REF!</definedName>
    <definedName name="FDP_38_1_aUrv" localSheetId="21" hidden="1">#REF!</definedName>
    <definedName name="FDP_38_1_aUrv" localSheetId="23" hidden="1">#REF!</definedName>
    <definedName name="FDP_38_1_aUrv" localSheetId="28" hidden="1">#REF!</definedName>
    <definedName name="FDP_38_1_aUrv" localSheetId="26" hidden="1">#REF!</definedName>
    <definedName name="FDP_38_1_aUrv" localSheetId="27" hidden="1">#REF!</definedName>
    <definedName name="FDP_38_1_aUrv" hidden="1">#REF!</definedName>
    <definedName name="FDP_39_1_aSrv" localSheetId="17" hidden="1">#REF!</definedName>
    <definedName name="FDP_39_1_aSrv" localSheetId="15" hidden="1">#REF!</definedName>
    <definedName name="FDP_39_1_aSrv" localSheetId="12" hidden="1">#REF!</definedName>
    <definedName name="FDP_39_1_aSrv" localSheetId="22" hidden="1">#REF!</definedName>
    <definedName name="FDP_39_1_aSrv" localSheetId="20" hidden="1">#REF!</definedName>
    <definedName name="FDP_39_1_aSrv" localSheetId="21" hidden="1">#REF!</definedName>
    <definedName name="FDP_39_1_aSrv" localSheetId="23" hidden="1">#REF!</definedName>
    <definedName name="FDP_39_1_aSrv" localSheetId="28" hidden="1">#REF!</definedName>
    <definedName name="FDP_39_1_aSrv" localSheetId="26" hidden="1">#REF!</definedName>
    <definedName name="FDP_39_1_aSrv" localSheetId="27" hidden="1">#REF!</definedName>
    <definedName name="FDP_39_1_aSrv" hidden="1">#REF!</definedName>
    <definedName name="FDP_4_1_aSrv" localSheetId="17" hidden="1">#REF!</definedName>
    <definedName name="FDP_4_1_aSrv" localSheetId="15" hidden="1">#REF!</definedName>
    <definedName name="FDP_4_1_aSrv" localSheetId="12" hidden="1">#REF!</definedName>
    <definedName name="FDP_4_1_aSrv" localSheetId="22" hidden="1">#REF!</definedName>
    <definedName name="FDP_4_1_aSrv" localSheetId="20" hidden="1">#REF!</definedName>
    <definedName name="FDP_4_1_aSrv" localSheetId="21" hidden="1">#REF!</definedName>
    <definedName name="FDP_4_1_aSrv" localSheetId="23" hidden="1">#REF!</definedName>
    <definedName name="FDP_4_1_aSrv" localSheetId="28" hidden="1">#REF!</definedName>
    <definedName name="FDP_4_1_aSrv" localSheetId="26" hidden="1">#REF!</definedName>
    <definedName name="FDP_4_1_aSrv" localSheetId="27" hidden="1">#REF!</definedName>
    <definedName name="FDP_4_1_aSrv" hidden="1">#REF!</definedName>
    <definedName name="FDP_40_1_aUrv" localSheetId="17" hidden="1">#REF!</definedName>
    <definedName name="FDP_40_1_aUrv" localSheetId="15" hidden="1">#REF!</definedName>
    <definedName name="FDP_40_1_aUrv" localSheetId="12" hidden="1">#REF!</definedName>
    <definedName name="FDP_40_1_aUrv" localSheetId="22" hidden="1">#REF!</definedName>
    <definedName name="FDP_40_1_aUrv" localSheetId="20" hidden="1">#REF!</definedName>
    <definedName name="FDP_40_1_aUrv" localSheetId="21" hidden="1">#REF!</definedName>
    <definedName name="FDP_40_1_aUrv" localSheetId="23" hidden="1">#REF!</definedName>
    <definedName name="FDP_40_1_aUrv" localSheetId="28" hidden="1">#REF!</definedName>
    <definedName name="FDP_40_1_aUrv" localSheetId="26" hidden="1">#REF!</definedName>
    <definedName name="FDP_40_1_aUrv" localSheetId="27" hidden="1">#REF!</definedName>
    <definedName name="FDP_40_1_aUrv" hidden="1">#REF!</definedName>
    <definedName name="FDP_41_1_aUrv" localSheetId="17" hidden="1">#REF!</definedName>
    <definedName name="FDP_41_1_aUrv" localSheetId="15" hidden="1">#REF!</definedName>
    <definedName name="FDP_41_1_aUrv" localSheetId="12" hidden="1">#REF!</definedName>
    <definedName name="FDP_41_1_aUrv" localSheetId="22" hidden="1">#REF!</definedName>
    <definedName name="FDP_41_1_aUrv" localSheetId="20" hidden="1">#REF!</definedName>
    <definedName name="FDP_41_1_aUrv" localSheetId="21" hidden="1">#REF!</definedName>
    <definedName name="FDP_41_1_aUrv" localSheetId="23" hidden="1">#REF!</definedName>
    <definedName name="FDP_41_1_aUrv" localSheetId="28" hidden="1">#REF!</definedName>
    <definedName name="FDP_41_1_aUrv" localSheetId="26" hidden="1">#REF!</definedName>
    <definedName name="FDP_41_1_aUrv" localSheetId="27" hidden="1">#REF!</definedName>
    <definedName name="FDP_41_1_aUrv" hidden="1">#REF!</definedName>
    <definedName name="FDP_42_1_aUrv" localSheetId="17" hidden="1">#REF!</definedName>
    <definedName name="FDP_42_1_aUrv" localSheetId="15" hidden="1">#REF!</definedName>
    <definedName name="FDP_42_1_aUrv" localSheetId="12" hidden="1">#REF!</definedName>
    <definedName name="FDP_42_1_aUrv" localSheetId="22" hidden="1">#REF!</definedName>
    <definedName name="FDP_42_1_aUrv" localSheetId="20" hidden="1">#REF!</definedName>
    <definedName name="FDP_42_1_aUrv" localSheetId="21" hidden="1">#REF!</definedName>
    <definedName name="FDP_42_1_aUrv" localSheetId="23" hidden="1">#REF!</definedName>
    <definedName name="FDP_42_1_aUrv" localSheetId="28" hidden="1">#REF!</definedName>
    <definedName name="FDP_42_1_aUrv" localSheetId="26" hidden="1">#REF!</definedName>
    <definedName name="FDP_42_1_aUrv" localSheetId="27" hidden="1">#REF!</definedName>
    <definedName name="FDP_42_1_aUrv" hidden="1">#REF!</definedName>
    <definedName name="FDP_43_1_aUrv" localSheetId="17" hidden="1">#REF!</definedName>
    <definedName name="FDP_43_1_aUrv" localSheetId="15" hidden="1">#REF!</definedName>
    <definedName name="FDP_43_1_aUrv" localSheetId="12" hidden="1">#REF!</definedName>
    <definedName name="FDP_43_1_aUrv" localSheetId="22" hidden="1">#REF!</definedName>
    <definedName name="FDP_43_1_aUrv" localSheetId="20" hidden="1">#REF!</definedName>
    <definedName name="FDP_43_1_aUrv" localSheetId="21" hidden="1">#REF!</definedName>
    <definedName name="FDP_43_1_aUrv" localSheetId="23" hidden="1">#REF!</definedName>
    <definedName name="FDP_43_1_aUrv" localSheetId="28" hidden="1">#REF!</definedName>
    <definedName name="FDP_43_1_aUrv" localSheetId="26" hidden="1">#REF!</definedName>
    <definedName name="FDP_43_1_aUrv" localSheetId="27" hidden="1">#REF!</definedName>
    <definedName name="FDP_43_1_aUrv" hidden="1">#REF!</definedName>
    <definedName name="FDP_44_1_aUrv" localSheetId="17" hidden="1">#REF!</definedName>
    <definedName name="FDP_44_1_aUrv" localSheetId="15" hidden="1">#REF!</definedName>
    <definedName name="FDP_44_1_aUrv" localSheetId="12" hidden="1">#REF!</definedName>
    <definedName name="FDP_44_1_aUrv" localSheetId="22" hidden="1">#REF!</definedName>
    <definedName name="FDP_44_1_aUrv" localSheetId="20" hidden="1">#REF!</definedName>
    <definedName name="FDP_44_1_aUrv" localSheetId="21" hidden="1">#REF!</definedName>
    <definedName name="FDP_44_1_aUrv" localSheetId="23" hidden="1">#REF!</definedName>
    <definedName name="FDP_44_1_aUrv" localSheetId="28" hidden="1">#REF!</definedName>
    <definedName name="FDP_44_1_aUrv" localSheetId="26" hidden="1">#REF!</definedName>
    <definedName name="FDP_44_1_aUrv" localSheetId="27" hidden="1">#REF!</definedName>
    <definedName name="FDP_44_1_aUrv" hidden="1">#REF!</definedName>
    <definedName name="FDP_45_1_aSrv" localSheetId="17" hidden="1">#REF!</definedName>
    <definedName name="FDP_45_1_aSrv" localSheetId="15" hidden="1">#REF!</definedName>
    <definedName name="FDP_45_1_aSrv" localSheetId="12" hidden="1">#REF!</definedName>
    <definedName name="FDP_45_1_aSrv" localSheetId="22" hidden="1">#REF!</definedName>
    <definedName name="FDP_45_1_aSrv" localSheetId="20" hidden="1">#REF!</definedName>
    <definedName name="FDP_45_1_aSrv" localSheetId="21" hidden="1">#REF!</definedName>
    <definedName name="FDP_45_1_aSrv" localSheetId="23" hidden="1">#REF!</definedName>
    <definedName name="FDP_45_1_aSrv" localSheetId="28" hidden="1">#REF!</definedName>
    <definedName name="FDP_45_1_aSrv" localSheetId="26" hidden="1">#REF!</definedName>
    <definedName name="FDP_45_1_aSrv" localSheetId="27" hidden="1">#REF!</definedName>
    <definedName name="FDP_45_1_aSrv" hidden="1">#REF!</definedName>
    <definedName name="FDP_46_1_aSrv" localSheetId="17" hidden="1">#REF!</definedName>
    <definedName name="FDP_46_1_aSrv" localSheetId="15" hidden="1">#REF!</definedName>
    <definedName name="FDP_46_1_aSrv" localSheetId="12" hidden="1">#REF!</definedName>
    <definedName name="FDP_46_1_aSrv" localSheetId="22" hidden="1">#REF!</definedName>
    <definedName name="FDP_46_1_aSrv" localSheetId="20" hidden="1">#REF!</definedName>
    <definedName name="FDP_46_1_aSrv" localSheetId="21" hidden="1">#REF!</definedName>
    <definedName name="FDP_46_1_aSrv" localSheetId="23" hidden="1">#REF!</definedName>
    <definedName name="FDP_46_1_aSrv" localSheetId="28" hidden="1">#REF!</definedName>
    <definedName name="FDP_46_1_aSrv" localSheetId="26" hidden="1">#REF!</definedName>
    <definedName name="FDP_46_1_aSrv" localSheetId="27" hidden="1">#REF!</definedName>
    <definedName name="FDP_46_1_aSrv" hidden="1">#REF!</definedName>
    <definedName name="FDP_47_1_aUrv" localSheetId="17" hidden="1">#REF!</definedName>
    <definedName name="FDP_47_1_aUrv" localSheetId="15" hidden="1">#REF!</definedName>
    <definedName name="FDP_47_1_aUrv" localSheetId="12" hidden="1">#REF!</definedName>
    <definedName name="FDP_47_1_aUrv" localSheetId="22" hidden="1">#REF!</definedName>
    <definedName name="FDP_47_1_aUrv" localSheetId="20" hidden="1">#REF!</definedName>
    <definedName name="FDP_47_1_aUrv" localSheetId="21" hidden="1">#REF!</definedName>
    <definedName name="FDP_47_1_aUrv" localSheetId="23" hidden="1">#REF!</definedName>
    <definedName name="FDP_47_1_aUrv" localSheetId="28" hidden="1">#REF!</definedName>
    <definedName name="FDP_47_1_aUrv" localSheetId="26" hidden="1">#REF!</definedName>
    <definedName name="FDP_47_1_aUrv" localSheetId="27" hidden="1">#REF!</definedName>
    <definedName name="FDP_47_1_aUrv" hidden="1">#REF!</definedName>
    <definedName name="FDP_48_1_aUrv" localSheetId="17" hidden="1">#REF!</definedName>
    <definedName name="FDP_48_1_aUrv" localSheetId="15" hidden="1">#REF!</definedName>
    <definedName name="FDP_48_1_aUrv" localSheetId="12" hidden="1">#REF!</definedName>
    <definedName name="FDP_48_1_aUrv" localSheetId="22" hidden="1">#REF!</definedName>
    <definedName name="FDP_48_1_aUrv" localSheetId="20" hidden="1">#REF!</definedName>
    <definedName name="FDP_48_1_aUrv" localSheetId="21" hidden="1">#REF!</definedName>
    <definedName name="FDP_48_1_aUrv" localSheetId="23" hidden="1">#REF!</definedName>
    <definedName name="FDP_48_1_aUrv" localSheetId="28" hidden="1">#REF!</definedName>
    <definedName name="FDP_48_1_aUrv" localSheetId="26" hidden="1">#REF!</definedName>
    <definedName name="FDP_48_1_aUrv" localSheetId="27" hidden="1">#REF!</definedName>
    <definedName name="FDP_48_1_aUrv" hidden="1">#REF!</definedName>
    <definedName name="FDP_49_1_aUrv" localSheetId="17" hidden="1">#REF!</definedName>
    <definedName name="FDP_49_1_aUrv" localSheetId="15" hidden="1">#REF!</definedName>
    <definedName name="FDP_49_1_aUrv" localSheetId="12" hidden="1">#REF!</definedName>
    <definedName name="FDP_49_1_aUrv" localSheetId="22" hidden="1">#REF!</definedName>
    <definedName name="FDP_49_1_aUrv" localSheetId="20" hidden="1">#REF!</definedName>
    <definedName name="FDP_49_1_aUrv" localSheetId="21" hidden="1">#REF!</definedName>
    <definedName name="FDP_49_1_aUrv" localSheetId="23" hidden="1">#REF!</definedName>
    <definedName name="FDP_49_1_aUrv" localSheetId="28" hidden="1">#REF!</definedName>
    <definedName name="FDP_49_1_aUrv" localSheetId="26" hidden="1">#REF!</definedName>
    <definedName name="FDP_49_1_aUrv" localSheetId="27" hidden="1">#REF!</definedName>
    <definedName name="FDP_49_1_aUrv" hidden="1">#REF!</definedName>
    <definedName name="FDP_5_1_aDrv" localSheetId="17" hidden="1">#REF!</definedName>
    <definedName name="FDP_5_1_aDrv" localSheetId="15" hidden="1">#REF!</definedName>
    <definedName name="FDP_5_1_aDrv" localSheetId="12" hidden="1">#REF!</definedName>
    <definedName name="FDP_5_1_aDrv" localSheetId="22" hidden="1">#REF!</definedName>
    <definedName name="FDP_5_1_aDrv" localSheetId="20" hidden="1">#REF!</definedName>
    <definedName name="FDP_5_1_aDrv" localSheetId="21" hidden="1">#REF!</definedName>
    <definedName name="FDP_5_1_aDrv" localSheetId="23" hidden="1">#REF!</definedName>
    <definedName name="FDP_5_1_aDrv" localSheetId="28" hidden="1">#REF!</definedName>
    <definedName name="FDP_5_1_aDrv" localSheetId="26" hidden="1">#REF!</definedName>
    <definedName name="FDP_5_1_aDrv" localSheetId="27" hidden="1">#REF!</definedName>
    <definedName name="FDP_5_1_aDrv" hidden="1">#REF!</definedName>
    <definedName name="FDP_50_1_aUrv" localSheetId="17" hidden="1">#REF!</definedName>
    <definedName name="FDP_50_1_aUrv" localSheetId="15" hidden="1">#REF!</definedName>
    <definedName name="FDP_50_1_aUrv" localSheetId="12" hidden="1">#REF!</definedName>
    <definedName name="FDP_50_1_aUrv" localSheetId="22" hidden="1">#REF!</definedName>
    <definedName name="FDP_50_1_aUrv" localSheetId="20" hidden="1">#REF!</definedName>
    <definedName name="FDP_50_1_aUrv" localSheetId="21" hidden="1">#REF!</definedName>
    <definedName name="FDP_50_1_aUrv" localSheetId="23" hidden="1">#REF!</definedName>
    <definedName name="FDP_50_1_aUrv" localSheetId="28" hidden="1">#REF!</definedName>
    <definedName name="FDP_50_1_aUrv" localSheetId="26" hidden="1">#REF!</definedName>
    <definedName name="FDP_50_1_aUrv" localSheetId="27" hidden="1">#REF!</definedName>
    <definedName name="FDP_50_1_aUrv" hidden="1">#REF!</definedName>
    <definedName name="FDP_51_1_aUrv" localSheetId="17" hidden="1">#REF!</definedName>
    <definedName name="FDP_51_1_aUrv" localSheetId="15" hidden="1">#REF!</definedName>
    <definedName name="FDP_51_1_aUrv" localSheetId="12" hidden="1">#REF!</definedName>
    <definedName name="FDP_51_1_aUrv" localSheetId="22" hidden="1">#REF!</definedName>
    <definedName name="FDP_51_1_aUrv" localSheetId="20" hidden="1">#REF!</definedName>
    <definedName name="FDP_51_1_aUrv" localSheetId="21" hidden="1">#REF!</definedName>
    <definedName name="FDP_51_1_aUrv" localSheetId="23" hidden="1">#REF!</definedName>
    <definedName name="FDP_51_1_aUrv" localSheetId="28" hidden="1">#REF!</definedName>
    <definedName name="FDP_51_1_aUrv" localSheetId="26" hidden="1">#REF!</definedName>
    <definedName name="FDP_51_1_aUrv" localSheetId="27" hidden="1">#REF!</definedName>
    <definedName name="FDP_51_1_aUrv" hidden="1">#REF!</definedName>
    <definedName name="FDP_52_1_aSrv" localSheetId="17" hidden="1">#REF!</definedName>
    <definedName name="FDP_52_1_aSrv" localSheetId="15" hidden="1">#REF!</definedName>
    <definedName name="FDP_52_1_aSrv" localSheetId="12" hidden="1">#REF!</definedName>
    <definedName name="FDP_52_1_aSrv" localSheetId="22" hidden="1">#REF!</definedName>
    <definedName name="FDP_52_1_aSrv" localSheetId="20" hidden="1">#REF!</definedName>
    <definedName name="FDP_52_1_aSrv" localSheetId="21" hidden="1">#REF!</definedName>
    <definedName name="FDP_52_1_aSrv" localSheetId="23" hidden="1">#REF!</definedName>
    <definedName name="FDP_52_1_aSrv" localSheetId="28" hidden="1">#REF!</definedName>
    <definedName name="FDP_52_1_aSrv" localSheetId="26" hidden="1">#REF!</definedName>
    <definedName name="FDP_52_1_aSrv" localSheetId="27" hidden="1">#REF!</definedName>
    <definedName name="FDP_52_1_aSrv" hidden="1">#REF!</definedName>
    <definedName name="FDP_53_1_aUrv" localSheetId="17" hidden="1">#REF!</definedName>
    <definedName name="FDP_53_1_aUrv" localSheetId="15" hidden="1">#REF!</definedName>
    <definedName name="FDP_53_1_aUrv" localSheetId="12" hidden="1">#REF!</definedName>
    <definedName name="FDP_53_1_aUrv" localSheetId="22" hidden="1">#REF!</definedName>
    <definedName name="FDP_53_1_aUrv" localSheetId="20" hidden="1">#REF!</definedName>
    <definedName name="FDP_53_1_aUrv" localSheetId="21" hidden="1">#REF!</definedName>
    <definedName name="FDP_53_1_aUrv" localSheetId="23" hidden="1">#REF!</definedName>
    <definedName name="FDP_53_1_aUrv" localSheetId="28" hidden="1">#REF!</definedName>
    <definedName name="FDP_53_1_aUrv" localSheetId="26" hidden="1">#REF!</definedName>
    <definedName name="FDP_53_1_aUrv" localSheetId="27" hidden="1">#REF!</definedName>
    <definedName name="FDP_53_1_aUrv" hidden="1">#REF!</definedName>
    <definedName name="FDP_54_1_aUrv" localSheetId="17" hidden="1">#REF!</definedName>
    <definedName name="FDP_54_1_aUrv" localSheetId="15" hidden="1">#REF!</definedName>
    <definedName name="FDP_54_1_aUrv" localSheetId="12" hidden="1">#REF!</definedName>
    <definedName name="FDP_54_1_aUrv" localSheetId="22" hidden="1">#REF!</definedName>
    <definedName name="FDP_54_1_aUrv" localSheetId="20" hidden="1">#REF!</definedName>
    <definedName name="FDP_54_1_aUrv" localSheetId="21" hidden="1">#REF!</definedName>
    <definedName name="FDP_54_1_aUrv" localSheetId="23" hidden="1">#REF!</definedName>
    <definedName name="FDP_54_1_aUrv" localSheetId="28" hidden="1">#REF!</definedName>
    <definedName name="FDP_54_1_aUrv" localSheetId="26" hidden="1">#REF!</definedName>
    <definedName name="FDP_54_1_aUrv" localSheetId="27" hidden="1">#REF!</definedName>
    <definedName name="FDP_54_1_aUrv" hidden="1">#REF!</definedName>
    <definedName name="FDP_55_1_aUrv" localSheetId="17" hidden="1">#REF!</definedName>
    <definedName name="FDP_55_1_aUrv" localSheetId="15" hidden="1">#REF!</definedName>
    <definedName name="FDP_55_1_aUrv" localSheetId="12" hidden="1">#REF!</definedName>
    <definedName name="FDP_55_1_aUrv" localSheetId="22" hidden="1">#REF!</definedName>
    <definedName name="FDP_55_1_aUrv" localSheetId="20" hidden="1">#REF!</definedName>
    <definedName name="FDP_55_1_aUrv" localSheetId="21" hidden="1">#REF!</definedName>
    <definedName name="FDP_55_1_aUrv" localSheetId="23" hidden="1">#REF!</definedName>
    <definedName name="FDP_55_1_aUrv" localSheetId="28" hidden="1">#REF!</definedName>
    <definedName name="FDP_55_1_aUrv" localSheetId="26" hidden="1">#REF!</definedName>
    <definedName name="FDP_55_1_aUrv" localSheetId="27" hidden="1">#REF!</definedName>
    <definedName name="FDP_55_1_aUrv" hidden="1">#REF!</definedName>
    <definedName name="FDP_56_1_aUrv" localSheetId="17" hidden="1">#REF!</definedName>
    <definedName name="FDP_56_1_aUrv" localSheetId="15" hidden="1">#REF!</definedName>
    <definedName name="FDP_56_1_aUrv" localSheetId="12" hidden="1">#REF!</definedName>
    <definedName name="FDP_56_1_aUrv" localSheetId="22" hidden="1">#REF!</definedName>
    <definedName name="FDP_56_1_aUrv" localSheetId="20" hidden="1">#REF!</definedName>
    <definedName name="FDP_56_1_aUrv" localSheetId="21" hidden="1">#REF!</definedName>
    <definedName name="FDP_56_1_aUrv" localSheetId="23" hidden="1">#REF!</definedName>
    <definedName name="FDP_56_1_aUrv" localSheetId="28" hidden="1">#REF!</definedName>
    <definedName name="FDP_56_1_aUrv" localSheetId="26" hidden="1">#REF!</definedName>
    <definedName name="FDP_56_1_aUrv" localSheetId="27" hidden="1">#REF!</definedName>
    <definedName name="FDP_56_1_aUrv" hidden="1">#REF!</definedName>
    <definedName name="FDP_57_1_aUrv" localSheetId="17" hidden="1">#REF!</definedName>
    <definedName name="FDP_57_1_aUrv" localSheetId="15" hidden="1">#REF!</definedName>
    <definedName name="FDP_57_1_aUrv" localSheetId="12" hidden="1">#REF!</definedName>
    <definedName name="FDP_57_1_aUrv" localSheetId="22" hidden="1">#REF!</definedName>
    <definedName name="FDP_57_1_aUrv" localSheetId="20" hidden="1">#REF!</definedName>
    <definedName name="FDP_57_1_aUrv" localSheetId="21" hidden="1">#REF!</definedName>
    <definedName name="FDP_57_1_aUrv" localSheetId="23" hidden="1">#REF!</definedName>
    <definedName name="FDP_57_1_aUrv" localSheetId="28" hidden="1">#REF!</definedName>
    <definedName name="FDP_57_1_aUrv" localSheetId="26" hidden="1">#REF!</definedName>
    <definedName name="FDP_57_1_aUrv" localSheetId="27" hidden="1">#REF!</definedName>
    <definedName name="FDP_57_1_aUrv" hidden="1">#REF!</definedName>
    <definedName name="FDP_58_1_aUrv" localSheetId="17" hidden="1">#REF!</definedName>
    <definedName name="FDP_58_1_aUrv" localSheetId="15" hidden="1">#REF!</definedName>
    <definedName name="FDP_58_1_aUrv" localSheetId="12" hidden="1">#REF!</definedName>
    <definedName name="FDP_58_1_aUrv" localSheetId="22" hidden="1">#REF!</definedName>
    <definedName name="FDP_58_1_aUrv" localSheetId="20" hidden="1">#REF!</definedName>
    <definedName name="FDP_58_1_aUrv" localSheetId="21" hidden="1">#REF!</definedName>
    <definedName name="FDP_58_1_aUrv" localSheetId="23" hidden="1">#REF!</definedName>
    <definedName name="FDP_58_1_aUrv" localSheetId="28" hidden="1">#REF!</definedName>
    <definedName name="FDP_58_1_aUrv" localSheetId="26" hidden="1">#REF!</definedName>
    <definedName name="FDP_58_1_aUrv" localSheetId="27" hidden="1">#REF!</definedName>
    <definedName name="FDP_58_1_aUrv" hidden="1">#REF!</definedName>
    <definedName name="FDP_59_1_aUrv" localSheetId="17" hidden="1">#REF!</definedName>
    <definedName name="FDP_59_1_aUrv" localSheetId="15" hidden="1">#REF!</definedName>
    <definedName name="FDP_59_1_aUrv" localSheetId="12" hidden="1">#REF!</definedName>
    <definedName name="FDP_59_1_aUrv" localSheetId="22" hidden="1">#REF!</definedName>
    <definedName name="FDP_59_1_aUrv" localSheetId="20" hidden="1">#REF!</definedName>
    <definedName name="FDP_59_1_aUrv" localSheetId="21" hidden="1">#REF!</definedName>
    <definedName name="FDP_59_1_aUrv" localSheetId="23" hidden="1">#REF!</definedName>
    <definedName name="FDP_59_1_aUrv" localSheetId="28" hidden="1">#REF!</definedName>
    <definedName name="FDP_59_1_aUrv" localSheetId="26" hidden="1">#REF!</definedName>
    <definedName name="FDP_59_1_aUrv" localSheetId="27" hidden="1">#REF!</definedName>
    <definedName name="FDP_59_1_aUrv" hidden="1">#REF!</definedName>
    <definedName name="FDP_6_1_aSrv" localSheetId="17" hidden="1">#REF!</definedName>
    <definedName name="FDP_6_1_aSrv" localSheetId="15" hidden="1">#REF!</definedName>
    <definedName name="FDP_6_1_aSrv" localSheetId="12" hidden="1">#REF!</definedName>
    <definedName name="FDP_6_1_aSrv" localSheetId="22" hidden="1">#REF!</definedName>
    <definedName name="FDP_6_1_aSrv" localSheetId="20" hidden="1">#REF!</definedName>
    <definedName name="FDP_6_1_aSrv" localSheetId="21" hidden="1">#REF!</definedName>
    <definedName name="FDP_6_1_aSrv" localSheetId="23" hidden="1">#REF!</definedName>
    <definedName name="FDP_6_1_aSrv" localSheetId="28" hidden="1">#REF!</definedName>
    <definedName name="FDP_6_1_aSrv" localSheetId="26" hidden="1">#REF!</definedName>
    <definedName name="FDP_6_1_aSrv" localSheetId="27" hidden="1">#REF!</definedName>
    <definedName name="FDP_6_1_aSrv" hidden="1">#REF!</definedName>
    <definedName name="FDP_60_1_aUrv" localSheetId="17" hidden="1">#REF!</definedName>
    <definedName name="FDP_60_1_aUrv" localSheetId="15" hidden="1">#REF!</definedName>
    <definedName name="FDP_60_1_aUrv" localSheetId="12" hidden="1">#REF!</definedName>
    <definedName name="FDP_60_1_aUrv" localSheetId="22" hidden="1">#REF!</definedName>
    <definedName name="FDP_60_1_aUrv" localSheetId="20" hidden="1">#REF!</definedName>
    <definedName name="FDP_60_1_aUrv" localSheetId="21" hidden="1">#REF!</definedName>
    <definedName name="FDP_60_1_aUrv" localSheetId="23" hidden="1">#REF!</definedName>
    <definedName name="FDP_60_1_aUrv" localSheetId="28" hidden="1">#REF!</definedName>
    <definedName name="FDP_60_1_aUrv" localSheetId="26" hidden="1">#REF!</definedName>
    <definedName name="FDP_60_1_aUrv" localSheetId="27" hidden="1">#REF!</definedName>
    <definedName name="FDP_60_1_aUrv" hidden="1">#REF!</definedName>
    <definedName name="FDP_61_1_aUrv" localSheetId="17" hidden="1">#REF!</definedName>
    <definedName name="FDP_61_1_aUrv" localSheetId="15" hidden="1">#REF!</definedName>
    <definedName name="FDP_61_1_aUrv" localSheetId="12" hidden="1">#REF!</definedName>
    <definedName name="FDP_61_1_aUrv" localSheetId="22" hidden="1">#REF!</definedName>
    <definedName name="FDP_61_1_aUrv" localSheetId="20" hidden="1">#REF!</definedName>
    <definedName name="FDP_61_1_aUrv" localSheetId="21" hidden="1">#REF!</definedName>
    <definedName name="FDP_61_1_aUrv" localSheetId="23" hidden="1">#REF!</definedName>
    <definedName name="FDP_61_1_aUrv" localSheetId="28" hidden="1">#REF!</definedName>
    <definedName name="FDP_61_1_aUrv" localSheetId="26" hidden="1">#REF!</definedName>
    <definedName name="FDP_61_1_aUrv" localSheetId="27" hidden="1">#REF!</definedName>
    <definedName name="FDP_61_1_aUrv" hidden="1">#REF!</definedName>
    <definedName name="FDP_62_1_aUrv" localSheetId="17" hidden="1">#REF!</definedName>
    <definedName name="FDP_62_1_aUrv" localSheetId="15" hidden="1">#REF!</definedName>
    <definedName name="FDP_62_1_aUrv" localSheetId="12" hidden="1">#REF!</definedName>
    <definedName name="FDP_62_1_aUrv" localSheetId="22" hidden="1">#REF!</definedName>
    <definedName name="FDP_62_1_aUrv" localSheetId="20" hidden="1">#REF!</definedName>
    <definedName name="FDP_62_1_aUrv" localSheetId="21" hidden="1">#REF!</definedName>
    <definedName name="FDP_62_1_aUrv" localSheetId="23" hidden="1">#REF!</definedName>
    <definedName name="FDP_62_1_aUrv" localSheetId="28" hidden="1">#REF!</definedName>
    <definedName name="FDP_62_1_aUrv" localSheetId="26" hidden="1">#REF!</definedName>
    <definedName name="FDP_62_1_aUrv" localSheetId="27" hidden="1">#REF!</definedName>
    <definedName name="FDP_62_1_aUrv" hidden="1">#REF!</definedName>
    <definedName name="FDP_63_1_aUrv" localSheetId="17" hidden="1">#REF!</definedName>
    <definedName name="FDP_63_1_aUrv" localSheetId="15" hidden="1">#REF!</definedName>
    <definedName name="FDP_63_1_aUrv" localSheetId="12" hidden="1">#REF!</definedName>
    <definedName name="FDP_63_1_aUrv" localSheetId="22" hidden="1">#REF!</definedName>
    <definedName name="FDP_63_1_aUrv" localSheetId="20" hidden="1">#REF!</definedName>
    <definedName name="FDP_63_1_aUrv" localSheetId="21" hidden="1">#REF!</definedName>
    <definedName name="FDP_63_1_aUrv" localSheetId="23" hidden="1">#REF!</definedName>
    <definedName name="FDP_63_1_aUrv" localSheetId="28" hidden="1">#REF!</definedName>
    <definedName name="FDP_63_1_aUrv" localSheetId="26" hidden="1">#REF!</definedName>
    <definedName name="FDP_63_1_aUrv" localSheetId="27" hidden="1">#REF!</definedName>
    <definedName name="FDP_63_1_aUrv" hidden="1">#REF!</definedName>
    <definedName name="FDP_64_1_aUrv" localSheetId="17" hidden="1">#REF!</definedName>
    <definedName name="FDP_64_1_aUrv" localSheetId="15" hidden="1">#REF!</definedName>
    <definedName name="FDP_64_1_aUrv" localSheetId="12" hidden="1">#REF!</definedName>
    <definedName name="FDP_64_1_aUrv" localSheetId="22" hidden="1">#REF!</definedName>
    <definedName name="FDP_64_1_aUrv" localSheetId="20" hidden="1">#REF!</definedName>
    <definedName name="FDP_64_1_aUrv" localSheetId="21" hidden="1">#REF!</definedName>
    <definedName name="FDP_64_1_aUrv" localSheetId="23" hidden="1">#REF!</definedName>
    <definedName name="FDP_64_1_aUrv" localSheetId="28" hidden="1">#REF!</definedName>
    <definedName name="FDP_64_1_aUrv" localSheetId="26" hidden="1">#REF!</definedName>
    <definedName name="FDP_64_1_aUrv" localSheetId="27" hidden="1">#REF!</definedName>
    <definedName name="FDP_64_1_aUrv" hidden="1">#REF!</definedName>
    <definedName name="FDP_65_1_aSrv" localSheetId="17" hidden="1">#REF!</definedName>
    <definedName name="FDP_65_1_aSrv" localSheetId="15" hidden="1">#REF!</definedName>
    <definedName name="FDP_65_1_aSrv" localSheetId="12" hidden="1">#REF!</definedName>
    <definedName name="FDP_65_1_aSrv" localSheetId="22" hidden="1">#REF!</definedName>
    <definedName name="FDP_65_1_aSrv" localSheetId="20" hidden="1">#REF!</definedName>
    <definedName name="FDP_65_1_aSrv" localSheetId="21" hidden="1">#REF!</definedName>
    <definedName name="FDP_65_1_aSrv" localSheetId="23" hidden="1">#REF!</definedName>
    <definedName name="FDP_65_1_aSrv" localSheetId="28" hidden="1">#REF!</definedName>
    <definedName name="FDP_65_1_aSrv" localSheetId="26" hidden="1">#REF!</definedName>
    <definedName name="FDP_65_1_aSrv" localSheetId="27" hidden="1">#REF!</definedName>
    <definedName name="FDP_65_1_aSrv" hidden="1">#REF!</definedName>
    <definedName name="FDP_66_1_aSrv" localSheetId="17" hidden="1">#REF!</definedName>
    <definedName name="FDP_66_1_aSrv" localSheetId="15" hidden="1">#REF!</definedName>
    <definedName name="FDP_66_1_aSrv" localSheetId="12" hidden="1">#REF!</definedName>
    <definedName name="FDP_66_1_aSrv" localSheetId="22" hidden="1">#REF!</definedName>
    <definedName name="FDP_66_1_aSrv" localSheetId="20" hidden="1">#REF!</definedName>
    <definedName name="FDP_66_1_aSrv" localSheetId="21" hidden="1">#REF!</definedName>
    <definedName name="FDP_66_1_aSrv" localSheetId="23" hidden="1">#REF!</definedName>
    <definedName name="FDP_66_1_aSrv" localSheetId="28" hidden="1">#REF!</definedName>
    <definedName name="FDP_66_1_aSrv" localSheetId="26" hidden="1">#REF!</definedName>
    <definedName name="FDP_66_1_aSrv" localSheetId="27" hidden="1">#REF!</definedName>
    <definedName name="FDP_66_1_aSrv" hidden="1">#REF!</definedName>
    <definedName name="FDP_67_1_aUrv" localSheetId="17" hidden="1">#REF!</definedName>
    <definedName name="FDP_67_1_aUrv" localSheetId="15" hidden="1">#REF!</definedName>
    <definedName name="FDP_67_1_aUrv" localSheetId="12" hidden="1">#REF!</definedName>
    <definedName name="FDP_67_1_aUrv" localSheetId="22" hidden="1">#REF!</definedName>
    <definedName name="FDP_67_1_aUrv" localSheetId="20" hidden="1">#REF!</definedName>
    <definedName name="FDP_67_1_aUrv" localSheetId="21" hidden="1">#REF!</definedName>
    <definedName name="FDP_67_1_aUrv" localSheetId="23" hidden="1">#REF!</definedName>
    <definedName name="FDP_67_1_aUrv" localSheetId="28" hidden="1">#REF!</definedName>
    <definedName name="FDP_67_1_aUrv" localSheetId="26" hidden="1">#REF!</definedName>
    <definedName name="FDP_67_1_aUrv" localSheetId="27" hidden="1">#REF!</definedName>
    <definedName name="FDP_67_1_aUrv" hidden="1">#REF!</definedName>
    <definedName name="FDP_68_1_aSrv" localSheetId="17" hidden="1">#REF!</definedName>
    <definedName name="FDP_68_1_aSrv" localSheetId="15" hidden="1">#REF!</definedName>
    <definedName name="FDP_68_1_aSrv" localSheetId="12" hidden="1">#REF!</definedName>
    <definedName name="FDP_68_1_aSrv" localSheetId="22" hidden="1">#REF!</definedName>
    <definedName name="FDP_68_1_aSrv" localSheetId="20" hidden="1">#REF!</definedName>
    <definedName name="FDP_68_1_aSrv" localSheetId="21" hidden="1">#REF!</definedName>
    <definedName name="FDP_68_1_aSrv" localSheetId="23" hidden="1">#REF!</definedName>
    <definedName name="FDP_68_1_aSrv" localSheetId="28" hidden="1">#REF!</definedName>
    <definedName name="FDP_68_1_aSrv" localSheetId="26" hidden="1">#REF!</definedName>
    <definedName name="FDP_68_1_aSrv" localSheetId="27" hidden="1">#REF!</definedName>
    <definedName name="FDP_68_1_aSrv" hidden="1">#REF!</definedName>
    <definedName name="FDP_69_1_aSrv" localSheetId="17" hidden="1">#REF!</definedName>
    <definedName name="FDP_69_1_aSrv" localSheetId="15" hidden="1">#REF!</definedName>
    <definedName name="FDP_69_1_aSrv" localSheetId="12" hidden="1">#REF!</definedName>
    <definedName name="FDP_69_1_aSrv" localSheetId="22" hidden="1">#REF!</definedName>
    <definedName name="FDP_69_1_aSrv" localSheetId="20" hidden="1">#REF!</definedName>
    <definedName name="FDP_69_1_aSrv" localSheetId="21" hidden="1">#REF!</definedName>
    <definedName name="FDP_69_1_aSrv" localSheetId="23" hidden="1">#REF!</definedName>
    <definedName name="FDP_69_1_aSrv" localSheetId="28" hidden="1">#REF!</definedName>
    <definedName name="FDP_69_1_aSrv" localSheetId="26" hidden="1">#REF!</definedName>
    <definedName name="FDP_69_1_aSrv" localSheetId="27" hidden="1">#REF!</definedName>
    <definedName name="FDP_69_1_aSrv" hidden="1">#REF!</definedName>
    <definedName name="FDP_7_1_aSrv" localSheetId="17" hidden="1">#REF!</definedName>
    <definedName name="FDP_7_1_aSrv" localSheetId="15" hidden="1">#REF!</definedName>
    <definedName name="FDP_7_1_aSrv" localSheetId="12" hidden="1">#REF!</definedName>
    <definedName name="FDP_7_1_aSrv" localSheetId="22" hidden="1">#REF!</definedName>
    <definedName name="FDP_7_1_aSrv" localSheetId="20" hidden="1">#REF!</definedName>
    <definedName name="FDP_7_1_aSrv" localSheetId="21" hidden="1">#REF!</definedName>
    <definedName name="FDP_7_1_aSrv" localSheetId="23" hidden="1">#REF!</definedName>
    <definedName name="FDP_7_1_aSrv" localSheetId="28" hidden="1">#REF!</definedName>
    <definedName name="FDP_7_1_aSrv" localSheetId="26" hidden="1">#REF!</definedName>
    <definedName name="FDP_7_1_aSrv" localSheetId="27" hidden="1">#REF!</definedName>
    <definedName name="FDP_7_1_aSrv" hidden="1">#REF!</definedName>
    <definedName name="FDP_70_1_aUrv" localSheetId="17" hidden="1">#REF!</definedName>
    <definedName name="FDP_70_1_aUrv" localSheetId="15" hidden="1">#REF!</definedName>
    <definedName name="FDP_70_1_aUrv" localSheetId="12" hidden="1">#REF!</definedName>
    <definedName name="FDP_70_1_aUrv" localSheetId="22" hidden="1">#REF!</definedName>
    <definedName name="FDP_70_1_aUrv" localSheetId="20" hidden="1">#REF!</definedName>
    <definedName name="FDP_70_1_aUrv" localSheetId="21" hidden="1">#REF!</definedName>
    <definedName name="FDP_70_1_aUrv" localSheetId="23" hidden="1">#REF!</definedName>
    <definedName name="FDP_70_1_aUrv" localSheetId="28" hidden="1">#REF!</definedName>
    <definedName name="FDP_70_1_aUrv" localSheetId="26" hidden="1">#REF!</definedName>
    <definedName name="FDP_70_1_aUrv" localSheetId="27" hidden="1">#REF!</definedName>
    <definedName name="FDP_70_1_aUrv" hidden="1">#REF!</definedName>
    <definedName name="FDP_71_1_aUrv" localSheetId="17" hidden="1">#REF!</definedName>
    <definedName name="FDP_71_1_aUrv" localSheetId="15" hidden="1">#REF!</definedName>
    <definedName name="FDP_71_1_aUrv" localSheetId="12" hidden="1">#REF!</definedName>
    <definedName name="FDP_71_1_aUrv" localSheetId="22" hidden="1">#REF!</definedName>
    <definedName name="FDP_71_1_aUrv" localSheetId="20" hidden="1">#REF!</definedName>
    <definedName name="FDP_71_1_aUrv" localSheetId="21" hidden="1">#REF!</definedName>
    <definedName name="FDP_71_1_aUrv" localSheetId="23" hidden="1">#REF!</definedName>
    <definedName name="FDP_71_1_aUrv" localSheetId="28" hidden="1">#REF!</definedName>
    <definedName name="FDP_71_1_aUrv" localSheetId="26" hidden="1">#REF!</definedName>
    <definedName name="FDP_71_1_aUrv" localSheetId="27" hidden="1">#REF!</definedName>
    <definedName name="FDP_71_1_aUrv" hidden="1">#REF!</definedName>
    <definedName name="FDP_72_1_aUrv" localSheetId="17" hidden="1">#REF!</definedName>
    <definedName name="FDP_72_1_aUrv" localSheetId="15" hidden="1">#REF!</definedName>
    <definedName name="FDP_72_1_aUrv" localSheetId="12" hidden="1">#REF!</definedName>
    <definedName name="FDP_72_1_aUrv" localSheetId="22" hidden="1">#REF!</definedName>
    <definedName name="FDP_72_1_aUrv" localSheetId="20" hidden="1">#REF!</definedName>
    <definedName name="FDP_72_1_aUrv" localSheetId="21" hidden="1">#REF!</definedName>
    <definedName name="FDP_72_1_aUrv" localSheetId="23" hidden="1">#REF!</definedName>
    <definedName name="FDP_72_1_aUrv" localSheetId="28" hidden="1">#REF!</definedName>
    <definedName name="FDP_72_1_aUrv" localSheetId="26" hidden="1">#REF!</definedName>
    <definedName name="FDP_72_1_aUrv" localSheetId="27" hidden="1">#REF!</definedName>
    <definedName name="FDP_72_1_aUrv" hidden="1">#REF!</definedName>
    <definedName name="FDP_73_1_aSrv" localSheetId="17" hidden="1">#REF!</definedName>
    <definedName name="FDP_73_1_aSrv" localSheetId="15" hidden="1">#REF!</definedName>
    <definedName name="FDP_73_1_aSrv" localSheetId="12" hidden="1">#REF!</definedName>
    <definedName name="FDP_73_1_aSrv" localSheetId="22" hidden="1">#REF!</definedName>
    <definedName name="FDP_73_1_aSrv" localSheetId="20" hidden="1">#REF!</definedName>
    <definedName name="FDP_73_1_aSrv" localSheetId="21" hidden="1">#REF!</definedName>
    <definedName name="FDP_73_1_aSrv" localSheetId="23" hidden="1">#REF!</definedName>
    <definedName name="FDP_73_1_aSrv" localSheetId="28" hidden="1">#REF!</definedName>
    <definedName name="FDP_73_1_aSrv" localSheetId="26" hidden="1">#REF!</definedName>
    <definedName name="FDP_73_1_aSrv" localSheetId="27" hidden="1">#REF!</definedName>
    <definedName name="FDP_73_1_aSrv" hidden="1">#REF!</definedName>
    <definedName name="FDP_74_1_aDrv" localSheetId="17" hidden="1">#REF!</definedName>
    <definedName name="FDP_74_1_aDrv" localSheetId="15" hidden="1">#REF!</definedName>
    <definedName name="FDP_74_1_aDrv" localSheetId="12" hidden="1">#REF!</definedName>
    <definedName name="FDP_74_1_aDrv" localSheetId="22" hidden="1">#REF!</definedName>
    <definedName name="FDP_74_1_aDrv" localSheetId="20" hidden="1">#REF!</definedName>
    <definedName name="FDP_74_1_aDrv" localSheetId="21" hidden="1">#REF!</definedName>
    <definedName name="FDP_74_1_aDrv" localSheetId="23" hidden="1">#REF!</definedName>
    <definedName name="FDP_74_1_aDrv" localSheetId="28" hidden="1">#REF!</definedName>
    <definedName name="FDP_74_1_aDrv" localSheetId="26" hidden="1">#REF!</definedName>
    <definedName name="FDP_74_1_aDrv" localSheetId="27" hidden="1">#REF!</definedName>
    <definedName name="FDP_74_1_aDrv" hidden="1">#REF!</definedName>
    <definedName name="FDP_75_1_aUrv" localSheetId="17" hidden="1">#REF!</definedName>
    <definedName name="FDP_75_1_aUrv" localSheetId="15" hidden="1">#REF!</definedName>
    <definedName name="FDP_75_1_aUrv" localSheetId="12" hidden="1">#REF!</definedName>
    <definedName name="FDP_75_1_aUrv" localSheetId="22" hidden="1">#REF!</definedName>
    <definedName name="FDP_75_1_aUrv" localSheetId="20" hidden="1">#REF!</definedName>
    <definedName name="FDP_75_1_aUrv" localSheetId="21" hidden="1">#REF!</definedName>
    <definedName name="FDP_75_1_aUrv" localSheetId="23" hidden="1">#REF!</definedName>
    <definedName name="FDP_75_1_aUrv" localSheetId="28" hidden="1">#REF!</definedName>
    <definedName name="FDP_75_1_aUrv" localSheetId="26" hidden="1">#REF!</definedName>
    <definedName name="FDP_75_1_aUrv" localSheetId="27" hidden="1">#REF!</definedName>
    <definedName name="FDP_75_1_aUrv" hidden="1">#REF!</definedName>
    <definedName name="FDP_76_1_aDrv" localSheetId="17" hidden="1">#REF!</definedName>
    <definedName name="FDP_76_1_aDrv" localSheetId="15" hidden="1">#REF!</definedName>
    <definedName name="FDP_76_1_aDrv" localSheetId="12" hidden="1">#REF!</definedName>
    <definedName name="FDP_76_1_aDrv" localSheetId="22" hidden="1">#REF!</definedName>
    <definedName name="FDP_76_1_aDrv" localSheetId="20" hidden="1">#REF!</definedName>
    <definedName name="FDP_76_1_aDrv" localSheetId="21" hidden="1">#REF!</definedName>
    <definedName name="FDP_76_1_aDrv" localSheetId="23" hidden="1">#REF!</definedName>
    <definedName name="FDP_76_1_aDrv" localSheetId="28" hidden="1">#REF!</definedName>
    <definedName name="FDP_76_1_aDrv" localSheetId="26" hidden="1">#REF!</definedName>
    <definedName name="FDP_76_1_aDrv" localSheetId="27" hidden="1">#REF!</definedName>
    <definedName name="FDP_76_1_aDrv" hidden="1">#REF!</definedName>
    <definedName name="FDP_77_1_aUrv" localSheetId="17" hidden="1">#REF!</definedName>
    <definedName name="FDP_77_1_aUrv" localSheetId="15" hidden="1">#REF!</definedName>
    <definedName name="FDP_77_1_aUrv" localSheetId="12" hidden="1">#REF!</definedName>
    <definedName name="FDP_77_1_aUrv" localSheetId="22" hidden="1">#REF!</definedName>
    <definedName name="FDP_77_1_aUrv" localSheetId="20" hidden="1">#REF!</definedName>
    <definedName name="FDP_77_1_aUrv" localSheetId="21" hidden="1">#REF!</definedName>
    <definedName name="FDP_77_1_aUrv" localSheetId="23" hidden="1">#REF!</definedName>
    <definedName name="FDP_77_1_aUrv" localSheetId="28" hidden="1">#REF!</definedName>
    <definedName name="FDP_77_1_aUrv" localSheetId="26" hidden="1">#REF!</definedName>
    <definedName name="FDP_77_1_aUrv" localSheetId="27" hidden="1">#REF!</definedName>
    <definedName name="FDP_77_1_aUrv" hidden="1">#REF!</definedName>
    <definedName name="FDP_78_1_aSrv" localSheetId="17" hidden="1">#REF!</definedName>
    <definedName name="FDP_78_1_aSrv" localSheetId="15" hidden="1">#REF!</definedName>
    <definedName name="FDP_78_1_aSrv" localSheetId="12" hidden="1">#REF!</definedName>
    <definedName name="FDP_78_1_aSrv" localSheetId="22" hidden="1">#REF!</definedName>
    <definedName name="FDP_78_1_aSrv" localSheetId="20" hidden="1">#REF!</definedName>
    <definedName name="FDP_78_1_aSrv" localSheetId="21" hidden="1">#REF!</definedName>
    <definedName name="FDP_78_1_aSrv" localSheetId="23" hidden="1">#REF!</definedName>
    <definedName name="FDP_78_1_aSrv" localSheetId="28" hidden="1">#REF!</definedName>
    <definedName name="FDP_78_1_aSrv" localSheetId="26" hidden="1">#REF!</definedName>
    <definedName name="FDP_78_1_aSrv" localSheetId="27" hidden="1">#REF!</definedName>
    <definedName name="FDP_78_1_aSrv" hidden="1">#REF!</definedName>
    <definedName name="FDP_79_1_aUrv" localSheetId="17" hidden="1">#REF!</definedName>
    <definedName name="FDP_79_1_aUrv" localSheetId="15" hidden="1">#REF!</definedName>
    <definedName name="FDP_79_1_aUrv" localSheetId="12" hidden="1">#REF!</definedName>
    <definedName name="FDP_79_1_aUrv" localSheetId="22" hidden="1">#REF!</definedName>
    <definedName name="FDP_79_1_aUrv" localSheetId="20" hidden="1">#REF!</definedName>
    <definedName name="FDP_79_1_aUrv" localSheetId="21" hidden="1">#REF!</definedName>
    <definedName name="FDP_79_1_aUrv" localSheetId="23" hidden="1">#REF!</definedName>
    <definedName name="FDP_79_1_aUrv" localSheetId="28" hidden="1">#REF!</definedName>
    <definedName name="FDP_79_1_aUrv" localSheetId="26" hidden="1">#REF!</definedName>
    <definedName name="FDP_79_1_aUrv" localSheetId="27" hidden="1">#REF!</definedName>
    <definedName name="FDP_79_1_aUrv" hidden="1">#REF!</definedName>
    <definedName name="FDP_8_1_aUrv" localSheetId="17" hidden="1">#REF!</definedName>
    <definedName name="FDP_8_1_aUrv" localSheetId="15" hidden="1">#REF!</definedName>
    <definedName name="FDP_8_1_aUrv" localSheetId="12" hidden="1">#REF!</definedName>
    <definedName name="FDP_8_1_aUrv" localSheetId="22" hidden="1">#REF!</definedName>
    <definedName name="FDP_8_1_aUrv" localSheetId="20" hidden="1">#REF!</definedName>
    <definedName name="FDP_8_1_aUrv" localSheetId="21" hidden="1">#REF!</definedName>
    <definedName name="FDP_8_1_aUrv" localSheetId="23" hidden="1">#REF!</definedName>
    <definedName name="FDP_8_1_aUrv" localSheetId="28" hidden="1">#REF!</definedName>
    <definedName name="FDP_8_1_aUrv" localSheetId="26" hidden="1">#REF!</definedName>
    <definedName name="FDP_8_1_aUrv" localSheetId="27" hidden="1">#REF!</definedName>
    <definedName name="FDP_8_1_aUrv" hidden="1">#REF!</definedName>
    <definedName name="FDP_80_1_aSrv" localSheetId="17" hidden="1">#REF!</definedName>
    <definedName name="FDP_80_1_aSrv" localSheetId="15" hidden="1">#REF!</definedName>
    <definedName name="FDP_80_1_aSrv" localSheetId="12" hidden="1">#REF!</definedName>
    <definedName name="FDP_80_1_aSrv" localSheetId="22" hidden="1">#REF!</definedName>
    <definedName name="FDP_80_1_aSrv" localSheetId="20" hidden="1">#REF!</definedName>
    <definedName name="FDP_80_1_aSrv" localSheetId="21" hidden="1">#REF!</definedName>
    <definedName name="FDP_80_1_aSrv" localSheetId="23" hidden="1">#REF!</definedName>
    <definedName name="FDP_80_1_aSrv" localSheetId="28" hidden="1">#REF!</definedName>
    <definedName name="FDP_80_1_aSrv" localSheetId="26" hidden="1">#REF!</definedName>
    <definedName name="FDP_80_1_aSrv" localSheetId="27" hidden="1">#REF!</definedName>
    <definedName name="FDP_80_1_aSrv" hidden="1">#REF!</definedName>
    <definedName name="FDP_81_1_aUrv" localSheetId="17" hidden="1">#REF!</definedName>
    <definedName name="FDP_81_1_aUrv" localSheetId="15" hidden="1">#REF!</definedName>
    <definedName name="FDP_81_1_aUrv" localSheetId="12" hidden="1">#REF!</definedName>
    <definedName name="FDP_81_1_aUrv" localSheetId="22" hidden="1">#REF!</definedName>
    <definedName name="FDP_81_1_aUrv" localSheetId="20" hidden="1">#REF!</definedName>
    <definedName name="FDP_81_1_aUrv" localSheetId="21" hidden="1">#REF!</definedName>
    <definedName name="FDP_81_1_aUrv" localSheetId="23" hidden="1">#REF!</definedName>
    <definedName name="FDP_81_1_aUrv" localSheetId="28" hidden="1">#REF!</definedName>
    <definedName name="FDP_81_1_aUrv" localSheetId="26" hidden="1">#REF!</definedName>
    <definedName name="FDP_81_1_aUrv" localSheetId="27" hidden="1">#REF!</definedName>
    <definedName name="FDP_81_1_aUrv" hidden="1">#REF!</definedName>
    <definedName name="FDP_82_1_aUrv" localSheetId="17" hidden="1">#REF!</definedName>
    <definedName name="FDP_82_1_aUrv" localSheetId="15" hidden="1">#REF!</definedName>
    <definedName name="FDP_82_1_aUrv" localSheetId="12" hidden="1">#REF!</definedName>
    <definedName name="FDP_82_1_aUrv" localSheetId="22" hidden="1">#REF!</definedName>
    <definedName name="FDP_82_1_aUrv" localSheetId="20" hidden="1">#REF!</definedName>
    <definedName name="FDP_82_1_aUrv" localSheetId="21" hidden="1">#REF!</definedName>
    <definedName name="FDP_82_1_aUrv" localSheetId="23" hidden="1">#REF!</definedName>
    <definedName name="FDP_82_1_aUrv" localSheetId="28" hidden="1">#REF!</definedName>
    <definedName name="FDP_82_1_aUrv" localSheetId="26" hidden="1">#REF!</definedName>
    <definedName name="FDP_82_1_aUrv" localSheetId="27" hidden="1">#REF!</definedName>
    <definedName name="FDP_82_1_aUrv" hidden="1">#REF!</definedName>
    <definedName name="FDP_83_1_aUrv" localSheetId="17" hidden="1">#REF!</definedName>
    <definedName name="FDP_83_1_aUrv" localSheetId="15" hidden="1">#REF!</definedName>
    <definedName name="FDP_83_1_aUrv" localSheetId="12" hidden="1">#REF!</definedName>
    <definedName name="FDP_83_1_aUrv" localSheetId="22" hidden="1">#REF!</definedName>
    <definedName name="FDP_83_1_aUrv" localSheetId="20" hidden="1">#REF!</definedName>
    <definedName name="FDP_83_1_aUrv" localSheetId="21" hidden="1">#REF!</definedName>
    <definedName name="FDP_83_1_aUrv" localSheetId="23" hidden="1">#REF!</definedName>
    <definedName name="FDP_83_1_aUrv" localSheetId="28" hidden="1">#REF!</definedName>
    <definedName name="FDP_83_1_aUrv" localSheetId="26" hidden="1">#REF!</definedName>
    <definedName name="FDP_83_1_aUrv" localSheetId="27" hidden="1">#REF!</definedName>
    <definedName name="FDP_83_1_aUrv" hidden="1">#REF!</definedName>
    <definedName name="FDP_84_1_aUrv" localSheetId="17" hidden="1">#REF!</definedName>
    <definedName name="FDP_84_1_aUrv" localSheetId="15" hidden="1">#REF!</definedName>
    <definedName name="FDP_84_1_aUrv" localSheetId="12" hidden="1">#REF!</definedName>
    <definedName name="FDP_84_1_aUrv" localSheetId="22" hidden="1">#REF!</definedName>
    <definedName name="FDP_84_1_aUrv" localSheetId="20" hidden="1">#REF!</definedName>
    <definedName name="FDP_84_1_aUrv" localSheetId="21" hidden="1">#REF!</definedName>
    <definedName name="FDP_84_1_aUrv" localSheetId="23" hidden="1">#REF!</definedName>
    <definedName name="FDP_84_1_aUrv" localSheetId="28" hidden="1">#REF!</definedName>
    <definedName name="FDP_84_1_aUrv" localSheetId="26" hidden="1">#REF!</definedName>
    <definedName name="FDP_84_1_aUrv" localSheetId="27" hidden="1">#REF!</definedName>
    <definedName name="FDP_84_1_aUrv" hidden="1">#REF!</definedName>
    <definedName name="FDP_85_1_aUrv" localSheetId="17" hidden="1">#REF!</definedName>
    <definedName name="FDP_85_1_aUrv" localSheetId="15" hidden="1">#REF!</definedName>
    <definedName name="FDP_85_1_aUrv" localSheetId="12" hidden="1">#REF!</definedName>
    <definedName name="FDP_85_1_aUrv" localSheetId="22" hidden="1">#REF!</definedName>
    <definedName name="FDP_85_1_aUrv" localSheetId="20" hidden="1">#REF!</definedName>
    <definedName name="FDP_85_1_aUrv" localSheetId="21" hidden="1">#REF!</definedName>
    <definedName name="FDP_85_1_aUrv" localSheetId="23" hidden="1">#REF!</definedName>
    <definedName name="FDP_85_1_aUrv" localSheetId="28" hidden="1">#REF!</definedName>
    <definedName name="FDP_85_1_aUrv" localSheetId="26" hidden="1">#REF!</definedName>
    <definedName name="FDP_85_1_aUrv" localSheetId="27" hidden="1">#REF!</definedName>
    <definedName name="FDP_85_1_aUrv" hidden="1">#REF!</definedName>
    <definedName name="FDP_86_1_aSrv" localSheetId="17" hidden="1">#REF!</definedName>
    <definedName name="FDP_86_1_aSrv" localSheetId="15" hidden="1">#REF!</definedName>
    <definedName name="FDP_86_1_aSrv" localSheetId="12" hidden="1">#REF!</definedName>
    <definedName name="FDP_86_1_aSrv" localSheetId="22" hidden="1">#REF!</definedName>
    <definedName name="FDP_86_1_aSrv" localSheetId="20" hidden="1">#REF!</definedName>
    <definedName name="FDP_86_1_aSrv" localSheetId="21" hidden="1">#REF!</definedName>
    <definedName name="FDP_86_1_aSrv" localSheetId="23" hidden="1">#REF!</definedName>
    <definedName name="FDP_86_1_aSrv" localSheetId="28" hidden="1">#REF!</definedName>
    <definedName name="FDP_86_1_aSrv" localSheetId="26" hidden="1">#REF!</definedName>
    <definedName name="FDP_86_1_aSrv" localSheetId="27" hidden="1">#REF!</definedName>
    <definedName name="FDP_86_1_aSrv" hidden="1">#REF!</definedName>
    <definedName name="FDP_87_1_aUrv" localSheetId="17" hidden="1">#REF!</definedName>
    <definedName name="FDP_87_1_aUrv" localSheetId="15" hidden="1">#REF!</definedName>
    <definedName name="FDP_87_1_aUrv" localSheetId="12" hidden="1">#REF!</definedName>
    <definedName name="FDP_87_1_aUrv" localSheetId="22" hidden="1">#REF!</definedName>
    <definedName name="FDP_87_1_aUrv" localSheetId="20" hidden="1">#REF!</definedName>
    <definedName name="FDP_87_1_aUrv" localSheetId="21" hidden="1">#REF!</definedName>
    <definedName name="FDP_87_1_aUrv" localSheetId="23" hidden="1">#REF!</definedName>
    <definedName name="FDP_87_1_aUrv" localSheetId="28" hidden="1">#REF!</definedName>
    <definedName name="FDP_87_1_aUrv" localSheetId="26" hidden="1">#REF!</definedName>
    <definedName name="FDP_87_1_aUrv" localSheetId="27" hidden="1">#REF!</definedName>
    <definedName name="FDP_87_1_aUrv" hidden="1">#REF!</definedName>
    <definedName name="FDP_88_1_aSrv" localSheetId="17" hidden="1">#REF!</definedName>
    <definedName name="FDP_88_1_aSrv" localSheetId="15" hidden="1">#REF!</definedName>
    <definedName name="FDP_88_1_aSrv" localSheetId="12" hidden="1">#REF!</definedName>
    <definedName name="FDP_88_1_aSrv" localSheetId="22" hidden="1">#REF!</definedName>
    <definedName name="FDP_88_1_aSrv" localSheetId="20" hidden="1">#REF!</definedName>
    <definedName name="FDP_88_1_aSrv" localSheetId="21" hidden="1">#REF!</definedName>
    <definedName name="FDP_88_1_aSrv" localSheetId="23" hidden="1">#REF!</definedName>
    <definedName name="FDP_88_1_aSrv" localSheetId="28" hidden="1">#REF!</definedName>
    <definedName name="FDP_88_1_aSrv" localSheetId="26" hidden="1">#REF!</definedName>
    <definedName name="FDP_88_1_aSrv" localSheetId="27" hidden="1">#REF!</definedName>
    <definedName name="FDP_88_1_aSrv" hidden="1">#REF!</definedName>
    <definedName name="FDP_89_1_aUrv" localSheetId="17" hidden="1">#REF!</definedName>
    <definedName name="FDP_89_1_aUrv" localSheetId="15" hidden="1">#REF!</definedName>
    <definedName name="FDP_89_1_aUrv" localSheetId="12" hidden="1">#REF!</definedName>
    <definedName name="FDP_89_1_aUrv" localSheetId="22" hidden="1">#REF!</definedName>
    <definedName name="FDP_89_1_aUrv" localSheetId="20" hidden="1">#REF!</definedName>
    <definedName name="FDP_89_1_aUrv" localSheetId="21" hidden="1">#REF!</definedName>
    <definedName name="FDP_89_1_aUrv" localSheetId="23" hidden="1">#REF!</definedName>
    <definedName name="FDP_89_1_aUrv" localSheetId="28" hidden="1">#REF!</definedName>
    <definedName name="FDP_89_1_aUrv" localSheetId="26" hidden="1">#REF!</definedName>
    <definedName name="FDP_89_1_aUrv" localSheetId="27" hidden="1">#REF!</definedName>
    <definedName name="FDP_89_1_aUrv" hidden="1">#REF!</definedName>
    <definedName name="FDP_9_1_aSrv" localSheetId="17" hidden="1">#REF!</definedName>
    <definedName name="FDP_9_1_aSrv" localSheetId="15" hidden="1">#REF!</definedName>
    <definedName name="FDP_9_1_aSrv" localSheetId="12" hidden="1">#REF!</definedName>
    <definedName name="FDP_9_1_aSrv" localSheetId="22" hidden="1">#REF!</definedName>
    <definedName name="FDP_9_1_aSrv" localSheetId="20" hidden="1">#REF!</definedName>
    <definedName name="FDP_9_1_aSrv" localSheetId="21" hidden="1">#REF!</definedName>
    <definedName name="FDP_9_1_aSrv" localSheetId="23" hidden="1">#REF!</definedName>
    <definedName name="FDP_9_1_aSrv" localSheetId="28" hidden="1">#REF!</definedName>
    <definedName name="FDP_9_1_aSrv" localSheetId="26" hidden="1">#REF!</definedName>
    <definedName name="FDP_9_1_aSrv" localSheetId="27" hidden="1">#REF!</definedName>
    <definedName name="FDP_9_1_aSrv" hidden="1">#REF!</definedName>
    <definedName name="FDP_90_1_aUrv" localSheetId="17" hidden="1">#REF!</definedName>
    <definedName name="FDP_90_1_aUrv" localSheetId="15" hidden="1">#REF!</definedName>
    <definedName name="FDP_90_1_aUrv" localSheetId="12" hidden="1">#REF!</definedName>
    <definedName name="FDP_90_1_aUrv" localSheetId="22" hidden="1">#REF!</definedName>
    <definedName name="FDP_90_1_aUrv" localSheetId="20" hidden="1">#REF!</definedName>
    <definedName name="FDP_90_1_aUrv" localSheetId="21" hidden="1">#REF!</definedName>
    <definedName name="FDP_90_1_aUrv" localSheetId="23" hidden="1">#REF!</definedName>
    <definedName name="FDP_90_1_aUrv" localSheetId="28" hidden="1">#REF!</definedName>
    <definedName name="FDP_90_1_aUrv" localSheetId="26" hidden="1">#REF!</definedName>
    <definedName name="FDP_90_1_aUrv" localSheetId="27" hidden="1">#REF!</definedName>
    <definedName name="FDP_90_1_aUrv" hidden="1">#REF!</definedName>
    <definedName name="FDP_91_1_aUrv" localSheetId="17" hidden="1">#REF!</definedName>
    <definedName name="FDP_91_1_aUrv" localSheetId="15" hidden="1">#REF!</definedName>
    <definedName name="FDP_91_1_aUrv" localSheetId="12" hidden="1">#REF!</definedName>
    <definedName name="FDP_91_1_aUrv" localSheetId="22" hidden="1">#REF!</definedName>
    <definedName name="FDP_91_1_aUrv" localSheetId="20" hidden="1">#REF!</definedName>
    <definedName name="FDP_91_1_aUrv" localSheetId="21" hidden="1">#REF!</definedName>
    <definedName name="FDP_91_1_aUrv" localSheetId="23" hidden="1">#REF!</definedName>
    <definedName name="FDP_91_1_aUrv" localSheetId="28" hidden="1">#REF!</definedName>
    <definedName name="FDP_91_1_aUrv" localSheetId="26" hidden="1">#REF!</definedName>
    <definedName name="FDP_91_1_aUrv" localSheetId="27" hidden="1">#REF!</definedName>
    <definedName name="FDP_91_1_aUrv" hidden="1">#REF!</definedName>
    <definedName name="FDP_92_1_aSrv" localSheetId="17" hidden="1">#REF!</definedName>
    <definedName name="FDP_92_1_aSrv" localSheetId="15" hidden="1">#REF!</definedName>
    <definedName name="FDP_92_1_aSrv" localSheetId="12" hidden="1">#REF!</definedName>
    <definedName name="FDP_92_1_aSrv" localSheetId="22" hidden="1">#REF!</definedName>
    <definedName name="FDP_92_1_aSrv" localSheetId="20" hidden="1">#REF!</definedName>
    <definedName name="FDP_92_1_aSrv" localSheetId="21" hidden="1">#REF!</definedName>
    <definedName name="FDP_92_1_aSrv" localSheetId="23" hidden="1">#REF!</definedName>
    <definedName name="FDP_92_1_aSrv" localSheetId="28" hidden="1">#REF!</definedName>
    <definedName name="FDP_92_1_aSrv" localSheetId="26" hidden="1">#REF!</definedName>
    <definedName name="FDP_92_1_aSrv" localSheetId="27" hidden="1">#REF!</definedName>
    <definedName name="FDP_92_1_aSrv" hidden="1">#REF!</definedName>
    <definedName name="FDP_93_1_aUrv" localSheetId="17" hidden="1">#REF!</definedName>
    <definedName name="FDP_93_1_aUrv" localSheetId="15" hidden="1">#REF!</definedName>
    <definedName name="FDP_93_1_aUrv" localSheetId="12" hidden="1">#REF!</definedName>
    <definedName name="FDP_93_1_aUrv" localSheetId="22" hidden="1">#REF!</definedName>
    <definedName name="FDP_93_1_aUrv" localSheetId="20" hidden="1">#REF!</definedName>
    <definedName name="FDP_93_1_aUrv" localSheetId="21" hidden="1">#REF!</definedName>
    <definedName name="FDP_93_1_aUrv" localSheetId="23" hidden="1">#REF!</definedName>
    <definedName name="FDP_93_1_aUrv" localSheetId="28" hidden="1">#REF!</definedName>
    <definedName name="FDP_93_1_aUrv" localSheetId="26" hidden="1">#REF!</definedName>
    <definedName name="FDP_93_1_aUrv" localSheetId="27" hidden="1">#REF!</definedName>
    <definedName name="FDP_93_1_aUrv" hidden="1">#REF!</definedName>
    <definedName name="FDP_94_1_aSrv" localSheetId="17" hidden="1">#REF!</definedName>
    <definedName name="FDP_94_1_aSrv" localSheetId="15" hidden="1">#REF!</definedName>
    <definedName name="FDP_94_1_aSrv" localSheetId="12" hidden="1">#REF!</definedName>
    <definedName name="FDP_94_1_aSrv" localSheetId="22" hidden="1">#REF!</definedName>
    <definedName name="FDP_94_1_aSrv" localSheetId="20" hidden="1">#REF!</definedName>
    <definedName name="FDP_94_1_aSrv" localSheetId="21" hidden="1">#REF!</definedName>
    <definedName name="FDP_94_1_aSrv" localSheetId="23" hidden="1">#REF!</definedName>
    <definedName name="FDP_94_1_aSrv" localSheetId="28" hidden="1">#REF!</definedName>
    <definedName name="FDP_94_1_aSrv" localSheetId="26" hidden="1">#REF!</definedName>
    <definedName name="FDP_94_1_aSrv" localSheetId="27" hidden="1">#REF!</definedName>
    <definedName name="FDP_94_1_aSrv" hidden="1">#REF!</definedName>
    <definedName name="FDP_95_1_aUrv" localSheetId="17" hidden="1">#REF!</definedName>
    <definedName name="FDP_95_1_aUrv" localSheetId="15" hidden="1">#REF!</definedName>
    <definedName name="FDP_95_1_aUrv" localSheetId="12" hidden="1">#REF!</definedName>
    <definedName name="FDP_95_1_aUrv" localSheetId="22" hidden="1">#REF!</definedName>
    <definedName name="FDP_95_1_aUrv" localSheetId="20" hidden="1">#REF!</definedName>
    <definedName name="FDP_95_1_aUrv" localSheetId="21" hidden="1">#REF!</definedName>
    <definedName name="FDP_95_1_aUrv" localSheetId="23" hidden="1">#REF!</definedName>
    <definedName name="FDP_95_1_aUrv" localSheetId="28" hidden="1">#REF!</definedName>
    <definedName name="FDP_95_1_aUrv" localSheetId="26" hidden="1">#REF!</definedName>
    <definedName name="FDP_95_1_aUrv" localSheetId="27" hidden="1">#REF!</definedName>
    <definedName name="FDP_95_1_aUrv" hidden="1">#REF!</definedName>
    <definedName name="FDP_96_1_aUrv" localSheetId="17" hidden="1">#REF!</definedName>
    <definedName name="FDP_96_1_aUrv" localSheetId="15" hidden="1">#REF!</definedName>
    <definedName name="FDP_96_1_aUrv" localSheetId="12" hidden="1">#REF!</definedName>
    <definedName name="FDP_96_1_aUrv" localSheetId="22" hidden="1">#REF!</definedName>
    <definedName name="FDP_96_1_aUrv" localSheetId="20" hidden="1">#REF!</definedName>
    <definedName name="FDP_96_1_aUrv" localSheetId="21" hidden="1">#REF!</definedName>
    <definedName name="FDP_96_1_aUrv" localSheetId="23" hidden="1">#REF!</definedName>
    <definedName name="FDP_96_1_aUrv" localSheetId="28" hidden="1">#REF!</definedName>
    <definedName name="FDP_96_1_aUrv" localSheetId="26" hidden="1">#REF!</definedName>
    <definedName name="FDP_96_1_aUrv" localSheetId="27" hidden="1">#REF!</definedName>
    <definedName name="FDP_96_1_aUrv" hidden="1">#REF!</definedName>
    <definedName name="FDP_97_1_aSrv" localSheetId="17" hidden="1">#REF!</definedName>
    <definedName name="FDP_97_1_aSrv" localSheetId="15" hidden="1">#REF!</definedName>
    <definedName name="FDP_97_1_aSrv" localSheetId="12" hidden="1">#REF!</definedName>
    <definedName name="FDP_97_1_aSrv" localSheetId="22" hidden="1">#REF!</definedName>
    <definedName name="FDP_97_1_aSrv" localSheetId="20" hidden="1">#REF!</definedName>
    <definedName name="FDP_97_1_aSrv" localSheetId="21" hidden="1">#REF!</definedName>
    <definedName name="FDP_97_1_aSrv" localSheetId="23" hidden="1">#REF!</definedName>
    <definedName name="FDP_97_1_aSrv" localSheetId="28" hidden="1">#REF!</definedName>
    <definedName name="FDP_97_1_aSrv" localSheetId="26" hidden="1">#REF!</definedName>
    <definedName name="FDP_97_1_aSrv" localSheetId="27" hidden="1">#REF!</definedName>
    <definedName name="FDP_97_1_aSrv" hidden="1">#REF!</definedName>
    <definedName name="FDP_98_1_aDrv" localSheetId="17" hidden="1">#REF!</definedName>
    <definedName name="FDP_98_1_aDrv" localSheetId="15" hidden="1">#REF!</definedName>
    <definedName name="FDP_98_1_aDrv" localSheetId="12" hidden="1">#REF!</definedName>
    <definedName name="FDP_98_1_aDrv" localSheetId="22" hidden="1">#REF!</definedName>
    <definedName name="FDP_98_1_aDrv" localSheetId="20" hidden="1">#REF!</definedName>
    <definedName name="FDP_98_1_aDrv" localSheetId="21" hidden="1">#REF!</definedName>
    <definedName name="FDP_98_1_aDrv" localSheetId="23" hidden="1">#REF!</definedName>
    <definedName name="FDP_98_1_aDrv" localSheetId="28" hidden="1">#REF!</definedName>
    <definedName name="FDP_98_1_aDrv" localSheetId="26" hidden="1">#REF!</definedName>
    <definedName name="FDP_98_1_aDrv" localSheetId="27" hidden="1">#REF!</definedName>
    <definedName name="FDP_98_1_aDrv" hidden="1">#REF!</definedName>
    <definedName name="FDP_99_1_aUrv" localSheetId="17" hidden="1">#REF!</definedName>
    <definedName name="FDP_99_1_aUrv" localSheetId="15" hidden="1">#REF!</definedName>
    <definedName name="FDP_99_1_aUrv" localSheetId="12" hidden="1">#REF!</definedName>
    <definedName name="FDP_99_1_aUrv" localSheetId="22" hidden="1">#REF!</definedName>
    <definedName name="FDP_99_1_aUrv" localSheetId="20" hidden="1">#REF!</definedName>
    <definedName name="FDP_99_1_aUrv" localSheetId="21" hidden="1">#REF!</definedName>
    <definedName name="FDP_99_1_aUrv" localSheetId="23" hidden="1">#REF!</definedName>
    <definedName name="FDP_99_1_aUrv" localSheetId="28" hidden="1">#REF!</definedName>
    <definedName name="FDP_99_1_aUrv" localSheetId="26" hidden="1">#REF!</definedName>
    <definedName name="FDP_99_1_aUrv" localSheetId="27" hidden="1">#REF!</definedName>
    <definedName name="FDP_99_1_aUrv" hidden="1">#REF!</definedName>
    <definedName name="ff" localSheetId="1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2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inding_Costs">#REF!</definedName>
    <definedName name="FootnoteDrop">#REF!</definedName>
    <definedName name="FootnoteDrop1">#REF!</definedName>
    <definedName name="FootnoteDrop10">#REF!</definedName>
    <definedName name="FootnoteDrop100">#REF!</definedName>
    <definedName name="FootnoteDrop11">#REF!</definedName>
    <definedName name="FootnoteDrop12">#REF!</definedName>
    <definedName name="FootnoteDrop13">#REF!</definedName>
    <definedName name="FootnoteDrop14">#REF!</definedName>
    <definedName name="FootnoteDrop15">#REF!</definedName>
    <definedName name="FootnoteDrop16">#REF!</definedName>
    <definedName name="FootnoteDrop17">#REF!</definedName>
    <definedName name="FootnoteDrop18">#REF!</definedName>
    <definedName name="FootnoteDrop19">#REF!</definedName>
    <definedName name="FootnoteDrop2">#REF!</definedName>
    <definedName name="FootnoteDrop20">#REF!</definedName>
    <definedName name="FootnoteDrop21">#REF!</definedName>
    <definedName name="FootnoteDrop22">#REF!</definedName>
    <definedName name="FootnoteDrop23">#REF!</definedName>
    <definedName name="FootnoteDrop24">#REF!</definedName>
    <definedName name="FootnoteDrop25">#REF!</definedName>
    <definedName name="FootnoteDrop26">#REF!</definedName>
    <definedName name="FootnoteDrop27">#REF!</definedName>
    <definedName name="FootnoteDrop28">#REF!</definedName>
    <definedName name="FootnoteDrop29">#REF!</definedName>
    <definedName name="FootnoteDrop3">#REF!</definedName>
    <definedName name="FootnoteDrop30">#REF!</definedName>
    <definedName name="FootnoteDrop31">#REF!</definedName>
    <definedName name="FootnoteDrop32">#REF!</definedName>
    <definedName name="FootnoteDrop33">#REF!</definedName>
    <definedName name="FootnoteDrop34">#REF!</definedName>
    <definedName name="FootnoteDrop35">#REF!</definedName>
    <definedName name="FootnoteDrop36">#REF!</definedName>
    <definedName name="FootnoteDrop37">#REF!</definedName>
    <definedName name="FootnoteDrop38">#REF!</definedName>
    <definedName name="FootnoteDrop39">#REF!</definedName>
    <definedName name="FootnoteDrop4">#REF!</definedName>
    <definedName name="FootnoteDrop40">#REF!</definedName>
    <definedName name="FootnoteDrop41">#REF!</definedName>
    <definedName name="FootnoteDrop42">#REF!</definedName>
    <definedName name="FootnoteDrop43">#REF!</definedName>
    <definedName name="FootnoteDrop44">#REF!</definedName>
    <definedName name="FootnoteDrop45">#REF!</definedName>
    <definedName name="FootnoteDrop46">#REF!</definedName>
    <definedName name="FootnoteDrop47">#REF!</definedName>
    <definedName name="FootnoteDrop48">#REF!</definedName>
    <definedName name="FootnoteDrop49">#REF!</definedName>
    <definedName name="FootnoteDrop5">#REF!</definedName>
    <definedName name="FootnoteDrop50">#REF!</definedName>
    <definedName name="FootnoteDrop51">#REF!</definedName>
    <definedName name="FootnoteDrop52">#REF!</definedName>
    <definedName name="FootnoteDrop53">#REF!</definedName>
    <definedName name="FootnoteDrop54">#REF!</definedName>
    <definedName name="FootnoteDrop55">#REF!</definedName>
    <definedName name="FootnoteDrop56">#REF!</definedName>
    <definedName name="FootnoteDrop57">#REF!</definedName>
    <definedName name="FootnoteDrop58">#REF!</definedName>
    <definedName name="FootnoteDrop59">#REF!</definedName>
    <definedName name="FootnoteDrop6">#REF!</definedName>
    <definedName name="FootnoteDrop60">#REF!</definedName>
    <definedName name="FootnoteDrop61">#REF!</definedName>
    <definedName name="FootnoteDrop62">#REF!</definedName>
    <definedName name="FootnoteDrop63">#REF!</definedName>
    <definedName name="FootnoteDrop64">#REF!</definedName>
    <definedName name="FootnoteDrop65">#REF!</definedName>
    <definedName name="FootnoteDrop66">#REF!</definedName>
    <definedName name="FootnoteDrop67">#REF!</definedName>
    <definedName name="FootnoteDrop68">#REF!</definedName>
    <definedName name="FootnoteDrop69">#REF!</definedName>
    <definedName name="FootnoteDrop7">#REF!</definedName>
    <definedName name="FootnoteDrop70">#REF!</definedName>
    <definedName name="FootnoteDrop71">#REF!</definedName>
    <definedName name="FootnoteDrop72">#REF!</definedName>
    <definedName name="FootnoteDrop73">#REF!</definedName>
    <definedName name="FootnoteDrop74">#REF!</definedName>
    <definedName name="FootnoteDrop75">#REF!</definedName>
    <definedName name="FootnoteDrop76">#REF!</definedName>
    <definedName name="FootnoteDrop77">#REF!</definedName>
    <definedName name="FootnoteDrop78">#REF!</definedName>
    <definedName name="FootnoteDrop79">#REF!</definedName>
    <definedName name="FootnoteDrop8">#REF!</definedName>
    <definedName name="FootnoteDrop80">#REF!</definedName>
    <definedName name="FootnoteDrop81">#REF!</definedName>
    <definedName name="FootnoteDrop82">#REF!</definedName>
    <definedName name="FootnoteDrop83">#REF!</definedName>
    <definedName name="FootnoteDrop84">#REF!</definedName>
    <definedName name="FootnoteDrop85">#REF!</definedName>
    <definedName name="FootnoteDrop86">#REF!</definedName>
    <definedName name="FootnoteDrop87">#REF!</definedName>
    <definedName name="FootnoteDrop88">#REF!</definedName>
    <definedName name="FootnoteDrop89">#REF!</definedName>
    <definedName name="FootnoteDrop9">#REF!</definedName>
    <definedName name="FootnoteDrop90">#REF!</definedName>
    <definedName name="FootnoteDrop91">#REF!</definedName>
    <definedName name="FootnoteDrop92">#REF!</definedName>
    <definedName name="FootnoteDrop93">#REF!</definedName>
    <definedName name="FootnoteDrop94">#REF!</definedName>
    <definedName name="FootnoteDrop95">#REF!</definedName>
    <definedName name="FootnoteDrop96">#REF!</definedName>
    <definedName name="FootnoteDrop97">#REF!</definedName>
    <definedName name="FootnoteDrop98">#REF!</definedName>
    <definedName name="FootnoteDrop99">#REF!</definedName>
    <definedName name="forecast" localSheetId="17"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5"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2"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2"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0"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1"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3"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8"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6"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7"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Y_1995">#REF!</definedName>
    <definedName name="FY_1996">#REF!</definedName>
    <definedName name="g" localSheetId="17" hidden="1">{"comps",#N/A,FALSE,"TXTCOMPS";"segment_EPS",#N/A,FALSE,"TXTCOMPS";"valuation",#N/A,FALSE,"TXTCOMPS"}</definedName>
    <definedName name="g" localSheetId="15" hidden="1">{"comps",#N/A,FALSE,"TXTCOMPS";"segment_EPS",#N/A,FALSE,"TXTCOMPS";"valuation",#N/A,FALSE,"TXTCOMPS"}</definedName>
    <definedName name="g" localSheetId="12" hidden="1">{"comps",#N/A,FALSE,"TXTCOMPS";"segment_EPS",#N/A,FALSE,"TXTCOMPS";"valuation",#N/A,FALSE,"TXTCOMPS"}</definedName>
    <definedName name="g" localSheetId="22" hidden="1">{"comps",#N/A,FALSE,"TXTCOMPS";"segment_EPS",#N/A,FALSE,"TXTCOMPS";"valuation",#N/A,FALSE,"TXTCOMPS"}</definedName>
    <definedName name="g" localSheetId="20" hidden="1">{"comps",#N/A,FALSE,"TXTCOMPS";"segment_EPS",#N/A,FALSE,"TXTCOMPS";"valuation",#N/A,FALSE,"TXTCOMPS"}</definedName>
    <definedName name="g" localSheetId="21" hidden="1">{"comps",#N/A,FALSE,"TXTCOMPS";"segment_EPS",#N/A,FALSE,"TXTCOMPS";"valuation",#N/A,FALSE,"TXTCOMPS"}</definedName>
    <definedName name="g" localSheetId="23" hidden="1">{"comps",#N/A,FALSE,"TXTCOMPS";"segment_EPS",#N/A,FALSE,"TXTCOMPS";"valuation",#N/A,FALSE,"TXTCOMPS"}</definedName>
    <definedName name="g" localSheetId="1" hidden="1">{"comps",#N/A,FALSE,"TXTCOMPS";"segment_EPS",#N/A,FALSE,"TXTCOMPS";"valuation",#N/A,FALSE,"TXTCOMPS"}</definedName>
    <definedName name="g" localSheetId="28" hidden="1">{"comps",#N/A,FALSE,"TXTCOMPS";"segment_EPS",#N/A,FALSE,"TXTCOMPS";"valuation",#N/A,FALSE,"TXTCOMPS"}</definedName>
    <definedName name="g" localSheetId="26" hidden="1">{"comps",#N/A,FALSE,"TXTCOMPS";"segment_EPS",#N/A,FALSE,"TXTCOMPS";"valuation",#N/A,FALSE,"TXTCOMPS"}</definedName>
    <definedName name="g" localSheetId="27" hidden="1">{"comps",#N/A,FALSE,"TXTCOMPS";"segment_EPS",#N/A,FALSE,"TXTCOMPS";"valuation",#N/A,FALSE,"TXTCOMPS"}</definedName>
    <definedName name="g" hidden="1">{"comps",#N/A,FALSE,"TXTCOMPS";"segment_EPS",#N/A,FALSE,"TXTCOMPS";"valuation",#N/A,FALSE,"TXTCOMPS"}</definedName>
    <definedName name="gd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LM">#REF!</definedName>
    <definedName name="gls_ACT_EST_ROW" localSheetId="17" hidden="1">#REF!</definedName>
    <definedName name="gls_ACT_EST_ROW" localSheetId="15" hidden="1">#REF!</definedName>
    <definedName name="gls_ACT_EST_ROW" localSheetId="12" hidden="1">#REF!</definedName>
    <definedName name="gls_ACT_EST_ROW" localSheetId="22" hidden="1">#REF!</definedName>
    <definedName name="gls_ACT_EST_ROW" localSheetId="20" hidden="1">#REF!</definedName>
    <definedName name="gls_ACT_EST_ROW" localSheetId="21" hidden="1">#REF!</definedName>
    <definedName name="gls_ACT_EST_ROW" localSheetId="23" hidden="1">#REF!</definedName>
    <definedName name="gls_ACT_EST_ROW" localSheetId="28" hidden="1">#REF!</definedName>
    <definedName name="gls_ACT_EST_ROW" localSheetId="26" hidden="1">#REF!</definedName>
    <definedName name="gls_ACT_EST_ROW" localSheetId="27" hidden="1">#REF!</definedName>
    <definedName name="gls_ACT_EST_ROW" hidden="1">#REF!</definedName>
    <definedName name="gls_ACT_FORM_OFFSET" localSheetId="17" hidden="1">#REF!</definedName>
    <definedName name="gls_ACT_FORM_OFFSET" localSheetId="15" hidden="1">#REF!</definedName>
    <definedName name="gls_ACT_FORM_OFFSET" localSheetId="12" hidden="1">#REF!</definedName>
    <definedName name="gls_ACT_FORM_OFFSET" localSheetId="22" hidden="1">#REF!</definedName>
    <definedName name="gls_ACT_FORM_OFFSET" localSheetId="20" hidden="1">#REF!</definedName>
    <definedName name="gls_ACT_FORM_OFFSET" localSheetId="21" hidden="1">#REF!</definedName>
    <definedName name="gls_ACT_FORM_OFFSET" localSheetId="23" hidden="1">#REF!</definedName>
    <definedName name="gls_ACT_FORM_OFFSET" localSheetId="28" hidden="1">#REF!</definedName>
    <definedName name="gls_ACT_FORM_OFFSET" localSheetId="26" hidden="1">#REF!</definedName>
    <definedName name="gls_ACT_FORM_OFFSET" localSheetId="27" hidden="1">#REF!</definedName>
    <definedName name="gls_ACT_FORM_OFFSET" hidden="1">#REF!</definedName>
    <definedName name="gls_AnalystEmpNoHeading" localSheetId="17" hidden="1">#REF!</definedName>
    <definedName name="gls_AnalystEmpNoHeading" localSheetId="15" hidden="1">#REF!</definedName>
    <definedName name="gls_AnalystEmpNoHeading" localSheetId="12" hidden="1">#REF!</definedName>
    <definedName name="gls_AnalystEmpNoHeading" localSheetId="22" hidden="1">#REF!</definedName>
    <definedName name="gls_AnalystEmpNoHeading" localSheetId="20" hidden="1">#REF!</definedName>
    <definedName name="gls_AnalystEmpNoHeading" localSheetId="21" hidden="1">#REF!</definedName>
    <definedName name="gls_AnalystEmpNoHeading" localSheetId="23" hidden="1">#REF!</definedName>
    <definedName name="gls_AnalystEmpNoHeading" localSheetId="28" hidden="1">#REF!</definedName>
    <definedName name="gls_AnalystEmpNoHeading" localSheetId="26" hidden="1">#REF!</definedName>
    <definedName name="gls_AnalystEmpNoHeading" localSheetId="27" hidden="1">#REF!</definedName>
    <definedName name="gls_AnalystEmpNoHeading" hidden="1">#REF!</definedName>
    <definedName name="gls_AnalystNameHeading" localSheetId="17" hidden="1">#REF!</definedName>
    <definedName name="gls_AnalystNameHeading" localSheetId="15" hidden="1">#REF!</definedName>
    <definedName name="gls_AnalystNameHeading" localSheetId="12" hidden="1">#REF!</definedName>
    <definedName name="gls_AnalystNameHeading" localSheetId="22" hidden="1">#REF!</definedName>
    <definedName name="gls_AnalystNameHeading" localSheetId="20" hidden="1">#REF!</definedName>
    <definedName name="gls_AnalystNameHeading" localSheetId="21" hidden="1">#REF!</definedName>
    <definedName name="gls_AnalystNameHeading" localSheetId="23" hidden="1">#REF!</definedName>
    <definedName name="gls_AnalystNameHeading" localSheetId="28" hidden="1">#REF!</definedName>
    <definedName name="gls_AnalystNameHeading" localSheetId="26" hidden="1">#REF!</definedName>
    <definedName name="gls_AnalystNameHeading" localSheetId="27" hidden="1">#REF!</definedName>
    <definedName name="gls_AnalystNameHeading" hidden="1">#REF!</definedName>
    <definedName name="gls_EST_FORM_OFFSET" localSheetId="17" hidden="1">#REF!</definedName>
    <definedName name="gls_EST_FORM_OFFSET" localSheetId="15" hidden="1">#REF!</definedName>
    <definedName name="gls_EST_FORM_OFFSET" localSheetId="12" hidden="1">#REF!</definedName>
    <definedName name="gls_EST_FORM_OFFSET" localSheetId="22" hidden="1">#REF!</definedName>
    <definedName name="gls_EST_FORM_OFFSET" localSheetId="20" hidden="1">#REF!</definedName>
    <definedName name="gls_EST_FORM_OFFSET" localSheetId="21" hidden="1">#REF!</definedName>
    <definedName name="gls_EST_FORM_OFFSET" localSheetId="23" hidden="1">#REF!</definedName>
    <definedName name="gls_EST_FORM_OFFSET" localSheetId="28" hidden="1">#REF!</definedName>
    <definedName name="gls_EST_FORM_OFFSET" localSheetId="26" hidden="1">#REF!</definedName>
    <definedName name="gls_EST_FORM_OFFSET" localSheetId="27" hidden="1">#REF!</definedName>
    <definedName name="gls_EST_FORM_OFFSET" hidden="1">#REF!</definedName>
    <definedName name="gls_EXTERNAL_COL_REF" localSheetId="17" hidden="1">#REF!</definedName>
    <definedName name="gls_EXTERNAL_COL_REF" localSheetId="15" hidden="1">#REF!</definedName>
    <definedName name="gls_EXTERNAL_COL_REF" localSheetId="12" hidden="1">#REF!</definedName>
    <definedName name="gls_EXTERNAL_COL_REF" localSheetId="22" hidden="1">#REF!</definedName>
    <definedName name="gls_EXTERNAL_COL_REF" localSheetId="20" hidden="1">#REF!</definedName>
    <definedName name="gls_EXTERNAL_COL_REF" localSheetId="21" hidden="1">#REF!</definedName>
    <definedName name="gls_EXTERNAL_COL_REF" localSheetId="23" hidden="1">#REF!</definedName>
    <definedName name="gls_EXTERNAL_COL_REF" localSheetId="28" hidden="1">#REF!</definedName>
    <definedName name="gls_EXTERNAL_COL_REF" localSheetId="26" hidden="1">#REF!</definedName>
    <definedName name="gls_EXTERNAL_COL_REF" localSheetId="27" hidden="1">#REF!</definedName>
    <definedName name="gls_EXTERNAL_COL_REF" hidden="1">#REF!</definedName>
    <definedName name="gls_FIRST_ITEM" localSheetId="17" hidden="1">#REF!</definedName>
    <definedName name="gls_FIRST_ITEM" localSheetId="15" hidden="1">#REF!</definedName>
    <definedName name="gls_FIRST_ITEM" localSheetId="12" hidden="1">#REF!</definedName>
    <definedName name="gls_FIRST_ITEM" localSheetId="22" hidden="1">#REF!</definedName>
    <definedName name="gls_FIRST_ITEM" localSheetId="20" hidden="1">#REF!</definedName>
    <definedName name="gls_FIRST_ITEM" localSheetId="21" hidden="1">#REF!</definedName>
    <definedName name="gls_FIRST_ITEM" localSheetId="23" hidden="1">#REF!</definedName>
    <definedName name="gls_FIRST_ITEM" localSheetId="28" hidden="1">#REF!</definedName>
    <definedName name="gls_FIRST_ITEM" localSheetId="26" hidden="1">#REF!</definedName>
    <definedName name="gls_FIRST_ITEM" localSheetId="27" hidden="1">#REF!</definedName>
    <definedName name="gls_FIRST_ITEM" hidden="1">#REF!</definedName>
    <definedName name="gls_FIRST_PK" localSheetId="17" hidden="1">#REF!</definedName>
    <definedName name="gls_FIRST_PK" localSheetId="15" hidden="1">#REF!</definedName>
    <definedName name="gls_FIRST_PK" localSheetId="12" hidden="1">#REF!</definedName>
    <definedName name="gls_FIRST_PK" localSheetId="22" hidden="1">#REF!</definedName>
    <definedName name="gls_FIRST_PK" localSheetId="20" hidden="1">#REF!</definedName>
    <definedName name="gls_FIRST_PK" localSheetId="21" hidden="1">#REF!</definedName>
    <definedName name="gls_FIRST_PK" localSheetId="23" hidden="1">#REF!</definedName>
    <definedName name="gls_FIRST_PK" localSheetId="28" hidden="1">#REF!</definedName>
    <definedName name="gls_FIRST_PK" localSheetId="26" hidden="1">#REF!</definedName>
    <definedName name="gls_FIRST_PK" localSheetId="27" hidden="1">#REF!</definedName>
    <definedName name="gls_FIRST_PK" hidden="1">#REF!</definedName>
    <definedName name="gls_FIRST_ROWMULT" localSheetId="17" hidden="1">#REF!</definedName>
    <definedName name="gls_FIRST_ROWMULT" localSheetId="15" hidden="1">#REF!</definedName>
    <definedName name="gls_FIRST_ROWMULT" localSheetId="12" hidden="1">#REF!</definedName>
    <definedName name="gls_FIRST_ROWMULT" localSheetId="22" hidden="1">#REF!</definedName>
    <definedName name="gls_FIRST_ROWMULT" localSheetId="20" hidden="1">#REF!</definedName>
    <definedName name="gls_FIRST_ROWMULT" localSheetId="21" hidden="1">#REF!</definedName>
    <definedName name="gls_FIRST_ROWMULT" localSheetId="23" hidden="1">#REF!</definedName>
    <definedName name="gls_FIRST_ROWMULT" localSheetId="28" hidden="1">#REF!</definedName>
    <definedName name="gls_FIRST_ROWMULT" localSheetId="26" hidden="1">#REF!</definedName>
    <definedName name="gls_FIRST_ROWMULT" localSheetId="27" hidden="1">#REF!</definedName>
    <definedName name="gls_FIRST_ROWMULT" hidden="1">#REF!</definedName>
    <definedName name="gls_FIRST_UNITS" localSheetId="17" hidden="1">#REF!</definedName>
    <definedName name="gls_FIRST_UNITS" localSheetId="15" hidden="1">#REF!</definedName>
    <definedName name="gls_FIRST_UNITS" localSheetId="12" hidden="1">#REF!</definedName>
    <definedName name="gls_FIRST_UNITS" localSheetId="22" hidden="1">#REF!</definedName>
    <definedName name="gls_FIRST_UNITS" localSheetId="20" hidden="1">#REF!</definedName>
    <definedName name="gls_FIRST_UNITS" localSheetId="21" hidden="1">#REF!</definedName>
    <definedName name="gls_FIRST_UNITS" localSheetId="23" hidden="1">#REF!</definedName>
    <definedName name="gls_FIRST_UNITS" localSheetId="28" hidden="1">#REF!</definedName>
    <definedName name="gls_FIRST_UNITS" localSheetId="26" hidden="1">#REF!</definedName>
    <definedName name="gls_FIRST_UNITS" localSheetId="27" hidden="1">#REF!</definedName>
    <definedName name="gls_FIRST_UNITS" hidden="1">#REF!</definedName>
    <definedName name="gls_FIXED_NAMES" localSheetId="17" hidden="1">#REF!</definedName>
    <definedName name="gls_FIXED_NAMES" localSheetId="15" hidden="1">#REF!</definedName>
    <definedName name="gls_FIXED_NAMES" localSheetId="12" hidden="1">#REF!</definedName>
    <definedName name="gls_FIXED_NAMES" localSheetId="22" hidden="1">#REF!</definedName>
    <definedName name="gls_FIXED_NAMES" localSheetId="20" hidden="1">#REF!</definedName>
    <definedName name="gls_FIXED_NAMES" localSheetId="21" hidden="1">#REF!</definedName>
    <definedName name="gls_FIXED_NAMES" localSheetId="23" hidden="1">#REF!</definedName>
    <definedName name="gls_FIXED_NAMES" localSheetId="28" hidden="1">#REF!</definedName>
    <definedName name="gls_FIXED_NAMES" localSheetId="26" hidden="1">#REF!</definedName>
    <definedName name="gls_FIXED_NAMES" localSheetId="27" hidden="1">#REF!</definedName>
    <definedName name="gls_FIXED_NAMES" hidden="1">#REF!</definedName>
    <definedName name="gls_FONT_STATUS" localSheetId="17" hidden="1">#REF!</definedName>
    <definedName name="gls_FONT_STATUS" localSheetId="15" hidden="1">#REF!</definedName>
    <definedName name="gls_FONT_STATUS" localSheetId="12" hidden="1">#REF!</definedName>
    <definedName name="gls_FONT_STATUS" localSheetId="22" hidden="1">#REF!</definedName>
    <definedName name="gls_FONT_STATUS" localSheetId="20" hidden="1">#REF!</definedName>
    <definedName name="gls_FONT_STATUS" localSheetId="21" hidden="1">#REF!</definedName>
    <definedName name="gls_FONT_STATUS" localSheetId="23" hidden="1">#REF!</definedName>
    <definedName name="gls_FONT_STATUS" localSheetId="28" hidden="1">#REF!</definedName>
    <definedName name="gls_FONT_STATUS" localSheetId="26" hidden="1">#REF!</definedName>
    <definedName name="gls_FONT_STATUS" localSheetId="27" hidden="1">#REF!</definedName>
    <definedName name="gls_FONT_STATUS" hidden="1">#REF!</definedName>
    <definedName name="gls_GenAccountingConvention" localSheetId="17" hidden="1">#REF!</definedName>
    <definedName name="gls_GenAccountingConvention" localSheetId="15" hidden="1">#REF!</definedName>
    <definedName name="gls_GenAccountingConvention" localSheetId="12" hidden="1">#REF!</definedName>
    <definedName name="gls_GenAccountingConvention" localSheetId="22" hidden="1">#REF!</definedName>
    <definedName name="gls_GenAccountingConvention" localSheetId="20" hidden="1">#REF!</definedName>
    <definedName name="gls_GenAccountingConvention" localSheetId="21" hidden="1">#REF!</definedName>
    <definedName name="gls_GenAccountingConvention" localSheetId="23" hidden="1">#REF!</definedName>
    <definedName name="gls_GenAccountingConvention" localSheetId="28" hidden="1">#REF!</definedName>
    <definedName name="gls_GenAccountingConvention" localSheetId="26" hidden="1">#REF!</definedName>
    <definedName name="gls_GenAccountingConvention" localSheetId="27" hidden="1">#REF!</definedName>
    <definedName name="gls_GenAccountingConvention" hidden="1">#REF!</definedName>
    <definedName name="gls_GenCompany" localSheetId="17" hidden="1">#REF!</definedName>
    <definedName name="gls_GenCompany" localSheetId="15" hidden="1">#REF!</definedName>
    <definedName name="gls_GenCompany" localSheetId="12" hidden="1">#REF!</definedName>
    <definedName name="gls_GenCompany" localSheetId="22" hidden="1">#REF!</definedName>
    <definedName name="gls_GenCompany" localSheetId="20" hidden="1">#REF!</definedName>
    <definedName name="gls_GenCompany" localSheetId="21" hidden="1">#REF!</definedName>
    <definedName name="gls_GenCompany" localSheetId="23" hidden="1">#REF!</definedName>
    <definedName name="gls_GenCompany" localSheetId="28" hidden="1">#REF!</definedName>
    <definedName name="gls_GenCompany" localSheetId="26" hidden="1">#REF!</definedName>
    <definedName name="gls_GenCompany" localSheetId="27" hidden="1">#REF!</definedName>
    <definedName name="gls_GenCompany" hidden="1">#REF!</definedName>
    <definedName name="gls_GenCompanyInfo" localSheetId="17" hidden="1">#REF!</definedName>
    <definedName name="gls_GenCompanyInfo" localSheetId="15" hidden="1">#REF!</definedName>
    <definedName name="gls_GenCompanyInfo" localSheetId="12" hidden="1">#REF!</definedName>
    <definedName name="gls_GenCompanyInfo" localSheetId="22" hidden="1">#REF!</definedName>
    <definedName name="gls_GenCompanyInfo" localSheetId="20" hidden="1">#REF!</definedName>
    <definedName name="gls_GenCompanyInfo" localSheetId="21" hidden="1">#REF!</definedName>
    <definedName name="gls_GenCompanyInfo" localSheetId="23" hidden="1">#REF!</definedName>
    <definedName name="gls_GenCompanyInfo" localSheetId="28" hidden="1">#REF!</definedName>
    <definedName name="gls_GenCompanyInfo" localSheetId="26" hidden="1">#REF!</definedName>
    <definedName name="gls_GenCompanyInfo" localSheetId="27" hidden="1">#REF!</definedName>
    <definedName name="gls_GenCompanyInfo" hidden="1">#REF!</definedName>
    <definedName name="gls_GenCountry" localSheetId="17" hidden="1">#REF!</definedName>
    <definedName name="gls_GenCountry" localSheetId="15" hidden="1">#REF!</definedName>
    <definedName name="gls_GenCountry" localSheetId="12" hidden="1">#REF!</definedName>
    <definedName name="gls_GenCountry" localSheetId="22" hidden="1">#REF!</definedName>
    <definedName name="gls_GenCountry" localSheetId="20" hidden="1">#REF!</definedName>
    <definedName name="gls_GenCountry" localSheetId="21" hidden="1">#REF!</definedName>
    <definedName name="gls_GenCountry" localSheetId="23" hidden="1">#REF!</definedName>
    <definedName name="gls_GenCountry" localSheetId="28" hidden="1">#REF!</definedName>
    <definedName name="gls_GenCountry" localSheetId="26" hidden="1">#REF!</definedName>
    <definedName name="gls_GenCountry" localSheetId="27" hidden="1">#REF!</definedName>
    <definedName name="gls_GenCountry" hidden="1">#REF!</definedName>
    <definedName name="gls_GenCurrency" localSheetId="17" hidden="1">#REF!</definedName>
    <definedName name="gls_GenCurrency" localSheetId="15" hidden="1">#REF!</definedName>
    <definedName name="gls_GenCurrency" localSheetId="12" hidden="1">#REF!</definedName>
    <definedName name="gls_GenCurrency" localSheetId="22" hidden="1">#REF!</definedName>
    <definedName name="gls_GenCurrency" localSheetId="20" hidden="1">#REF!</definedName>
    <definedName name="gls_GenCurrency" localSheetId="21" hidden="1">#REF!</definedName>
    <definedName name="gls_GenCurrency" localSheetId="23" hidden="1">#REF!</definedName>
    <definedName name="gls_GenCurrency" localSheetId="28" hidden="1">#REF!</definedName>
    <definedName name="gls_GenCurrency" localSheetId="26" hidden="1">#REF!</definedName>
    <definedName name="gls_GenCurrency" localSheetId="27" hidden="1">#REF!</definedName>
    <definedName name="gls_GenCurrency" hidden="1">#REF!</definedName>
    <definedName name="gls_GenCurrencyMultiplier" localSheetId="17" hidden="1">#REF!</definedName>
    <definedName name="gls_GenCurrencyMultiplier" localSheetId="15" hidden="1">#REF!</definedName>
    <definedName name="gls_GenCurrencyMultiplier" localSheetId="12" hidden="1">#REF!</definedName>
    <definedName name="gls_GenCurrencyMultiplier" localSheetId="22" hidden="1">#REF!</definedName>
    <definedName name="gls_GenCurrencyMultiplier" localSheetId="20" hidden="1">#REF!</definedName>
    <definedName name="gls_GenCurrencyMultiplier" localSheetId="21" hidden="1">#REF!</definedName>
    <definedName name="gls_GenCurrencyMultiplier" localSheetId="23" hidden="1">#REF!</definedName>
    <definedName name="gls_GenCurrencyMultiplier" localSheetId="28" hidden="1">#REF!</definedName>
    <definedName name="gls_GenCurrencyMultiplier" localSheetId="26" hidden="1">#REF!</definedName>
    <definedName name="gls_GenCurrencyMultiplier" localSheetId="27" hidden="1">#REF!</definedName>
    <definedName name="gls_GenCurrencyMultiplier" hidden="1">#REF!</definedName>
    <definedName name="gls_GenEnterCompInfo" localSheetId="17" hidden="1">#REF!</definedName>
    <definedName name="gls_GenEnterCompInfo" localSheetId="15" hidden="1">#REF!</definedName>
    <definedName name="gls_GenEnterCompInfo" localSheetId="12" hidden="1">#REF!</definedName>
    <definedName name="gls_GenEnterCompInfo" localSheetId="22" hidden="1">#REF!</definedName>
    <definedName name="gls_GenEnterCompInfo" localSheetId="20" hidden="1">#REF!</definedName>
    <definedName name="gls_GenEnterCompInfo" localSheetId="21" hidden="1">#REF!</definedName>
    <definedName name="gls_GenEnterCompInfo" localSheetId="23" hidden="1">#REF!</definedName>
    <definedName name="gls_GenEnterCompInfo" localSheetId="28" hidden="1">#REF!</definedName>
    <definedName name="gls_GenEnterCompInfo" localSheetId="26" hidden="1">#REF!</definedName>
    <definedName name="gls_GenEnterCompInfo" localSheetId="27" hidden="1">#REF!</definedName>
    <definedName name="gls_GenEnterCompInfo" hidden="1">#REF!</definedName>
    <definedName name="gls_GenLastPriceTargetRevised" localSheetId="17" hidden="1">#REF!</definedName>
    <definedName name="gls_GenLastPriceTargetRevised" localSheetId="15" hidden="1">#REF!</definedName>
    <definedName name="gls_GenLastPriceTargetRevised" localSheetId="12" hidden="1">#REF!</definedName>
    <definedName name="gls_GenLastPriceTargetRevised" localSheetId="22" hidden="1">#REF!</definedName>
    <definedName name="gls_GenLastPriceTargetRevised" localSheetId="20" hidden="1">#REF!</definedName>
    <definedName name="gls_GenLastPriceTargetRevised" localSheetId="21" hidden="1">#REF!</definedName>
    <definedName name="gls_GenLastPriceTargetRevised" localSheetId="23" hidden="1">#REF!</definedName>
    <definedName name="gls_GenLastPriceTargetRevised" localSheetId="28" hidden="1">#REF!</definedName>
    <definedName name="gls_GenLastPriceTargetRevised" localSheetId="26" hidden="1">#REF!</definedName>
    <definedName name="gls_GenLastPriceTargetRevised" localSheetId="27" hidden="1">#REF!</definedName>
    <definedName name="gls_GenLastPriceTargetRevised" hidden="1">#REF!</definedName>
    <definedName name="gls_GenLastPublished" localSheetId="17" hidden="1">#REF!</definedName>
    <definedName name="gls_GenLastPublished" localSheetId="15" hidden="1">#REF!</definedName>
    <definedName name="gls_GenLastPublished" localSheetId="12" hidden="1">#REF!</definedName>
    <definedName name="gls_GenLastPublished" localSheetId="22" hidden="1">#REF!</definedName>
    <definedName name="gls_GenLastPublished" localSheetId="20" hidden="1">#REF!</definedName>
    <definedName name="gls_GenLastPublished" localSheetId="21" hidden="1">#REF!</definedName>
    <definedName name="gls_GenLastPublished" localSheetId="23" hidden="1">#REF!</definedName>
    <definedName name="gls_GenLastPublished" localSheetId="28" hidden="1">#REF!</definedName>
    <definedName name="gls_GenLastPublished" localSheetId="26" hidden="1">#REF!</definedName>
    <definedName name="gls_GenLastPublished" localSheetId="27" hidden="1">#REF!</definedName>
    <definedName name="gls_GenLastPublished" hidden="1">#REF!</definedName>
    <definedName name="gls_GenLastRecRevised" localSheetId="17" hidden="1">#REF!</definedName>
    <definedName name="gls_GenLastRecRevised" localSheetId="15" hidden="1">#REF!</definedName>
    <definedName name="gls_GenLastRecRevised" localSheetId="12" hidden="1">#REF!</definedName>
    <definedName name="gls_GenLastRecRevised" localSheetId="22" hidden="1">#REF!</definedName>
    <definedName name="gls_GenLastRecRevised" localSheetId="20" hidden="1">#REF!</definedName>
    <definedName name="gls_GenLastRecRevised" localSheetId="21" hidden="1">#REF!</definedName>
    <definedName name="gls_GenLastRecRevised" localSheetId="23" hidden="1">#REF!</definedName>
    <definedName name="gls_GenLastRecRevised" localSheetId="28" hidden="1">#REF!</definedName>
    <definedName name="gls_GenLastRecRevised" localSheetId="26" hidden="1">#REF!</definedName>
    <definedName name="gls_GenLastRecRevised" localSheetId="27" hidden="1">#REF!</definedName>
    <definedName name="gls_GenLastRecRevised" hidden="1">#REF!</definedName>
    <definedName name="gls_GenMainInfo" localSheetId="17" hidden="1">#REF!</definedName>
    <definedName name="gls_GenMainInfo" localSheetId="15" hidden="1">#REF!</definedName>
    <definedName name="gls_GenMainInfo" localSheetId="12" hidden="1">#REF!</definedName>
    <definedName name="gls_GenMainInfo" localSheetId="22" hidden="1">#REF!</definedName>
    <definedName name="gls_GenMainInfo" localSheetId="20" hidden="1">#REF!</definedName>
    <definedName name="gls_GenMainInfo" localSheetId="21" hidden="1">#REF!</definedName>
    <definedName name="gls_GenMainInfo" localSheetId="23" hidden="1">#REF!</definedName>
    <definedName name="gls_GenMainInfo" localSheetId="28" hidden="1">#REF!</definedName>
    <definedName name="gls_GenMainInfo" localSheetId="26" hidden="1">#REF!</definedName>
    <definedName name="gls_GenMainInfo" localSheetId="27" hidden="1">#REF!</definedName>
    <definedName name="gls_GenMainInfo" hidden="1">#REF!</definedName>
    <definedName name="gls_GenProfile" localSheetId="17" hidden="1">#REF!</definedName>
    <definedName name="gls_GenProfile" localSheetId="15" hidden="1">#REF!</definedName>
    <definedName name="gls_GenProfile" localSheetId="12" hidden="1">#REF!</definedName>
    <definedName name="gls_GenProfile" localSheetId="22" hidden="1">#REF!</definedName>
    <definedName name="gls_GenProfile" localSheetId="20" hidden="1">#REF!</definedName>
    <definedName name="gls_GenProfile" localSheetId="21" hidden="1">#REF!</definedName>
    <definedName name="gls_GenProfile" localSheetId="23" hidden="1">#REF!</definedName>
    <definedName name="gls_GenProfile" localSheetId="28" hidden="1">#REF!</definedName>
    <definedName name="gls_GenProfile" localSheetId="26" hidden="1">#REF!</definedName>
    <definedName name="gls_GenProfile" localSheetId="27" hidden="1">#REF!</definedName>
    <definedName name="gls_GenProfile" hidden="1">#REF!</definedName>
    <definedName name="gls_GenRecComment" localSheetId="17" hidden="1">#REF!</definedName>
    <definedName name="gls_GenRecComment" localSheetId="15" hidden="1">#REF!</definedName>
    <definedName name="gls_GenRecComment" localSheetId="12" hidden="1">#REF!</definedName>
    <definedName name="gls_GenRecComment" localSheetId="22" hidden="1">#REF!</definedName>
    <definedName name="gls_GenRecComment" localSheetId="20" hidden="1">#REF!</definedName>
    <definedName name="gls_GenRecComment" localSheetId="21" hidden="1">#REF!</definedName>
    <definedName name="gls_GenRecComment" localSheetId="23" hidden="1">#REF!</definedName>
    <definedName name="gls_GenRecComment" localSheetId="28" hidden="1">#REF!</definedName>
    <definedName name="gls_GenRecComment" localSheetId="26" hidden="1">#REF!</definedName>
    <definedName name="gls_GenRecComment" localSheetId="27" hidden="1">#REF!</definedName>
    <definedName name="gls_GenRecComment" hidden="1">#REF!</definedName>
    <definedName name="gls_GenSheetVersion" localSheetId="17" hidden="1">#REF!</definedName>
    <definedName name="gls_GenSheetVersion" localSheetId="15" hidden="1">#REF!</definedName>
    <definedName name="gls_GenSheetVersion" localSheetId="12" hidden="1">#REF!</definedName>
    <definedName name="gls_GenSheetVersion" localSheetId="22" hidden="1">#REF!</definedName>
    <definedName name="gls_GenSheetVersion" localSheetId="20" hidden="1">#REF!</definedName>
    <definedName name="gls_GenSheetVersion" localSheetId="21" hidden="1">#REF!</definedName>
    <definedName name="gls_GenSheetVersion" localSheetId="23" hidden="1">#REF!</definedName>
    <definedName name="gls_GenSheetVersion" localSheetId="28" hidden="1">#REF!</definedName>
    <definedName name="gls_GenSheetVersion" localSheetId="26" hidden="1">#REF!</definedName>
    <definedName name="gls_GenSheetVersion" localSheetId="27" hidden="1">#REF!</definedName>
    <definedName name="gls_GenSheetVersion" hidden="1">#REF!</definedName>
    <definedName name="gls_genStockCore" localSheetId="17" hidden="1">#REF!</definedName>
    <definedName name="gls_genStockCore" localSheetId="15" hidden="1">#REF!</definedName>
    <definedName name="gls_genStockCore" localSheetId="12" hidden="1">#REF!</definedName>
    <definedName name="gls_genStockCore" localSheetId="22" hidden="1">#REF!</definedName>
    <definedName name="gls_genStockCore" localSheetId="20" hidden="1">#REF!</definedName>
    <definedName name="gls_genStockCore" localSheetId="21" hidden="1">#REF!</definedName>
    <definedName name="gls_genStockCore" localSheetId="23" hidden="1">#REF!</definedName>
    <definedName name="gls_genStockCore" localSheetId="28" hidden="1">#REF!</definedName>
    <definedName name="gls_genStockCore" localSheetId="26" hidden="1">#REF!</definedName>
    <definedName name="gls_genStockCore" localSheetId="27" hidden="1">#REF!</definedName>
    <definedName name="gls_genStockCore" hidden="1">#REF!</definedName>
    <definedName name="gls_genStockRec" localSheetId="17" hidden="1">#REF!</definedName>
    <definedName name="gls_genStockRec" localSheetId="15" hidden="1">#REF!</definedName>
    <definedName name="gls_genStockRec" localSheetId="12" hidden="1">#REF!</definedName>
    <definedName name="gls_genStockRec" localSheetId="22" hidden="1">#REF!</definedName>
    <definedName name="gls_genStockRec" localSheetId="20" hidden="1">#REF!</definedName>
    <definedName name="gls_genStockRec" localSheetId="21" hidden="1">#REF!</definedName>
    <definedName name="gls_genStockRec" localSheetId="23" hidden="1">#REF!</definedName>
    <definedName name="gls_genStockRec" localSheetId="28" hidden="1">#REF!</definedName>
    <definedName name="gls_genStockRec" localSheetId="26" hidden="1">#REF!</definedName>
    <definedName name="gls_genStockRec" localSheetId="27" hidden="1">#REF!</definedName>
    <definedName name="gls_genStockRec" hidden="1">#REF!</definedName>
    <definedName name="gls_GenTargetCurrency" localSheetId="17" hidden="1">#REF!</definedName>
    <definedName name="gls_GenTargetCurrency" localSheetId="15" hidden="1">#REF!</definedName>
    <definedName name="gls_GenTargetCurrency" localSheetId="12" hidden="1">#REF!</definedName>
    <definedName name="gls_GenTargetCurrency" localSheetId="22" hidden="1">#REF!</definedName>
    <definedName name="gls_GenTargetCurrency" localSheetId="20" hidden="1">#REF!</definedName>
    <definedName name="gls_GenTargetCurrency" localSheetId="21" hidden="1">#REF!</definedName>
    <definedName name="gls_GenTargetCurrency" localSheetId="23" hidden="1">#REF!</definedName>
    <definedName name="gls_GenTargetCurrency" localSheetId="28" hidden="1">#REF!</definedName>
    <definedName name="gls_GenTargetCurrency" localSheetId="26" hidden="1">#REF!</definedName>
    <definedName name="gls_GenTargetCurrency" localSheetId="27" hidden="1">#REF!</definedName>
    <definedName name="gls_GenTargetCurrency" hidden="1">#REF!</definedName>
    <definedName name="gls_IssuedStockClassHeading" localSheetId="17" hidden="1">#REF!</definedName>
    <definedName name="gls_IssuedStockClassHeading" localSheetId="15" hidden="1">#REF!</definedName>
    <definedName name="gls_IssuedStockClassHeading" localSheetId="12" hidden="1">#REF!</definedName>
    <definedName name="gls_IssuedStockClassHeading" localSheetId="22" hidden="1">#REF!</definedName>
    <definedName name="gls_IssuedStockClassHeading" localSheetId="20" hidden="1">#REF!</definedName>
    <definedName name="gls_IssuedStockClassHeading" localSheetId="21" hidden="1">#REF!</definedName>
    <definedName name="gls_IssuedStockClassHeading" localSheetId="23" hidden="1">#REF!</definedName>
    <definedName name="gls_IssuedStockClassHeading" localSheetId="28" hidden="1">#REF!</definedName>
    <definedName name="gls_IssuedStockClassHeading" localSheetId="26" hidden="1">#REF!</definedName>
    <definedName name="gls_IssuedStockClassHeading" localSheetId="27" hidden="1">#REF!</definedName>
    <definedName name="gls_IssuedStockClassHeading" hidden="1">#REF!</definedName>
    <definedName name="gls_IssuedStockCodeHeading" localSheetId="17" hidden="1">#REF!</definedName>
    <definedName name="gls_IssuedStockCodeHeading" localSheetId="15" hidden="1">#REF!</definedName>
    <definedName name="gls_IssuedStockCodeHeading" localSheetId="12" hidden="1">#REF!</definedName>
    <definedName name="gls_IssuedStockCodeHeading" localSheetId="22" hidden="1">#REF!</definedName>
    <definedName name="gls_IssuedStockCodeHeading" localSheetId="20" hidden="1">#REF!</definedName>
    <definedName name="gls_IssuedStockCodeHeading" localSheetId="21" hidden="1">#REF!</definedName>
    <definedName name="gls_IssuedStockCodeHeading" localSheetId="23" hidden="1">#REF!</definedName>
    <definedName name="gls_IssuedStockCodeHeading" localSheetId="28" hidden="1">#REF!</definedName>
    <definedName name="gls_IssuedStockCodeHeading" localSheetId="26" hidden="1">#REF!</definedName>
    <definedName name="gls_IssuedStockCodeHeading" localSheetId="27" hidden="1">#REF!</definedName>
    <definedName name="gls_IssuedStockCodeHeading" hidden="1">#REF!</definedName>
    <definedName name="gls_IssuedStockFreeFloatHeading" localSheetId="17" hidden="1">#REF!</definedName>
    <definedName name="gls_IssuedStockFreeFloatHeading" localSheetId="15" hidden="1">#REF!</definedName>
    <definedName name="gls_IssuedStockFreeFloatHeading" localSheetId="12" hidden="1">#REF!</definedName>
    <definedName name="gls_IssuedStockFreeFloatHeading" localSheetId="22" hidden="1">#REF!</definedName>
    <definedName name="gls_IssuedStockFreeFloatHeading" localSheetId="20" hidden="1">#REF!</definedName>
    <definedName name="gls_IssuedStockFreeFloatHeading" localSheetId="21" hidden="1">#REF!</definedName>
    <definedName name="gls_IssuedStockFreeFloatHeading" localSheetId="23" hidden="1">#REF!</definedName>
    <definedName name="gls_IssuedStockFreeFloatHeading" localSheetId="28" hidden="1">#REF!</definedName>
    <definedName name="gls_IssuedStockFreeFloatHeading" localSheetId="26" hidden="1">#REF!</definedName>
    <definedName name="gls_IssuedStockFreeFloatHeading" localSheetId="27" hidden="1">#REF!</definedName>
    <definedName name="gls_IssuedStockFreeFloatHeading" hidden="1">#REF!</definedName>
    <definedName name="gls_KEY_DATA" localSheetId="17" hidden="1">#REF!</definedName>
    <definedName name="gls_KEY_DATA" localSheetId="15" hidden="1">#REF!</definedName>
    <definedName name="gls_KEY_DATA" localSheetId="12" hidden="1">#REF!</definedName>
    <definedName name="gls_KEY_DATA" localSheetId="22" hidden="1">#REF!</definedName>
    <definedName name="gls_KEY_DATA" localSheetId="20" hidden="1">#REF!</definedName>
    <definedName name="gls_KEY_DATA" localSheetId="21" hidden="1">#REF!</definedName>
    <definedName name="gls_KEY_DATA" localSheetId="23" hidden="1">#REF!</definedName>
    <definedName name="gls_KEY_DATA" localSheetId="28" hidden="1">#REF!</definedName>
    <definedName name="gls_KEY_DATA" localSheetId="26" hidden="1">#REF!</definedName>
    <definedName name="gls_KEY_DATA" localSheetId="27" hidden="1">#REF!</definedName>
    <definedName name="gls_KEY_DATA" hidden="1">#REF!</definedName>
    <definedName name="gls_KEY_VALUE" localSheetId="17" hidden="1">#REF!</definedName>
    <definedName name="gls_KEY_VALUE" localSheetId="15" hidden="1">#REF!</definedName>
    <definedName name="gls_KEY_VALUE" localSheetId="12" hidden="1">#REF!</definedName>
    <definedName name="gls_KEY_VALUE" localSheetId="22" hidden="1">#REF!</definedName>
    <definedName name="gls_KEY_VALUE" localSheetId="20" hidden="1">#REF!</definedName>
    <definedName name="gls_KEY_VALUE" localSheetId="21" hidden="1">#REF!</definedName>
    <definedName name="gls_KEY_VALUE" localSheetId="23" hidden="1">#REF!</definedName>
    <definedName name="gls_KEY_VALUE" localSheetId="28" hidden="1">#REF!</definedName>
    <definedName name="gls_KEY_VALUE" localSheetId="26" hidden="1">#REF!</definedName>
    <definedName name="gls_KEY_VALUE" localSheetId="27" hidden="1">#REF!</definedName>
    <definedName name="gls_KEY_VALUE" hidden="1">#REF!</definedName>
    <definedName name="gls_PERIOD_CODE" localSheetId="17" hidden="1">#REF!</definedName>
    <definedName name="gls_PERIOD_CODE" localSheetId="15" hidden="1">#REF!</definedName>
    <definedName name="gls_PERIOD_CODE" localSheetId="12" hidden="1">#REF!</definedName>
    <definedName name="gls_PERIOD_CODE" localSheetId="22" hidden="1">#REF!</definedName>
    <definedName name="gls_PERIOD_CODE" localSheetId="20" hidden="1">#REF!</definedName>
    <definedName name="gls_PERIOD_CODE" localSheetId="21" hidden="1">#REF!</definedName>
    <definedName name="gls_PERIOD_CODE" localSheetId="23" hidden="1">#REF!</definedName>
    <definedName name="gls_PERIOD_CODE" localSheetId="28" hidden="1">#REF!</definedName>
    <definedName name="gls_PERIOD_CODE" localSheetId="26" hidden="1">#REF!</definedName>
    <definedName name="gls_PERIOD_CODE" localSheetId="27" hidden="1">#REF!</definedName>
    <definedName name="gls_PERIOD_CODE" hidden="1">#REF!</definedName>
    <definedName name="gls_PERIOD_INDICATOR" localSheetId="17" hidden="1">#REF!</definedName>
    <definedName name="gls_PERIOD_INDICATOR" localSheetId="15" hidden="1">#REF!</definedName>
    <definedName name="gls_PERIOD_INDICATOR" localSheetId="12" hidden="1">#REF!</definedName>
    <definedName name="gls_PERIOD_INDICATOR" localSheetId="22" hidden="1">#REF!</definedName>
    <definedName name="gls_PERIOD_INDICATOR" localSheetId="20" hidden="1">#REF!</definedName>
    <definedName name="gls_PERIOD_INDICATOR" localSheetId="21" hidden="1">#REF!</definedName>
    <definedName name="gls_PERIOD_INDICATOR" localSheetId="23" hidden="1">#REF!</definedName>
    <definedName name="gls_PERIOD_INDICATOR" localSheetId="28" hidden="1">#REF!</definedName>
    <definedName name="gls_PERIOD_INDICATOR" localSheetId="26" hidden="1">#REF!</definedName>
    <definedName name="gls_PERIOD_INDICATOR" localSheetId="27" hidden="1">#REF!</definedName>
    <definedName name="gls_PERIOD_INDICATOR" hidden="1">#REF!</definedName>
    <definedName name="gls_PERIOD_PARENT_OR_CONSOL" localSheetId="17" hidden="1">#REF!</definedName>
    <definedName name="gls_PERIOD_PARENT_OR_CONSOL" localSheetId="15" hidden="1">#REF!</definedName>
    <definedName name="gls_PERIOD_PARENT_OR_CONSOL" localSheetId="12" hidden="1">#REF!</definedName>
    <definedName name="gls_PERIOD_PARENT_OR_CONSOL" localSheetId="22" hidden="1">#REF!</definedName>
    <definedName name="gls_PERIOD_PARENT_OR_CONSOL" localSheetId="20" hidden="1">#REF!</definedName>
    <definedName name="gls_PERIOD_PARENT_OR_CONSOL" localSheetId="21" hidden="1">#REF!</definedName>
    <definedName name="gls_PERIOD_PARENT_OR_CONSOL" localSheetId="23" hidden="1">#REF!</definedName>
    <definedName name="gls_PERIOD_PARENT_OR_CONSOL" localSheetId="28" hidden="1">#REF!</definedName>
    <definedName name="gls_PERIOD_PARENT_OR_CONSOL" localSheetId="26" hidden="1">#REF!</definedName>
    <definedName name="gls_PERIOD_PARENT_OR_CONSOL" localSheetId="27" hidden="1">#REF!</definedName>
    <definedName name="gls_PERIOD_PARENT_OR_CONSOL" hidden="1">#REF!</definedName>
    <definedName name="gls_PERIOD_TYPE" localSheetId="17" hidden="1">#REF!</definedName>
    <definedName name="gls_PERIOD_TYPE" localSheetId="15" hidden="1">#REF!</definedName>
    <definedName name="gls_PERIOD_TYPE" localSheetId="12" hidden="1">#REF!</definedName>
    <definedName name="gls_PERIOD_TYPE" localSheetId="22" hidden="1">#REF!</definedName>
    <definedName name="gls_PERIOD_TYPE" localSheetId="20" hidden="1">#REF!</definedName>
    <definedName name="gls_PERIOD_TYPE" localSheetId="21" hidden="1">#REF!</definedName>
    <definedName name="gls_PERIOD_TYPE" localSheetId="23" hidden="1">#REF!</definedName>
    <definedName name="gls_PERIOD_TYPE" localSheetId="28" hidden="1">#REF!</definedName>
    <definedName name="gls_PERIOD_TYPE" localSheetId="26" hidden="1">#REF!</definedName>
    <definedName name="gls_PERIOD_TYPE" localSheetId="27" hidden="1">#REF!</definedName>
    <definedName name="gls_PERIOD_TYPE" hidden="1">#REF!</definedName>
    <definedName name="gls_PrincipalStockClass" localSheetId="17" hidden="1">#REF!</definedName>
    <definedName name="gls_PrincipalStockClass" localSheetId="15" hidden="1">#REF!</definedName>
    <definedName name="gls_PrincipalStockClass" localSheetId="12" hidden="1">#REF!</definedName>
    <definedName name="gls_PrincipalStockClass" localSheetId="22" hidden="1">#REF!</definedName>
    <definedName name="gls_PrincipalStockClass" localSheetId="20" hidden="1">#REF!</definedName>
    <definedName name="gls_PrincipalStockClass" localSheetId="21" hidden="1">#REF!</definedName>
    <definedName name="gls_PrincipalStockClass" localSheetId="23" hidden="1">#REF!</definedName>
    <definedName name="gls_PrincipalStockClass" localSheetId="28" hidden="1">#REF!</definedName>
    <definedName name="gls_PrincipalStockClass" localSheetId="26" hidden="1">#REF!</definedName>
    <definedName name="gls_PrincipalStockClass" localSheetId="27" hidden="1">#REF!</definedName>
    <definedName name="gls_PrincipalStockClass" hidden="1">#REF!</definedName>
    <definedName name="gls_ShareholderClassHeading" localSheetId="17" hidden="1">#REF!</definedName>
    <definedName name="gls_ShareholderClassHeading" localSheetId="15" hidden="1">#REF!</definedName>
    <definedName name="gls_ShareholderClassHeading" localSheetId="12" hidden="1">#REF!</definedName>
    <definedName name="gls_ShareholderClassHeading" localSheetId="22" hidden="1">#REF!</definedName>
    <definedName name="gls_ShareholderClassHeading" localSheetId="20" hidden="1">#REF!</definedName>
    <definedName name="gls_ShareholderClassHeading" localSheetId="21" hidden="1">#REF!</definedName>
    <definedName name="gls_ShareholderClassHeading" localSheetId="23" hidden="1">#REF!</definedName>
    <definedName name="gls_ShareholderClassHeading" localSheetId="28" hidden="1">#REF!</definedName>
    <definedName name="gls_ShareholderClassHeading" localSheetId="26" hidden="1">#REF!</definedName>
    <definedName name="gls_ShareholderClassHeading" localSheetId="27" hidden="1">#REF!</definedName>
    <definedName name="gls_ShareholderClassHeading" hidden="1">#REF!</definedName>
    <definedName name="gls_ShareholderHolding" localSheetId="17" hidden="1">#REF!</definedName>
    <definedName name="gls_ShareholderHolding" localSheetId="15" hidden="1">#REF!</definedName>
    <definedName name="gls_ShareholderHolding" localSheetId="12" hidden="1">#REF!</definedName>
    <definedName name="gls_ShareholderHolding" localSheetId="22" hidden="1">#REF!</definedName>
    <definedName name="gls_ShareholderHolding" localSheetId="20" hidden="1">#REF!</definedName>
    <definedName name="gls_ShareholderHolding" localSheetId="21" hidden="1">#REF!</definedName>
    <definedName name="gls_ShareholderHolding" localSheetId="23" hidden="1">#REF!</definedName>
    <definedName name="gls_ShareholderHolding" localSheetId="28" hidden="1">#REF!</definedName>
    <definedName name="gls_ShareholderHolding" localSheetId="26" hidden="1">#REF!</definedName>
    <definedName name="gls_ShareholderHolding" localSheetId="27" hidden="1">#REF!</definedName>
    <definedName name="gls_ShareholderHolding" hidden="1">#REF!</definedName>
    <definedName name="gls_ShareholderHoldingHeading" localSheetId="17" hidden="1">#REF!</definedName>
    <definedName name="gls_ShareholderHoldingHeading" localSheetId="15" hidden="1">#REF!</definedName>
    <definedName name="gls_ShareholderHoldingHeading" localSheetId="12" hidden="1">#REF!</definedName>
    <definedName name="gls_ShareholderHoldingHeading" localSheetId="22" hidden="1">#REF!</definedName>
    <definedName name="gls_ShareholderHoldingHeading" localSheetId="20" hidden="1">#REF!</definedName>
    <definedName name="gls_ShareholderHoldingHeading" localSheetId="21" hidden="1">#REF!</definedName>
    <definedName name="gls_ShareholderHoldingHeading" localSheetId="23" hidden="1">#REF!</definedName>
    <definedName name="gls_ShareholderHoldingHeading" localSheetId="28" hidden="1">#REF!</definedName>
    <definedName name="gls_ShareholderHoldingHeading" localSheetId="26" hidden="1">#REF!</definedName>
    <definedName name="gls_ShareholderHoldingHeading" localSheetId="27" hidden="1">#REF!</definedName>
    <definedName name="gls_ShareholderHoldingHeading" hidden="1">#REF!</definedName>
    <definedName name="gls_ShareholderName" localSheetId="17" hidden="1">#REF!</definedName>
    <definedName name="gls_ShareholderName" localSheetId="15" hidden="1">#REF!</definedName>
    <definedName name="gls_ShareholderName" localSheetId="12" hidden="1">#REF!</definedName>
    <definedName name="gls_ShareholderName" localSheetId="22" hidden="1">#REF!</definedName>
    <definedName name="gls_ShareholderName" localSheetId="20" hidden="1">#REF!</definedName>
    <definedName name="gls_ShareholderName" localSheetId="21" hidden="1">#REF!</definedName>
    <definedName name="gls_ShareholderName" localSheetId="23" hidden="1">#REF!</definedName>
    <definedName name="gls_ShareholderName" localSheetId="28" hidden="1">#REF!</definedName>
    <definedName name="gls_ShareholderName" localSheetId="26" hidden="1">#REF!</definedName>
    <definedName name="gls_ShareholderName" localSheetId="27" hidden="1">#REF!</definedName>
    <definedName name="gls_ShareholderName" hidden="1">#REF!</definedName>
    <definedName name="gls_ShareholderNameHeading" localSheetId="17" hidden="1">#REF!</definedName>
    <definedName name="gls_ShareholderNameHeading" localSheetId="15" hidden="1">#REF!</definedName>
    <definedName name="gls_ShareholderNameHeading" localSheetId="12" hidden="1">#REF!</definedName>
    <definedName name="gls_ShareholderNameHeading" localSheetId="22" hidden="1">#REF!</definedName>
    <definedName name="gls_ShareholderNameHeading" localSheetId="20" hidden="1">#REF!</definedName>
    <definedName name="gls_ShareholderNameHeading" localSheetId="21" hidden="1">#REF!</definedName>
    <definedName name="gls_ShareholderNameHeading" localSheetId="23" hidden="1">#REF!</definedName>
    <definedName name="gls_ShareholderNameHeading" localSheetId="28" hidden="1">#REF!</definedName>
    <definedName name="gls_ShareholderNameHeading" localSheetId="26" hidden="1">#REF!</definedName>
    <definedName name="gls_ShareholderNameHeading" localSheetId="27" hidden="1">#REF!</definedName>
    <definedName name="gls_ShareholderNameHeading" hidden="1">#REF!</definedName>
    <definedName name="gls_ShareholdingName" localSheetId="17" hidden="1">#REF!</definedName>
    <definedName name="gls_ShareholdingName" localSheetId="15" hidden="1">#REF!</definedName>
    <definedName name="gls_ShareholdingName" localSheetId="12" hidden="1">#REF!</definedName>
    <definedName name="gls_ShareholdingName" localSheetId="22" hidden="1">#REF!</definedName>
    <definedName name="gls_ShareholdingName" localSheetId="20" hidden="1">#REF!</definedName>
    <definedName name="gls_ShareholdingName" localSheetId="21" hidden="1">#REF!</definedName>
    <definedName name="gls_ShareholdingName" localSheetId="23" hidden="1">#REF!</definedName>
    <definedName name="gls_ShareholdingName" localSheetId="28" hidden="1">#REF!</definedName>
    <definedName name="gls_ShareholdingName" localSheetId="26" hidden="1">#REF!</definedName>
    <definedName name="gls_ShareholdingName" localSheetId="27" hidden="1">#REF!</definedName>
    <definedName name="gls_ShareholdingName" hidden="1">#REF!</definedName>
    <definedName name="gls_SPARE_YEARS" localSheetId="17" hidden="1">#REF!</definedName>
    <definedName name="gls_SPARE_YEARS" localSheetId="15" hidden="1">#REF!</definedName>
    <definedName name="gls_SPARE_YEARS" localSheetId="12" hidden="1">#REF!</definedName>
    <definedName name="gls_SPARE_YEARS" localSheetId="22" hidden="1">#REF!</definedName>
    <definedName name="gls_SPARE_YEARS" localSheetId="20" hidden="1">#REF!</definedName>
    <definedName name="gls_SPARE_YEARS" localSheetId="21" hidden="1">#REF!</definedName>
    <definedName name="gls_SPARE_YEARS" localSheetId="23" hidden="1">#REF!</definedName>
    <definedName name="gls_SPARE_YEARS" localSheetId="28" hidden="1">#REF!</definedName>
    <definedName name="gls_SPARE_YEARS" localSheetId="26" hidden="1">#REF!</definedName>
    <definedName name="gls_SPARE_YEARS" localSheetId="27" hidden="1">#REF!</definedName>
    <definedName name="gls_SPARE_YEARS" hidden="1">#REF!</definedName>
    <definedName name="gls_START_FORMULA_OVERRIDEABLE" localSheetId="17" hidden="1">#REF!</definedName>
    <definedName name="gls_START_FORMULA_OVERRIDEABLE" localSheetId="15" hidden="1">#REF!</definedName>
    <definedName name="gls_START_FORMULA_OVERRIDEABLE" localSheetId="12" hidden="1">#REF!</definedName>
    <definedName name="gls_START_FORMULA_OVERRIDEABLE" localSheetId="22" hidden="1">#REF!</definedName>
    <definedName name="gls_START_FORMULA_OVERRIDEABLE" localSheetId="20" hidden="1">#REF!</definedName>
    <definedName name="gls_START_FORMULA_OVERRIDEABLE" localSheetId="21" hidden="1">#REF!</definedName>
    <definedName name="gls_START_FORMULA_OVERRIDEABLE" localSheetId="23" hidden="1">#REF!</definedName>
    <definedName name="gls_START_FORMULA_OVERRIDEABLE" localSheetId="28" hidden="1">#REF!</definedName>
    <definedName name="gls_START_FORMULA_OVERRIDEABLE" localSheetId="26" hidden="1">#REF!</definedName>
    <definedName name="gls_START_FORMULA_OVERRIDEABLE" localSheetId="27" hidden="1">#REF!</definedName>
    <definedName name="gls_START_FORMULA_OVERRIDEABLE" hidden="1">#REF!</definedName>
    <definedName name="gls_START_LOCAL_NAMES" localSheetId="17" hidden="1">#REF!</definedName>
    <definedName name="gls_START_LOCAL_NAMES" localSheetId="15" hidden="1">#REF!</definedName>
    <definedName name="gls_START_LOCAL_NAMES" localSheetId="12" hidden="1">#REF!</definedName>
    <definedName name="gls_START_LOCAL_NAMES" localSheetId="22" hidden="1">#REF!</definedName>
    <definedName name="gls_START_LOCAL_NAMES" localSheetId="20" hidden="1">#REF!</definedName>
    <definedName name="gls_START_LOCAL_NAMES" localSheetId="21" hidden="1">#REF!</definedName>
    <definedName name="gls_START_LOCAL_NAMES" localSheetId="23" hidden="1">#REF!</definedName>
    <definedName name="gls_START_LOCAL_NAMES" localSheetId="28" hidden="1">#REF!</definedName>
    <definedName name="gls_START_LOCAL_NAMES" localSheetId="26" hidden="1">#REF!</definedName>
    <definedName name="gls_START_LOCAL_NAMES" localSheetId="27" hidden="1">#REF!</definedName>
    <definedName name="gls_START_LOCAL_NAMES" hidden="1">#REF!</definedName>
    <definedName name="gls_START_PERIOD_CURRENCY" localSheetId="17" hidden="1">#REF!</definedName>
    <definedName name="gls_START_PERIOD_CURRENCY" localSheetId="15" hidden="1">#REF!</definedName>
    <definedName name="gls_START_PERIOD_CURRENCY" localSheetId="12" hidden="1">#REF!</definedName>
    <definedName name="gls_START_PERIOD_CURRENCY" localSheetId="22" hidden="1">#REF!</definedName>
    <definedName name="gls_START_PERIOD_CURRENCY" localSheetId="20" hidden="1">#REF!</definedName>
    <definedName name="gls_START_PERIOD_CURRENCY" localSheetId="21" hidden="1">#REF!</definedName>
    <definedName name="gls_START_PERIOD_CURRENCY" localSheetId="23" hidden="1">#REF!</definedName>
    <definedName name="gls_START_PERIOD_CURRENCY" localSheetId="28" hidden="1">#REF!</definedName>
    <definedName name="gls_START_PERIOD_CURRENCY" localSheetId="26" hidden="1">#REF!</definedName>
    <definedName name="gls_START_PERIOD_CURRENCY" localSheetId="27" hidden="1">#REF!</definedName>
    <definedName name="gls_START_PERIOD_CURRENCY" hidden="1">#REF!</definedName>
    <definedName name="gls_START_STATUS" localSheetId="17" hidden="1">#REF!</definedName>
    <definedName name="gls_START_STATUS" localSheetId="15" hidden="1">#REF!</definedName>
    <definedName name="gls_START_STATUS" localSheetId="12" hidden="1">#REF!</definedName>
    <definedName name="gls_START_STATUS" localSheetId="22" hidden="1">#REF!</definedName>
    <definedName name="gls_START_STATUS" localSheetId="20" hidden="1">#REF!</definedName>
    <definedName name="gls_START_STATUS" localSheetId="21" hidden="1">#REF!</definedName>
    <definedName name="gls_START_STATUS" localSheetId="23" hidden="1">#REF!</definedName>
    <definedName name="gls_START_STATUS" localSheetId="28" hidden="1">#REF!</definedName>
    <definedName name="gls_START_STATUS" localSheetId="26" hidden="1">#REF!</definedName>
    <definedName name="gls_START_STATUS" localSheetId="27" hidden="1">#REF!</definedName>
    <definedName name="gls_START_STATUS" hidden="1">#REF!</definedName>
    <definedName name="gls_START_USER_STATUS" localSheetId="17" hidden="1">#REF!</definedName>
    <definedName name="gls_START_USER_STATUS" localSheetId="15" hidden="1">#REF!</definedName>
    <definedName name="gls_START_USER_STATUS" localSheetId="12" hidden="1">#REF!</definedName>
    <definedName name="gls_START_USER_STATUS" localSheetId="22" hidden="1">#REF!</definedName>
    <definedName name="gls_START_USER_STATUS" localSheetId="20" hidden="1">#REF!</definedName>
    <definedName name="gls_START_USER_STATUS" localSheetId="21" hidden="1">#REF!</definedName>
    <definedName name="gls_START_USER_STATUS" localSheetId="23" hidden="1">#REF!</definedName>
    <definedName name="gls_START_USER_STATUS" localSheetId="28" hidden="1">#REF!</definedName>
    <definedName name="gls_START_USER_STATUS" localSheetId="26" hidden="1">#REF!</definedName>
    <definedName name="gls_START_USER_STATUS" localSheetId="27" hidden="1">#REF!</definedName>
    <definedName name="gls_START_USER_STATUS" hidden="1">#REF!</definedName>
    <definedName name="gls_START_VALIDATION" localSheetId="17" hidden="1">#REF!</definedName>
    <definedName name="gls_START_VALIDATION" localSheetId="15" hidden="1">#REF!</definedName>
    <definedName name="gls_START_VALIDATION" localSheetId="12" hidden="1">#REF!</definedName>
    <definedName name="gls_START_VALIDATION" localSheetId="22" hidden="1">#REF!</definedName>
    <definedName name="gls_START_VALIDATION" localSheetId="20" hidden="1">#REF!</definedName>
    <definedName name="gls_START_VALIDATION" localSheetId="21" hidden="1">#REF!</definedName>
    <definedName name="gls_START_VALIDATION" localSheetId="23" hidden="1">#REF!</definedName>
    <definedName name="gls_START_VALIDATION" localSheetId="28" hidden="1">#REF!</definedName>
    <definedName name="gls_START_VALIDATION" localSheetId="26" hidden="1">#REF!</definedName>
    <definedName name="gls_START_VALIDATION" localSheetId="27" hidden="1">#REF!</definedName>
    <definedName name="gls_START_VALIDATION" hidden="1">#REF!</definedName>
    <definedName name="gls_START_WHAT" localSheetId="17" hidden="1">#REF!</definedName>
    <definedName name="gls_START_WHAT" localSheetId="15" hidden="1">#REF!</definedName>
    <definedName name="gls_START_WHAT" localSheetId="12" hidden="1">#REF!</definedName>
    <definedName name="gls_START_WHAT" localSheetId="22" hidden="1">#REF!</definedName>
    <definedName name="gls_START_WHAT" localSheetId="20" hidden="1">#REF!</definedName>
    <definedName name="gls_START_WHAT" localSheetId="21" hidden="1">#REF!</definedName>
    <definedName name="gls_START_WHAT" localSheetId="23" hidden="1">#REF!</definedName>
    <definedName name="gls_START_WHAT" localSheetId="28" hidden="1">#REF!</definedName>
    <definedName name="gls_START_WHAT" localSheetId="26" hidden="1">#REF!</definedName>
    <definedName name="gls_START_WHAT" localSheetId="27" hidden="1">#REF!</definedName>
    <definedName name="gls_START_WHAT" hidden="1">#REF!</definedName>
    <definedName name="gls_START_YEAR" localSheetId="17" hidden="1">#REF!</definedName>
    <definedName name="gls_START_YEAR" localSheetId="15" hidden="1">#REF!</definedName>
    <definedName name="gls_START_YEAR" localSheetId="12" hidden="1">#REF!</definedName>
    <definedName name="gls_START_YEAR" localSheetId="22" hidden="1">#REF!</definedName>
    <definedName name="gls_START_YEAR" localSheetId="20" hidden="1">#REF!</definedName>
    <definedName name="gls_START_YEAR" localSheetId="21" hidden="1">#REF!</definedName>
    <definedName name="gls_START_YEAR" localSheetId="23" hidden="1">#REF!</definedName>
    <definedName name="gls_START_YEAR" localSheetId="28" hidden="1">#REF!</definedName>
    <definedName name="gls_START_YEAR" localSheetId="26" hidden="1">#REF!</definedName>
    <definedName name="gls_START_YEAR" localSheetId="27" hidden="1">#REF!</definedName>
    <definedName name="gls_START_YEAR" hidden="1">#REF!</definedName>
    <definedName name="gls_TEMP_PERIOD_CODE" localSheetId="17" hidden="1">#REF!</definedName>
    <definedName name="gls_TEMP_PERIOD_CODE" localSheetId="15" hidden="1">#REF!</definedName>
    <definedName name="gls_TEMP_PERIOD_CODE" localSheetId="12" hidden="1">#REF!</definedName>
    <definedName name="gls_TEMP_PERIOD_CODE" localSheetId="22" hidden="1">#REF!</definedName>
    <definedName name="gls_TEMP_PERIOD_CODE" localSheetId="20" hidden="1">#REF!</definedName>
    <definedName name="gls_TEMP_PERIOD_CODE" localSheetId="21" hidden="1">#REF!</definedName>
    <definedName name="gls_TEMP_PERIOD_CODE" localSheetId="23" hidden="1">#REF!</definedName>
    <definedName name="gls_TEMP_PERIOD_CODE" localSheetId="28" hidden="1">#REF!</definedName>
    <definedName name="gls_TEMP_PERIOD_CODE" localSheetId="26" hidden="1">#REF!</definedName>
    <definedName name="gls_TEMP_PERIOD_CODE" localSheetId="27" hidden="1">#REF!</definedName>
    <definedName name="gls_TEMP_PERIOD_CODE" hidden="1">#REF!</definedName>
    <definedName name="gls_YEAR_AE_CONTROL" localSheetId="17" hidden="1">#REF!</definedName>
    <definedName name="gls_YEAR_AE_CONTROL" localSheetId="15" hidden="1">#REF!</definedName>
    <definedName name="gls_YEAR_AE_CONTROL" localSheetId="12" hidden="1">#REF!</definedName>
    <definedName name="gls_YEAR_AE_CONTROL" localSheetId="22" hidden="1">#REF!</definedName>
    <definedName name="gls_YEAR_AE_CONTROL" localSheetId="20" hidden="1">#REF!</definedName>
    <definedName name="gls_YEAR_AE_CONTROL" localSheetId="21" hidden="1">#REF!</definedName>
    <definedName name="gls_YEAR_AE_CONTROL" localSheetId="23" hidden="1">#REF!</definedName>
    <definedName name="gls_YEAR_AE_CONTROL" localSheetId="28" hidden="1">#REF!</definedName>
    <definedName name="gls_YEAR_AE_CONTROL" localSheetId="26" hidden="1">#REF!</definedName>
    <definedName name="gls_YEAR_AE_CONTROL" localSheetId="27" hidden="1">#REF!</definedName>
    <definedName name="gls_YEAR_AE_CONTROL" hidden="1">#REF!</definedName>
    <definedName name="gls_YEAR_END_ROW" localSheetId="17" hidden="1">#REF!</definedName>
    <definedName name="gls_YEAR_END_ROW" localSheetId="15" hidden="1">#REF!</definedName>
    <definedName name="gls_YEAR_END_ROW" localSheetId="12" hidden="1">#REF!</definedName>
    <definedName name="gls_YEAR_END_ROW" localSheetId="22" hidden="1">#REF!</definedName>
    <definedName name="gls_YEAR_END_ROW" localSheetId="20" hidden="1">#REF!</definedName>
    <definedName name="gls_YEAR_END_ROW" localSheetId="21" hidden="1">#REF!</definedName>
    <definedName name="gls_YEAR_END_ROW" localSheetId="23" hidden="1">#REF!</definedName>
    <definedName name="gls_YEAR_END_ROW" localSheetId="28" hidden="1">#REF!</definedName>
    <definedName name="gls_YEAR_END_ROW" localSheetId="26" hidden="1">#REF!</definedName>
    <definedName name="gls_YEAR_END_ROW" localSheetId="27" hidden="1">#REF!</definedName>
    <definedName name="gls_YEAR_END_ROW" hidden="1">#REF!</definedName>
    <definedName name="guidanc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1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5"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0"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2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AL">#REF!</definedName>
    <definedName name="Hidden_Sheet">#REF!</definedName>
    <definedName name="HON" localSheetId="17" hidden="1">{"comps",#N/A,FALSE,"TXTCOMPS";"segment_EPS",#N/A,FALSE,"TXTCOMPS";"valuation",#N/A,FALSE,"TXTCOMPS"}</definedName>
    <definedName name="HON" localSheetId="15" hidden="1">{"comps",#N/A,FALSE,"TXTCOMPS";"segment_EPS",#N/A,FALSE,"TXTCOMPS";"valuation",#N/A,FALSE,"TXTCOMPS"}</definedName>
    <definedName name="HON" localSheetId="12" hidden="1">{"comps",#N/A,FALSE,"TXTCOMPS";"segment_EPS",#N/A,FALSE,"TXTCOMPS";"valuation",#N/A,FALSE,"TXTCOMPS"}</definedName>
    <definedName name="HON" localSheetId="22" hidden="1">{"comps",#N/A,FALSE,"TXTCOMPS";"segment_EPS",#N/A,FALSE,"TXTCOMPS";"valuation",#N/A,FALSE,"TXTCOMPS"}</definedName>
    <definedName name="HON" localSheetId="20" hidden="1">{"comps",#N/A,FALSE,"TXTCOMPS";"segment_EPS",#N/A,FALSE,"TXTCOMPS";"valuation",#N/A,FALSE,"TXTCOMPS"}</definedName>
    <definedName name="HON" localSheetId="21" hidden="1">{"comps",#N/A,FALSE,"TXTCOMPS";"segment_EPS",#N/A,FALSE,"TXTCOMPS";"valuation",#N/A,FALSE,"TXTCOMPS"}</definedName>
    <definedName name="HON" localSheetId="23" hidden="1">{"comps",#N/A,FALSE,"TXTCOMPS";"segment_EPS",#N/A,FALSE,"TXTCOMPS";"valuation",#N/A,FALSE,"TXTCOMPS"}</definedName>
    <definedName name="HON" localSheetId="1" hidden="1">{"comps",#N/A,FALSE,"TXTCOMPS";"segment_EPS",#N/A,FALSE,"TXTCOMPS";"valuation",#N/A,FALSE,"TXTCOMPS"}</definedName>
    <definedName name="HON" localSheetId="28" hidden="1">{"comps",#N/A,FALSE,"TXTCOMPS";"segment_EPS",#N/A,FALSE,"TXTCOMPS";"valuation",#N/A,FALSE,"TXTCOMPS"}</definedName>
    <definedName name="HON" localSheetId="26" hidden="1">{"comps",#N/A,FALSE,"TXTCOMPS";"segment_EPS",#N/A,FALSE,"TXTCOMPS";"valuation",#N/A,FALSE,"TXTCOMPS"}</definedName>
    <definedName name="HON" localSheetId="27" hidden="1">{"comps",#N/A,FALSE,"TXTCOMPS";"segment_EPS",#N/A,FALSE,"TXTCOMPS";"valuation",#N/A,FALSE,"TXTCOMPS"}</definedName>
    <definedName name="HON" hidden="1">{"comps",#N/A,FALSE,"TXTCOMPS";"segment_EPS",#N/A,FALSE,"TXTCOMPS";"valuation",#N/A,FALSE,"TXTCOMPS"}</definedName>
    <definedName name="HTML_CodePage" localSheetId="15" hidden="1">1252</definedName>
    <definedName name="HTML_CodePage" localSheetId="12" hidden="1">1252</definedName>
    <definedName name="HTML_CodePage" localSheetId="20" hidden="1">1252</definedName>
    <definedName name="HTML_CodePage" localSheetId="21" hidden="1">1252</definedName>
    <definedName name="HTML_CodePage" localSheetId="23" hidden="1">1252</definedName>
    <definedName name="HTML_CodePage" localSheetId="26" hidden="1">1252</definedName>
    <definedName name="HTML_CodePage" localSheetId="27" hidden="1">1252</definedName>
    <definedName name="HTML_CodePage" hidden="1">949</definedName>
    <definedName name="HTML_Control" localSheetId="17" hidden="1">{"'보고양식'!$A$58:$K$111"}</definedName>
    <definedName name="HTML_Control" localSheetId="15" hidden="1">{"'IG3Q99'!$A$306:$I$356"}</definedName>
    <definedName name="HTML_Control" localSheetId="12" hidden="1">{"'IG3Q99'!$A$306:$I$356"}</definedName>
    <definedName name="HTML_Control" localSheetId="22" hidden="1">{"'보고양식'!$A$58:$K$111"}</definedName>
    <definedName name="HTML_Control" localSheetId="20" hidden="1">{"'IG3Q99'!$A$306:$I$356"}</definedName>
    <definedName name="HTML_Control" localSheetId="21" hidden="1">{"'IG3Q99'!$A$306:$I$356"}</definedName>
    <definedName name="HTML_Control" localSheetId="23" hidden="1">{"'IG3Q99'!$A$306:$I$356"}</definedName>
    <definedName name="HTML_Control" localSheetId="1" hidden="1">{"'보고양식'!$A$58:$K$111"}</definedName>
    <definedName name="HTML_Control" localSheetId="28" hidden="1">{"'보고양식'!$A$58:$K$111"}</definedName>
    <definedName name="HTML_Control" localSheetId="26" hidden="1">{"'IG3Q99'!$A$306:$I$356"}</definedName>
    <definedName name="HTML_Control" localSheetId="27" hidden="1">{"'IG3Q99'!$A$306:$I$356"}</definedName>
    <definedName name="HTML_Control" hidden="1">{"'보고양식'!$A$58:$K$111"}</definedName>
    <definedName name="html_control_1" localSheetId="17" hidden="1">{"'IG3Q99'!$A$306:$I$356"}</definedName>
    <definedName name="html_control_1" localSheetId="15" hidden="1">{"'IG3Q99'!$A$306:$I$356"}</definedName>
    <definedName name="html_control_1" localSheetId="12" hidden="1">{"'IG3Q99'!$A$306:$I$356"}</definedName>
    <definedName name="html_control_1" localSheetId="22" hidden="1">{"'IG3Q99'!$A$306:$I$356"}</definedName>
    <definedName name="html_control_1" localSheetId="20" hidden="1">{"'IG3Q99'!$A$306:$I$356"}</definedName>
    <definedName name="html_control_1" localSheetId="21" hidden="1">{"'IG3Q99'!$A$306:$I$356"}</definedName>
    <definedName name="html_control_1" localSheetId="23" hidden="1">{"'IG3Q99'!$A$306:$I$356"}</definedName>
    <definedName name="html_control_1" localSheetId="1" hidden="1">{"'IG3Q99'!$A$306:$I$356"}</definedName>
    <definedName name="html_control_1" localSheetId="28" hidden="1">{"'IG3Q99'!$A$306:$I$356"}</definedName>
    <definedName name="html_control_1" localSheetId="26" hidden="1">{"'IG3Q99'!$A$306:$I$356"}</definedName>
    <definedName name="html_control_1" localSheetId="27" hidden="1">{"'IG3Q99'!$A$306:$I$356"}</definedName>
    <definedName name="html_control_1" hidden="1">{"'IG3Q99'!$A$306:$I$356"}</definedName>
    <definedName name="HTML_Description" hidden="1">""</definedName>
    <definedName name="HTML_Email" hidden="1">""</definedName>
    <definedName name="HTML_Header" localSheetId="15" hidden="1">"IG1Q99"</definedName>
    <definedName name="HTML_Header" localSheetId="12" hidden="1">"IG1Q99"</definedName>
    <definedName name="HTML_Header" localSheetId="20" hidden="1">"IG1Q99"</definedName>
    <definedName name="HTML_Header" localSheetId="21" hidden="1">"IG1Q99"</definedName>
    <definedName name="HTML_Header" localSheetId="23" hidden="1">"IG1Q99"</definedName>
    <definedName name="HTML_Header" localSheetId="26" hidden="1">"IG1Q99"</definedName>
    <definedName name="HTML_Header" localSheetId="27" hidden="1">"IG1Q99"</definedName>
    <definedName name="HTML_Header" hidden="1">""</definedName>
    <definedName name="HTML_LastUpdate" localSheetId="15" hidden="1">"10/26/1999"</definedName>
    <definedName name="HTML_LastUpdate" localSheetId="12" hidden="1">"10/26/1999"</definedName>
    <definedName name="HTML_LastUpdate" localSheetId="20" hidden="1">"10/26/1999"</definedName>
    <definedName name="HTML_LastUpdate" localSheetId="21" hidden="1">"10/26/1999"</definedName>
    <definedName name="HTML_LastUpdate" localSheetId="23" hidden="1">"10/26/1999"</definedName>
    <definedName name="HTML_LastUpdate" localSheetId="26" hidden="1">"10/26/1999"</definedName>
    <definedName name="HTML_LastUpdate" localSheetId="27" hidden="1">"10/26/1999"</definedName>
    <definedName name="HTML_LastUpdate" hidden="1">""</definedName>
    <definedName name="HTML_LineAfter" hidden="1">FALSE</definedName>
    <definedName name="HTML_LineBefore" hidden="1">FALSE</definedName>
    <definedName name="HTML_Name" localSheetId="15" hidden="1">"Judy Sinclair"</definedName>
    <definedName name="HTML_Name" localSheetId="12" hidden="1">"Judy Sinclair"</definedName>
    <definedName name="HTML_Name" localSheetId="20" hidden="1">"Judy Sinclair"</definedName>
    <definedName name="HTML_Name" localSheetId="21" hidden="1">"Judy Sinclair"</definedName>
    <definedName name="HTML_Name" localSheetId="23" hidden="1">"Judy Sinclair"</definedName>
    <definedName name="HTML_Name" localSheetId="26" hidden="1">"Judy Sinclair"</definedName>
    <definedName name="HTML_Name" localSheetId="27" hidden="1">"Judy Sinclair"</definedName>
    <definedName name="HTML_Name" hidden="1">""</definedName>
    <definedName name="HTML_OBDlg2" hidden="1">TRUE</definedName>
    <definedName name="HTML_OBDlg4" hidden="1">TRUE</definedName>
    <definedName name="HTML_OS" hidden="1">0</definedName>
    <definedName name="HTML_PathFile" localSheetId="15" hidden="1">"G:\EXCELDAT\CEXJIS\newcoll.htm"</definedName>
    <definedName name="HTML_PathFile" localSheetId="12" hidden="1">"G:\EXCELDAT\CEXJIS\newcoll.htm"</definedName>
    <definedName name="HTML_PathFile" localSheetId="20" hidden="1">"G:\EXCELDAT\CEXJIS\newcoll.htm"</definedName>
    <definedName name="HTML_PathFile" localSheetId="21" hidden="1">"G:\EXCELDAT\CEXJIS\newcoll.htm"</definedName>
    <definedName name="HTML_PathFile" localSheetId="23" hidden="1">"G:\EXCELDAT\CEXJIS\newcoll.htm"</definedName>
    <definedName name="HTML_PathFile" localSheetId="26" hidden="1">"G:\EXCELDAT\CEXJIS\newcoll.htm"</definedName>
    <definedName name="HTML_PathFile" localSheetId="27" hidden="1">"G:\EXCELDAT\CEXJIS\newcoll.htm"</definedName>
    <definedName name="HTML_PathFile" hidden="1">"C:\My Documents\98년\영업현황\2월 수주현황(2월 마감분).htm"</definedName>
    <definedName name="HTML_Title" localSheetId="15" hidden="1">"CNCIG98"</definedName>
    <definedName name="HTML_Title" localSheetId="12" hidden="1">"CNCIG98"</definedName>
    <definedName name="HTML_Title" localSheetId="20" hidden="1">"CNCIG98"</definedName>
    <definedName name="HTML_Title" localSheetId="21" hidden="1">"CNCIG98"</definedName>
    <definedName name="HTML_Title" localSheetId="23" hidden="1">"CNCIG98"</definedName>
    <definedName name="HTML_Title" localSheetId="26" hidden="1">"CNCIG98"</definedName>
    <definedName name="HTML_Title" localSheetId="27" hidden="1">"CNCIG98"</definedName>
    <definedName name="HTML_Title" hidden="1">""</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hu" localSheetId="17" hidden="1">{"comps",#N/A,FALSE,"TXTCOMPS";"segment_EPS",#N/A,FALSE,"TXTCOMPS";"valuation",#N/A,FALSE,"TXTCOMPS"}</definedName>
    <definedName name="hu" localSheetId="15" hidden="1">{"comps",#N/A,FALSE,"TXTCOMPS";"segment_EPS",#N/A,FALSE,"TXTCOMPS";"valuation",#N/A,FALSE,"TXTCOMPS"}</definedName>
    <definedName name="hu" localSheetId="12" hidden="1">{"comps",#N/A,FALSE,"TXTCOMPS";"segment_EPS",#N/A,FALSE,"TXTCOMPS";"valuation",#N/A,FALSE,"TXTCOMPS"}</definedName>
    <definedName name="hu" localSheetId="22" hidden="1">{"comps",#N/A,FALSE,"TXTCOMPS";"segment_EPS",#N/A,FALSE,"TXTCOMPS";"valuation",#N/A,FALSE,"TXTCOMPS"}</definedName>
    <definedName name="hu" localSheetId="20" hidden="1">{"comps",#N/A,FALSE,"TXTCOMPS";"segment_EPS",#N/A,FALSE,"TXTCOMPS";"valuation",#N/A,FALSE,"TXTCOMPS"}</definedName>
    <definedName name="hu" localSheetId="21" hidden="1">{"comps",#N/A,FALSE,"TXTCOMPS";"segment_EPS",#N/A,FALSE,"TXTCOMPS";"valuation",#N/A,FALSE,"TXTCOMPS"}</definedName>
    <definedName name="hu" localSheetId="23" hidden="1">{"comps",#N/A,FALSE,"TXTCOMPS";"segment_EPS",#N/A,FALSE,"TXTCOMPS";"valuation",#N/A,FALSE,"TXTCOMPS"}</definedName>
    <definedName name="hu" localSheetId="1" hidden="1">{"comps",#N/A,FALSE,"TXTCOMPS";"segment_EPS",#N/A,FALSE,"TXTCOMPS";"valuation",#N/A,FALSE,"TXTCOMPS"}</definedName>
    <definedName name="hu" localSheetId="28" hidden="1">{"comps",#N/A,FALSE,"TXTCOMPS";"segment_EPS",#N/A,FALSE,"TXTCOMPS";"valuation",#N/A,FALSE,"TXTCOMPS"}</definedName>
    <definedName name="hu" localSheetId="26" hidden="1">{"comps",#N/A,FALSE,"TXTCOMPS";"segment_EPS",#N/A,FALSE,"TXTCOMPS";"valuation",#N/A,FALSE,"TXTCOMPS"}</definedName>
    <definedName name="hu" localSheetId="27" hidden="1">{"comps",#N/A,FALSE,"TXTCOMPS";"segment_EPS",#N/A,FALSE,"TXTCOMPS";"valuation",#N/A,FALSE,"TXTCOMPS"}</definedName>
    <definedName name="hu" hidden="1">{"comps",#N/A,FALSE,"TXTCOMPS";"segment_EPS",#N/A,FALSE,"TXTCOMPS";"valuation",#N/A,FALSE,"TXTCOMPS"}</definedName>
    <definedName name="huji" localSheetId="17" hidden="1">{"comps",#N/A,FALSE,"TXTCOMPS"}</definedName>
    <definedName name="huji" localSheetId="15" hidden="1">{"comps",#N/A,FALSE,"TXTCOMPS"}</definedName>
    <definedName name="huji" localSheetId="12" hidden="1">{"comps",#N/A,FALSE,"TXTCOMPS"}</definedName>
    <definedName name="huji" localSheetId="22" hidden="1">{"comps",#N/A,FALSE,"TXTCOMPS"}</definedName>
    <definedName name="huji" localSheetId="20" hidden="1">{"comps",#N/A,FALSE,"TXTCOMPS"}</definedName>
    <definedName name="huji" localSheetId="21" hidden="1">{"comps",#N/A,FALSE,"TXTCOMPS"}</definedName>
    <definedName name="huji" localSheetId="23" hidden="1">{"comps",#N/A,FALSE,"TXTCOMPS"}</definedName>
    <definedName name="huji" localSheetId="1" hidden="1">{"comps",#N/A,FALSE,"TXTCOMPS"}</definedName>
    <definedName name="huji" localSheetId="28" hidden="1">{"comps",#N/A,FALSE,"TXTCOMPS"}</definedName>
    <definedName name="huji" localSheetId="26" hidden="1">{"comps",#N/A,FALSE,"TXTCOMPS"}</definedName>
    <definedName name="huji" localSheetId="27" hidden="1">{"comps",#N/A,FALSE,"TXTCOMPS"}</definedName>
    <definedName name="huji" hidden="1">{"comps",#N/A,FALSE,"TXTCOMPS"}</definedName>
    <definedName name="i" localSheetId="17" hidden="1">{"comps",#N/A,FALSE,"TXTCOMPS";"segment_EPS",#N/A,FALSE,"TXTCOMPS";"valuation",#N/A,FALSE,"TXTCOMPS"}</definedName>
    <definedName name="i" localSheetId="15" hidden="1">{"comps",#N/A,FALSE,"TXTCOMPS";"segment_EPS",#N/A,FALSE,"TXTCOMPS";"valuation",#N/A,FALSE,"TXTCOMPS"}</definedName>
    <definedName name="i" localSheetId="12" hidden="1">{"comps",#N/A,FALSE,"TXTCOMPS";"segment_EPS",#N/A,FALSE,"TXTCOMPS";"valuation",#N/A,FALSE,"TXTCOMPS"}</definedName>
    <definedName name="i" localSheetId="22" hidden="1">{"comps",#N/A,FALSE,"TXTCOMPS";"segment_EPS",#N/A,FALSE,"TXTCOMPS";"valuation",#N/A,FALSE,"TXTCOMPS"}</definedName>
    <definedName name="i" localSheetId="20" hidden="1">{"comps",#N/A,FALSE,"TXTCOMPS";"segment_EPS",#N/A,FALSE,"TXTCOMPS";"valuation",#N/A,FALSE,"TXTCOMPS"}</definedName>
    <definedName name="i" localSheetId="21" hidden="1">{"comps",#N/A,FALSE,"TXTCOMPS";"segment_EPS",#N/A,FALSE,"TXTCOMPS";"valuation",#N/A,FALSE,"TXTCOMPS"}</definedName>
    <definedName name="i" localSheetId="23" hidden="1">{"comps",#N/A,FALSE,"TXTCOMPS";"segment_EPS",#N/A,FALSE,"TXTCOMPS";"valuation",#N/A,FALSE,"TXTCOMPS"}</definedName>
    <definedName name="i" localSheetId="1" hidden="1">{"comps",#N/A,FALSE,"TXTCOMPS";"segment_EPS",#N/A,FALSE,"TXTCOMPS";"valuation",#N/A,FALSE,"TXTCOMPS"}</definedName>
    <definedName name="i" localSheetId="28" hidden="1">{"comps",#N/A,FALSE,"TXTCOMPS";"segment_EPS",#N/A,FALSE,"TXTCOMPS";"valuation",#N/A,FALSE,"TXTCOMPS"}</definedName>
    <definedName name="i" localSheetId="26" hidden="1">{"comps",#N/A,FALSE,"TXTCOMPS";"segment_EPS",#N/A,FALSE,"TXTCOMPS";"valuation",#N/A,FALSE,"TXTCOMPS"}</definedName>
    <definedName name="i" localSheetId="27" hidden="1">{"comps",#N/A,FALSE,"TXTCOMPS";"segment_EPS",#N/A,FALSE,"TXTCOMPS";"valuation",#N/A,FALSE,"TXTCOMPS"}</definedName>
    <definedName name="i" hidden="1">{"comps",#N/A,FALSE,"TXTCOMPS";"segment_EPS",#N/A,FALSE,"TXTCOMPS";"valuation",#N/A,FALSE,"TXTCOMPS"}</definedName>
    <definedName name="Img_GE_Retail_Finance" hidden="1">"IMG_12"</definedName>
    <definedName name="Img_Geo" hidden="1">"IMG_4"</definedName>
    <definedName name="Img_ML_1a7g4d7g" hidden="1">"IMG_10"</definedName>
    <definedName name="Img_ML_1a9i6f1a" hidden="1">"IMG_6"</definedName>
    <definedName name="Img_ML_1c3d1n6n" hidden="1">"IMG_11"</definedName>
    <definedName name="Img_ML_1d8s8t7q" hidden="1">"IMG_10"</definedName>
    <definedName name="Img_ML_1e1k9n5y" hidden="1">"IMG_18"</definedName>
    <definedName name="Img_ML_1g2y2j4q" hidden="1">"IMG_10"</definedName>
    <definedName name="Img_ML_1g9y2u4q" hidden="1">"IMG_11"</definedName>
    <definedName name="Img_ML_1h4n3h8h" hidden="1">"IMG_8"</definedName>
    <definedName name="Img_ML_1k4g9u7k" hidden="1">"IMG_11"</definedName>
    <definedName name="Img_ML_1s1s8i2q" hidden="1">"IMG_10"</definedName>
    <definedName name="Img_ML_1s4s8z2q" hidden="1">"IMG_10"</definedName>
    <definedName name="Img_ML_1t5s6u1f" hidden="1">"IMG_5"</definedName>
    <definedName name="Img_ML_1y7a6c1t" hidden="1">"IMG_11"</definedName>
    <definedName name="Img_ML_2b1a1a6f" localSheetId="15" hidden="1">"IMG_4"</definedName>
    <definedName name="Img_ML_2b1a1a6f" localSheetId="12" hidden="1">"IMG_4"</definedName>
    <definedName name="Img_ML_2b1a1a6f" localSheetId="20" hidden="1">"IMG_4"</definedName>
    <definedName name="Img_ML_2b1a1a6f" localSheetId="21" hidden="1">"IMG_4"</definedName>
    <definedName name="Img_ML_2b1a1a6f" localSheetId="23" hidden="1">"IMG_4"</definedName>
    <definedName name="Img_ML_2b1a1a6f" localSheetId="26" hidden="1">"IMG_4"</definedName>
    <definedName name="Img_ML_2b1a1a6f" localSheetId="27" hidden="1">"IMG_4"</definedName>
    <definedName name="Img_ML_2b1a1a6f" hidden="1">"IMG_6"</definedName>
    <definedName name="Img_ML_2b2b8h8h" hidden="1">"IMG_10"</definedName>
    <definedName name="Img_ML_2b4d2b3c" hidden="1">"IMG_6"</definedName>
    <definedName name="Img_ML_2b5e9i4d" hidden="1">"IMG_6"</definedName>
    <definedName name="Img_ML_2b6f5e1a" hidden="1">"IMG_6"</definedName>
    <definedName name="Img_ML_2b9i6f3c" hidden="1">"IMG_6"</definedName>
    <definedName name="Img_ML_2e1r5p2m" hidden="1">"IMG_10"</definedName>
    <definedName name="Img_ML_2i4d6c2r" hidden="1">"IMG_18"</definedName>
    <definedName name="Img_ML_2j4h5d5y" hidden="1">"IMG_10"</definedName>
    <definedName name="Img_ML_2j6i5k6b" hidden="1">"IMG_12"</definedName>
    <definedName name="Img_ML_2j6r9l1a" hidden="1">"IMG_10"</definedName>
    <definedName name="Img_ML_2j9r9u8a" hidden="1">"IMG_10"</definedName>
    <definedName name="Img_ML_2k2r9j3a" hidden="1">"IMG_10"</definedName>
    <definedName name="Img_ML_2k5y2m3a" hidden="1">"IMG_10"</definedName>
    <definedName name="Img_ML_2m9t4m5q" hidden="1">"IMG_10"</definedName>
    <definedName name="Img_ML_2s1s8i2a" hidden="1">"IMG_10"</definedName>
    <definedName name="Img_ML_2v6s9i5c" hidden="1">"IMG_18"</definedName>
    <definedName name="Img_ML_2x1b8j5c" hidden="1">"IMG_12"</definedName>
    <definedName name="Img_ML_2x8r4a2e" hidden="1">"IMG_11"</definedName>
    <definedName name="Img_ML_3b3j3x9k" hidden="1">"IMG_18"</definedName>
    <definedName name="Img_ML_3c4d1a4d" hidden="1">"IMG_6"</definedName>
    <definedName name="Img_ML_3c4d2b5e" hidden="1">"IMG_6"</definedName>
    <definedName name="Img_ML_3c6e9c4g" hidden="1">"IMG_12"</definedName>
    <definedName name="Img_ML_3c7g1a7g" hidden="1">"IMG_3"</definedName>
    <definedName name="Img_ML_3c9i9i4d" hidden="1">"IMG_6"</definedName>
    <definedName name="Img_ML_3e2q4k7i" hidden="1">"IMG_11"</definedName>
    <definedName name="Img_ML_3g2u6j4p" hidden="1">"IMG_10"</definedName>
    <definedName name="Img_ML_3g2y2j4p" hidden="1">"IMG_10"</definedName>
    <definedName name="Img_ML_3g3r9k4p" hidden="1">"IMG_10"</definedName>
    <definedName name="Img_ML_3h2n3p4v" hidden="1">"IMG_11"</definedName>
    <definedName name="Img_ML_3j3z1k8p" hidden="1">"IMG_10"</definedName>
    <definedName name="Img_ML_3k8z1t3p" hidden="1">"IMG_10"</definedName>
    <definedName name="Img_ML_3n5p3k4y" hidden="1">"IMG_13"</definedName>
    <definedName name="Img_ML_3p2b9c6w" hidden="1">"IMG_18"</definedName>
    <definedName name="Img_ML_3p5d9q5j" hidden="1">"IMG_6"</definedName>
    <definedName name="Img_ML_3r4u7k1k" hidden="1">"IMG_14"</definedName>
    <definedName name="Img_ML_3s2w4j6p" hidden="1">"IMG_10"</definedName>
    <definedName name="Img_ML_3s8t7t6p" hidden="1">"IMG_10"</definedName>
    <definedName name="Img_ML_3t6y8n6e" hidden="1">"IMG_13"</definedName>
    <definedName name="Img_ML_3x8m5t8j" hidden="1">"IMG_12"</definedName>
    <definedName name="Img_ML_3y1j4m2m" hidden="1">"IMG_18"</definedName>
    <definedName name="Img_ML_4b5r5k9y" hidden="1">"IMG_18"</definedName>
    <definedName name="Img_ML_4d2b6f6f" hidden="1">"IMG_6"</definedName>
    <definedName name="Img_ML_4d4d7g3c" localSheetId="15" hidden="1">"IMG_4"</definedName>
    <definedName name="Img_ML_4d4d7g3c" localSheetId="12" hidden="1">"IMG_4"</definedName>
    <definedName name="Img_ML_4d4d7g3c" localSheetId="20" hidden="1">"IMG_4"</definedName>
    <definedName name="Img_ML_4d4d7g3c" localSheetId="21" hidden="1">"IMG_4"</definedName>
    <definedName name="Img_ML_4d4d7g3c" localSheetId="23" hidden="1">"IMG_4"</definedName>
    <definedName name="Img_ML_4d4d7g3c" localSheetId="26" hidden="1">"IMG_4"</definedName>
    <definedName name="Img_ML_4d4d7g3c" localSheetId="27" hidden="1">"IMG_4"</definedName>
    <definedName name="Img_ML_4d4d7g3c" hidden="1">"IMG_6"</definedName>
    <definedName name="Img_ML_4d6v5l7l" hidden="1">"IMG_10"</definedName>
    <definedName name="Img_ML_4g9z1u4l" hidden="1">"IMG_10"</definedName>
    <definedName name="Img_ML_4j1z1i1l" hidden="1">"IMG_10"</definedName>
    <definedName name="Img_ML_4k8k7q4x" hidden="1">"IMG_10"</definedName>
    <definedName name="Img_ML_4m3p5r8j" hidden="1">"IMG_32"</definedName>
    <definedName name="Img_ML_4n6t1k1h" hidden="1">"IMG_6"</definedName>
    <definedName name="Img_ML_4r3t2p9g" hidden="1">"IMG_10"</definedName>
    <definedName name="Img_ML_4s2w4j6l" hidden="1">"IMG_10"</definedName>
    <definedName name="Img_ML_4u3z1k5l" hidden="1">"IMG_11"</definedName>
    <definedName name="Img_ML_4u7w4o5l" hidden="1">"IMG_10"</definedName>
    <definedName name="Img_ML_5d3i8b5s" hidden="1">"IMG_10"</definedName>
    <definedName name="Img_ML_5e1a1a7g" hidden="1">"IMG_6"</definedName>
    <definedName name="Img_ML_5e6f9i8h" hidden="1">"IMG_6"</definedName>
    <definedName name="Img_ML_5e7g5e5e" hidden="1">"IMG_6"</definedName>
    <definedName name="Img_ML_5e7s6t2u" hidden="1">"IMG_12"</definedName>
    <definedName name="Img_ML_5e8h1a2b" hidden="1">"IMG_10"</definedName>
    <definedName name="Img_ML_5e9i9i2b" hidden="1">"IMG_6"</definedName>
    <definedName name="Img_ML_5e9m1k3s" hidden="1">"IMG_3"</definedName>
    <definedName name="Img_ML_5f9d1i5x" hidden="1">"IMG_6"</definedName>
    <definedName name="Img_ML_5f9x9u4u" hidden="1">"IMG_18"</definedName>
    <definedName name="Img_ML_5g9z1u4m" hidden="1">"IMG_10"</definedName>
    <definedName name="Img_ML_5h6q3g8u" hidden="1">"IMG_12"</definedName>
    <definedName name="Img_ML_5j2y2j1m" hidden="1">"IMG_11"</definedName>
    <definedName name="Img_ML_5k1g6v5e" hidden="1">"IMG_10"</definedName>
    <definedName name="Img_ML_5k7e4n8n" hidden="1">"IMG_5"</definedName>
    <definedName name="Img_ML_5k8u7s9i" hidden="1">"IMG_10"</definedName>
    <definedName name="Img_ML_5u2y2j5m" hidden="1">"IMG_10"</definedName>
    <definedName name="Img_ML_6d4x3z7z" hidden="1">"IMG_10"</definedName>
    <definedName name="Img_ML_6d5x3m7z" hidden="1">"IMG_10"</definedName>
    <definedName name="Img_ML_6f2b1a5e" localSheetId="15" hidden="1">"IMG_4"</definedName>
    <definedName name="Img_ML_6f2b1a5e" localSheetId="12" hidden="1">"IMG_4"</definedName>
    <definedName name="Img_ML_6f2b1a5e" localSheetId="20" hidden="1">"IMG_4"</definedName>
    <definedName name="Img_ML_6f2b1a5e" localSheetId="21" hidden="1">"IMG_4"</definedName>
    <definedName name="Img_ML_6f2b1a5e" localSheetId="23" hidden="1">"IMG_4"</definedName>
    <definedName name="Img_ML_6f2b1a5e" localSheetId="26" hidden="1">"IMG_4"</definedName>
    <definedName name="Img_ML_6f2b1a5e" localSheetId="27" hidden="1">"IMG_4"</definedName>
    <definedName name="Img_ML_6f2b1a5e" hidden="1">"IMG_10"</definedName>
    <definedName name="Img_ML_6f2p1m9g" hidden="1">"IMG_10"</definedName>
    <definedName name="Img_ML_6f5e5e4d" hidden="1">"IMG_6"</definedName>
    <definedName name="Img_ML_6f6f4d9i" hidden="1">"IMG_6"</definedName>
    <definedName name="Img_ML_6f9i2b5e" hidden="1">"IMG_6"</definedName>
    <definedName name="Img_ML_6j4v6x5i" hidden="1">"IMG_10"</definedName>
    <definedName name="Img_ML_6j5x3m8z" hidden="1">"IMG_10"</definedName>
    <definedName name="Img_ML_6k4t7z9z" hidden="1">"IMG_6"</definedName>
    <definedName name="Img_ML_6k5t7m9z" hidden="1">"IMG_10"</definedName>
    <definedName name="Img_ML_6k8x3t3z" hidden="1">"IMG_10"</definedName>
    <definedName name="Img_ML_6k9c9p4d" hidden="1">"IMG_18"</definedName>
    <definedName name="Img_ML_6m6i9t6k" hidden="1">"IMG_10"</definedName>
    <definedName name="Img_ML_6n6c2h1d" hidden="1">"IMG_17"</definedName>
    <definedName name="Img_ML_6p2b6u6k" hidden="1">"IMG_13"</definedName>
    <definedName name="Img_ML_6p3m8v1n" hidden="1">"IMG_18"</definedName>
    <definedName name="Img_ML_6r9u1n9k" hidden="1">"IMG_11"</definedName>
    <definedName name="Img_ML_6u4t7r7e" hidden="1">"IMG_10"</definedName>
    <definedName name="Img_ML_6u6x3l5z" hidden="1">"IMG_10"</definedName>
    <definedName name="Img_ML_6w6m7b7r" hidden="1">"IMG_10"</definedName>
    <definedName name="Img_ML_6y9f7y3n" hidden="1">"IMG_12"</definedName>
    <definedName name="Img_ML_7b3x8f2f" hidden="1">"IMG_10"</definedName>
    <definedName name="Img_ML_7e1g7x4r" hidden="1">"IMG_11"</definedName>
    <definedName name="Img_ML_7g3c2b9i" hidden="1">"IMG_6"</definedName>
    <definedName name="Img_ML_7g4k9d6i" hidden="1">"IMG_11"</definedName>
    <definedName name="Img_ML_7g5e5e2b" localSheetId="15" hidden="1">"IMG_12"</definedName>
    <definedName name="Img_ML_7g5e5e2b" localSheetId="12" hidden="1">"IMG_12"</definedName>
    <definedName name="Img_ML_7g5e5e2b" localSheetId="20" hidden="1">"IMG_12"</definedName>
    <definedName name="Img_ML_7g5e5e2b" localSheetId="21" hidden="1">"IMG_12"</definedName>
    <definedName name="Img_ML_7g5e5e2b" localSheetId="23" hidden="1">"IMG_12"</definedName>
    <definedName name="Img_ML_7g5e5e2b" localSheetId="26" hidden="1">"IMG_12"</definedName>
    <definedName name="Img_ML_7g5e5e2b" localSheetId="27" hidden="1">"IMG_12"</definedName>
    <definedName name="Img_ML_7g5e5e2b" hidden="1">"IMG_3"</definedName>
    <definedName name="Img_ML_7j6w4l1i" hidden="1">"IMG_10"</definedName>
    <definedName name="Img_ML_7m5m4k3b" hidden="1">"IMG_18"</definedName>
    <definedName name="Img_ML_7n6h3t1t" hidden="1">"IMG_11"</definedName>
    <definedName name="Img_ML_7s4w7c6r" hidden="1">"IMG_6"</definedName>
    <definedName name="Img_ML_7s5s8m6i" hidden="1">"IMG_10"</definedName>
    <definedName name="Img_ML_7s7v5o2i" hidden="1">"IMG_10"</definedName>
    <definedName name="Img_ML_7w3j1h9t" hidden="1">"IMG_12"</definedName>
    <definedName name="Img_ML_8b4s3j4n" hidden="1">"IMG_12"</definedName>
    <definedName name="Img_ML_8b9j5t1p" hidden="1">"IMG_18"</definedName>
    <definedName name="Img_ML_8c2q5i2r" hidden="1">"IMG_12"</definedName>
    <definedName name="Img_ML_8g3e4a7v" hidden="1">"IMG_6"</definedName>
    <definedName name="Img_ML_8g6y2l4j" hidden="1">"IMG_10"</definedName>
    <definedName name="Img_ML_8h3m3i1m" hidden="1">"IMG_11"</definedName>
    <definedName name="Img_ML_8h4d9i2b" localSheetId="15" hidden="1">"IMG_4"</definedName>
    <definedName name="Img_ML_8h4d9i2b" localSheetId="12" hidden="1">"IMG_4"</definedName>
    <definedName name="Img_ML_8h4d9i2b" localSheetId="20" hidden="1">"IMG_4"</definedName>
    <definedName name="Img_ML_8h4d9i2b" localSheetId="21" hidden="1">"IMG_4"</definedName>
    <definedName name="Img_ML_8h4d9i2b" localSheetId="23" hidden="1">"IMG_4"</definedName>
    <definedName name="Img_ML_8h4d9i2b" localSheetId="26" hidden="1">"IMG_4"</definedName>
    <definedName name="Img_ML_8h4d9i2b" localSheetId="27" hidden="1">"IMG_4"</definedName>
    <definedName name="Img_ML_8h4d9i2b" hidden="1">"IMG_6"</definedName>
    <definedName name="Img_ML_8h5e9i3c" hidden="1">"IMG_6"</definedName>
    <definedName name="Img_ML_8h7g3c9i" hidden="1">"IMG_6"</definedName>
    <definedName name="Img_ML_8h7g4d4d" hidden="1">"IMG_3"</definedName>
    <definedName name="Img_ML_8i9u7w8k" hidden="1">"IMG_10"</definedName>
    <definedName name="Img_ML_8j2w4j8j" hidden="1">"IMG_10"</definedName>
    <definedName name="Img_ML_8j3v5k8j" hidden="1">"IMG_10"</definedName>
    <definedName name="Img_ML_8j3w6p4c" hidden="1">"IMG_4"</definedName>
    <definedName name="Img_ML_8j6r9l1j" hidden="1">"IMG_10"</definedName>
    <definedName name="Img_ML_8k1s8i9j" hidden="1">"IMG_10"</definedName>
    <definedName name="Img_ML_8k7v5o9j" hidden="1">"IMG_10"</definedName>
    <definedName name="Img_ML_8k8v5t3j" hidden="1">"IMG_10"</definedName>
    <definedName name="Img_ML_8r1k8t4y" hidden="1">"IMG_11"</definedName>
    <definedName name="Img_ML_8r9f4n4f" hidden="1">"IMG_10"</definedName>
    <definedName name="Img_ML_8s3q3c1i" hidden="1">"IMG_10"</definedName>
    <definedName name="Img_ML_8s7v5o2j" hidden="1">"IMG_10"</definedName>
    <definedName name="Img_ML_8t3m5u6f" hidden="1">"IMG_10"</definedName>
    <definedName name="Img_ML_8u1r9i5j" hidden="1">"IMG_10"</definedName>
    <definedName name="Img_ML_9c9p6w6g" hidden="1">"IMG_6"</definedName>
    <definedName name="Img_ML_9d9x3u7w" hidden="1">"IMG_10"</definedName>
    <definedName name="Img_ML_9g2r1i7c" hidden="1">"IMG_11"</definedName>
    <definedName name="Img_ML_9g3r6t7h" hidden="1">"IMG_10"</definedName>
    <definedName name="Img_ML_9h6h8h8e" hidden="1">"IMG_10"</definedName>
    <definedName name="Img_ML_9h6p7r7t" hidden="1">"IMG_13"</definedName>
    <definedName name="Img_ML_9i6f5e3c" hidden="1">"IMG_10"</definedName>
    <definedName name="Img_ML_9j3t2m3v" hidden="1">"IMG_18"</definedName>
    <definedName name="Img_ML_9n1s4m5f" hidden="1">"IMG_11"</definedName>
    <definedName name="Img_ML_9s2r9j6w" hidden="1">"IMG_10"</definedName>
    <definedName name="Img_ML_9u2c1d4e" hidden="1">"IMG_12"</definedName>
    <definedName name="Img_ML_9v6s2g1u" hidden="1">"IMG_17"</definedName>
    <definedName name="Img_Production_Breakdown" hidden="1">"IMG_3"</definedName>
    <definedName name="Img_Supply_Demand_Tables" hidden="1">"IMG_11"</definedName>
    <definedName name="Intl_EP_Depr_2004">#REF!</definedName>
    <definedName name="Intl_EP_NI_2004">#REF!</definedName>
    <definedName name="IntlAnnualSegs">#REF!</definedName>
    <definedName name="IntlGasProd_2004">#REF!</definedName>
    <definedName name="IntlOilProd_2004">#REF!</definedName>
    <definedName name="IntlOtherCosts_2004">#REF!</definedName>
    <definedName name="IntlProd_2004">#REF!</definedName>
    <definedName name="IntlProdCosts_2004">#REF!</definedName>
    <definedName name="IntlQuartSeg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UMULATED_PENSION_OBLIGATION" localSheetId="23" hidden="1">"c2244"</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NNUAL_DIVIDEND" hidden="1">"c229"</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ROKER_REC_NO_REUT" hidden="1">"c5315"</definedName>
    <definedName name="IQ_AVG_BROKER_REC_REUT" hidden="1">"c3630"</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STDDEV_EST_REUT" hidden="1">"c5408"</definedName>
    <definedName name="IQ_CAPEX_BR" hidden="1">"c111"</definedName>
    <definedName name="IQ_CASH_DIVIDENDS_NET_INCOME_FDIC" hidden="1">"c6738"</definedName>
    <definedName name="IQ_CASH_IN_PROCESS_FDIC" hidden="1">"c6386"</definedName>
    <definedName name="IQ_CCE_FDIC" hidden="1">"c6296"</definedName>
    <definedName name="IQ_CH">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Q">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ANNOUNCE_DATE_REUT" hidden="1">"c5314"</definedName>
    <definedName name="IQ_EARNINGS_COVERAGE_NET_CHARGE_OFFS_FDIC" hidden="1">"c6735"</definedName>
    <definedName name="IQ_EBIT_10K" hidden="1">"IQ_EBIT_10K"</definedName>
    <definedName name="IQ_EBIT_10Q" hidden="1">"IQ_EBIT_10Q"</definedName>
    <definedName name="IQ_EBIT_10Q1" hidden="1">"IQ_EBIT_10Q1"</definedName>
    <definedName name="IQ_EBIT_GROWTH_1" hidden="1">"c157"</definedName>
    <definedName name="IQ_EBIT_GROWTH_2" hidden="1">"c161"</definedName>
    <definedName name="IQ_EBITDA_10K" hidden="1">"IQ_EBITDA_10K"</definedName>
    <definedName name="IQ_EBITDA_10Q" hidden="1">"IQ_EBITDA_10Q"</definedName>
    <definedName name="IQ_EBITDA_10Q1" hidden="1">"IQ_EBITDA_10Q1"</definedName>
    <definedName name="IQ_EBITDA_EST_REUT" hidden="1">"c3640"</definedName>
    <definedName name="IQ_EBITDA_GROWTH_1" hidden="1">"c156"</definedName>
    <definedName name="IQ_EBITDA_GROWTH_2" hidden="1">"c160"</definedName>
    <definedName name="IQ_EBITDA_HIGH_EST_REUT" hidden="1">"c3642"</definedName>
    <definedName name="IQ_EBITDA_LOW_EST_REUT" hidden="1">"c3643"</definedName>
    <definedName name="IQ_EBITDA_MEDIAN_EST_REUT" hidden="1">"c3641"</definedName>
    <definedName name="IQ_EBITDA_NUM_EST_REUT" hidden="1">"c3644"</definedName>
    <definedName name="IQ_EBITDA_STDDEV_EST_REUT" hidden="1">"c3645"</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PS" hidden="1">"IQ_EPS"</definedName>
    <definedName name="IQ_EPS_10K" hidden="1">"IQ_EPS_10K"</definedName>
    <definedName name="IQ_EPS_10Q" hidden="1">"IQ_EPS_10Q"</definedName>
    <definedName name="IQ_EPS_10Q1" hidden="1">"IQ_EPS_10Q1"</definedName>
    <definedName name="IQ_EPS_EST_1" hidden="1">"c189"</definedName>
    <definedName name="IQ_EPS_EST_REUT" hidden="1">"c5453"</definedName>
    <definedName name="IQ_EPS_HIGH_EST_REUT" hidden="1">"c5454"</definedName>
    <definedName name="IQ_EPS_LOW_EST_REUT" hidden="1">"c5455"</definedName>
    <definedName name="IQ_EPS_MEDIAN_EST_REUT" hidden="1">"c5456"</definedName>
    <definedName name="IQ_EPS_NUM_EST_REUT" hidden="1">"c5451"</definedName>
    <definedName name="IQ_EPS_STDDEV_EST_REUT" hidden="1">"c5452"</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ACT_BV_REUT" hidden="1">"c5409"</definedName>
    <definedName name="IQ_EST_ACT_FFO_REUT" hidden="1">"c3843"</definedName>
    <definedName name="IQ_EST_ACT_FFO_SHARE_REUT" hidden="1">"c3843"</definedName>
    <definedName name="IQ_EST_BV_DIFF_REUT" hidden="1">"c5433"</definedName>
    <definedName name="IQ_EST_BV_SURPRISE_PERCENT_REUT" hidden="1">"c5434"</definedName>
    <definedName name="IQ_EST_CURRENCY_REUT" hidden="1">"c5437"</definedName>
    <definedName name="IQ_EST_DATE_REUT" hidden="1">"c5438"</definedName>
    <definedName name="IQ_EST_EPS_GROWTH_1YR_REUT" hidden="1">"c3646"</definedName>
    <definedName name="IQ_EST_EPS_GROWTH_5YR_REUT" hidden="1">"c3633"</definedName>
    <definedName name="IQ_EST_EPS_GROWTH_Q_1YR_REUT" hidden="1">"c5410"</definedName>
    <definedName name="IQ_EST_EPS_SURPRISE" hidden="1">"c1635"</definedName>
    <definedName name="IQ_EST_FFO_DIFF_REUT" hidden="1">"c3890"</definedName>
    <definedName name="IQ_EST_FFO_SHARE_DIFF_REUT" hidden="1">"c3890"</definedName>
    <definedName name="IQ_EST_FFO_SHARE_SURPRISE_PERCENT_REUT" hidden="1">"c3891"</definedName>
    <definedName name="IQ_EST_FFO_SURPRISE_PERCENT_REUT" hidden="1">"c3891"</definedName>
    <definedName name="IQ_EST_NUM_BUY_REUT" hidden="1">"c3869"</definedName>
    <definedName name="IQ_EST_NUM_HOLD_REUT" hidden="1">"c3871"</definedName>
    <definedName name="IQ_EST_NUM_OUTPERFORM_REUT" hidden="1">"c3870"</definedName>
    <definedName name="IQ_EST_NUM_SELL_REUT" hidden="1">"c3873"</definedName>
    <definedName name="IQ_EST_NUM_UNDERPERFORM_REUT" hidden="1">"c3872"</definedName>
    <definedName name="IQ_ESTIMATED_ASSESSABLE_DEPOSITS_FDIC" hidden="1">"c6490"</definedName>
    <definedName name="IQ_ESTIMATED_INSURED_DEPOSITS_FDIC" hidden="1">"c6491"</definedName>
    <definedName name="IQ_EV_OVER_REVENUE_EST" hidden="1">"c165"</definedName>
    <definedName name="IQ_EV_OVER_REVENUE_EST_1" hidden="1">"c166"</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EST_REUT" hidden="1">"c3837"</definedName>
    <definedName name="IQ_FFO_HIGH_EST_CIQ" hidden="1">"c4977"</definedName>
    <definedName name="IQ_FFO_HIGH_EST_REUT" hidden="1">"c3839"</definedName>
    <definedName name="IQ_FFO_LOW_EST_CIQ" hidden="1">"c4978"</definedName>
    <definedName name="IQ_FFO_LOW_EST_REUT" hidden="1">"c3840"</definedName>
    <definedName name="IQ_FFO_MEDIAN_EST_CIQ" hidden="1">"c4979"</definedName>
    <definedName name="IQ_FFO_MEDIAN_EST_REUT" hidden="1">"c3838"</definedName>
    <definedName name="IQ_FFO_NUM_EST_CIQ" hidden="1">"c4980"</definedName>
    <definedName name="IQ_FFO_NUM_EST_REUT" hidden="1">"c3841"</definedName>
    <definedName name="IQ_FFO_SHARE_EST_REUT" hidden="1">"c3837"</definedName>
    <definedName name="IQ_FFO_SHARE_HIGH_EST_REUT" hidden="1">"c3839"</definedName>
    <definedName name="IQ_FFO_SHARE_LOW_EST_REUT" hidden="1">"c3840"</definedName>
    <definedName name="IQ_FFO_SHARE_MEDIAN_EST_REUT" hidden="1">"c3838"</definedName>
    <definedName name="IQ_FFO_SHARE_NUM_EST_REUT" hidden="1">"c3841"</definedName>
    <definedName name="IQ_FFO_SHARE_STDDEV_EST_REUT" hidden="1">"c3842"</definedName>
    <definedName name="IQ_FFO_STDDEV_EST_CIQ" hidden="1">"c4981"</definedName>
    <definedName name="IQ_FFO_STDDEV_EST_REUT" hidden="1">"c3842"</definedName>
    <definedName name="IQ_FH">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PERCENT_AMOUNT" hidden="1">"c240"</definedName>
    <definedName name="IQ_FIVE_YEAR_FIXED_AND_FLOATING_RATE_FDIC" hidden="1">"c6422"</definedName>
    <definedName name="IQ_FIVE_YEAR_MORTGAGE_PASS_THROUGHS_FDIC" hidden="1">"c6414"</definedName>
    <definedName name="IQ_FIVEPERCENT_OWNER" hidden="1">"c239"</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1000</definedName>
    <definedName name="IQ_FY_DATE" hidden="1">"IQ_FY_DATE"</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IGH_TARGET_PRICE_REUT" hidden="1">"c5317"</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3MTH_BOUGHT" hidden="1">"c1534"</definedName>
    <definedName name="IQ_INSIDER_3MTH_NET" hidden="1">"c1535"</definedName>
    <definedName name="IQ_INSIDER_3MTH_SOLD" hidden="1">"c1533"</definedName>
    <definedName name="IQ_INSIDER_6MTH_BOUGHT" hidden="1">"c1537"</definedName>
    <definedName name="IQ_INSIDER_6MTH_NET" hidden="1">"c1538"</definedName>
    <definedName name="IQ_INSIDER_6MTH_SOLD" hidden="1">"c1536"</definedName>
    <definedName name="IQ_INSIDER_AMOUNT" hidden="1">"c238"</definedName>
    <definedName name="IQ_INSIDER_LOANS_FDIC" hidden="1">"c6365"</definedName>
    <definedName name="IQ_INSTITUTIONAL_AMOUNT" hidden="1">"c236"</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INC_10K" hidden="1">"IQ_INTEREST_INC_10K"</definedName>
    <definedName name="IQ_INTEREST_INC_10Q" hidden="1">"IQ_INTEREST_INC_10Q"</definedName>
    <definedName name="IQ_INTEREST_INC_10Q1" hidden="1">"IQ_INTEREST_INC_10Q1"</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ST_EBIT_MARGIN" hidden="1">"c151"</definedName>
    <definedName name="IQ_LAST_EBITDA_MARGIN" hidden="1">"c150"</definedName>
    <definedName name="IQ_LAST_GROSS_MARGIN" hidden="1">"c149"</definedName>
    <definedName name="IQ_LAST_NET_INC_MARGIN" hidden="1">"c152"</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OW_TARGET_PRICE_REUT" hidden="1">"c5318"</definedName>
    <definedName name="IQ_LT_DEBT_BR" hidden="1">"c676"</definedName>
    <definedName name="IQ_LT_DEBT_ISSUED_BR" hidden="1">"c683"</definedName>
    <definedName name="IQ_LT_DEBT_REPAID_BR" hidden="1">"c691"</definedName>
    <definedName name="IQ_LT_INVEST_BR" hidden="1">"c698"</definedName>
    <definedName name="IQ_LTM">2000</definedName>
    <definedName name="IQ_LTM_DATE" hidden="1">"IQ_LTM_DATE"</definedName>
    <definedName name="IQ_LTMMONTH" hidden="1">120000</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_REUT" hidden="1">"c5316"</definedName>
    <definedName name="IQ_MERGER_BR" hidden="1">"c715"</definedName>
    <definedName name="IQ_MERGER_RESTRUCTURE_BR" hidden="1">"c721"</definedName>
    <definedName name="IQ_MINORITY_INTEREST_BR" hidden="1">"c729"</definedName>
    <definedName name="IQ_MKTCAP_TOTAL_REV_FWD_REUT" hidden="1">"c4048"</definedName>
    <definedName name="IQ_MONEY_MARKET_DEPOSIT_ACCOUNTS_FDIC" hidden="1">"c6553"</definedName>
    <definedName name="IQ_MONTH">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localSheetId="12" hidden="1">43892.4023958333</definedName>
    <definedName name="IQ_NAMES_REVISION_DATE_" localSheetId="21" hidden="1">43892.4023958333</definedName>
    <definedName name="IQ_NAMES_REVISION_DATE_" localSheetId="23" hidden="1">41449.5538888889</definedName>
    <definedName name="IQ_NAMES_REVISION_DATE_" localSheetId="27" hidden="1">43892.4023958333</definedName>
    <definedName name="IQ_NAMES_REVISION_DATE_" hidden="1">44322.4338657407</definedName>
    <definedName name="IQ_NAV_ACT_OR_EST" hidden="1">"c2225"</definedName>
    <definedName name="IQ_NET_CHARGE_OFFS_FDIC" hidden="1">"c6641"</definedName>
    <definedName name="IQ_NET_CHARGE_OFFS_LOANS_FDIC" hidden="1">"c6751"</definedName>
    <definedName name="IQ_NET_DEBT_ISSUED_BR" hidden="1">"c753"</definedName>
    <definedName name="IQ_NET_INC_10K" hidden="1">"IQ_NET_INC_10K"</definedName>
    <definedName name="IQ_NET_INC_10Q" hidden="1">"IQ_NET_INC_10Q"</definedName>
    <definedName name="IQ_NET_INC_10Q1" hidden="1">"IQ_NET_INC_10Q1"</definedName>
    <definedName name="IQ_NET_INC_GROWTH_1" hidden="1">"c158"</definedName>
    <definedName name="IQ_NET_INC_GROWTH_2" hidden="1">"c162"</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G_TOTAL_OIL_PRODUCTON" hidden="1">"c2059"</definedName>
    <definedName name="IQ_OPENED55" hidden="1">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BV_FWD_REUT" hidden="1">"c15238"</definedName>
    <definedName name="IQ_PC_WRITTEN" hidden="1">"c1027"</definedName>
    <definedName name="IQ_PE_EXCL_FWD_REUT" hidden="1">"c4049"</definedName>
    <definedName name="IQ_PEG_FWD_REUT" hidden="1">"c4052"</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SHARE_WEEK_REUT" hidden="1">"c3964"</definedName>
    <definedName name="IQ_PERCENT_CHANGE_EST_FFO_WEEK" hidden="1">"c1823"</definedName>
    <definedName name="IQ_PERCENT_CHANGE_EST_FFO_WEEK_REUT" hidden="1">"c3964"</definedName>
    <definedName name="IQ_PERCENT_FLOAT" hidden="1">"c227"</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RETURN_ASSETS_FDIC" hidden="1">"c6731"</definedName>
    <definedName name="IQ_PRICE_OVER_EPS_EST" hidden="1">"c174"</definedName>
    <definedName name="IQ_PRICE_OVER_EPS_EST_1" hidden="1">"c175"</definedName>
    <definedName name="IQ_PRICE_TARGET_REUT" hidden="1">"c3631"</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_STDDEV_EST_REUT" hidden="1">"c3639"</definedName>
    <definedName name="IQ_REVALUATION_GAINS_FDIC" hidden="1">"c6428"</definedName>
    <definedName name="IQ_REVALUATION_LOSSES_FDIC" hidden="1">"c6429"</definedName>
    <definedName name="IQ_REVENUE_10K" hidden="1">"IQ_REVENUE_10K"</definedName>
    <definedName name="IQ_REVENUE_10Q" hidden="1">"IQ_REVENUE_10Q"</definedName>
    <definedName name="IQ_REVENUE_10Q1" hidden="1">"IQ_REVENUE_10Q1"</definedName>
    <definedName name="IQ_REVENUE_EST_1" hidden="1">"c190"</definedName>
    <definedName name="IQ_REVENUE_EST_REUT" hidden="1">"c3634"</definedName>
    <definedName name="IQ_REVENUE_GROWTH_1" hidden="1">"c155"</definedName>
    <definedName name="IQ_REVENUE_GROWTH_2" hidden="1">"c159"</definedName>
    <definedName name="IQ_REVENUE_HIGH_EST_REUT" hidden="1">"c3636"</definedName>
    <definedName name="IQ_REVENUE_LOW_EST_REUT" hidden="1">"c3637"</definedName>
    <definedName name="IQ_REVENUE_MEDIAN_EST_REUT" hidden="1">"c3635"</definedName>
    <definedName name="IQ_REVENUE_NUM_EST_REUT" hidden="1">"c3638"</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HORT_INTEREST_VOLUME" hidden="1">"c228"</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ARGET_PRICE_NUM_REUT" hidden="1">"c5319"</definedName>
    <definedName name="IQ_TARGET_PRICE_STDDEV_REUT" hidden="1">"c5320"</definedName>
    <definedName name="IQ_TEV_EBITDA_FWD_REUT" hidden="1">"c4050"</definedName>
    <definedName name="IQ_TEV_TOTAL_REV_FWD_REUT" hidden="1">"c4051"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 localSheetId="23" hidden="1">"c2141"</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50000</definedName>
    <definedName name="IQ_WRITTEN_OPTION_CONTRACTS_FDIC" hidden="1">"c6509"</definedName>
    <definedName name="IQ_WRITTEN_OPTION_CONTRACTS_FX_RISK_FDIC" hidden="1">"c6514"</definedName>
    <definedName name="IQ_WRITTEN_OPTION_CONTRACTS_NON_FX_IR_FDIC" hidden="1">"c6519"</definedName>
    <definedName name="IQ_YTD">3000</definedName>
    <definedName name="IQ_YTDMONTH" hidden="1">130000</definedName>
    <definedName name="IQB_BOOKMARK_COUNT" hidden="1">1</definedName>
    <definedName name="IQRHistValL16" hidden="1">'[32]Hist Val'!$L$17:$L$1198</definedName>
    <definedName name="iQShowHideColumns" localSheetId="15" hidden="1">"iQShowAll"</definedName>
    <definedName name="iQShowHideColumns" localSheetId="12" hidden="1">"iQShowAll"</definedName>
    <definedName name="iQShowHideColumns" localSheetId="20" hidden="1">"iQShowAll"</definedName>
    <definedName name="iQShowHideColumns" localSheetId="21" hidden="1">"iQShowAll"</definedName>
    <definedName name="iQShowHideColumns" localSheetId="23" hidden="1">"iQShowAll"</definedName>
    <definedName name="iQShowHideColumns" localSheetId="26" hidden="1">"iQShowAll"</definedName>
    <definedName name="iQShowHideColumns" localSheetId="27" hidden="1">"iQShowAll"</definedName>
    <definedName name="iQShowHideColumns" hidden="1">"iQShowQuarterlyAnnual"</definedName>
    <definedName name="is">#REF!</definedName>
    <definedName name="jeff" localSheetId="17" hidden="1">{"comps",#N/A,FALSE,"TXTCOMPS";"segment_EPS",#N/A,FALSE,"TXTCOMPS";"valuation",#N/A,FALSE,"TXTCOMPS"}</definedName>
    <definedName name="jeff" localSheetId="15" hidden="1">{"comps",#N/A,FALSE,"TXTCOMPS";"segment_EPS",#N/A,FALSE,"TXTCOMPS";"valuation",#N/A,FALSE,"TXTCOMPS"}</definedName>
    <definedName name="jeff" localSheetId="12" hidden="1">{"comps",#N/A,FALSE,"TXTCOMPS";"segment_EPS",#N/A,FALSE,"TXTCOMPS";"valuation",#N/A,FALSE,"TXTCOMPS"}</definedName>
    <definedName name="jeff" localSheetId="22" hidden="1">{"comps",#N/A,FALSE,"TXTCOMPS";"segment_EPS",#N/A,FALSE,"TXTCOMPS";"valuation",#N/A,FALSE,"TXTCOMPS"}</definedName>
    <definedName name="jeff" localSheetId="20" hidden="1">{"comps",#N/A,FALSE,"TXTCOMPS";"segment_EPS",#N/A,FALSE,"TXTCOMPS";"valuation",#N/A,FALSE,"TXTCOMPS"}</definedName>
    <definedName name="jeff" localSheetId="21" hidden="1">{"comps",#N/A,FALSE,"TXTCOMPS";"segment_EPS",#N/A,FALSE,"TXTCOMPS";"valuation",#N/A,FALSE,"TXTCOMPS"}</definedName>
    <definedName name="jeff" localSheetId="23" hidden="1">{"comps",#N/A,FALSE,"TXTCOMPS";"segment_EPS",#N/A,FALSE,"TXTCOMPS";"valuation",#N/A,FALSE,"TXTCOMPS"}</definedName>
    <definedName name="jeff" localSheetId="1" hidden="1">{"comps",#N/A,FALSE,"TXTCOMPS";"segment_EPS",#N/A,FALSE,"TXTCOMPS";"valuation",#N/A,FALSE,"TXTCOMPS"}</definedName>
    <definedName name="jeff" localSheetId="28" hidden="1">{"comps",#N/A,FALSE,"TXTCOMPS";"segment_EPS",#N/A,FALSE,"TXTCOMPS";"valuation",#N/A,FALSE,"TXTCOMPS"}</definedName>
    <definedName name="jeff" localSheetId="26" hidden="1">{"comps",#N/A,FALSE,"TXTCOMPS";"segment_EPS",#N/A,FALSE,"TXTCOMPS";"valuation",#N/A,FALSE,"TXTCOMPS"}</definedName>
    <definedName name="jeff" localSheetId="27" hidden="1">{"comps",#N/A,FALSE,"TXTCOMPS";"segment_EPS",#N/A,FALSE,"TXTCOMPS";"valuation",#N/A,FALSE,"TXTCOMPS"}</definedName>
    <definedName name="jeff" hidden="1">{"comps",#N/A,FALSE,"TXTCOMPS";"segment_EPS",#N/A,FALSE,"TXTCOMPS";"valuation",#N/A,FALSE,"TXTCOMPS"}</definedName>
    <definedName name="jk" localSheetId="17" hidden="1">{"segment_EPS",#N/A,FALSE,"TXTCOMPS"}</definedName>
    <definedName name="jk" localSheetId="15" hidden="1">{"segment_EPS",#N/A,FALSE,"TXTCOMPS"}</definedName>
    <definedName name="jk" localSheetId="12" hidden="1">{"segment_EPS",#N/A,FALSE,"TXTCOMPS"}</definedName>
    <definedName name="jk" localSheetId="22" hidden="1">{"segment_EPS",#N/A,FALSE,"TXTCOMPS"}</definedName>
    <definedName name="jk" localSheetId="20" hidden="1">{"segment_EPS",#N/A,FALSE,"TXTCOMPS"}</definedName>
    <definedName name="jk" localSheetId="21" hidden="1">{"segment_EPS",#N/A,FALSE,"TXTCOMPS"}</definedName>
    <definedName name="jk" localSheetId="23" hidden="1">{"segment_EPS",#N/A,FALSE,"TXTCOMPS"}</definedName>
    <definedName name="jk" localSheetId="1" hidden="1">{"segment_EPS",#N/A,FALSE,"TXTCOMPS"}</definedName>
    <definedName name="jk" localSheetId="28" hidden="1">{"segment_EPS",#N/A,FALSE,"TXTCOMPS"}</definedName>
    <definedName name="jk" localSheetId="26" hidden="1">{"segment_EPS",#N/A,FALSE,"TXTCOMPS"}</definedName>
    <definedName name="jk" localSheetId="27" hidden="1">{"segment_EPS",#N/A,FALSE,"TXTCOMPS"}</definedName>
    <definedName name="jk" hidden="1">{"segment_EPS",#N/A,FALSE,"TXTCOMPS"}</definedName>
    <definedName name="K" localSheetId="1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5"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0"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2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HN" localSheetId="17" hidden="1">{"'보고양식'!$A$58:$K$111"}</definedName>
    <definedName name="KHN" localSheetId="15" hidden="1">{"'보고양식'!$A$58:$K$111"}</definedName>
    <definedName name="KHN" localSheetId="12" hidden="1">{"'보고양식'!$A$58:$K$111"}</definedName>
    <definedName name="KHN" localSheetId="22" hidden="1">{"'보고양식'!$A$58:$K$111"}</definedName>
    <definedName name="KHN" localSheetId="20" hidden="1">{"'보고양식'!$A$58:$K$111"}</definedName>
    <definedName name="KHN" localSheetId="21" hidden="1">{"'보고양식'!$A$58:$K$111"}</definedName>
    <definedName name="KHN" localSheetId="23" hidden="1">{"'보고양식'!$A$58:$K$111"}</definedName>
    <definedName name="KHN" localSheetId="1" hidden="1">{"'보고양식'!$A$58:$K$111"}</definedName>
    <definedName name="KHN" localSheetId="28" hidden="1">{"'보고양식'!$A$58:$K$111"}</definedName>
    <definedName name="KHN" localSheetId="26" hidden="1">{"'보고양식'!$A$58:$K$111"}</definedName>
    <definedName name="KHN" localSheetId="27" hidden="1">{"'보고양식'!$A$58:$K$111"}</definedName>
    <definedName name="KHN" hidden="1">{"'보고양식'!$A$58:$K$111"}</definedName>
    <definedName name="L" localSheetId="17" hidden="1">{"rev_history_revenueDetail",#N/A,FALSE,"historical rev us";"rev_history_minutesDetail",#N/A,FALSE,"historical rev us"}</definedName>
    <definedName name="L" localSheetId="15" hidden="1">{"rev_history_revenueDetail",#N/A,FALSE,"historical rev us";"rev_history_minutesDetail",#N/A,FALSE,"historical rev us"}</definedName>
    <definedName name="L" localSheetId="12" hidden="1">{"rev_history_revenueDetail",#N/A,FALSE,"historical rev us";"rev_history_minutesDetail",#N/A,FALSE,"historical rev us"}</definedName>
    <definedName name="L" localSheetId="22" hidden="1">{"rev_history_revenueDetail",#N/A,FALSE,"historical rev us";"rev_history_minutesDetail",#N/A,FALSE,"historical rev us"}</definedName>
    <definedName name="L" localSheetId="20" hidden="1">{"rev_history_revenueDetail",#N/A,FALSE,"historical rev us";"rev_history_minutesDetail",#N/A,FALSE,"historical rev us"}</definedName>
    <definedName name="L" localSheetId="21" hidden="1">{"rev_history_revenueDetail",#N/A,FALSE,"historical rev us";"rev_history_minutesDetail",#N/A,FALSE,"historical rev us"}</definedName>
    <definedName name="L" localSheetId="23" hidden="1">{"rev_history_revenueDetail",#N/A,FALSE,"historical rev us";"rev_history_minutesDetail",#N/A,FALSE,"historical rev us"}</definedName>
    <definedName name="L" localSheetId="1" hidden="1">{"rev_history_revenueDetail",#N/A,FALSE,"historical rev us";"rev_history_minutesDetail",#N/A,FALSE,"historical rev us"}</definedName>
    <definedName name="L" localSheetId="28" hidden="1">{"rev_history_revenueDetail",#N/A,FALSE,"historical rev us";"rev_history_minutesDetail",#N/A,FALSE,"historical rev us"}</definedName>
    <definedName name="L" localSheetId="26" hidden="1">{"rev_history_revenueDetail",#N/A,FALSE,"historical rev us";"rev_history_minutesDetail",#N/A,FALSE,"historical rev us"}</definedName>
    <definedName name="L" localSheetId="27" hidden="1">{"rev_history_revenueDetail",#N/A,FALSE,"historical rev us";"rev_history_minutesDetail",#N/A,FALSE,"historical rev us"}</definedName>
    <definedName name="L" hidden="1">{"rev_history_revenueDetail",#N/A,FALSE,"historical rev us";"rev_history_minutesDetail",#N/A,FALSE,"historical rev us"}</definedName>
    <definedName name="LastListUpdate">0</definedName>
    <definedName name="lo" localSheetId="17" hidden="1">{"valuation",#N/A,FALSE,"TXTCOMPS"}</definedName>
    <definedName name="lo" localSheetId="15" hidden="1">{"valuation",#N/A,FALSE,"TXTCOMPS"}</definedName>
    <definedName name="lo" localSheetId="12" hidden="1">{"valuation",#N/A,FALSE,"TXTCOMPS"}</definedName>
    <definedName name="lo" localSheetId="22" hidden="1">{"valuation",#N/A,FALSE,"TXTCOMPS"}</definedName>
    <definedName name="lo" localSheetId="20" hidden="1">{"valuation",#N/A,FALSE,"TXTCOMPS"}</definedName>
    <definedName name="lo" localSheetId="21" hidden="1">{"valuation",#N/A,FALSE,"TXTCOMPS"}</definedName>
    <definedName name="lo" localSheetId="23" hidden="1">{"valuation",#N/A,FALSE,"TXTCOMPS"}</definedName>
    <definedName name="lo" localSheetId="1" hidden="1">{"valuation",#N/A,FALSE,"TXTCOMPS"}</definedName>
    <definedName name="lo" localSheetId="28" hidden="1">{"valuation",#N/A,FALSE,"TXTCOMPS"}</definedName>
    <definedName name="lo" localSheetId="26" hidden="1">{"valuation",#N/A,FALSE,"TXTCOMPS"}</definedName>
    <definedName name="lo" localSheetId="27" hidden="1">{"valuation",#N/A,FALSE,"TXTCOMPS"}</definedName>
    <definedName name="lo" hidden="1">{"valuation",#N/A,FALSE,"TXTCOMPS"}</definedName>
    <definedName name="Local">"share price"</definedName>
    <definedName name="loik" localSheetId="17" hidden="1">{"segment_EPS",#N/A,FALSE,"TXTCOMPS"}</definedName>
    <definedName name="loik" localSheetId="15" hidden="1">{"segment_EPS",#N/A,FALSE,"TXTCOMPS"}</definedName>
    <definedName name="loik" localSheetId="12" hidden="1">{"segment_EPS",#N/A,FALSE,"TXTCOMPS"}</definedName>
    <definedName name="loik" localSheetId="22" hidden="1">{"segment_EPS",#N/A,FALSE,"TXTCOMPS"}</definedName>
    <definedName name="loik" localSheetId="20" hidden="1">{"segment_EPS",#N/A,FALSE,"TXTCOMPS"}</definedName>
    <definedName name="loik" localSheetId="21" hidden="1">{"segment_EPS",#N/A,FALSE,"TXTCOMPS"}</definedName>
    <definedName name="loik" localSheetId="23" hidden="1">{"segment_EPS",#N/A,FALSE,"TXTCOMPS"}</definedName>
    <definedName name="loik" localSheetId="1" hidden="1">{"segment_EPS",#N/A,FALSE,"TXTCOMPS"}</definedName>
    <definedName name="loik" localSheetId="28" hidden="1">{"segment_EPS",#N/A,FALSE,"TXTCOMPS"}</definedName>
    <definedName name="loik" localSheetId="26" hidden="1">{"segment_EPS",#N/A,FALSE,"TXTCOMPS"}</definedName>
    <definedName name="loik" localSheetId="27" hidden="1">{"segment_EPS",#N/A,FALSE,"TXTCOMPS"}</definedName>
    <definedName name="loik" hidden="1">{"segment_EPS",#N/A,FALSE,"TXTCOMPS"}</definedName>
    <definedName name="loiku" localSheetId="17" hidden="1">{"valuation",#N/A,FALSE,"TXTCOMPS"}</definedName>
    <definedName name="loiku" localSheetId="15" hidden="1">{"valuation",#N/A,FALSE,"TXTCOMPS"}</definedName>
    <definedName name="loiku" localSheetId="12" hidden="1">{"valuation",#N/A,FALSE,"TXTCOMPS"}</definedName>
    <definedName name="loiku" localSheetId="22" hidden="1">{"valuation",#N/A,FALSE,"TXTCOMPS"}</definedName>
    <definedName name="loiku" localSheetId="20" hidden="1">{"valuation",#N/A,FALSE,"TXTCOMPS"}</definedName>
    <definedName name="loiku" localSheetId="21" hidden="1">{"valuation",#N/A,FALSE,"TXTCOMPS"}</definedName>
    <definedName name="loiku" localSheetId="23" hidden="1">{"valuation",#N/A,FALSE,"TXTCOMPS"}</definedName>
    <definedName name="loiku" localSheetId="1" hidden="1">{"valuation",#N/A,FALSE,"TXTCOMPS"}</definedName>
    <definedName name="loiku" localSheetId="28" hidden="1">{"valuation",#N/A,FALSE,"TXTCOMPS"}</definedName>
    <definedName name="loiku" localSheetId="26" hidden="1">{"valuation",#N/A,FALSE,"TXTCOMPS"}</definedName>
    <definedName name="loiku" localSheetId="27" hidden="1">{"valuation",#N/A,FALSE,"TXTCOMPS"}</definedName>
    <definedName name="loiku" hidden="1">{"valuation",#N/A,FALSE,"TXTCOMPS"}</definedName>
    <definedName name="loiuy" localSheetId="17" hidden="1">{"comps",#N/A,FALSE,"TXTCOMPS"}</definedName>
    <definedName name="loiuy" localSheetId="15" hidden="1">{"comps",#N/A,FALSE,"TXTCOMPS"}</definedName>
    <definedName name="loiuy" localSheetId="12" hidden="1">{"comps",#N/A,FALSE,"TXTCOMPS"}</definedName>
    <definedName name="loiuy" localSheetId="22" hidden="1">{"comps",#N/A,FALSE,"TXTCOMPS"}</definedName>
    <definedName name="loiuy" localSheetId="20" hidden="1">{"comps",#N/A,FALSE,"TXTCOMPS"}</definedName>
    <definedName name="loiuy" localSheetId="21" hidden="1">{"comps",#N/A,FALSE,"TXTCOMPS"}</definedName>
    <definedName name="loiuy" localSheetId="23" hidden="1">{"comps",#N/A,FALSE,"TXTCOMPS"}</definedName>
    <definedName name="loiuy" localSheetId="1" hidden="1">{"comps",#N/A,FALSE,"TXTCOMPS"}</definedName>
    <definedName name="loiuy" localSheetId="28" hidden="1">{"comps",#N/A,FALSE,"TXTCOMPS"}</definedName>
    <definedName name="loiuy" localSheetId="26" hidden="1">{"comps",#N/A,FALSE,"TXTCOMPS"}</definedName>
    <definedName name="loiuy" localSheetId="27" hidden="1">{"comps",#N/A,FALSE,"TXTCOMPS"}</definedName>
    <definedName name="loiuy" hidden="1">{"comps",#N/A,FALSE,"TXTCOMPS"}</definedName>
    <definedName name="lopi" localSheetId="17" hidden="1">{"comps",#N/A,FALSE,"TXTCOMPS"}</definedName>
    <definedName name="lopi" localSheetId="15" hidden="1">{"comps",#N/A,FALSE,"TXTCOMPS"}</definedName>
    <definedName name="lopi" localSheetId="12" hidden="1">{"comps",#N/A,FALSE,"TXTCOMPS"}</definedName>
    <definedName name="lopi" localSheetId="22" hidden="1">{"comps",#N/A,FALSE,"TXTCOMPS"}</definedName>
    <definedName name="lopi" localSheetId="20" hidden="1">{"comps",#N/A,FALSE,"TXTCOMPS"}</definedName>
    <definedName name="lopi" localSheetId="21" hidden="1">{"comps",#N/A,FALSE,"TXTCOMPS"}</definedName>
    <definedName name="lopi" localSheetId="23" hidden="1">{"comps",#N/A,FALSE,"TXTCOMPS"}</definedName>
    <definedName name="lopi" localSheetId="1" hidden="1">{"comps",#N/A,FALSE,"TXTCOMPS"}</definedName>
    <definedName name="lopi" localSheetId="28" hidden="1">{"comps",#N/A,FALSE,"TXTCOMPS"}</definedName>
    <definedName name="lopi" localSheetId="26" hidden="1">{"comps",#N/A,FALSE,"TXTCOMPS"}</definedName>
    <definedName name="lopi" localSheetId="27" hidden="1">{"comps",#N/A,FALSE,"TXTCOMPS"}</definedName>
    <definedName name="lopi" hidden="1">{"comps",#N/A,FALSE,"TXTCOMPS"}</definedName>
    <definedName name="m" localSheetId="17" hidden="1">{"turnover",#N/A,FALSE;"profits",#N/A,FALSE;"cash",#N/A,FALSE}</definedName>
    <definedName name="m" localSheetId="15" hidden="1">{"turnover",#N/A,FALSE;"profits",#N/A,FALSE;"cash",#N/A,FALSE}</definedName>
    <definedName name="m" localSheetId="12" hidden="1">{"turnover",#N/A,FALSE;"profits",#N/A,FALSE;"cash",#N/A,FALSE}</definedName>
    <definedName name="m" localSheetId="22" hidden="1">{"turnover",#N/A,FALSE;"profits",#N/A,FALSE;"cash",#N/A,FALSE}</definedName>
    <definedName name="m" localSheetId="20" hidden="1">{"turnover",#N/A,FALSE;"profits",#N/A,FALSE;"cash",#N/A,FALSE}</definedName>
    <definedName name="m" localSheetId="21" hidden="1">{"turnover",#N/A,FALSE;"profits",#N/A,FALSE;"cash",#N/A,FALSE}</definedName>
    <definedName name="m" localSheetId="23" hidden="1">{"turnover",#N/A,FALSE;"profits",#N/A,FALSE;"cash",#N/A,FALSE}</definedName>
    <definedName name="m" localSheetId="1" hidden="1">{"turnover",#N/A,FALSE;"profits",#N/A,FALSE;"cash",#N/A,FALSE}</definedName>
    <definedName name="m" localSheetId="28" hidden="1">{"turnover",#N/A,FALSE;"profits",#N/A,FALSE;"cash",#N/A,FALSE}</definedName>
    <definedName name="m" localSheetId="26" hidden="1">{"turnover",#N/A,FALSE;"profits",#N/A,FALSE;"cash",#N/A,FALSE}</definedName>
    <definedName name="m" localSheetId="27" hidden="1">{"turnover",#N/A,FALSE;"profits",#N/A,FALSE;"cash",#N/A,FALSE}</definedName>
    <definedName name="m" hidden="1">{"turnover",#N/A,FALSE;"profits",#N/A,FALSE;"cash",#N/A,FALSE}</definedName>
    <definedName name="M_PlaceofPath" hidden="1">"\\SNYCEQT0100\HOME\DANDERS\COMPANY\IGT\IGT_VDF.xls"</definedName>
    <definedName name="MD_0">#REF!</definedName>
    <definedName name="md_PreApprovalChecklist">#REF!</definedName>
    <definedName name="MDR">#REF!</definedName>
    <definedName name="Metadata">#REF!</definedName>
    <definedName name="Metadata0">#REF!</definedName>
    <definedName name="Metadata1">#REF!</definedName>
    <definedName name="Metadata2">#REF!</definedName>
    <definedName name="Metadata3">#REF!</definedName>
    <definedName name="Metadata4">#REF!</definedName>
    <definedName name="Metadata5">#REF!</definedName>
    <definedName name="ML_1s1s8i6q">#REF!</definedName>
    <definedName name="ML_3c7g1a7g">#REF!</definedName>
    <definedName name="ML_4m3p5r8j">#REF!</definedName>
    <definedName name="ML_5f9d1i5x">#REF!</definedName>
    <definedName name="ML_6k9c9p4d">#REF!</definedName>
    <definedName name="ML_7m5m4k3b">#REF!</definedName>
    <definedName name="ML_8b9j5t1p">#REF!</definedName>
    <definedName name="ML_8h7g4d4d">#REF!</definedName>
    <definedName name="ML_8j6r9l1j">#REF!</definedName>
    <definedName name="ML_8s6s8l2j">#REF!</definedName>
    <definedName name="mmm" localSheetId="17" hidden="1">#REF!</definedName>
    <definedName name="mmm" localSheetId="15" hidden="1">#REF!</definedName>
    <definedName name="mmm" localSheetId="12" hidden="1">#REF!</definedName>
    <definedName name="mmm" localSheetId="22" hidden="1">#REF!</definedName>
    <definedName name="mmm" localSheetId="20" hidden="1">#REF!</definedName>
    <definedName name="mmm" localSheetId="21" hidden="1">#REF!</definedName>
    <definedName name="mmm" localSheetId="23" hidden="1">#REF!</definedName>
    <definedName name="mmm" localSheetId="28" hidden="1">#REF!</definedName>
    <definedName name="mmm" localSheetId="26" hidden="1">#REF!</definedName>
    <definedName name="mmm" localSheetId="27" hidden="1">#REF!</definedName>
    <definedName name="mmm" hidden="1">#REF!</definedName>
    <definedName name="model">#REF!</definedName>
    <definedName name="Model_Name">#REF!</definedName>
    <definedName name="MonitorCol">1</definedName>
    <definedName name="MonitorRow">1</definedName>
    <definedName name="N" localSheetId="1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5"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0"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2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ameTar">#REF!</definedName>
    <definedName name="NativeTimeline_Period">#N/A</definedName>
    <definedName name="NAV">#REF!</definedName>
    <definedName name="NAV_SENSE">#REF!</definedName>
    <definedName name="newname" localSheetId="17" hidden="1">{TRUE,TRUE,-1.25,-15.5,456.75,279.75,FALSE,FALSE,TRUE,TRUE,0,1,18,1,199,6,3,4,TRUE,TRUE,3,TRUE,1,TRUE,100,"Swvu.cash.","ACwvu.cash.",1,FALSE,FALSE,0.511811023622047,0.511811023622047,0.511811023622047,0.511811023622047,1,"","",FALSE,FALSE,FALSE,FALSE,1,#N/A,1,1,#DIV/0!,FALSE,"Rwvu.cash.",#N/A,FALSE,FALSE}</definedName>
    <definedName name="newname" localSheetId="15" hidden="1">{TRUE,TRUE,-1.25,-15.5,456.75,279.75,FALSE,FALSE,TRUE,TRUE,0,1,18,1,199,6,3,4,TRUE,TRUE,3,TRUE,1,TRUE,100,"Swvu.cash.","ACwvu.cash.",1,FALSE,FALSE,0.511811023622047,0.511811023622047,0.511811023622047,0.511811023622047,1,"","",FALSE,FALSE,FALSE,FALSE,1,#N/A,1,1,#DIV/0!,FALSE,"Rwvu.cash.",#N/A,FALSE,FALSE}</definedName>
    <definedName name="newname" localSheetId="12" hidden="1">{TRUE,TRUE,-1.25,-15.5,456.75,279.75,FALSE,FALSE,TRUE,TRUE,0,1,18,1,199,6,3,4,TRUE,TRUE,3,TRUE,1,TRUE,100,"Swvu.cash.","ACwvu.cash.",1,FALSE,FALSE,0.511811023622047,0.511811023622047,0.511811023622047,0.511811023622047,1,"","",FALSE,FALSE,FALSE,FALSE,1,#N/A,1,1,#DIV/0!,FALSE,"Rwvu.cash.",#N/A,FALSE,FALSE}</definedName>
    <definedName name="newname" localSheetId="22" hidden="1">{TRUE,TRUE,-1.25,-15.5,456.75,279.75,FALSE,FALSE,TRUE,TRUE,0,1,18,1,199,6,3,4,TRUE,TRUE,3,TRUE,1,TRUE,100,"Swvu.cash.","ACwvu.cash.",1,FALSE,FALSE,0.511811023622047,0.511811023622047,0.511811023622047,0.511811023622047,1,"","",FALSE,FALSE,FALSE,FALSE,1,#N/A,1,1,#DIV/0!,FALSE,"Rwvu.cash.",#N/A,FALSE,FALSE}</definedName>
    <definedName name="newname" localSheetId="20" hidden="1">{TRUE,TRUE,-1.25,-15.5,456.75,279.75,FALSE,FALSE,TRUE,TRUE,0,1,18,1,199,6,3,4,TRUE,TRUE,3,TRUE,1,TRUE,100,"Swvu.cash.","ACwvu.cash.",1,FALSE,FALSE,0.511811023622047,0.511811023622047,0.511811023622047,0.511811023622047,1,"","",FALSE,FALSE,FALSE,FALSE,1,#N/A,1,1,#DIV/0!,FALSE,"Rwvu.cash.",#N/A,FALSE,FALSE}</definedName>
    <definedName name="newname" localSheetId="21" hidden="1">{TRUE,TRUE,-1.25,-15.5,456.75,279.75,FALSE,FALSE,TRUE,TRUE,0,1,18,1,199,6,3,4,TRUE,TRUE,3,TRUE,1,TRUE,100,"Swvu.cash.","ACwvu.cash.",1,FALSE,FALSE,0.511811023622047,0.511811023622047,0.511811023622047,0.511811023622047,1,"","",FALSE,FALSE,FALSE,FALSE,1,#N/A,1,1,#DIV/0!,FALSE,"Rwvu.cash.",#N/A,FALSE,FALSE}</definedName>
    <definedName name="newname" localSheetId="23" hidden="1">{TRUE,TRUE,-1.25,-15.5,456.75,279.75,FALSE,FALSE,TRUE,TRUE,0,1,18,1,199,6,3,4,TRUE,TRUE,3,TRUE,1,TRUE,100,"Swvu.cash.","ACwvu.cash.",1,FALSE,FALSE,0.511811023622047,0.511811023622047,0.511811023622047,0.511811023622047,1,"","",FALSE,FALSE,FALSE,FALSE,1,#N/A,1,1,#DIV/0!,FALSE,"Rwvu.cash.",#N/A,FALSE,FALSE}</definedName>
    <definedName name="newname" localSheetId="1" hidden="1">{TRUE,TRUE,-1.25,-15.5,456.75,279.75,FALSE,FALSE,TRUE,TRUE,0,1,18,1,199,6,3,4,TRUE,TRUE,3,TRUE,1,TRUE,100,"Swvu.cash.","ACwvu.cash.",1,FALSE,FALSE,0.511811023622047,0.511811023622047,0.511811023622047,0.511811023622047,1,"","",FALSE,FALSE,FALSE,FALSE,1,#N/A,1,1,#DIV/0!,FALSE,"Rwvu.cash.",#N/A,FALSE,FALSE}</definedName>
    <definedName name="newname" localSheetId="28" hidden="1">{TRUE,TRUE,-1.25,-15.5,456.75,279.75,FALSE,FALSE,TRUE,TRUE,0,1,18,1,199,6,3,4,TRUE,TRUE,3,TRUE,1,TRUE,100,"Swvu.cash.","ACwvu.cash.",1,FALSE,FALSE,0.511811023622047,0.511811023622047,0.511811023622047,0.511811023622047,1,"","",FALSE,FALSE,FALSE,FALSE,1,#N/A,1,1,#DIV/0!,FALSE,"Rwvu.cash.",#N/A,FALSE,FALSE}</definedName>
    <definedName name="newname" localSheetId="26" hidden="1">{TRUE,TRUE,-1.25,-15.5,456.75,279.75,FALSE,FALSE,TRUE,TRUE,0,1,18,1,199,6,3,4,TRUE,TRUE,3,TRUE,1,TRUE,100,"Swvu.cash.","ACwvu.cash.",1,FALSE,FALSE,0.511811023622047,0.511811023622047,0.511811023622047,0.511811023622047,1,"","",FALSE,FALSE,FALSE,FALSE,1,#N/A,1,1,#DIV/0!,FALSE,"Rwvu.cash.",#N/A,FALSE,FALSE}</definedName>
    <definedName name="newname" localSheetId="27" hidden="1">{TRUE,TRUE,-1.25,-15.5,456.75,279.75,FALSE,FALSE,TRUE,TRUE,0,1,18,1,199,6,3,4,TRUE,TRUE,3,TRUE,1,TRUE,100,"Swvu.cash.","ACwvu.cash.",1,FALSE,FALSE,0.511811023622047,0.511811023622047,0.511811023622047,0.511811023622047,1,"","",FALSE,FALSE,FALSE,FALSE,1,#N/A,1,1,#DIV/0!,FALSE,"Rwvu.cash.",#N/A,FALSE,FALSE}</definedName>
    <definedName name="newname" hidden="1">{TRUE,TRUE,-1.25,-15.5,456.75,279.75,FALSE,FALSE,TRUE,TRUE,0,1,18,1,199,6,3,4,TRUE,TRUE,3,TRUE,1,TRUE,100,"Swvu.cash.","ACwvu.cash.",1,FALSE,FALSE,0.511811023622047,0.511811023622047,0.511811023622047,0.511811023622047,1,"","",FALSE,FALSE,FALSE,FALSE,1,#N/A,1,1,#DIV/0!,FALSE,"Rwvu.cash.",#N/A,FALSE,FALSE}</definedName>
    <definedName name="NewProducts">#REF!</definedName>
    <definedName name="NI_BOE_1998">#REF!</definedName>
    <definedName name="NI_BOE_1999">#REF!</definedName>
    <definedName name="NI_BOE_2000">#REF!</definedName>
    <definedName name="NI_BOE_2001">#REF!</definedName>
    <definedName name="NI_BOE_2002">#REF!</definedName>
    <definedName name="NI_BOE_2003">#REF!</definedName>
    <definedName name="NI_BOE_2004">#REF!</definedName>
    <definedName name="NI_BOE_2005">#REF!</definedName>
    <definedName name="NI_BOE_2006">#REF!</definedName>
    <definedName name="NI_BOE_2007">#REF!</definedName>
    <definedName name="NI_BOE_2008">#REF!</definedName>
    <definedName name="NI_Intl_EP_2004">#REF!</definedName>
    <definedName name="NI_Total_EP_2004">#REF!</definedName>
    <definedName name="NI_US_EP_2004">#REF!</definedName>
    <definedName name="NJ" localSheetId="17" hidden="1">{"valuation",#N/A,FALSE,"TXTCOMPS"}</definedName>
    <definedName name="NJ" localSheetId="15" hidden="1">{"valuation",#N/A,FALSE,"TXTCOMPS"}</definedName>
    <definedName name="NJ" localSheetId="12" hidden="1">{"valuation",#N/A,FALSE,"TXTCOMPS"}</definedName>
    <definedName name="NJ" localSheetId="22" hidden="1">{"valuation",#N/A,FALSE,"TXTCOMPS"}</definedName>
    <definedName name="NJ" localSheetId="20" hidden="1">{"valuation",#N/A,FALSE,"TXTCOMPS"}</definedName>
    <definedName name="NJ" localSheetId="21" hidden="1">{"valuation",#N/A,FALSE,"TXTCOMPS"}</definedName>
    <definedName name="NJ" localSheetId="23" hidden="1">{"valuation",#N/A,FALSE,"TXTCOMPS"}</definedName>
    <definedName name="NJ" localSheetId="1" hidden="1">{"valuation",#N/A,FALSE,"TXTCOMPS"}</definedName>
    <definedName name="NJ" localSheetId="28" hidden="1">{"valuation",#N/A,FALSE,"TXTCOMPS"}</definedName>
    <definedName name="NJ" localSheetId="26" hidden="1">{"valuation",#N/A,FALSE,"TXTCOMPS"}</definedName>
    <definedName name="NJ" localSheetId="27" hidden="1">{"valuation",#N/A,FALSE,"TXTCOMPS"}</definedName>
    <definedName name="NJ" hidden="1">{"valuation",#N/A,FALSE,"TXTCOMPS"}</definedName>
    <definedName name="notes">#REF!</definedName>
    <definedName name="Novacor">#REF!</definedName>
    <definedName name="o" localSheetId="17" hidden="1">{"comps",#N/A,FALSE,"TXTCOMPS"}</definedName>
    <definedName name="o" localSheetId="15" hidden="1">{"comps",#N/A,FALSE,"TXTCOMPS"}</definedName>
    <definedName name="o" localSheetId="12" hidden="1">{"comps",#N/A,FALSE,"TXTCOMPS"}</definedName>
    <definedName name="o" localSheetId="22" hidden="1">{"comps",#N/A,FALSE,"TXTCOMPS"}</definedName>
    <definedName name="o" localSheetId="20" hidden="1">{"comps",#N/A,FALSE,"TXTCOMPS"}</definedName>
    <definedName name="o" localSheetId="21" hidden="1">{"comps",#N/A,FALSE,"TXTCOMPS"}</definedName>
    <definedName name="o" localSheetId="23" hidden="1">{"comps",#N/A,FALSE,"TXTCOMPS"}</definedName>
    <definedName name="o" localSheetId="1" hidden="1">{"comps",#N/A,FALSE,"TXTCOMPS"}</definedName>
    <definedName name="o" localSheetId="28" hidden="1">{"comps",#N/A,FALSE,"TXTCOMPS"}</definedName>
    <definedName name="o" localSheetId="26" hidden="1">{"comps",#N/A,FALSE,"TXTCOMPS"}</definedName>
    <definedName name="o" localSheetId="27" hidden="1">{"comps",#N/A,FALSE,"TXTCOMPS"}</definedName>
    <definedName name="o" hidden="1">{"comps",#N/A,FALSE,"TXTCOMPS"}</definedName>
    <definedName name="OCER">#REF!</definedName>
    <definedName name="OGBASE_TRANSFER">#REF!</definedName>
    <definedName name="OilSands">#REF!</definedName>
    <definedName name="OperExpOther">#REF!</definedName>
    <definedName name="OperProfitAdj">#REF!,#REF!</definedName>
    <definedName name="Other">#REF!</definedName>
    <definedName name="p" localSheetId="17" hidden="1">{"comps",#N/A,FALSE,"TXTCOMPS";"segment_EPS",#N/A,FALSE,"TXTCOMPS";"valuation",#N/A,FALSE,"TXTCOMPS"}</definedName>
    <definedName name="p" localSheetId="15" hidden="1">{"comps",#N/A,FALSE,"TXTCOMPS";"segment_EPS",#N/A,FALSE,"TXTCOMPS";"valuation",#N/A,FALSE,"TXTCOMPS"}</definedName>
    <definedName name="p" localSheetId="12" hidden="1">{"comps",#N/A,FALSE,"TXTCOMPS";"segment_EPS",#N/A,FALSE,"TXTCOMPS";"valuation",#N/A,FALSE,"TXTCOMPS"}</definedName>
    <definedName name="p" localSheetId="22" hidden="1">{"comps",#N/A,FALSE,"TXTCOMPS";"segment_EPS",#N/A,FALSE,"TXTCOMPS";"valuation",#N/A,FALSE,"TXTCOMPS"}</definedName>
    <definedName name="p" localSheetId="20" hidden="1">{"comps",#N/A,FALSE,"TXTCOMPS";"segment_EPS",#N/A,FALSE,"TXTCOMPS";"valuation",#N/A,FALSE,"TXTCOMPS"}</definedName>
    <definedName name="p" localSheetId="21" hidden="1">{"comps",#N/A,FALSE,"TXTCOMPS";"segment_EPS",#N/A,FALSE,"TXTCOMPS";"valuation",#N/A,FALSE,"TXTCOMPS"}</definedName>
    <definedName name="p" localSheetId="23" hidden="1">{"comps",#N/A,FALSE,"TXTCOMPS";"segment_EPS",#N/A,FALSE,"TXTCOMPS";"valuation",#N/A,FALSE,"TXTCOMPS"}</definedName>
    <definedName name="p" localSheetId="1" hidden="1">{"comps",#N/A,FALSE,"TXTCOMPS";"segment_EPS",#N/A,FALSE,"TXTCOMPS";"valuation",#N/A,FALSE,"TXTCOMPS"}</definedName>
    <definedName name="p" localSheetId="28" hidden="1">{"comps",#N/A,FALSE,"TXTCOMPS";"segment_EPS",#N/A,FALSE,"TXTCOMPS";"valuation",#N/A,FALSE,"TXTCOMPS"}</definedName>
    <definedName name="p" localSheetId="26" hidden="1">{"comps",#N/A,FALSE,"TXTCOMPS";"segment_EPS",#N/A,FALSE,"TXTCOMPS";"valuation",#N/A,FALSE,"TXTCOMPS"}</definedName>
    <definedName name="p" localSheetId="27" hidden="1">{"comps",#N/A,FALSE,"TXTCOMPS";"segment_EPS",#N/A,FALSE,"TXTCOMPS";"valuation",#N/A,FALSE,"TXTCOMPS"}</definedName>
    <definedName name="p" hidden="1">{"comps",#N/A,FALSE,"TXTCOMPS";"segment_EPS",#N/A,FALSE,"TXTCOMPS";"valuation",#N/A,FALSE,"TXTCOMPS"}</definedName>
    <definedName name="Page_1">#REF!</definedName>
    <definedName name="Page_2">#REF!</definedName>
    <definedName name="Page_3">#REF!</definedName>
    <definedName name="Page_4">#REF!</definedName>
    <definedName name="PESC">#REF!</definedName>
    <definedName name="PharmRx">#REF!</definedName>
    <definedName name="PharmSeg">#REF!</definedName>
    <definedName name="Pipeline">#REF!</definedName>
    <definedName name="PKD">#REF!</definedName>
    <definedName name="PL_00">#REF!</definedName>
    <definedName name="PL_10">#REF!</definedName>
    <definedName name="PL_99">#REF!</definedName>
    <definedName name="PL_Amort_Gwill">#REF!</definedName>
    <definedName name="PL_EPS_Analyst">#REF!</definedName>
    <definedName name="PL_Forex">#REF!</definedName>
    <definedName name="PL_Min_INt">#REF!</definedName>
    <definedName name="PL_NI_Adjusted">#REF!</definedName>
    <definedName name="PL_NI_Reported">#REF!</definedName>
    <definedName name="PL_Ops_Discont_PostTax">#REF!</definedName>
    <definedName name="PL_PBT_Adjusted">#REF!</definedName>
    <definedName name="PLReport">#REF!</definedName>
    <definedName name="pouy" localSheetId="17" hidden="1">{"segment_EPS",#N/A,FALSE,"TXTCOMPS"}</definedName>
    <definedName name="pouy" localSheetId="15" hidden="1">{"segment_EPS",#N/A,FALSE,"TXTCOMPS"}</definedName>
    <definedName name="pouy" localSheetId="12" hidden="1">{"segment_EPS",#N/A,FALSE,"TXTCOMPS"}</definedName>
    <definedName name="pouy" localSheetId="22" hidden="1">{"segment_EPS",#N/A,FALSE,"TXTCOMPS"}</definedName>
    <definedName name="pouy" localSheetId="20" hidden="1">{"segment_EPS",#N/A,FALSE,"TXTCOMPS"}</definedName>
    <definedName name="pouy" localSheetId="21" hidden="1">{"segment_EPS",#N/A,FALSE,"TXTCOMPS"}</definedName>
    <definedName name="pouy" localSheetId="23" hidden="1">{"segment_EPS",#N/A,FALSE,"TXTCOMPS"}</definedName>
    <definedName name="pouy" localSheetId="1" hidden="1">{"segment_EPS",#N/A,FALSE,"TXTCOMPS"}</definedName>
    <definedName name="pouy" localSheetId="28" hidden="1">{"segment_EPS",#N/A,FALSE,"TXTCOMPS"}</definedName>
    <definedName name="pouy" localSheetId="26" hidden="1">{"segment_EPS",#N/A,FALSE,"TXTCOMPS"}</definedName>
    <definedName name="pouy" localSheetId="27" hidden="1">{"segment_EPS",#N/A,FALSE,"TXTCOMPS"}</definedName>
    <definedName name="pouy" hidden="1">{"segment_EPS",#N/A,FALSE,"TXTCOMPS"}</definedName>
    <definedName name="PRI">'[31]Assumptions_Stand-Alone AR'!$AI$3</definedName>
    <definedName name="PRICE_SENSE">#REF!</definedName>
    <definedName name="_xlnm.Print_Area" localSheetId="17">'AAL Debt'!$A$1:$AC$142</definedName>
    <definedName name="_xlnm.Print_Area" localSheetId="13">'AAL One Pager'!$C$2:$W$68</definedName>
    <definedName name="_xlnm.Print_Area" localSheetId="10">Comps!$A$1:$W$223</definedName>
    <definedName name="_xlnm.Print_Area" localSheetId="12">Consensus!$A$1:$S$156</definedName>
    <definedName name="_xlnm.Print_Area" localSheetId="22">'DAL Debt'!$A$1:$AC$130</definedName>
    <definedName name="_xlnm.Print_Area" localSheetId="18">'DAL One Pager'!$C$2:$W$68</definedName>
    <definedName name="_xlnm.Print_Area" localSheetId="5">Dashboard!$A$1:$S$97</definedName>
    <definedName name="_xlnm.Print_Area" localSheetId="11">'UAL One Pager'!$Q$8:$W$24</definedName>
    <definedName name="_xlnm.Print_Area" localSheetId="9">'UAL One Pager'!$Q$8:$W$24</definedName>
    <definedName name="_xlnm.Print_Area" localSheetId="28">'UAL Debt'!$A$1:$AC$137</definedName>
    <definedName name="_xlnm.Print_Area" localSheetId="24">'UAL One Pager'!$C$2:$W$68</definedName>
    <definedName name="_xlnm.Print_Area">#N/A</definedName>
    <definedName name="Print_Area_MI">#REF!</definedName>
    <definedName name="_xlnm.Print_Titles" localSheetId="17">'AAL Debt'!$1:$6</definedName>
    <definedName name="_xlnm.Print_Titles" localSheetId="22">'DAL Debt'!$1:$6</definedName>
    <definedName name="_xlnm.Print_Titles" localSheetId="28">'UAL Debt'!$1:$6</definedName>
    <definedName name="prod94">#REF!</definedName>
    <definedName name="PROFILE_UPDATE">#REF!</definedName>
    <definedName name="ProForma">#REF!</definedName>
    <definedName name="ProfSeg">#REF!</definedName>
    <definedName name="Program" localSheetId="17" hidden="1">'[6]Edge 10797 Drilling Inventory'!#REF!</definedName>
    <definedName name="Program" localSheetId="15" hidden="1">'[6]Edge 10797 Drilling Inventory'!#REF!</definedName>
    <definedName name="Program" localSheetId="22" hidden="1">'[6]Edge 10797 Drilling Inventory'!#REF!</definedName>
    <definedName name="Program" localSheetId="20" hidden="1">'[6]Edge 10797 Drilling Inventory'!#REF!</definedName>
    <definedName name="Program" localSheetId="21" hidden="1">'[6]Edge 10797 Drilling Inventory'!#REF!</definedName>
    <definedName name="Program" localSheetId="23" hidden="1">'[6]Edge 10797 Drilling Inventory'!#REF!</definedName>
    <definedName name="Program" localSheetId="28" hidden="1">'[6]Edge 10797 Drilling Inventory'!#REF!</definedName>
    <definedName name="Program" localSheetId="26" hidden="1">'[6]Edge 10797 Drilling Inventory'!#REF!</definedName>
    <definedName name="Program" localSheetId="27" hidden="1">'[6]Edge 10797 Drilling Inventory'!#REF!</definedName>
    <definedName name="Program" hidden="1">'[6]Edge 10797 Drilling Inventory'!#REF!</definedName>
    <definedName name="q" localSheetId="17" hidden="1">{"Qtr Op Mgd Q2",#N/A,FALSE,"Qtr-Op (Mng)";"Qtr Op Rpt Q2",#N/A,FALSE,"Qtr-Op (Rpt)";"Operating Vs Reported",#N/A,FALSE,"Rpt-Op Inc"}</definedName>
    <definedName name="q" localSheetId="15" hidden="1">{"Qtr Op Mgd Q2",#N/A,FALSE,"Qtr-Op (Mng)";"Qtr Op Rpt Q2",#N/A,FALSE,"Qtr-Op (Rpt)";"Operating Vs Reported",#N/A,FALSE,"Rpt-Op Inc"}</definedName>
    <definedName name="q" localSheetId="12" hidden="1">{"Qtr Op Mgd Q2",#N/A,FALSE,"Qtr-Op (Mng)";"Qtr Op Rpt Q2",#N/A,FALSE,"Qtr-Op (Rpt)";"Operating Vs Reported",#N/A,FALSE,"Rpt-Op Inc"}</definedName>
    <definedName name="q" localSheetId="22" hidden="1">{"Qtr Op Mgd Q2",#N/A,FALSE,"Qtr-Op (Mng)";"Qtr Op Rpt Q2",#N/A,FALSE,"Qtr-Op (Rpt)";"Operating Vs Reported",#N/A,FALSE,"Rpt-Op Inc"}</definedName>
    <definedName name="q" localSheetId="20" hidden="1">{"Qtr Op Mgd Q2",#N/A,FALSE,"Qtr-Op (Mng)";"Qtr Op Rpt Q2",#N/A,FALSE,"Qtr-Op (Rpt)";"Operating Vs Reported",#N/A,FALSE,"Rpt-Op Inc"}</definedName>
    <definedName name="q" localSheetId="21" hidden="1">{"Qtr Op Mgd Q2",#N/A,FALSE,"Qtr-Op (Mng)";"Qtr Op Rpt Q2",#N/A,FALSE,"Qtr-Op (Rpt)";"Operating Vs Reported",#N/A,FALSE,"Rpt-Op Inc"}</definedName>
    <definedName name="q" localSheetId="23" hidden="1">{"Qtr Op Mgd Q2",#N/A,FALSE,"Qtr-Op (Mng)";"Qtr Op Rpt Q2",#N/A,FALSE,"Qtr-Op (Rpt)";"Operating Vs Reported",#N/A,FALSE,"Rpt-Op Inc"}</definedName>
    <definedName name="q" localSheetId="1" hidden="1">{"Qtr Op Mgd Q2",#N/A,FALSE,"Qtr-Op (Mng)";"Qtr Op Rpt Q2",#N/A,FALSE,"Qtr-Op (Rpt)";"Operating Vs Reported",#N/A,FALSE,"Rpt-Op Inc"}</definedName>
    <definedName name="q" localSheetId="28" hidden="1">{"Qtr Op Mgd Q2",#N/A,FALSE,"Qtr-Op (Mng)";"Qtr Op Rpt Q2",#N/A,FALSE,"Qtr-Op (Rpt)";"Operating Vs Reported",#N/A,FALSE,"Rpt-Op Inc"}</definedName>
    <definedName name="q" localSheetId="26" hidden="1">{"Qtr Op Mgd Q2",#N/A,FALSE,"Qtr-Op (Mng)";"Qtr Op Rpt Q2",#N/A,FALSE,"Qtr-Op (Rpt)";"Operating Vs Reported",#N/A,FALSE,"Rpt-Op Inc"}</definedName>
    <definedName name="q" localSheetId="27" hidden="1">{"Qtr Op Mgd Q2",#N/A,FALSE,"Qtr-Op (Mng)";"Qtr Op Rpt Q2",#N/A,FALSE,"Qtr-Op (Rpt)";"Operating Vs Reported",#N/A,FALSE,"Rpt-Op Inc"}</definedName>
    <definedName name="q" hidden="1">{"Qtr Op Mgd Q2",#N/A,FALSE,"Qtr-Op (Mng)";"Qtr Op Rpt Q2",#N/A,FALSE,"Qtr-Op (Rpt)";"Operating Vs Reported",#N/A,FALSE,"Rpt-Op Inc"}</definedName>
    <definedName name="Q_93">#REF!</definedName>
    <definedName name="Q_94">#REF!</definedName>
    <definedName name="Q_95">#REF!</definedName>
    <definedName name="Q1_1996">#REF!</definedName>
    <definedName name="Q1_2006">#REF!</definedName>
    <definedName name="Q2_1996">#REF!</definedName>
    <definedName name="Q2_2005">#REF!</definedName>
    <definedName name="Q2_2006">#REF!</definedName>
    <definedName name="Q3_1996">#REF!</definedName>
    <definedName name="Q3_2005">#REF!</definedName>
    <definedName name="Q3_2006">#REF!</definedName>
    <definedName name="Q4_1996">#REF!</definedName>
    <definedName name="Q4_2005">#REF!</definedName>
    <definedName name="Q4_2006">#REF!</definedName>
    <definedName name="qa" localSheetId="17" hidden="1">{"comps",#N/A,FALSE,"TXTCOMPS";"segment_EPS",#N/A,FALSE,"TXTCOMPS";"valuation",#N/A,FALSE,"TXTCOMPS"}</definedName>
    <definedName name="qa" localSheetId="15" hidden="1">{"comps",#N/A,FALSE,"TXTCOMPS";"segment_EPS",#N/A,FALSE,"TXTCOMPS";"valuation",#N/A,FALSE,"TXTCOMPS"}</definedName>
    <definedName name="qa" localSheetId="12" hidden="1">{"comps",#N/A,FALSE,"TXTCOMPS";"segment_EPS",#N/A,FALSE,"TXTCOMPS";"valuation",#N/A,FALSE,"TXTCOMPS"}</definedName>
    <definedName name="qa" localSheetId="22" hidden="1">{"comps",#N/A,FALSE,"TXTCOMPS";"segment_EPS",#N/A,FALSE,"TXTCOMPS";"valuation",#N/A,FALSE,"TXTCOMPS"}</definedName>
    <definedName name="qa" localSheetId="20" hidden="1">{"comps",#N/A,FALSE,"TXTCOMPS";"segment_EPS",#N/A,FALSE,"TXTCOMPS";"valuation",#N/A,FALSE,"TXTCOMPS"}</definedName>
    <definedName name="qa" localSheetId="21" hidden="1">{"comps",#N/A,FALSE,"TXTCOMPS";"segment_EPS",#N/A,FALSE,"TXTCOMPS";"valuation",#N/A,FALSE,"TXTCOMPS"}</definedName>
    <definedName name="qa" localSheetId="23" hidden="1">{"comps",#N/A,FALSE,"TXTCOMPS";"segment_EPS",#N/A,FALSE,"TXTCOMPS";"valuation",#N/A,FALSE,"TXTCOMPS"}</definedName>
    <definedName name="qa" localSheetId="1" hidden="1">{"comps",#N/A,FALSE,"TXTCOMPS";"segment_EPS",#N/A,FALSE,"TXTCOMPS";"valuation",#N/A,FALSE,"TXTCOMPS"}</definedName>
    <definedName name="qa" localSheetId="28" hidden="1">{"comps",#N/A,FALSE,"TXTCOMPS";"segment_EPS",#N/A,FALSE,"TXTCOMPS";"valuation",#N/A,FALSE,"TXTCOMPS"}</definedName>
    <definedName name="qa" localSheetId="26" hidden="1">{"comps",#N/A,FALSE,"TXTCOMPS";"segment_EPS",#N/A,FALSE,"TXTCOMPS";"valuation",#N/A,FALSE,"TXTCOMPS"}</definedName>
    <definedName name="qa" localSheetId="27" hidden="1">{"comps",#N/A,FALSE,"TXTCOMPS";"segment_EPS",#N/A,FALSE,"TXTCOMPS";"valuation",#N/A,FALSE,"TXTCOMPS"}</definedName>
    <definedName name="qa" hidden="1">{"comps",#N/A,FALSE,"TXTCOMPS";"segment_EPS",#N/A,FALSE,"TXTCOMPS";"valuation",#N/A,FALSE,"TXTCOMPS"}</definedName>
    <definedName name="qd" localSheetId="17" hidden="1">{"comps",#N/A,FALSE,"TXTCOMPS"}</definedName>
    <definedName name="qd" localSheetId="15" hidden="1">{"comps",#N/A,FALSE,"TXTCOMPS"}</definedName>
    <definedName name="qd" localSheetId="12" hidden="1">{"comps",#N/A,FALSE,"TXTCOMPS"}</definedName>
    <definedName name="qd" localSheetId="22" hidden="1">{"comps",#N/A,FALSE,"TXTCOMPS"}</definedName>
    <definedName name="qd" localSheetId="20" hidden="1">{"comps",#N/A,FALSE,"TXTCOMPS"}</definedName>
    <definedName name="qd" localSheetId="21" hidden="1">{"comps",#N/A,FALSE,"TXTCOMPS"}</definedName>
    <definedName name="qd" localSheetId="23" hidden="1">{"comps",#N/A,FALSE,"TXTCOMPS"}</definedName>
    <definedName name="qd" localSheetId="1" hidden="1">{"comps",#N/A,FALSE,"TXTCOMPS"}</definedName>
    <definedName name="qd" localSheetId="28" hidden="1">{"comps",#N/A,FALSE,"TXTCOMPS"}</definedName>
    <definedName name="qd" localSheetId="26" hidden="1">{"comps",#N/A,FALSE,"TXTCOMPS"}</definedName>
    <definedName name="qd" localSheetId="27" hidden="1">{"comps",#N/A,FALSE,"TXTCOMPS"}</definedName>
    <definedName name="qd" hidden="1">{"comps",#N/A,FALSE,"TXTCOMPS"}</definedName>
    <definedName name="qf" localSheetId="17" hidden="1">{"segment_EPS",#N/A,FALSE,"TXTCOMPS"}</definedName>
    <definedName name="qf" localSheetId="15" hidden="1">{"segment_EPS",#N/A,FALSE,"TXTCOMPS"}</definedName>
    <definedName name="qf" localSheetId="12" hidden="1">{"segment_EPS",#N/A,FALSE,"TXTCOMPS"}</definedName>
    <definedName name="qf" localSheetId="22" hidden="1">{"segment_EPS",#N/A,FALSE,"TXTCOMPS"}</definedName>
    <definedName name="qf" localSheetId="20" hidden="1">{"segment_EPS",#N/A,FALSE,"TXTCOMPS"}</definedName>
    <definedName name="qf" localSheetId="21" hidden="1">{"segment_EPS",#N/A,FALSE,"TXTCOMPS"}</definedName>
    <definedName name="qf" localSheetId="23" hidden="1">{"segment_EPS",#N/A,FALSE,"TXTCOMPS"}</definedName>
    <definedName name="qf" localSheetId="1" hidden="1">{"segment_EPS",#N/A,FALSE,"TXTCOMPS"}</definedName>
    <definedName name="qf" localSheetId="28" hidden="1">{"segment_EPS",#N/A,FALSE,"TXTCOMPS"}</definedName>
    <definedName name="qf" localSheetId="26" hidden="1">{"segment_EPS",#N/A,FALSE,"TXTCOMPS"}</definedName>
    <definedName name="qf" localSheetId="27" hidden="1">{"segment_EPS",#N/A,FALSE,"TXTCOMPS"}</definedName>
    <definedName name="qf" hidden="1">{"segment_EPS",#N/A,FALSE,"TXTCOMPS"}</definedName>
    <definedName name="qg" localSheetId="17" hidden="1">{"valuation",#N/A,FALSE,"TXTCOMPS"}</definedName>
    <definedName name="qg" localSheetId="15" hidden="1">{"valuation",#N/A,FALSE,"TXTCOMPS"}</definedName>
    <definedName name="qg" localSheetId="12" hidden="1">{"valuation",#N/A,FALSE,"TXTCOMPS"}</definedName>
    <definedName name="qg" localSheetId="22" hidden="1">{"valuation",#N/A,FALSE,"TXTCOMPS"}</definedName>
    <definedName name="qg" localSheetId="20" hidden="1">{"valuation",#N/A,FALSE,"TXTCOMPS"}</definedName>
    <definedName name="qg" localSheetId="21" hidden="1">{"valuation",#N/A,FALSE,"TXTCOMPS"}</definedName>
    <definedName name="qg" localSheetId="23" hidden="1">{"valuation",#N/A,FALSE,"TXTCOMPS"}</definedName>
    <definedName name="qg" localSheetId="1" hidden="1">{"valuation",#N/A,FALSE,"TXTCOMPS"}</definedName>
    <definedName name="qg" localSheetId="28" hidden="1">{"valuation",#N/A,FALSE,"TXTCOMPS"}</definedName>
    <definedName name="qg" localSheetId="26" hidden="1">{"valuation",#N/A,FALSE,"TXTCOMPS"}</definedName>
    <definedName name="qg" localSheetId="27" hidden="1">{"valuation",#N/A,FALSE,"TXTCOMPS"}</definedName>
    <definedName name="qg" hidden="1">{"valuation",#N/A,FALSE,"TXTCOMPS"}</definedName>
    <definedName name="qs" localSheetId="17" hidden="1">{"valuation",#N/A,FALSE,"TXTCOMPS"}</definedName>
    <definedName name="qs" localSheetId="15" hidden="1">{"valuation",#N/A,FALSE,"TXTCOMPS"}</definedName>
    <definedName name="qs" localSheetId="12" hidden="1">{"valuation",#N/A,FALSE,"TXTCOMPS"}</definedName>
    <definedName name="qs" localSheetId="22" hidden="1">{"valuation",#N/A,FALSE,"TXTCOMPS"}</definedName>
    <definedName name="qs" localSheetId="20" hidden="1">{"valuation",#N/A,FALSE,"TXTCOMPS"}</definedName>
    <definedName name="qs" localSheetId="21" hidden="1">{"valuation",#N/A,FALSE,"TXTCOMPS"}</definedName>
    <definedName name="qs" localSheetId="23" hidden="1">{"valuation",#N/A,FALSE,"TXTCOMPS"}</definedName>
    <definedName name="qs" localSheetId="1" hidden="1">{"valuation",#N/A,FALSE,"TXTCOMPS"}</definedName>
    <definedName name="qs" localSheetId="28" hidden="1">{"valuation",#N/A,FALSE,"TXTCOMPS"}</definedName>
    <definedName name="qs" localSheetId="26" hidden="1">{"valuation",#N/A,FALSE,"TXTCOMPS"}</definedName>
    <definedName name="qs" localSheetId="27" hidden="1">{"valuation",#N/A,FALSE,"TXTCOMPS"}</definedName>
    <definedName name="qs" hidden="1">{"valuation",#N/A,FALSE,"TXTCOMPS"}</definedName>
    <definedName name="Qs_93">#REF!</definedName>
    <definedName name="Qs_94">#REF!</definedName>
    <definedName name="Qs_95">#REF!</definedName>
    <definedName name="Range_Names">#REF!</definedName>
    <definedName name="RDC">#REF!</definedName>
    <definedName name="RDCosts">#REF!</definedName>
    <definedName name="RefComp">#REF!</definedName>
    <definedName name="Regional">#REF!</definedName>
    <definedName name="rep" localSheetId="17" hidden="1">{#N/A,#N/A,FALSE,"COVER";#N/A,#N/A,FALSE,"VALUATION";#N/A,#N/A,FALSE,"FORECAST";#N/A,#N/A,FALSE,"FY ANALYSIS ";#N/A,#N/A,FALSE," HY ANALYSIS"}</definedName>
    <definedName name="rep" localSheetId="15" hidden="1">{#N/A,#N/A,FALSE,"COVER";#N/A,#N/A,FALSE,"VALUATION";#N/A,#N/A,FALSE,"FORECAST";#N/A,#N/A,FALSE,"FY ANALYSIS ";#N/A,#N/A,FALSE," HY ANALYSIS"}</definedName>
    <definedName name="rep" localSheetId="12" hidden="1">{#N/A,#N/A,FALSE,"COVER";#N/A,#N/A,FALSE,"VALUATION";#N/A,#N/A,FALSE,"FORECAST";#N/A,#N/A,FALSE,"FY ANALYSIS ";#N/A,#N/A,FALSE," HY ANALYSIS"}</definedName>
    <definedName name="rep" localSheetId="22" hidden="1">{#N/A,#N/A,FALSE,"COVER";#N/A,#N/A,FALSE,"VALUATION";#N/A,#N/A,FALSE,"FORECAST";#N/A,#N/A,FALSE,"FY ANALYSIS ";#N/A,#N/A,FALSE," HY ANALYSIS"}</definedName>
    <definedName name="rep" localSheetId="20" hidden="1">{#N/A,#N/A,FALSE,"COVER";#N/A,#N/A,FALSE,"VALUATION";#N/A,#N/A,FALSE,"FORECAST";#N/A,#N/A,FALSE,"FY ANALYSIS ";#N/A,#N/A,FALSE," HY ANALYSIS"}</definedName>
    <definedName name="rep" localSheetId="21" hidden="1">{#N/A,#N/A,FALSE,"COVER";#N/A,#N/A,FALSE,"VALUATION";#N/A,#N/A,FALSE,"FORECAST";#N/A,#N/A,FALSE,"FY ANALYSIS ";#N/A,#N/A,FALSE," HY ANALYSIS"}</definedName>
    <definedName name="rep" localSheetId="23" hidden="1">{#N/A,#N/A,FALSE,"COVER";#N/A,#N/A,FALSE,"VALUATION";#N/A,#N/A,FALSE,"FORECAST";#N/A,#N/A,FALSE,"FY ANALYSIS ";#N/A,#N/A,FALSE," HY ANALYSIS"}</definedName>
    <definedName name="rep" localSheetId="1" hidden="1">{#N/A,#N/A,FALSE,"COVER";#N/A,#N/A,FALSE,"VALUATION";#N/A,#N/A,FALSE,"FORECAST";#N/A,#N/A,FALSE,"FY ANALYSIS ";#N/A,#N/A,FALSE," HY ANALYSIS"}</definedName>
    <definedName name="rep" localSheetId="28" hidden="1">{#N/A,#N/A,FALSE,"COVER";#N/A,#N/A,FALSE,"VALUATION";#N/A,#N/A,FALSE,"FORECAST";#N/A,#N/A,FALSE,"FY ANALYSIS ";#N/A,#N/A,FALSE," HY ANALYSIS"}</definedName>
    <definedName name="rep" localSheetId="26" hidden="1">{#N/A,#N/A,FALSE,"COVER";#N/A,#N/A,FALSE,"VALUATION";#N/A,#N/A,FALSE,"FORECAST";#N/A,#N/A,FALSE,"FY ANALYSIS ";#N/A,#N/A,FALSE," HY ANALYSIS"}</definedName>
    <definedName name="rep" localSheetId="27" hidden="1">{#N/A,#N/A,FALSE,"COVER";#N/A,#N/A,FALSE,"VALUATION";#N/A,#N/A,FALSE,"FORECAST";#N/A,#N/A,FALSE,"FY ANALYSIS ";#N/A,#N/A,FALSE," HY ANALYSIS"}</definedName>
    <definedName name="rep" hidden="1">{#N/A,#N/A,FALSE,"COVER";#N/A,#N/A,FALSE,"VALUATION";#N/A,#N/A,FALSE,"FORECAST";#N/A,#N/A,FALSE,"FY ANALYSIS ";#N/A,#N/A,FALSE," HY ANALYSIS"}</definedName>
    <definedName name="RESERVES">#REF!</definedName>
    <definedName name="reserves93">#REF!</definedName>
    <definedName name="reserves94">#REF!</definedName>
    <definedName name="reserves95">#REF!</definedName>
    <definedName name="resss" localSheetId="17" hidden="1">{"comps",#N/A,FALSE,"TXTCOMPS";"segment_EPS",#N/A,FALSE,"TXTCOMPS";"valuation",#N/A,FALSE,"TXTCOMPS"}</definedName>
    <definedName name="resss" localSheetId="15" hidden="1">{"comps",#N/A,FALSE,"TXTCOMPS";"segment_EPS",#N/A,FALSE,"TXTCOMPS";"valuation",#N/A,FALSE,"TXTCOMPS"}</definedName>
    <definedName name="resss" localSheetId="12" hidden="1">{"comps",#N/A,FALSE,"TXTCOMPS";"segment_EPS",#N/A,FALSE,"TXTCOMPS";"valuation",#N/A,FALSE,"TXTCOMPS"}</definedName>
    <definedName name="resss" localSheetId="22" hidden="1">{"comps",#N/A,FALSE,"TXTCOMPS";"segment_EPS",#N/A,FALSE,"TXTCOMPS";"valuation",#N/A,FALSE,"TXTCOMPS"}</definedName>
    <definedName name="resss" localSheetId="20" hidden="1">{"comps",#N/A,FALSE,"TXTCOMPS";"segment_EPS",#N/A,FALSE,"TXTCOMPS";"valuation",#N/A,FALSE,"TXTCOMPS"}</definedName>
    <definedName name="resss" localSheetId="21" hidden="1">{"comps",#N/A,FALSE,"TXTCOMPS";"segment_EPS",#N/A,FALSE,"TXTCOMPS";"valuation",#N/A,FALSE,"TXTCOMPS"}</definedName>
    <definedName name="resss" localSheetId="23" hidden="1">{"comps",#N/A,FALSE,"TXTCOMPS";"segment_EPS",#N/A,FALSE,"TXTCOMPS";"valuation",#N/A,FALSE,"TXTCOMPS"}</definedName>
    <definedName name="resss" localSheetId="1" hidden="1">{"comps",#N/A,FALSE,"TXTCOMPS";"segment_EPS",#N/A,FALSE,"TXTCOMPS";"valuation",#N/A,FALSE,"TXTCOMPS"}</definedName>
    <definedName name="resss" localSheetId="28" hidden="1">{"comps",#N/A,FALSE,"TXTCOMPS";"segment_EPS",#N/A,FALSE,"TXTCOMPS";"valuation",#N/A,FALSE,"TXTCOMPS"}</definedName>
    <definedName name="resss" localSheetId="26" hidden="1">{"comps",#N/A,FALSE,"TXTCOMPS";"segment_EPS",#N/A,FALSE,"TXTCOMPS";"valuation",#N/A,FALSE,"TXTCOMPS"}</definedName>
    <definedName name="resss" localSheetId="27" hidden="1">{"comps",#N/A,FALSE,"TXTCOMPS";"segment_EPS",#N/A,FALSE,"TXTCOMPS";"valuation",#N/A,FALSE,"TXTCOMPS"}</definedName>
    <definedName name="resss" hidden="1">{"comps",#N/A,FALSE,"TXTCOMPS";"segment_EPS",#N/A,FALSE,"TXTCOMPS";"valuation",#N/A,FALSE,"TXTCOMPS"}</definedName>
    <definedName name="Revenue">#REF!</definedName>
    <definedName name="REVENUE_WORKSHEET_1">#REF!</definedName>
    <definedName name="REVENUE_WORKSHEET_2">#REF!</definedName>
    <definedName name="Revenue_Worksheet_3">#REF!</definedName>
    <definedName name="Revenue_Worksheet_4">#REF!</definedName>
    <definedName name="Revenue1">#REF!</definedName>
    <definedName name="Revenue2">#REF!</definedName>
    <definedName name="RM_DDA_2004">#REF!</definedName>
    <definedName name="RM_DDA_2005">#REF!</definedName>
    <definedName name="RM_DDA_2006">#REF!</definedName>
    <definedName name="RM_DDA_2007">#REF!</definedName>
    <definedName name="RM_DDA_2008">#REF!</definedName>
    <definedName name="ROCC_Intl_2004">#REF!</definedName>
    <definedName name="ROCC_US_2004">#REF!</definedName>
    <definedName name="ROCC_WW_2004">#REF!</definedName>
    <definedName name="RT" localSheetId="17" hidden="1">{"segment_EPS",#N/A,FALSE,"TXTCOMPS"}</definedName>
    <definedName name="RT" localSheetId="15" hidden="1">{"segment_EPS",#N/A,FALSE,"TXTCOMPS"}</definedName>
    <definedName name="RT" localSheetId="12" hidden="1">{"segment_EPS",#N/A,FALSE,"TXTCOMPS"}</definedName>
    <definedName name="RT" localSheetId="22" hidden="1">{"segment_EPS",#N/A,FALSE,"TXTCOMPS"}</definedName>
    <definedName name="RT" localSheetId="20" hidden="1">{"segment_EPS",#N/A,FALSE,"TXTCOMPS"}</definedName>
    <definedName name="RT" localSheetId="21" hidden="1">{"segment_EPS",#N/A,FALSE,"TXTCOMPS"}</definedName>
    <definedName name="RT" localSheetId="23" hidden="1">{"segment_EPS",#N/A,FALSE,"TXTCOMPS"}</definedName>
    <definedName name="RT" localSheetId="1" hidden="1">{"segment_EPS",#N/A,FALSE,"TXTCOMPS"}</definedName>
    <definedName name="RT" localSheetId="28" hidden="1">{"segment_EPS",#N/A,FALSE,"TXTCOMPS"}</definedName>
    <definedName name="RT" localSheetId="26" hidden="1">{"segment_EPS",#N/A,FALSE,"TXTCOMPS"}</definedName>
    <definedName name="RT" localSheetId="27" hidden="1">{"segment_EPS",#N/A,FALSE,"TXTCOMPS"}</definedName>
    <definedName name="RT" hidden="1">{"segment_EPS",#N/A,FALSE,"TXTCOMPS"}</definedName>
    <definedName name="s" localSheetId="17" hidden="1">{"segment_EPS",#N/A,FALSE,"TXTCOMPS"}</definedName>
    <definedName name="s" localSheetId="15" hidden="1">{"segment_EPS",#N/A,FALSE,"TXTCOMPS"}</definedName>
    <definedName name="s" localSheetId="12" hidden="1">{"segment_EPS",#N/A,FALSE,"TXTCOMPS"}</definedName>
    <definedName name="s" localSheetId="22" hidden="1">{"segment_EPS",#N/A,FALSE,"TXTCOMPS"}</definedName>
    <definedName name="s" localSheetId="20" hidden="1">{"segment_EPS",#N/A,FALSE,"TXTCOMPS"}</definedName>
    <definedName name="s" localSheetId="21" hidden="1">{"segment_EPS",#N/A,FALSE,"TXTCOMPS"}</definedName>
    <definedName name="s" localSheetId="23" hidden="1">{"segment_EPS",#N/A,FALSE,"TXTCOMPS"}</definedName>
    <definedName name="s" localSheetId="1" hidden="1">{"segment_EPS",#N/A,FALSE,"TXTCOMPS"}</definedName>
    <definedName name="s" localSheetId="28" hidden="1">{"segment_EPS",#N/A,FALSE,"TXTCOMPS"}</definedName>
    <definedName name="s" localSheetId="26" hidden="1">{"segment_EPS",#N/A,FALSE,"TXTCOMPS"}</definedName>
    <definedName name="s" localSheetId="27" hidden="1">{"segment_EPS",#N/A,FALSE,"TXTCOMPS"}</definedName>
    <definedName name="s" hidden="1">{"segment_EPS",#N/A,FALSE,"TXTCOMPS"}</definedName>
    <definedName name="SAPBEXrevision" hidden="1">12</definedName>
    <definedName name="SAPBEXsysID" hidden="1">"BW1"</definedName>
    <definedName name="SAPBEXwbID" hidden="1">"EXVQ7024UZF98DYY6FAM7GVXF"</definedName>
    <definedName name="sds" localSheetId="17" hidden="1">{"'보고양식'!$A$58:$K$111"}</definedName>
    <definedName name="sds" localSheetId="15" hidden="1">{"'보고양식'!$A$58:$K$111"}</definedName>
    <definedName name="sds" localSheetId="12" hidden="1">{"'보고양식'!$A$58:$K$111"}</definedName>
    <definedName name="sds" localSheetId="22" hidden="1">{"'보고양식'!$A$58:$K$111"}</definedName>
    <definedName name="sds" localSheetId="20" hidden="1">{"'보고양식'!$A$58:$K$111"}</definedName>
    <definedName name="sds" localSheetId="21" hidden="1">{"'보고양식'!$A$58:$K$111"}</definedName>
    <definedName name="sds" localSheetId="23" hidden="1">{"'보고양식'!$A$58:$K$111"}</definedName>
    <definedName name="sds" localSheetId="1" hidden="1">{"'보고양식'!$A$58:$K$111"}</definedName>
    <definedName name="sds" localSheetId="28" hidden="1">{"'보고양식'!$A$58:$K$111"}</definedName>
    <definedName name="sds" localSheetId="26" hidden="1">{"'보고양식'!$A$58:$K$111"}</definedName>
    <definedName name="sds" localSheetId="27" hidden="1">{"'보고양식'!$A$58:$K$111"}</definedName>
    <definedName name="sds" hidden="1">{"'보고양식'!$A$58:$K$111"}</definedName>
    <definedName name="seg" localSheetId="17" hidden="1">{"segment_EPS",#N/A,FALSE,"TXTCOMPS"}</definedName>
    <definedName name="seg" localSheetId="15" hidden="1">{"segment_EPS",#N/A,FALSE,"TXTCOMPS"}</definedName>
    <definedName name="seg" localSheetId="12" hidden="1">{"segment_EPS",#N/A,FALSE,"TXTCOMPS"}</definedName>
    <definedName name="seg" localSheetId="22" hidden="1">{"segment_EPS",#N/A,FALSE,"TXTCOMPS"}</definedName>
    <definedName name="seg" localSheetId="20" hidden="1">{"segment_EPS",#N/A,FALSE,"TXTCOMPS"}</definedName>
    <definedName name="seg" localSheetId="21" hidden="1">{"segment_EPS",#N/A,FALSE,"TXTCOMPS"}</definedName>
    <definedName name="seg" localSheetId="23" hidden="1">{"segment_EPS",#N/A,FALSE,"TXTCOMPS"}</definedName>
    <definedName name="seg" localSheetId="1" hidden="1">{"segment_EPS",#N/A,FALSE,"TXTCOMPS"}</definedName>
    <definedName name="seg" localSheetId="28" hidden="1">{"segment_EPS",#N/A,FALSE,"TXTCOMPS"}</definedName>
    <definedName name="seg" localSheetId="26" hidden="1">{"segment_EPS",#N/A,FALSE,"TXTCOMPS"}</definedName>
    <definedName name="seg" localSheetId="27" hidden="1">{"segment_EPS",#N/A,FALSE,"TXTCOMPS"}</definedName>
    <definedName name="seg" hidden="1">{"segment_EPS",#N/A,FALSE,"TXTCOMPS"}</definedName>
    <definedName name="SegmentSummary">#REF!</definedName>
    <definedName name="sencount" hidden="1">1</definedName>
    <definedName name="Share_Data">#REF!,#REF!</definedName>
    <definedName name="Shares_00">#REF!</definedName>
    <definedName name="Shares_01">#REF!</definedName>
    <definedName name="Shares_10">#REF!</definedName>
    <definedName name="Shares_99">#REF!</definedName>
    <definedName name="shrs" localSheetId="1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2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II">#REF!</definedName>
    <definedName name="SLB">#REF!</definedName>
    <definedName name="Slicer_Regions">#N/A</definedName>
    <definedName name="solver_lin" hidden="1">0</definedName>
    <definedName name="solver_num" hidden="1">0</definedName>
    <definedName name="solver_typ" hidden="1">3</definedName>
    <definedName name="solver_val" hidden="1">0.6</definedName>
    <definedName name="SourceFolder">#REF!</definedName>
    <definedName name="ssss" localSheetId="17" hidden="1">{#N/A,#N/A,FALSE,"Report Print"}</definedName>
    <definedName name="ssss" localSheetId="15" hidden="1">{#N/A,#N/A,FALSE,"Report Print"}</definedName>
    <definedName name="ssss" localSheetId="12" hidden="1">{#N/A,#N/A,FALSE,"Report Print"}</definedName>
    <definedName name="ssss" localSheetId="22" hidden="1">{#N/A,#N/A,FALSE,"Report Print"}</definedName>
    <definedName name="ssss" localSheetId="20" hidden="1">{#N/A,#N/A,FALSE,"Report Print"}</definedName>
    <definedName name="ssss" localSheetId="21" hidden="1">{#N/A,#N/A,FALSE,"Report Print"}</definedName>
    <definedName name="ssss" localSheetId="23" hidden="1">{#N/A,#N/A,FALSE,"Report Print"}</definedName>
    <definedName name="ssss" localSheetId="1" hidden="1">{#N/A,#N/A,FALSE,"Report Print"}</definedName>
    <definedName name="ssss" localSheetId="28" hidden="1">{#N/A,#N/A,FALSE,"Report Print"}</definedName>
    <definedName name="ssss" localSheetId="26" hidden="1">{#N/A,#N/A,FALSE,"Report Print"}</definedName>
    <definedName name="ssss" localSheetId="27" hidden="1">{#N/A,#N/A,FALSE,"Report Print"}</definedName>
    <definedName name="ssss" hidden="1">{#N/A,#N/A,FALSE,"Report Print"}</definedName>
    <definedName name="Summary_Date">#REF!</definedName>
    <definedName name="Surprise2" localSheetId="17" hidden="1">{"INCSTMT1",#N/A,FALSE,"COR";"INCSTMT2",#N/A,FALSE,"COR"}</definedName>
    <definedName name="Surprise2" localSheetId="15" hidden="1">{"INCSTMT1",#N/A,FALSE,"COR";"INCSTMT2",#N/A,FALSE,"COR"}</definedName>
    <definedName name="Surprise2" localSheetId="12" hidden="1">{"INCSTMT1",#N/A,FALSE,"COR";"INCSTMT2",#N/A,FALSE,"COR"}</definedName>
    <definedName name="Surprise2" localSheetId="22" hidden="1">{"INCSTMT1",#N/A,FALSE,"COR";"INCSTMT2",#N/A,FALSE,"COR"}</definedName>
    <definedName name="Surprise2" localSheetId="20" hidden="1">{"INCSTMT1",#N/A,FALSE,"COR";"INCSTMT2",#N/A,FALSE,"COR"}</definedName>
    <definedName name="Surprise2" localSheetId="21" hidden="1">{"INCSTMT1",#N/A,FALSE,"COR";"INCSTMT2",#N/A,FALSE,"COR"}</definedName>
    <definedName name="Surprise2" localSheetId="23" hidden="1">{"INCSTMT1",#N/A,FALSE,"COR";"INCSTMT2",#N/A,FALSE,"COR"}</definedName>
    <definedName name="Surprise2" localSheetId="1" hidden="1">{"INCSTMT1",#N/A,FALSE,"COR";"INCSTMT2",#N/A,FALSE,"COR"}</definedName>
    <definedName name="Surprise2" localSheetId="28" hidden="1">{"INCSTMT1",#N/A,FALSE,"COR";"INCSTMT2",#N/A,FALSE,"COR"}</definedName>
    <definedName name="Surprise2" localSheetId="26" hidden="1">{"INCSTMT1",#N/A,FALSE,"COR";"INCSTMT2",#N/A,FALSE,"COR"}</definedName>
    <definedName name="Surprise2" localSheetId="27" hidden="1">{"INCSTMT1",#N/A,FALSE,"COR";"INCSTMT2",#N/A,FALSE,"COR"}</definedName>
    <definedName name="Surprise2" hidden="1">{"INCSTMT1",#N/A,FALSE,"COR";"INCSTMT2",#N/A,FALSE,"COR"}</definedName>
    <definedName name="Switch">'[33]A&amp;G Handling'!$CJ$3</definedName>
    <definedName name="t" localSheetId="17" hidden="1">{"segment_EPS",#N/A,FALSE,"TXTCOMPS"}</definedName>
    <definedName name="t" localSheetId="15" hidden="1">{"INCSTMT1",#N/A,FALSE,"COR";"INCSTMT2",#N/A,FALSE,"COR"}</definedName>
    <definedName name="t" localSheetId="12" hidden="1">{"INCSTMT1",#N/A,FALSE,"COR";"INCSTMT2",#N/A,FALSE,"COR"}</definedName>
    <definedName name="t" localSheetId="22" hidden="1">{"segment_EPS",#N/A,FALSE,"TXTCOMPS"}</definedName>
    <definedName name="t" localSheetId="20" hidden="1">{"INCSTMT1",#N/A,FALSE,"COR";"INCSTMT2",#N/A,FALSE,"COR"}</definedName>
    <definedName name="t" localSheetId="21" hidden="1">{"INCSTMT1",#N/A,FALSE,"COR";"INCSTMT2",#N/A,FALSE,"COR"}</definedName>
    <definedName name="t" localSheetId="23" hidden="1">{"INCSTMT1",#N/A,FALSE,"COR";"INCSTMT2",#N/A,FALSE,"COR"}</definedName>
    <definedName name="t" localSheetId="1" hidden="1">{"segment_EPS",#N/A,FALSE,"TXTCOMPS"}</definedName>
    <definedName name="t" localSheetId="28" hidden="1">{"segment_EPS",#N/A,FALSE,"TXTCOMPS"}</definedName>
    <definedName name="t" localSheetId="26" hidden="1">{"INCSTMT1",#N/A,FALSE,"COR";"INCSTMT2",#N/A,FALSE,"COR"}</definedName>
    <definedName name="t" localSheetId="27" hidden="1">{"INCSTMT1",#N/A,FALSE,"COR";"INCSTMT2",#N/A,FALSE,"COR"}</definedName>
    <definedName name="t" hidden="1">{"segment_EPS",#N/A,FALSE,"TXTCOMPS"}</definedName>
    <definedName name="taxtar">#REF!</definedName>
    <definedName name="taxtar2">#REF!</definedName>
    <definedName name="Team">#REF!</definedName>
    <definedName name="TEST" localSheetId="17" hidden="1">{#N/A,#N/A,FALSE,"COVER";#N/A,#N/A,FALSE,"PF ASSUMPT";#N/A,#N/A,FALSE,"PF EPS";#N/A,#N/A,FALSE,"CASHFLOWS";#N/A,#N/A,FALSE,"BALANCESHEET"}</definedName>
    <definedName name="TEST" localSheetId="15" hidden="1">{#N/A,#N/A,FALSE,"COVER";#N/A,#N/A,FALSE,"PF ASSUMPT";#N/A,#N/A,FALSE,"PF EPS";#N/A,#N/A,FALSE,"CASHFLOWS";#N/A,#N/A,FALSE,"BALANCESHEET"}</definedName>
    <definedName name="TEST" localSheetId="12" hidden="1">{#N/A,#N/A,FALSE,"COVER";#N/A,#N/A,FALSE,"PF ASSUMPT";#N/A,#N/A,FALSE,"PF EPS";#N/A,#N/A,FALSE,"CASHFLOWS";#N/A,#N/A,FALSE,"BALANCESHEET"}</definedName>
    <definedName name="TEST" localSheetId="22" hidden="1">{#N/A,#N/A,FALSE,"COVER";#N/A,#N/A,FALSE,"PF ASSUMPT";#N/A,#N/A,FALSE,"PF EPS";#N/A,#N/A,FALSE,"CASHFLOWS";#N/A,#N/A,FALSE,"BALANCESHEET"}</definedName>
    <definedName name="TEST" localSheetId="20" hidden="1">{#N/A,#N/A,FALSE,"COVER";#N/A,#N/A,FALSE,"PF ASSUMPT";#N/A,#N/A,FALSE,"PF EPS";#N/A,#N/A,FALSE,"CASHFLOWS";#N/A,#N/A,FALSE,"BALANCESHEET"}</definedName>
    <definedName name="TEST" localSheetId="21" hidden="1">{#N/A,#N/A,FALSE,"COVER";#N/A,#N/A,FALSE,"PF ASSUMPT";#N/A,#N/A,FALSE,"PF EPS";#N/A,#N/A,FALSE,"CASHFLOWS";#N/A,#N/A,FALSE,"BALANCESHEET"}</definedName>
    <definedName name="TEST" localSheetId="23" hidden="1">{#N/A,#N/A,FALSE,"COVER";#N/A,#N/A,FALSE,"PF ASSUMPT";#N/A,#N/A,FALSE,"PF EPS";#N/A,#N/A,FALSE,"CASHFLOWS";#N/A,#N/A,FALSE,"BALANCESHEET"}</definedName>
    <definedName name="TEST" localSheetId="1" hidden="1">{#N/A,#N/A,FALSE,"COVER";#N/A,#N/A,FALSE,"PF ASSUMPT";#N/A,#N/A,FALSE,"PF EPS";#N/A,#N/A,FALSE,"CASHFLOWS";#N/A,#N/A,FALSE,"BALANCESHEET"}</definedName>
    <definedName name="TEST" localSheetId="28" hidden="1">{#N/A,#N/A,FALSE,"COVER";#N/A,#N/A,FALSE,"PF ASSUMPT";#N/A,#N/A,FALSE,"PF EPS";#N/A,#N/A,FALSE,"CASHFLOWS";#N/A,#N/A,FALSE,"BALANCESHEET"}</definedName>
    <definedName name="TEST" localSheetId="26" hidden="1">{#N/A,#N/A,FALSE,"COVER";#N/A,#N/A,FALSE,"PF ASSUMPT";#N/A,#N/A,FALSE,"PF EPS";#N/A,#N/A,FALSE,"CASHFLOWS";#N/A,#N/A,FALSE,"BALANCESHEET"}</definedName>
    <definedName name="TEST" localSheetId="27" hidden="1">{#N/A,#N/A,FALSE,"COVER";#N/A,#N/A,FALSE,"PF ASSUMPT";#N/A,#N/A,FALSE,"PF EPS";#N/A,#N/A,FALSE,"CASHFLOWS";#N/A,#N/A,FALSE,"BALANCESHEET"}</definedName>
    <definedName name="TEST" hidden="1">{#N/A,#N/A,FALSE,"COVER";#N/A,#N/A,FALSE,"PF ASSUMPT";#N/A,#N/A,FALSE,"PF EPS";#N/A,#N/A,FALSE,"CASHFLOWS";#N/A,#N/A,FALSE,"BALANCESHEET"}</definedName>
    <definedName name="test1" localSheetId="17" hidden="1">{#N/A,#N/A,FALSE,"COVER";#N/A,#N/A,FALSE,"PF ASSUMPT";#N/A,#N/A,FALSE,"PF EPS";#N/A,#N/A,FALSE,"CASHFLOWS";#N/A,#N/A,FALSE,"BALANCESHEET"}</definedName>
    <definedName name="test1" localSheetId="15" hidden="1">{#N/A,#N/A,FALSE,"COVER";#N/A,#N/A,FALSE,"PF ASSUMPT";#N/A,#N/A,FALSE,"PF EPS";#N/A,#N/A,FALSE,"CASHFLOWS";#N/A,#N/A,FALSE,"BALANCESHEET"}</definedName>
    <definedName name="test1" localSheetId="12" hidden="1">{#N/A,#N/A,FALSE,"COVER";#N/A,#N/A,FALSE,"PF ASSUMPT";#N/A,#N/A,FALSE,"PF EPS";#N/A,#N/A,FALSE,"CASHFLOWS";#N/A,#N/A,FALSE,"BALANCESHEET"}</definedName>
    <definedName name="test1" localSheetId="22" hidden="1">{#N/A,#N/A,FALSE,"COVER";#N/A,#N/A,FALSE,"PF ASSUMPT";#N/A,#N/A,FALSE,"PF EPS";#N/A,#N/A,FALSE,"CASHFLOWS";#N/A,#N/A,FALSE,"BALANCESHEET"}</definedName>
    <definedName name="test1" localSheetId="20" hidden="1">{#N/A,#N/A,FALSE,"COVER";#N/A,#N/A,FALSE,"PF ASSUMPT";#N/A,#N/A,FALSE,"PF EPS";#N/A,#N/A,FALSE,"CASHFLOWS";#N/A,#N/A,FALSE,"BALANCESHEET"}</definedName>
    <definedName name="test1" localSheetId="21" hidden="1">{#N/A,#N/A,FALSE,"COVER";#N/A,#N/A,FALSE,"PF ASSUMPT";#N/A,#N/A,FALSE,"PF EPS";#N/A,#N/A,FALSE,"CASHFLOWS";#N/A,#N/A,FALSE,"BALANCESHEET"}</definedName>
    <definedName name="test1" localSheetId="23" hidden="1">{#N/A,#N/A,FALSE,"COVER";#N/A,#N/A,FALSE,"PF ASSUMPT";#N/A,#N/A,FALSE,"PF EPS";#N/A,#N/A,FALSE,"CASHFLOWS";#N/A,#N/A,FALSE,"BALANCESHEET"}</definedName>
    <definedName name="test1" localSheetId="1" hidden="1">{#N/A,#N/A,FALSE,"COVER";#N/A,#N/A,FALSE,"PF ASSUMPT";#N/A,#N/A,FALSE,"PF EPS";#N/A,#N/A,FALSE,"CASHFLOWS";#N/A,#N/A,FALSE,"BALANCESHEET"}</definedName>
    <definedName name="test1" localSheetId="28" hidden="1">{#N/A,#N/A,FALSE,"COVER";#N/A,#N/A,FALSE,"PF ASSUMPT";#N/A,#N/A,FALSE,"PF EPS";#N/A,#N/A,FALSE,"CASHFLOWS";#N/A,#N/A,FALSE,"BALANCESHEET"}</definedName>
    <definedName name="test1" localSheetId="26" hidden="1">{#N/A,#N/A,FALSE,"COVER";#N/A,#N/A,FALSE,"PF ASSUMPT";#N/A,#N/A,FALSE,"PF EPS";#N/A,#N/A,FALSE,"CASHFLOWS";#N/A,#N/A,FALSE,"BALANCESHEET"}</definedName>
    <definedName name="test1" localSheetId="27" hidden="1">{#N/A,#N/A,FALSE,"COVER";#N/A,#N/A,FALSE,"PF ASSUMPT";#N/A,#N/A,FALSE,"PF EPS";#N/A,#N/A,FALSE,"CASHFLOWS";#N/A,#N/A,FALSE,"BALANCESHEET"}</definedName>
    <definedName name="test1" hidden="1">{#N/A,#N/A,FALSE,"COVER";#N/A,#N/A,FALSE,"PF ASSUMPT";#N/A,#N/A,FALSE,"PF EPS";#N/A,#N/A,FALSE,"CASHFLOWS";#N/A,#N/A,FALSE,"BALANCESHEET"}</definedName>
    <definedName name="Test3" localSheetId="17" hidden="1">{#N/A,#N/A,FALSE,"ASSUMPTIONS";#N/A,#N/A,FALSE,"EPSMODEL";#N/A,#N/A,FALSE,"CASHFLOWS";#N/A,#N/A,FALSE,"BALANCESHEET"}</definedName>
    <definedName name="Test3" localSheetId="15" hidden="1">{#N/A,#N/A,FALSE,"ASSUMPTIONS";#N/A,#N/A,FALSE,"EPSMODEL";#N/A,#N/A,FALSE,"CASHFLOWS";#N/A,#N/A,FALSE,"BALANCESHEET"}</definedName>
    <definedName name="Test3" localSheetId="12" hidden="1">{#N/A,#N/A,FALSE,"ASSUMPTIONS";#N/A,#N/A,FALSE,"EPSMODEL";#N/A,#N/A,FALSE,"CASHFLOWS";#N/A,#N/A,FALSE,"BALANCESHEET"}</definedName>
    <definedName name="Test3" localSheetId="22" hidden="1">{#N/A,#N/A,FALSE,"ASSUMPTIONS";#N/A,#N/A,FALSE,"EPSMODEL";#N/A,#N/A,FALSE,"CASHFLOWS";#N/A,#N/A,FALSE,"BALANCESHEET"}</definedName>
    <definedName name="Test3" localSheetId="20" hidden="1">{#N/A,#N/A,FALSE,"ASSUMPTIONS";#N/A,#N/A,FALSE,"EPSMODEL";#N/A,#N/A,FALSE,"CASHFLOWS";#N/A,#N/A,FALSE,"BALANCESHEET"}</definedName>
    <definedName name="Test3" localSheetId="21" hidden="1">{#N/A,#N/A,FALSE,"ASSUMPTIONS";#N/A,#N/A,FALSE,"EPSMODEL";#N/A,#N/A,FALSE,"CASHFLOWS";#N/A,#N/A,FALSE,"BALANCESHEET"}</definedName>
    <definedName name="Test3" localSheetId="23" hidden="1">{#N/A,#N/A,FALSE,"ASSUMPTIONS";#N/A,#N/A,FALSE,"EPSMODEL";#N/A,#N/A,FALSE,"CASHFLOWS";#N/A,#N/A,FALSE,"BALANCESHEET"}</definedName>
    <definedName name="Test3" localSheetId="1" hidden="1">{#N/A,#N/A,FALSE,"ASSUMPTIONS";#N/A,#N/A,FALSE,"EPSMODEL";#N/A,#N/A,FALSE,"CASHFLOWS";#N/A,#N/A,FALSE,"BALANCESHEET"}</definedName>
    <definedName name="Test3" localSheetId="28" hidden="1">{#N/A,#N/A,FALSE,"ASSUMPTIONS";#N/A,#N/A,FALSE,"EPSMODEL";#N/A,#N/A,FALSE,"CASHFLOWS";#N/A,#N/A,FALSE,"BALANCESHEET"}</definedName>
    <definedName name="Test3" localSheetId="26" hidden="1">{#N/A,#N/A,FALSE,"ASSUMPTIONS";#N/A,#N/A,FALSE,"EPSMODEL";#N/A,#N/A,FALSE,"CASHFLOWS";#N/A,#N/A,FALSE,"BALANCESHEET"}</definedName>
    <definedName name="Test3" localSheetId="27" hidden="1">{#N/A,#N/A,FALSE,"ASSUMPTIONS";#N/A,#N/A,FALSE,"EPSMODEL";#N/A,#N/A,FALSE,"CASHFLOWS";#N/A,#N/A,FALSE,"BALANCESHEET"}</definedName>
    <definedName name="Test3" hidden="1">{#N/A,#N/A,FALSE,"ASSUMPTIONS";#N/A,#N/A,FALSE,"EPSMODEL";#N/A,#N/A,FALSE,"CASHFLOWS";#N/A,#N/A,FALSE,"BALANCESHEET"}</definedName>
    <definedName name="test4" localSheetId="17" hidden="1">{#N/A,#N/A,FALSE,"ASSUMPTIONS";#N/A,#N/A,FALSE,"EPSMODEL";#N/A,#N/A,FALSE,"CASHFLOWS";#N/A,#N/A,FALSE,"BALANCESHEET"}</definedName>
    <definedName name="test4" localSheetId="15" hidden="1">{#N/A,#N/A,FALSE,"ASSUMPTIONS";#N/A,#N/A,FALSE,"EPSMODEL";#N/A,#N/A,FALSE,"CASHFLOWS";#N/A,#N/A,FALSE,"BALANCESHEET"}</definedName>
    <definedName name="test4" localSheetId="12" hidden="1">{#N/A,#N/A,FALSE,"ASSUMPTIONS";#N/A,#N/A,FALSE,"EPSMODEL";#N/A,#N/A,FALSE,"CASHFLOWS";#N/A,#N/A,FALSE,"BALANCESHEET"}</definedName>
    <definedName name="test4" localSheetId="22" hidden="1">{#N/A,#N/A,FALSE,"ASSUMPTIONS";#N/A,#N/A,FALSE,"EPSMODEL";#N/A,#N/A,FALSE,"CASHFLOWS";#N/A,#N/A,FALSE,"BALANCESHEET"}</definedName>
    <definedName name="test4" localSheetId="20" hidden="1">{#N/A,#N/A,FALSE,"ASSUMPTIONS";#N/A,#N/A,FALSE,"EPSMODEL";#N/A,#N/A,FALSE,"CASHFLOWS";#N/A,#N/A,FALSE,"BALANCESHEET"}</definedName>
    <definedName name="test4" localSheetId="21" hidden="1">{#N/A,#N/A,FALSE,"ASSUMPTIONS";#N/A,#N/A,FALSE,"EPSMODEL";#N/A,#N/A,FALSE,"CASHFLOWS";#N/A,#N/A,FALSE,"BALANCESHEET"}</definedName>
    <definedName name="test4" localSheetId="23" hidden="1">{#N/A,#N/A,FALSE,"ASSUMPTIONS";#N/A,#N/A,FALSE,"EPSMODEL";#N/A,#N/A,FALSE,"CASHFLOWS";#N/A,#N/A,FALSE,"BALANCESHEET"}</definedName>
    <definedName name="test4" localSheetId="1" hidden="1">{#N/A,#N/A,FALSE,"ASSUMPTIONS";#N/A,#N/A,FALSE,"EPSMODEL";#N/A,#N/A,FALSE,"CASHFLOWS";#N/A,#N/A,FALSE,"BALANCESHEET"}</definedName>
    <definedName name="test4" localSheetId="28" hidden="1">{#N/A,#N/A,FALSE,"ASSUMPTIONS";#N/A,#N/A,FALSE,"EPSMODEL";#N/A,#N/A,FALSE,"CASHFLOWS";#N/A,#N/A,FALSE,"BALANCESHEET"}</definedName>
    <definedName name="test4" localSheetId="26" hidden="1">{#N/A,#N/A,FALSE,"ASSUMPTIONS";#N/A,#N/A,FALSE,"EPSMODEL";#N/A,#N/A,FALSE,"CASHFLOWS";#N/A,#N/A,FALSE,"BALANCESHEET"}</definedName>
    <definedName name="test4" localSheetId="27" hidden="1">{#N/A,#N/A,FALSE,"ASSUMPTIONS";#N/A,#N/A,FALSE,"EPSMODEL";#N/A,#N/A,FALSE,"CASHFLOWS";#N/A,#N/A,FALSE,"BALANCESHEET"}</definedName>
    <definedName name="test4" hidden="1">{#N/A,#N/A,FALSE,"ASSUMPTIONS";#N/A,#N/A,FALSE,"EPSMODEL";#N/A,#N/A,FALSE,"CASHFLOWS";#N/A,#N/A,FALSE,"BALANCESHEET"}</definedName>
    <definedName name="Ticker">#REF!</definedName>
    <definedName name="top">#REF!</definedName>
    <definedName name="totcost93">#REF!</definedName>
    <definedName name="totcost94">#REF!</definedName>
    <definedName name="trans">#N/A</definedName>
    <definedName name="transx">#N/A</definedName>
    <definedName name="trc_CFPSGROWTH5YR">#REF!</definedName>
    <definedName name="trc_CFPSGRWPRV5YR">#REF!</definedName>
    <definedName name="trc_CurFY">#REF!</definedName>
    <definedName name="trc_DIVGROWTH5YR">#REF!</definedName>
    <definedName name="trc_DIVGRWPRV5YR">#REF!</definedName>
    <definedName name="trc_DocID">#REF!</definedName>
    <definedName name="trc_EBITDAGROWTH5YR">#REF!</definedName>
    <definedName name="trc_EBITDAGRWPRV5YR">#REF!</definedName>
    <definedName name="trc_EBITNXT5">#REF!</definedName>
    <definedName name="trc_EBITPRV5">#REF!</definedName>
    <definedName name="trc_EPSGRWPRV5YR">#REF!</definedName>
    <definedName name="trc_Flavor">#REF!</definedName>
    <definedName name="trc_NETGROWTH5YR">#REF!</definedName>
    <definedName name="trc_NETGRWPRV5YR">#REF!</definedName>
    <definedName name="trc_QDType">#REF!</definedName>
    <definedName name="trc_RATING">#REF!</definedName>
    <definedName name="trc_ReleaseDate">#REF!</definedName>
    <definedName name="trc_REVGROWTH5YR">#REF!</definedName>
    <definedName name="trc_REVGRWPRV5YR">#REF!</definedName>
    <definedName name="trc_RISK">#REF!</definedName>
    <definedName name="trc_SHARESOUT">#REF!</definedName>
    <definedName name="trc_SHROUTGROWTH5YR">#REF!</definedName>
    <definedName name="trc_SHROUTGRWPRV5YR">#REF!</definedName>
    <definedName name="trc_submitter">#REF!</definedName>
    <definedName name="trc_submittername">#REF!</definedName>
    <definedName name="trc_TARGET">#REF!</definedName>
    <definedName name="trc_TemplateID">#REF!</definedName>
    <definedName name="trc_TEV">#REF!</definedName>
    <definedName name="trc_Ticker">#REF!</definedName>
    <definedName name="trc_Version">#REF!</definedName>
    <definedName name="trc_XLS_DATASHEET_ProtectDate">36877.6919097222</definedName>
    <definedName name="trc_Y1">#REF!</definedName>
    <definedName name="trc_Y1COMMONEQ">#REF!</definedName>
    <definedName name="trc_Y1DILSHR">#REF!</definedName>
    <definedName name="trc_Y1DPS">#REF!</definedName>
    <definedName name="trc_Y1EBIT">#REF!</definedName>
    <definedName name="trc_Y1EBITDA">#REF!</definedName>
    <definedName name="trc_Y1FREE_CFPS">#REF!</definedName>
    <definedName name="trc_Y1LTDEBT">#REF!</definedName>
    <definedName name="trc_Y1NETINC">#REF!</definedName>
    <definedName name="trc_Y1Q1">#REF!</definedName>
    <definedName name="trc_Y1Q2">#REF!</definedName>
    <definedName name="trc_Y1Q3">#REF!</definedName>
    <definedName name="trc_Y1Q4">#REF!</definedName>
    <definedName name="trc_Y1REVENUE">#REF!</definedName>
    <definedName name="trc_Y1ROE">#REF!</definedName>
    <definedName name="trc_Y1TAXRATE">#REF!</definedName>
    <definedName name="trc_Y1Total">#REF!</definedName>
    <definedName name="trc_Y2">#REF!</definedName>
    <definedName name="trc_Y2COMMONEQ">#REF!</definedName>
    <definedName name="trc_Y2DILSHR">#REF!</definedName>
    <definedName name="trc_Y2DPS">#REF!</definedName>
    <definedName name="trc_Y2EBIT">#REF!</definedName>
    <definedName name="trc_Y2EBITDA">#REF!</definedName>
    <definedName name="trc_Y2FREE_CFPS">#REF!</definedName>
    <definedName name="trc_Y2LTDEBT">#REF!</definedName>
    <definedName name="trc_Y2NETINC">#REF!</definedName>
    <definedName name="trc_Y2Q1">#REF!</definedName>
    <definedName name="trc_Y2Q2">#REF!</definedName>
    <definedName name="trc_Y2Q3">#REF!</definedName>
    <definedName name="trc_Y2Q4">#REF!</definedName>
    <definedName name="trc_Y2REVENUE">#REF!</definedName>
    <definedName name="trc_Y2ROE">#REF!</definedName>
    <definedName name="trc_Y2TAXRATE">#REF!</definedName>
    <definedName name="trc_Y2Total">#REF!</definedName>
    <definedName name="trc_Y3">#REF!</definedName>
    <definedName name="trc_Y3COMMONEQ">#REF!</definedName>
    <definedName name="trc_Y3DILSHR">#REF!</definedName>
    <definedName name="trc_Y3DPS">#REF!</definedName>
    <definedName name="trc_Y3EBIT">#REF!</definedName>
    <definedName name="trc_Y3EBITDA">#REF!</definedName>
    <definedName name="trc_Y3FREE_CFPS">#REF!</definedName>
    <definedName name="trc_Y3LTDEBT">#REF!</definedName>
    <definedName name="trc_Y3NETINC">#REF!</definedName>
    <definedName name="trc_Y3Q1">#REF!</definedName>
    <definedName name="trc_Y3Q2">#REF!</definedName>
    <definedName name="trc_Y3Q3">#REF!</definedName>
    <definedName name="trc_Y3Q4">#REF!</definedName>
    <definedName name="trc_Y3REVENUE">#REF!</definedName>
    <definedName name="trc_Y3ROE">#REF!</definedName>
    <definedName name="trc_Y3TAXRATE">#REF!</definedName>
    <definedName name="trc_Y3Total">#REF!</definedName>
    <definedName name="trc_Y4">#REF!</definedName>
    <definedName name="trc_Y4COMMONEQ">#REF!</definedName>
    <definedName name="trc_Y4DILSHR">#REF!</definedName>
    <definedName name="trc_Y4DPS">#REF!</definedName>
    <definedName name="trc_Y4EBIT">#REF!</definedName>
    <definedName name="trc_Y4EBITDA">#REF!</definedName>
    <definedName name="trc_Y4FREE_CFPS">#REF!</definedName>
    <definedName name="trc_Y4LTDEBT">#REF!</definedName>
    <definedName name="trc_Y4NETINC">#REF!</definedName>
    <definedName name="trc_Y4Q1">#REF!</definedName>
    <definedName name="trc_Y4Q2">#REF!</definedName>
    <definedName name="trc_Y4Q3">#REF!</definedName>
    <definedName name="trc_Y4Q4">#REF!</definedName>
    <definedName name="trc_Y4REVENUE">#REF!</definedName>
    <definedName name="trc_Y4ROE">#REF!</definedName>
    <definedName name="trc_Y4TAXRATE">#REF!</definedName>
    <definedName name="trc_Y4Total">#REF!</definedName>
    <definedName name="TRI" localSheetId="17" hidden="1">{#N/A,#N/A,FALSE,"COVER";#N/A,#N/A,FALSE,"PF ASSUMPT";#N/A,#N/A,FALSE,"PF EPS";#N/A,#N/A,FALSE,"CASHFLOWS";#N/A,#N/A,FALSE,"BALANCESHEET"}</definedName>
    <definedName name="TRI" localSheetId="15" hidden="1">{#N/A,#N/A,FALSE,"COVER";#N/A,#N/A,FALSE,"PF ASSUMPT";#N/A,#N/A,FALSE,"PF EPS";#N/A,#N/A,FALSE,"CASHFLOWS";#N/A,#N/A,FALSE,"BALANCESHEET"}</definedName>
    <definedName name="TRI" localSheetId="12" hidden="1">{#N/A,#N/A,FALSE,"COVER";#N/A,#N/A,FALSE,"PF ASSUMPT";#N/A,#N/A,FALSE,"PF EPS";#N/A,#N/A,FALSE,"CASHFLOWS";#N/A,#N/A,FALSE,"BALANCESHEET"}</definedName>
    <definedName name="TRI" localSheetId="22" hidden="1">{#N/A,#N/A,FALSE,"COVER";#N/A,#N/A,FALSE,"PF ASSUMPT";#N/A,#N/A,FALSE,"PF EPS";#N/A,#N/A,FALSE,"CASHFLOWS";#N/A,#N/A,FALSE,"BALANCESHEET"}</definedName>
    <definedName name="TRI" localSheetId="20" hidden="1">{#N/A,#N/A,FALSE,"COVER";#N/A,#N/A,FALSE,"PF ASSUMPT";#N/A,#N/A,FALSE,"PF EPS";#N/A,#N/A,FALSE,"CASHFLOWS";#N/A,#N/A,FALSE,"BALANCESHEET"}</definedName>
    <definedName name="TRI" localSheetId="21" hidden="1">{#N/A,#N/A,FALSE,"COVER";#N/A,#N/A,FALSE,"PF ASSUMPT";#N/A,#N/A,FALSE,"PF EPS";#N/A,#N/A,FALSE,"CASHFLOWS";#N/A,#N/A,FALSE,"BALANCESHEET"}</definedName>
    <definedName name="TRI" localSheetId="23" hidden="1">{#N/A,#N/A,FALSE,"COVER";#N/A,#N/A,FALSE,"PF ASSUMPT";#N/A,#N/A,FALSE,"PF EPS";#N/A,#N/A,FALSE,"CASHFLOWS";#N/A,#N/A,FALSE,"BALANCESHEET"}</definedName>
    <definedName name="TRI" localSheetId="1" hidden="1">{#N/A,#N/A,FALSE,"COVER";#N/A,#N/A,FALSE,"PF ASSUMPT";#N/A,#N/A,FALSE,"PF EPS";#N/A,#N/A,FALSE,"CASHFLOWS";#N/A,#N/A,FALSE,"BALANCESHEET"}</definedName>
    <definedName name="TRI" localSheetId="28" hidden="1">{#N/A,#N/A,FALSE,"COVER";#N/A,#N/A,FALSE,"PF ASSUMPT";#N/A,#N/A,FALSE,"PF EPS";#N/A,#N/A,FALSE,"CASHFLOWS";#N/A,#N/A,FALSE,"BALANCESHEET"}</definedName>
    <definedName name="TRI" localSheetId="26" hidden="1">{#N/A,#N/A,FALSE,"COVER";#N/A,#N/A,FALSE,"PF ASSUMPT";#N/A,#N/A,FALSE,"PF EPS";#N/A,#N/A,FALSE,"CASHFLOWS";#N/A,#N/A,FALSE,"BALANCESHEET"}</definedName>
    <definedName name="TRI" localSheetId="27" hidden="1">{#N/A,#N/A,FALSE,"COVER";#N/A,#N/A,FALSE,"PF ASSUMPT";#N/A,#N/A,FALSE,"PF EPS";#N/A,#N/A,FALSE,"CASHFLOWS";#N/A,#N/A,FALSE,"BALANCESHEET"}</definedName>
    <definedName name="TRI" hidden="1">{#N/A,#N/A,FALSE,"COVER";#N/A,#N/A,FALSE,"PF ASSUMPT";#N/A,#N/A,FALSE,"PF EPS";#N/A,#N/A,FALSE,"CASHFLOWS";#N/A,#N/A,FALSE,"BALANCESHEET"}</definedName>
    <definedName name="TRItwo" localSheetId="17" hidden="1">{#N/A,#N/A,FALSE,"COVER";#N/A,#N/A,FALSE,"PF ASSUMPT";#N/A,#N/A,FALSE,"PF EPS";#N/A,#N/A,FALSE,"CASHFLOWS";#N/A,#N/A,FALSE,"BALANCESHEET"}</definedName>
    <definedName name="TRItwo" localSheetId="15" hidden="1">{#N/A,#N/A,FALSE,"COVER";#N/A,#N/A,FALSE,"PF ASSUMPT";#N/A,#N/A,FALSE,"PF EPS";#N/A,#N/A,FALSE,"CASHFLOWS";#N/A,#N/A,FALSE,"BALANCESHEET"}</definedName>
    <definedName name="TRItwo" localSheetId="12" hidden="1">{#N/A,#N/A,FALSE,"COVER";#N/A,#N/A,FALSE,"PF ASSUMPT";#N/A,#N/A,FALSE,"PF EPS";#N/A,#N/A,FALSE,"CASHFLOWS";#N/A,#N/A,FALSE,"BALANCESHEET"}</definedName>
    <definedName name="TRItwo" localSheetId="22" hidden="1">{#N/A,#N/A,FALSE,"COVER";#N/A,#N/A,FALSE,"PF ASSUMPT";#N/A,#N/A,FALSE,"PF EPS";#N/A,#N/A,FALSE,"CASHFLOWS";#N/A,#N/A,FALSE,"BALANCESHEET"}</definedName>
    <definedName name="TRItwo" localSheetId="20" hidden="1">{#N/A,#N/A,FALSE,"COVER";#N/A,#N/A,FALSE,"PF ASSUMPT";#N/A,#N/A,FALSE,"PF EPS";#N/A,#N/A,FALSE,"CASHFLOWS";#N/A,#N/A,FALSE,"BALANCESHEET"}</definedName>
    <definedName name="TRItwo" localSheetId="21" hidden="1">{#N/A,#N/A,FALSE,"COVER";#N/A,#N/A,FALSE,"PF ASSUMPT";#N/A,#N/A,FALSE,"PF EPS";#N/A,#N/A,FALSE,"CASHFLOWS";#N/A,#N/A,FALSE,"BALANCESHEET"}</definedName>
    <definedName name="TRItwo" localSheetId="23" hidden="1">{#N/A,#N/A,FALSE,"COVER";#N/A,#N/A,FALSE,"PF ASSUMPT";#N/A,#N/A,FALSE,"PF EPS";#N/A,#N/A,FALSE,"CASHFLOWS";#N/A,#N/A,FALSE,"BALANCESHEET"}</definedName>
    <definedName name="TRItwo" localSheetId="1" hidden="1">{#N/A,#N/A,FALSE,"COVER";#N/A,#N/A,FALSE,"PF ASSUMPT";#N/A,#N/A,FALSE,"PF EPS";#N/A,#N/A,FALSE,"CASHFLOWS";#N/A,#N/A,FALSE,"BALANCESHEET"}</definedName>
    <definedName name="TRItwo" localSheetId="28" hidden="1">{#N/A,#N/A,FALSE,"COVER";#N/A,#N/A,FALSE,"PF ASSUMPT";#N/A,#N/A,FALSE,"PF EPS";#N/A,#N/A,FALSE,"CASHFLOWS";#N/A,#N/A,FALSE,"BALANCESHEET"}</definedName>
    <definedName name="TRItwo" localSheetId="26" hidden="1">{#N/A,#N/A,FALSE,"COVER";#N/A,#N/A,FALSE,"PF ASSUMPT";#N/A,#N/A,FALSE,"PF EPS";#N/A,#N/A,FALSE,"CASHFLOWS";#N/A,#N/A,FALSE,"BALANCESHEET"}</definedName>
    <definedName name="TRItwo" localSheetId="27" hidden="1">{#N/A,#N/A,FALSE,"COVER";#N/A,#N/A,FALSE,"PF ASSUMPT";#N/A,#N/A,FALSE,"PF EPS";#N/A,#N/A,FALSE,"CASHFLOWS";#N/A,#N/A,FALSE,"BALANCESHEET"}</definedName>
    <definedName name="TRItwo" hidden="1">{#N/A,#N/A,FALSE,"COVER";#N/A,#N/A,FALSE,"PF ASSUMPT";#N/A,#N/A,FALSE,"PF EPS";#N/A,#N/A,FALSE,"CASHFLOWS";#N/A,#N/A,FALSE,"BALANCESHEET"}</definedName>
    <definedName name="tyui" localSheetId="17" hidden="1">{"valuation",#N/A,FALSE,"TXTCOMPS"}</definedName>
    <definedName name="tyui" localSheetId="15" hidden="1">{"valuation",#N/A,FALSE,"TXTCOMPS"}</definedName>
    <definedName name="tyui" localSheetId="12" hidden="1">{"valuation",#N/A,FALSE,"TXTCOMPS"}</definedName>
    <definedName name="tyui" localSheetId="22" hidden="1">{"valuation",#N/A,FALSE,"TXTCOMPS"}</definedName>
    <definedName name="tyui" localSheetId="20" hidden="1">{"valuation",#N/A,FALSE,"TXTCOMPS"}</definedName>
    <definedName name="tyui" localSheetId="21" hidden="1">{"valuation",#N/A,FALSE,"TXTCOMPS"}</definedName>
    <definedName name="tyui" localSheetId="23" hidden="1">{"valuation",#N/A,FALSE,"TXTCOMPS"}</definedName>
    <definedName name="tyui" localSheetId="1" hidden="1">{"valuation",#N/A,FALSE,"TXTCOMPS"}</definedName>
    <definedName name="tyui" localSheetId="28" hidden="1">{"valuation",#N/A,FALSE,"TXTCOMPS"}</definedName>
    <definedName name="tyui" localSheetId="26" hidden="1">{"valuation",#N/A,FALSE,"TXTCOMPS"}</definedName>
    <definedName name="tyui" localSheetId="27" hidden="1">{"valuation",#N/A,FALSE,"TXTCOMPS"}</definedName>
    <definedName name="tyui" hidden="1">{"valuation",#N/A,FALSE,"TXTCOMPS"}</definedName>
    <definedName name="u" localSheetId="17" hidden="1">{"valuation",#N/A,FALSE,"TXTCOMPS"}</definedName>
    <definedName name="u" localSheetId="15" hidden="1">{"valuation",#N/A,FALSE,"TXTCOMPS"}</definedName>
    <definedName name="u" localSheetId="12" hidden="1">{"valuation",#N/A,FALSE,"TXTCOMPS"}</definedName>
    <definedName name="u" localSheetId="22" hidden="1">{"valuation",#N/A,FALSE,"TXTCOMPS"}</definedName>
    <definedName name="u" localSheetId="20" hidden="1">{"valuation",#N/A,FALSE,"TXTCOMPS"}</definedName>
    <definedName name="u" localSheetId="21" hidden="1">{"valuation",#N/A,FALSE,"TXTCOMPS"}</definedName>
    <definedName name="u" localSheetId="23" hidden="1">{"valuation",#N/A,FALSE,"TXTCOMPS"}</definedName>
    <definedName name="u" localSheetId="1" hidden="1">{"valuation",#N/A,FALSE,"TXTCOMPS"}</definedName>
    <definedName name="u" localSheetId="28" hidden="1">{"valuation",#N/A,FALSE,"TXTCOMPS"}</definedName>
    <definedName name="u" localSheetId="26" hidden="1">{"valuation",#N/A,FALSE,"TXTCOMPS"}</definedName>
    <definedName name="u" localSheetId="27" hidden="1">{"valuation",#N/A,FALSE,"TXTCOMPS"}</definedName>
    <definedName name="u" hidden="1">{"valuation",#N/A,FALSE,"TXTCOMPS"}</definedName>
    <definedName name="US_EP_Depr_2003">#REF!</definedName>
    <definedName name="US_EP_Depr_2004">#REF!</definedName>
    <definedName name="US_EP_NI_2004">#REF!</definedName>
    <definedName name="USAnnualSegs">#REF!</definedName>
    <definedName name="USGasProd_2004">#REF!</definedName>
    <definedName name="USOilProd_2004">#REF!</definedName>
    <definedName name="USOtherCosts_2004">#REF!</definedName>
    <definedName name="USProd_2004">#REF!</definedName>
    <definedName name="USProdCosts_2004">#REF!</definedName>
    <definedName name="USQuartSegs">#REF!</definedName>
    <definedName name="v" localSheetId="17" hidden="1">{"valuation",#N/A,FALSE,"TXTCOMPS"}</definedName>
    <definedName name="v" localSheetId="15" hidden="1">[24]ｾｸﾞﾒﾝﾄ!$E$164:$I$164</definedName>
    <definedName name="v" localSheetId="12" hidden="1">[24]ｾｸﾞﾒﾝﾄ!$E$164:$I$164</definedName>
    <definedName name="v" localSheetId="22" hidden="1">{"valuation",#N/A,FALSE,"TXTCOMPS"}</definedName>
    <definedName name="v" localSheetId="20" hidden="1">[24]ｾｸﾞﾒﾝﾄ!$E$164:$I$164</definedName>
    <definedName name="v" localSheetId="21" hidden="1">[24]ｾｸﾞﾒﾝﾄ!$E$164:$I$164</definedName>
    <definedName name="v" localSheetId="23" hidden="1">[24]ｾｸﾞﾒﾝﾄ!$E$164:$I$164</definedName>
    <definedName name="v" localSheetId="1" hidden="1">{"valuation",#N/A,FALSE,"TXTCOMPS"}</definedName>
    <definedName name="v" localSheetId="28" hidden="1">{"valuation",#N/A,FALSE,"TXTCOMPS"}</definedName>
    <definedName name="v" localSheetId="26" hidden="1">[24]ｾｸﾞﾒﾝﾄ!$E$164:$I$164</definedName>
    <definedName name="v" localSheetId="27" hidden="1">[24]ｾｸﾞﾒﾝﾄ!$E$164:$I$164</definedName>
    <definedName name="v" hidden="1">{"valuation",#N/A,FALSE,"TXTCOMPS"}</definedName>
    <definedName name="va" localSheetId="17" hidden="1">{"valuation",#N/A,FALSE,"TXTCOMPS"}</definedName>
    <definedName name="va" localSheetId="15" hidden="1">{"valuation",#N/A,FALSE,"TXTCOMPS"}</definedName>
    <definedName name="va" localSheetId="12" hidden="1">{"valuation",#N/A,FALSE,"TXTCOMPS"}</definedName>
    <definedName name="va" localSheetId="22" hidden="1">{"valuation",#N/A,FALSE,"TXTCOMPS"}</definedName>
    <definedName name="va" localSheetId="20" hidden="1">{"valuation",#N/A,FALSE,"TXTCOMPS"}</definedName>
    <definedName name="va" localSheetId="21" hidden="1">{"valuation",#N/A,FALSE,"TXTCOMPS"}</definedName>
    <definedName name="va" localSheetId="23" hidden="1">{"valuation",#N/A,FALSE,"TXTCOMPS"}</definedName>
    <definedName name="va" localSheetId="1" hidden="1">{"valuation",#N/A,FALSE,"TXTCOMPS"}</definedName>
    <definedName name="va" localSheetId="28" hidden="1">{"valuation",#N/A,FALSE,"TXTCOMPS"}</definedName>
    <definedName name="va" localSheetId="26" hidden="1">{"valuation",#N/A,FALSE,"TXTCOMPS"}</definedName>
    <definedName name="va" localSheetId="27" hidden="1">{"valuation",#N/A,FALSE,"TXTCOMPS"}</definedName>
    <definedName name="va" hidden="1">{"valuation",#N/A,FALSE,"TXTCOMPS"}</definedName>
    <definedName name="Valuation" localSheetId="17" hidden="1">{#N/A,#N/A,FALSE,"COVER";#N/A,#N/A,FALSE,"ASSUMPTIONS";#N/A,#N/A,FALSE,"EPSMODEL";#N/A,#N/A,FALSE,"CASHFLOWS";#N/A,#N/A,FALSE,"BALANCESHEET"}</definedName>
    <definedName name="Valuation" localSheetId="15" hidden="1">{#N/A,#N/A,FALSE,"COVER";#N/A,#N/A,FALSE,"ASSUMPTIONS";#N/A,#N/A,FALSE,"EPSMODEL";#N/A,#N/A,FALSE,"CASHFLOWS";#N/A,#N/A,FALSE,"BALANCESHEET"}</definedName>
    <definedName name="Valuation" localSheetId="12" hidden="1">{#N/A,#N/A,FALSE,"COVER";#N/A,#N/A,FALSE,"ASSUMPTIONS";#N/A,#N/A,FALSE,"EPSMODEL";#N/A,#N/A,FALSE,"CASHFLOWS";#N/A,#N/A,FALSE,"BALANCESHEET"}</definedName>
    <definedName name="Valuation" localSheetId="22" hidden="1">{#N/A,#N/A,FALSE,"COVER";#N/A,#N/A,FALSE,"ASSUMPTIONS";#N/A,#N/A,FALSE,"EPSMODEL";#N/A,#N/A,FALSE,"CASHFLOWS";#N/A,#N/A,FALSE,"BALANCESHEET"}</definedName>
    <definedName name="Valuation" localSheetId="20" hidden="1">{#N/A,#N/A,FALSE,"COVER";#N/A,#N/A,FALSE,"ASSUMPTIONS";#N/A,#N/A,FALSE,"EPSMODEL";#N/A,#N/A,FALSE,"CASHFLOWS";#N/A,#N/A,FALSE,"BALANCESHEET"}</definedName>
    <definedName name="Valuation" localSheetId="21" hidden="1">{#N/A,#N/A,FALSE,"COVER";#N/A,#N/A,FALSE,"ASSUMPTIONS";#N/A,#N/A,FALSE,"EPSMODEL";#N/A,#N/A,FALSE,"CASHFLOWS";#N/A,#N/A,FALSE,"BALANCESHEET"}</definedName>
    <definedName name="Valuation" localSheetId="23" hidden="1">{#N/A,#N/A,FALSE,"COVER";#N/A,#N/A,FALSE,"ASSUMPTIONS";#N/A,#N/A,FALSE,"EPSMODEL";#N/A,#N/A,FALSE,"CASHFLOWS";#N/A,#N/A,FALSE,"BALANCESHEET"}</definedName>
    <definedName name="Valuation" localSheetId="1" hidden="1">{#N/A,#N/A,FALSE,"COVER";#N/A,#N/A,FALSE,"ASSUMPTIONS";#N/A,#N/A,FALSE,"EPSMODEL";#N/A,#N/A,FALSE,"CASHFLOWS";#N/A,#N/A,FALSE,"BALANCESHEET"}</definedName>
    <definedName name="Valuation" localSheetId="28" hidden="1">{#N/A,#N/A,FALSE,"COVER";#N/A,#N/A,FALSE,"ASSUMPTIONS";#N/A,#N/A,FALSE,"EPSMODEL";#N/A,#N/A,FALSE,"CASHFLOWS";#N/A,#N/A,FALSE,"BALANCESHEET"}</definedName>
    <definedName name="Valuation" localSheetId="26" hidden="1">{#N/A,#N/A,FALSE,"COVER";#N/A,#N/A,FALSE,"ASSUMPTIONS";#N/A,#N/A,FALSE,"EPSMODEL";#N/A,#N/A,FALSE,"CASHFLOWS";#N/A,#N/A,FALSE,"BALANCESHEET"}</definedName>
    <definedName name="Valuation" localSheetId="27" hidden="1">{#N/A,#N/A,FALSE,"COVER";#N/A,#N/A,FALSE,"ASSUMPTIONS";#N/A,#N/A,FALSE,"EPSMODEL";#N/A,#N/A,FALSE,"CASHFLOWS";#N/A,#N/A,FALSE,"BALANCESHEET"}</definedName>
    <definedName name="Valuation" hidden="1">{#N/A,#N/A,FALSE,"COVER";#N/A,#N/A,FALSE,"ASSUMPTIONS";#N/A,#N/A,FALSE,"EPSMODEL";#N/A,#N/A,FALSE,"CASHFLOWS";#N/A,#N/A,FALSE,"BALANCESHEET"}</definedName>
    <definedName name="Valuation1" localSheetId="17" hidden="1">{#N/A,#N/A,FALSE,"COVER";#N/A,#N/A,FALSE,"ASSUMPTIONS";#N/A,#N/A,FALSE,"EPSMODEL";#N/A,#N/A,FALSE,"CASHFLOWS";#N/A,#N/A,FALSE,"BALANCESHEET"}</definedName>
    <definedName name="Valuation1" localSheetId="15" hidden="1">{#N/A,#N/A,FALSE,"COVER";#N/A,#N/A,FALSE,"ASSUMPTIONS";#N/A,#N/A,FALSE,"EPSMODEL";#N/A,#N/A,FALSE,"CASHFLOWS";#N/A,#N/A,FALSE,"BALANCESHEET"}</definedName>
    <definedName name="Valuation1" localSheetId="12" hidden="1">{#N/A,#N/A,FALSE,"COVER";#N/A,#N/A,FALSE,"ASSUMPTIONS";#N/A,#N/A,FALSE,"EPSMODEL";#N/A,#N/A,FALSE,"CASHFLOWS";#N/A,#N/A,FALSE,"BALANCESHEET"}</definedName>
    <definedName name="Valuation1" localSheetId="22" hidden="1">{#N/A,#N/A,FALSE,"COVER";#N/A,#N/A,FALSE,"ASSUMPTIONS";#N/A,#N/A,FALSE,"EPSMODEL";#N/A,#N/A,FALSE,"CASHFLOWS";#N/A,#N/A,FALSE,"BALANCESHEET"}</definedName>
    <definedName name="Valuation1" localSheetId="20" hidden="1">{#N/A,#N/A,FALSE,"COVER";#N/A,#N/A,FALSE,"ASSUMPTIONS";#N/A,#N/A,FALSE,"EPSMODEL";#N/A,#N/A,FALSE,"CASHFLOWS";#N/A,#N/A,FALSE,"BALANCESHEET"}</definedName>
    <definedName name="Valuation1" localSheetId="21" hidden="1">{#N/A,#N/A,FALSE,"COVER";#N/A,#N/A,FALSE,"ASSUMPTIONS";#N/A,#N/A,FALSE,"EPSMODEL";#N/A,#N/A,FALSE,"CASHFLOWS";#N/A,#N/A,FALSE,"BALANCESHEET"}</definedName>
    <definedName name="Valuation1" localSheetId="23" hidden="1">{#N/A,#N/A,FALSE,"COVER";#N/A,#N/A,FALSE,"ASSUMPTIONS";#N/A,#N/A,FALSE,"EPSMODEL";#N/A,#N/A,FALSE,"CASHFLOWS";#N/A,#N/A,FALSE,"BALANCESHEET"}</definedName>
    <definedName name="Valuation1" localSheetId="1" hidden="1">{#N/A,#N/A,FALSE,"COVER";#N/A,#N/A,FALSE,"ASSUMPTIONS";#N/A,#N/A,FALSE,"EPSMODEL";#N/A,#N/A,FALSE,"CASHFLOWS";#N/A,#N/A,FALSE,"BALANCESHEET"}</definedName>
    <definedName name="Valuation1" localSheetId="28" hidden="1">{#N/A,#N/A,FALSE,"COVER";#N/A,#N/A,FALSE,"ASSUMPTIONS";#N/A,#N/A,FALSE,"EPSMODEL";#N/A,#N/A,FALSE,"CASHFLOWS";#N/A,#N/A,FALSE,"BALANCESHEET"}</definedName>
    <definedName name="Valuation1" localSheetId="26" hidden="1">{#N/A,#N/A,FALSE,"COVER";#N/A,#N/A,FALSE,"ASSUMPTIONS";#N/A,#N/A,FALSE,"EPSMODEL";#N/A,#N/A,FALSE,"CASHFLOWS";#N/A,#N/A,FALSE,"BALANCESHEET"}</definedName>
    <definedName name="Valuation1" localSheetId="27" hidden="1">{#N/A,#N/A,FALSE,"COVER";#N/A,#N/A,FALSE,"ASSUMPTIONS";#N/A,#N/A,FALSE,"EPSMODEL";#N/A,#N/A,FALSE,"CASHFLOWS";#N/A,#N/A,FALSE,"BALANCESHEET"}</definedName>
    <definedName name="Valuation1" hidden="1">{#N/A,#N/A,FALSE,"COVER";#N/A,#N/A,FALSE,"ASSUMPTIONS";#N/A,#N/A,FALSE,"EPSMODEL";#N/A,#N/A,FALSE,"CASHFLOWS";#N/A,#N/A,FALSE,"BALANCESHEET"}</definedName>
    <definedName name="Valuepage">#REF!</definedName>
    <definedName name="valuetwo" localSheetId="17" hidden="1">{#N/A,#N/A,FALSE,"COVER";#N/A,#N/A,FALSE,"ASSUMPTIONS";#N/A,#N/A,FALSE,"EPSMODEL";#N/A,#N/A,FALSE,"CASHFLOWS";#N/A,#N/A,FALSE,"BALANCESHEET"}</definedName>
    <definedName name="valuetwo" localSheetId="15" hidden="1">{#N/A,#N/A,FALSE,"COVER";#N/A,#N/A,FALSE,"ASSUMPTIONS";#N/A,#N/A,FALSE,"EPSMODEL";#N/A,#N/A,FALSE,"CASHFLOWS";#N/A,#N/A,FALSE,"BALANCESHEET"}</definedName>
    <definedName name="valuetwo" localSheetId="12" hidden="1">{#N/A,#N/A,FALSE,"COVER";#N/A,#N/A,FALSE,"ASSUMPTIONS";#N/A,#N/A,FALSE,"EPSMODEL";#N/A,#N/A,FALSE,"CASHFLOWS";#N/A,#N/A,FALSE,"BALANCESHEET"}</definedName>
    <definedName name="valuetwo" localSheetId="22" hidden="1">{#N/A,#N/A,FALSE,"COVER";#N/A,#N/A,FALSE,"ASSUMPTIONS";#N/A,#N/A,FALSE,"EPSMODEL";#N/A,#N/A,FALSE,"CASHFLOWS";#N/A,#N/A,FALSE,"BALANCESHEET"}</definedName>
    <definedName name="valuetwo" localSheetId="20" hidden="1">{#N/A,#N/A,FALSE,"COVER";#N/A,#N/A,FALSE,"ASSUMPTIONS";#N/A,#N/A,FALSE,"EPSMODEL";#N/A,#N/A,FALSE,"CASHFLOWS";#N/A,#N/A,FALSE,"BALANCESHEET"}</definedName>
    <definedName name="valuetwo" localSheetId="21" hidden="1">{#N/A,#N/A,FALSE,"COVER";#N/A,#N/A,FALSE,"ASSUMPTIONS";#N/A,#N/A,FALSE,"EPSMODEL";#N/A,#N/A,FALSE,"CASHFLOWS";#N/A,#N/A,FALSE,"BALANCESHEET"}</definedName>
    <definedName name="valuetwo" localSheetId="23" hidden="1">{#N/A,#N/A,FALSE,"COVER";#N/A,#N/A,FALSE,"ASSUMPTIONS";#N/A,#N/A,FALSE,"EPSMODEL";#N/A,#N/A,FALSE,"CASHFLOWS";#N/A,#N/A,FALSE,"BALANCESHEET"}</definedName>
    <definedName name="valuetwo" localSheetId="1" hidden="1">{#N/A,#N/A,FALSE,"COVER";#N/A,#N/A,FALSE,"ASSUMPTIONS";#N/A,#N/A,FALSE,"EPSMODEL";#N/A,#N/A,FALSE,"CASHFLOWS";#N/A,#N/A,FALSE,"BALANCESHEET"}</definedName>
    <definedName name="valuetwo" localSheetId="28" hidden="1">{#N/A,#N/A,FALSE,"COVER";#N/A,#N/A,FALSE,"ASSUMPTIONS";#N/A,#N/A,FALSE,"EPSMODEL";#N/A,#N/A,FALSE,"CASHFLOWS";#N/A,#N/A,FALSE,"BALANCESHEET"}</definedName>
    <definedName name="valuetwo" localSheetId="26" hidden="1">{#N/A,#N/A,FALSE,"COVER";#N/A,#N/A,FALSE,"ASSUMPTIONS";#N/A,#N/A,FALSE,"EPSMODEL";#N/A,#N/A,FALSE,"CASHFLOWS";#N/A,#N/A,FALSE,"BALANCESHEET"}</definedName>
    <definedName name="valuetwo" localSheetId="27" hidden="1">{#N/A,#N/A,FALSE,"COVER";#N/A,#N/A,FALSE,"ASSUMPTIONS";#N/A,#N/A,FALSE,"EPSMODEL";#N/A,#N/A,FALSE,"CASHFLOWS";#N/A,#N/A,FALSE,"BALANCESHEET"}</definedName>
    <definedName name="valuetwo" hidden="1">{#N/A,#N/A,FALSE,"COVER";#N/A,#N/A,FALSE,"ASSUMPTIONS";#N/A,#N/A,FALSE,"EPSMODEL";#N/A,#N/A,FALSE,"CASHFLOWS";#N/A,#N/A,FALSE,"BALANCESHEET"}</definedName>
    <definedName name="VRC">#REF!</definedName>
    <definedName name="w" localSheetId="17" hidden="1">{"valuation",#N/A,FALSE,"TXTCOMPS"}</definedName>
    <definedName name="w" localSheetId="15" hidden="1">[24]単独!$AR$14:$AR$18</definedName>
    <definedName name="w" localSheetId="12" hidden="1">[24]単独!$AR$14:$AR$18</definedName>
    <definedName name="w" localSheetId="22" hidden="1">{"valuation",#N/A,FALSE,"TXTCOMPS"}</definedName>
    <definedName name="w" localSheetId="20" hidden="1">[24]単独!$AR$14:$AR$18</definedName>
    <definedName name="w" localSheetId="21" hidden="1">[24]単独!$AR$14:$AR$18</definedName>
    <definedName name="w" localSheetId="23" hidden="1">[24]単独!$AR$14:$AR$18</definedName>
    <definedName name="w" localSheetId="1" hidden="1">{"valuation",#N/A,FALSE,"TXTCOMPS"}</definedName>
    <definedName name="w" localSheetId="28" hidden="1">{"valuation",#N/A,FALSE,"TXTCOMPS"}</definedName>
    <definedName name="w" localSheetId="26" hidden="1">[24]単独!$AR$14:$AR$18</definedName>
    <definedName name="w" localSheetId="27" hidden="1">[24]単独!$AR$14:$AR$18</definedName>
    <definedName name="w" hidden="1">{"valuation",#N/A,FALSE,"TXTCOMPS"}</definedName>
    <definedName name="we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 localSheetId="17" hidden="1">{"INCSTMT1",#N/A,FALSE,"COR";"INCSTMT2",#N/A,FALSE,"COR"}</definedName>
    <definedName name="wet" localSheetId="15" hidden="1">{"INCSTMT1",#N/A,FALSE,"COR";"INCSTMT2",#N/A,FALSE,"COR"}</definedName>
    <definedName name="wet" localSheetId="12" hidden="1">{"INCSTMT1",#N/A,FALSE,"COR";"INCSTMT2",#N/A,FALSE,"COR"}</definedName>
    <definedName name="wet" localSheetId="22" hidden="1">{"INCSTMT1",#N/A,FALSE,"COR";"INCSTMT2",#N/A,FALSE,"COR"}</definedName>
    <definedName name="wet" localSheetId="20" hidden="1">{"INCSTMT1",#N/A,FALSE,"COR";"INCSTMT2",#N/A,FALSE,"COR"}</definedName>
    <definedName name="wet" localSheetId="21" hidden="1">{"INCSTMT1",#N/A,FALSE,"COR";"INCSTMT2",#N/A,FALSE,"COR"}</definedName>
    <definedName name="wet" localSheetId="23" hidden="1">{"INCSTMT1",#N/A,FALSE,"COR";"INCSTMT2",#N/A,FALSE,"COR"}</definedName>
    <definedName name="wet" localSheetId="1" hidden="1">{"INCSTMT1",#N/A,FALSE,"COR";"INCSTMT2",#N/A,FALSE,"COR"}</definedName>
    <definedName name="wet" localSheetId="28" hidden="1">{"INCSTMT1",#N/A,FALSE,"COR";"INCSTMT2",#N/A,FALSE,"COR"}</definedName>
    <definedName name="wet" localSheetId="26" hidden="1">{"INCSTMT1",#N/A,FALSE,"COR";"INCSTMT2",#N/A,FALSE,"COR"}</definedName>
    <definedName name="wet" localSheetId="27" hidden="1">{"INCSTMT1",#N/A,FALSE,"COR";"INCSTMT2",#N/A,FALSE,"COR"}</definedName>
    <definedName name="wet" hidden="1">{"INCSTMT1",#N/A,FALSE,"COR";"INCSTMT2",#N/A,FALSE,"COR"}</definedName>
    <definedName name="wetwo"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ORLDWIDE">#REF!</definedName>
    <definedName name="wrn.2._.pagers." localSheetId="17" hidden="1">{"Cover",#N/A,FALSE,"Cover";"Summary",#N/A,FALSE,"Summarpage"}</definedName>
    <definedName name="wrn.2._.pagers." localSheetId="15" hidden="1">{"Cover",#N/A,FALSE,"Cover";"Summary",#N/A,FALSE,"Summarpage"}</definedName>
    <definedName name="wrn.2._.pagers." localSheetId="12" hidden="1">{"Cover",#N/A,FALSE,"Cover";"Summary",#N/A,FALSE,"Summarpage"}</definedName>
    <definedName name="wrn.2._.pagers." localSheetId="22" hidden="1">{"Cover",#N/A,FALSE,"Cover";"Summary",#N/A,FALSE,"Summarpage"}</definedName>
    <definedName name="wrn.2._.pagers." localSheetId="20" hidden="1">{"Cover",#N/A,FALSE,"Cover";"Summary",#N/A,FALSE,"Summarpage"}</definedName>
    <definedName name="wrn.2._.pagers." localSheetId="21" hidden="1">{"Cover",#N/A,FALSE,"Cover";"Summary",#N/A,FALSE,"Summarpage"}</definedName>
    <definedName name="wrn.2._.pagers." localSheetId="23" hidden="1">{"Cover",#N/A,FALSE,"Cover";"Summary",#N/A,FALSE,"Summarpage"}</definedName>
    <definedName name="wrn.2._.pagers." localSheetId="1" hidden="1">{"Cover",#N/A,FALSE,"Cover";"Summary",#N/A,FALSE,"Summarpage"}</definedName>
    <definedName name="wrn.2._.pagers." localSheetId="28" hidden="1">{"Cover",#N/A,FALSE,"Cover";"Summary",#N/A,FALSE,"Summarpage"}</definedName>
    <definedName name="wrn.2._.pagers." localSheetId="26" hidden="1">{"Cover",#N/A,FALSE,"Cover";"Summary",#N/A,FALSE,"Summarpage"}</definedName>
    <definedName name="wrn.2._.pagers." localSheetId="27" hidden="1">{"Cover",#N/A,FALSE,"Cover";"Summary",#N/A,FALSE,"Summarpage"}</definedName>
    <definedName name="wrn.2._.pagers." hidden="1">{"Cover",#N/A,FALSE,"Cover";"Summary",#N/A,FALSE,"Summarpage"}</definedName>
    <definedName name="wrn.3._.Scenarios." localSheetId="17" hidden="1">{"full model","100% Stock",FALSE,"PROFORMA";"full model","50/50",FALSE,"PROFORMA";"full model","100% Cash",FALSE,"PROFORMA"}</definedName>
    <definedName name="wrn.3._.Scenarios." localSheetId="15" hidden="1">{"full model","100% Stock",FALSE,"PROFORMA";"full model","50/50",FALSE,"PROFORMA";"full model","100% Cash",FALSE,"PROFORMA"}</definedName>
    <definedName name="wrn.3._.Scenarios." localSheetId="12" hidden="1">{"full model","100% Stock",FALSE,"PROFORMA";"full model","50/50",FALSE,"PROFORMA";"full model","100% Cash",FALSE,"PROFORMA"}</definedName>
    <definedName name="wrn.3._.Scenarios." localSheetId="22" hidden="1">{"full model","100% Stock",FALSE,"PROFORMA";"full model","50/50",FALSE,"PROFORMA";"full model","100% Cash",FALSE,"PROFORMA"}</definedName>
    <definedName name="wrn.3._.Scenarios." localSheetId="20" hidden="1">{"full model","100% Stock",FALSE,"PROFORMA";"full model","50/50",FALSE,"PROFORMA";"full model","100% Cash",FALSE,"PROFORMA"}</definedName>
    <definedName name="wrn.3._.Scenarios." localSheetId="21" hidden="1">{"full model","100% Stock",FALSE,"PROFORMA";"full model","50/50",FALSE,"PROFORMA";"full model","100% Cash",FALSE,"PROFORMA"}</definedName>
    <definedName name="wrn.3._.Scenarios." localSheetId="23" hidden="1">{"full model","100% Stock",FALSE,"PROFORMA";"full model","50/50",FALSE,"PROFORMA";"full model","100% Cash",FALSE,"PROFORMA"}</definedName>
    <definedName name="wrn.3._.Scenarios." localSheetId="1" hidden="1">{"full model","100% Stock",FALSE,"PROFORMA";"full model","50/50",FALSE,"PROFORMA";"full model","100% Cash",FALSE,"PROFORMA"}</definedName>
    <definedName name="wrn.3._.Scenarios." localSheetId="28" hidden="1">{"full model","100% Stock",FALSE,"PROFORMA";"full model","50/50",FALSE,"PROFORMA";"full model","100% Cash",FALSE,"PROFORMA"}</definedName>
    <definedName name="wrn.3._.Scenarios." localSheetId="26" hidden="1">{"full model","100% Stock",FALSE,"PROFORMA";"full model","50/50",FALSE,"PROFORMA";"full model","100% Cash",FALSE,"PROFORMA"}</definedName>
    <definedName name="wrn.3._.Scenarios." localSheetId="27" hidden="1">{"full model","100% Stock",FALSE,"PROFORMA";"full model","50/50",FALSE,"PROFORMA";"full model","100% Cash",FALSE,"PROFORMA"}</definedName>
    <definedName name="wrn.3._.Scenarios." hidden="1">{"full model","100% Stock",FALSE,"PROFORMA";"full model","50/50",FALSE,"PROFORMA";"full model","100% Cash",FALSE,"PROFORMA"}</definedName>
    <definedName name="wrn.Accounts." localSheetId="17" hidden="1">{"turnover",#N/A,FALSE;"profits",#N/A,FALSE;"cash",#N/A,FALSE}</definedName>
    <definedName name="wrn.Accounts." localSheetId="15" hidden="1">{"turnover",#N/A,FALSE;"profits",#N/A,FALSE;"cash",#N/A,FALSE}</definedName>
    <definedName name="wrn.Accounts." localSheetId="12" hidden="1">{"turnover",#N/A,FALSE;"profits",#N/A,FALSE;"cash",#N/A,FALSE}</definedName>
    <definedName name="wrn.Accounts." localSheetId="22" hidden="1">{"turnover",#N/A,FALSE;"profits",#N/A,FALSE;"cash",#N/A,FALSE}</definedName>
    <definedName name="wrn.Accounts." localSheetId="20" hidden="1">{"turnover",#N/A,FALSE;"profits",#N/A,FALSE;"cash",#N/A,FALSE}</definedName>
    <definedName name="wrn.Accounts." localSheetId="21" hidden="1">{"turnover",#N/A,FALSE;"profits",#N/A,FALSE;"cash",#N/A,FALSE}</definedName>
    <definedName name="wrn.Accounts." localSheetId="23" hidden="1">{"turnover",#N/A,FALSE;"profits",#N/A,FALSE;"cash",#N/A,FALSE}</definedName>
    <definedName name="wrn.Accounts." localSheetId="1" hidden="1">{"turnover",#N/A,FALSE;"profits",#N/A,FALSE;"cash",#N/A,FALSE}</definedName>
    <definedName name="wrn.Accounts." localSheetId="28" hidden="1">{"turnover",#N/A,FALSE;"profits",#N/A,FALSE;"cash",#N/A,FALSE}</definedName>
    <definedName name="wrn.Accounts." localSheetId="26" hidden="1">{"turnover",#N/A,FALSE;"profits",#N/A,FALSE;"cash",#N/A,FALSE}</definedName>
    <definedName name="wrn.Accounts." localSheetId="27" hidden="1">{"turnover",#N/A,FALSE;"profits",#N/A,FALSE;"cash",#N/A,FALSE}</definedName>
    <definedName name="wrn.Accounts." hidden="1">{"turnover",#N/A,FALSE;"profits",#N/A,FALSE;"cash",#N/A,FALSE}</definedName>
    <definedName name="wrn.Aging._.and._.Trend._.Analysis." localSheetId="17"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17" hidden="1">{"QTRINC1",#N/A,FALSE,"QTRINC";"QTRINC2",#N/A,FALSE,"QTRINC";"QTRSALES",#N/A,FALSE,"QTRSALES";"ANNSALES",#N/A,FALSE,"ANNSALES";"CASHFLOW",#N/A,FALSE,"CASHFLOW"}</definedName>
    <definedName name="wrn.AGN._.MODELS." localSheetId="15" hidden="1">{"QTRINC1",#N/A,FALSE,"QTRINC";"QTRINC2",#N/A,FALSE,"QTRINC";"QTRSALES",#N/A,FALSE,"QTRSALES";"ANNSALES",#N/A,FALSE,"ANNSALES";"CASHFLOW",#N/A,FALSE,"CASHFLOW"}</definedName>
    <definedName name="wrn.AGN._.MODELS." localSheetId="12" hidden="1">{"QTRINC1",#N/A,FALSE,"QTRINC";"QTRINC2",#N/A,FALSE,"QTRINC";"QTRSALES",#N/A,FALSE,"QTRSALES";"ANNSALES",#N/A,FALSE,"ANNSALES";"CASHFLOW",#N/A,FALSE,"CASHFLOW"}</definedName>
    <definedName name="wrn.AGN._.MODELS." localSheetId="22" hidden="1">{"QTRINC1",#N/A,FALSE,"QTRINC";"QTRINC2",#N/A,FALSE,"QTRINC";"QTRSALES",#N/A,FALSE,"QTRSALES";"ANNSALES",#N/A,FALSE,"ANNSALES";"CASHFLOW",#N/A,FALSE,"CASHFLOW"}</definedName>
    <definedName name="wrn.AGN._.MODELS." localSheetId="20" hidden="1">{"QTRINC1",#N/A,FALSE,"QTRINC";"QTRINC2",#N/A,FALSE,"QTRINC";"QTRSALES",#N/A,FALSE,"QTRSALES";"ANNSALES",#N/A,FALSE,"ANNSALES";"CASHFLOW",#N/A,FALSE,"CASHFLOW"}</definedName>
    <definedName name="wrn.AGN._.MODELS." localSheetId="21" hidden="1">{"QTRINC1",#N/A,FALSE,"QTRINC";"QTRINC2",#N/A,FALSE,"QTRINC";"QTRSALES",#N/A,FALSE,"QTRSALES";"ANNSALES",#N/A,FALSE,"ANNSALES";"CASHFLOW",#N/A,FALSE,"CASHFLOW"}</definedName>
    <definedName name="wrn.AGN._.MODELS." localSheetId="23" hidden="1">{"QTRINC1",#N/A,FALSE,"QTRINC";"QTRINC2",#N/A,FALSE,"QTRINC";"QTRSALES",#N/A,FALSE,"QTRSALES";"ANNSALES",#N/A,FALSE,"ANNSALES";"CASHFLOW",#N/A,FALSE,"CASHFLOW"}</definedName>
    <definedName name="wrn.AGN._.MODELS." localSheetId="1" hidden="1">{"QTRINC1",#N/A,FALSE,"QTRINC";"QTRINC2",#N/A,FALSE,"QTRINC";"QTRSALES",#N/A,FALSE,"QTRSALES";"ANNSALES",#N/A,FALSE,"ANNSALES";"CASHFLOW",#N/A,FALSE,"CASHFLOW"}</definedName>
    <definedName name="wrn.AGN._.MODELS." localSheetId="28" hidden="1">{"QTRINC1",#N/A,FALSE,"QTRINC";"QTRINC2",#N/A,FALSE,"QTRINC";"QTRSALES",#N/A,FALSE,"QTRSALES";"ANNSALES",#N/A,FALSE,"ANNSALES";"CASHFLOW",#N/A,FALSE,"CASHFLOW"}</definedName>
    <definedName name="wrn.AGN._.MODELS." localSheetId="26" hidden="1">{"QTRINC1",#N/A,FALSE,"QTRINC";"QTRINC2",#N/A,FALSE,"QTRINC";"QTRSALES",#N/A,FALSE,"QTRSALES";"ANNSALES",#N/A,FALSE,"ANNSALES";"CASHFLOW",#N/A,FALSE,"CASHFLOW"}</definedName>
    <definedName name="wrn.AGN._.MODELS." localSheetId="27"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P._.MODELS." localSheetId="17" hidden="1">{"QTRINC",#N/A,FALSE,"QTRINC";"MARGIN",#N/A,FALSE,"MARGIN";"CASHFLOW",#N/A,FALSE,"CASHFLOW"}</definedName>
    <definedName name="wrn.AHP._.MODELS." localSheetId="15" hidden="1">{"QTRINC",#N/A,FALSE,"QTRINC";"MARGIN",#N/A,FALSE,"MARGIN";"CASHFLOW",#N/A,FALSE,"CASHFLOW"}</definedName>
    <definedName name="wrn.AHP._.MODELS." localSheetId="12" hidden="1">{"QTRINC",#N/A,FALSE,"QTRINC";"MARGIN",#N/A,FALSE,"MARGIN";"CASHFLOW",#N/A,FALSE,"CASHFLOW"}</definedName>
    <definedName name="wrn.AHP._.MODELS." localSheetId="22" hidden="1">{"QTRINC",#N/A,FALSE,"QTRINC";"MARGIN",#N/A,FALSE,"MARGIN";"CASHFLOW",#N/A,FALSE,"CASHFLOW"}</definedName>
    <definedName name="wrn.AHP._.MODELS." localSheetId="20" hidden="1">{"QTRINC",#N/A,FALSE,"QTRINC";"MARGIN",#N/A,FALSE,"MARGIN";"CASHFLOW",#N/A,FALSE,"CASHFLOW"}</definedName>
    <definedName name="wrn.AHP._.MODELS." localSheetId="21" hidden="1">{"QTRINC",#N/A,FALSE,"QTRINC";"MARGIN",#N/A,FALSE,"MARGIN";"CASHFLOW",#N/A,FALSE,"CASHFLOW"}</definedName>
    <definedName name="wrn.AHP._.MODELS." localSheetId="23" hidden="1">{"QTRINC",#N/A,FALSE,"QTRINC";"MARGIN",#N/A,FALSE,"MARGIN";"CASHFLOW",#N/A,FALSE,"CASHFLOW"}</definedName>
    <definedName name="wrn.AHP._.MODELS." localSheetId="1" hidden="1">{"QTRINC",#N/A,FALSE,"QTRINC";"MARGIN",#N/A,FALSE,"MARGIN";"CASHFLOW",#N/A,FALSE,"CASHFLOW"}</definedName>
    <definedName name="wrn.AHP._.MODELS." localSheetId="28" hidden="1">{"QTRINC",#N/A,FALSE,"QTRINC";"MARGIN",#N/A,FALSE,"MARGIN";"CASHFLOW",#N/A,FALSE,"CASHFLOW"}</definedName>
    <definedName name="wrn.AHP._.MODELS." localSheetId="26" hidden="1">{"QTRINC",#N/A,FALSE,"QTRINC";"MARGIN",#N/A,FALSE,"MARGIN";"CASHFLOW",#N/A,FALSE,"CASHFLOW"}</definedName>
    <definedName name="wrn.AHP._.MODELS." localSheetId="27" hidden="1">{"QTRINC",#N/A,FALSE,"QTRINC";"MARGIN",#N/A,FALSE,"MARGIN";"CASHFLOW",#N/A,FALSE,"CASHFLOW"}</definedName>
    <definedName name="wrn.AHP._.MODELS." hidden="1">{"QTRINC",#N/A,FALSE,"QTRINC";"MARGIN",#N/A,FALSE,"MARGIN";"CASHFLOW",#N/A,FALSE,"CASHFLOW"}</definedName>
    <definedName name="wrn.all." localSheetId="17" hidden="1">{"comps",#N/A,FALSE,"TXTCOMPS";"segment_EPS",#N/A,FALSE,"TXTCOMPS";"valuation",#N/A,FALSE,"TXTCOMPS"}</definedName>
    <definedName name="wrn.all." localSheetId="15" hidden="1">{#N/A,#N/A,FALSE,"Time Warner";#N/A,#N/A,FALSE,"Entertainment Group";#N/A,#N/A,FALSE,"EBITDA";#N/A,#N/A,FALSE,"Notes"}</definedName>
    <definedName name="wrn.All." localSheetId="12" hidden="1">{"Netbacks",#N/A,FALSE,"B";"IS Annually",#N/A,FALSE,"C";"IS Q95 Q96",#N/A,FALSE,"C";"Corp Pro",#N/A,FALSE,"D";"Prod Pro",#N/A,FALSE,"E"}</definedName>
    <definedName name="wrn.all." localSheetId="22" hidden="1">{"comps",#N/A,FALSE,"TXTCOMPS";"segment_EPS",#N/A,FALSE,"TXTCOMPS";"valuation",#N/A,FALSE,"TXTCOMPS"}</definedName>
    <definedName name="wrn.all." localSheetId="20" hidden="1">{#N/A,#N/A,FALSE,"Time Warner";#N/A,#N/A,FALSE,"Entertainment Group";#N/A,#N/A,FALSE,"EBITDA";#N/A,#N/A,FALSE,"Notes"}</definedName>
    <definedName name="wrn.all." localSheetId="21" hidden="1">{#N/A,#N/A,FALSE,"Time Warner";#N/A,#N/A,FALSE,"Entertainment Group";#N/A,#N/A,FALSE,"EBITDA";#N/A,#N/A,FALSE,"Notes"}</definedName>
    <definedName name="wrn.all." localSheetId="23" hidden="1">{#N/A,#N/A,FALSE,"Time Warner";#N/A,#N/A,FALSE,"Entertainment Group";#N/A,#N/A,FALSE,"EBITDA";#N/A,#N/A,FALSE,"Notes"}</definedName>
    <definedName name="wrn.all." localSheetId="1" hidden="1">{"comps",#N/A,FALSE,"TXTCOMPS";"segment_EPS",#N/A,FALSE,"TXTCOMPS";"valuation",#N/A,FALSE,"TXTCOMPS"}</definedName>
    <definedName name="wrn.all." localSheetId="28" hidden="1">{"comps",#N/A,FALSE,"TXTCOMPS";"segment_EPS",#N/A,FALSE,"TXTCOMPS";"valuation",#N/A,FALSE,"TXTCOMPS"}</definedName>
    <definedName name="wrn.all." localSheetId="26" hidden="1">{#N/A,#N/A,FALSE,"Time Warner";#N/A,#N/A,FALSE,"Entertainment Group";#N/A,#N/A,FALSE,"EBITDA";#N/A,#N/A,FALSE,"Notes"}</definedName>
    <definedName name="wrn.all." localSheetId="27" hidden="1">{#N/A,#N/A,FALSE,"Time Warner";#N/A,#N/A,FALSE,"Entertainment Group";#N/A,#N/A,FALSE,"EBITDA";#N/A,#N/A,FALSE,"Notes"}</definedName>
    <definedName name="wrn.all." hidden="1">{"comps",#N/A,FALSE,"TXTCOMPS";"segment_EPS",#N/A,FALSE,"TXTCOMPS";"valuation",#N/A,FALSE,"TXTCOMPS"}</definedName>
    <definedName name="wrn.all._.business._.units." localSheetId="17"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5"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2"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2"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0"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1"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3"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8"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6"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27"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sheets." localSheetId="17"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5"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2"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2"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0"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1"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3"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8"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6"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27" hidden="1">{"Operating Statictics",#N/A,FALSE,"Operating Statistics";"Netbacks",#N/A,FALSE,"Netbacks";"IS Quarterly",#N/A,FALSE,"Income Statement";"IS Yearly",#N/A,FALSE,"Income Statement";"Corporate Profile",#N/A,FALSE,"Corporate Profile";"Production Schedule",#N/A,FALSE,"Production Schedule"}</definedName>
    <definedName name="wrn.All._.sheets." hidden="1">{"Operating Statictics",#N/A,FALSE,"Operating Statistics";"Netbacks",#N/A,FALSE,"Netbacks";"IS Quarterly",#N/A,FALSE,"Income Statement";"IS Yearly",#N/A,FALSE,"Income Statement";"Corporate Profile",#N/A,FALSE,"Corporate Profile";"Production Schedule",#N/A,FALSE,"Production Schedule"}</definedName>
    <definedName name="wrn.allpages." localSheetId="17" hidden="1">{#N/A,#N/A,TRUE,"Historicals";#N/A,#N/A,TRUE,"Charts";#N/A,#N/A,TRUE,"Forecasts"}</definedName>
    <definedName name="wrn.allpages." localSheetId="15" hidden="1">{#N/A,#N/A,TRUE,"Historicals";#N/A,#N/A,TRUE,"Charts";#N/A,#N/A,TRUE,"Forecasts"}</definedName>
    <definedName name="wrn.allpages." localSheetId="12" hidden="1">{#N/A,#N/A,TRUE,"Historicals";#N/A,#N/A,TRUE,"Charts";#N/A,#N/A,TRUE,"Forecasts"}</definedName>
    <definedName name="wrn.allpages." localSheetId="22" hidden="1">{#N/A,#N/A,TRUE,"Historicals";#N/A,#N/A,TRUE,"Charts";#N/A,#N/A,TRUE,"Forecasts"}</definedName>
    <definedName name="wrn.allpages." localSheetId="20" hidden="1">{#N/A,#N/A,TRUE,"Historicals";#N/A,#N/A,TRUE,"Charts";#N/A,#N/A,TRUE,"Forecasts"}</definedName>
    <definedName name="wrn.allpages." localSheetId="21" hidden="1">{#N/A,#N/A,TRUE,"Historicals";#N/A,#N/A,TRUE,"Charts";#N/A,#N/A,TRUE,"Forecasts"}</definedName>
    <definedName name="wrn.allpages." localSheetId="23" hidden="1">{#N/A,#N/A,TRUE,"Historicals";#N/A,#N/A,TRUE,"Charts";#N/A,#N/A,TRUE,"Forecasts"}</definedName>
    <definedName name="wrn.allpages." localSheetId="1" hidden="1">{#N/A,#N/A,TRUE,"Historicals";#N/A,#N/A,TRUE,"Charts";#N/A,#N/A,TRUE,"Forecasts"}</definedName>
    <definedName name="wrn.allpages." localSheetId="28" hidden="1">{#N/A,#N/A,TRUE,"Historicals";#N/A,#N/A,TRUE,"Charts";#N/A,#N/A,TRUE,"Forecasts"}</definedName>
    <definedName name="wrn.allpages." localSheetId="26" hidden="1">{#N/A,#N/A,TRUE,"Historicals";#N/A,#N/A,TRUE,"Charts";#N/A,#N/A,TRUE,"Forecasts"}</definedName>
    <definedName name="wrn.allpages." localSheetId="27" hidden="1">{#N/A,#N/A,TRUE,"Historicals";#N/A,#N/A,TRUE,"Charts";#N/A,#N/A,TRUE,"Forecasts"}</definedName>
    <definedName name="wrn.allpages." hidden="1">{#N/A,#N/A,TRUE,"Historicals";#N/A,#N/A,TRUE,"Charts";#N/A,#N/A,TRUE,"Forecasts"}</definedName>
    <definedName name="wrn.AMAT._.Intranet." localSheetId="23" hidden="1">{"AMAT INC",#N/A,FALSE,"AMAT-INC";"AMAT BLSH",#N/A,FALSE,"AMATBLSH"}</definedName>
    <definedName name="wrn.AMAT._.Intranet." hidden="1">{"AMAT INC",#N/A,FALSE,"AMAT-INC";"AMAT BLSH",#N/A,FALSE,"AMATBLSH"}</definedName>
    <definedName name="wrn.AMAT._.Intranet1." localSheetId="23" hidden="1">{"AMAT INC",#N/A,FALSE,"AMAT-INC";"AMAT BLSH",#N/A,FALSE,"AMATBLSH"}</definedName>
    <definedName name="wrn.AMAT._.Intranet1." hidden="1">{"AMAT INC",#N/A,FALSE,"AMAT-INC";"AMAT BLSH",#N/A,FALSE,"AMATBLSH"}</definedName>
    <definedName name="wrn.Annual._.Operating._.Earnings." localSheetId="17" hidden="1">{"Annual 1996",#N/A,FALSE,"Ann-Op (Mng)";"Annual 1996",#N/A,FALSE,"Ann-Op (Rep)";"Operating Vs. Reported Earnings",#N/A,FALSE,"Rpt-Op Inc"}</definedName>
    <definedName name="wrn.Annual._.Operating._.Earnings." localSheetId="15" hidden="1">{"Annual 1996",#N/A,FALSE,"Ann-Op (Mng)";"Annual 1996",#N/A,FALSE,"Ann-Op (Rep)";"Operating Vs. Reported Earnings",#N/A,FALSE,"Rpt-Op Inc"}</definedName>
    <definedName name="wrn.Annual._.Operating._.Earnings." localSheetId="12" hidden="1">{"Annual 1996",#N/A,FALSE,"Ann-Op (Mng)";"Annual 1996",#N/A,FALSE,"Ann-Op (Rep)";"Operating Vs. Reported Earnings",#N/A,FALSE,"Rpt-Op Inc"}</definedName>
    <definedName name="wrn.Annual._.Operating._.Earnings." localSheetId="22" hidden="1">{"Annual 1996",#N/A,FALSE,"Ann-Op (Mng)";"Annual 1996",#N/A,FALSE,"Ann-Op (Rep)";"Operating Vs. Reported Earnings",#N/A,FALSE,"Rpt-Op Inc"}</definedName>
    <definedName name="wrn.Annual._.Operating._.Earnings." localSheetId="20" hidden="1">{"Annual 1996",#N/A,FALSE,"Ann-Op (Mng)";"Annual 1996",#N/A,FALSE,"Ann-Op (Rep)";"Operating Vs. Reported Earnings",#N/A,FALSE,"Rpt-Op Inc"}</definedName>
    <definedName name="wrn.Annual._.Operating._.Earnings." localSheetId="21" hidden="1">{"Annual 1996",#N/A,FALSE,"Ann-Op (Mng)";"Annual 1996",#N/A,FALSE,"Ann-Op (Rep)";"Operating Vs. Reported Earnings",#N/A,FALSE,"Rpt-Op Inc"}</definedName>
    <definedName name="wrn.Annual._.Operating._.Earnings." localSheetId="23" hidden="1">{"Annual 1996",#N/A,FALSE,"Ann-Op (Mng)";"Annual 1996",#N/A,FALSE,"Ann-Op (Rep)";"Operating Vs. Reported Earnings",#N/A,FALSE,"Rpt-Op Inc"}</definedName>
    <definedName name="wrn.Annual._.Operating._.Earnings." localSheetId="1" hidden="1">{"Annual 1996",#N/A,FALSE,"Ann-Op (Mng)";"Annual 1996",#N/A,FALSE,"Ann-Op (Rep)";"Operating Vs. Reported Earnings",#N/A,FALSE,"Rpt-Op Inc"}</definedName>
    <definedName name="wrn.Annual._.Operating._.Earnings." localSheetId="28" hidden="1">{"Annual 1996",#N/A,FALSE,"Ann-Op (Mng)";"Annual 1996",#N/A,FALSE,"Ann-Op (Rep)";"Operating Vs. Reported Earnings",#N/A,FALSE,"Rpt-Op Inc"}</definedName>
    <definedName name="wrn.Annual._.Operating._.Earnings." localSheetId="26" hidden="1">{"Annual 1996",#N/A,FALSE,"Ann-Op (Mng)";"Annual 1996",#N/A,FALSE,"Ann-Op (Rep)";"Operating Vs. Reported Earnings",#N/A,FALSE,"Rpt-Op Inc"}</definedName>
    <definedName name="wrn.Annual._.Operating._.Earnings." localSheetId="27"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17" hidden="1">{"Annual 1996",#N/A,FALSE,"Ann-Op (Mng)";"Annual 1996",#N/A,FALSE,"Ann-Op (Rep)";"Operating Vs. Reported Earnings",#N/A,FALSE,"Rpt-Op Inc"}</definedName>
    <definedName name="wrn.Annual._.Operating._.Earnings1." localSheetId="15" hidden="1">{"Annual 1996",#N/A,FALSE,"Ann-Op (Mng)";"Annual 1996",#N/A,FALSE,"Ann-Op (Rep)";"Operating Vs. Reported Earnings",#N/A,FALSE,"Rpt-Op Inc"}</definedName>
    <definedName name="wrn.Annual._.Operating._.Earnings1." localSheetId="12" hidden="1">{"Annual 1996",#N/A,FALSE,"Ann-Op (Mng)";"Annual 1996",#N/A,FALSE,"Ann-Op (Rep)";"Operating Vs. Reported Earnings",#N/A,FALSE,"Rpt-Op Inc"}</definedName>
    <definedName name="wrn.Annual._.Operating._.Earnings1." localSheetId="22" hidden="1">{"Annual 1996",#N/A,FALSE,"Ann-Op (Mng)";"Annual 1996",#N/A,FALSE,"Ann-Op (Rep)";"Operating Vs. Reported Earnings",#N/A,FALSE,"Rpt-Op Inc"}</definedName>
    <definedName name="wrn.Annual._.Operating._.Earnings1." localSheetId="20" hidden="1">{"Annual 1996",#N/A,FALSE,"Ann-Op (Mng)";"Annual 1996",#N/A,FALSE,"Ann-Op (Rep)";"Operating Vs. Reported Earnings",#N/A,FALSE,"Rpt-Op Inc"}</definedName>
    <definedName name="wrn.Annual._.Operating._.Earnings1." localSheetId="21" hidden="1">{"Annual 1996",#N/A,FALSE,"Ann-Op (Mng)";"Annual 1996",#N/A,FALSE,"Ann-Op (Rep)";"Operating Vs. Reported Earnings",#N/A,FALSE,"Rpt-Op Inc"}</definedName>
    <definedName name="wrn.Annual._.Operating._.Earnings1." localSheetId="23" hidden="1">{"Annual 1996",#N/A,FALSE,"Ann-Op (Mng)";"Annual 1996",#N/A,FALSE,"Ann-Op (Rep)";"Operating Vs. Reported Earnings",#N/A,FALSE,"Rpt-Op Inc"}</definedName>
    <definedName name="wrn.Annual._.Operating._.Earnings1." localSheetId="1" hidden="1">{"Annual 1996",#N/A,FALSE,"Ann-Op (Mng)";"Annual 1996",#N/A,FALSE,"Ann-Op (Rep)";"Operating Vs. Reported Earnings",#N/A,FALSE,"Rpt-Op Inc"}</definedName>
    <definedName name="wrn.Annual._.Operating._.Earnings1." localSheetId="28" hidden="1">{"Annual 1996",#N/A,FALSE,"Ann-Op (Mng)";"Annual 1996",#N/A,FALSE,"Ann-Op (Rep)";"Operating Vs. Reported Earnings",#N/A,FALSE,"Rpt-Op Inc"}</definedName>
    <definedName name="wrn.Annual._.Operating._.Earnings1." localSheetId="26" hidden="1">{"Annual 1996",#N/A,FALSE,"Ann-Op (Mng)";"Annual 1996",#N/A,FALSE,"Ann-Op (Rep)";"Operating Vs. Reported Earnings",#N/A,FALSE,"Rpt-Op Inc"}</definedName>
    <definedName name="wrn.Annual._.Operating._.Earnings1." localSheetId="27"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res_Serono." localSheetId="17" hidden="1">{"revenue",#N/A,FALSE,"Revenue";"Qearn1",#N/A,FALSE,"Qearn";"Qearn2",#N/A,FALSE,"Qearn";"Qmargin",#N/A,FALSE,"Qmargin";"Cashflow",#N/A,FALSE,"Cashflow"}</definedName>
    <definedName name="wrn.Ares_Serono." localSheetId="15" hidden="1">{"revenue",#N/A,FALSE,"Revenue";"Qearn1",#N/A,FALSE,"Qearn";"Qearn2",#N/A,FALSE,"Qearn";"Qmargin",#N/A,FALSE,"Qmargin";"Cashflow",#N/A,FALSE,"Cashflow"}</definedName>
    <definedName name="wrn.Ares_Serono." localSheetId="12" hidden="1">{"revenue",#N/A,FALSE,"Revenue";"Qearn1",#N/A,FALSE,"Qearn";"Qearn2",#N/A,FALSE,"Qearn";"Qmargin",#N/A,FALSE,"Qmargin";"Cashflow",#N/A,FALSE,"Cashflow"}</definedName>
    <definedName name="wrn.Ares_Serono." localSheetId="22" hidden="1">{"revenue",#N/A,FALSE,"Revenue";"Qearn1",#N/A,FALSE,"Qearn";"Qearn2",#N/A,FALSE,"Qearn";"Qmargin",#N/A,FALSE,"Qmargin";"Cashflow",#N/A,FALSE,"Cashflow"}</definedName>
    <definedName name="wrn.Ares_Serono." localSheetId="20" hidden="1">{"revenue",#N/A,FALSE,"Revenue";"Qearn1",#N/A,FALSE,"Qearn";"Qearn2",#N/A,FALSE,"Qearn";"Qmargin",#N/A,FALSE,"Qmargin";"Cashflow",#N/A,FALSE,"Cashflow"}</definedName>
    <definedName name="wrn.Ares_Serono." localSheetId="21" hidden="1">{"revenue",#N/A,FALSE,"Revenue";"Qearn1",#N/A,FALSE,"Qearn";"Qearn2",#N/A,FALSE,"Qearn";"Qmargin",#N/A,FALSE,"Qmargin";"Cashflow",#N/A,FALSE,"Cashflow"}</definedName>
    <definedName name="wrn.Ares_Serono." localSheetId="23" hidden="1">{"revenue",#N/A,FALSE,"Revenue";"Qearn1",#N/A,FALSE,"Qearn";"Qearn2",#N/A,FALSE,"Qearn";"Qmargin",#N/A,FALSE,"Qmargin";"Cashflow",#N/A,FALSE,"Cashflow"}</definedName>
    <definedName name="wrn.Ares_Serono." localSheetId="1" hidden="1">{"revenue",#N/A,FALSE,"Revenue";"Qearn1",#N/A,FALSE,"Qearn";"Qearn2",#N/A,FALSE,"Qearn";"Qmargin",#N/A,FALSE,"Qmargin";"Cashflow",#N/A,FALSE,"Cashflow"}</definedName>
    <definedName name="wrn.Ares_Serono." localSheetId="28" hidden="1">{"revenue",#N/A,FALSE,"Revenue";"Qearn1",#N/A,FALSE,"Qearn";"Qearn2",#N/A,FALSE,"Qearn";"Qmargin",#N/A,FALSE,"Qmargin";"Cashflow",#N/A,FALSE,"Cashflow"}</definedName>
    <definedName name="wrn.Ares_Serono." localSheetId="26" hidden="1">{"revenue",#N/A,FALSE,"Revenue";"Qearn1",#N/A,FALSE,"Qearn";"Qearn2",#N/A,FALSE,"Qearn";"Qmargin",#N/A,FALSE,"Qmargin";"Cashflow",#N/A,FALSE,"Cashflow"}</definedName>
    <definedName name="wrn.Ares_Serono." localSheetId="27" hidden="1">{"revenue",#N/A,FALSE,"Revenue";"Qearn1",#N/A,FALSE,"Qearn";"Qearn2",#N/A,FALSE,"Qearn";"Qmargin",#N/A,FALSE,"Qmargin";"Cashflow",#N/A,FALSE,"Cashflow"}</definedName>
    <definedName name="wrn.Ares_Serono." hidden="1">{"revenue",#N/A,FALSE,"Revenue";"Qearn1",#N/A,FALSE,"Qearn";"Qearn2",#N/A,FALSE,"Qearn";"Qmargin",#N/A,FALSE,"Qmargin";"Cashflow",#N/A,FALSE,"Cashflow"}</definedName>
    <definedName name="wrn.assumptions." localSheetId="17" hidden="1">{"a",#N/A,FALSE,"capex";"a",#N/A,FALSE,"Assumptions"}</definedName>
    <definedName name="wrn.assumptions." localSheetId="15" hidden="1">{"a",#N/A,FALSE,"capex";"a",#N/A,FALSE,"Assumptions"}</definedName>
    <definedName name="wrn.assumptions." localSheetId="12" hidden="1">{"a",#N/A,FALSE,"capex";"a",#N/A,FALSE,"Assumptions"}</definedName>
    <definedName name="wrn.assumptions." localSheetId="22" hidden="1">{"a",#N/A,FALSE,"capex";"a",#N/A,FALSE,"Assumptions"}</definedName>
    <definedName name="wrn.assumptions." localSheetId="20" hidden="1">{"a",#N/A,FALSE,"capex";"a",#N/A,FALSE,"Assumptions"}</definedName>
    <definedName name="wrn.assumptions." localSheetId="21" hidden="1">{"a",#N/A,FALSE,"capex";"a",#N/A,FALSE,"Assumptions"}</definedName>
    <definedName name="wrn.assumptions." localSheetId="23" hidden="1">{"a",#N/A,FALSE,"capex";"a",#N/A,FALSE,"Assumptions"}</definedName>
    <definedName name="wrn.assumptions." localSheetId="1" hidden="1">{"a",#N/A,FALSE,"capex";"a",#N/A,FALSE,"Assumptions"}</definedName>
    <definedName name="wrn.assumptions." localSheetId="28" hidden="1">{"a",#N/A,FALSE,"capex";"a",#N/A,FALSE,"Assumptions"}</definedName>
    <definedName name="wrn.assumptions." localSheetId="26" hidden="1">{"a",#N/A,FALSE,"capex";"a",#N/A,FALSE,"Assumptions"}</definedName>
    <definedName name="wrn.assumptions." localSheetId="27" hidden="1">{"a",#N/A,FALSE,"capex";"a",#N/A,FALSE,"Assumptions"}</definedName>
    <definedName name="wrn.assumptions." hidden="1">{"a",#N/A,FALSE,"capex";"a",#N/A,FALSE,"Assumptions"}</definedName>
    <definedName name="wrn.ba." localSheetId="17"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5"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2"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2"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0"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1"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3"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8"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6"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27"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sic." localSheetId="17" hidden="1">{"ca",#N/A,FALSE,"C";"D",#N/A,FALSE,"D"}</definedName>
    <definedName name="wrn.Basic." localSheetId="15" hidden="1">{"ca",#N/A,FALSE,"C";"D",#N/A,FALSE,"D"}</definedName>
    <definedName name="wrn.Basic." localSheetId="12" hidden="1">{"ca",#N/A,FALSE,"C";"D",#N/A,FALSE,"D"}</definedName>
    <definedName name="wrn.Basic." localSheetId="22" hidden="1">{"ca",#N/A,FALSE,"C";"D",#N/A,FALSE,"D"}</definedName>
    <definedName name="wrn.Basic." localSheetId="20" hidden="1">{"ca",#N/A,FALSE,"C";"D",#N/A,FALSE,"D"}</definedName>
    <definedName name="wrn.Basic." localSheetId="21" hidden="1">{"ca",#N/A,FALSE,"C";"D",#N/A,FALSE,"D"}</definedName>
    <definedName name="wrn.Basic." localSheetId="23" hidden="1">{"ca",#N/A,FALSE,"C";"D",#N/A,FALSE,"D"}</definedName>
    <definedName name="wrn.Basic." localSheetId="1" hidden="1">{"ca",#N/A,FALSE,"C";"D",#N/A,FALSE,"D"}</definedName>
    <definedName name="wrn.Basic." localSheetId="28" hidden="1">{"ca",#N/A,FALSE,"C";"D",#N/A,FALSE,"D"}</definedName>
    <definedName name="wrn.Basic." localSheetId="26" hidden="1">{"ca",#N/A,FALSE,"C";"D",#N/A,FALSE,"D"}</definedName>
    <definedName name="wrn.Basic." localSheetId="27" hidden="1">{"ca",#N/A,FALSE,"C";"D",#N/A,FALSE,"D"}</definedName>
    <definedName name="wrn.Basic." hidden="1">{"ca",#N/A,FALSE,"C";"D",#N/A,FALSE,"D"}</definedName>
    <definedName name="wrn.Cadispa._.SA." localSheetId="17" hidden="1">{"Cadispa SA",#N/A,FALSE,"Cadispa SA"}</definedName>
    <definedName name="wrn.Cadispa._.SA." localSheetId="15" hidden="1">{"Cadispa SA",#N/A,FALSE,"Cadispa SA"}</definedName>
    <definedName name="wrn.Cadispa._.SA." localSheetId="12" hidden="1">{"Cadispa SA",#N/A,FALSE,"Cadispa SA"}</definedName>
    <definedName name="wrn.Cadispa._.SA." localSheetId="22" hidden="1">{"Cadispa SA",#N/A,FALSE,"Cadispa SA"}</definedName>
    <definedName name="wrn.Cadispa._.SA." localSheetId="20" hidden="1">{"Cadispa SA",#N/A,FALSE,"Cadispa SA"}</definedName>
    <definedName name="wrn.Cadispa._.SA." localSheetId="21" hidden="1">{"Cadispa SA",#N/A,FALSE,"Cadispa SA"}</definedName>
    <definedName name="wrn.Cadispa._.SA." localSheetId="23" hidden="1">{"Cadispa SA",#N/A,FALSE,"Cadispa SA"}</definedName>
    <definedName name="wrn.Cadispa._.SA." localSheetId="1" hidden="1">{"Cadispa SA",#N/A,FALSE,"Cadispa SA"}</definedName>
    <definedName name="wrn.Cadispa._.SA." localSheetId="28" hidden="1">{"Cadispa SA",#N/A,FALSE,"Cadispa SA"}</definedName>
    <definedName name="wrn.Cadispa._.SA." localSheetId="26" hidden="1">{"Cadispa SA",#N/A,FALSE,"Cadispa SA"}</definedName>
    <definedName name="wrn.Cadispa._.SA." localSheetId="27" hidden="1">{"Cadispa SA",#N/A,FALSE,"Cadispa SA"}</definedName>
    <definedName name="wrn.Cadispa._.SA." hidden="1">{"Cadispa SA",#N/A,FALSE,"Cadispa SA"}</definedName>
    <definedName name="wrn.Canada." localSheetId="17" hidden="1">{"Canada",#N/A,FALSE,"Canada"}</definedName>
    <definedName name="wrn.Canada." localSheetId="15" hidden="1">{"Canada",#N/A,FALSE,"Canada"}</definedName>
    <definedName name="wrn.Canada." localSheetId="12" hidden="1">{"Canada",#N/A,FALSE,"Canada"}</definedName>
    <definedName name="wrn.Canada." localSheetId="22" hidden="1">{"Canada",#N/A,FALSE,"Canada"}</definedName>
    <definedName name="wrn.Canada." localSheetId="20" hidden="1">{"Canada",#N/A,FALSE,"Canada"}</definedName>
    <definedName name="wrn.Canada." localSheetId="21" hidden="1">{"Canada",#N/A,FALSE,"Canada"}</definedName>
    <definedName name="wrn.Canada." localSheetId="23" hidden="1">{"Canada",#N/A,FALSE,"Canada"}</definedName>
    <definedName name="wrn.Canada." localSheetId="1" hidden="1">{"Canada",#N/A,FALSE,"Canada"}</definedName>
    <definedName name="wrn.Canada." localSheetId="28" hidden="1">{"Canada",#N/A,FALSE,"Canada"}</definedName>
    <definedName name="wrn.Canada." localSheetId="26" hidden="1">{"Canada",#N/A,FALSE,"Canada"}</definedName>
    <definedName name="wrn.Canada." localSheetId="27" hidden="1">{"Canada",#N/A,FALSE,"Canada"}</definedName>
    <definedName name="wrn.Canada." hidden="1">{"Canada",#N/A,FALSE,"Canada"}</definedName>
    <definedName name="wrn.Cash._.Flow." localSheetId="17" hidden="1">{"Cash Flow",#N/A,FALSE,"Multiples"}</definedName>
    <definedName name="wrn.Cash._.Flow." localSheetId="15" hidden="1">{"Cash Flow",#N/A,FALSE,"Multiples"}</definedName>
    <definedName name="wrn.Cash._.Flow." localSheetId="12" hidden="1">{"Cash Flow",#N/A,FALSE,"Multiples"}</definedName>
    <definedName name="wrn.Cash._.Flow." localSheetId="22" hidden="1">{"Cash Flow",#N/A,FALSE,"Multiples"}</definedName>
    <definedName name="wrn.Cash._.Flow." localSheetId="20" hidden="1">{"Cash Flow",#N/A,FALSE,"Multiples"}</definedName>
    <definedName name="wrn.Cash._.Flow." localSheetId="21" hidden="1">{"Cash Flow",#N/A,FALSE,"Multiples"}</definedName>
    <definedName name="wrn.Cash._.Flow." localSheetId="23" hidden="1">{"Cash Flow",#N/A,FALSE,"Multiples"}</definedName>
    <definedName name="wrn.Cash._.Flow." localSheetId="1" hidden="1">{"Cash Flow",#N/A,FALSE,"Multiples"}</definedName>
    <definedName name="wrn.Cash._.Flow." localSheetId="28" hidden="1">{"Cash Flow",#N/A,FALSE,"Multiples"}</definedName>
    <definedName name="wrn.Cash._.Flow." localSheetId="26" hidden="1">{"Cash Flow",#N/A,FALSE,"Multiples"}</definedName>
    <definedName name="wrn.Cash._.Flow." localSheetId="27" hidden="1">{"Cash Flow",#N/A,FALSE,"Multiples"}</definedName>
    <definedName name="wrn.Cash._.Flow." hidden="1">{"Cash Flow",#N/A,FALSE,"Multiples"}</definedName>
    <definedName name="wrn.Cash._.V._.LY." localSheetId="17" hidden="1">{"cash",#N/A,FALSE,"Aerospace";"cash",#N/A,FALSE,"Engines";"cash",#N/A,FALSE,"AES";"cash",#N/A,FALSE,"ES";"cash",#N/A,FALSE,"CAS";"cash",#N/A,FALSE,"ATSC";"cash",#N/A,FALSE,"FMT";"cash",#N/A,FALSE,"Aero Other";"cash",#N/A,FALSE,"Judgement"}</definedName>
    <definedName name="wrn.Cash._.V._.LY." localSheetId="15" hidden="1">{"cash",#N/A,FALSE,"Aerospace";"cash",#N/A,FALSE,"Engines";"cash",#N/A,FALSE,"AES";"cash",#N/A,FALSE,"ES";"cash",#N/A,FALSE,"CAS";"cash",#N/A,FALSE,"ATSC";"cash",#N/A,FALSE,"FMT";"cash",#N/A,FALSE,"Aero Other";"cash",#N/A,FALSE,"Judgement"}</definedName>
    <definedName name="wrn.Cash._.V._.LY." localSheetId="12" hidden="1">{"cash",#N/A,FALSE,"Aerospace";"cash",#N/A,FALSE,"Engines";"cash",#N/A,FALSE,"AES";"cash",#N/A,FALSE,"ES";"cash",#N/A,FALSE,"CAS";"cash",#N/A,FALSE,"ATSC";"cash",#N/A,FALSE,"FMT";"cash",#N/A,FALSE,"Aero Other";"cash",#N/A,FALSE,"Judgement"}</definedName>
    <definedName name="wrn.Cash._.V._.LY." localSheetId="22" hidden="1">{"cash",#N/A,FALSE,"Aerospace";"cash",#N/A,FALSE,"Engines";"cash",#N/A,FALSE,"AES";"cash",#N/A,FALSE,"ES";"cash",#N/A,FALSE,"CAS";"cash",#N/A,FALSE,"ATSC";"cash",#N/A,FALSE,"FMT";"cash",#N/A,FALSE,"Aero Other";"cash",#N/A,FALSE,"Judgement"}</definedName>
    <definedName name="wrn.Cash._.V._.LY." localSheetId="20" hidden="1">{"cash",#N/A,FALSE,"Aerospace";"cash",#N/A,FALSE,"Engines";"cash",#N/A,FALSE,"AES";"cash",#N/A,FALSE,"ES";"cash",#N/A,FALSE,"CAS";"cash",#N/A,FALSE,"ATSC";"cash",#N/A,FALSE,"FMT";"cash",#N/A,FALSE,"Aero Other";"cash",#N/A,FALSE,"Judgement"}</definedName>
    <definedName name="wrn.Cash._.V._.LY." localSheetId="21" hidden="1">{"cash",#N/A,FALSE,"Aerospace";"cash",#N/A,FALSE,"Engines";"cash",#N/A,FALSE,"AES";"cash",#N/A,FALSE,"ES";"cash",#N/A,FALSE,"CAS";"cash",#N/A,FALSE,"ATSC";"cash",#N/A,FALSE,"FMT";"cash",#N/A,FALSE,"Aero Other";"cash",#N/A,FALSE,"Judgement"}</definedName>
    <definedName name="wrn.Cash._.V._.LY." localSheetId="23" hidden="1">{"cash",#N/A,FALSE,"Aerospace";"cash",#N/A,FALSE,"Engines";"cash",#N/A,FALSE,"AES";"cash",#N/A,FALSE,"ES";"cash",#N/A,FALSE,"CAS";"cash",#N/A,FALSE,"ATSC";"cash",#N/A,FALSE,"FMT";"cash",#N/A,FALSE,"Aero Other";"cash",#N/A,FALSE,"Judgement"}</definedName>
    <definedName name="wrn.Cash._.V._.LY." localSheetId="1" hidden="1">{"cash",#N/A,FALSE,"Aerospace";"cash",#N/A,FALSE,"Engines";"cash",#N/A,FALSE,"AES";"cash",#N/A,FALSE,"ES";"cash",#N/A,FALSE,"CAS";"cash",#N/A,FALSE,"ATSC";"cash",#N/A,FALSE,"FMT";"cash",#N/A,FALSE,"Aero Other";"cash",#N/A,FALSE,"Judgement"}</definedName>
    <definedName name="wrn.Cash._.V._.LY." localSheetId="28" hidden="1">{"cash",#N/A,FALSE,"Aerospace";"cash",#N/A,FALSE,"Engines";"cash",#N/A,FALSE,"AES";"cash",#N/A,FALSE,"ES";"cash",#N/A,FALSE,"CAS";"cash",#N/A,FALSE,"ATSC";"cash",#N/A,FALSE,"FMT";"cash",#N/A,FALSE,"Aero Other";"cash",#N/A,FALSE,"Judgement"}</definedName>
    <definedName name="wrn.Cash._.V._.LY." localSheetId="26" hidden="1">{"cash",#N/A,FALSE,"Aerospace";"cash",#N/A,FALSE,"Engines";"cash",#N/A,FALSE,"AES";"cash",#N/A,FALSE,"ES";"cash",#N/A,FALSE,"CAS";"cash",#N/A,FALSE,"ATSC";"cash",#N/A,FALSE,"FMT";"cash",#N/A,FALSE,"Aero Other";"cash",#N/A,FALSE,"Judgement"}</definedName>
    <definedName name="wrn.Cash._.V._.LY." localSheetId="27" hidden="1">{"cash",#N/A,FALSE,"Aerospace";"cash",#N/A,FALSE,"Engines";"cash",#N/A,FALSE,"AES";"cash",#N/A,FALSE,"ES";"cash",#N/A,FALSE,"CAS";"cash",#N/A,FALSE,"ATSC";"cash",#N/A,FALSE,"FMT";"cash",#N/A,FALSE,"Aero Other";"cash",#N/A,FALSE,"Judgement"}</definedName>
    <definedName name="wrn.Cash._.V._.LY." hidden="1">{"cash",#N/A,FALSE,"Aerospace";"cash",#N/A,FALSE,"Engines";"cash",#N/A,FALSE,"AES";"cash",#N/A,FALSE,"ES";"cash",#N/A,FALSE,"CAS";"cash",#N/A,FALSE,"ATSC";"cash",#N/A,FALSE,"FMT";"cash",#N/A,FALSE,"Aero Other";"cash",#N/A,FALSE,"Judgement"}</definedName>
    <definedName name="wrn.Cash._.V._.Prior." localSheetId="17" hidden="1">{"cash",#N/A,FALSE,"Aero V prior";"cash",#N/A,FALSE,"Eng V Prior";"cash",#N/A,FALSE,"AES V Prior";"cash",#N/A,FALSE,"ES V Prior";"cash",#N/A,FALSE,"CAS V Prior";"cash",#N/A,FALSE,"ATSC V Prior";"cash",#N/A,FALSE,"FMT V Prior";"cash",#N/A,FALSE,"Aero Other V Prior";"cash",#N/A,FALSE,"Judge V Prior"}</definedName>
    <definedName name="wrn.Cash._.V._.Prior." localSheetId="15" hidden="1">{"cash",#N/A,FALSE,"Aero V prior";"cash",#N/A,FALSE,"Eng V Prior";"cash",#N/A,FALSE,"AES V Prior";"cash",#N/A,FALSE,"ES V Prior";"cash",#N/A,FALSE,"CAS V Prior";"cash",#N/A,FALSE,"ATSC V Prior";"cash",#N/A,FALSE,"FMT V Prior";"cash",#N/A,FALSE,"Aero Other V Prior";"cash",#N/A,FALSE,"Judge V Prior"}</definedName>
    <definedName name="wrn.Cash._.V._.Prior." localSheetId="12" hidden="1">{"cash",#N/A,FALSE,"Aero V prior";"cash",#N/A,FALSE,"Eng V Prior";"cash",#N/A,FALSE,"AES V Prior";"cash",#N/A,FALSE,"ES V Prior";"cash",#N/A,FALSE,"CAS V Prior";"cash",#N/A,FALSE,"ATSC V Prior";"cash",#N/A,FALSE,"FMT V Prior";"cash",#N/A,FALSE,"Aero Other V Prior";"cash",#N/A,FALSE,"Judge V Prior"}</definedName>
    <definedName name="wrn.Cash._.V._.Prior." localSheetId="22" hidden="1">{"cash",#N/A,FALSE,"Aero V prior";"cash",#N/A,FALSE,"Eng V Prior";"cash",#N/A,FALSE,"AES V Prior";"cash",#N/A,FALSE,"ES V Prior";"cash",#N/A,FALSE,"CAS V Prior";"cash",#N/A,FALSE,"ATSC V Prior";"cash",#N/A,FALSE,"FMT V Prior";"cash",#N/A,FALSE,"Aero Other V Prior";"cash",#N/A,FALSE,"Judge V Prior"}</definedName>
    <definedName name="wrn.Cash._.V._.Prior." localSheetId="20" hidden="1">{"cash",#N/A,FALSE,"Aero V prior";"cash",#N/A,FALSE,"Eng V Prior";"cash",#N/A,FALSE,"AES V Prior";"cash",#N/A,FALSE,"ES V Prior";"cash",#N/A,FALSE,"CAS V Prior";"cash",#N/A,FALSE,"ATSC V Prior";"cash",#N/A,FALSE,"FMT V Prior";"cash",#N/A,FALSE,"Aero Other V Prior";"cash",#N/A,FALSE,"Judge V Prior"}</definedName>
    <definedName name="wrn.Cash._.V._.Prior." localSheetId="21" hidden="1">{"cash",#N/A,FALSE,"Aero V prior";"cash",#N/A,FALSE,"Eng V Prior";"cash",#N/A,FALSE,"AES V Prior";"cash",#N/A,FALSE,"ES V Prior";"cash",#N/A,FALSE,"CAS V Prior";"cash",#N/A,FALSE,"ATSC V Prior";"cash",#N/A,FALSE,"FMT V Prior";"cash",#N/A,FALSE,"Aero Other V Prior";"cash",#N/A,FALSE,"Judge V Prior"}</definedName>
    <definedName name="wrn.Cash._.V._.Prior." localSheetId="23" hidden="1">{"cash",#N/A,FALSE,"Aero V prior";"cash",#N/A,FALSE,"Eng V Prior";"cash",#N/A,FALSE,"AES V Prior";"cash",#N/A,FALSE,"ES V Prior";"cash",#N/A,FALSE,"CAS V Prior";"cash",#N/A,FALSE,"ATSC V Prior";"cash",#N/A,FALSE,"FMT V Prior";"cash",#N/A,FALSE,"Aero Other V Prior";"cash",#N/A,FALSE,"Judge V Prior"}</definedName>
    <definedName name="wrn.Cash._.V._.Prior." localSheetId="1" hidden="1">{"cash",#N/A,FALSE,"Aero V prior";"cash",#N/A,FALSE,"Eng V Prior";"cash",#N/A,FALSE,"AES V Prior";"cash",#N/A,FALSE,"ES V Prior";"cash",#N/A,FALSE,"CAS V Prior";"cash",#N/A,FALSE,"ATSC V Prior";"cash",#N/A,FALSE,"FMT V Prior";"cash",#N/A,FALSE,"Aero Other V Prior";"cash",#N/A,FALSE,"Judge V Prior"}</definedName>
    <definedName name="wrn.Cash._.V._.Prior." localSheetId="28" hidden="1">{"cash",#N/A,FALSE,"Aero V prior";"cash",#N/A,FALSE,"Eng V Prior";"cash",#N/A,FALSE,"AES V Prior";"cash",#N/A,FALSE,"ES V Prior";"cash",#N/A,FALSE,"CAS V Prior";"cash",#N/A,FALSE,"ATSC V Prior";"cash",#N/A,FALSE,"FMT V Prior";"cash",#N/A,FALSE,"Aero Other V Prior";"cash",#N/A,FALSE,"Judge V Prior"}</definedName>
    <definedName name="wrn.Cash._.V._.Prior." localSheetId="26" hidden="1">{"cash",#N/A,FALSE,"Aero V prior";"cash",#N/A,FALSE,"Eng V Prior";"cash",#N/A,FALSE,"AES V Prior";"cash",#N/A,FALSE,"ES V Prior";"cash",#N/A,FALSE,"CAS V Prior";"cash",#N/A,FALSE,"ATSC V Prior";"cash",#N/A,FALSE,"FMT V Prior";"cash",#N/A,FALSE,"Aero Other V Prior";"cash",#N/A,FALSE,"Judge V Prior"}</definedName>
    <definedName name="wrn.Cash._.V._.Prior." localSheetId="27" hidden="1">{"cash",#N/A,FALSE,"Aero V prior";"cash",#N/A,FALSE,"Eng V Prior";"cash",#N/A,FALSE,"AES V Prior";"cash",#N/A,FALSE,"ES V Prior";"cash",#N/A,FALSE,"CAS V Prior";"cash",#N/A,FALSE,"ATSC V Prior";"cash",#N/A,FALSE,"FMT V Prior";"cash",#N/A,FALSE,"Aero Other V Prior";"cash",#N/A,FALSE,"Judge V Prior"}</definedName>
    <definedName name="wrn.Cash._.V._.Prior." hidden="1">{"cash",#N/A,FALSE,"Aero V prior";"cash",#N/A,FALSE,"Eng V Prior";"cash",#N/A,FALSE,"AES V Prior";"cash",#N/A,FALSE,"ES V Prior";"cash",#N/A,FALSE,"CAS V Prior";"cash",#N/A,FALSE,"ATSC V Prior";"cash",#N/A,FALSE,"FMT V Prior";"cash",#N/A,FALSE,"Aero Other V Prior";"cash",#N/A,FALSE,"Judge V Prior"}</definedName>
    <definedName name="wrn.Clam." localSheetId="17" hidden="1">{"Clam",#N/A,FALSE,"Clam"}</definedName>
    <definedName name="wrn.Clam." localSheetId="15" hidden="1">{"Clam",#N/A,FALSE,"Clam"}</definedName>
    <definedName name="wrn.Clam." localSheetId="12" hidden="1">{"Clam",#N/A,FALSE,"Clam"}</definedName>
    <definedName name="wrn.Clam." localSheetId="22" hidden="1">{"Clam",#N/A,FALSE,"Clam"}</definedName>
    <definedName name="wrn.Clam." localSheetId="20" hidden="1">{"Clam",#N/A,FALSE,"Clam"}</definedName>
    <definedName name="wrn.Clam." localSheetId="21" hidden="1">{"Clam",#N/A,FALSE,"Clam"}</definedName>
    <definedName name="wrn.Clam." localSheetId="23" hidden="1">{"Clam",#N/A,FALSE,"Clam"}</definedName>
    <definedName name="wrn.Clam." localSheetId="1" hidden="1">{"Clam",#N/A,FALSE,"Clam"}</definedName>
    <definedName name="wrn.Clam." localSheetId="28" hidden="1">{"Clam",#N/A,FALSE,"Clam"}</definedName>
    <definedName name="wrn.Clam." localSheetId="26" hidden="1">{"Clam",#N/A,FALSE,"Clam"}</definedName>
    <definedName name="wrn.Clam." localSheetId="27" hidden="1">{"Clam",#N/A,FALSE,"Clam"}</definedName>
    <definedName name="wrn.Clam." hidden="1">{"Clam",#N/A,FALSE,"Clam"}</definedName>
    <definedName name="wrn.Client." localSheetId="17" hidden="1">{#N/A,#N/A,FALSE,"Quarterly";#N/A,#N/A,FALSE,"Inc.St.";#N/A,#N/A,FALSE,"Bal.Sht."}</definedName>
    <definedName name="wrn.Client." localSheetId="15" hidden="1">{#N/A,#N/A,FALSE,"Quarterly";#N/A,#N/A,FALSE,"Inc.St.";#N/A,#N/A,FALSE,"Bal.Sht."}</definedName>
    <definedName name="wrn.Client." localSheetId="12" hidden="1">{#N/A,#N/A,FALSE,"Quarterly";#N/A,#N/A,FALSE,"Inc.St.";#N/A,#N/A,FALSE,"Bal.Sht."}</definedName>
    <definedName name="wrn.Client." localSheetId="22" hidden="1">{#N/A,#N/A,FALSE,"Quarterly";#N/A,#N/A,FALSE,"Inc.St.";#N/A,#N/A,FALSE,"Bal.Sht."}</definedName>
    <definedName name="wrn.Client." localSheetId="20" hidden="1">{#N/A,#N/A,FALSE,"Quarterly";#N/A,#N/A,FALSE,"Inc.St.";#N/A,#N/A,FALSE,"Bal.Sht."}</definedName>
    <definedName name="wrn.Client." localSheetId="21" hidden="1">{#N/A,#N/A,FALSE,"Quarterly";#N/A,#N/A,FALSE,"Inc.St.";#N/A,#N/A,FALSE,"Bal.Sht."}</definedName>
    <definedName name="wrn.Client." localSheetId="23" hidden="1">{#N/A,#N/A,FALSE,"Quarterly";#N/A,#N/A,FALSE,"Inc.St.";#N/A,#N/A,FALSE,"Bal.Sht."}</definedName>
    <definedName name="wrn.Client." localSheetId="1" hidden="1">{#N/A,#N/A,FALSE,"Quarterly";#N/A,#N/A,FALSE,"Inc.St.";#N/A,#N/A,FALSE,"Bal.Sht."}</definedName>
    <definedName name="wrn.Client." localSheetId="28" hidden="1">{#N/A,#N/A,FALSE,"Quarterly";#N/A,#N/A,FALSE,"Inc.St.";#N/A,#N/A,FALSE,"Bal.Sht."}</definedName>
    <definedName name="wrn.Client." localSheetId="26" hidden="1">{#N/A,#N/A,FALSE,"Quarterly";#N/A,#N/A,FALSE,"Inc.St.";#N/A,#N/A,FALSE,"Bal.Sht."}</definedName>
    <definedName name="wrn.Client." localSheetId="27" hidden="1">{#N/A,#N/A,FALSE,"Quarterly";#N/A,#N/A,FALSE,"Inc.St.";#N/A,#N/A,FALSE,"Bal.Sht."}</definedName>
    <definedName name="wrn.Client." hidden="1">{#N/A,#N/A,FALSE,"Quarterly";#N/A,#N/A,FALSE,"Inc.St.";#N/A,#N/A,FALSE,"Bal.Sht."}</definedName>
    <definedName name="wrn.Client._.cfbs." localSheetId="17" hidden="1">{"client cfbs",#N/A,FALSE,"Client"}</definedName>
    <definedName name="wrn.Client._.cfbs." localSheetId="15" hidden="1">{"client cfbs",#N/A,FALSE,"Client"}</definedName>
    <definedName name="wrn.Client._.cfbs." localSheetId="12" hidden="1">{"client cfbs",#N/A,FALSE,"Client"}</definedName>
    <definedName name="wrn.Client._.cfbs." localSheetId="22" hidden="1">{"client cfbs",#N/A,FALSE,"Client"}</definedName>
    <definedName name="wrn.Client._.cfbs." localSheetId="20" hidden="1">{"client cfbs",#N/A,FALSE,"Client"}</definedName>
    <definedName name="wrn.Client._.cfbs." localSheetId="21" hidden="1">{"client cfbs",#N/A,FALSE,"Client"}</definedName>
    <definedName name="wrn.Client._.cfbs." localSheetId="23" hidden="1">{"client cfbs",#N/A,FALSE,"Client"}</definedName>
    <definedName name="wrn.Client._.cfbs." localSheetId="1" hidden="1">{"client cfbs",#N/A,FALSE,"Client"}</definedName>
    <definedName name="wrn.Client._.cfbs." localSheetId="28" hidden="1">{"client cfbs",#N/A,FALSE,"Client"}</definedName>
    <definedName name="wrn.Client._.cfbs." localSheetId="26" hidden="1">{"client cfbs",#N/A,FALSE,"Client"}</definedName>
    <definedName name="wrn.Client._.cfbs." localSheetId="27" hidden="1">{"client cfbs",#N/A,FALSE,"Client"}</definedName>
    <definedName name="wrn.Client._.cfbs." hidden="1">{"client cfbs",#N/A,FALSE,"Client"}</definedName>
    <definedName name="wrn.Client._.is." localSheetId="17" hidden="1">{"Client is",#N/A,FALSE,"Client"}</definedName>
    <definedName name="wrn.Client._.is." localSheetId="15" hidden="1">{"Client is",#N/A,FALSE,"Client"}</definedName>
    <definedName name="wrn.Client._.is." localSheetId="12" hidden="1">{"Client is",#N/A,FALSE,"Client"}</definedName>
    <definedName name="wrn.Client._.is." localSheetId="22" hidden="1">{"Client is",#N/A,FALSE,"Client"}</definedName>
    <definedName name="wrn.Client._.is." localSheetId="20" hidden="1">{"Client is",#N/A,FALSE,"Client"}</definedName>
    <definedName name="wrn.Client._.is." localSheetId="21" hidden="1">{"Client is",#N/A,FALSE,"Client"}</definedName>
    <definedName name="wrn.Client._.is." localSheetId="23" hidden="1">{"Client is",#N/A,FALSE,"Client"}</definedName>
    <definedName name="wrn.Client._.is." localSheetId="1" hidden="1">{"Client is",#N/A,FALSE,"Client"}</definedName>
    <definedName name="wrn.Client._.is." localSheetId="28" hidden="1">{"Client is",#N/A,FALSE,"Client"}</definedName>
    <definedName name="wrn.Client._.is." localSheetId="26" hidden="1">{"Client is",#N/A,FALSE,"Client"}</definedName>
    <definedName name="wrn.Client._.is." localSheetId="27" hidden="1">{"Client is",#N/A,FALSE,"Client"}</definedName>
    <definedName name="wrn.Client._.is." hidden="1">{"Client is",#N/A,FALSE,"Client"}</definedName>
    <definedName name="wrn.Client._.Sheets." localSheetId="17" hidden="1">{"Netbacks",#N/A,FALSE,"Netbacks";"IS Quarterly",#N/A,FALSE,"Income Statement";"IS Yearly",#N/A,FALSE,"Income Statement";"Corporate Profile",#N/A,FALSE,"Corporate Profile"}</definedName>
    <definedName name="wrn.Client._.Sheets." localSheetId="15" hidden="1">{"Netbacks",#N/A,FALSE,"Netbacks";"IS Quarterly",#N/A,FALSE,"Income Statement";"IS Yearly",#N/A,FALSE,"Income Statement";"Corporate Profile",#N/A,FALSE,"Corporate Profile"}</definedName>
    <definedName name="wrn.Client._.Sheets." localSheetId="12" hidden="1">{"Netbacks",#N/A,FALSE,"Netbacks";"IS Quarterly",#N/A,FALSE,"Income Statement";"IS Yearly",#N/A,FALSE,"Income Statement";"Corporate Profile",#N/A,FALSE,"Corporate Profile"}</definedName>
    <definedName name="wrn.Client._.Sheets." localSheetId="22" hidden="1">{"Netbacks",#N/A,FALSE,"Netbacks";"IS Quarterly",#N/A,FALSE,"Income Statement";"IS Yearly",#N/A,FALSE,"Income Statement";"Corporate Profile",#N/A,FALSE,"Corporate Profile"}</definedName>
    <definedName name="wrn.Client._.Sheets." localSheetId="20" hidden="1">{"Netbacks",#N/A,FALSE,"Netbacks";"IS Quarterly",#N/A,FALSE,"Income Statement";"IS Yearly",#N/A,FALSE,"Income Statement";"Corporate Profile",#N/A,FALSE,"Corporate Profile"}</definedName>
    <definedName name="wrn.Client._.Sheets." localSheetId="21" hidden="1">{"Netbacks",#N/A,FALSE,"Netbacks";"IS Quarterly",#N/A,FALSE,"Income Statement";"IS Yearly",#N/A,FALSE,"Income Statement";"Corporate Profile",#N/A,FALSE,"Corporate Profile"}</definedName>
    <definedName name="wrn.Client._.Sheets." localSheetId="23" hidden="1">{"Netbacks",#N/A,FALSE,"Netbacks";"IS Quarterly",#N/A,FALSE,"Income Statement";"IS Yearly",#N/A,FALSE,"Income Statement";"Corporate Profile",#N/A,FALSE,"Corporate Profile"}</definedName>
    <definedName name="wrn.Client._.Sheets." localSheetId="1" hidden="1">{"Netbacks",#N/A,FALSE,"Netbacks";"IS Quarterly",#N/A,FALSE,"Income Statement";"IS Yearly",#N/A,FALSE,"Income Statement";"Corporate Profile",#N/A,FALSE,"Corporate Profile"}</definedName>
    <definedName name="wrn.Client._.Sheets." localSheetId="28" hidden="1">{"Netbacks",#N/A,FALSE,"Netbacks";"IS Quarterly",#N/A,FALSE,"Income Statement";"IS Yearly",#N/A,FALSE,"Income Statement";"Corporate Profile",#N/A,FALSE,"Corporate Profile"}</definedName>
    <definedName name="wrn.Client._.Sheets." localSheetId="26" hidden="1">{"Netbacks",#N/A,FALSE,"Netbacks";"IS Quarterly",#N/A,FALSE,"Income Statement";"IS Yearly",#N/A,FALSE,"Income Statement";"Corporate Profile",#N/A,FALSE,"Corporate Profile"}</definedName>
    <definedName name="wrn.Client._.Sheets." localSheetId="27"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stats." localSheetId="17" hidden="1">{"Client stats",#N/A,FALSE,"Client"}</definedName>
    <definedName name="wrn.Client._.stats." localSheetId="15" hidden="1">{"Client stats",#N/A,FALSE,"Client"}</definedName>
    <definedName name="wrn.Client._.stats." localSheetId="12" hidden="1">{"Client stats",#N/A,FALSE,"Client"}</definedName>
    <definedName name="wrn.Client._.stats." localSheetId="22" hidden="1">{"Client stats",#N/A,FALSE,"Client"}</definedName>
    <definedName name="wrn.Client._.stats." localSheetId="20" hidden="1">{"Client stats",#N/A,FALSE,"Client"}</definedName>
    <definedName name="wrn.Client._.stats." localSheetId="21" hidden="1">{"Client stats",#N/A,FALSE,"Client"}</definedName>
    <definedName name="wrn.Client._.stats." localSheetId="23" hidden="1">{"Client stats",#N/A,FALSE,"Client"}</definedName>
    <definedName name="wrn.Client._.stats." localSheetId="1" hidden="1">{"Client stats",#N/A,FALSE,"Client"}</definedName>
    <definedName name="wrn.Client._.stats." localSheetId="28" hidden="1">{"Client stats",#N/A,FALSE,"Client"}</definedName>
    <definedName name="wrn.Client._.stats." localSheetId="26" hidden="1">{"Client stats",#N/A,FALSE,"Client"}</definedName>
    <definedName name="wrn.Client._.stats." localSheetId="27" hidden="1">{"Client stats",#N/A,FALSE,"Client"}</definedName>
    <definedName name="wrn.Client._.stats." hidden="1">{"Client stats",#N/A,FALSE,"Client"}</definedName>
    <definedName name="wrn.Client2." localSheetId="17" hidden="1">{#N/A,#N/A,FALSE,"Inc. St.";#N/A,#N/A,FALSE,"Bal. Sht."}</definedName>
    <definedName name="wrn.Client2." localSheetId="15" hidden="1">{#N/A,#N/A,FALSE,"Inc. St.";#N/A,#N/A,FALSE,"Bal. Sht."}</definedName>
    <definedName name="wrn.Client2." localSheetId="12" hidden="1">{#N/A,#N/A,FALSE,"Inc. St.";#N/A,#N/A,FALSE,"Bal. Sht."}</definedName>
    <definedName name="wrn.Client2." localSheetId="22" hidden="1">{#N/A,#N/A,FALSE,"Inc. St.";#N/A,#N/A,FALSE,"Bal. Sht."}</definedName>
    <definedName name="wrn.Client2." localSheetId="20" hidden="1">{#N/A,#N/A,FALSE,"Inc. St.";#N/A,#N/A,FALSE,"Bal. Sht."}</definedName>
    <definedName name="wrn.Client2." localSheetId="21" hidden="1">{#N/A,#N/A,FALSE,"Inc. St.";#N/A,#N/A,FALSE,"Bal. Sht."}</definedName>
    <definedName name="wrn.Client2." localSheetId="23" hidden="1">{#N/A,#N/A,FALSE,"Inc. St.";#N/A,#N/A,FALSE,"Bal. Sht."}</definedName>
    <definedName name="wrn.Client2." localSheetId="1" hidden="1">{#N/A,#N/A,FALSE,"Inc. St.";#N/A,#N/A,FALSE,"Bal. Sht."}</definedName>
    <definedName name="wrn.Client2." localSheetId="28" hidden="1">{#N/A,#N/A,FALSE,"Inc. St.";#N/A,#N/A,FALSE,"Bal. Sht."}</definedName>
    <definedName name="wrn.Client2." localSheetId="26" hidden="1">{#N/A,#N/A,FALSE,"Inc. St.";#N/A,#N/A,FALSE,"Bal. Sht."}</definedName>
    <definedName name="wrn.Client2." localSheetId="27" hidden="1">{#N/A,#N/A,FALSE,"Inc. St.";#N/A,#N/A,FALSE,"Bal. Sht."}</definedName>
    <definedName name="wrn.Client2." hidden="1">{#N/A,#N/A,FALSE,"Inc. St.";#N/A,#N/A,FALSE,"Bal. Sht."}</definedName>
    <definedName name="wrn.COMP." localSheetId="17" hidden="1">{"CF",#N/A,FALSE,"Stone Energy";"Mult",#N/A,FALSE,"Stone Energy";"Cover",#N/A,FALSE,"Stone Energy";"TEV",#N/A,FALSE,"Stone Energy"}</definedName>
    <definedName name="wrn.COMP." localSheetId="15" hidden="1">{"CF",#N/A,FALSE,"Stone Energy";"Mult",#N/A,FALSE,"Stone Energy";"Cover",#N/A,FALSE,"Stone Energy";"TEV",#N/A,FALSE,"Stone Energy"}</definedName>
    <definedName name="wrn.COMP." localSheetId="12" hidden="1">{"CF",#N/A,FALSE,"Stone Energy";"Mult",#N/A,FALSE,"Stone Energy";"Cover",#N/A,FALSE,"Stone Energy";"TEV",#N/A,FALSE,"Stone Energy"}</definedName>
    <definedName name="wrn.COMP." localSheetId="22" hidden="1">{"CF",#N/A,FALSE,"Stone Energy";"Mult",#N/A,FALSE,"Stone Energy";"Cover",#N/A,FALSE,"Stone Energy";"TEV",#N/A,FALSE,"Stone Energy"}</definedName>
    <definedName name="wrn.COMP." localSheetId="20" hidden="1">{"CF",#N/A,FALSE,"Stone Energy";"Mult",#N/A,FALSE,"Stone Energy";"Cover",#N/A,FALSE,"Stone Energy";"TEV",#N/A,FALSE,"Stone Energy"}</definedName>
    <definedName name="wrn.COMP." localSheetId="21" hidden="1">{"CF",#N/A,FALSE,"Stone Energy";"Mult",#N/A,FALSE,"Stone Energy";"Cover",#N/A,FALSE,"Stone Energy";"TEV",#N/A,FALSE,"Stone Energy"}</definedName>
    <definedName name="wrn.COMP." localSheetId="23" hidden="1">{"CF",#N/A,FALSE,"Stone Energy";"Mult",#N/A,FALSE,"Stone Energy";"Cover",#N/A,FALSE,"Stone Energy";"TEV",#N/A,FALSE,"Stone Energy"}</definedName>
    <definedName name="wrn.COMP." localSheetId="1" hidden="1">{"CF",#N/A,FALSE,"Stone Energy";"Mult",#N/A,FALSE,"Stone Energy";"Cover",#N/A,FALSE,"Stone Energy";"TEV",#N/A,FALSE,"Stone Energy"}</definedName>
    <definedName name="wrn.COMP." localSheetId="28" hidden="1">{"CF",#N/A,FALSE,"Stone Energy";"Mult",#N/A,FALSE,"Stone Energy";"Cover",#N/A,FALSE,"Stone Energy";"TEV",#N/A,FALSE,"Stone Energy"}</definedName>
    <definedName name="wrn.COMP." localSheetId="26" hidden="1">{"CF",#N/A,FALSE,"Stone Energy";"Mult",#N/A,FALSE,"Stone Energy";"Cover",#N/A,FALSE,"Stone Energy";"TEV",#N/A,FALSE,"Stone Energy"}</definedName>
    <definedName name="wrn.COMP." localSheetId="27" hidden="1">{"CF",#N/A,FALSE,"Stone Energy";"Mult",#N/A,FALSE,"Stone Energy";"Cover",#N/A,FALSE,"Stone Energy";"TEV",#N/A,FALSE,"Stone Energy"}</definedName>
    <definedName name="wrn.COMP." hidden="1">{"CF",#N/A,FALSE,"Stone Energy";"Mult",#N/A,FALSE,"Stone Energy";"Cover",#N/A,FALSE,"Stone Energy";"TEV",#N/A,FALSE,"Stone Energy"}</definedName>
    <definedName name="wrn.Comp1." localSheetId="17" hidden="1">{"BSsheet2",#N/A,FALSE,"BS and Multiple Analysis";"netback2",#N/A,FALSE,"Reserve and Netback Analysis"}</definedName>
    <definedName name="wrn.Comp1." localSheetId="15" hidden="1">{"BSsheet2",#N/A,FALSE,"BS and Multiple Analysis";"netback2",#N/A,FALSE,"Reserve and Netback Analysis"}</definedName>
    <definedName name="wrn.Comp1." localSheetId="12" hidden="1">{"BSsheet2",#N/A,FALSE,"BS and Multiple Analysis";"netback2",#N/A,FALSE,"Reserve and Netback Analysis"}</definedName>
    <definedName name="wrn.Comp1." localSheetId="22" hidden="1">{"BSsheet2",#N/A,FALSE,"BS and Multiple Analysis";"netback2",#N/A,FALSE,"Reserve and Netback Analysis"}</definedName>
    <definedName name="wrn.Comp1." localSheetId="20" hidden="1">{"BSsheet2",#N/A,FALSE,"BS and Multiple Analysis";"netback2",#N/A,FALSE,"Reserve and Netback Analysis"}</definedName>
    <definedName name="wrn.Comp1." localSheetId="21" hidden="1">{"BSsheet2",#N/A,FALSE,"BS and Multiple Analysis";"netback2",#N/A,FALSE,"Reserve and Netback Analysis"}</definedName>
    <definedName name="wrn.Comp1." localSheetId="23" hidden="1">{"BSsheet2",#N/A,FALSE,"BS and Multiple Analysis";"netback2",#N/A,FALSE,"Reserve and Netback Analysis"}</definedName>
    <definedName name="wrn.Comp1." localSheetId="1" hidden="1">{"BSsheet2",#N/A,FALSE,"BS and Multiple Analysis";"netback2",#N/A,FALSE,"Reserve and Netback Analysis"}</definedName>
    <definedName name="wrn.Comp1." localSheetId="28" hidden="1">{"BSsheet2",#N/A,FALSE,"BS and Multiple Analysis";"netback2",#N/A,FALSE,"Reserve and Netback Analysis"}</definedName>
    <definedName name="wrn.Comp1." localSheetId="26" hidden="1">{"BSsheet2",#N/A,FALSE,"BS and Multiple Analysis";"netback2",#N/A,FALSE,"Reserve and Netback Analysis"}</definedName>
    <definedName name="wrn.Comp1." localSheetId="27" hidden="1">{"BSsheet2",#N/A,FALSE,"BS and Multiple Analysis";"netback2",#N/A,FALSE,"Reserve and Netback Analysis"}</definedName>
    <definedName name="wrn.Comp1." hidden="1">{"BSsheet2",#N/A,FALSE,"BS and Multiple Analysis";"netback2",#N/A,FALSE,"Reserve and Netback Analysis"}</definedName>
    <definedName name="wrn.Complete." localSheetId="1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7"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1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s." localSheetId="17" hidden="1">{"comps",#N/A,FALSE,"TXTCOMPS"}</definedName>
    <definedName name="wrn.comps." localSheetId="15" hidden="1">{"comps",#N/A,FALSE,"TXTCOMPS"}</definedName>
    <definedName name="wrn.comps." localSheetId="12" hidden="1">{"comps",#N/A,FALSE,"TXTCOMPS"}</definedName>
    <definedName name="wrn.comps." localSheetId="22" hidden="1">{"comps",#N/A,FALSE,"TXTCOMPS"}</definedName>
    <definedName name="wrn.comps." localSheetId="20" hidden="1">{"comps",#N/A,FALSE,"TXTCOMPS"}</definedName>
    <definedName name="wrn.comps." localSheetId="21" hidden="1">{"comps",#N/A,FALSE,"TXTCOMPS"}</definedName>
    <definedName name="wrn.comps." localSheetId="23" hidden="1">{"comps",#N/A,FALSE,"TXTCOMPS"}</definedName>
    <definedName name="wrn.comps." localSheetId="1" hidden="1">{"comps",#N/A,FALSE,"TXTCOMPS"}</definedName>
    <definedName name="wrn.comps." localSheetId="28" hidden="1">{"comps",#N/A,FALSE,"TXTCOMPS"}</definedName>
    <definedName name="wrn.comps." localSheetId="26" hidden="1">{"comps",#N/A,FALSE,"TXTCOMPS"}</definedName>
    <definedName name="wrn.comps." localSheetId="27" hidden="1">{"comps",#N/A,FALSE,"TXTCOMPS"}</definedName>
    <definedName name="wrn.comps." hidden="1">{"comps",#N/A,FALSE,"TXTCOMPS"}</definedName>
    <definedName name="wrn.Congo." localSheetId="17" hidden="1">{"Congo",#N/A,FALSE,"Congo"}</definedName>
    <definedName name="wrn.Congo." localSheetId="15" hidden="1">{"Congo",#N/A,FALSE,"Congo"}</definedName>
    <definedName name="wrn.Congo." localSheetId="12" hidden="1">{"Congo",#N/A,FALSE,"Congo"}</definedName>
    <definedName name="wrn.Congo." localSheetId="22" hidden="1">{"Congo",#N/A,FALSE,"Congo"}</definedName>
    <definedName name="wrn.Congo." localSheetId="20" hidden="1">{"Congo",#N/A,FALSE,"Congo"}</definedName>
    <definedName name="wrn.Congo." localSheetId="21" hidden="1">{"Congo",#N/A,FALSE,"Congo"}</definedName>
    <definedName name="wrn.Congo." localSheetId="23" hidden="1">{"Congo",#N/A,FALSE,"Congo"}</definedName>
    <definedName name="wrn.Congo." localSheetId="1" hidden="1">{"Congo",#N/A,FALSE,"Congo"}</definedName>
    <definedName name="wrn.Congo." localSheetId="28" hidden="1">{"Congo",#N/A,FALSE,"Congo"}</definedName>
    <definedName name="wrn.Congo." localSheetId="26" hidden="1">{"Congo",#N/A,FALSE,"Congo"}</definedName>
    <definedName name="wrn.Congo." localSheetId="27" hidden="1">{"Congo",#N/A,FALSE,"Congo"}</definedName>
    <definedName name="wrn.Congo." hidden="1">{"Congo",#N/A,FALSE,"Congo"}</definedName>
    <definedName name="wrn.Consolidated._.Statements." localSheetId="17" hidden="1">{"view1",#N/A,FALSE,"EARN (US$)";"view1",#N/A,FALSE,"DASTBS (US$)";"view1",#N/A,FALSE,"DASTCF (US$)"}</definedName>
    <definedName name="wrn.Consolidated._.Statements." localSheetId="15" hidden="1">{"view1",#N/A,FALSE,"EARN (US$)";"view1",#N/A,FALSE,"DASTBS (US$)";"view1",#N/A,FALSE,"DASTCF (US$)"}</definedName>
    <definedName name="wrn.Consolidated._.Statements." localSheetId="12" hidden="1">{"view1",#N/A,FALSE,"EARN (US$)";"view1",#N/A,FALSE,"DASTBS (US$)";"view1",#N/A,FALSE,"DASTCF (US$)"}</definedName>
    <definedName name="wrn.Consolidated._.Statements." localSheetId="22" hidden="1">{"view1",#N/A,FALSE,"EARN (US$)";"view1",#N/A,FALSE,"DASTBS (US$)";"view1",#N/A,FALSE,"DASTCF (US$)"}</definedName>
    <definedName name="wrn.Consolidated._.Statements." localSheetId="20" hidden="1">{"view1",#N/A,FALSE,"EARN (US$)";"view1",#N/A,FALSE,"DASTBS (US$)";"view1",#N/A,FALSE,"DASTCF (US$)"}</definedName>
    <definedName name="wrn.Consolidated._.Statements." localSheetId="21" hidden="1">{"view1",#N/A,FALSE,"EARN (US$)";"view1",#N/A,FALSE,"DASTBS (US$)";"view1",#N/A,FALSE,"DASTCF (US$)"}</definedName>
    <definedName name="wrn.Consolidated._.Statements." localSheetId="23" hidden="1">{"view1",#N/A,FALSE,"EARN (US$)";"view1",#N/A,FALSE,"DASTBS (US$)";"view1",#N/A,FALSE,"DASTCF (US$)"}</definedName>
    <definedName name="wrn.Consolidated._.Statements." localSheetId="1" hidden="1">{"view1",#N/A,FALSE,"EARN (US$)";"view1",#N/A,FALSE,"DASTBS (US$)";"view1",#N/A,FALSE,"DASTCF (US$)"}</definedName>
    <definedName name="wrn.Consolidated._.Statements." localSheetId="28" hidden="1">{"view1",#N/A,FALSE,"EARN (US$)";"view1",#N/A,FALSE,"DASTBS (US$)";"view1",#N/A,FALSE,"DASTCF (US$)"}</definedName>
    <definedName name="wrn.Consolidated._.Statements." localSheetId="26" hidden="1">{"view1",#N/A,FALSE,"EARN (US$)";"view1",#N/A,FALSE,"DASTBS (US$)";"view1",#N/A,FALSE,"DASTCF (US$)"}</definedName>
    <definedName name="wrn.Consolidated._.Statements." localSheetId="27" hidden="1">{"view1",#N/A,FALSE,"EARN (US$)";"view1",#N/A,FALSE,"DASTBS (US$)";"view1",#N/A,FALSE,"DASTCF (US$)"}</definedName>
    <definedName name="wrn.Consolidated._.Statements." hidden="1">{"view1",#N/A,FALSE,"EARN (US$)";"view1",#N/A,FALSE,"DASTBS (US$)";"view1",#N/A,FALSE,"DASTCF (US$)"}</definedName>
    <definedName name="wrn.Corp.._.Profile." localSheetId="17" hidden="1">{"Corp Pro",#N/A,FALSE,"D"}</definedName>
    <definedName name="wrn.Corp.._.Profile." localSheetId="15" hidden="1">{"Corp Pro",#N/A,FALSE,"D"}</definedName>
    <definedName name="wrn.Corp.._.Profile." localSheetId="12" hidden="1">{"Corp Pro",#N/A,FALSE,"D"}</definedName>
    <definedName name="wrn.Corp.._.Profile." localSheetId="22" hidden="1">{"Corp Pro",#N/A,FALSE,"D"}</definedName>
    <definedName name="wrn.Corp.._.Profile." localSheetId="20" hidden="1">{"Corp Pro",#N/A,FALSE,"D"}</definedName>
    <definedName name="wrn.Corp.._.Profile." localSheetId="21" hidden="1">{"Corp Pro",#N/A,FALSE,"D"}</definedName>
    <definedName name="wrn.Corp.._.Profile." localSheetId="23" hidden="1">{"Corp Pro",#N/A,FALSE,"D"}</definedName>
    <definedName name="wrn.Corp.._.Profile." localSheetId="1" hidden="1">{"Corp Pro",#N/A,FALSE,"D"}</definedName>
    <definedName name="wrn.Corp.._.Profile." localSheetId="28" hidden="1">{"Corp Pro",#N/A,FALSE,"D"}</definedName>
    <definedName name="wrn.Corp.._.Profile." localSheetId="26" hidden="1">{"Corp Pro",#N/A,FALSE,"D"}</definedName>
    <definedName name="wrn.Corp.._.Profile." localSheetId="27" hidden="1">{"Corp Pro",#N/A,FALSE,"D"}</definedName>
    <definedName name="wrn.Corp.._.Profile." hidden="1">{"Corp Pro",#N/A,FALSE,"D"}</definedName>
    <definedName name="wrn.Corp.Profile." localSheetId="17" hidden="1">{"Corp. Profile",#N/A,FALSE,"Corporate Profile"}</definedName>
    <definedName name="wrn.Corp.Profile." localSheetId="15" hidden="1">{"Corp. Profile",#N/A,FALSE,"Corporate Profile"}</definedName>
    <definedName name="wrn.Corp.Profile." localSheetId="12" hidden="1">{"Corp. Profile",#N/A,FALSE,"Corporate Profile"}</definedName>
    <definedName name="wrn.Corp.Profile." localSheetId="22" hidden="1">{"Corp. Profile",#N/A,FALSE,"Corporate Profile"}</definedName>
    <definedName name="wrn.Corp.Profile." localSheetId="20" hidden="1">{"Corp. Profile",#N/A,FALSE,"Corporate Profile"}</definedName>
    <definedName name="wrn.Corp.Profile." localSheetId="21" hidden="1">{"Corp. Profile",#N/A,FALSE,"Corporate Profile"}</definedName>
    <definedName name="wrn.Corp.Profile." localSheetId="23" hidden="1">{"Corp. Profile",#N/A,FALSE,"Corporate Profile"}</definedName>
    <definedName name="wrn.Corp.Profile." localSheetId="1" hidden="1">{"Corp. Profile",#N/A,FALSE,"Corporate Profile"}</definedName>
    <definedName name="wrn.Corp.Profile." localSheetId="28" hidden="1">{"Corp. Profile",#N/A,FALSE,"Corporate Profile"}</definedName>
    <definedName name="wrn.Corp.Profile." localSheetId="26" hidden="1">{"Corp. Profile",#N/A,FALSE,"Corporate Profile"}</definedName>
    <definedName name="wrn.Corp.Profile." localSheetId="27" hidden="1">{"Corp. Profile",#N/A,FALSE,"Corporate Profile"}</definedName>
    <definedName name="wrn.Corp.Profile." hidden="1">{"Corp. Profile",#N/A,FALSE,"Corporate Profile"}</definedName>
    <definedName name="wrn.Corporate." localSheetId="17" hidden="1">{"Corporate",#N/A,FALSE,"Corporate Profile"}</definedName>
    <definedName name="wrn.Corporate." localSheetId="15" hidden="1">{"Corporate",#N/A,FALSE,"Corporate Profile"}</definedName>
    <definedName name="wrn.Corporate." localSheetId="12" hidden="1">{"Corporate",#N/A,FALSE,"Corporate Profile"}</definedName>
    <definedName name="wrn.Corporate." localSheetId="22" hidden="1">{"Corporate",#N/A,FALSE,"Corporate Profile"}</definedName>
    <definedName name="wrn.Corporate." localSheetId="20" hidden="1">{"Corporate",#N/A,FALSE,"Corporate Profile"}</definedName>
    <definedName name="wrn.Corporate." localSheetId="21" hidden="1">{"Corporate",#N/A,FALSE,"Corporate Profile"}</definedName>
    <definedName name="wrn.Corporate." localSheetId="23" hidden="1">{"Corporate",#N/A,FALSE,"Corporate Profile"}</definedName>
    <definedName name="wrn.Corporate." localSheetId="1" hidden="1">{"Corporate",#N/A,FALSE,"Corporate Profile"}</definedName>
    <definedName name="wrn.Corporate." localSheetId="28" hidden="1">{"Corporate",#N/A,FALSE,"Corporate Profile"}</definedName>
    <definedName name="wrn.Corporate." localSheetId="26" hidden="1">{"Corporate",#N/A,FALSE,"Corporate Profile"}</definedName>
    <definedName name="wrn.Corporate." localSheetId="27" hidden="1">{"Corporate",#N/A,FALSE,"Corporate Profile"}</definedName>
    <definedName name="wrn.Corporate." hidden="1">{"Corporate",#N/A,FALSE,"Corporate Profile"}</definedName>
    <definedName name="wrn.Corporate._.Profile." localSheetId="17" hidden="1">{"Corporate Profile",#N/A,FALSE,"D"}</definedName>
    <definedName name="wrn.Corporate._.Profile." localSheetId="15" hidden="1">{"Corporate Profile",#N/A,FALSE,"D"}</definedName>
    <definedName name="wrn.Corporate._.Profile." localSheetId="12" hidden="1">{"Corporate Profile",#N/A,FALSE,"D"}</definedName>
    <definedName name="wrn.Corporate._.Profile." localSheetId="22" hidden="1">{"Corporate Profile",#N/A,FALSE,"D"}</definedName>
    <definedName name="wrn.Corporate._.Profile." localSheetId="20" hidden="1">{"Corporate Profile",#N/A,FALSE,"D"}</definedName>
    <definedName name="wrn.Corporate._.Profile." localSheetId="21" hidden="1">{"Corporate Profile",#N/A,FALSE,"D"}</definedName>
    <definedName name="wrn.Corporate._.Profile." localSheetId="23" hidden="1">{"Corporate Profile",#N/A,FALSE,"D"}</definedName>
    <definedName name="wrn.Corporate._.Profile." localSheetId="1" hidden="1">{"Corporate Profile",#N/A,FALSE,"D"}</definedName>
    <definedName name="wrn.Corporate._.Profile." localSheetId="28" hidden="1">{"Corporate Profile",#N/A,FALSE,"D"}</definedName>
    <definedName name="wrn.Corporate._.Profile." localSheetId="26" hidden="1">{"Corporate Profile",#N/A,FALSE,"D"}</definedName>
    <definedName name="wrn.Corporate._.Profile." localSheetId="27" hidden="1">{"Corporate Profile",#N/A,FALSE,"D"}</definedName>
    <definedName name="wrn.Corporate._.Profile." hidden="1">{"Corporate Profile",#N/A,FALSE,"D"}</definedName>
    <definedName name="wrn.CorporateProfile." localSheetId="17" hidden="1">{"CorporateProfile",#N/A,FALSE,"corp profile"}</definedName>
    <definedName name="wrn.CorporateProfile." localSheetId="15" hidden="1">{"CorporateProfile",#N/A,FALSE,"corp profile"}</definedName>
    <definedName name="wrn.CorporateProfile." localSheetId="12" hidden="1">{"CorporateProfile",#N/A,FALSE,"corp profile"}</definedName>
    <definedName name="wrn.CorporateProfile." localSheetId="22" hidden="1">{"CorporateProfile",#N/A,FALSE,"corp profile"}</definedName>
    <definedName name="wrn.CorporateProfile." localSheetId="20" hidden="1">{"CorporateProfile",#N/A,FALSE,"corp profile"}</definedName>
    <definedName name="wrn.CorporateProfile." localSheetId="21" hidden="1">{"CorporateProfile",#N/A,FALSE,"corp profile"}</definedName>
    <definedName name="wrn.CorporateProfile." localSheetId="23" hidden="1">{"CorporateProfile",#N/A,FALSE,"corp profile"}</definedName>
    <definedName name="wrn.CorporateProfile." localSheetId="1" hidden="1">{"CorporateProfile",#N/A,FALSE,"corp profile"}</definedName>
    <definedName name="wrn.CorporateProfile." localSheetId="28" hidden="1">{"CorporateProfile",#N/A,FALSE,"corp profile"}</definedName>
    <definedName name="wrn.CorporateProfile." localSheetId="26" hidden="1">{"CorporateProfile",#N/A,FALSE,"corp profile"}</definedName>
    <definedName name="wrn.CorporateProfile." localSheetId="27" hidden="1">{"CorporateProfile",#N/A,FALSE,"corp profile"}</definedName>
    <definedName name="wrn.CorporateProfile." hidden="1">{"CorporateProfile",#N/A,FALSE,"corp profile"}</definedName>
    <definedName name="wrn.CORR." localSheetId="17" hidden="1">{"INCSTMT1",#N/A,FALSE,"COR";"INCSTMT2",#N/A,FALSE,"COR"}</definedName>
    <definedName name="wrn.CORR." localSheetId="15" hidden="1">{"INCSTMT1",#N/A,FALSE,"COR";"INCSTMT2",#N/A,FALSE,"COR"}</definedName>
    <definedName name="wrn.CORR." localSheetId="12" hidden="1">{"INCSTMT1",#N/A,FALSE,"COR";"INCSTMT2",#N/A,FALSE,"COR"}</definedName>
    <definedName name="wrn.CORR." localSheetId="22" hidden="1">{"INCSTMT1",#N/A,FALSE,"COR";"INCSTMT2",#N/A,FALSE,"COR"}</definedName>
    <definedName name="wrn.CORR." localSheetId="20" hidden="1">{"INCSTMT1",#N/A,FALSE,"COR";"INCSTMT2",#N/A,FALSE,"COR"}</definedName>
    <definedName name="wrn.CORR." localSheetId="21" hidden="1">{"INCSTMT1",#N/A,FALSE,"COR";"INCSTMT2",#N/A,FALSE,"COR"}</definedName>
    <definedName name="wrn.CORR." localSheetId="23" hidden="1">{"INCSTMT1",#N/A,FALSE,"COR";"INCSTMT2",#N/A,FALSE,"COR"}</definedName>
    <definedName name="wrn.CORR." localSheetId="1" hidden="1">{"INCSTMT1",#N/A,FALSE,"COR";"INCSTMT2",#N/A,FALSE,"COR"}</definedName>
    <definedName name="wrn.CORR." localSheetId="28" hidden="1">{"INCSTMT1",#N/A,FALSE,"COR";"INCSTMT2",#N/A,FALSE,"COR"}</definedName>
    <definedName name="wrn.CORR." localSheetId="26" hidden="1">{"INCSTMT1",#N/A,FALSE,"COR";"INCSTMT2",#N/A,FALSE,"COR"}</definedName>
    <definedName name="wrn.CORR." localSheetId="27" hidden="1">{"INCSTMT1",#N/A,FALSE,"COR";"INCSTMT2",#N/A,FALSE,"COR"}</definedName>
    <definedName name="wrn.CORR." hidden="1">{"INCSTMT1",#N/A,FALSE,"COR";"INCSTMT2",#N/A,FALSE,"COR"}</definedName>
    <definedName name="wrn.cotop." localSheetId="17" hidden="1">{"ReportTop",#N/A,FALSE,"report top"}</definedName>
    <definedName name="wrn.cotop." localSheetId="15" hidden="1">{"ReportTop",#N/A,FALSE,"report top"}</definedName>
    <definedName name="wrn.cotop." localSheetId="12" hidden="1">{"ReportTop",#N/A,FALSE,"report top"}</definedName>
    <definedName name="wrn.cotop." localSheetId="22" hidden="1">{"ReportTop",#N/A,FALSE,"report top"}</definedName>
    <definedName name="wrn.cotop." localSheetId="20" hidden="1">{"ReportTop",#N/A,FALSE,"report top"}</definedName>
    <definedName name="wrn.cotop." localSheetId="21" hidden="1">{"ReportTop",#N/A,FALSE,"report top"}</definedName>
    <definedName name="wrn.cotop." localSheetId="23" hidden="1">{"ReportTop",#N/A,FALSE,"report top"}</definedName>
    <definedName name="wrn.cotop." localSheetId="1" hidden="1">{"ReportTop",#N/A,FALSE,"report top"}</definedName>
    <definedName name="wrn.cotop." localSheetId="28" hidden="1">{"ReportTop",#N/A,FALSE,"report top"}</definedName>
    <definedName name="wrn.cotop." localSheetId="26" hidden="1">{"ReportTop",#N/A,FALSE,"report top"}</definedName>
    <definedName name="wrn.cotop." localSheetId="27" hidden="1">{"ReportTop",#N/A,FALSE,"report top"}</definedName>
    <definedName name="wrn.cotop." hidden="1">{"ReportTop",#N/A,FALSE,"report top"}</definedName>
    <definedName name="wrn.daily." localSheetId="17" hidden="1">{#N/A,#N/A,FALSE,"Major v. River";#N/A,#N/A,FALSE,"Large Operators";#N/A,#N/A,FALSE,"Smaller Operators";#N/A,#N/A,FALSE,"Equip. Supply";#N/A,#N/A,FALSE,"EBITDA"}</definedName>
    <definedName name="wrn.daily." localSheetId="15" hidden="1">{#N/A,#N/A,FALSE,"Major v. River";#N/A,#N/A,FALSE,"Large Operators";#N/A,#N/A,FALSE,"Smaller Operators";#N/A,#N/A,FALSE,"Equip. Supply";#N/A,#N/A,FALSE,"EBITDA"}</definedName>
    <definedName name="wrn.daily." localSheetId="12" hidden="1">{#N/A,#N/A,FALSE,"Major v. River";#N/A,#N/A,FALSE,"Large Operators";#N/A,#N/A,FALSE,"Smaller Operators";#N/A,#N/A,FALSE,"Equip. Supply";#N/A,#N/A,FALSE,"EBITDA"}</definedName>
    <definedName name="wrn.daily." localSheetId="22" hidden="1">{#N/A,#N/A,FALSE,"Major v. River";#N/A,#N/A,FALSE,"Large Operators";#N/A,#N/A,FALSE,"Smaller Operators";#N/A,#N/A,FALSE,"Equip. Supply";#N/A,#N/A,FALSE,"EBITDA"}</definedName>
    <definedName name="wrn.daily." localSheetId="20" hidden="1">{#N/A,#N/A,FALSE,"Major v. River";#N/A,#N/A,FALSE,"Large Operators";#N/A,#N/A,FALSE,"Smaller Operators";#N/A,#N/A,FALSE,"Equip. Supply";#N/A,#N/A,FALSE,"EBITDA"}</definedName>
    <definedName name="wrn.daily." localSheetId="21" hidden="1">{#N/A,#N/A,FALSE,"Major v. River";#N/A,#N/A,FALSE,"Large Operators";#N/A,#N/A,FALSE,"Smaller Operators";#N/A,#N/A,FALSE,"Equip. Supply";#N/A,#N/A,FALSE,"EBITDA"}</definedName>
    <definedName name="wrn.daily." localSheetId="23" hidden="1">{#N/A,#N/A,FALSE,"Major v. River";#N/A,#N/A,FALSE,"Large Operators";#N/A,#N/A,FALSE,"Smaller Operators";#N/A,#N/A,FALSE,"Equip. Supply";#N/A,#N/A,FALSE,"EBITDA"}</definedName>
    <definedName name="wrn.daily." localSheetId="1" hidden="1">{#N/A,#N/A,FALSE,"Major v. River";#N/A,#N/A,FALSE,"Large Operators";#N/A,#N/A,FALSE,"Smaller Operators";#N/A,#N/A,FALSE,"Equip. Supply";#N/A,#N/A,FALSE,"EBITDA"}</definedName>
    <definedName name="wrn.daily." localSheetId="28" hidden="1">{#N/A,#N/A,FALSE,"Major v. River";#N/A,#N/A,FALSE,"Large Operators";#N/A,#N/A,FALSE,"Smaller Operators";#N/A,#N/A,FALSE,"Equip. Supply";#N/A,#N/A,FALSE,"EBITDA"}</definedName>
    <definedName name="wrn.daily." localSheetId="26" hidden="1">{#N/A,#N/A,FALSE,"Major v. River";#N/A,#N/A,FALSE,"Large Operators";#N/A,#N/A,FALSE,"Smaller Operators";#N/A,#N/A,FALSE,"Equip. Supply";#N/A,#N/A,FALSE,"EBITDA"}</definedName>
    <definedName name="wrn.daily." localSheetId="27" hidden="1">{#N/A,#N/A,FALSE,"Major v. River";#N/A,#N/A,FALSE,"Large Operators";#N/A,#N/A,FALSE,"Smaller Operators";#N/A,#N/A,FALSE,"Equip. Supply";#N/A,#N/A,FALSE,"EBITDA"}</definedName>
    <definedName name="wrn.daily." hidden="1">{#N/A,#N/A,FALSE,"Major v. River";#N/A,#N/A,FALSE,"Large Operators";#N/A,#N/A,FALSE,"Smaller Operators";#N/A,#N/A,FALSE,"Equip. Supply";#N/A,#N/A,FALSE,"EBITDA"}</definedName>
    <definedName name="wrn.dcf." localSheetId="1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5"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2"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0"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3"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27"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Earnings._.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xist." localSheetId="17" hidden="1">{"Exist1",#N/A,FALSE,"Exist";"exist2",#N/A,FALSE,"Exist"}</definedName>
    <definedName name="wrn.Exist." localSheetId="15" hidden="1">{"Exist1",#N/A,FALSE,"Exist";"exist2",#N/A,FALSE,"Exist"}</definedName>
    <definedName name="wrn.Exist." localSheetId="12" hidden="1">{"Exist1",#N/A,FALSE,"Exist";"exist2",#N/A,FALSE,"Exist"}</definedName>
    <definedName name="wrn.Exist." localSheetId="22" hidden="1">{"Exist1",#N/A,FALSE,"Exist";"exist2",#N/A,FALSE,"Exist"}</definedName>
    <definedName name="wrn.Exist." localSheetId="20" hidden="1">{"Exist1",#N/A,FALSE,"Exist";"exist2",#N/A,FALSE,"Exist"}</definedName>
    <definedName name="wrn.Exist." localSheetId="21" hidden="1">{"Exist1",#N/A,FALSE,"Exist";"exist2",#N/A,FALSE,"Exist"}</definedName>
    <definedName name="wrn.Exist." localSheetId="23" hidden="1">{"Exist1",#N/A,FALSE,"Exist";"exist2",#N/A,FALSE,"Exist"}</definedName>
    <definedName name="wrn.Exist." localSheetId="1" hidden="1">{"Exist1",#N/A,FALSE,"Exist";"exist2",#N/A,FALSE,"Exist"}</definedName>
    <definedName name="wrn.Exist." localSheetId="28" hidden="1">{"Exist1",#N/A,FALSE,"Exist";"exist2",#N/A,FALSE,"Exist"}</definedName>
    <definedName name="wrn.Exist." localSheetId="26" hidden="1">{"Exist1",#N/A,FALSE,"Exist";"exist2",#N/A,FALSE,"Exist"}</definedName>
    <definedName name="wrn.Exist." localSheetId="27" hidden="1">{"Exist1",#N/A,FALSE,"Exist";"exist2",#N/A,FALSE,"Exist"}</definedName>
    <definedName name="wrn.Exist." hidden="1">{"Exist1",#N/A,FALSE,"Exist";"exist2",#N/A,FALSE,"Exist"}</definedName>
    <definedName name="wrn.fixed._.assets." localSheetId="17"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5"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2"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2"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0"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1"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3"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8"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6"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27"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orecast._.Q1." localSheetId="17"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5"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2"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2"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0"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3"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8"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6"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7"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17"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5"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2"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2"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0"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3"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8"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6"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7"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5"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3"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8"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6"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17"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5"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2"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2"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0"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3"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8"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6"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7"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17"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5"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2"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2"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0"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3"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8"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6"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7"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5"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8"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6"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ull._.Report." localSheetId="17" hidden="1">{#N/A,#N/A,FALSE,"COVER";#N/A,#N/A,FALSE,"VALUATION";#N/A,#N/A,FALSE,"FORECAST";#N/A,#N/A,FALSE,"FY ANALYSIS ";#N/A,#N/A,FALSE," HY ANALYSIS"}</definedName>
    <definedName name="wrn.Full._.Report." localSheetId="15" hidden="1">{#N/A,#N/A,FALSE,"COVER";#N/A,#N/A,FALSE,"VALUATION";#N/A,#N/A,FALSE,"FORECAST";#N/A,#N/A,FALSE,"FY ANALYSIS ";#N/A,#N/A,FALSE," HY ANALYSIS"}</definedName>
    <definedName name="wrn.Full._.Report." localSheetId="12" hidden="1">{#N/A,#N/A,FALSE,"COVER";#N/A,#N/A,FALSE,"VALUATION";#N/A,#N/A,FALSE,"FORECAST";#N/A,#N/A,FALSE,"FY ANALYSIS ";#N/A,#N/A,FALSE," HY ANALYSIS"}</definedName>
    <definedName name="wrn.Full._.Report." localSheetId="22" hidden="1">{#N/A,#N/A,FALSE,"COVER";#N/A,#N/A,FALSE,"VALUATION";#N/A,#N/A,FALSE,"FORECAST";#N/A,#N/A,FALSE,"FY ANALYSIS ";#N/A,#N/A,FALSE," HY ANALYSIS"}</definedName>
    <definedName name="wrn.Full._.Report." localSheetId="20" hidden="1">{#N/A,#N/A,FALSE,"COVER";#N/A,#N/A,FALSE,"VALUATION";#N/A,#N/A,FALSE,"FORECAST";#N/A,#N/A,FALSE,"FY ANALYSIS ";#N/A,#N/A,FALSE," HY ANALYSIS"}</definedName>
    <definedName name="wrn.Full._.Report." localSheetId="21" hidden="1">{#N/A,#N/A,FALSE,"COVER";#N/A,#N/A,FALSE,"VALUATION";#N/A,#N/A,FALSE,"FORECAST";#N/A,#N/A,FALSE,"FY ANALYSIS ";#N/A,#N/A,FALSE," HY ANALYSIS"}</definedName>
    <definedName name="wrn.Full._.Report." localSheetId="23" hidden="1">{#N/A,#N/A,FALSE,"COVER";#N/A,#N/A,FALSE,"VALUATION";#N/A,#N/A,FALSE,"FORECAST";#N/A,#N/A,FALSE,"FY ANALYSIS ";#N/A,#N/A,FALSE," HY ANALYSIS"}</definedName>
    <definedName name="wrn.Full._.Report." localSheetId="1" hidden="1">{#N/A,#N/A,FALSE,"COVER";#N/A,#N/A,FALSE,"VALUATION";#N/A,#N/A,FALSE,"FORECAST";#N/A,#N/A,FALSE,"FY ANALYSIS ";#N/A,#N/A,FALSE," HY ANALYSIS"}</definedName>
    <definedName name="wrn.Full._.Report." localSheetId="28" hidden="1">{#N/A,#N/A,FALSE,"COVER";#N/A,#N/A,FALSE,"VALUATION";#N/A,#N/A,FALSE,"FORECAST";#N/A,#N/A,FALSE,"FY ANALYSIS ";#N/A,#N/A,FALSE," HY ANALYSIS"}</definedName>
    <definedName name="wrn.Full._.Report." localSheetId="26" hidden="1">{#N/A,#N/A,FALSE,"COVER";#N/A,#N/A,FALSE,"VALUATION";#N/A,#N/A,FALSE,"FORECAST";#N/A,#N/A,FALSE,"FY ANALYSIS ";#N/A,#N/A,FALSE," HY ANALYSIS"}</definedName>
    <definedName name="wrn.Full._.Report." localSheetId="27" hidden="1">{#N/A,#N/A,FALSE,"COVER";#N/A,#N/A,FALSE,"VALUATION";#N/A,#N/A,FALSE,"FORECAST";#N/A,#N/A,FALSE,"FY ANALYSIS ";#N/A,#N/A,FALSE," HY ANALYSIS"}</definedName>
    <definedName name="wrn.Full._.Report." hidden="1">{#N/A,#N/A,FALSE,"COVER";#N/A,#N/A,FALSE,"VALUATION";#N/A,#N/A,FALSE,"FORECAST";#N/A,#N/A,FALSE,"FY ANALYSIS ";#N/A,#N/A,FALSE," HY ANALYSIS"}</definedName>
    <definedName name="wrn.FY97SBP." localSheetId="17" hidden="1">{#N/A,#N/A,FALSE,"FY97";#N/A,#N/A,FALSE,"FY98";#N/A,#N/A,FALSE,"FY99";#N/A,#N/A,FALSE,"FY00";#N/A,#N/A,FALSE,"FY01"}</definedName>
    <definedName name="wrn.FY97SBP." localSheetId="15" hidden="1">{#N/A,#N/A,FALSE,"FY97";#N/A,#N/A,FALSE,"FY98";#N/A,#N/A,FALSE,"FY99";#N/A,#N/A,FALSE,"FY00";#N/A,#N/A,FALSE,"FY01"}</definedName>
    <definedName name="wrn.FY97SBP." localSheetId="12" hidden="1">{#N/A,#N/A,FALSE,"FY97";#N/A,#N/A,FALSE,"FY98";#N/A,#N/A,FALSE,"FY99";#N/A,#N/A,FALSE,"FY00";#N/A,#N/A,FALSE,"FY01"}</definedName>
    <definedName name="wrn.FY97SBP." localSheetId="22" hidden="1">{#N/A,#N/A,FALSE,"FY97";#N/A,#N/A,FALSE,"FY98";#N/A,#N/A,FALSE,"FY99";#N/A,#N/A,FALSE,"FY00";#N/A,#N/A,FALSE,"FY01"}</definedName>
    <definedName name="wrn.FY97SBP." localSheetId="20" hidden="1">{#N/A,#N/A,FALSE,"FY97";#N/A,#N/A,FALSE,"FY98";#N/A,#N/A,FALSE,"FY99";#N/A,#N/A,FALSE,"FY00";#N/A,#N/A,FALSE,"FY01"}</definedName>
    <definedName name="wrn.FY97SBP." localSheetId="21" hidden="1">{#N/A,#N/A,FALSE,"FY97";#N/A,#N/A,FALSE,"FY98";#N/A,#N/A,FALSE,"FY99";#N/A,#N/A,FALSE,"FY00";#N/A,#N/A,FALSE,"FY01"}</definedName>
    <definedName name="wrn.FY97SBP." localSheetId="23" hidden="1">{#N/A,#N/A,FALSE,"FY97";#N/A,#N/A,FALSE,"FY98";#N/A,#N/A,FALSE,"FY99";#N/A,#N/A,FALSE,"FY00";#N/A,#N/A,FALSE,"FY01"}</definedName>
    <definedName name="wrn.FY97SBP." localSheetId="1" hidden="1">{#N/A,#N/A,FALSE,"FY97";#N/A,#N/A,FALSE,"FY98";#N/A,#N/A,FALSE,"FY99";#N/A,#N/A,FALSE,"FY00";#N/A,#N/A,FALSE,"FY01"}</definedName>
    <definedName name="wrn.FY97SBP." localSheetId="28" hidden="1">{#N/A,#N/A,FALSE,"FY97";#N/A,#N/A,FALSE,"FY98";#N/A,#N/A,FALSE,"FY99";#N/A,#N/A,FALSE,"FY00";#N/A,#N/A,FALSE,"FY01"}</definedName>
    <definedName name="wrn.FY97SBP." localSheetId="26" hidden="1">{#N/A,#N/A,FALSE,"FY97";#N/A,#N/A,FALSE,"FY98";#N/A,#N/A,FALSE,"FY99";#N/A,#N/A,FALSE,"FY00";#N/A,#N/A,FALSE,"FY01"}</definedName>
    <definedName name="wrn.FY97SBP." localSheetId="27" hidden="1">{#N/A,#N/A,FALSE,"FY97";#N/A,#N/A,FALSE,"FY98";#N/A,#N/A,FALSE,"FY99";#N/A,#N/A,FALSE,"FY00";#N/A,#N/A,FALSE,"FY01"}</definedName>
    <definedName name="wrn.FY97SBP." hidden="1">{#N/A,#N/A,FALSE,"FY97";#N/A,#N/A,FALSE,"FY98";#N/A,#N/A,FALSE,"FY99";#N/A,#N/A,FALSE,"FY00";#N/A,#N/A,FALSE,"FY01"}</definedName>
    <definedName name="wrn.historical." localSheetId="1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5"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2"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0"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3"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27"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_.rev._.backup." localSheetId="17" hidden="1">{"rev_history_revenueDetail",#N/A,FALSE,"historical rev us";"rev_history_minutesDetail",#N/A,FALSE,"historical rev us"}</definedName>
    <definedName name="wrn.historical._.rev._.backup." localSheetId="15" hidden="1">{"rev_history_revenueDetail",#N/A,FALSE,"historical rev us";"rev_history_minutesDetail",#N/A,FALSE,"historical rev us"}</definedName>
    <definedName name="wrn.historical._.rev._.backup." localSheetId="12" hidden="1">{"rev_history_revenueDetail",#N/A,FALSE,"historical rev us";"rev_history_minutesDetail",#N/A,FALSE,"historical rev us"}</definedName>
    <definedName name="wrn.historical._.rev._.backup." localSheetId="22" hidden="1">{"rev_history_revenueDetail",#N/A,FALSE,"historical rev us";"rev_history_minutesDetail",#N/A,FALSE,"historical rev us"}</definedName>
    <definedName name="wrn.historical._.rev._.backup." localSheetId="20" hidden="1">{"rev_history_revenueDetail",#N/A,FALSE,"historical rev us";"rev_history_minutesDetail",#N/A,FALSE,"historical rev us"}</definedName>
    <definedName name="wrn.historical._.rev._.backup." localSheetId="21" hidden="1">{"rev_history_revenueDetail",#N/A,FALSE,"historical rev us";"rev_history_minutesDetail",#N/A,FALSE,"historical rev us"}</definedName>
    <definedName name="wrn.historical._.rev._.backup." localSheetId="23" hidden="1">{"rev_history_revenueDetail",#N/A,FALSE,"historical rev us";"rev_history_minutesDetail",#N/A,FALSE,"historical rev us"}</definedName>
    <definedName name="wrn.historical._.rev._.backup." localSheetId="1" hidden="1">{"rev_history_revenueDetail",#N/A,FALSE,"historical rev us";"rev_history_minutesDetail",#N/A,FALSE,"historical rev us"}</definedName>
    <definedName name="wrn.historical._.rev._.backup." localSheetId="28" hidden="1">{"rev_history_revenueDetail",#N/A,FALSE,"historical rev us";"rev_history_minutesDetail",#N/A,FALSE,"historical rev us"}</definedName>
    <definedName name="wrn.historical._.rev._.backup." localSheetId="26" hidden="1">{"rev_history_revenueDetail",#N/A,FALSE,"historical rev us";"rev_history_minutesDetail",#N/A,FALSE,"historical rev us"}</definedName>
    <definedName name="wrn.historical._.rev._.backup." localSheetId="27" hidden="1">{"rev_history_revenueDetail",#N/A,FALSE,"historical rev us";"rev_history_minutesDetail",#N/A,FALSE,"historical rev us"}</definedName>
    <definedName name="wrn.historical._.rev._.backup." hidden="1">{"rev_history_revenueDetail",#N/A,FALSE,"historical rev us";"rev_history_minutesDetail",#N/A,FALSE,"historical rev us"}</definedName>
    <definedName name="wrn.IGT._.Model." localSheetId="17" hidden="1">{#N/A,#N/A,TRUE,"IGT";#N/A,#N/A,TRUE,"IGTSLOT"}</definedName>
    <definedName name="wrn.IGT._.Model." localSheetId="15" hidden="1">{#N/A,#N/A,TRUE,"IGT";#N/A,#N/A,TRUE,"IGTSLOT"}</definedName>
    <definedName name="wrn.IGT._.Model." localSheetId="12" hidden="1">{#N/A,#N/A,TRUE,"IGT";#N/A,#N/A,TRUE,"IGTSLOT"}</definedName>
    <definedName name="wrn.IGT._.Model." localSheetId="22" hidden="1">{#N/A,#N/A,TRUE,"IGT";#N/A,#N/A,TRUE,"IGTSLOT"}</definedName>
    <definedName name="wrn.IGT._.Model." localSheetId="20" hidden="1">{#N/A,#N/A,TRUE,"IGT";#N/A,#N/A,TRUE,"IGTSLOT"}</definedName>
    <definedName name="wrn.IGT._.Model." localSheetId="21" hidden="1">{#N/A,#N/A,TRUE,"IGT";#N/A,#N/A,TRUE,"IGTSLOT"}</definedName>
    <definedName name="wrn.IGT._.Model." localSheetId="23" hidden="1">{#N/A,#N/A,TRUE,"IGT";#N/A,#N/A,TRUE,"IGTSLOT"}</definedName>
    <definedName name="wrn.IGT._.Model." localSheetId="1" hidden="1">{#N/A,#N/A,TRUE,"IGT";#N/A,#N/A,TRUE,"IGTSLOT"}</definedName>
    <definedName name="wrn.IGT._.Model." localSheetId="28" hidden="1">{#N/A,#N/A,TRUE,"IGT";#N/A,#N/A,TRUE,"IGTSLOT"}</definedName>
    <definedName name="wrn.IGT._.Model." localSheetId="26" hidden="1">{#N/A,#N/A,TRUE,"IGT";#N/A,#N/A,TRUE,"IGTSLOT"}</definedName>
    <definedName name="wrn.IGT._.Model." localSheetId="27" hidden="1">{#N/A,#N/A,TRUE,"IGT";#N/A,#N/A,TRUE,"IGTSLOT"}</definedName>
    <definedName name="wrn.IGT._.Model." hidden="1">{#N/A,#N/A,TRUE,"IGT";#N/A,#N/A,TRUE,"IGTSLOT"}</definedName>
    <definedName name="wrn.Income._.Q96." localSheetId="17" hidden="1">{#N/A,#N/A,FALSE,"Income Statement"}</definedName>
    <definedName name="wrn.Income._.Q96." localSheetId="15" hidden="1">{#N/A,#N/A,FALSE,"Income Statement"}</definedName>
    <definedName name="wrn.Income._.Q96." localSheetId="12" hidden="1">{#N/A,#N/A,FALSE,"Income Statement"}</definedName>
    <definedName name="wrn.Income._.Q96." localSheetId="22" hidden="1">{#N/A,#N/A,FALSE,"Income Statement"}</definedName>
    <definedName name="wrn.Income._.Q96." localSheetId="20" hidden="1">{#N/A,#N/A,FALSE,"Income Statement"}</definedName>
    <definedName name="wrn.Income._.Q96." localSheetId="21" hidden="1">{#N/A,#N/A,FALSE,"Income Statement"}</definedName>
    <definedName name="wrn.Income._.Q96." localSheetId="23" hidden="1">{#N/A,#N/A,FALSE,"Income Statement"}</definedName>
    <definedName name="wrn.Income._.Q96." localSheetId="1" hidden="1">{#N/A,#N/A,FALSE,"Income Statement"}</definedName>
    <definedName name="wrn.Income._.Q96." localSheetId="28" hidden="1">{#N/A,#N/A,FALSE,"Income Statement"}</definedName>
    <definedName name="wrn.Income._.Q96." localSheetId="26" hidden="1">{#N/A,#N/A,FALSE,"Income Statement"}</definedName>
    <definedName name="wrn.Income._.Q96." localSheetId="27" hidden="1">{#N/A,#N/A,FALSE,"Income Statement"}</definedName>
    <definedName name="wrn.Income._.Q96." hidden="1">{#N/A,#N/A,FALSE,"Income Statement"}</definedName>
    <definedName name="wrn.Income._.Q97." localSheetId="17" hidden="1">{#N/A,#N/A,FALSE,"Income Statement"}</definedName>
    <definedName name="wrn.Income._.Q97." localSheetId="15" hidden="1">{#N/A,#N/A,FALSE,"Income Statement"}</definedName>
    <definedName name="wrn.Income._.Q97." localSheetId="12" hidden="1">{#N/A,#N/A,FALSE,"Income Statement"}</definedName>
    <definedName name="wrn.Income._.Q97." localSheetId="22" hidden="1">{#N/A,#N/A,FALSE,"Income Statement"}</definedName>
    <definedName name="wrn.Income._.Q97." localSheetId="20" hidden="1">{#N/A,#N/A,FALSE,"Income Statement"}</definedName>
    <definedName name="wrn.Income._.Q97." localSheetId="21" hidden="1">{#N/A,#N/A,FALSE,"Income Statement"}</definedName>
    <definedName name="wrn.Income._.Q97." localSheetId="23" hidden="1">{#N/A,#N/A,FALSE,"Income Statement"}</definedName>
    <definedName name="wrn.Income._.Q97." localSheetId="1" hidden="1">{#N/A,#N/A,FALSE,"Income Statement"}</definedName>
    <definedName name="wrn.Income._.Q97." localSheetId="28" hidden="1">{#N/A,#N/A,FALSE,"Income Statement"}</definedName>
    <definedName name="wrn.Income._.Q97." localSheetId="26" hidden="1">{#N/A,#N/A,FALSE,"Income Statement"}</definedName>
    <definedName name="wrn.Income._.Q97." localSheetId="27" hidden="1">{#N/A,#N/A,FALSE,"Income Statement"}</definedName>
    <definedName name="wrn.Income._.Q97." hidden="1">{#N/A,#N/A,FALSE,"Income Statement"}</definedName>
    <definedName name="wrn.Income._.Statement." localSheetId="17" hidden="1">{"income statement",#N/A,FALSE,"ATLAS-A"}</definedName>
    <definedName name="wrn.Income._.Statement." localSheetId="15" hidden="1">{"income statement",#N/A,FALSE,"ATLAS-A"}</definedName>
    <definedName name="wrn.Income._.Statement." localSheetId="12" hidden="1">{"income statement",#N/A,FALSE,"ATLAS-A"}</definedName>
    <definedName name="wrn.Income._.Statement." localSheetId="22" hidden="1">{"income statement",#N/A,FALSE,"ATLAS-A"}</definedName>
    <definedName name="wrn.Income._.Statement." localSheetId="20" hidden="1">{"income statement",#N/A,FALSE,"ATLAS-A"}</definedName>
    <definedName name="wrn.Income._.Statement." localSheetId="21" hidden="1">{"income statement",#N/A,FALSE,"ATLAS-A"}</definedName>
    <definedName name="wrn.Income._.Statement." localSheetId="23" hidden="1">{"income statement",#N/A,FALSE,"ATLAS-A"}</definedName>
    <definedName name="wrn.Income._.Statement." localSheetId="1" hidden="1">{"income statement",#N/A,FALSE,"ATLAS-A"}</definedName>
    <definedName name="wrn.Income._.Statement." localSheetId="28" hidden="1">{"income statement",#N/A,FALSE,"ATLAS-A"}</definedName>
    <definedName name="wrn.Income._.Statement." localSheetId="26" hidden="1">{"income statement",#N/A,FALSE,"ATLAS-A"}</definedName>
    <definedName name="wrn.Income._.Statement." localSheetId="27" hidden="1">{"income statement",#N/A,FALSE,"ATLAS-A"}</definedName>
    <definedName name="wrn.Income._.Statement." hidden="1">{"income statement",#N/A,FALSE,"ATLAS-A"}</definedName>
    <definedName name="wrn.Income._.Stmt." localSheetId="17" hidden="1">{"Income Stmt",#N/A,FALSE,"Model"}</definedName>
    <definedName name="wrn.Income._.Stmt." localSheetId="15" hidden="1">{"Income Stmt",#N/A,FALSE,"Model"}</definedName>
    <definedName name="wrn.Income._.Stmt." localSheetId="12" hidden="1">{"Income Stmt",#N/A,FALSE,"Model"}</definedName>
    <definedName name="wrn.Income._.Stmt." localSheetId="22" hidden="1">{"Income Stmt",#N/A,FALSE,"Model"}</definedName>
    <definedName name="wrn.Income._.Stmt." localSheetId="20" hidden="1">{"Income Stmt",#N/A,FALSE,"Model"}</definedName>
    <definedName name="wrn.Income._.Stmt." localSheetId="21" hidden="1">{"Income Stmt",#N/A,FALSE,"Model"}</definedName>
    <definedName name="wrn.Income._.Stmt." localSheetId="23" hidden="1">{"Income Stmt",#N/A,FALSE,"Model"}</definedName>
    <definedName name="wrn.Income._.Stmt." localSheetId="1" hidden="1">{"Income Stmt",#N/A,FALSE,"Model"}</definedName>
    <definedName name="wrn.Income._.Stmt." localSheetId="28" hidden="1">{"Income Stmt",#N/A,FALSE,"Model"}</definedName>
    <definedName name="wrn.Income._.Stmt." localSheetId="26" hidden="1">{"Income Stmt",#N/A,FALSE,"Model"}</definedName>
    <definedName name="wrn.Income._.Stmt." localSheetId="27" hidden="1">{"Income Stmt",#N/A,FALSE,"Model"}</definedName>
    <definedName name="wrn.Income._.Stmt." hidden="1">{"Income Stmt",#N/A,FALSE,"Model"}</definedName>
    <definedName name="wrn.Income._.Years." localSheetId="17" hidden="1">{#N/A,#N/A,FALSE,"Income Statement"}</definedName>
    <definedName name="wrn.Income._.Years." localSheetId="15" hidden="1">{#N/A,#N/A,FALSE,"Income Statement"}</definedName>
    <definedName name="wrn.Income._.Years." localSheetId="12" hidden="1">{#N/A,#N/A,FALSE,"Income Statement"}</definedName>
    <definedName name="wrn.Income._.Years." localSheetId="22" hidden="1">{#N/A,#N/A,FALSE,"Income Statement"}</definedName>
    <definedName name="wrn.Income._.Years." localSheetId="20" hidden="1">{#N/A,#N/A,FALSE,"Income Statement"}</definedName>
    <definedName name="wrn.Income._.Years." localSheetId="21" hidden="1">{#N/A,#N/A,FALSE,"Income Statement"}</definedName>
    <definedName name="wrn.Income._.Years." localSheetId="23" hidden="1">{#N/A,#N/A,FALSE,"Income Statement"}</definedName>
    <definedName name="wrn.Income._.Years." localSheetId="1" hidden="1">{#N/A,#N/A,FALSE,"Income Statement"}</definedName>
    <definedName name="wrn.Income._.Years." localSheetId="28" hidden="1">{#N/A,#N/A,FALSE,"Income Statement"}</definedName>
    <definedName name="wrn.Income._.Years." localSheetId="26" hidden="1">{#N/A,#N/A,FALSE,"Income Statement"}</definedName>
    <definedName name="wrn.Income._.Years." localSheetId="27" hidden="1">{#N/A,#N/A,FALSE,"Income Statement"}</definedName>
    <definedName name="wrn.Income._.Years." hidden="1">{#N/A,#N/A,FALSE,"Income Statement"}</definedName>
    <definedName name="wrn.India." localSheetId="17" hidden="1">{"India",#N/A,FALSE,"India"}</definedName>
    <definedName name="wrn.India." localSheetId="15" hidden="1">{"India",#N/A,FALSE,"India"}</definedName>
    <definedName name="wrn.India." localSheetId="12" hidden="1">{"India",#N/A,FALSE,"India"}</definedName>
    <definedName name="wrn.India." localSheetId="22" hidden="1">{"India",#N/A,FALSE,"India"}</definedName>
    <definedName name="wrn.India." localSheetId="20" hidden="1">{"India",#N/A,FALSE,"India"}</definedName>
    <definedName name="wrn.India." localSheetId="21" hidden="1">{"India",#N/A,FALSE,"India"}</definedName>
    <definedName name="wrn.India." localSheetId="23" hidden="1">{"India",#N/A,FALSE,"India"}</definedName>
    <definedName name="wrn.India." localSheetId="1" hidden="1">{"India",#N/A,FALSE,"India"}</definedName>
    <definedName name="wrn.India." localSheetId="28" hidden="1">{"India",#N/A,FALSE,"India"}</definedName>
    <definedName name="wrn.India." localSheetId="26" hidden="1">{"India",#N/A,FALSE,"India"}</definedName>
    <definedName name="wrn.India." localSheetId="27" hidden="1">{"India",#N/A,FALSE,"India"}</definedName>
    <definedName name="wrn.India." hidden="1">{"India",#N/A,FALSE,"India"}</definedName>
    <definedName name="wrn.Industry.xls." localSheetId="17" hidden="1">{#N/A,#N/A,FALSE,"Earnings";#N/A,#N/A,FALSE,"Overview";#N/A,#N/A,FALSE,"Summary";#N/A,#N/A,FALSE,"Summary II";#N/A,#N/A,FALSE,"R&amp;D";#N/A,#N/A,FALSE,"R&amp;D Forecast";#N/A,#N/A,FALSE,"Tax Adj";#N/A,#N/A,FALSE,"Goodwill";#N/A,#N/A,FALSE,"FX ";#N/A,#N/A,FALSE,"Consolidation";#N/A,#N/A,FALSE,"Provisions"}</definedName>
    <definedName name="wrn.Industry.xls." localSheetId="15" hidden="1">{#N/A,#N/A,FALSE,"Earnings";#N/A,#N/A,FALSE,"Overview";#N/A,#N/A,FALSE,"Summary";#N/A,#N/A,FALSE,"Summary II";#N/A,#N/A,FALSE,"R&amp;D";#N/A,#N/A,FALSE,"R&amp;D Forecast";#N/A,#N/A,FALSE,"Tax Adj";#N/A,#N/A,FALSE,"Goodwill";#N/A,#N/A,FALSE,"FX ";#N/A,#N/A,FALSE,"Consolidation";#N/A,#N/A,FALSE,"Provisions"}</definedName>
    <definedName name="wrn.Industry.xls." localSheetId="12" hidden="1">{#N/A,#N/A,FALSE,"Earnings";#N/A,#N/A,FALSE,"Overview";#N/A,#N/A,FALSE,"Summary";#N/A,#N/A,FALSE,"Summary II";#N/A,#N/A,FALSE,"R&amp;D";#N/A,#N/A,FALSE,"R&amp;D Forecast";#N/A,#N/A,FALSE,"Tax Adj";#N/A,#N/A,FALSE,"Goodwill";#N/A,#N/A,FALSE,"FX ";#N/A,#N/A,FALSE,"Consolidation";#N/A,#N/A,FALSE,"Provisions"}</definedName>
    <definedName name="wrn.Industry.xls." localSheetId="22" hidden="1">{#N/A,#N/A,FALSE,"Earnings";#N/A,#N/A,FALSE,"Overview";#N/A,#N/A,FALSE,"Summary";#N/A,#N/A,FALSE,"Summary II";#N/A,#N/A,FALSE,"R&amp;D";#N/A,#N/A,FALSE,"R&amp;D Forecast";#N/A,#N/A,FALSE,"Tax Adj";#N/A,#N/A,FALSE,"Goodwill";#N/A,#N/A,FALSE,"FX ";#N/A,#N/A,FALSE,"Consolidation";#N/A,#N/A,FALSE,"Provisions"}</definedName>
    <definedName name="wrn.Industry.xls." localSheetId="20" hidden="1">{#N/A,#N/A,FALSE,"Earnings";#N/A,#N/A,FALSE,"Overview";#N/A,#N/A,FALSE,"Summary";#N/A,#N/A,FALSE,"Summary II";#N/A,#N/A,FALSE,"R&amp;D";#N/A,#N/A,FALSE,"R&amp;D Forecast";#N/A,#N/A,FALSE,"Tax Adj";#N/A,#N/A,FALSE,"Goodwill";#N/A,#N/A,FALSE,"FX ";#N/A,#N/A,FALSE,"Consolidation";#N/A,#N/A,FALSE,"Provisions"}</definedName>
    <definedName name="wrn.Industry.xls." localSheetId="21" hidden="1">{#N/A,#N/A,FALSE,"Earnings";#N/A,#N/A,FALSE,"Overview";#N/A,#N/A,FALSE,"Summary";#N/A,#N/A,FALSE,"Summary II";#N/A,#N/A,FALSE,"R&amp;D";#N/A,#N/A,FALSE,"R&amp;D Forecast";#N/A,#N/A,FALSE,"Tax Adj";#N/A,#N/A,FALSE,"Goodwill";#N/A,#N/A,FALSE,"FX ";#N/A,#N/A,FALSE,"Consolidation";#N/A,#N/A,FALSE,"Provisions"}</definedName>
    <definedName name="wrn.Industry.xls." localSheetId="23" hidden="1">{#N/A,#N/A,FALSE,"Earnings";#N/A,#N/A,FALSE,"Overview";#N/A,#N/A,FALSE,"Summary";#N/A,#N/A,FALSE,"Summary II";#N/A,#N/A,FALSE,"R&amp;D";#N/A,#N/A,FALSE,"R&amp;D Forecast";#N/A,#N/A,FALSE,"Tax Adj";#N/A,#N/A,FALSE,"Goodwill";#N/A,#N/A,FALSE,"FX ";#N/A,#N/A,FALSE,"Consolidation";#N/A,#N/A,FALSE,"Provisions"}</definedName>
    <definedName name="wrn.Industry.xls." localSheetId="1" hidden="1">{#N/A,#N/A,FALSE,"Earnings";#N/A,#N/A,FALSE,"Overview";#N/A,#N/A,FALSE,"Summary";#N/A,#N/A,FALSE,"Summary II";#N/A,#N/A,FALSE,"R&amp;D";#N/A,#N/A,FALSE,"R&amp;D Forecast";#N/A,#N/A,FALSE,"Tax Adj";#N/A,#N/A,FALSE,"Goodwill";#N/A,#N/A,FALSE,"FX ";#N/A,#N/A,FALSE,"Consolidation";#N/A,#N/A,FALSE,"Provisions"}</definedName>
    <definedName name="wrn.Industry.xls." localSheetId="28" hidden="1">{#N/A,#N/A,FALSE,"Earnings";#N/A,#N/A,FALSE,"Overview";#N/A,#N/A,FALSE,"Summary";#N/A,#N/A,FALSE,"Summary II";#N/A,#N/A,FALSE,"R&amp;D";#N/A,#N/A,FALSE,"R&amp;D Forecast";#N/A,#N/A,FALSE,"Tax Adj";#N/A,#N/A,FALSE,"Goodwill";#N/A,#N/A,FALSE,"FX ";#N/A,#N/A,FALSE,"Consolidation";#N/A,#N/A,FALSE,"Provisions"}</definedName>
    <definedName name="wrn.Industry.xls." localSheetId="26" hidden="1">{#N/A,#N/A,FALSE,"Earnings";#N/A,#N/A,FALSE,"Overview";#N/A,#N/A,FALSE,"Summary";#N/A,#N/A,FALSE,"Summary II";#N/A,#N/A,FALSE,"R&amp;D";#N/A,#N/A,FALSE,"R&amp;D Forecast";#N/A,#N/A,FALSE,"Tax Adj";#N/A,#N/A,FALSE,"Goodwill";#N/A,#N/A,FALSE,"FX ";#N/A,#N/A,FALSE,"Consolidation";#N/A,#N/A,FALSE,"Provisions"}</definedName>
    <definedName name="wrn.Industry.xls." localSheetId="27"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l._.is." localSheetId="17" hidden="1">{"Internal is",#N/A,FALSE,"Model"}</definedName>
    <definedName name="wrn.Internal._.is." localSheetId="15" hidden="1">{"Internal is",#N/A,FALSE,"Model"}</definedName>
    <definedName name="wrn.Internal._.is." localSheetId="12" hidden="1">{"Internal is",#N/A,FALSE,"Model"}</definedName>
    <definedName name="wrn.Internal._.is." localSheetId="22" hidden="1">{"Internal is",#N/A,FALSE,"Model"}</definedName>
    <definedName name="wrn.Internal._.is." localSheetId="20" hidden="1">{"Internal is",#N/A,FALSE,"Model"}</definedName>
    <definedName name="wrn.Internal._.is." localSheetId="21" hidden="1">{"Internal is",#N/A,FALSE,"Model"}</definedName>
    <definedName name="wrn.Internal._.is." localSheetId="23" hidden="1">{"Internal is",#N/A,FALSE,"Model"}</definedName>
    <definedName name="wrn.Internal._.is." localSheetId="1" hidden="1">{"Internal is",#N/A,FALSE,"Model"}</definedName>
    <definedName name="wrn.Internal._.is." localSheetId="28" hidden="1">{"Internal is",#N/A,FALSE,"Model"}</definedName>
    <definedName name="wrn.Internal._.is." localSheetId="26" hidden="1">{"Internal is",#N/A,FALSE,"Model"}</definedName>
    <definedName name="wrn.Internal._.is." localSheetId="27" hidden="1">{"Internal is",#N/A,FALSE,"Model"}</definedName>
    <definedName name="wrn.Internal._.is." hidden="1">{"Internal is",#N/A,FALSE,"Model"}</definedName>
    <definedName name="wrn.IS._.All." localSheetId="17" hidden="1">{"IS Q95",#N/A,FALSE,"C";"IS Q96",#N/A,FALSE,"C";"IS Years",#N/A,FALSE,"C"}</definedName>
    <definedName name="wrn.IS._.All." localSheetId="15" hidden="1">{"IS Q95",#N/A,FALSE,"C";"IS Q96",#N/A,FALSE,"C";"IS Years",#N/A,FALSE,"C"}</definedName>
    <definedName name="wrn.IS._.All." localSheetId="12" hidden="1">{"IS Q95",#N/A,FALSE,"C";"IS Q96",#N/A,FALSE,"C";"IS Years",#N/A,FALSE,"C"}</definedName>
    <definedName name="wrn.IS._.All." localSheetId="22" hidden="1">{"IS Q95",#N/A,FALSE,"C";"IS Q96",#N/A,FALSE,"C";"IS Years",#N/A,FALSE,"C"}</definedName>
    <definedName name="wrn.IS._.All." localSheetId="20" hidden="1">{"IS Q95",#N/A,FALSE,"C";"IS Q96",#N/A,FALSE,"C";"IS Years",#N/A,FALSE,"C"}</definedName>
    <definedName name="wrn.IS._.All." localSheetId="21" hidden="1">{"IS Q95",#N/A,FALSE,"C";"IS Q96",#N/A,FALSE,"C";"IS Years",#N/A,FALSE,"C"}</definedName>
    <definedName name="wrn.IS._.All." localSheetId="23" hidden="1">{"IS Q95",#N/A,FALSE,"C";"IS Q96",#N/A,FALSE,"C";"IS Years",#N/A,FALSE,"C"}</definedName>
    <definedName name="wrn.IS._.All." localSheetId="1" hidden="1">{"IS Q95",#N/A,FALSE,"C";"IS Q96",#N/A,FALSE,"C";"IS Years",#N/A,FALSE,"C"}</definedName>
    <definedName name="wrn.IS._.All." localSheetId="28" hidden="1">{"IS Q95",#N/A,FALSE,"C";"IS Q96",#N/A,FALSE,"C";"IS Years",#N/A,FALSE,"C"}</definedName>
    <definedName name="wrn.IS._.All." localSheetId="26" hidden="1">{"IS Q95",#N/A,FALSE,"C";"IS Q96",#N/A,FALSE,"C";"IS Years",#N/A,FALSE,"C"}</definedName>
    <definedName name="wrn.IS._.All." localSheetId="27" hidden="1">{"IS Q95",#N/A,FALSE,"C";"IS Q96",#N/A,FALSE,"C";"IS Years",#N/A,FALSE,"C"}</definedName>
    <definedName name="wrn.IS._.All." hidden="1">{"IS Q95",#N/A,FALSE,"C";"IS Q96",#N/A,FALSE,"C";"IS Years",#N/A,FALSE,"C"}</definedName>
    <definedName name="wrn.IS._.Annual." localSheetId="17" hidden="1">{"IS Annual",#N/A,FALSE,"Income Statement"}</definedName>
    <definedName name="wrn.IS._.Annual." localSheetId="15" hidden="1">{"IS Annual",#N/A,FALSE,"Income Statement"}</definedName>
    <definedName name="wrn.IS._.Annual." localSheetId="12" hidden="1">{"IS Annual",#N/A,FALSE,"Income Statement"}</definedName>
    <definedName name="wrn.IS._.Annual." localSheetId="22" hidden="1">{"IS Annual",#N/A,FALSE,"Income Statement"}</definedName>
    <definedName name="wrn.IS._.Annual." localSheetId="20" hidden="1">{"IS Annual",#N/A,FALSE,"Income Statement"}</definedName>
    <definedName name="wrn.IS._.Annual." localSheetId="21" hidden="1">{"IS Annual",#N/A,FALSE,"Income Statement"}</definedName>
    <definedName name="wrn.IS._.Annual." localSheetId="23" hidden="1">{"IS Annual",#N/A,FALSE,"Income Statement"}</definedName>
    <definedName name="wrn.IS._.Annual." localSheetId="1" hidden="1">{"IS Annual",#N/A,FALSE,"Income Statement"}</definedName>
    <definedName name="wrn.IS._.Annual." localSheetId="28" hidden="1">{"IS Annual",#N/A,FALSE,"Income Statement"}</definedName>
    <definedName name="wrn.IS._.Annual." localSheetId="26" hidden="1">{"IS Annual",#N/A,FALSE,"Income Statement"}</definedName>
    <definedName name="wrn.IS._.Annual." localSheetId="27" hidden="1">{"IS Annual",#N/A,FALSE,"Income Statement"}</definedName>
    <definedName name="wrn.IS._.Annual." hidden="1">{"IS Annual",#N/A,FALSE,"Income Statement"}</definedName>
    <definedName name="wrn.IS._.Q._.96." localSheetId="17" hidden="1">{"IS Q 96",#N/A,FALSE,"C"}</definedName>
    <definedName name="wrn.IS._.Q._.96." localSheetId="15" hidden="1">{"IS Q 96",#N/A,FALSE,"C"}</definedName>
    <definedName name="wrn.IS._.Q._.96." localSheetId="12" hidden="1">{"IS Q 96",#N/A,FALSE,"C"}</definedName>
    <definedName name="wrn.IS._.Q._.96." localSheetId="22" hidden="1">{"IS Q 96",#N/A,FALSE,"C"}</definedName>
    <definedName name="wrn.IS._.Q._.96." localSheetId="20" hidden="1">{"IS Q 96",#N/A,FALSE,"C"}</definedName>
    <definedName name="wrn.IS._.Q._.96." localSheetId="21" hidden="1">{"IS Q 96",#N/A,FALSE,"C"}</definedName>
    <definedName name="wrn.IS._.Q._.96." localSheetId="23" hidden="1">{"IS Q 96",#N/A,FALSE,"C"}</definedName>
    <definedName name="wrn.IS._.Q._.96." localSheetId="1" hidden="1">{"IS Q 96",#N/A,FALSE,"C"}</definedName>
    <definedName name="wrn.IS._.Q._.96." localSheetId="28" hidden="1">{"IS Q 96",#N/A,FALSE,"C"}</definedName>
    <definedName name="wrn.IS._.Q._.96." localSheetId="26" hidden="1">{"IS Q 96",#N/A,FALSE,"C"}</definedName>
    <definedName name="wrn.IS._.Q._.96." localSheetId="27" hidden="1">{"IS Q 96",#N/A,FALSE,"C"}</definedName>
    <definedName name="wrn.IS._.Q._.96." hidden="1">{"IS Q 96",#N/A,FALSE,"C"}</definedName>
    <definedName name="wrn.IS._.Q95." localSheetId="17" hidden="1">{"IS Q95",#N/A,FALSE,"C"}</definedName>
    <definedName name="wrn.IS._.Q95." localSheetId="15" hidden="1">{"IS Q95",#N/A,FALSE,"C"}</definedName>
    <definedName name="wrn.IS._.Q95." localSheetId="12" hidden="1">{"IS Q95",#N/A,FALSE,"C"}</definedName>
    <definedName name="wrn.IS._.Q95." localSheetId="22" hidden="1">{"IS Q95",#N/A,FALSE,"C"}</definedName>
    <definedName name="wrn.IS._.Q95." localSheetId="20" hidden="1">{"IS Q95",#N/A,FALSE,"C"}</definedName>
    <definedName name="wrn.IS._.Q95." localSheetId="21" hidden="1">{"IS Q95",#N/A,FALSE,"C"}</definedName>
    <definedName name="wrn.IS._.Q95." localSheetId="23" hidden="1">{"IS Q95",#N/A,FALSE,"C"}</definedName>
    <definedName name="wrn.IS._.Q95." localSheetId="1" hidden="1">{"IS Q95",#N/A,FALSE,"C"}</definedName>
    <definedName name="wrn.IS._.Q95." localSheetId="28" hidden="1">{"IS Q95",#N/A,FALSE,"C"}</definedName>
    <definedName name="wrn.IS._.Q95." localSheetId="26" hidden="1">{"IS Q95",#N/A,FALSE,"C"}</definedName>
    <definedName name="wrn.IS._.Q95." localSheetId="27" hidden="1">{"IS Q95",#N/A,FALSE,"C"}</definedName>
    <definedName name="wrn.IS._.Q95." hidden="1">{"IS Q95",#N/A,FALSE,"C"}</definedName>
    <definedName name="wrn.IS._.Q96." localSheetId="17" hidden="1">{"IS Q96",#N/A,FALSE,"C"}</definedName>
    <definedName name="wrn.IS._.Q96." localSheetId="15" hidden="1">{"IS Q96",#N/A,FALSE,"C"}</definedName>
    <definedName name="wrn.IS._.Q96." localSheetId="12" hidden="1">{"IS Q96",#N/A,FALSE,"C"}</definedName>
    <definedName name="wrn.IS._.Q96." localSheetId="22" hidden="1">{"IS Q96",#N/A,FALSE,"C"}</definedName>
    <definedName name="wrn.IS._.Q96." localSheetId="20" hidden="1">{"IS Q96",#N/A,FALSE,"C"}</definedName>
    <definedName name="wrn.IS._.Q96." localSheetId="21" hidden="1">{"IS Q96",#N/A,FALSE,"C"}</definedName>
    <definedName name="wrn.IS._.Q96." localSheetId="23" hidden="1">{"IS Q96",#N/A,FALSE,"C"}</definedName>
    <definedName name="wrn.IS._.Q96." localSheetId="1" hidden="1">{"IS Q96",#N/A,FALSE,"C"}</definedName>
    <definedName name="wrn.IS._.Q96." localSheetId="28" hidden="1">{"IS Q96",#N/A,FALSE,"C"}</definedName>
    <definedName name="wrn.IS._.Q96." localSheetId="26" hidden="1">{"IS Q96",#N/A,FALSE,"C"}</definedName>
    <definedName name="wrn.IS._.Q96." localSheetId="27" hidden="1">{"IS Q96",#N/A,FALSE,"C"}</definedName>
    <definedName name="wrn.IS._.Q96." hidden="1">{"IS Q96",#N/A,FALSE,"C"}</definedName>
    <definedName name="wrn.IS._.Q97." localSheetId="17" hidden="1">{"IS Q97",#N/A,FALSE,"C"}</definedName>
    <definedName name="wrn.IS._.Q97." localSheetId="15" hidden="1">{"IS Q97",#N/A,FALSE,"C"}</definedName>
    <definedName name="wrn.IS._.Q97." localSheetId="12" hidden="1">{"IS Q97",#N/A,FALSE,"C"}</definedName>
    <definedName name="wrn.IS._.Q97." localSheetId="22" hidden="1">{"IS Q97",#N/A,FALSE,"C"}</definedName>
    <definedName name="wrn.IS._.Q97." localSheetId="20" hidden="1">{"IS Q97",#N/A,FALSE,"C"}</definedName>
    <definedName name="wrn.IS._.Q97." localSheetId="21" hidden="1">{"IS Q97",#N/A,FALSE,"C"}</definedName>
    <definedName name="wrn.IS._.Q97." localSheetId="23" hidden="1">{"IS Q97",#N/A,FALSE,"C"}</definedName>
    <definedName name="wrn.IS._.Q97." localSheetId="1" hidden="1">{"IS Q97",#N/A,FALSE,"C"}</definedName>
    <definedName name="wrn.IS._.Q97." localSheetId="28" hidden="1">{"IS Q97",#N/A,FALSE,"C"}</definedName>
    <definedName name="wrn.IS._.Q97." localSheetId="26" hidden="1">{"IS Q97",#N/A,FALSE,"C"}</definedName>
    <definedName name="wrn.IS._.Q97." localSheetId="27" hidden="1">{"IS Q97",#N/A,FALSE,"C"}</definedName>
    <definedName name="wrn.IS._.Q97." hidden="1">{"IS Q97",#N/A,FALSE,"C"}</definedName>
    <definedName name="wrn.IS._.Qtr.." localSheetId="17" hidden="1">{"IS Qtr.",#N/A,FALSE,"Income Statement"}</definedName>
    <definedName name="wrn.IS._.Qtr.." localSheetId="15" hidden="1">{"IS Qtr.",#N/A,FALSE,"Income Statement"}</definedName>
    <definedName name="wrn.IS._.Qtr.." localSheetId="12" hidden="1">{"IS Qtr.",#N/A,FALSE,"Income Statement"}</definedName>
    <definedName name="wrn.IS._.Qtr.." localSheetId="22" hidden="1">{"IS Qtr.",#N/A,FALSE,"Income Statement"}</definedName>
    <definedName name="wrn.IS._.Qtr.." localSheetId="20" hidden="1">{"IS Qtr.",#N/A,FALSE,"Income Statement"}</definedName>
    <definedName name="wrn.IS._.Qtr.." localSheetId="21" hidden="1">{"IS Qtr.",#N/A,FALSE,"Income Statement"}</definedName>
    <definedName name="wrn.IS._.Qtr.." localSheetId="23" hidden="1">{"IS Qtr.",#N/A,FALSE,"Income Statement"}</definedName>
    <definedName name="wrn.IS._.Qtr.." localSheetId="1" hidden="1">{"IS Qtr.",#N/A,FALSE,"Income Statement"}</definedName>
    <definedName name="wrn.IS._.Qtr.." localSheetId="28" hidden="1">{"IS Qtr.",#N/A,FALSE,"Income Statement"}</definedName>
    <definedName name="wrn.IS._.Qtr.." localSheetId="26" hidden="1">{"IS Qtr.",#N/A,FALSE,"Income Statement"}</definedName>
    <definedName name="wrn.IS._.Qtr.." localSheetId="27" hidden="1">{"IS Qtr.",#N/A,FALSE,"Income Statement"}</definedName>
    <definedName name="wrn.IS._.Qtr.." hidden="1">{"IS Qtr.",#N/A,FALSE,"Income Statement"}</definedName>
    <definedName name="wrn.IS._.Quarterly." localSheetId="17" hidden="1">{"IS 96Q",#N/A,FALSE,"Income Statement";"IS 97Q",#N/A,FALSE,"Income Statement"}</definedName>
    <definedName name="wrn.IS._.Quarterly." localSheetId="15" hidden="1">{"IS 96Q",#N/A,FALSE,"Income Statement";"IS 97Q",#N/A,FALSE,"Income Statement"}</definedName>
    <definedName name="wrn.IS._.Quarterly." localSheetId="12" hidden="1">{"IS 96Q",#N/A,FALSE,"Income Statement";"IS 97Q",#N/A,FALSE,"Income Statement"}</definedName>
    <definedName name="wrn.IS._.Quarterly." localSheetId="22" hidden="1">{"IS 96Q",#N/A,FALSE,"Income Statement";"IS 97Q",#N/A,FALSE,"Income Statement"}</definedName>
    <definedName name="wrn.IS._.Quarterly." localSheetId="20" hidden="1">{"IS 96Q",#N/A,FALSE,"Income Statement";"IS 97Q",#N/A,FALSE,"Income Statement"}</definedName>
    <definedName name="wrn.IS._.Quarterly." localSheetId="21" hidden="1">{"IS 96Q",#N/A,FALSE,"Income Statement";"IS 97Q",#N/A,FALSE,"Income Statement"}</definedName>
    <definedName name="wrn.IS._.Quarterly." localSheetId="23" hidden="1">{"IS 96Q",#N/A,FALSE,"Income Statement";"IS 97Q",#N/A,FALSE,"Income Statement"}</definedName>
    <definedName name="wrn.IS._.Quarterly." localSheetId="1" hidden="1">{"IS 96Q",#N/A,FALSE,"Income Statement";"IS 97Q",#N/A,FALSE,"Income Statement"}</definedName>
    <definedName name="wrn.IS._.Quarterly." localSheetId="28" hidden="1">{"IS 96Q",#N/A,FALSE,"Income Statement";"IS 97Q",#N/A,FALSE,"Income Statement"}</definedName>
    <definedName name="wrn.IS._.Quarterly." localSheetId="26" hidden="1">{"IS 96Q",#N/A,FALSE,"Income Statement";"IS 97Q",#N/A,FALSE,"Income Statement"}</definedName>
    <definedName name="wrn.IS._.Quarterly." localSheetId="27" hidden="1">{"IS 96Q",#N/A,FALSE,"Income Statement";"IS 97Q",#N/A,FALSE,"Income Statement"}</definedName>
    <definedName name="wrn.IS._.Quarterly." hidden="1">{"IS 96Q",#N/A,FALSE,"Income Statement";"IS 97Q",#N/A,FALSE,"Income Statement"}</definedName>
    <definedName name="wrn.IS._.Yearly." localSheetId="17" hidden="1">{"IS Years",#N/A,FALSE,"Income Statement"}</definedName>
    <definedName name="wrn.IS._.Yearly." localSheetId="15" hidden="1">{"IS Years",#N/A,FALSE,"Income Statement"}</definedName>
    <definedName name="wrn.IS._.Yearly." localSheetId="12" hidden="1">{"IS Years",#N/A,FALSE,"Income Statement"}</definedName>
    <definedName name="wrn.IS._.Yearly." localSheetId="22" hidden="1">{"IS Years",#N/A,FALSE,"Income Statement"}</definedName>
    <definedName name="wrn.IS._.Yearly." localSheetId="20" hidden="1">{"IS Years",#N/A,FALSE,"Income Statement"}</definedName>
    <definedName name="wrn.IS._.Yearly." localSheetId="21" hidden="1">{"IS Years",#N/A,FALSE,"Income Statement"}</definedName>
    <definedName name="wrn.IS._.Yearly." localSheetId="23" hidden="1">{"IS Years",#N/A,FALSE,"Income Statement"}</definedName>
    <definedName name="wrn.IS._.Yearly." localSheetId="1" hidden="1">{"IS Years",#N/A,FALSE,"Income Statement"}</definedName>
    <definedName name="wrn.IS._.Yearly." localSheetId="28" hidden="1">{"IS Years",#N/A,FALSE,"Income Statement"}</definedName>
    <definedName name="wrn.IS._.Yearly." localSheetId="26" hidden="1">{"IS Years",#N/A,FALSE,"Income Statement"}</definedName>
    <definedName name="wrn.IS._.Yearly." localSheetId="27" hidden="1">{"IS Years",#N/A,FALSE,"Income Statement"}</definedName>
    <definedName name="wrn.IS._.Yearly." hidden="1">{"IS Years",#N/A,FALSE,"Income Statement"}</definedName>
    <definedName name="wrn.IS._.Years." localSheetId="17" hidden="1">{"IS Years",#N/A,FALSE,"C"}</definedName>
    <definedName name="wrn.IS._.Years." localSheetId="15" hidden="1">{"IS Years",#N/A,FALSE,"C"}</definedName>
    <definedName name="wrn.IS._.Years." localSheetId="12" hidden="1">{"IS Years",#N/A,FALSE,"C"}</definedName>
    <definedName name="wrn.IS._.Years." localSheetId="22" hidden="1">{"IS Years",#N/A,FALSE,"C"}</definedName>
    <definedName name="wrn.IS._.Years." localSheetId="20" hidden="1">{"IS Years",#N/A,FALSE,"C"}</definedName>
    <definedName name="wrn.IS._.Years." localSheetId="21" hidden="1">{"IS Years",#N/A,FALSE,"C"}</definedName>
    <definedName name="wrn.IS._.Years." localSheetId="23" hidden="1">{"IS Years",#N/A,FALSE,"C"}</definedName>
    <definedName name="wrn.IS._.Years." localSheetId="1" hidden="1">{"IS Years",#N/A,FALSE,"C"}</definedName>
    <definedName name="wrn.IS._.Years." localSheetId="28" hidden="1">{"IS Years",#N/A,FALSE,"C"}</definedName>
    <definedName name="wrn.IS._.Years." localSheetId="26" hidden="1">{"IS Years",#N/A,FALSE,"C"}</definedName>
    <definedName name="wrn.IS._.Years." localSheetId="27" hidden="1">{"IS Years",#N/A,FALSE,"C"}</definedName>
    <definedName name="wrn.IS._.Years." hidden="1">{"IS Years",#N/A,FALSE,"C"}</definedName>
    <definedName name="wrn.JODM._.Graphs." localSheetId="17" hidden="1">{"graph",#N/A,FALSE,"WWJU";"graph",#N/A,FALSE,"WWSEM";"graph",#N/A,FALSE,"GOMJU";"graph",#N/A,FALSE,"GOMSEM";"graph",#N/A,FALSE,"NSJU";"graph",#N/A,FALSE,"NSSEM";"graph",#N/A,FALSE,"WAJU";"graph",#N/A,FALSE,"STOCKPRI";"graph",#N/A,FALSE,"CFTEV";"graph",#N/A,FALSE,"NAV-RCV";"graph",#N/A,FALSE,"CRUDEWW"}</definedName>
    <definedName name="wrn.JODM._.Graphs." localSheetId="15" hidden="1">{"graph",#N/A,FALSE,"WWJU";"graph",#N/A,FALSE,"WWSEM";"graph",#N/A,FALSE,"GOMJU";"graph",#N/A,FALSE,"GOMSEM";"graph",#N/A,FALSE,"NSJU";"graph",#N/A,FALSE,"NSSEM";"graph",#N/A,FALSE,"WAJU";"graph",#N/A,FALSE,"STOCKPRI";"graph",#N/A,FALSE,"CFTEV";"graph",#N/A,FALSE,"NAV-RCV";"graph",#N/A,FALSE,"CRUDEWW"}</definedName>
    <definedName name="wrn.JODM._.Graphs." localSheetId="12" hidden="1">{"graph",#N/A,FALSE,"WWJU";"graph",#N/A,FALSE,"WWSEM";"graph",#N/A,FALSE,"GOMJU";"graph",#N/A,FALSE,"GOMSEM";"graph",#N/A,FALSE,"NSJU";"graph",#N/A,FALSE,"NSSEM";"graph",#N/A,FALSE,"WAJU";"graph",#N/A,FALSE,"STOCKPRI";"graph",#N/A,FALSE,"CFTEV";"graph",#N/A,FALSE,"NAV-RCV";"graph",#N/A,FALSE,"CRUDEWW"}</definedName>
    <definedName name="wrn.JODM._.Graphs." localSheetId="22" hidden="1">{"graph",#N/A,FALSE,"WWJU";"graph",#N/A,FALSE,"WWSEM";"graph",#N/A,FALSE,"GOMJU";"graph",#N/A,FALSE,"GOMSEM";"graph",#N/A,FALSE,"NSJU";"graph",#N/A,FALSE,"NSSEM";"graph",#N/A,FALSE,"WAJU";"graph",#N/A,FALSE,"STOCKPRI";"graph",#N/A,FALSE,"CFTEV";"graph",#N/A,FALSE,"NAV-RCV";"graph",#N/A,FALSE,"CRUDEWW"}</definedName>
    <definedName name="wrn.JODM._.Graphs." localSheetId="20" hidden="1">{"graph",#N/A,FALSE,"WWJU";"graph",#N/A,FALSE,"WWSEM";"graph",#N/A,FALSE,"GOMJU";"graph",#N/A,FALSE,"GOMSEM";"graph",#N/A,FALSE,"NSJU";"graph",#N/A,FALSE,"NSSEM";"graph",#N/A,FALSE,"WAJU";"graph",#N/A,FALSE,"STOCKPRI";"graph",#N/A,FALSE,"CFTEV";"graph",#N/A,FALSE,"NAV-RCV";"graph",#N/A,FALSE,"CRUDEWW"}</definedName>
    <definedName name="wrn.JODM._.Graphs." localSheetId="21" hidden="1">{"graph",#N/A,FALSE,"WWJU";"graph",#N/A,FALSE,"WWSEM";"graph",#N/A,FALSE,"GOMJU";"graph",#N/A,FALSE,"GOMSEM";"graph",#N/A,FALSE,"NSJU";"graph",#N/A,FALSE,"NSSEM";"graph",#N/A,FALSE,"WAJU";"graph",#N/A,FALSE,"STOCKPRI";"graph",#N/A,FALSE,"CFTEV";"graph",#N/A,FALSE,"NAV-RCV";"graph",#N/A,FALSE,"CRUDEWW"}</definedName>
    <definedName name="wrn.JODM._.Graphs." localSheetId="23" hidden="1">{"graph",#N/A,FALSE,"WWJU";"graph",#N/A,FALSE,"WWSEM";"graph",#N/A,FALSE,"GOMJU";"graph",#N/A,FALSE,"GOMSEM";"graph",#N/A,FALSE,"NSJU";"graph",#N/A,FALSE,"NSSEM";"graph",#N/A,FALSE,"WAJU";"graph",#N/A,FALSE,"STOCKPRI";"graph",#N/A,FALSE,"CFTEV";"graph",#N/A,FALSE,"NAV-RCV";"graph",#N/A,FALSE,"CRUDEWW"}</definedName>
    <definedName name="wrn.JODM._.Graphs." localSheetId="1" hidden="1">{"graph",#N/A,FALSE,"WWJU";"graph",#N/A,FALSE,"WWSEM";"graph",#N/A,FALSE,"GOMJU";"graph",#N/A,FALSE,"GOMSEM";"graph",#N/A,FALSE,"NSJU";"graph",#N/A,FALSE,"NSSEM";"graph",#N/A,FALSE,"WAJU";"graph",#N/A,FALSE,"STOCKPRI";"graph",#N/A,FALSE,"CFTEV";"graph",#N/A,FALSE,"NAV-RCV";"graph",#N/A,FALSE,"CRUDEWW"}</definedName>
    <definedName name="wrn.JODM._.Graphs." localSheetId="28" hidden="1">{"graph",#N/A,FALSE,"WWJU";"graph",#N/A,FALSE,"WWSEM";"graph",#N/A,FALSE,"GOMJU";"graph",#N/A,FALSE,"GOMSEM";"graph",#N/A,FALSE,"NSJU";"graph",#N/A,FALSE,"NSSEM";"graph",#N/A,FALSE,"WAJU";"graph",#N/A,FALSE,"STOCKPRI";"graph",#N/A,FALSE,"CFTEV";"graph",#N/A,FALSE,"NAV-RCV";"graph",#N/A,FALSE,"CRUDEWW"}</definedName>
    <definedName name="wrn.JODM._.Graphs." localSheetId="26" hidden="1">{"graph",#N/A,FALSE,"WWJU";"graph",#N/A,FALSE,"WWSEM";"graph",#N/A,FALSE,"GOMJU";"graph",#N/A,FALSE,"GOMSEM";"graph",#N/A,FALSE,"NSJU";"graph",#N/A,FALSE,"NSSEM";"graph",#N/A,FALSE,"WAJU";"graph",#N/A,FALSE,"STOCKPRI";"graph",#N/A,FALSE,"CFTEV";"graph",#N/A,FALSE,"NAV-RCV";"graph",#N/A,FALSE,"CRUDEWW"}</definedName>
    <definedName name="wrn.JODM._.Graphs." localSheetId="27"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Leases.xls." localSheetId="17" hidden="1">{#N/A,#N/A,FALSE,"Initial Year";#N/A,#N/A,FALSE,"Historical";#N/A,#N/A,FALSE,"balsheet";#N/A,#N/A,FALSE,"incstate";#N/A,#N/A,FALSE,"Fleet"}</definedName>
    <definedName name="wrn.Leases.xls." localSheetId="15" hidden="1">{#N/A,#N/A,FALSE,"Initial Year";#N/A,#N/A,FALSE,"Historical";#N/A,#N/A,FALSE,"balsheet";#N/A,#N/A,FALSE,"incstate";#N/A,#N/A,FALSE,"Fleet"}</definedName>
    <definedName name="wrn.Leases.xls." localSheetId="12" hidden="1">{#N/A,#N/A,FALSE,"Initial Year";#N/A,#N/A,FALSE,"Historical";#N/A,#N/A,FALSE,"balsheet";#N/A,#N/A,FALSE,"incstate";#N/A,#N/A,FALSE,"Fleet"}</definedName>
    <definedName name="wrn.Leases.xls." localSheetId="22" hidden="1">{#N/A,#N/A,FALSE,"Initial Year";#N/A,#N/A,FALSE,"Historical";#N/A,#N/A,FALSE,"balsheet";#N/A,#N/A,FALSE,"incstate";#N/A,#N/A,FALSE,"Fleet"}</definedName>
    <definedName name="wrn.Leases.xls." localSheetId="20" hidden="1">{#N/A,#N/A,FALSE,"Initial Year";#N/A,#N/A,FALSE,"Historical";#N/A,#N/A,FALSE,"balsheet";#N/A,#N/A,FALSE,"incstate";#N/A,#N/A,FALSE,"Fleet"}</definedName>
    <definedName name="wrn.Leases.xls." localSheetId="21" hidden="1">{#N/A,#N/A,FALSE,"Initial Year";#N/A,#N/A,FALSE,"Historical";#N/A,#N/A,FALSE,"balsheet";#N/A,#N/A,FALSE,"incstate";#N/A,#N/A,FALSE,"Fleet"}</definedName>
    <definedName name="wrn.Leases.xls." localSheetId="23" hidden="1">{#N/A,#N/A,FALSE,"Initial Year";#N/A,#N/A,FALSE,"Historical";#N/A,#N/A,FALSE,"balsheet";#N/A,#N/A,FALSE,"incstate";#N/A,#N/A,FALSE,"Fleet"}</definedName>
    <definedName name="wrn.Leases.xls." localSheetId="1" hidden="1">{#N/A,#N/A,FALSE,"Initial Year";#N/A,#N/A,FALSE,"Historical";#N/A,#N/A,FALSE,"balsheet";#N/A,#N/A,FALSE,"incstate";#N/A,#N/A,FALSE,"Fleet"}</definedName>
    <definedName name="wrn.Leases.xls." localSheetId="28" hidden="1">{#N/A,#N/A,FALSE,"Initial Year";#N/A,#N/A,FALSE,"Historical";#N/A,#N/A,FALSE,"balsheet";#N/A,#N/A,FALSE,"incstate";#N/A,#N/A,FALSE,"Fleet"}</definedName>
    <definedName name="wrn.Leases.xls." localSheetId="26" hidden="1">{#N/A,#N/A,FALSE,"Initial Year";#N/A,#N/A,FALSE,"Historical";#N/A,#N/A,FALSE,"balsheet";#N/A,#N/A,FALSE,"incstate";#N/A,#N/A,FALSE,"Fleet"}</definedName>
    <definedName name="wrn.Leases.xls." localSheetId="27" hidden="1">{#N/A,#N/A,FALSE,"Initial Year";#N/A,#N/A,FALSE,"Historical";#N/A,#N/A,FALSE,"balsheet";#N/A,#N/A,FALSE,"incstate";#N/A,#N/A,FALSE,"Fleet"}</definedName>
    <definedName name="wrn.Leases.xls." hidden="1">{#N/A,#N/A,FALSE,"Initial Year";#N/A,#N/A,FALSE,"Historical";#N/A,#N/A,FALSE,"balsheet";#N/A,#N/A,FALSE,"incstate";#N/A,#N/A,FALSE,"Fleet"}</definedName>
    <definedName name="wrn.Lodging." localSheetId="17" hidden="1">{#N/A,#N/A,FALSE,"EPS";#N/A,#N/A,FALSE,"EBITDA"}</definedName>
    <definedName name="wrn.Lodging." localSheetId="15" hidden="1">{#N/A,#N/A,FALSE,"EPS";#N/A,#N/A,FALSE,"EBITDA"}</definedName>
    <definedName name="wrn.Lodging." localSheetId="12" hidden="1">{#N/A,#N/A,FALSE,"EPS";#N/A,#N/A,FALSE,"EBITDA"}</definedName>
    <definedName name="wrn.Lodging." localSheetId="22" hidden="1">{#N/A,#N/A,FALSE,"EPS";#N/A,#N/A,FALSE,"EBITDA"}</definedName>
    <definedName name="wrn.Lodging." localSheetId="20" hidden="1">{#N/A,#N/A,FALSE,"EPS";#N/A,#N/A,FALSE,"EBITDA"}</definedName>
    <definedName name="wrn.Lodging." localSheetId="21" hidden="1">{#N/A,#N/A,FALSE,"EPS";#N/A,#N/A,FALSE,"EBITDA"}</definedName>
    <definedName name="wrn.Lodging." localSheetId="23" hidden="1">{#N/A,#N/A,FALSE,"EPS";#N/A,#N/A,FALSE,"EBITDA"}</definedName>
    <definedName name="wrn.Lodging." localSheetId="1" hidden="1">{#N/A,#N/A,FALSE,"EPS";#N/A,#N/A,FALSE,"EBITDA"}</definedName>
    <definedName name="wrn.Lodging." localSheetId="28" hidden="1">{#N/A,#N/A,FALSE,"EPS";#N/A,#N/A,FALSE,"EBITDA"}</definedName>
    <definedName name="wrn.Lodging." localSheetId="26" hidden="1">{#N/A,#N/A,FALSE,"EPS";#N/A,#N/A,FALSE,"EBITDA"}</definedName>
    <definedName name="wrn.Lodging." localSheetId="27" hidden="1">{#N/A,#N/A,FALSE,"EPS";#N/A,#N/A,FALSE,"EBITDA"}</definedName>
    <definedName name="wrn.Lodging." hidden="1">{#N/A,#N/A,FALSE,"EPS";#N/A,#N/A,FALSE,"EBITDA"}</definedName>
    <definedName name="wrn.Main._.Fields." localSheetId="1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5"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2"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2"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0"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6"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27"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rketing._.Programs." localSheetId="17" hidden="1">{"Marketing",#N/A,FALSE,"Marketing Programs"}</definedName>
    <definedName name="wrn.Marketing._.Programs." localSheetId="15" hidden="1">{"Marketing",#N/A,FALSE,"Marketing Programs"}</definedName>
    <definedName name="wrn.Marketing._.Programs." localSheetId="12" hidden="1">{"Marketing",#N/A,FALSE,"Marketing Programs"}</definedName>
    <definedName name="wrn.Marketing._.Programs." localSheetId="22" hidden="1">{"Marketing",#N/A,FALSE,"Marketing Programs"}</definedName>
    <definedName name="wrn.Marketing._.Programs." localSheetId="20" hidden="1">{"Marketing",#N/A,FALSE,"Marketing Programs"}</definedName>
    <definedName name="wrn.Marketing._.Programs." localSheetId="21" hidden="1">{"Marketing",#N/A,FALSE,"Marketing Programs"}</definedName>
    <definedName name="wrn.Marketing._.Programs." localSheetId="23" hidden="1">{"Marketing",#N/A,FALSE,"Marketing Programs"}</definedName>
    <definedName name="wrn.Marketing._.Programs." localSheetId="1" hidden="1">{"Marketing",#N/A,FALSE,"Marketing Programs"}</definedName>
    <definedName name="wrn.Marketing._.Programs." localSheetId="28" hidden="1">{"Marketing",#N/A,FALSE,"Marketing Programs"}</definedName>
    <definedName name="wrn.Marketing._.Programs." localSheetId="26" hidden="1">{"Marketing",#N/A,FALSE,"Marketing Programs"}</definedName>
    <definedName name="wrn.Marketing._.Programs." localSheetId="27" hidden="1">{"Marketing",#N/A,FALSE,"Marketing Programs"}</definedName>
    <definedName name="wrn.Marketing._.Programs." hidden="1">{"Marketing",#N/A,FALSE,"Marketing Programs"}</definedName>
    <definedName name="wrn.mirBellagio." localSheetId="17" hidden="1">{#N/A,#N/A,FALSE,"MIR";#N/A,#N/A,FALSE,"NYNY"}</definedName>
    <definedName name="wrn.mirBellagio." localSheetId="15" hidden="1">{#N/A,#N/A,FALSE,"MIR";#N/A,#N/A,FALSE,"NYNY"}</definedName>
    <definedName name="wrn.mirBellagio." localSheetId="12" hidden="1">{#N/A,#N/A,FALSE,"MIR";#N/A,#N/A,FALSE,"NYNY"}</definedName>
    <definedName name="wrn.mirBellagio." localSheetId="22" hidden="1">{#N/A,#N/A,FALSE,"MIR";#N/A,#N/A,FALSE,"NYNY"}</definedName>
    <definedName name="wrn.mirBellagio." localSheetId="20" hidden="1">{#N/A,#N/A,FALSE,"MIR";#N/A,#N/A,FALSE,"NYNY"}</definedName>
    <definedName name="wrn.mirBellagio." localSheetId="21" hidden="1">{#N/A,#N/A,FALSE,"MIR";#N/A,#N/A,FALSE,"NYNY"}</definedName>
    <definedName name="wrn.mirBellagio." localSheetId="23" hidden="1">{#N/A,#N/A,FALSE,"MIR";#N/A,#N/A,FALSE,"NYNY"}</definedName>
    <definedName name="wrn.mirBellagio." localSheetId="1" hidden="1">{#N/A,#N/A,FALSE,"MIR";#N/A,#N/A,FALSE,"NYNY"}</definedName>
    <definedName name="wrn.mirBellagio." localSheetId="28" hidden="1">{#N/A,#N/A,FALSE,"MIR";#N/A,#N/A,FALSE,"NYNY"}</definedName>
    <definedName name="wrn.mirBellagio." localSheetId="26" hidden="1">{#N/A,#N/A,FALSE,"MIR";#N/A,#N/A,FALSE,"NYNY"}</definedName>
    <definedName name="wrn.mirBellagio." localSheetId="27" hidden="1">{#N/A,#N/A,FALSE,"MIR";#N/A,#N/A,FALSE,"NYNY"}</definedName>
    <definedName name="wrn.mirBellagio." hidden="1">{#N/A,#N/A,FALSE,"MIR";#N/A,#N/A,FALSE,"NYNY"}</definedName>
    <definedName name="wrn.MOBIL." localSheetId="17" hidden="1">{"quarter",#N/A,FALSE,"MOB"}</definedName>
    <definedName name="wrn.MOBIL." localSheetId="15" hidden="1">{"quarter",#N/A,FALSE,"MOB"}</definedName>
    <definedName name="wrn.MOBIL." localSheetId="12" hidden="1">{"quarter",#N/A,FALSE,"MOB"}</definedName>
    <definedName name="wrn.MOBIL." localSheetId="22" hidden="1">{"quarter",#N/A,FALSE,"MOB"}</definedName>
    <definedName name="wrn.MOBIL." localSheetId="20" hidden="1">{"quarter",#N/A,FALSE,"MOB"}</definedName>
    <definedName name="wrn.MOBIL." localSheetId="21" hidden="1">{"quarter",#N/A,FALSE,"MOB"}</definedName>
    <definedName name="wrn.MOBIL." localSheetId="23" hidden="1">{"quarter",#N/A,FALSE,"MOB"}</definedName>
    <definedName name="wrn.MOBIL." localSheetId="1" hidden="1">{"quarter",#N/A,FALSE,"MOB"}</definedName>
    <definedName name="wrn.MOBIL." localSheetId="28" hidden="1">{"quarter",#N/A,FALSE,"MOB"}</definedName>
    <definedName name="wrn.MOBIL." localSheetId="26" hidden="1">{"quarter",#N/A,FALSE,"MOB"}</definedName>
    <definedName name="wrn.MOBIL." localSheetId="27" hidden="1">{"quarter",#N/A,FALSE,"MOB"}</definedName>
    <definedName name="wrn.MOBIL." hidden="1">{"quarter",#N/A,FALSE,"MOB"}</definedName>
    <definedName name="wrn.Model." localSheetId="17" hidden="1">{#N/A,#N/A,FALSE,"PRH";#N/A,#N/A,FALSE,"Units"}</definedName>
    <definedName name="wrn.Model." localSheetId="15" hidden="1">{#N/A,#N/A,FALSE,"PRH";#N/A,#N/A,FALSE,"Units"}</definedName>
    <definedName name="wrn.Model." localSheetId="12" hidden="1">{#N/A,#N/A,FALSE,"PRH";#N/A,#N/A,FALSE,"Units"}</definedName>
    <definedName name="wrn.Model." localSheetId="22" hidden="1">{#N/A,#N/A,FALSE,"PRH";#N/A,#N/A,FALSE,"Units"}</definedName>
    <definedName name="wrn.Model." localSheetId="20" hidden="1">{#N/A,#N/A,FALSE,"PRH";#N/A,#N/A,FALSE,"Units"}</definedName>
    <definedName name="wrn.Model." localSheetId="21" hidden="1">{#N/A,#N/A,FALSE,"PRH";#N/A,#N/A,FALSE,"Units"}</definedName>
    <definedName name="wrn.Model." localSheetId="23" hidden="1">{#N/A,#N/A,FALSE,"PRH";#N/A,#N/A,FALSE,"Units"}</definedName>
    <definedName name="wrn.Model." localSheetId="1" hidden="1">{#N/A,#N/A,FALSE,"PRH";#N/A,#N/A,FALSE,"Units"}</definedName>
    <definedName name="wrn.Model." localSheetId="28" hidden="1">{#N/A,#N/A,FALSE,"PRH";#N/A,#N/A,FALSE,"Units"}</definedName>
    <definedName name="wrn.Model." localSheetId="26" hidden="1">{#N/A,#N/A,FALSE,"PRH";#N/A,#N/A,FALSE,"Units"}</definedName>
    <definedName name="wrn.Model." localSheetId="27" hidden="1">{#N/A,#N/A,FALSE,"PRH";#N/A,#N/A,FALSE,"Units"}</definedName>
    <definedName name="wrn.Model." hidden="1">{#N/A,#N/A,FALSE,"PRH";#N/A,#N/A,FALSE,"Units"}</definedName>
    <definedName name="wrn.MODELS." localSheetId="1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5"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2"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2"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0"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1"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3"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8"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6"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2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localSheetId="17" hidden="1">{#N/A,#N/A,FALSE,"Running Total";#N/A,#N/A,FALSE,"Oct 96";#N/A,#N/A,FALSE,"Nov 96";#N/A,#N/A,FALSE,"Dec 96";#N/A,#N/A,FALSE,"Jan 97";#N/A,#N/A,FALSE,"Feb 97";#N/A,#N/A,FALSE,"Mar 97";#N/A,#N/A,FALSE,"Apr 97";#N/A,#N/A,FALSE,"May 97";#N/A,#N/A,FALSE,"June 97";#N/A,#N/A,FALSE,"July 97"}</definedName>
    <definedName name="wrn.monthly." localSheetId="15" hidden="1">{#N/A,#N/A,FALSE,"Running Total";#N/A,#N/A,FALSE,"Oct 96";#N/A,#N/A,FALSE,"Nov 96";#N/A,#N/A,FALSE,"Dec 96";#N/A,#N/A,FALSE,"Jan 97";#N/A,#N/A,FALSE,"Feb 97";#N/A,#N/A,FALSE,"Mar 97";#N/A,#N/A,FALSE,"Apr 97";#N/A,#N/A,FALSE,"May 97";#N/A,#N/A,FALSE,"June 97";#N/A,#N/A,FALSE,"July 97"}</definedName>
    <definedName name="wrn.monthly." localSheetId="12" hidden="1">{#N/A,#N/A,FALSE,"Running Total";#N/A,#N/A,FALSE,"Oct 96";#N/A,#N/A,FALSE,"Nov 96";#N/A,#N/A,FALSE,"Dec 96";#N/A,#N/A,FALSE,"Jan 97";#N/A,#N/A,FALSE,"Feb 97";#N/A,#N/A,FALSE,"Mar 97";#N/A,#N/A,FALSE,"Apr 97";#N/A,#N/A,FALSE,"May 97";#N/A,#N/A,FALSE,"June 97";#N/A,#N/A,FALSE,"July 97"}</definedName>
    <definedName name="wrn.monthly." localSheetId="22" hidden="1">{#N/A,#N/A,FALSE,"Running Total";#N/A,#N/A,FALSE,"Oct 96";#N/A,#N/A,FALSE,"Nov 96";#N/A,#N/A,FALSE,"Dec 96";#N/A,#N/A,FALSE,"Jan 97";#N/A,#N/A,FALSE,"Feb 97";#N/A,#N/A,FALSE,"Mar 97";#N/A,#N/A,FALSE,"Apr 97";#N/A,#N/A,FALSE,"May 97";#N/A,#N/A,FALSE,"June 97";#N/A,#N/A,FALSE,"July 97"}</definedName>
    <definedName name="wrn.monthly." localSheetId="20" hidden="1">{#N/A,#N/A,FALSE,"Running Total";#N/A,#N/A,FALSE,"Oct 96";#N/A,#N/A,FALSE,"Nov 96";#N/A,#N/A,FALSE,"Dec 96";#N/A,#N/A,FALSE,"Jan 97";#N/A,#N/A,FALSE,"Feb 97";#N/A,#N/A,FALSE,"Mar 97";#N/A,#N/A,FALSE,"Apr 97";#N/A,#N/A,FALSE,"May 97";#N/A,#N/A,FALSE,"June 97";#N/A,#N/A,FALSE,"July 97"}</definedName>
    <definedName name="wrn.monthly." localSheetId="21" hidden="1">{#N/A,#N/A,FALSE,"Running Total";#N/A,#N/A,FALSE,"Oct 96";#N/A,#N/A,FALSE,"Nov 96";#N/A,#N/A,FALSE,"Dec 96";#N/A,#N/A,FALSE,"Jan 97";#N/A,#N/A,FALSE,"Feb 97";#N/A,#N/A,FALSE,"Mar 97";#N/A,#N/A,FALSE,"Apr 97";#N/A,#N/A,FALSE,"May 97";#N/A,#N/A,FALSE,"June 97";#N/A,#N/A,FALSE,"July 97"}</definedName>
    <definedName name="wrn.monthly." localSheetId="23" hidden="1">{#N/A,#N/A,FALSE,"Running Total";#N/A,#N/A,FALSE,"Oct 96";#N/A,#N/A,FALSE,"Nov 96";#N/A,#N/A,FALSE,"Dec 96";#N/A,#N/A,FALSE,"Jan 97";#N/A,#N/A,FALSE,"Feb 97";#N/A,#N/A,FALSE,"Mar 97";#N/A,#N/A,FALSE,"Apr 97";#N/A,#N/A,FALSE,"May 97";#N/A,#N/A,FALSE,"June 97";#N/A,#N/A,FALSE,"July 97"}</definedName>
    <definedName name="wrn.monthly." localSheetId="1" hidden="1">{#N/A,#N/A,FALSE,"Running Total";#N/A,#N/A,FALSE,"Oct 96";#N/A,#N/A,FALSE,"Nov 96";#N/A,#N/A,FALSE,"Dec 96";#N/A,#N/A,FALSE,"Jan 97";#N/A,#N/A,FALSE,"Feb 97";#N/A,#N/A,FALSE,"Mar 97";#N/A,#N/A,FALSE,"Apr 97";#N/A,#N/A,FALSE,"May 97";#N/A,#N/A,FALSE,"June 97";#N/A,#N/A,FALSE,"July 97"}</definedName>
    <definedName name="wrn.monthly." localSheetId="28" hidden="1">{#N/A,#N/A,FALSE,"Running Total";#N/A,#N/A,FALSE,"Oct 96";#N/A,#N/A,FALSE,"Nov 96";#N/A,#N/A,FALSE,"Dec 96";#N/A,#N/A,FALSE,"Jan 97";#N/A,#N/A,FALSE,"Feb 97";#N/A,#N/A,FALSE,"Mar 97";#N/A,#N/A,FALSE,"Apr 97";#N/A,#N/A,FALSE,"May 97";#N/A,#N/A,FALSE,"June 97";#N/A,#N/A,FALSE,"July 97"}</definedName>
    <definedName name="wrn.monthly." localSheetId="26" hidden="1">{#N/A,#N/A,FALSE,"Running Total";#N/A,#N/A,FALSE,"Oct 96";#N/A,#N/A,FALSE,"Nov 96";#N/A,#N/A,FALSE,"Dec 96";#N/A,#N/A,FALSE,"Jan 97";#N/A,#N/A,FALSE,"Feb 97";#N/A,#N/A,FALSE,"Mar 97";#N/A,#N/A,FALSE,"Apr 97";#N/A,#N/A,FALSE,"May 97";#N/A,#N/A,FALSE,"June 97";#N/A,#N/A,FALSE,"July 97"}</definedName>
    <definedName name="wrn.monthly." localSheetId="27" hidden="1">{#N/A,#N/A,FALSE,"Running Total";#N/A,#N/A,FALSE,"Oct 96";#N/A,#N/A,FALSE,"Nov 96";#N/A,#N/A,FALSE,"Dec 96";#N/A,#N/A,FALSE,"Jan 97";#N/A,#N/A,FALSE,"Feb 97";#N/A,#N/A,FALSE,"Mar 97";#N/A,#N/A,FALSE,"Apr 97";#N/A,#N/A,FALSE,"May 97";#N/A,#N/A,FALSE,"June 97";#N/A,#N/A,FALSE,"July 97"}</definedName>
    <definedName name="wrn.monthly." hidden="1">{#N/A,#N/A,FALSE,"Running Total";#N/A,#N/A,FALSE,"Oct 96";#N/A,#N/A,FALSE,"Nov 96";#N/A,#N/A,FALSE,"Dec 96";#N/A,#N/A,FALSE,"Jan 97";#N/A,#N/A,FALSE,"Feb 97";#N/A,#N/A,FALSE,"Mar 97";#N/A,#N/A,FALSE,"Apr 97";#N/A,#N/A,FALSE,"May 97";#N/A,#N/A,FALSE,"June 97";#N/A,#N/A,FALSE,"July 97"}</definedName>
    <definedName name="wrn.Net._.Backs." localSheetId="17" hidden="1">{"Net Backs",#N/A,FALSE,"Net Backs"}</definedName>
    <definedName name="wrn.Net._.Backs." localSheetId="15" hidden="1">{"Net Backs",#N/A,FALSE,"Net Backs"}</definedName>
    <definedName name="wrn.Net._.Backs." localSheetId="12" hidden="1">{"Net Backs",#N/A,FALSE,"Net Backs"}</definedName>
    <definedName name="wrn.Net._.Backs." localSheetId="22" hidden="1">{"Net Backs",#N/A,FALSE,"Net Backs"}</definedName>
    <definedName name="wrn.Net._.Backs." localSheetId="20" hidden="1">{"Net Backs",#N/A,FALSE,"Net Backs"}</definedName>
    <definedName name="wrn.Net._.Backs." localSheetId="21" hidden="1">{"Net Backs",#N/A,FALSE,"Net Backs"}</definedName>
    <definedName name="wrn.Net._.Backs." localSheetId="23" hidden="1">{"Net Backs",#N/A,FALSE,"Net Backs"}</definedName>
    <definedName name="wrn.Net._.Backs." localSheetId="1" hidden="1">{"Net Backs",#N/A,FALSE,"Net Backs"}</definedName>
    <definedName name="wrn.Net._.Backs." localSheetId="28" hidden="1">{"Net Backs",#N/A,FALSE,"Net Backs"}</definedName>
    <definedName name="wrn.Net._.Backs." localSheetId="26" hidden="1">{"Net Backs",#N/A,FALSE,"Net Backs"}</definedName>
    <definedName name="wrn.Net._.Backs." localSheetId="27" hidden="1">{"Net Backs",#N/A,FALSE,"Net Backs"}</definedName>
    <definedName name="wrn.Net._.Backs." hidden="1">{"Net Backs",#N/A,FALSE,"Net Backs"}</definedName>
    <definedName name="wrn.Netbacks." localSheetId="17" hidden="1">{"Netbacks",#N/A,FALSE,"B"}</definedName>
    <definedName name="wrn.Netbacks." localSheetId="15" hidden="1">{"Netbacks",#N/A,FALSE,"B"}</definedName>
    <definedName name="wrn.Netbacks." localSheetId="12" hidden="1">{"Netbacks",#N/A,FALSE,"B"}</definedName>
    <definedName name="wrn.Netbacks." localSheetId="22" hidden="1">{"Netbacks",#N/A,FALSE,"B"}</definedName>
    <definedName name="wrn.Netbacks." localSheetId="20" hidden="1">{"Netbacks",#N/A,FALSE,"B"}</definedName>
    <definedName name="wrn.Netbacks." localSheetId="21" hidden="1">{"Netbacks",#N/A,FALSE,"B"}</definedName>
    <definedName name="wrn.Netbacks." localSheetId="23" hidden="1">{"Netbacks",#N/A,FALSE,"B"}</definedName>
    <definedName name="wrn.Netbacks." localSheetId="1" hidden="1">{"Netbacks",#N/A,FALSE,"B"}</definedName>
    <definedName name="wrn.Netbacks." localSheetId="28" hidden="1">{"Netbacks",#N/A,FALSE,"B"}</definedName>
    <definedName name="wrn.Netbacks." localSheetId="26" hidden="1">{"Netbacks",#N/A,FALSE,"B"}</definedName>
    <definedName name="wrn.Netbacks." localSheetId="27" hidden="1">{"Netbacks",#N/A,FALSE,"B"}</definedName>
    <definedName name="wrn.Netbacks." hidden="1">{"Netbacks",#N/A,FALSE,"B"}</definedName>
    <definedName name="wrn.Operating._.Statistics." localSheetId="17" hidden="1">{"Operating Statictics",#N/A,FALSE,"Operating Statistics"}</definedName>
    <definedName name="wrn.Operating._.Statistics." localSheetId="15" hidden="1">{"Operating Statictics",#N/A,FALSE,"Operating Statistics"}</definedName>
    <definedName name="wrn.Operating._.Statistics." localSheetId="12" hidden="1">{"Operating Statictics",#N/A,FALSE,"Operating Statistics"}</definedName>
    <definedName name="wrn.Operating._.Statistics." localSheetId="22" hidden="1">{"Operating Statictics",#N/A,FALSE,"Operating Statistics"}</definedName>
    <definedName name="wrn.Operating._.Statistics." localSheetId="20" hidden="1">{"Operating Statictics",#N/A,FALSE,"Operating Statistics"}</definedName>
    <definedName name="wrn.Operating._.Statistics." localSheetId="21" hidden="1">{"Operating Statictics",#N/A,FALSE,"Operating Statistics"}</definedName>
    <definedName name="wrn.Operating._.Statistics." localSheetId="23" hidden="1">{"Operating Statictics",#N/A,FALSE,"Operating Statistics"}</definedName>
    <definedName name="wrn.Operating._.Statistics." localSheetId="1" hidden="1">{"Operating Statictics",#N/A,FALSE,"Operating Statistics"}</definedName>
    <definedName name="wrn.Operating._.Statistics." localSheetId="28" hidden="1">{"Operating Statictics",#N/A,FALSE,"Operating Statistics"}</definedName>
    <definedName name="wrn.Operating._.Statistics." localSheetId="26" hidden="1">{"Operating Statictics",#N/A,FALSE,"Operating Statistics"}</definedName>
    <definedName name="wrn.Operating._.Statistics." localSheetId="27" hidden="1">{"Operating Statictics",#N/A,FALSE,"Operating Statistics"}</definedName>
    <definedName name="wrn.Operating._.Statistics." hidden="1">{"Operating Statictics",#N/A,FALSE,"Operating Statistics"}</definedName>
    <definedName name="wrn.Other._.Foreign." localSheetId="17" hidden="1">{"Other Foreign",#N/A,FALSE,"Other For."}</definedName>
    <definedName name="wrn.Other._.Foreign." localSheetId="15" hidden="1">{"Other Foreign",#N/A,FALSE,"Other For."}</definedName>
    <definedName name="wrn.Other._.Foreign." localSheetId="12" hidden="1">{"Other Foreign",#N/A,FALSE,"Other For."}</definedName>
    <definedName name="wrn.Other._.Foreign." localSheetId="22" hidden="1">{"Other Foreign",#N/A,FALSE,"Other For."}</definedName>
    <definedName name="wrn.Other._.Foreign." localSheetId="20" hidden="1">{"Other Foreign",#N/A,FALSE,"Other For."}</definedName>
    <definedName name="wrn.Other._.Foreign." localSheetId="21" hidden="1">{"Other Foreign",#N/A,FALSE,"Other For."}</definedName>
    <definedName name="wrn.Other._.Foreign." localSheetId="23" hidden="1">{"Other Foreign",#N/A,FALSE,"Other For."}</definedName>
    <definedName name="wrn.Other._.Foreign." localSheetId="1" hidden="1">{"Other Foreign",#N/A,FALSE,"Other For."}</definedName>
    <definedName name="wrn.Other._.Foreign." localSheetId="28" hidden="1">{"Other Foreign",#N/A,FALSE,"Other For."}</definedName>
    <definedName name="wrn.Other._.Foreign." localSheetId="26" hidden="1">{"Other Foreign",#N/A,FALSE,"Other For."}</definedName>
    <definedName name="wrn.Other._.Foreign." localSheetId="27" hidden="1">{"Other Foreign",#N/A,FALSE,"Other For."}</definedName>
    <definedName name="wrn.Other._.Foreign." hidden="1">{"Other Foreign",#N/A,FALSE,"Other For."}</definedName>
    <definedName name="wrn.Portrait._.IS." localSheetId="17" hidden="1">{"Portrait letter is",#N/A,FALSE,"Model"}</definedName>
    <definedName name="wrn.Portrait._.IS." localSheetId="15" hidden="1">{"Portrait letter is",#N/A,FALSE,"Model"}</definedName>
    <definedName name="wrn.Portrait._.IS." localSheetId="12" hidden="1">{"Portrait letter is",#N/A,FALSE,"Model"}</definedName>
    <definedName name="wrn.Portrait._.IS." localSheetId="22" hidden="1">{"Portrait letter is",#N/A,FALSE,"Model"}</definedName>
    <definedName name="wrn.Portrait._.IS." localSheetId="20" hidden="1">{"Portrait letter is",#N/A,FALSE,"Model"}</definedName>
    <definedName name="wrn.Portrait._.IS." localSheetId="21" hidden="1">{"Portrait letter is",#N/A,FALSE,"Model"}</definedName>
    <definedName name="wrn.Portrait._.IS." localSheetId="23" hidden="1">{"Portrait letter is",#N/A,FALSE,"Model"}</definedName>
    <definedName name="wrn.Portrait._.IS." localSheetId="1" hidden="1">{"Portrait letter is",#N/A,FALSE,"Model"}</definedName>
    <definedName name="wrn.Portrait._.IS." localSheetId="28" hidden="1">{"Portrait letter is",#N/A,FALSE,"Model"}</definedName>
    <definedName name="wrn.Portrait._.IS." localSheetId="26" hidden="1">{"Portrait letter is",#N/A,FALSE,"Model"}</definedName>
    <definedName name="wrn.Portrait._.IS." localSheetId="27" hidden="1">{"Portrait letter is",#N/A,FALSE,"Model"}</definedName>
    <definedName name="wrn.Portrait._.IS." hidden="1">{"Portrait letter is",#N/A,FALSE,"Model"}</definedName>
    <definedName name="wrn.Portrait._.letter._.is." localSheetId="17" hidden="1">{"Portrait letter is",#N/A,FALSE,"Model"}</definedName>
    <definedName name="wrn.Portrait._.letter._.is." localSheetId="15" hidden="1">{"Portrait letter is",#N/A,FALSE,"Model"}</definedName>
    <definedName name="wrn.Portrait._.letter._.is." localSheetId="12" hidden="1">{"Portrait letter is",#N/A,FALSE,"Model"}</definedName>
    <definedName name="wrn.Portrait._.letter._.is." localSheetId="22" hidden="1">{"Portrait letter is",#N/A,FALSE,"Model"}</definedName>
    <definedName name="wrn.Portrait._.letter._.is." localSheetId="20" hidden="1">{"Portrait letter is",#N/A,FALSE,"Model"}</definedName>
    <definedName name="wrn.Portrait._.letter._.is." localSheetId="21" hidden="1">{"Portrait letter is",#N/A,FALSE,"Model"}</definedName>
    <definedName name="wrn.Portrait._.letter._.is." localSheetId="23" hidden="1">{"Portrait letter is",#N/A,FALSE,"Model"}</definedName>
    <definedName name="wrn.Portrait._.letter._.is." localSheetId="1" hidden="1">{"Portrait letter is",#N/A,FALSE,"Model"}</definedName>
    <definedName name="wrn.Portrait._.letter._.is." localSheetId="28" hidden="1">{"Portrait letter is",#N/A,FALSE,"Model"}</definedName>
    <definedName name="wrn.Portrait._.letter._.is." localSheetId="26" hidden="1">{"Portrait letter is",#N/A,FALSE,"Model"}</definedName>
    <definedName name="wrn.Portrait._.letter._.is." localSheetId="27" hidden="1">{"Portrait letter is",#N/A,FALSE,"Model"}</definedName>
    <definedName name="wrn.Portrait._.letter._.is." hidden="1">{"Portrait letter is",#N/A,FALSE,"Model"}</definedName>
    <definedName name="wrn.pres." localSheetId="17" hidden="1">{#N/A,#N/A,FALSE,"Major v. River";#N/A,#N/A,FALSE,"Industry";#N/A,#N/A,FALSE,"Large Operators";#N/A,#N/A,FALSE,"Smaller Operators";#N/A,#N/A,FALSE,"Equip. Supply";#N/A,#N/A,FALSE,"EBITDA";#N/A,#N/A,FALSE,"States";#N/A,#N/A,FALSE,"LV Detail"}</definedName>
    <definedName name="wrn.pres." localSheetId="15" hidden="1">{#N/A,#N/A,FALSE,"Major v. River";#N/A,#N/A,FALSE,"Industry";#N/A,#N/A,FALSE,"Large Operators";#N/A,#N/A,FALSE,"Smaller Operators";#N/A,#N/A,FALSE,"Equip. Supply";#N/A,#N/A,FALSE,"EBITDA";#N/A,#N/A,FALSE,"States";#N/A,#N/A,FALSE,"LV Detail"}</definedName>
    <definedName name="wrn.pres." localSheetId="12" hidden="1">{#N/A,#N/A,FALSE,"Major v. River";#N/A,#N/A,FALSE,"Industry";#N/A,#N/A,FALSE,"Large Operators";#N/A,#N/A,FALSE,"Smaller Operators";#N/A,#N/A,FALSE,"Equip. Supply";#N/A,#N/A,FALSE,"EBITDA";#N/A,#N/A,FALSE,"States";#N/A,#N/A,FALSE,"LV Detail"}</definedName>
    <definedName name="wrn.pres." localSheetId="22" hidden="1">{#N/A,#N/A,FALSE,"Major v. River";#N/A,#N/A,FALSE,"Industry";#N/A,#N/A,FALSE,"Large Operators";#N/A,#N/A,FALSE,"Smaller Operators";#N/A,#N/A,FALSE,"Equip. Supply";#N/A,#N/A,FALSE,"EBITDA";#N/A,#N/A,FALSE,"States";#N/A,#N/A,FALSE,"LV Detail"}</definedName>
    <definedName name="wrn.pres." localSheetId="20" hidden="1">{#N/A,#N/A,FALSE,"Major v. River";#N/A,#N/A,FALSE,"Industry";#N/A,#N/A,FALSE,"Large Operators";#N/A,#N/A,FALSE,"Smaller Operators";#N/A,#N/A,FALSE,"Equip. Supply";#N/A,#N/A,FALSE,"EBITDA";#N/A,#N/A,FALSE,"States";#N/A,#N/A,FALSE,"LV Detail"}</definedName>
    <definedName name="wrn.pres." localSheetId="21" hidden="1">{#N/A,#N/A,FALSE,"Major v. River";#N/A,#N/A,FALSE,"Industry";#N/A,#N/A,FALSE,"Large Operators";#N/A,#N/A,FALSE,"Smaller Operators";#N/A,#N/A,FALSE,"Equip. Supply";#N/A,#N/A,FALSE,"EBITDA";#N/A,#N/A,FALSE,"States";#N/A,#N/A,FALSE,"LV Detail"}</definedName>
    <definedName name="wrn.pres." localSheetId="23" hidden="1">{#N/A,#N/A,FALSE,"Major v. River";#N/A,#N/A,FALSE,"Industry";#N/A,#N/A,FALSE,"Large Operators";#N/A,#N/A,FALSE,"Smaller Operators";#N/A,#N/A,FALSE,"Equip. Supply";#N/A,#N/A,FALSE,"EBITDA";#N/A,#N/A,FALSE,"States";#N/A,#N/A,FALSE,"LV Detail"}</definedName>
    <definedName name="wrn.pres." localSheetId="1" hidden="1">{#N/A,#N/A,FALSE,"Major v. River";#N/A,#N/A,FALSE,"Industry";#N/A,#N/A,FALSE,"Large Operators";#N/A,#N/A,FALSE,"Smaller Operators";#N/A,#N/A,FALSE,"Equip. Supply";#N/A,#N/A,FALSE,"EBITDA";#N/A,#N/A,FALSE,"States";#N/A,#N/A,FALSE,"LV Detail"}</definedName>
    <definedName name="wrn.pres." localSheetId="28" hidden="1">{#N/A,#N/A,FALSE,"Major v. River";#N/A,#N/A,FALSE,"Industry";#N/A,#N/A,FALSE,"Large Operators";#N/A,#N/A,FALSE,"Smaller Operators";#N/A,#N/A,FALSE,"Equip. Supply";#N/A,#N/A,FALSE,"EBITDA";#N/A,#N/A,FALSE,"States";#N/A,#N/A,FALSE,"LV Detail"}</definedName>
    <definedName name="wrn.pres." localSheetId="26" hidden="1">{#N/A,#N/A,FALSE,"Major v. River";#N/A,#N/A,FALSE,"Industry";#N/A,#N/A,FALSE,"Large Operators";#N/A,#N/A,FALSE,"Smaller Operators";#N/A,#N/A,FALSE,"Equip. Supply";#N/A,#N/A,FALSE,"EBITDA";#N/A,#N/A,FALSE,"States";#N/A,#N/A,FALSE,"LV Detail"}</definedName>
    <definedName name="wrn.pres." localSheetId="27"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97." localSheetId="1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5"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2"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2"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1"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3"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8"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6"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2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localSheetId="17" hidden="1">{#N/A,#N/A,FALSE,"Plan Summary";#N/A,#N/A,FALSE,"Monthly Goals";#N/A,#N/A,FALSE,"Profit Detail";#N/A,#N/A,FALSE,"Output Comparison";#N/A,#N/A,FALSE,"Production Goals"}</definedName>
    <definedName name="wrn.Primary._.Reports." localSheetId="15" hidden="1">{#N/A,#N/A,FALSE,"Plan Summary";#N/A,#N/A,FALSE,"Monthly Goals";#N/A,#N/A,FALSE,"Profit Detail";#N/A,#N/A,FALSE,"Output Comparison";#N/A,#N/A,FALSE,"Production Goals"}</definedName>
    <definedName name="wrn.Primary._.Reports." localSheetId="12" hidden="1">{#N/A,#N/A,FALSE,"Plan Summary";#N/A,#N/A,FALSE,"Monthly Goals";#N/A,#N/A,FALSE,"Profit Detail";#N/A,#N/A,FALSE,"Output Comparison";#N/A,#N/A,FALSE,"Production Goals"}</definedName>
    <definedName name="wrn.Primary._.Reports." localSheetId="22" hidden="1">{#N/A,#N/A,FALSE,"Plan Summary";#N/A,#N/A,FALSE,"Monthly Goals";#N/A,#N/A,FALSE,"Profit Detail";#N/A,#N/A,FALSE,"Output Comparison";#N/A,#N/A,FALSE,"Production Goals"}</definedName>
    <definedName name="wrn.Primary._.Reports." localSheetId="20" hidden="1">{#N/A,#N/A,FALSE,"Plan Summary";#N/A,#N/A,FALSE,"Monthly Goals";#N/A,#N/A,FALSE,"Profit Detail";#N/A,#N/A,FALSE,"Output Comparison";#N/A,#N/A,FALSE,"Production Goals"}</definedName>
    <definedName name="wrn.Primary._.Reports." localSheetId="21" hidden="1">{#N/A,#N/A,FALSE,"Plan Summary";#N/A,#N/A,FALSE,"Monthly Goals";#N/A,#N/A,FALSE,"Profit Detail";#N/A,#N/A,FALSE,"Output Comparison";#N/A,#N/A,FALSE,"Production Goals"}</definedName>
    <definedName name="wrn.Primary._.Reports." localSheetId="23" hidden="1">{#N/A,#N/A,FALSE,"Plan Summary";#N/A,#N/A,FALSE,"Monthly Goals";#N/A,#N/A,FALSE,"Profit Detail";#N/A,#N/A,FALSE,"Output Comparison";#N/A,#N/A,FALSE,"Production Goals"}</definedName>
    <definedName name="wrn.Primary._.Reports." localSheetId="1" hidden="1">{#N/A,#N/A,FALSE,"Plan Summary";#N/A,#N/A,FALSE,"Monthly Goals";#N/A,#N/A,FALSE,"Profit Detail";#N/A,#N/A,FALSE,"Output Comparison";#N/A,#N/A,FALSE,"Production Goals"}</definedName>
    <definedName name="wrn.Primary._.Reports." localSheetId="28" hidden="1">{#N/A,#N/A,FALSE,"Plan Summary";#N/A,#N/A,FALSE,"Monthly Goals";#N/A,#N/A,FALSE,"Profit Detail";#N/A,#N/A,FALSE,"Output Comparison";#N/A,#N/A,FALSE,"Production Goals"}</definedName>
    <definedName name="wrn.Primary._.Reports." localSheetId="26" hidden="1">{#N/A,#N/A,FALSE,"Plan Summary";#N/A,#N/A,FALSE,"Monthly Goals";#N/A,#N/A,FALSE,"Profit Detail";#N/A,#N/A,FALSE,"Output Comparison";#N/A,#N/A,FALSE,"Production Goals"}</definedName>
    <definedName name="wrn.Primary._.Reports." localSheetId="27"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E." localSheetId="17" hidden="1">{#N/A,#N/A,FALSE,"PRIME ACTIVITY CRST"}</definedName>
    <definedName name="wrn.PRIME." localSheetId="15" hidden="1">{#N/A,#N/A,FALSE,"PRIME ACTIVITY CRST"}</definedName>
    <definedName name="wrn.PRIME." localSheetId="12" hidden="1">{#N/A,#N/A,FALSE,"PRIME ACTIVITY CRST"}</definedName>
    <definedName name="wrn.PRIME." localSheetId="22" hidden="1">{#N/A,#N/A,FALSE,"PRIME ACTIVITY CRST"}</definedName>
    <definedName name="wrn.PRIME." localSheetId="20" hidden="1">{#N/A,#N/A,FALSE,"PRIME ACTIVITY CRST"}</definedName>
    <definedName name="wrn.PRIME." localSheetId="21" hidden="1">{#N/A,#N/A,FALSE,"PRIME ACTIVITY CRST"}</definedName>
    <definedName name="wrn.PRIME." localSheetId="23" hidden="1">{#N/A,#N/A,FALSE,"PRIME ACTIVITY CRST"}</definedName>
    <definedName name="wrn.PRIME." localSheetId="1" hidden="1">{#N/A,#N/A,FALSE,"PRIME ACTIVITY CRST"}</definedName>
    <definedName name="wrn.PRIME." localSheetId="28" hidden="1">{#N/A,#N/A,FALSE,"PRIME ACTIVITY CRST"}</definedName>
    <definedName name="wrn.PRIME." localSheetId="26" hidden="1">{#N/A,#N/A,FALSE,"PRIME ACTIVITY CRST"}</definedName>
    <definedName name="wrn.PRIME." localSheetId="27" hidden="1">{#N/A,#N/A,FALSE,"PRIME ACTIVITY CRST"}</definedName>
    <definedName name="wrn.PRIME." hidden="1">{#N/A,#N/A,FALSE,"PRIME ACTIVITY CRST"}</definedName>
    <definedName name="wrn.print." localSheetId="17" hidden="1">{"page1",#N/A,FALSE,"PROFORMA";"page2",#N/A,FALSE,"PROFORMA";"page3",#N/A,FALSE,"PROFORMA";"page4",#N/A,FALSE,"PROFORMA";"page5",#N/A,FALSE,"PROFORMA";"page6",#N/A,FALSE,"PROFORMA";"page7",#N/A,FALSE,"PROFORMA";"page8",#N/A,FALSE,"PROFORMA"}</definedName>
    <definedName name="wrn.Print." localSheetId="15" hidden="1">{#N/A,#N/A,FALSE,"Cover";#N/A,#N/A,FALSE,"ASSUMPTIONS ";#N/A,#N/A,FALSE,"EPS";#N/A,#N/A,FALSE,"Cashflow";#N/A,#N/A,FALSE,"BS"}</definedName>
    <definedName name="wrn.print." localSheetId="12" hidden="1">{"page1",#N/A,FALSE,"PROFORMA";"page2",#N/A,FALSE,"PROFORMA";"page3",#N/A,FALSE,"PROFORMA";"page4",#N/A,FALSE,"PROFORMA";"page5",#N/A,FALSE,"PROFORMA";"page6",#N/A,FALSE,"PROFORMA";"page7",#N/A,FALSE,"PROFORMA";"page8",#N/A,FALSE,"PROFORMA"}</definedName>
    <definedName name="wrn.print." localSheetId="22" hidden="1">{"page1",#N/A,FALSE,"PROFORMA";"page2",#N/A,FALSE,"PROFORMA";"page3",#N/A,FALSE,"PROFORMA";"page4",#N/A,FALSE,"PROFORMA";"page5",#N/A,FALSE,"PROFORMA";"page6",#N/A,FALSE,"PROFORMA";"page7",#N/A,FALSE,"PROFORMA";"page8",#N/A,FALSE,"PROFORMA"}</definedName>
    <definedName name="wrn.Print." localSheetId="20" hidden="1">{#N/A,#N/A,FALSE,"Cover";#N/A,#N/A,FALSE,"ASSUMPTIONS ";#N/A,#N/A,FALSE,"EPS";#N/A,#N/A,FALSE,"Cashflow";#N/A,#N/A,FALSE,"BS"}</definedName>
    <definedName name="wrn.Print." localSheetId="21" hidden="1">{#N/A,#N/A,FALSE,"Cover";#N/A,#N/A,FALSE,"ASSUMPTIONS ";#N/A,#N/A,FALSE,"EPS";#N/A,#N/A,FALSE,"Cashflow";#N/A,#N/A,FALSE,"BS"}</definedName>
    <definedName name="wrn.Print." localSheetId="23" hidden="1">{#N/A,#N/A,FALSE,"Cover";#N/A,#N/A,FALSE,"ASSUMPTIONS ";#N/A,#N/A,FALSE,"EPS";#N/A,#N/A,FALSE,"Cashflow";#N/A,#N/A,FALSE,"BS"}</definedName>
    <definedName name="wrn.print." localSheetId="1" hidden="1">{"page1",#N/A,FALSE,"PROFORMA";"page2",#N/A,FALSE,"PROFORMA";"page3",#N/A,FALSE,"PROFORMA";"page4",#N/A,FALSE,"PROFORMA";"page5",#N/A,FALSE,"PROFORMA";"page6",#N/A,FALSE,"PROFORMA";"page7",#N/A,FALSE,"PROFORMA";"page8",#N/A,FALSE,"PROFORMA"}</definedName>
    <definedName name="wrn.print." localSheetId="28" hidden="1">{"page1",#N/A,FALSE,"PROFORMA";"page2",#N/A,FALSE,"PROFORMA";"page3",#N/A,FALSE,"PROFORMA";"page4",#N/A,FALSE,"PROFORMA";"page5",#N/A,FALSE,"PROFORMA";"page6",#N/A,FALSE,"PROFORMA";"page7",#N/A,FALSE,"PROFORMA";"page8",#N/A,FALSE,"PROFORMA"}</definedName>
    <definedName name="wrn.Print." localSheetId="26" hidden="1">{#N/A,#N/A,FALSE,"Cover";#N/A,#N/A,FALSE,"ASSUMPTIONS ";#N/A,#N/A,FALSE,"EPS";#N/A,#N/A,FALSE,"Cashflow";#N/A,#N/A,FALSE,"BS"}</definedName>
    <definedName name="wrn.Print." localSheetId="27" hidden="1">{#N/A,#N/A,FALSE,"Cover";#N/A,#N/A,FALSE,"ASSUMPTIONS ";#N/A,#N/A,FALSE,"EPS";#N/A,#N/A,FALSE,"Cashflow";#N/A,#N/A,FALSE,"BS"}</definedName>
    <definedName name="wrn.print." hidden="1">{"page1",#N/A,FALSE,"PROFORMA";"page2",#N/A,FALSE,"PROFORMA";"page3",#N/A,FALSE,"PROFORMA";"page4",#N/A,FALSE,"PROFORMA";"page5",#N/A,FALSE,"PROFORMA";"page6",#N/A,FALSE,"PROFORMA";"page7",#N/A,FALSE,"PROFORMA";"page8",#N/A,FALSE,"PROFORMA"}</definedName>
    <definedName name="wrn.Print._.All." localSheetId="17" hidden="1">{"Production Profile",#N/A,FALSE,"Production";"Cadispa SA",#N/A,FALSE,"Cadispa SA";"Corporate Profile",#N/A,FALSE,"D";"IS Q96",#N/A,FALSE,"C";"IS Q97",#N/A,FALSE,"C";"IS Years",#N/A,FALSE,"C";"Netbacks",#N/A,FALSE,"B"}</definedName>
    <definedName name="wrn.Print._.All." localSheetId="15" hidden="1">{"Production Profile",#N/A,FALSE,"Production";"Cadispa SA",#N/A,FALSE,"Cadispa SA";"Corporate Profile",#N/A,FALSE,"D";"IS Q96",#N/A,FALSE,"C";"IS Q97",#N/A,FALSE,"C";"IS Years",#N/A,FALSE,"C";"Netbacks",#N/A,FALSE,"B"}</definedName>
    <definedName name="wrn.Print._.All." localSheetId="12" hidden="1">{"Production Profile",#N/A,FALSE,"Production";"Cadispa SA",#N/A,FALSE,"Cadispa SA";"Corporate Profile",#N/A,FALSE,"D";"IS Q96",#N/A,FALSE,"C";"IS Q97",#N/A,FALSE,"C";"IS Years",#N/A,FALSE,"C";"Netbacks",#N/A,FALSE,"B"}</definedName>
    <definedName name="wrn.Print._.All." localSheetId="22" hidden="1">{"Production Profile",#N/A,FALSE,"Production";"Cadispa SA",#N/A,FALSE,"Cadispa SA";"Corporate Profile",#N/A,FALSE,"D";"IS Q96",#N/A,FALSE,"C";"IS Q97",#N/A,FALSE,"C";"IS Years",#N/A,FALSE,"C";"Netbacks",#N/A,FALSE,"B"}</definedName>
    <definedName name="wrn.Print._.All." localSheetId="20" hidden="1">{"Production Profile",#N/A,FALSE,"Production";"Cadispa SA",#N/A,FALSE,"Cadispa SA";"Corporate Profile",#N/A,FALSE,"D";"IS Q96",#N/A,FALSE,"C";"IS Q97",#N/A,FALSE,"C";"IS Years",#N/A,FALSE,"C";"Netbacks",#N/A,FALSE,"B"}</definedName>
    <definedName name="wrn.Print._.All." localSheetId="21" hidden="1">{"Production Profile",#N/A,FALSE,"Production";"Cadispa SA",#N/A,FALSE,"Cadispa SA";"Corporate Profile",#N/A,FALSE,"D";"IS Q96",#N/A,FALSE,"C";"IS Q97",#N/A,FALSE,"C";"IS Years",#N/A,FALSE,"C";"Netbacks",#N/A,FALSE,"B"}</definedName>
    <definedName name="wrn.Print._.All." localSheetId="23" hidden="1">{"Production Profile",#N/A,FALSE,"Production";"Cadispa SA",#N/A,FALSE,"Cadispa SA";"Corporate Profile",#N/A,FALSE,"D";"IS Q96",#N/A,FALSE,"C";"IS Q97",#N/A,FALSE,"C";"IS Years",#N/A,FALSE,"C";"Netbacks",#N/A,FALSE,"B"}</definedName>
    <definedName name="wrn.Print._.All." localSheetId="1" hidden="1">{"Production Profile",#N/A,FALSE,"Production";"Cadispa SA",#N/A,FALSE,"Cadispa SA";"Corporate Profile",#N/A,FALSE,"D";"IS Q96",#N/A,FALSE,"C";"IS Q97",#N/A,FALSE,"C";"IS Years",#N/A,FALSE,"C";"Netbacks",#N/A,FALSE,"B"}</definedName>
    <definedName name="wrn.Print._.All." localSheetId="28" hidden="1">{"Production Profile",#N/A,FALSE,"Production";"Cadispa SA",#N/A,FALSE,"Cadispa SA";"Corporate Profile",#N/A,FALSE,"D";"IS Q96",#N/A,FALSE,"C";"IS Q97",#N/A,FALSE,"C";"IS Years",#N/A,FALSE,"C";"Netbacks",#N/A,FALSE,"B"}</definedName>
    <definedName name="wrn.Print._.All." localSheetId="26" hidden="1">{"Production Profile",#N/A,FALSE,"Production";"Cadispa SA",#N/A,FALSE,"Cadispa SA";"Corporate Profile",#N/A,FALSE,"D";"IS Q96",#N/A,FALSE,"C";"IS Q97",#N/A,FALSE,"C";"IS Years",#N/A,FALSE,"C";"Netbacks",#N/A,FALSE,"B"}</definedName>
    <definedName name="wrn.Print._.All." localSheetId="27" hidden="1">{"Production Profile",#N/A,FALSE,"Production";"Cadispa SA",#N/A,FALSE,"Cadispa SA";"Corporate Profile",#N/A,FALSE,"D";"IS Q96",#N/A,FALSE,"C";"IS Q97",#N/A,FALSE,"C";"IS Years",#N/A,FALSE,"C";"Netbacks",#N/A,FALSE,"B"}</definedName>
    <definedName name="wrn.Print._.All." hidden="1">{"Production Profile",#N/A,FALSE,"Production";"Cadispa SA",#N/A,FALSE,"Cadispa SA";"Corporate Profile",#N/A,FALSE,"D";"IS Q96",#N/A,FALSE,"C";"IS Q97",#N/A,FALSE,"C";"IS Years",#N/A,FALSE,"C";"Netbacks",#N/A,FALSE,"B"}</definedName>
    <definedName name="wrn.printall." localSheetId="17" hidden="1">{"printall",#N/A,FALSE,"BAIRNUMB"}</definedName>
    <definedName name="wrn.printall." localSheetId="15" hidden="1">{"printall",#N/A,FALSE,"BAIRNUMB"}</definedName>
    <definedName name="wrn.printall." localSheetId="12" hidden="1">{"printall",#N/A,FALSE,"BAIRNUMB"}</definedName>
    <definedName name="wrn.printall." localSheetId="22" hidden="1">{"printall",#N/A,FALSE,"BAIRNUMB"}</definedName>
    <definedName name="wrn.printall." localSheetId="20" hidden="1">{"printall",#N/A,FALSE,"BAIRNUMB"}</definedName>
    <definedName name="wrn.printall." localSheetId="21" hidden="1">{"printall",#N/A,FALSE,"BAIRNUMB"}</definedName>
    <definedName name="wrn.printall." localSheetId="23" hidden="1">{"printall",#N/A,FALSE,"BAIRNUMB"}</definedName>
    <definedName name="wrn.printall." localSheetId="1" hidden="1">{"printall",#N/A,FALSE,"BAIRNUMB"}</definedName>
    <definedName name="wrn.printall." localSheetId="28" hidden="1">{"printall",#N/A,FALSE,"BAIRNUMB"}</definedName>
    <definedName name="wrn.printall." localSheetId="26" hidden="1">{"printall",#N/A,FALSE,"BAIRNUMB"}</definedName>
    <definedName name="wrn.printall." localSheetId="27" hidden="1">{"printall",#N/A,FALSE,"BAIRNUMB"}</definedName>
    <definedName name="wrn.printall." hidden="1">{"printall",#N/A,FALSE,"BAIRNUMB"}</definedName>
    <definedName name="wrn.Prod.._.Profile." localSheetId="17" hidden="1">{"Prod Pro",#N/A,FALSE,"E"}</definedName>
    <definedName name="wrn.Prod.._.Profile." localSheetId="15" hidden="1">{"Prod Pro",#N/A,FALSE,"E"}</definedName>
    <definedName name="wrn.Prod.._.Profile." localSheetId="12" hidden="1">{"Prod Pro",#N/A,FALSE,"E"}</definedName>
    <definedName name="wrn.Prod.._.Profile." localSheetId="22" hidden="1">{"Prod Pro",#N/A,FALSE,"E"}</definedName>
    <definedName name="wrn.Prod.._.Profile." localSheetId="20" hidden="1">{"Prod Pro",#N/A,FALSE,"E"}</definedName>
    <definedName name="wrn.Prod.._.Profile." localSheetId="21" hidden="1">{"Prod Pro",#N/A,FALSE,"E"}</definedName>
    <definedName name="wrn.Prod.._.Profile." localSheetId="23" hidden="1">{"Prod Pro",#N/A,FALSE,"E"}</definedName>
    <definedName name="wrn.Prod.._.Profile." localSheetId="1" hidden="1">{"Prod Pro",#N/A,FALSE,"E"}</definedName>
    <definedName name="wrn.Prod.._.Profile." localSheetId="28" hidden="1">{"Prod Pro",#N/A,FALSE,"E"}</definedName>
    <definedName name="wrn.Prod.._.Profile." localSheetId="26" hidden="1">{"Prod Pro",#N/A,FALSE,"E"}</definedName>
    <definedName name="wrn.Prod.._.Profile." localSheetId="27" hidden="1">{"Prod Pro",#N/A,FALSE,"E"}</definedName>
    <definedName name="wrn.Prod.._.Profile." hidden="1">{"Prod Pro",#N/A,FALSE,"E"}</definedName>
    <definedName name="wrn.Produciton._.Profile." localSheetId="17" hidden="1">{"Production Profile",#N/A,FALSE,"Production Profile"}</definedName>
    <definedName name="wrn.Produciton._.Profile." localSheetId="15" hidden="1">{"Production Profile",#N/A,FALSE,"Production Profile"}</definedName>
    <definedName name="wrn.Produciton._.Profile." localSheetId="12" hidden="1">{"Production Profile",#N/A,FALSE,"Production Profile"}</definedName>
    <definedName name="wrn.Produciton._.Profile." localSheetId="22" hidden="1">{"Production Profile",#N/A,FALSE,"Production Profile"}</definedName>
    <definedName name="wrn.Produciton._.Profile." localSheetId="20" hidden="1">{"Production Profile",#N/A,FALSE,"Production Profile"}</definedName>
    <definedName name="wrn.Produciton._.Profile." localSheetId="21" hidden="1">{"Production Profile",#N/A,FALSE,"Production Profile"}</definedName>
    <definedName name="wrn.Produciton._.Profile." localSheetId="23" hidden="1">{"Production Profile",#N/A,FALSE,"Production Profile"}</definedName>
    <definedName name="wrn.Produciton._.Profile." localSheetId="1" hidden="1">{"Production Profile",#N/A,FALSE,"Production Profile"}</definedName>
    <definedName name="wrn.Produciton._.Profile." localSheetId="28" hidden="1">{"Production Profile",#N/A,FALSE,"Production Profile"}</definedName>
    <definedName name="wrn.Produciton._.Profile." localSheetId="26" hidden="1">{"Production Profile",#N/A,FALSE,"Production Profile"}</definedName>
    <definedName name="wrn.Produciton._.Profile." localSheetId="27" hidden="1">{"Production Profile",#N/A,FALSE,"Production Profile"}</definedName>
    <definedName name="wrn.Produciton._.Profile." hidden="1">{"Production Profile",#N/A,FALSE,"Production Profile"}</definedName>
    <definedName name="wrn.Production._.Profile." localSheetId="17" hidden="1">{"Production Profile",#N/A,FALSE,"Production"}</definedName>
    <definedName name="wrn.Production._.Profile." localSheetId="15" hidden="1">{"Production Profile",#N/A,FALSE,"Production"}</definedName>
    <definedName name="wrn.Production._.Profile." localSheetId="12" hidden="1">{"Production Profile",#N/A,FALSE,"Production"}</definedName>
    <definedName name="wrn.Production._.Profile." localSheetId="22" hidden="1">{"Production Profile",#N/A,FALSE,"Production"}</definedName>
    <definedName name="wrn.Production._.Profile." localSheetId="20" hidden="1">{"Production Profile",#N/A,FALSE,"Production"}</definedName>
    <definedName name="wrn.Production._.Profile." localSheetId="21" hidden="1">{"Production Profile",#N/A,FALSE,"Production"}</definedName>
    <definedName name="wrn.Production._.Profile." localSheetId="23" hidden="1">{"Production Profile",#N/A,FALSE,"Production"}</definedName>
    <definedName name="wrn.Production._.Profile." localSheetId="1" hidden="1">{"Production Profile",#N/A,FALSE,"Production"}</definedName>
    <definedName name="wrn.Production._.Profile." localSheetId="28" hidden="1">{"Production Profile",#N/A,FALSE,"Production"}</definedName>
    <definedName name="wrn.Production._.Profile." localSheetId="26" hidden="1">{"Production Profile",#N/A,FALSE,"Production"}</definedName>
    <definedName name="wrn.Production._.Profile." localSheetId="27" hidden="1">{"Production Profile",#N/A,FALSE,"Production"}</definedName>
    <definedName name="wrn.Production._.Profile." hidden="1">{"Production Profile",#N/A,FALSE,"Production"}</definedName>
    <definedName name="wrn.Production._.Schedule." localSheetId="17" hidden="1">{"Production Schedule",#N/A,FALSE,"Production Schedule"}</definedName>
    <definedName name="wrn.Production._.Schedule." localSheetId="15" hidden="1">{"Production Schedule",#N/A,FALSE,"Production Schedule"}</definedName>
    <definedName name="wrn.Production._.Schedule." localSheetId="12" hidden="1">{"Production Schedule",#N/A,FALSE,"Production Schedule"}</definedName>
    <definedName name="wrn.Production._.Schedule." localSheetId="22" hidden="1">{"Production Schedule",#N/A,FALSE,"Production Schedule"}</definedName>
    <definedName name="wrn.Production._.Schedule." localSheetId="20" hidden="1">{"Production Schedule",#N/A,FALSE,"Production Schedule"}</definedName>
    <definedName name="wrn.Production._.Schedule." localSheetId="21" hidden="1">{"Production Schedule",#N/A,FALSE,"Production Schedule"}</definedName>
    <definedName name="wrn.Production._.Schedule." localSheetId="23" hidden="1">{"Production Schedule",#N/A,FALSE,"Production Schedule"}</definedName>
    <definedName name="wrn.Production._.Schedule." localSheetId="1" hidden="1">{"Production Schedule",#N/A,FALSE,"Production Schedule"}</definedName>
    <definedName name="wrn.Production._.Schedule." localSheetId="28" hidden="1">{"Production Schedule",#N/A,FALSE,"Production Schedule"}</definedName>
    <definedName name="wrn.Production._.Schedule." localSheetId="26" hidden="1">{"Production Schedule",#N/A,FALSE,"Production Schedule"}</definedName>
    <definedName name="wrn.Production._.Schedule." localSheetId="27" hidden="1">{"Production Schedule",#N/A,FALSE,"Production Schedule"}</definedName>
    <definedName name="wrn.Production._.Schedule." hidden="1">{"Production Schedule",#N/A,FALSE,"Production Schedule"}</definedName>
    <definedName name="wrn.Profit._.V._.LY." localSheetId="17" hidden="1">{"profit",#N/A,FALSE,"Aerospace";"profit",#N/A,FALSE,"Engines";"profit",#N/A,FALSE,"AES";"profit",#N/A,FALSE,"ES";"profit",#N/A,FALSE,"CAS";"profit",#N/A,FALSE,"ATSC";"profit",#N/A,FALSE,"FMT";"profit",#N/A,FALSE,"Aero Other";"profit",#N/A,FALSE,"Judgement"}</definedName>
    <definedName name="wrn.Profit._.V._.LY." localSheetId="15" hidden="1">{"profit",#N/A,FALSE,"Aerospace";"profit",#N/A,FALSE,"Engines";"profit",#N/A,FALSE,"AES";"profit",#N/A,FALSE,"ES";"profit",#N/A,FALSE,"CAS";"profit",#N/A,FALSE,"ATSC";"profit",#N/A,FALSE,"FMT";"profit",#N/A,FALSE,"Aero Other";"profit",#N/A,FALSE,"Judgement"}</definedName>
    <definedName name="wrn.Profit._.V._.LY." localSheetId="12" hidden="1">{"profit",#N/A,FALSE,"Aerospace";"profit",#N/A,FALSE,"Engines";"profit",#N/A,FALSE,"AES";"profit",#N/A,FALSE,"ES";"profit",#N/A,FALSE,"CAS";"profit",#N/A,FALSE,"ATSC";"profit",#N/A,FALSE,"FMT";"profit",#N/A,FALSE,"Aero Other";"profit",#N/A,FALSE,"Judgement"}</definedName>
    <definedName name="wrn.Profit._.V._.LY." localSheetId="22" hidden="1">{"profit",#N/A,FALSE,"Aerospace";"profit",#N/A,FALSE,"Engines";"profit",#N/A,FALSE,"AES";"profit",#N/A,FALSE,"ES";"profit",#N/A,FALSE,"CAS";"profit",#N/A,FALSE,"ATSC";"profit",#N/A,FALSE,"FMT";"profit",#N/A,FALSE,"Aero Other";"profit",#N/A,FALSE,"Judgement"}</definedName>
    <definedName name="wrn.Profit._.V._.LY." localSheetId="20" hidden="1">{"profit",#N/A,FALSE,"Aerospace";"profit",#N/A,FALSE,"Engines";"profit",#N/A,FALSE,"AES";"profit",#N/A,FALSE,"ES";"profit",#N/A,FALSE,"CAS";"profit",#N/A,FALSE,"ATSC";"profit",#N/A,FALSE,"FMT";"profit",#N/A,FALSE,"Aero Other";"profit",#N/A,FALSE,"Judgement"}</definedName>
    <definedName name="wrn.Profit._.V._.LY." localSheetId="21" hidden="1">{"profit",#N/A,FALSE,"Aerospace";"profit",#N/A,FALSE,"Engines";"profit",#N/A,FALSE,"AES";"profit",#N/A,FALSE,"ES";"profit",#N/A,FALSE,"CAS";"profit",#N/A,FALSE,"ATSC";"profit",#N/A,FALSE,"FMT";"profit",#N/A,FALSE,"Aero Other";"profit",#N/A,FALSE,"Judgement"}</definedName>
    <definedName name="wrn.Profit._.V._.LY." localSheetId="23" hidden="1">{"profit",#N/A,FALSE,"Aerospace";"profit",#N/A,FALSE,"Engines";"profit",#N/A,FALSE,"AES";"profit",#N/A,FALSE,"ES";"profit",#N/A,FALSE,"CAS";"profit",#N/A,FALSE,"ATSC";"profit",#N/A,FALSE,"FMT";"profit",#N/A,FALSE,"Aero Other";"profit",#N/A,FALSE,"Judgement"}</definedName>
    <definedName name="wrn.Profit._.V._.LY." localSheetId="1" hidden="1">{"profit",#N/A,FALSE,"Aerospace";"profit",#N/A,FALSE,"Engines";"profit",#N/A,FALSE,"AES";"profit",#N/A,FALSE,"ES";"profit",#N/A,FALSE,"CAS";"profit",#N/A,FALSE,"ATSC";"profit",#N/A,FALSE,"FMT";"profit",#N/A,FALSE,"Aero Other";"profit",#N/A,FALSE,"Judgement"}</definedName>
    <definedName name="wrn.Profit._.V._.LY." localSheetId="28" hidden="1">{"profit",#N/A,FALSE,"Aerospace";"profit",#N/A,FALSE,"Engines";"profit",#N/A,FALSE,"AES";"profit",#N/A,FALSE,"ES";"profit",#N/A,FALSE,"CAS";"profit",#N/A,FALSE,"ATSC";"profit",#N/A,FALSE,"FMT";"profit",#N/A,FALSE,"Aero Other";"profit",#N/A,FALSE,"Judgement"}</definedName>
    <definedName name="wrn.Profit._.V._.LY." localSheetId="26" hidden="1">{"profit",#N/A,FALSE,"Aerospace";"profit",#N/A,FALSE,"Engines";"profit",#N/A,FALSE,"AES";"profit",#N/A,FALSE,"ES";"profit",#N/A,FALSE,"CAS";"profit",#N/A,FALSE,"ATSC";"profit",#N/A,FALSE,"FMT";"profit",#N/A,FALSE,"Aero Other";"profit",#N/A,FALSE,"Judgement"}</definedName>
    <definedName name="wrn.Profit._.V._.LY." localSheetId="27" hidden="1">{"profit",#N/A,FALSE,"Aerospace";"profit",#N/A,FALSE,"Engines";"profit",#N/A,FALSE,"AES";"profit",#N/A,FALSE,"ES";"profit",#N/A,FALSE,"CAS";"profit",#N/A,FALSE,"ATSC";"profit",#N/A,FALSE,"FMT";"profit",#N/A,FALSE,"Aero Other";"profit",#N/A,FALSE,"Judgement"}</definedName>
    <definedName name="wrn.Profit._.V._.LY." hidden="1">{"profit",#N/A,FALSE,"Aerospace";"profit",#N/A,FALSE,"Engines";"profit",#N/A,FALSE,"AES";"profit",#N/A,FALSE,"ES";"profit",#N/A,FALSE,"CAS";"profit",#N/A,FALSE,"ATSC";"profit",#N/A,FALSE,"FMT";"profit",#N/A,FALSE,"Aero Other";"profit",#N/A,FALSE,"Judgement"}</definedName>
    <definedName name="wrn.Profit._.V._.Prior._.Fcst.." localSheetId="17"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5"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2"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2"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1"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3"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8"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6"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27"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hidden="1">{"profit",#N/A,FALSE,"Aero V prior";"profit",#N/A,FALSE,"Eng V Prior";"profit",#N/A,FALSE,"AES V Prior";"profit",#N/A,FALSE,"ES V Prior";"profit",#N/A,FALSE,"CAS V Prior";"profit",#N/A,FALSE,"ATSC V Prior";"profit",#N/A,FALSE,"FMT V Prior";"profit",#N/A,FALSE,"Aero Other V Prior";"profit",#N/A,FALSE,"Judge V Prior"}</definedName>
    <definedName name="wrn.Pulp." localSheetId="17" hidden="1">{"Pulp Production",#N/A,FALSE,"Pulp";"Pulp Earnings",#N/A,FALSE,"Pulp"}</definedName>
    <definedName name="wrn.Pulp." localSheetId="15" hidden="1">{"Pulp Production",#N/A,FALSE,"Pulp";"Pulp Earnings",#N/A,FALSE,"Pulp"}</definedName>
    <definedName name="wrn.Pulp." localSheetId="12" hidden="1">{"Pulp Production",#N/A,FALSE,"Pulp";"Pulp Earnings",#N/A,FALSE,"Pulp"}</definedName>
    <definedName name="wrn.Pulp." localSheetId="22" hidden="1">{"Pulp Production",#N/A,FALSE,"Pulp";"Pulp Earnings",#N/A,FALSE,"Pulp"}</definedName>
    <definedName name="wrn.Pulp." localSheetId="20" hidden="1">{"Pulp Production",#N/A,FALSE,"Pulp";"Pulp Earnings",#N/A,FALSE,"Pulp"}</definedName>
    <definedName name="wrn.Pulp." localSheetId="21" hidden="1">{"Pulp Production",#N/A,FALSE,"Pulp";"Pulp Earnings",#N/A,FALSE,"Pulp"}</definedName>
    <definedName name="wrn.Pulp." localSheetId="23" hidden="1">{"Pulp Production",#N/A,FALSE,"Pulp";"Pulp Earnings",#N/A,FALSE,"Pulp"}</definedName>
    <definedName name="wrn.Pulp." localSheetId="1" hidden="1">{"Pulp Production",#N/A,FALSE,"Pulp";"Pulp Earnings",#N/A,FALSE,"Pulp"}</definedName>
    <definedName name="wrn.Pulp." localSheetId="28" hidden="1">{"Pulp Production",#N/A,FALSE,"Pulp";"Pulp Earnings",#N/A,FALSE,"Pulp"}</definedName>
    <definedName name="wrn.Pulp." localSheetId="26" hidden="1">{"Pulp Production",#N/A,FALSE,"Pulp";"Pulp Earnings",#N/A,FALSE,"Pulp"}</definedName>
    <definedName name="wrn.Pulp." localSheetId="27" hidden="1">{"Pulp Production",#N/A,FALSE,"Pulp";"Pulp Earnings",#N/A,FALSE,"Pulp"}</definedName>
    <definedName name="wrn.Pulp." hidden="1">{"Pulp Production",#N/A,FALSE,"Pulp";"Pulp Earnings",#N/A,FALSE,"Pulp"}</definedName>
    <definedName name="wrn.qrt95." localSheetId="17" hidden="1">{"qrt95",#N/A,FALSE,"BAIRNUMB"}</definedName>
    <definedName name="wrn.qrt95." localSheetId="15" hidden="1">{"qrt95",#N/A,FALSE,"BAIRNUMB"}</definedName>
    <definedName name="wrn.qrt95." localSheetId="12" hidden="1">{"qrt95",#N/A,FALSE,"BAIRNUMB"}</definedName>
    <definedName name="wrn.qrt95." localSheetId="22" hidden="1">{"qrt95",#N/A,FALSE,"BAIRNUMB"}</definedName>
    <definedName name="wrn.qrt95." localSheetId="20" hidden="1">{"qrt95",#N/A,FALSE,"BAIRNUMB"}</definedName>
    <definedName name="wrn.qrt95." localSheetId="21" hidden="1">{"qrt95",#N/A,FALSE,"BAIRNUMB"}</definedName>
    <definedName name="wrn.qrt95." localSheetId="23" hidden="1">{"qrt95",#N/A,FALSE,"BAIRNUMB"}</definedName>
    <definedName name="wrn.qrt95." localSheetId="1" hidden="1">{"qrt95",#N/A,FALSE,"BAIRNUMB"}</definedName>
    <definedName name="wrn.qrt95." localSheetId="28" hidden="1">{"qrt95",#N/A,FALSE,"BAIRNUMB"}</definedName>
    <definedName name="wrn.qrt95." localSheetId="26" hidden="1">{"qrt95",#N/A,FALSE,"BAIRNUMB"}</definedName>
    <definedName name="wrn.qrt95." localSheetId="27" hidden="1">{"qrt95",#N/A,FALSE,"BAIRNUMB"}</definedName>
    <definedName name="wrn.qrt95." hidden="1">{"qrt95",#N/A,FALSE,"BAIRNUMB"}</definedName>
    <definedName name="wrn.Qtr._.Op._.Q1." localSheetId="17" hidden="1">{"Qtr Op Mgd Q1",#N/A,FALSE,"Qtr-Op (Mng)";"Qtr Op Rpt Q1",#N/A,FALSE,"Qtr-Op (Rpt)";"Operating Vs Reported",#N/A,FALSE,"Rpt-Op Inc"}</definedName>
    <definedName name="wrn.Qtr._.Op._.Q1." localSheetId="15" hidden="1">{"Qtr Op Mgd Q1",#N/A,FALSE,"Qtr-Op (Mng)";"Qtr Op Rpt Q1",#N/A,FALSE,"Qtr-Op (Rpt)";"Operating Vs Reported",#N/A,FALSE,"Rpt-Op Inc"}</definedName>
    <definedName name="wrn.Qtr._.Op._.Q1." localSheetId="12" hidden="1">{"Qtr Op Mgd Q1",#N/A,FALSE,"Qtr-Op (Mng)";"Qtr Op Rpt Q1",#N/A,FALSE,"Qtr-Op (Rpt)";"Operating Vs Reported",#N/A,FALSE,"Rpt-Op Inc"}</definedName>
    <definedName name="wrn.Qtr._.Op._.Q1." localSheetId="22" hidden="1">{"Qtr Op Mgd Q1",#N/A,FALSE,"Qtr-Op (Mng)";"Qtr Op Rpt Q1",#N/A,FALSE,"Qtr-Op (Rpt)";"Operating Vs Reported",#N/A,FALSE,"Rpt-Op Inc"}</definedName>
    <definedName name="wrn.Qtr._.Op._.Q1." localSheetId="20" hidden="1">{"Qtr Op Mgd Q1",#N/A,FALSE,"Qtr-Op (Mng)";"Qtr Op Rpt Q1",#N/A,FALSE,"Qtr-Op (Rpt)";"Operating Vs Reported",#N/A,FALSE,"Rpt-Op Inc"}</definedName>
    <definedName name="wrn.Qtr._.Op._.Q1." localSheetId="21" hidden="1">{"Qtr Op Mgd Q1",#N/A,FALSE,"Qtr-Op (Mng)";"Qtr Op Rpt Q1",#N/A,FALSE,"Qtr-Op (Rpt)";"Operating Vs Reported",#N/A,FALSE,"Rpt-Op Inc"}</definedName>
    <definedName name="wrn.Qtr._.Op._.Q1." localSheetId="23" hidden="1">{"Qtr Op Mgd Q1",#N/A,FALSE,"Qtr-Op (Mng)";"Qtr Op Rpt Q1",#N/A,FALSE,"Qtr-Op (Rpt)";"Operating Vs Reported",#N/A,FALSE,"Rpt-Op Inc"}</definedName>
    <definedName name="wrn.Qtr._.Op._.Q1." localSheetId="1" hidden="1">{"Qtr Op Mgd Q1",#N/A,FALSE,"Qtr-Op (Mng)";"Qtr Op Rpt Q1",#N/A,FALSE,"Qtr-Op (Rpt)";"Operating Vs Reported",#N/A,FALSE,"Rpt-Op Inc"}</definedName>
    <definedName name="wrn.Qtr._.Op._.Q1." localSheetId="28" hidden="1">{"Qtr Op Mgd Q1",#N/A,FALSE,"Qtr-Op (Mng)";"Qtr Op Rpt Q1",#N/A,FALSE,"Qtr-Op (Rpt)";"Operating Vs Reported",#N/A,FALSE,"Rpt-Op Inc"}</definedName>
    <definedName name="wrn.Qtr._.Op._.Q1." localSheetId="26" hidden="1">{"Qtr Op Mgd Q1",#N/A,FALSE,"Qtr-Op (Mng)";"Qtr Op Rpt Q1",#N/A,FALSE,"Qtr-Op (Rpt)";"Operating Vs Reported",#N/A,FALSE,"Rpt-Op Inc"}</definedName>
    <definedName name="wrn.Qtr._.Op._.Q1." localSheetId="27"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17" hidden="1">{"Qtr Op Mgd Q2",#N/A,FALSE,"Qtr-Op (Mng)";"Qtr Op Rpt Q2",#N/A,FALSE,"Qtr-Op (Rpt)";"Operating Vs Reported",#N/A,FALSE,"Rpt-Op Inc"}</definedName>
    <definedName name="wrn.Qtr._.Op._.Q2." localSheetId="15" hidden="1">{"Qtr Op Mgd Q2",#N/A,FALSE,"Qtr-Op (Mng)";"Qtr Op Rpt Q2",#N/A,FALSE,"Qtr-Op (Rpt)";"Operating Vs Reported",#N/A,FALSE,"Rpt-Op Inc"}</definedName>
    <definedName name="wrn.Qtr._.Op._.Q2." localSheetId="12" hidden="1">{"Qtr Op Mgd Q2",#N/A,FALSE,"Qtr-Op (Mng)";"Qtr Op Rpt Q2",#N/A,FALSE,"Qtr-Op (Rpt)";"Operating Vs Reported",#N/A,FALSE,"Rpt-Op Inc"}</definedName>
    <definedName name="wrn.Qtr._.Op._.Q2." localSheetId="22" hidden="1">{"Qtr Op Mgd Q2",#N/A,FALSE,"Qtr-Op (Mng)";"Qtr Op Rpt Q2",#N/A,FALSE,"Qtr-Op (Rpt)";"Operating Vs Reported",#N/A,FALSE,"Rpt-Op Inc"}</definedName>
    <definedName name="wrn.Qtr._.Op._.Q2." localSheetId="20" hidden="1">{"Qtr Op Mgd Q2",#N/A,FALSE,"Qtr-Op (Mng)";"Qtr Op Rpt Q2",#N/A,FALSE,"Qtr-Op (Rpt)";"Operating Vs Reported",#N/A,FALSE,"Rpt-Op Inc"}</definedName>
    <definedName name="wrn.Qtr._.Op._.Q2." localSheetId="21" hidden="1">{"Qtr Op Mgd Q2",#N/A,FALSE,"Qtr-Op (Mng)";"Qtr Op Rpt Q2",#N/A,FALSE,"Qtr-Op (Rpt)";"Operating Vs Reported",#N/A,FALSE,"Rpt-Op Inc"}</definedName>
    <definedName name="wrn.Qtr._.Op._.Q2." localSheetId="23" hidden="1">{"Qtr Op Mgd Q2",#N/A,FALSE,"Qtr-Op (Mng)";"Qtr Op Rpt Q2",#N/A,FALSE,"Qtr-Op (Rpt)";"Operating Vs Reported",#N/A,FALSE,"Rpt-Op Inc"}</definedName>
    <definedName name="wrn.Qtr._.Op._.Q2." localSheetId="1" hidden="1">{"Qtr Op Mgd Q2",#N/A,FALSE,"Qtr-Op (Mng)";"Qtr Op Rpt Q2",#N/A,FALSE,"Qtr-Op (Rpt)";"Operating Vs Reported",#N/A,FALSE,"Rpt-Op Inc"}</definedName>
    <definedName name="wrn.Qtr._.Op._.Q2." localSheetId="28" hidden="1">{"Qtr Op Mgd Q2",#N/A,FALSE,"Qtr-Op (Mng)";"Qtr Op Rpt Q2",#N/A,FALSE,"Qtr-Op (Rpt)";"Operating Vs Reported",#N/A,FALSE,"Rpt-Op Inc"}</definedName>
    <definedName name="wrn.Qtr._.Op._.Q2." localSheetId="26" hidden="1">{"Qtr Op Mgd Q2",#N/A,FALSE,"Qtr-Op (Mng)";"Qtr Op Rpt Q2",#N/A,FALSE,"Qtr-Op (Rpt)";"Operating Vs Reported",#N/A,FALSE,"Rpt-Op Inc"}</definedName>
    <definedName name="wrn.Qtr._.Op._.Q2." localSheetId="27"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17" hidden="1">{"Qtr Op Mgd Q3",#N/A,FALSE,"Qtr-Op (Mng)";"Qtr Op Rpt Q3",#N/A,FALSE,"Qtr-Op (Rpt)";"Operating Vs Reported",#N/A,FALSE,"Rpt-Op Inc"}</definedName>
    <definedName name="wrn.Qtr._.Op._.Q3." localSheetId="15" hidden="1">{"Qtr Op Mgd Q3",#N/A,FALSE,"Qtr-Op (Mng)";"Qtr Op Rpt Q3",#N/A,FALSE,"Qtr-Op (Rpt)";"Operating Vs Reported",#N/A,FALSE,"Rpt-Op Inc"}</definedName>
    <definedName name="wrn.Qtr._.Op._.Q3." localSheetId="12" hidden="1">{"Qtr Op Mgd Q3",#N/A,FALSE,"Qtr-Op (Mng)";"Qtr Op Rpt Q3",#N/A,FALSE,"Qtr-Op (Rpt)";"Operating Vs Reported",#N/A,FALSE,"Rpt-Op Inc"}</definedName>
    <definedName name="wrn.Qtr._.Op._.Q3." localSheetId="22" hidden="1">{"Qtr Op Mgd Q3",#N/A,FALSE,"Qtr-Op (Mng)";"Qtr Op Rpt Q3",#N/A,FALSE,"Qtr-Op (Rpt)";"Operating Vs Reported",#N/A,FALSE,"Rpt-Op Inc"}</definedName>
    <definedName name="wrn.Qtr._.Op._.Q3." localSheetId="20" hidden="1">{"Qtr Op Mgd Q3",#N/A,FALSE,"Qtr-Op (Mng)";"Qtr Op Rpt Q3",#N/A,FALSE,"Qtr-Op (Rpt)";"Operating Vs Reported",#N/A,FALSE,"Rpt-Op Inc"}</definedName>
    <definedName name="wrn.Qtr._.Op._.Q3." localSheetId="21" hidden="1">{"Qtr Op Mgd Q3",#N/A,FALSE,"Qtr-Op (Mng)";"Qtr Op Rpt Q3",#N/A,FALSE,"Qtr-Op (Rpt)";"Operating Vs Reported",#N/A,FALSE,"Rpt-Op Inc"}</definedName>
    <definedName name="wrn.Qtr._.Op._.Q3." localSheetId="23" hidden="1">{"Qtr Op Mgd Q3",#N/A,FALSE,"Qtr-Op (Mng)";"Qtr Op Rpt Q3",#N/A,FALSE,"Qtr-Op (Rpt)";"Operating Vs Reported",#N/A,FALSE,"Rpt-Op Inc"}</definedName>
    <definedName name="wrn.Qtr._.Op._.Q3." localSheetId="1" hidden="1">{"Qtr Op Mgd Q3",#N/A,FALSE,"Qtr-Op (Mng)";"Qtr Op Rpt Q3",#N/A,FALSE,"Qtr-Op (Rpt)";"Operating Vs Reported",#N/A,FALSE,"Rpt-Op Inc"}</definedName>
    <definedName name="wrn.Qtr._.Op._.Q3." localSheetId="28" hidden="1">{"Qtr Op Mgd Q3",#N/A,FALSE,"Qtr-Op (Mng)";"Qtr Op Rpt Q3",#N/A,FALSE,"Qtr-Op (Rpt)";"Operating Vs Reported",#N/A,FALSE,"Rpt-Op Inc"}</definedName>
    <definedName name="wrn.Qtr._.Op._.Q3." localSheetId="26" hidden="1">{"Qtr Op Mgd Q3",#N/A,FALSE,"Qtr-Op (Mng)";"Qtr Op Rpt Q3",#N/A,FALSE,"Qtr-Op (Rpt)";"Operating Vs Reported",#N/A,FALSE,"Rpt-Op Inc"}</definedName>
    <definedName name="wrn.Qtr._.Op._.Q3." localSheetId="27"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17" hidden="1">{"Qtr Op Mgd Q3",#N/A,FALSE,"Qtr-Op (Mng)";"Qtr Op Rpt Q4",#N/A,FALSE,"Qtr-Op (Rpt)";"Operating Vs Reported",#N/A,FALSE,"Rpt-Op Inc"}</definedName>
    <definedName name="wrn.Qtr._.Op._.Q4." localSheetId="15" hidden="1">{"Qtr Op Mgd Q3",#N/A,FALSE,"Qtr-Op (Mng)";"Qtr Op Rpt Q4",#N/A,FALSE,"Qtr-Op (Rpt)";"Operating Vs Reported",#N/A,FALSE,"Rpt-Op Inc"}</definedName>
    <definedName name="wrn.Qtr._.Op._.Q4." localSheetId="12" hidden="1">{"Qtr Op Mgd Q3",#N/A,FALSE,"Qtr-Op (Mng)";"Qtr Op Rpt Q4",#N/A,FALSE,"Qtr-Op (Rpt)";"Operating Vs Reported",#N/A,FALSE,"Rpt-Op Inc"}</definedName>
    <definedName name="wrn.Qtr._.Op._.Q4." localSheetId="22" hidden="1">{"Qtr Op Mgd Q3",#N/A,FALSE,"Qtr-Op (Mng)";"Qtr Op Rpt Q4",#N/A,FALSE,"Qtr-Op (Rpt)";"Operating Vs Reported",#N/A,FALSE,"Rpt-Op Inc"}</definedName>
    <definedName name="wrn.Qtr._.Op._.Q4." localSheetId="20" hidden="1">{"Qtr Op Mgd Q3",#N/A,FALSE,"Qtr-Op (Mng)";"Qtr Op Rpt Q4",#N/A,FALSE,"Qtr-Op (Rpt)";"Operating Vs Reported",#N/A,FALSE,"Rpt-Op Inc"}</definedName>
    <definedName name="wrn.Qtr._.Op._.Q4." localSheetId="21" hidden="1">{"Qtr Op Mgd Q3",#N/A,FALSE,"Qtr-Op (Mng)";"Qtr Op Rpt Q4",#N/A,FALSE,"Qtr-Op (Rpt)";"Operating Vs Reported",#N/A,FALSE,"Rpt-Op Inc"}</definedName>
    <definedName name="wrn.Qtr._.Op._.Q4." localSheetId="23"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28" hidden="1">{"Qtr Op Mgd Q3",#N/A,FALSE,"Qtr-Op (Mng)";"Qtr Op Rpt Q4",#N/A,FALSE,"Qtr-Op (Rpt)";"Operating Vs Reported",#N/A,FALSE,"Rpt-Op Inc"}</definedName>
    <definedName name="wrn.Qtr._.Op._.Q4." localSheetId="26" hidden="1">{"Qtr Op Mgd Q3",#N/A,FALSE,"Qtr-Op (Mng)";"Qtr Op Rpt Q4",#N/A,FALSE,"Qtr-Op (Rpt)";"Operating Vs Reported",#N/A,FALSE,"Rpt-Op Inc"}</definedName>
    <definedName name="wrn.Qtr._.Op._.Q4." localSheetId="27"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17" hidden="1">{"Qtr Op Mgd Q2",#N/A,FALSE,"Qtr-Op (Mng)";"Qtr Op Rpt Q2",#N/A,FALSE,"Qtr-Op (Rpt)";"Operating Vs Reported",#N/A,FALSE,"Rpt-Op Inc"}</definedName>
    <definedName name="wrn.Qtr._.Op._Q2a." localSheetId="15" hidden="1">{"Qtr Op Mgd Q2",#N/A,FALSE,"Qtr-Op (Mng)";"Qtr Op Rpt Q2",#N/A,FALSE,"Qtr-Op (Rpt)";"Operating Vs Reported",#N/A,FALSE,"Rpt-Op Inc"}</definedName>
    <definedName name="wrn.Qtr._.Op._Q2a." localSheetId="12" hidden="1">{"Qtr Op Mgd Q2",#N/A,FALSE,"Qtr-Op (Mng)";"Qtr Op Rpt Q2",#N/A,FALSE,"Qtr-Op (Rpt)";"Operating Vs Reported",#N/A,FALSE,"Rpt-Op Inc"}</definedName>
    <definedName name="wrn.Qtr._.Op._Q2a." localSheetId="22" hidden="1">{"Qtr Op Mgd Q2",#N/A,FALSE,"Qtr-Op (Mng)";"Qtr Op Rpt Q2",#N/A,FALSE,"Qtr-Op (Rpt)";"Operating Vs Reported",#N/A,FALSE,"Rpt-Op Inc"}</definedName>
    <definedName name="wrn.Qtr._.Op._Q2a." localSheetId="20" hidden="1">{"Qtr Op Mgd Q2",#N/A,FALSE,"Qtr-Op (Mng)";"Qtr Op Rpt Q2",#N/A,FALSE,"Qtr-Op (Rpt)";"Operating Vs Reported",#N/A,FALSE,"Rpt-Op Inc"}</definedName>
    <definedName name="wrn.Qtr._.Op._Q2a." localSheetId="21" hidden="1">{"Qtr Op Mgd Q2",#N/A,FALSE,"Qtr-Op (Mng)";"Qtr Op Rpt Q2",#N/A,FALSE,"Qtr-Op (Rpt)";"Operating Vs Reported",#N/A,FALSE,"Rpt-Op Inc"}</definedName>
    <definedName name="wrn.Qtr._.Op._Q2a." localSheetId="23" hidden="1">{"Qtr Op Mgd Q2",#N/A,FALSE,"Qtr-Op (Mng)";"Qtr Op Rpt Q2",#N/A,FALSE,"Qtr-Op (Rpt)";"Operating Vs Reported",#N/A,FALSE,"Rpt-Op Inc"}</definedName>
    <definedName name="wrn.Qtr._.Op._Q2a." localSheetId="1" hidden="1">{"Qtr Op Mgd Q2",#N/A,FALSE,"Qtr-Op (Mng)";"Qtr Op Rpt Q2",#N/A,FALSE,"Qtr-Op (Rpt)";"Operating Vs Reported",#N/A,FALSE,"Rpt-Op Inc"}</definedName>
    <definedName name="wrn.Qtr._.Op._Q2a." localSheetId="28" hidden="1">{"Qtr Op Mgd Q2",#N/A,FALSE,"Qtr-Op (Mng)";"Qtr Op Rpt Q2",#N/A,FALSE,"Qtr-Op (Rpt)";"Operating Vs Reported",#N/A,FALSE,"Rpt-Op Inc"}</definedName>
    <definedName name="wrn.Qtr._.Op._Q2a." localSheetId="26" hidden="1">{"Qtr Op Mgd Q2",#N/A,FALSE,"Qtr-Op (Mng)";"Qtr Op Rpt Q2",#N/A,FALSE,"Qtr-Op (Rpt)";"Operating Vs Reported",#N/A,FALSE,"Rpt-Op Inc"}</definedName>
    <definedName name="wrn.Qtr._.Op._Q2a." localSheetId="27"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17" hidden="1">{"Qtr Op Mgd Q3",#N/A,FALSE,"Qtr-Op (Mng)";"Qtr Op Rpt Q4",#N/A,FALSE,"Qtr-Op (Rpt)";"Operating Vs Reported",#N/A,FALSE,"Rpt-Op Inc"}</definedName>
    <definedName name="wrn.Qtr_.Op._.Q4." localSheetId="15" hidden="1">{"Qtr Op Mgd Q3",#N/A,FALSE,"Qtr-Op (Mng)";"Qtr Op Rpt Q4",#N/A,FALSE,"Qtr-Op (Rpt)";"Operating Vs Reported",#N/A,FALSE,"Rpt-Op Inc"}</definedName>
    <definedName name="wrn.Qtr_.Op._.Q4." localSheetId="12" hidden="1">{"Qtr Op Mgd Q3",#N/A,FALSE,"Qtr-Op (Mng)";"Qtr Op Rpt Q4",#N/A,FALSE,"Qtr-Op (Rpt)";"Operating Vs Reported",#N/A,FALSE,"Rpt-Op Inc"}</definedName>
    <definedName name="wrn.Qtr_.Op._.Q4." localSheetId="22" hidden="1">{"Qtr Op Mgd Q3",#N/A,FALSE,"Qtr-Op (Mng)";"Qtr Op Rpt Q4",#N/A,FALSE,"Qtr-Op (Rpt)";"Operating Vs Reported",#N/A,FALSE,"Rpt-Op Inc"}</definedName>
    <definedName name="wrn.Qtr_.Op._.Q4." localSheetId="20" hidden="1">{"Qtr Op Mgd Q3",#N/A,FALSE,"Qtr-Op (Mng)";"Qtr Op Rpt Q4",#N/A,FALSE,"Qtr-Op (Rpt)";"Operating Vs Reported",#N/A,FALSE,"Rpt-Op Inc"}</definedName>
    <definedName name="wrn.Qtr_.Op._.Q4." localSheetId="21" hidden="1">{"Qtr Op Mgd Q3",#N/A,FALSE,"Qtr-Op (Mng)";"Qtr Op Rpt Q4",#N/A,FALSE,"Qtr-Op (Rpt)";"Operating Vs Reported",#N/A,FALSE,"Rpt-Op Inc"}</definedName>
    <definedName name="wrn.Qtr_.Op._.Q4." localSheetId="23"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28" hidden="1">{"Qtr Op Mgd Q3",#N/A,FALSE,"Qtr-Op (Mng)";"Qtr Op Rpt Q4",#N/A,FALSE,"Qtr-Op (Rpt)";"Operating Vs Reported",#N/A,FALSE,"Rpt-Op Inc"}</definedName>
    <definedName name="wrn.Qtr_.Op._.Q4." localSheetId="26" hidden="1">{"Qtr Op Mgd Q3",#N/A,FALSE,"Qtr-Op (Mng)";"Qtr Op Rpt Q4",#N/A,FALSE,"Qtr-Op (Rpt)";"Operating Vs Reported",#N/A,FALSE,"Rpt-Op Inc"}</definedName>
    <definedName name="wrn.Qtr_.Op._.Q4." localSheetId="27"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17" hidden="1">{"quarterly",#N/A,FALSE,"BAIRNUMB"}</definedName>
    <definedName name="wrn.quarterly." localSheetId="15" hidden="1">{"quarterly",#N/A,FALSE,"BAIRNUMB"}</definedName>
    <definedName name="wrn.quarterly." localSheetId="12" hidden="1">{"quarterly",#N/A,FALSE,"BAIRNUMB"}</definedName>
    <definedName name="wrn.quarterly." localSheetId="22" hidden="1">{"quarterly",#N/A,FALSE,"BAIRNUMB"}</definedName>
    <definedName name="wrn.quarterly." localSheetId="20" hidden="1">{"quarterly",#N/A,FALSE,"BAIRNUMB"}</definedName>
    <definedName name="wrn.quarterly." localSheetId="21" hidden="1">{"quarterly",#N/A,FALSE,"BAIRNUMB"}</definedName>
    <definedName name="wrn.quarterly." localSheetId="23" hidden="1">{"quarterly",#N/A,FALSE,"BAIRNUMB"}</definedName>
    <definedName name="wrn.quarterly." localSheetId="1" hidden="1">{"quarterly",#N/A,FALSE,"BAIRNUMB"}</definedName>
    <definedName name="wrn.quarterly." localSheetId="28" hidden="1">{"quarterly",#N/A,FALSE,"BAIRNUMB"}</definedName>
    <definedName name="wrn.quarterly." localSheetId="26" hidden="1">{"quarterly",#N/A,FALSE,"BAIRNUMB"}</definedName>
    <definedName name="wrn.quarterly." localSheetId="27" hidden="1">{"quarterly",#N/A,FALSE,"BAIRNUMB"}</definedName>
    <definedName name="wrn.quarterly." hidden="1">{"quarterly",#N/A,FALSE,"BAIRNUMB"}</definedName>
    <definedName name="wrn.Refining." localSheetId="17" hidden="1">{"Refining",#N/A,FALSE,"Refining"}</definedName>
    <definedName name="wrn.Refining." localSheetId="15" hidden="1">{"Refining",#N/A,FALSE,"Refining"}</definedName>
    <definedName name="wrn.Refining." localSheetId="12" hidden="1">{"Refining",#N/A,FALSE,"Refining"}</definedName>
    <definedName name="wrn.Refining." localSheetId="22" hidden="1">{"Refining",#N/A,FALSE,"Refining"}</definedName>
    <definedName name="wrn.Refining." localSheetId="20" hidden="1">{"Refining",#N/A,FALSE,"Refining"}</definedName>
    <definedName name="wrn.Refining." localSheetId="21" hidden="1">{"Refining",#N/A,FALSE,"Refining"}</definedName>
    <definedName name="wrn.Refining." localSheetId="23" hidden="1">{"Refining",#N/A,FALSE,"Refining"}</definedName>
    <definedName name="wrn.Refining." localSheetId="1" hidden="1">{"Refining",#N/A,FALSE,"Refining"}</definedName>
    <definedName name="wrn.Refining." localSheetId="28" hidden="1">{"Refining",#N/A,FALSE,"Refining"}</definedName>
    <definedName name="wrn.Refining." localSheetId="26" hidden="1">{"Refining",#N/A,FALSE,"Refining"}</definedName>
    <definedName name="wrn.Refining." localSheetId="27" hidden="1">{"Refining",#N/A,FALSE,"Refining"}</definedName>
    <definedName name="wrn.Refining." hidden="1">{"Refining",#N/A,FALSE,"Refining"}</definedName>
    <definedName name="wrn.Report." localSheetId="17" hidden="1">{#N/A,#N/A,FALSE,"COVER";#N/A,#N/A,FALSE,"FORECAST";#N/A,#N/A,FALSE,"VALUATION";#N/A,#N/A,FALSE,"FY ANALYSIS ";#N/A,#N/A,FALSE," HY ANALYSIS"}</definedName>
    <definedName name="wrn.Report." localSheetId="15" hidden="1">{#N/A,#N/A,FALSE,"COVER";#N/A,#N/A,FALSE,"FORECAST";#N/A,#N/A,FALSE,"VALUATION";#N/A,#N/A,FALSE,"FY ANALYSIS ";#N/A,#N/A,FALSE," HY ANALYSIS"}</definedName>
    <definedName name="wrn.Report." localSheetId="12" hidden="1">{#N/A,#N/A,FALSE,"COVER";#N/A,#N/A,FALSE,"FORECAST";#N/A,#N/A,FALSE,"VALUATION";#N/A,#N/A,FALSE,"FY ANALYSIS ";#N/A,#N/A,FALSE," HY ANALYSIS"}</definedName>
    <definedName name="wrn.Report." localSheetId="22" hidden="1">{#N/A,#N/A,FALSE,"COVER";#N/A,#N/A,FALSE,"FORECAST";#N/A,#N/A,FALSE,"VALUATION";#N/A,#N/A,FALSE,"FY ANALYSIS ";#N/A,#N/A,FALSE," HY ANALYSIS"}</definedName>
    <definedName name="wrn.Report." localSheetId="20" hidden="1">{#N/A,#N/A,FALSE,"COVER";#N/A,#N/A,FALSE,"FORECAST";#N/A,#N/A,FALSE,"VALUATION";#N/A,#N/A,FALSE,"FY ANALYSIS ";#N/A,#N/A,FALSE," HY ANALYSIS"}</definedName>
    <definedName name="wrn.Report." localSheetId="21" hidden="1">{#N/A,#N/A,FALSE,"COVER";#N/A,#N/A,FALSE,"FORECAST";#N/A,#N/A,FALSE,"VALUATION";#N/A,#N/A,FALSE,"FY ANALYSIS ";#N/A,#N/A,FALSE," HY ANALYSIS"}</definedName>
    <definedName name="wrn.Report." localSheetId="23" hidden="1">{#N/A,#N/A,FALSE,"COVER";#N/A,#N/A,FALSE,"FORECAST";#N/A,#N/A,FALSE,"VALUATION";#N/A,#N/A,FALSE,"FY ANALYSIS ";#N/A,#N/A,FALSE," HY ANALYSIS"}</definedName>
    <definedName name="wrn.Report." localSheetId="1" hidden="1">{#N/A,#N/A,FALSE,"COVER";#N/A,#N/A,FALSE,"FORECAST";#N/A,#N/A,FALSE,"VALUATION";#N/A,#N/A,FALSE,"FY ANALYSIS ";#N/A,#N/A,FALSE," HY ANALYSIS"}</definedName>
    <definedName name="wrn.Report." localSheetId="28" hidden="1">{#N/A,#N/A,FALSE,"COVER";#N/A,#N/A,FALSE,"FORECAST";#N/A,#N/A,FALSE,"VALUATION";#N/A,#N/A,FALSE,"FY ANALYSIS ";#N/A,#N/A,FALSE," HY ANALYSIS"}</definedName>
    <definedName name="wrn.Report." localSheetId="26" hidden="1">{#N/A,#N/A,FALSE,"COVER";#N/A,#N/A,FALSE,"FORECAST";#N/A,#N/A,FALSE,"VALUATION";#N/A,#N/A,FALSE,"FY ANALYSIS ";#N/A,#N/A,FALSE," HY ANALYSIS"}</definedName>
    <definedName name="wrn.Report." localSheetId="27" hidden="1">{#N/A,#N/A,FALSE,"COVER";#N/A,#N/A,FALSE,"FORECAST";#N/A,#N/A,FALSE,"VALUATION";#N/A,#N/A,FALSE,"FY ANALYSIS ";#N/A,#N/A,FALSE," HY ANALYSIS"}</definedName>
    <definedName name="wrn.Report." hidden="1">{#N/A,#N/A,FALSE,"COVER";#N/A,#N/A,FALSE,"FORECAST";#N/A,#N/A,FALSE,"VALUATION";#N/A,#N/A,FALSE,"FY ANALYSIS ";#N/A,#N/A,FALSE," HY ANALYSIS"}</definedName>
    <definedName name="wrn.revenue._.historical." localSheetId="1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5"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2"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0"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3"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27"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obert." localSheetId="17" hidden="1">{"ROR",#N/A,FALSE,"CF";"Total",#N/A,FALSE,"Reserve Report";"HPDP",#N/A,FALSE,"Reserve Report";"PPDP",#N/A,FALSE,"Reserve Report";"PDNP",#N/A,FALSE,"Reserve Report";"PUD",#N/A,FALSE,"Reserve Report";"Price",#N/A,FALSE,"Reserve Report"}</definedName>
    <definedName name="wrn.Robert." localSheetId="15" hidden="1">{"ROR",#N/A,FALSE,"CF";"Total",#N/A,FALSE,"Reserve Report";"HPDP",#N/A,FALSE,"Reserve Report";"PPDP",#N/A,FALSE,"Reserve Report";"PDNP",#N/A,FALSE,"Reserve Report";"PUD",#N/A,FALSE,"Reserve Report";"Price",#N/A,FALSE,"Reserve Report"}</definedName>
    <definedName name="wrn.Robert." localSheetId="12" hidden="1">{"ROR",#N/A,FALSE,"CF";"Total",#N/A,FALSE,"Reserve Report";"HPDP",#N/A,FALSE,"Reserve Report";"PPDP",#N/A,FALSE,"Reserve Report";"PDNP",#N/A,FALSE,"Reserve Report";"PUD",#N/A,FALSE,"Reserve Report";"Price",#N/A,FALSE,"Reserve Report"}</definedName>
    <definedName name="wrn.Robert." localSheetId="22" hidden="1">{"ROR",#N/A,FALSE,"CF";"Total",#N/A,FALSE,"Reserve Report";"HPDP",#N/A,FALSE,"Reserve Report";"PPDP",#N/A,FALSE,"Reserve Report";"PDNP",#N/A,FALSE,"Reserve Report";"PUD",#N/A,FALSE,"Reserve Report";"Price",#N/A,FALSE,"Reserve Report"}</definedName>
    <definedName name="wrn.Robert." localSheetId="20" hidden="1">{"ROR",#N/A,FALSE,"CF";"Total",#N/A,FALSE,"Reserve Report";"HPDP",#N/A,FALSE,"Reserve Report";"PPDP",#N/A,FALSE,"Reserve Report";"PDNP",#N/A,FALSE,"Reserve Report";"PUD",#N/A,FALSE,"Reserve Report";"Price",#N/A,FALSE,"Reserve Report"}</definedName>
    <definedName name="wrn.Robert." localSheetId="21" hidden="1">{"ROR",#N/A,FALSE,"CF";"Total",#N/A,FALSE,"Reserve Report";"HPDP",#N/A,FALSE,"Reserve Report";"PPDP",#N/A,FALSE,"Reserve Report";"PDNP",#N/A,FALSE,"Reserve Report";"PUD",#N/A,FALSE,"Reserve Report";"Price",#N/A,FALSE,"Reserve Report"}</definedName>
    <definedName name="wrn.Robert." localSheetId="23" hidden="1">{"ROR",#N/A,FALSE,"CF";"Total",#N/A,FALSE,"Reserve Report";"HPDP",#N/A,FALSE,"Reserve Report";"PPDP",#N/A,FALSE,"Reserve Report";"PDNP",#N/A,FALSE,"Reserve Report";"PUD",#N/A,FALSE,"Reserve Report";"Price",#N/A,FALSE,"Reserve Report"}</definedName>
    <definedName name="wrn.Robert." localSheetId="1" hidden="1">{"ROR",#N/A,FALSE,"CF";"Total",#N/A,FALSE,"Reserve Report";"HPDP",#N/A,FALSE,"Reserve Report";"PPDP",#N/A,FALSE,"Reserve Report";"PDNP",#N/A,FALSE,"Reserve Report";"PUD",#N/A,FALSE,"Reserve Report";"Price",#N/A,FALSE,"Reserve Report"}</definedName>
    <definedName name="wrn.Robert." localSheetId="28" hidden="1">{"ROR",#N/A,FALSE,"CF";"Total",#N/A,FALSE,"Reserve Report";"HPDP",#N/A,FALSE,"Reserve Report";"PPDP",#N/A,FALSE,"Reserve Report";"PDNP",#N/A,FALSE,"Reserve Report";"PUD",#N/A,FALSE,"Reserve Report";"Price",#N/A,FALSE,"Reserve Report"}</definedName>
    <definedName name="wrn.Robert." localSheetId="26" hidden="1">{"ROR",#N/A,FALSE,"CF";"Total",#N/A,FALSE,"Reserve Report";"HPDP",#N/A,FALSE,"Reserve Report";"PPDP",#N/A,FALSE,"Reserve Report";"PDNP",#N/A,FALSE,"Reserve Report";"PUD",#N/A,FALSE,"Reserve Report";"Price",#N/A,FALSE,"Reserve Report"}</definedName>
    <definedName name="wrn.Robert." localSheetId="27"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17" hidden="1">{"Total",#N/A,FALSE,"Six Fields";"PDP",#N/A,FALSE,"Six Fields";"PNP",#N/A,FALSE,"Six Fields";"PUD",#N/A,FALSE,"Six Fields";"Prob",#N/A,FALSE,"Six Fields"}</definedName>
    <definedName name="wrn.Roll._.Up._.Fields." localSheetId="15" hidden="1">{"Total",#N/A,FALSE,"Six Fields";"PDP",#N/A,FALSE,"Six Fields";"PNP",#N/A,FALSE,"Six Fields";"PUD",#N/A,FALSE,"Six Fields";"Prob",#N/A,FALSE,"Six Fields"}</definedName>
    <definedName name="wrn.Roll._.Up._.Fields." localSheetId="12" hidden="1">{"Total",#N/A,FALSE,"Six Fields";"PDP",#N/A,FALSE,"Six Fields";"PNP",#N/A,FALSE,"Six Fields";"PUD",#N/A,FALSE,"Six Fields";"Prob",#N/A,FALSE,"Six Fields"}</definedName>
    <definedName name="wrn.Roll._.Up._.Fields." localSheetId="22" hidden="1">{"Total",#N/A,FALSE,"Six Fields";"PDP",#N/A,FALSE,"Six Fields";"PNP",#N/A,FALSE,"Six Fields";"PUD",#N/A,FALSE,"Six Fields";"Prob",#N/A,FALSE,"Six Fields"}</definedName>
    <definedName name="wrn.Roll._.Up._.Fields." localSheetId="20" hidden="1">{"Total",#N/A,FALSE,"Six Fields";"PDP",#N/A,FALSE,"Six Fields";"PNP",#N/A,FALSE,"Six Fields";"PUD",#N/A,FALSE,"Six Fields";"Prob",#N/A,FALSE,"Six Fields"}</definedName>
    <definedName name="wrn.Roll._.Up._.Fields." localSheetId="21" hidden="1">{"Total",#N/A,FALSE,"Six Fields";"PDP",#N/A,FALSE,"Six Fields";"PNP",#N/A,FALSE,"Six Fields";"PUD",#N/A,FALSE,"Six Fields";"Prob",#N/A,FALSE,"Six Fields"}</definedName>
    <definedName name="wrn.Roll._.Up._.Fields." localSheetId="23" hidden="1">{"Total",#N/A,FALSE,"Six Fields";"PDP",#N/A,FALSE,"Six Fields";"PNP",#N/A,FALSE,"Six Fields";"PUD",#N/A,FALSE,"Six Fields";"Prob",#N/A,FALSE,"Six Fields"}</definedName>
    <definedName name="wrn.Roll._.Up._.Fields." localSheetId="1" hidden="1">{"Total",#N/A,FALSE,"Six Fields";"PDP",#N/A,FALSE,"Six Fields";"PNP",#N/A,FALSE,"Six Fields";"PUD",#N/A,FALSE,"Six Fields";"Prob",#N/A,FALSE,"Six Fields"}</definedName>
    <definedName name="wrn.Roll._.Up._.Fields." localSheetId="28" hidden="1">{"Total",#N/A,FALSE,"Six Fields";"PDP",#N/A,FALSE,"Six Fields";"PNP",#N/A,FALSE,"Six Fields";"PUD",#N/A,FALSE,"Six Fields";"Prob",#N/A,FALSE,"Six Fields"}</definedName>
    <definedName name="wrn.Roll._.Up._.Fields." localSheetId="26" hidden="1">{"Total",#N/A,FALSE,"Six Fields";"PDP",#N/A,FALSE,"Six Fields";"PNP",#N/A,FALSE,"Six Fields";"PUD",#N/A,FALSE,"Six Fields";"Prob",#N/A,FALSE,"Six Fields"}</definedName>
    <definedName name="wrn.Roll._.Up._.Fields." localSheetId="27"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segment._.EPS." localSheetId="17" hidden="1">{"segment_EPS",#N/A,FALSE,"TXTCOMPS"}</definedName>
    <definedName name="wrn.segment._.EPS." localSheetId="15" hidden="1">{"segment_EPS",#N/A,FALSE,"TXTCOMPS"}</definedName>
    <definedName name="wrn.segment._.EPS." localSheetId="12" hidden="1">{"segment_EPS",#N/A,FALSE,"TXTCOMPS"}</definedName>
    <definedName name="wrn.segment._.EPS." localSheetId="22" hidden="1">{"segment_EPS",#N/A,FALSE,"TXTCOMPS"}</definedName>
    <definedName name="wrn.segment._.EPS." localSheetId="20" hidden="1">{"segment_EPS",#N/A,FALSE,"TXTCOMPS"}</definedName>
    <definedName name="wrn.segment._.EPS." localSheetId="21" hidden="1">{"segment_EPS",#N/A,FALSE,"TXTCOMPS"}</definedName>
    <definedName name="wrn.segment._.EPS." localSheetId="23" hidden="1">{"segment_EPS",#N/A,FALSE,"TXTCOMPS"}</definedName>
    <definedName name="wrn.segment._.EPS." localSheetId="1" hidden="1">{"segment_EPS",#N/A,FALSE,"TXTCOMPS"}</definedName>
    <definedName name="wrn.segment._.EPS." localSheetId="28" hidden="1">{"segment_EPS",#N/A,FALSE,"TXTCOMPS"}</definedName>
    <definedName name="wrn.segment._.EPS." localSheetId="26" hidden="1">{"segment_EPS",#N/A,FALSE,"TXTCOMPS"}</definedName>
    <definedName name="wrn.segment._.EPS." localSheetId="27" hidden="1">{"segment_EPS",#N/A,FALSE,"TXTCOMPS"}</definedName>
    <definedName name="wrn.segment._.EPS." hidden="1">{"segment_EPS",#N/A,FALSE,"TXTCOMPS"}</definedName>
    <definedName name="wrn.SGPMODELS." localSheetId="17" hidden="1">{"QTRINC1",#N/A,FALSE,"SGPNEW";"QTRINC2",#N/A,FALSE,"SGPNEW";"USSALES1",#N/A,FALSE,"SGPNEW";"USSALES2",#N/A,FALSE,"SGPNEW";"INTLSALES1",#N/A,FALSE,"SGPNEW";"INTLSALES2",#N/A,FALSE,"SGPNEW";"WWSALES1",#N/A,FALSE,"SGPNEW";"WWSALES2",#N/A,FALSE,"SGPNEW";"NEWPRODS",#N/A,FALSE,"SGPNEW";"CASHFLOW",#N/A,FALSE,"SGPNEW"}</definedName>
    <definedName name="wrn.SGPMODELS." localSheetId="15" hidden="1">{"QTRINC1",#N/A,FALSE,"SGPNEW";"QTRINC2",#N/A,FALSE,"SGPNEW";"USSALES1",#N/A,FALSE,"SGPNEW";"USSALES2",#N/A,FALSE,"SGPNEW";"INTLSALES1",#N/A,FALSE,"SGPNEW";"INTLSALES2",#N/A,FALSE,"SGPNEW";"WWSALES1",#N/A,FALSE,"SGPNEW";"WWSALES2",#N/A,FALSE,"SGPNEW";"NEWPRODS",#N/A,FALSE,"SGPNEW";"CASHFLOW",#N/A,FALSE,"SGPNEW"}</definedName>
    <definedName name="wrn.SGPMODELS." localSheetId="12" hidden="1">{"QTRINC1",#N/A,FALSE,"SGPNEW";"QTRINC2",#N/A,FALSE,"SGPNEW";"USSALES1",#N/A,FALSE,"SGPNEW";"USSALES2",#N/A,FALSE,"SGPNEW";"INTLSALES1",#N/A,FALSE,"SGPNEW";"INTLSALES2",#N/A,FALSE,"SGPNEW";"WWSALES1",#N/A,FALSE,"SGPNEW";"WWSALES2",#N/A,FALSE,"SGPNEW";"NEWPRODS",#N/A,FALSE,"SGPNEW";"CASHFLOW",#N/A,FALSE,"SGPNEW"}</definedName>
    <definedName name="wrn.SGPMODELS." localSheetId="22" hidden="1">{"QTRINC1",#N/A,FALSE,"SGPNEW";"QTRINC2",#N/A,FALSE,"SGPNEW";"USSALES1",#N/A,FALSE,"SGPNEW";"USSALES2",#N/A,FALSE,"SGPNEW";"INTLSALES1",#N/A,FALSE,"SGPNEW";"INTLSALES2",#N/A,FALSE,"SGPNEW";"WWSALES1",#N/A,FALSE,"SGPNEW";"WWSALES2",#N/A,FALSE,"SGPNEW";"NEWPRODS",#N/A,FALSE,"SGPNEW";"CASHFLOW",#N/A,FALSE,"SGPNEW"}</definedName>
    <definedName name="wrn.SGPMODELS." localSheetId="20" hidden="1">{"QTRINC1",#N/A,FALSE,"SGPNEW";"QTRINC2",#N/A,FALSE,"SGPNEW";"USSALES1",#N/A,FALSE,"SGPNEW";"USSALES2",#N/A,FALSE,"SGPNEW";"INTLSALES1",#N/A,FALSE,"SGPNEW";"INTLSALES2",#N/A,FALSE,"SGPNEW";"WWSALES1",#N/A,FALSE,"SGPNEW";"WWSALES2",#N/A,FALSE,"SGPNEW";"NEWPRODS",#N/A,FALSE,"SGPNEW";"CASHFLOW",#N/A,FALSE,"SGPNEW"}</definedName>
    <definedName name="wrn.SGPMODELS." localSheetId="21" hidden="1">{"QTRINC1",#N/A,FALSE,"SGPNEW";"QTRINC2",#N/A,FALSE,"SGPNEW";"USSALES1",#N/A,FALSE,"SGPNEW";"USSALES2",#N/A,FALSE,"SGPNEW";"INTLSALES1",#N/A,FALSE,"SGPNEW";"INTLSALES2",#N/A,FALSE,"SGPNEW";"WWSALES1",#N/A,FALSE,"SGPNEW";"WWSALES2",#N/A,FALSE,"SGPNEW";"NEWPRODS",#N/A,FALSE,"SGPNEW";"CASHFLOW",#N/A,FALSE,"SGPNEW"}</definedName>
    <definedName name="wrn.SGPMODELS." localSheetId="23" hidden="1">{"QTRINC1",#N/A,FALSE,"SGPNEW";"QTRINC2",#N/A,FALSE,"SGPNEW";"USSALES1",#N/A,FALSE,"SGPNEW";"USSALES2",#N/A,FALSE,"SGPNEW";"INTLSALES1",#N/A,FALSE,"SGPNEW";"INTLSALES2",#N/A,FALSE,"SGPNEW";"WWSALES1",#N/A,FALSE,"SGPNEW";"WWSALES2",#N/A,FALSE,"SGPNEW";"NEWPRODS",#N/A,FALSE,"SGPNEW";"CASHFLOW",#N/A,FALSE,"SGPNEW"}</definedName>
    <definedName name="wrn.SGPMODELS." localSheetId="1" hidden="1">{"QTRINC1",#N/A,FALSE,"SGPNEW";"QTRINC2",#N/A,FALSE,"SGPNEW";"USSALES1",#N/A,FALSE,"SGPNEW";"USSALES2",#N/A,FALSE,"SGPNEW";"INTLSALES1",#N/A,FALSE,"SGPNEW";"INTLSALES2",#N/A,FALSE,"SGPNEW";"WWSALES1",#N/A,FALSE,"SGPNEW";"WWSALES2",#N/A,FALSE,"SGPNEW";"NEWPRODS",#N/A,FALSE,"SGPNEW";"CASHFLOW",#N/A,FALSE,"SGPNEW"}</definedName>
    <definedName name="wrn.SGPMODELS." localSheetId="28" hidden="1">{"QTRINC1",#N/A,FALSE,"SGPNEW";"QTRINC2",#N/A,FALSE,"SGPNEW";"USSALES1",#N/A,FALSE,"SGPNEW";"USSALES2",#N/A,FALSE,"SGPNEW";"INTLSALES1",#N/A,FALSE,"SGPNEW";"INTLSALES2",#N/A,FALSE,"SGPNEW";"WWSALES1",#N/A,FALSE,"SGPNEW";"WWSALES2",#N/A,FALSE,"SGPNEW";"NEWPRODS",#N/A,FALSE,"SGPNEW";"CASHFLOW",#N/A,FALSE,"SGPNEW"}</definedName>
    <definedName name="wrn.SGPMODELS." localSheetId="26" hidden="1">{"QTRINC1",#N/A,FALSE,"SGPNEW";"QTRINC2",#N/A,FALSE,"SGPNEW";"USSALES1",#N/A,FALSE,"SGPNEW";"USSALES2",#N/A,FALSE,"SGPNEW";"INTLSALES1",#N/A,FALSE,"SGPNEW";"INTLSALES2",#N/A,FALSE,"SGPNEW";"WWSALES1",#N/A,FALSE,"SGPNEW";"WWSALES2",#N/A,FALSE,"SGPNEW";"NEWPRODS",#N/A,FALSE,"SGPNEW";"CASHFLOW",#N/A,FALSE,"SGPNEW"}</definedName>
    <definedName name="wrn.SGPMODELS." localSheetId="27" hidden="1">{"QTRINC1",#N/A,FALSE,"SGPNEW";"QTRINC2",#N/A,FALSE,"SGPNEW";"USSALES1",#N/A,FALSE,"SGPNEW";"USSALES2",#N/A,FALSE,"SGPNEW";"INTLSALES1",#N/A,FALSE,"SGPNEW";"INTLSALES2",#N/A,FALSE,"SGPNEW";"WWSALES1",#N/A,FALSE,"SGPNEW";"WWSALES2",#N/A,FALSE,"SGPNEW";"NEWPRODS",#N/A,FALSE,"SGPNEW";"CASHFLOW",#N/A,FALSE,"SGPNEW"}</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localSheetId="17" hidden="1">{#N/A,#N/A,FALSE,"Share the Wealth";#N/A,#N/A,FALSE,"Shareholders vs Employees";#N/A,#N/A,FALSE,"Share vs Emp Summary"}</definedName>
    <definedName name="wrn.Shareholders._.and._.Employees." localSheetId="15" hidden="1">{#N/A,#N/A,FALSE,"Share the Wealth";#N/A,#N/A,FALSE,"Shareholders vs Employees";#N/A,#N/A,FALSE,"Share vs Emp Summary"}</definedName>
    <definedName name="wrn.Shareholders._.and._.Employees." localSheetId="12" hidden="1">{#N/A,#N/A,FALSE,"Share the Wealth";#N/A,#N/A,FALSE,"Shareholders vs Employees";#N/A,#N/A,FALSE,"Share vs Emp Summary"}</definedName>
    <definedName name="wrn.Shareholders._.and._.Employees." localSheetId="22" hidden="1">{#N/A,#N/A,FALSE,"Share the Wealth";#N/A,#N/A,FALSE,"Shareholders vs Employees";#N/A,#N/A,FALSE,"Share vs Emp Summary"}</definedName>
    <definedName name="wrn.Shareholders._.and._.Employees." localSheetId="20" hidden="1">{#N/A,#N/A,FALSE,"Share the Wealth";#N/A,#N/A,FALSE,"Shareholders vs Employees";#N/A,#N/A,FALSE,"Share vs Emp Summary"}</definedName>
    <definedName name="wrn.Shareholders._.and._.Employees." localSheetId="21" hidden="1">{#N/A,#N/A,FALSE,"Share the Wealth";#N/A,#N/A,FALSE,"Shareholders vs Employees";#N/A,#N/A,FALSE,"Share vs Emp Summary"}</definedName>
    <definedName name="wrn.Shareholders._.and._.Employees." localSheetId="23" hidden="1">{#N/A,#N/A,FALSE,"Share the Wealth";#N/A,#N/A,FALSE,"Shareholders vs Employees";#N/A,#N/A,FALSE,"Share vs Emp Summary"}</definedName>
    <definedName name="wrn.Shareholders._.and._.Employees." localSheetId="1" hidden="1">{#N/A,#N/A,FALSE,"Share the Wealth";#N/A,#N/A,FALSE,"Shareholders vs Employees";#N/A,#N/A,FALSE,"Share vs Emp Summary"}</definedName>
    <definedName name="wrn.Shareholders._.and._.Employees." localSheetId="28" hidden="1">{#N/A,#N/A,FALSE,"Share the Wealth";#N/A,#N/A,FALSE,"Shareholders vs Employees";#N/A,#N/A,FALSE,"Share vs Emp Summary"}</definedName>
    <definedName name="wrn.Shareholders._.and._.Employees." localSheetId="26" hidden="1">{#N/A,#N/A,FALSE,"Share the Wealth";#N/A,#N/A,FALSE,"Shareholders vs Employees";#N/A,#N/A,FALSE,"Share vs Emp Summary"}</definedName>
    <definedName name="wrn.Shareholders._.and._.Employees." localSheetId="27"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unModel." localSheetId="17" hidden="1">{#N/A,#N/A,FALSE,"summary";#N/A,#N/A,FALSE,"SIH";#N/A,#N/A,FALSE,"SIH Value";#N/A,#N/A,FALSE,"tax est.";#N/A,#N/A,FALSE,"Mohegan";#N/A,#N/A,FALSE,"Resorts";#N/A,#N/A,FALSE,"Win Per Day";#N/A,#N/A,FALSE,"CapStr"}</definedName>
    <definedName name="wrn.SunModel." localSheetId="15" hidden="1">{#N/A,#N/A,FALSE,"summary";#N/A,#N/A,FALSE,"SIH";#N/A,#N/A,FALSE,"SIH Value";#N/A,#N/A,FALSE,"tax est.";#N/A,#N/A,FALSE,"Mohegan";#N/A,#N/A,FALSE,"Resorts";#N/A,#N/A,FALSE,"Win Per Day";#N/A,#N/A,FALSE,"CapStr"}</definedName>
    <definedName name="wrn.SunModel." localSheetId="12" hidden="1">{#N/A,#N/A,FALSE,"summary";#N/A,#N/A,FALSE,"SIH";#N/A,#N/A,FALSE,"SIH Value";#N/A,#N/A,FALSE,"tax est.";#N/A,#N/A,FALSE,"Mohegan";#N/A,#N/A,FALSE,"Resorts";#N/A,#N/A,FALSE,"Win Per Day";#N/A,#N/A,FALSE,"CapStr"}</definedName>
    <definedName name="wrn.SunModel." localSheetId="22" hidden="1">{#N/A,#N/A,FALSE,"summary";#N/A,#N/A,FALSE,"SIH";#N/A,#N/A,FALSE,"SIH Value";#N/A,#N/A,FALSE,"tax est.";#N/A,#N/A,FALSE,"Mohegan";#N/A,#N/A,FALSE,"Resorts";#N/A,#N/A,FALSE,"Win Per Day";#N/A,#N/A,FALSE,"CapStr"}</definedName>
    <definedName name="wrn.SunModel." localSheetId="20" hidden="1">{#N/A,#N/A,FALSE,"summary";#N/A,#N/A,FALSE,"SIH";#N/A,#N/A,FALSE,"SIH Value";#N/A,#N/A,FALSE,"tax est.";#N/A,#N/A,FALSE,"Mohegan";#N/A,#N/A,FALSE,"Resorts";#N/A,#N/A,FALSE,"Win Per Day";#N/A,#N/A,FALSE,"CapStr"}</definedName>
    <definedName name="wrn.SunModel." localSheetId="21" hidden="1">{#N/A,#N/A,FALSE,"summary";#N/A,#N/A,FALSE,"SIH";#N/A,#N/A,FALSE,"SIH Value";#N/A,#N/A,FALSE,"tax est.";#N/A,#N/A,FALSE,"Mohegan";#N/A,#N/A,FALSE,"Resorts";#N/A,#N/A,FALSE,"Win Per Day";#N/A,#N/A,FALSE,"CapStr"}</definedName>
    <definedName name="wrn.SunModel." localSheetId="23" hidden="1">{#N/A,#N/A,FALSE,"summary";#N/A,#N/A,FALSE,"SIH";#N/A,#N/A,FALSE,"SIH Value";#N/A,#N/A,FALSE,"tax est.";#N/A,#N/A,FALSE,"Mohegan";#N/A,#N/A,FALSE,"Resorts";#N/A,#N/A,FALSE,"Win Per Day";#N/A,#N/A,FALSE,"CapStr"}</definedName>
    <definedName name="wrn.SunModel." localSheetId="1" hidden="1">{#N/A,#N/A,FALSE,"summary";#N/A,#N/A,FALSE,"SIH";#N/A,#N/A,FALSE,"SIH Value";#N/A,#N/A,FALSE,"tax est.";#N/A,#N/A,FALSE,"Mohegan";#N/A,#N/A,FALSE,"Resorts";#N/A,#N/A,FALSE,"Win Per Day";#N/A,#N/A,FALSE,"CapStr"}</definedName>
    <definedName name="wrn.SunModel." localSheetId="28" hidden="1">{#N/A,#N/A,FALSE,"summary";#N/A,#N/A,FALSE,"SIH";#N/A,#N/A,FALSE,"SIH Value";#N/A,#N/A,FALSE,"tax est.";#N/A,#N/A,FALSE,"Mohegan";#N/A,#N/A,FALSE,"Resorts";#N/A,#N/A,FALSE,"Win Per Day";#N/A,#N/A,FALSE,"CapStr"}</definedName>
    <definedName name="wrn.SunModel." localSheetId="26" hidden="1">{#N/A,#N/A,FALSE,"summary";#N/A,#N/A,FALSE,"SIH";#N/A,#N/A,FALSE,"SIH Value";#N/A,#N/A,FALSE,"tax est.";#N/A,#N/A,FALSE,"Mohegan";#N/A,#N/A,FALSE,"Resorts";#N/A,#N/A,FALSE,"Win Per Day";#N/A,#N/A,FALSE,"CapStr"}</definedName>
    <definedName name="wrn.SunModel." localSheetId="27"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Tables." localSheetId="17" hidden="1">{"view1",#N/A,FALSE,"Tables";"view2",#N/A,FALSE,"Tables";"view3",#N/A,FALSE,"Tables"}</definedName>
    <definedName name="wrn.Tables." localSheetId="15" hidden="1">{"view1",#N/A,FALSE,"Tables";"view2",#N/A,FALSE,"Tables";"view3",#N/A,FALSE,"Tables"}</definedName>
    <definedName name="wrn.Tables." localSheetId="12" hidden="1">{"view1",#N/A,FALSE,"Tables";"view2",#N/A,FALSE,"Tables";"view3",#N/A,FALSE,"Tables"}</definedName>
    <definedName name="wrn.Tables." localSheetId="22" hidden="1">{"view1",#N/A,FALSE,"Tables";"view2",#N/A,FALSE,"Tables";"view3",#N/A,FALSE,"Tables"}</definedName>
    <definedName name="wrn.Tables." localSheetId="20" hidden="1">{"view1",#N/A,FALSE,"Tables";"view2",#N/A,FALSE,"Tables";"view3",#N/A,FALSE,"Tables"}</definedName>
    <definedName name="wrn.Tables." localSheetId="21" hidden="1">{"view1",#N/A,FALSE,"Tables";"view2",#N/A,FALSE,"Tables";"view3",#N/A,FALSE,"Tables"}</definedName>
    <definedName name="wrn.Tables." localSheetId="23" hidden="1">{"view1",#N/A,FALSE,"Tables";"view2",#N/A,FALSE,"Tables";"view3",#N/A,FALSE,"Tables"}</definedName>
    <definedName name="wrn.Tables." localSheetId="1" hidden="1">{"view1",#N/A,FALSE,"Tables";"view2",#N/A,FALSE,"Tables";"view3",#N/A,FALSE,"Tables"}</definedName>
    <definedName name="wrn.Tables." localSheetId="28" hidden="1">{"view1",#N/A,FALSE,"Tables";"view2",#N/A,FALSE,"Tables";"view3",#N/A,FALSE,"Tables"}</definedName>
    <definedName name="wrn.Tables." localSheetId="26" hidden="1">{"view1",#N/A,FALSE,"Tables";"view2",#N/A,FALSE,"Tables";"view3",#N/A,FALSE,"Tables"}</definedName>
    <definedName name="wrn.Tables." localSheetId="27" hidden="1">{"view1",#N/A,FALSE,"Tables";"view2",#N/A,FALSE,"Tables";"view3",#N/A,FALSE,"Tables"}</definedName>
    <definedName name="wrn.Tables." hidden="1">{"view1",#N/A,FALSE,"Tables";"view2",#N/A,FALSE,"Tables";"view3",#N/A,FALSE,"Tables"}</definedName>
    <definedName name="wrn.Textron." localSheetId="17" hidden="1">{#N/A,#N/A,FALSE,"IS";#N/A,#N/A,FALSE,"SG";#N/A,#N/A,FALSE,"FF";#N/A,#N/A,FALSE,"BS";#N/A,#N/A,FALSE,"DCF";#N/A,#N/A,FALSE,"EVA";#N/A,#N/A,FALSE,"Air";#N/A,#N/A,FALSE,"Car";#N/A,#N/A,FALSE,"Ind";#N/A,#N/A,FALSE,"Sys";#N/A,#N/A,FALSE,"Fin";#N/A,#N/A,FALSE,"Ces";#N/A,#N/A,FALSE,"Bell"}</definedName>
    <definedName name="wrn.Textron." localSheetId="15" hidden="1">{#N/A,#N/A,FALSE,"IS";#N/A,#N/A,FALSE,"SG";#N/A,#N/A,FALSE,"FF";#N/A,#N/A,FALSE,"BS";#N/A,#N/A,FALSE,"DCF";#N/A,#N/A,FALSE,"EVA";#N/A,#N/A,FALSE,"Air";#N/A,#N/A,FALSE,"Car";#N/A,#N/A,FALSE,"Ind";#N/A,#N/A,FALSE,"Sys";#N/A,#N/A,FALSE,"Fin";#N/A,#N/A,FALSE,"Ces";#N/A,#N/A,FALSE,"Bell"}</definedName>
    <definedName name="wrn.Textron." localSheetId="12" hidden="1">{#N/A,#N/A,FALSE,"IS";#N/A,#N/A,FALSE,"SG";#N/A,#N/A,FALSE,"FF";#N/A,#N/A,FALSE,"BS";#N/A,#N/A,FALSE,"DCF";#N/A,#N/A,FALSE,"EVA";#N/A,#N/A,FALSE,"Air";#N/A,#N/A,FALSE,"Car";#N/A,#N/A,FALSE,"Ind";#N/A,#N/A,FALSE,"Sys";#N/A,#N/A,FALSE,"Fin";#N/A,#N/A,FALSE,"Ces";#N/A,#N/A,FALSE,"Bell"}</definedName>
    <definedName name="wrn.Textron." localSheetId="22" hidden="1">{#N/A,#N/A,FALSE,"IS";#N/A,#N/A,FALSE,"SG";#N/A,#N/A,FALSE,"FF";#N/A,#N/A,FALSE,"BS";#N/A,#N/A,FALSE,"DCF";#N/A,#N/A,FALSE,"EVA";#N/A,#N/A,FALSE,"Air";#N/A,#N/A,FALSE,"Car";#N/A,#N/A,FALSE,"Ind";#N/A,#N/A,FALSE,"Sys";#N/A,#N/A,FALSE,"Fin";#N/A,#N/A,FALSE,"Ces";#N/A,#N/A,FALSE,"Bell"}</definedName>
    <definedName name="wrn.Textron." localSheetId="20" hidden="1">{#N/A,#N/A,FALSE,"IS";#N/A,#N/A,FALSE,"SG";#N/A,#N/A,FALSE,"FF";#N/A,#N/A,FALSE,"BS";#N/A,#N/A,FALSE,"DCF";#N/A,#N/A,FALSE,"EVA";#N/A,#N/A,FALSE,"Air";#N/A,#N/A,FALSE,"Car";#N/A,#N/A,FALSE,"Ind";#N/A,#N/A,FALSE,"Sys";#N/A,#N/A,FALSE,"Fin";#N/A,#N/A,FALSE,"Ces";#N/A,#N/A,FALSE,"Bell"}</definedName>
    <definedName name="wrn.Textron." localSheetId="21" hidden="1">{#N/A,#N/A,FALSE,"IS";#N/A,#N/A,FALSE,"SG";#N/A,#N/A,FALSE,"FF";#N/A,#N/A,FALSE,"BS";#N/A,#N/A,FALSE,"DCF";#N/A,#N/A,FALSE,"EVA";#N/A,#N/A,FALSE,"Air";#N/A,#N/A,FALSE,"Car";#N/A,#N/A,FALSE,"Ind";#N/A,#N/A,FALSE,"Sys";#N/A,#N/A,FALSE,"Fin";#N/A,#N/A,FALSE,"Ces";#N/A,#N/A,FALSE,"Bell"}</definedName>
    <definedName name="wrn.Textron." localSheetId="23" hidden="1">{#N/A,#N/A,FALSE,"IS";#N/A,#N/A,FALSE,"SG";#N/A,#N/A,FALSE,"FF";#N/A,#N/A,FALSE,"BS";#N/A,#N/A,FALSE,"DCF";#N/A,#N/A,FALSE,"EVA";#N/A,#N/A,FALSE,"Air";#N/A,#N/A,FALSE,"Car";#N/A,#N/A,FALSE,"Ind";#N/A,#N/A,FALSE,"Sys";#N/A,#N/A,FALSE,"Fin";#N/A,#N/A,FALSE,"Ces";#N/A,#N/A,FALSE,"Bell"}</definedName>
    <definedName name="wrn.Textron." localSheetId="1" hidden="1">{#N/A,#N/A,FALSE,"IS";#N/A,#N/A,FALSE,"SG";#N/A,#N/A,FALSE,"FF";#N/A,#N/A,FALSE,"BS";#N/A,#N/A,FALSE,"DCF";#N/A,#N/A,FALSE,"EVA";#N/A,#N/A,FALSE,"Air";#N/A,#N/A,FALSE,"Car";#N/A,#N/A,FALSE,"Ind";#N/A,#N/A,FALSE,"Sys";#N/A,#N/A,FALSE,"Fin";#N/A,#N/A,FALSE,"Ces";#N/A,#N/A,FALSE,"Bell"}</definedName>
    <definedName name="wrn.Textron." localSheetId="28" hidden="1">{#N/A,#N/A,FALSE,"IS";#N/A,#N/A,FALSE,"SG";#N/A,#N/A,FALSE,"FF";#N/A,#N/A,FALSE,"BS";#N/A,#N/A,FALSE,"DCF";#N/A,#N/A,FALSE,"EVA";#N/A,#N/A,FALSE,"Air";#N/A,#N/A,FALSE,"Car";#N/A,#N/A,FALSE,"Ind";#N/A,#N/A,FALSE,"Sys";#N/A,#N/A,FALSE,"Fin";#N/A,#N/A,FALSE,"Ces";#N/A,#N/A,FALSE,"Bell"}</definedName>
    <definedName name="wrn.Textron." localSheetId="26" hidden="1">{#N/A,#N/A,FALSE,"IS";#N/A,#N/A,FALSE,"SG";#N/A,#N/A,FALSE,"FF";#N/A,#N/A,FALSE,"BS";#N/A,#N/A,FALSE,"DCF";#N/A,#N/A,FALSE,"EVA";#N/A,#N/A,FALSE,"Air";#N/A,#N/A,FALSE,"Car";#N/A,#N/A,FALSE,"Ind";#N/A,#N/A,FALSE,"Sys";#N/A,#N/A,FALSE,"Fin";#N/A,#N/A,FALSE,"Ces";#N/A,#N/A,FALSE,"Bell"}</definedName>
    <definedName name="wrn.Textron." localSheetId="27" hidden="1">{#N/A,#N/A,FALSE,"IS";#N/A,#N/A,FALSE,"SG";#N/A,#N/A,FALSE,"FF";#N/A,#N/A,FALSE,"BS";#N/A,#N/A,FALSE,"DCF";#N/A,#N/A,FALSE,"EVA";#N/A,#N/A,FALSE,"Air";#N/A,#N/A,FALSE,"Car";#N/A,#N/A,FALSE,"Ind";#N/A,#N/A,FALSE,"Sys";#N/A,#N/A,FALSE,"Fin";#N/A,#N/A,FALSE,"Ces";#N/A,#N/A,FALSE,"Bell"}</definedName>
    <definedName name="wrn.Textron." hidden="1">{#N/A,#N/A,FALSE,"IS";#N/A,#N/A,FALSE,"SG";#N/A,#N/A,FALSE,"FF";#N/A,#N/A,FALSE,"BS";#N/A,#N/A,FALSE,"DCF";#N/A,#N/A,FALSE,"EVA";#N/A,#N/A,FALSE,"Air";#N/A,#N/A,FALSE,"Car";#N/A,#N/A,FALSE,"Ind";#N/A,#N/A,FALSE,"Sys";#N/A,#N/A,FALSE,"Fin";#N/A,#N/A,FALSE,"Ces";#N/A,#N/A,FALSE,"Bell"}</definedName>
    <definedName name="wrn.TheWholeEnchilada." localSheetId="17" hidden="1">{"CSheet",#N/A,FALSE,"C";"SmCap",#N/A,FALSE,"VAL1";"GulfCoast",#N/A,FALSE,"VAL1";"nav",#N/A,FALSE,"NAV";"Summary",#N/A,FALSE,"NAV"}</definedName>
    <definedName name="wrn.TheWholeEnchilada." localSheetId="15" hidden="1">{"CSheet",#N/A,FALSE,"C";"SmCap",#N/A,FALSE,"VAL1";"GulfCoast",#N/A,FALSE,"VAL1";"nav",#N/A,FALSE,"NAV";"Summary",#N/A,FALSE,"NAV"}</definedName>
    <definedName name="wrn.TheWholeEnchilada." localSheetId="12" hidden="1">{"CSheet",#N/A,FALSE,"C";"SmCap",#N/A,FALSE,"VAL1";"GulfCoast",#N/A,FALSE,"VAL1";"nav",#N/A,FALSE,"NAV";"Summary",#N/A,FALSE,"NAV"}</definedName>
    <definedName name="wrn.TheWholeEnchilada." localSheetId="22" hidden="1">{"CSheet",#N/A,FALSE,"C";"SmCap",#N/A,FALSE,"VAL1";"GulfCoast",#N/A,FALSE,"VAL1";"nav",#N/A,FALSE,"NAV";"Summary",#N/A,FALSE,"NAV"}</definedName>
    <definedName name="wrn.TheWholeEnchilada." localSheetId="20" hidden="1">{"CSheet",#N/A,FALSE,"C";"SmCap",#N/A,FALSE,"VAL1";"GulfCoast",#N/A,FALSE,"VAL1";"nav",#N/A,FALSE,"NAV";"Summary",#N/A,FALSE,"NAV"}</definedName>
    <definedName name="wrn.TheWholeEnchilada." localSheetId="21" hidden="1">{"CSheet",#N/A,FALSE,"C";"SmCap",#N/A,FALSE,"VAL1";"GulfCoast",#N/A,FALSE,"VAL1";"nav",#N/A,FALSE,"NAV";"Summary",#N/A,FALSE,"NAV"}</definedName>
    <definedName name="wrn.TheWholeEnchilada." localSheetId="23" hidden="1">{"CSheet",#N/A,FALSE,"C";"SmCap",#N/A,FALSE,"VAL1";"GulfCoast",#N/A,FALSE,"VAL1";"nav",#N/A,FALSE,"NAV";"Summary",#N/A,FALSE,"NAV"}</definedName>
    <definedName name="wrn.TheWholeEnchilada." localSheetId="1" hidden="1">{"CSheet",#N/A,FALSE,"C";"SmCap",#N/A,FALSE,"VAL1";"GulfCoast",#N/A,FALSE,"VAL1";"nav",#N/A,FALSE,"NAV";"Summary",#N/A,FALSE,"NAV"}</definedName>
    <definedName name="wrn.TheWholeEnchilada." localSheetId="28" hidden="1">{"CSheet",#N/A,FALSE,"C";"SmCap",#N/A,FALSE,"VAL1";"GulfCoast",#N/A,FALSE,"VAL1";"nav",#N/A,FALSE,"NAV";"Summary",#N/A,FALSE,"NAV"}</definedName>
    <definedName name="wrn.TheWholeEnchilada." localSheetId="26" hidden="1">{"CSheet",#N/A,FALSE,"C";"SmCap",#N/A,FALSE,"VAL1";"GulfCoast",#N/A,FALSE,"VAL1";"nav",#N/A,FALSE,"NAV";"Summary",#N/A,FALSE,"NAV"}</definedName>
    <definedName name="wrn.TheWholeEnchilada." localSheetId="27" hidden="1">{"CSheet",#N/A,FALSE,"C";"SmCap",#N/A,FALSE,"VAL1";"GulfCoast",#N/A,FALSE,"VAL1";"nav",#N/A,FALSE,"NAV";"Summary",#N/A,FALSE,"NAV"}</definedName>
    <definedName name="wrn.TheWholeEnchilada." hidden="1">{"CSheet",#N/A,FALSE,"C";"SmCap",#N/A,FALSE,"VAL1";"GulfCoast",#N/A,FALSE,"VAL1";"nav",#N/A,FALSE,"NAV";"Summary",#N/A,FALSE,"NAV"}</definedName>
    <definedName name="wrn.Total._.Proved." localSheetId="17" hidden="1">{"Total",#N/A,FALSE,"Reserve Report";"HPDP",#N/A,FALSE,"Reserve Report";"PPDP",#N/A,FALSE,"Reserve Report";"PDNP",#N/A,FALSE,"Reserve Report";"PUD",#N/A,FALSE,"Reserve Report"}</definedName>
    <definedName name="wrn.Total._.Proved." localSheetId="15" hidden="1">{"Total",#N/A,FALSE,"Reserve Report";"HPDP",#N/A,FALSE,"Reserve Report";"PPDP",#N/A,FALSE,"Reserve Report";"PDNP",#N/A,FALSE,"Reserve Report";"PUD",#N/A,FALSE,"Reserve Report"}</definedName>
    <definedName name="wrn.Total._.Proved." localSheetId="12" hidden="1">{"Total",#N/A,FALSE,"Reserve Report";"HPDP",#N/A,FALSE,"Reserve Report";"PPDP",#N/A,FALSE,"Reserve Report";"PDNP",#N/A,FALSE,"Reserve Report";"PUD",#N/A,FALSE,"Reserve Report"}</definedName>
    <definedName name="wrn.Total._.Proved." localSheetId="22" hidden="1">{"Total",#N/A,FALSE,"Reserve Report";"HPDP",#N/A,FALSE,"Reserve Report";"PPDP",#N/A,FALSE,"Reserve Report";"PDNP",#N/A,FALSE,"Reserve Report";"PUD",#N/A,FALSE,"Reserve Report"}</definedName>
    <definedName name="wrn.Total._.Proved." localSheetId="20" hidden="1">{"Total",#N/A,FALSE,"Reserve Report";"HPDP",#N/A,FALSE,"Reserve Report";"PPDP",#N/A,FALSE,"Reserve Report";"PDNP",#N/A,FALSE,"Reserve Report";"PUD",#N/A,FALSE,"Reserve Report"}</definedName>
    <definedName name="wrn.Total._.Proved." localSheetId="21" hidden="1">{"Total",#N/A,FALSE,"Reserve Report";"HPDP",#N/A,FALSE,"Reserve Report";"PPDP",#N/A,FALSE,"Reserve Report";"PDNP",#N/A,FALSE,"Reserve Report";"PUD",#N/A,FALSE,"Reserve Report"}</definedName>
    <definedName name="wrn.Total._.Proved." localSheetId="23" hidden="1">{"Total",#N/A,FALSE,"Reserve Report";"HPDP",#N/A,FALSE,"Reserve Report";"PPDP",#N/A,FALSE,"Reserve Report";"PDNP",#N/A,FALSE,"Reserve Report";"PUD",#N/A,FALSE,"Reserve Report"}</definedName>
    <definedName name="wrn.Total._.Proved." localSheetId="1" hidden="1">{"Total",#N/A,FALSE,"Reserve Report";"HPDP",#N/A,FALSE,"Reserve Report";"PPDP",#N/A,FALSE,"Reserve Report";"PDNP",#N/A,FALSE,"Reserve Report";"PUD",#N/A,FALSE,"Reserve Report"}</definedName>
    <definedName name="wrn.Total._.Proved." localSheetId="28" hidden="1">{"Total",#N/A,FALSE,"Reserve Report";"HPDP",#N/A,FALSE,"Reserve Report";"PPDP",#N/A,FALSE,"Reserve Report";"PDNP",#N/A,FALSE,"Reserve Report";"PUD",#N/A,FALSE,"Reserve Report"}</definedName>
    <definedName name="wrn.Total._.Proved." localSheetId="26" hidden="1">{"Total",#N/A,FALSE,"Reserve Report";"HPDP",#N/A,FALSE,"Reserve Report";"PPDP",#N/A,FALSE,"Reserve Report";"PDNP",#N/A,FALSE,"Reserve Report";"PUD",#N/A,FALSE,"Reserve Report"}</definedName>
    <definedName name="wrn.Total._.Proved." localSheetId="27" hidden="1">{"Total",#N/A,FALSE,"Reserve Report";"HPDP",#N/A,FALSE,"Reserve Report";"PPDP",#N/A,FALSE,"Reserve Report";"PDNP",#N/A,FALSE,"Reserve Report";"PUD",#N/A,FALSE,"Reserve Report"}</definedName>
    <definedName name="wrn.Total._.Proved." hidden="1">{"Total",#N/A,FALSE,"Reserve Report";"HPDP",#N/A,FALSE,"Reserve Report";"PPDP",#N/A,FALSE,"Reserve Report";"PDNP",#N/A,FALSE,"Reserve Report";"PUD",#N/A,FALSE,"Reserve Report"}</definedName>
    <definedName name="wrn.Total._.Proved._.plus._.Probable." localSheetId="17" hidden="1">{"Total",#N/A,FALSE,"Total Proved + Probable";"PDP",#N/A,FALSE,"Total Proved + Probable";"PNP",#N/A,FALSE,"Total Proved + Probable";"PUD",#N/A,FALSE,"Total Proved + Probable";"Prob",#N/A,FALSE,"Total Proved + Probable"}</definedName>
    <definedName name="wrn.Total._.Proved._.plus._.Probable." localSheetId="15" hidden="1">{"Total",#N/A,FALSE,"Total Proved + Probable";"PDP",#N/A,FALSE,"Total Proved + Probable";"PNP",#N/A,FALSE,"Total Proved + Probable";"PUD",#N/A,FALSE,"Total Proved + Probable";"Prob",#N/A,FALSE,"Total Proved + Probable"}</definedName>
    <definedName name="wrn.Total._.Proved._.plus._.Probable." localSheetId="12" hidden="1">{"Total",#N/A,FALSE,"Total Proved + Probable";"PDP",#N/A,FALSE,"Total Proved + Probable";"PNP",#N/A,FALSE,"Total Proved + Probable";"PUD",#N/A,FALSE,"Total Proved + Probable";"Prob",#N/A,FALSE,"Total Proved + Probable"}</definedName>
    <definedName name="wrn.Total._.Proved._.plus._.Probable." localSheetId="22" hidden="1">{"Total",#N/A,FALSE,"Total Proved + Probable";"PDP",#N/A,FALSE,"Total Proved + Probable";"PNP",#N/A,FALSE,"Total Proved + Probable";"PUD",#N/A,FALSE,"Total Proved + Probable";"Prob",#N/A,FALSE,"Total Proved + Probable"}</definedName>
    <definedName name="wrn.Total._.Proved._.plus._.Probable." localSheetId="20" hidden="1">{"Total",#N/A,FALSE,"Total Proved + Probable";"PDP",#N/A,FALSE,"Total Proved + Probable";"PNP",#N/A,FALSE,"Total Proved + Probable";"PUD",#N/A,FALSE,"Total Proved + Probable";"Prob",#N/A,FALSE,"Total Proved + Probable"}</definedName>
    <definedName name="wrn.Total._.Proved._.plus._.Probable." localSheetId="21" hidden="1">{"Total",#N/A,FALSE,"Total Proved + Probable";"PDP",#N/A,FALSE,"Total Proved + Probable";"PNP",#N/A,FALSE,"Total Proved + Probable";"PUD",#N/A,FALSE,"Total Proved + Probable";"Prob",#N/A,FALSE,"Total Proved + Probable"}</definedName>
    <definedName name="wrn.Total._.Proved._.plus._.Probable." localSheetId="23" hidden="1">{"Total",#N/A,FALSE,"Total Proved + Probable";"PDP",#N/A,FALSE,"Total Proved + Probable";"PNP",#N/A,FALSE,"Total Proved + Probable";"PUD",#N/A,FALSE,"Total Proved + Probable";"Prob",#N/A,FALSE,"Total Proved + Probable"}</definedName>
    <definedName name="wrn.Total._.Proved._.plus._.Probable." localSheetId="1" hidden="1">{"Total",#N/A,FALSE,"Total Proved + Probable";"PDP",#N/A,FALSE,"Total Proved + Probable";"PNP",#N/A,FALSE,"Total Proved + Probable";"PUD",#N/A,FALSE,"Total Proved + Probable";"Prob",#N/A,FALSE,"Total Proved + Probable"}</definedName>
    <definedName name="wrn.Total._.Proved._.plus._.Probable." localSheetId="28" hidden="1">{"Total",#N/A,FALSE,"Total Proved + Probable";"PDP",#N/A,FALSE,"Total Proved + Probable";"PNP",#N/A,FALSE,"Total Proved + Probable";"PUD",#N/A,FALSE,"Total Proved + Probable";"Prob",#N/A,FALSE,"Total Proved + Probable"}</definedName>
    <definedName name="wrn.Total._.Proved._.plus._.Probable." localSheetId="26" hidden="1">{"Total",#N/A,FALSE,"Total Proved + Probable";"PDP",#N/A,FALSE,"Total Proved + Probable";"PNP",#N/A,FALSE,"Total Proved + Probable";"PUD",#N/A,FALSE,"Total Proved + Probable";"Prob",#N/A,FALSE,"Total Proved + Probable"}</definedName>
    <definedName name="wrn.Total._.Proved._.plus._.Probable." localSheetId="27"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rinidad." localSheetId="17" hidden="1">{"Trinidad",#N/A,FALSE,"Trinidad"}</definedName>
    <definedName name="wrn.Trinidad." localSheetId="15" hidden="1">{"Trinidad",#N/A,FALSE,"Trinidad"}</definedName>
    <definedName name="wrn.Trinidad." localSheetId="12" hidden="1">{"Trinidad",#N/A,FALSE,"Trinidad"}</definedName>
    <definedName name="wrn.Trinidad." localSheetId="22" hidden="1">{"Trinidad",#N/A,FALSE,"Trinidad"}</definedName>
    <definedName name="wrn.Trinidad." localSheetId="20" hidden="1">{"Trinidad",#N/A,FALSE,"Trinidad"}</definedName>
    <definedName name="wrn.Trinidad." localSheetId="21" hidden="1">{"Trinidad",#N/A,FALSE,"Trinidad"}</definedName>
    <definedName name="wrn.Trinidad." localSheetId="23" hidden="1">{"Trinidad",#N/A,FALSE,"Trinidad"}</definedName>
    <definedName name="wrn.Trinidad." localSheetId="1" hidden="1">{"Trinidad",#N/A,FALSE,"Trinidad"}</definedName>
    <definedName name="wrn.Trinidad." localSheetId="28" hidden="1">{"Trinidad",#N/A,FALSE,"Trinidad"}</definedName>
    <definedName name="wrn.Trinidad." localSheetId="26" hidden="1">{"Trinidad",#N/A,FALSE,"Trinidad"}</definedName>
    <definedName name="wrn.Trinidad." localSheetId="27" hidden="1">{"Trinidad",#N/A,FALSE,"Trinidad"}</definedName>
    <definedName name="wrn.Trinidad." hidden="1">{"Trinidad",#N/A,FALSE,"Trinidad"}</definedName>
    <definedName name="wrn.U.S.._.Industries._.Inc.." localSheetId="17" hidden="1">{#N/A,#N/A,TRUE,"3QRpt";#N/A,#N/A,TRUE,"EST";#N/A,#N/A,TRUE,"HOUSE";#N/A,#N/A,TRUE,"REC";#N/A,#N/A,TRUE,"SHOE";#N/A,#N/A,TRUE,"BLD";#N/A,#N/A,TRUE,"IND";#N/A,#N/A,TRUE,"COMP";#N/A,#N/A,TRUE,"COMP2";#N/A,#N/A,TRUE,"KEEP";#N/A,#N/A,TRUE,"IntExp";#N/A,#N/A,TRUE,"Proceeds"}</definedName>
    <definedName name="wrn.U.S.._.Industries._.Inc.." localSheetId="15" hidden="1">{#N/A,#N/A,TRUE,"3QRpt";#N/A,#N/A,TRUE,"EST";#N/A,#N/A,TRUE,"HOUSE";#N/A,#N/A,TRUE,"REC";#N/A,#N/A,TRUE,"SHOE";#N/A,#N/A,TRUE,"BLD";#N/A,#N/A,TRUE,"IND";#N/A,#N/A,TRUE,"COMP";#N/A,#N/A,TRUE,"COMP2";#N/A,#N/A,TRUE,"KEEP";#N/A,#N/A,TRUE,"IntExp";#N/A,#N/A,TRUE,"Proceeds"}</definedName>
    <definedName name="wrn.U.S.._.Industries._.Inc.." localSheetId="12" hidden="1">{#N/A,#N/A,TRUE,"3QRpt";#N/A,#N/A,TRUE,"EST";#N/A,#N/A,TRUE,"HOUSE";#N/A,#N/A,TRUE,"REC";#N/A,#N/A,TRUE,"SHOE";#N/A,#N/A,TRUE,"BLD";#N/A,#N/A,TRUE,"IND";#N/A,#N/A,TRUE,"COMP";#N/A,#N/A,TRUE,"COMP2";#N/A,#N/A,TRUE,"KEEP";#N/A,#N/A,TRUE,"IntExp";#N/A,#N/A,TRUE,"Proceeds"}</definedName>
    <definedName name="wrn.U.S.._.Industries._.Inc.." localSheetId="22" hidden="1">{#N/A,#N/A,TRUE,"3QRpt";#N/A,#N/A,TRUE,"EST";#N/A,#N/A,TRUE,"HOUSE";#N/A,#N/A,TRUE,"REC";#N/A,#N/A,TRUE,"SHOE";#N/A,#N/A,TRUE,"BLD";#N/A,#N/A,TRUE,"IND";#N/A,#N/A,TRUE,"COMP";#N/A,#N/A,TRUE,"COMP2";#N/A,#N/A,TRUE,"KEEP";#N/A,#N/A,TRUE,"IntExp";#N/A,#N/A,TRUE,"Proceeds"}</definedName>
    <definedName name="wrn.U.S.._.Industries._.Inc.." localSheetId="20" hidden="1">{#N/A,#N/A,TRUE,"3QRpt";#N/A,#N/A,TRUE,"EST";#N/A,#N/A,TRUE,"HOUSE";#N/A,#N/A,TRUE,"REC";#N/A,#N/A,TRUE,"SHOE";#N/A,#N/A,TRUE,"BLD";#N/A,#N/A,TRUE,"IND";#N/A,#N/A,TRUE,"COMP";#N/A,#N/A,TRUE,"COMP2";#N/A,#N/A,TRUE,"KEEP";#N/A,#N/A,TRUE,"IntExp";#N/A,#N/A,TRUE,"Proceeds"}</definedName>
    <definedName name="wrn.U.S.._.Industries._.Inc.." localSheetId="21" hidden="1">{#N/A,#N/A,TRUE,"3QRpt";#N/A,#N/A,TRUE,"EST";#N/A,#N/A,TRUE,"HOUSE";#N/A,#N/A,TRUE,"REC";#N/A,#N/A,TRUE,"SHOE";#N/A,#N/A,TRUE,"BLD";#N/A,#N/A,TRUE,"IND";#N/A,#N/A,TRUE,"COMP";#N/A,#N/A,TRUE,"COMP2";#N/A,#N/A,TRUE,"KEEP";#N/A,#N/A,TRUE,"IntExp";#N/A,#N/A,TRUE,"Proceeds"}</definedName>
    <definedName name="wrn.U.S.._.Industries._.Inc.." localSheetId="23" hidden="1">{#N/A,#N/A,TRUE,"3QRpt";#N/A,#N/A,TRUE,"EST";#N/A,#N/A,TRUE,"HOUSE";#N/A,#N/A,TRUE,"REC";#N/A,#N/A,TRUE,"SHOE";#N/A,#N/A,TRUE,"BLD";#N/A,#N/A,TRUE,"IND";#N/A,#N/A,TRUE,"COMP";#N/A,#N/A,TRUE,"COMP2";#N/A,#N/A,TRUE,"KEEP";#N/A,#N/A,TRUE,"IntExp";#N/A,#N/A,TRUE,"Proceeds"}</definedName>
    <definedName name="wrn.U.S.._.Industries._.Inc.." localSheetId="1" hidden="1">{#N/A,#N/A,TRUE,"3QRpt";#N/A,#N/A,TRUE,"EST";#N/A,#N/A,TRUE,"HOUSE";#N/A,#N/A,TRUE,"REC";#N/A,#N/A,TRUE,"SHOE";#N/A,#N/A,TRUE,"BLD";#N/A,#N/A,TRUE,"IND";#N/A,#N/A,TRUE,"COMP";#N/A,#N/A,TRUE,"COMP2";#N/A,#N/A,TRUE,"KEEP";#N/A,#N/A,TRUE,"IntExp";#N/A,#N/A,TRUE,"Proceeds"}</definedName>
    <definedName name="wrn.U.S.._.Industries._.Inc.." localSheetId="28" hidden="1">{#N/A,#N/A,TRUE,"3QRpt";#N/A,#N/A,TRUE,"EST";#N/A,#N/A,TRUE,"HOUSE";#N/A,#N/A,TRUE,"REC";#N/A,#N/A,TRUE,"SHOE";#N/A,#N/A,TRUE,"BLD";#N/A,#N/A,TRUE,"IND";#N/A,#N/A,TRUE,"COMP";#N/A,#N/A,TRUE,"COMP2";#N/A,#N/A,TRUE,"KEEP";#N/A,#N/A,TRUE,"IntExp";#N/A,#N/A,TRUE,"Proceeds"}</definedName>
    <definedName name="wrn.U.S.._.Industries._.Inc.." localSheetId="26" hidden="1">{#N/A,#N/A,TRUE,"3QRpt";#N/A,#N/A,TRUE,"EST";#N/A,#N/A,TRUE,"HOUSE";#N/A,#N/A,TRUE,"REC";#N/A,#N/A,TRUE,"SHOE";#N/A,#N/A,TRUE,"BLD";#N/A,#N/A,TRUE,"IND";#N/A,#N/A,TRUE,"COMP";#N/A,#N/A,TRUE,"COMP2";#N/A,#N/A,TRUE,"KEEP";#N/A,#N/A,TRUE,"IntExp";#N/A,#N/A,TRUE,"Proceeds"}</definedName>
    <definedName name="wrn.U.S.._.Industries._.Inc.." localSheetId="27" hidden="1">{#N/A,#N/A,TRUE,"3QRpt";#N/A,#N/A,TRUE,"EST";#N/A,#N/A,TRUE,"HOUSE";#N/A,#N/A,TRUE,"REC";#N/A,#N/A,TRUE,"SHOE";#N/A,#N/A,TRUE,"BLD";#N/A,#N/A,TRUE,"IND";#N/A,#N/A,TRUE,"COMP";#N/A,#N/A,TRUE,"COMP2";#N/A,#N/A,TRUE,"KEEP";#N/A,#N/A,TRUE,"IntExp";#N/A,#N/A,TRUE,"Proceeds"}</definedName>
    <definedName name="wrn.U.S.._.Industries._.Inc.." hidden="1">{#N/A,#N/A,TRUE,"3QRpt";#N/A,#N/A,TRUE,"EST";#N/A,#N/A,TRUE,"HOUSE";#N/A,#N/A,TRUE,"REC";#N/A,#N/A,TRUE,"SHOE";#N/A,#N/A,TRUE,"BLD";#N/A,#N/A,TRUE,"IND";#N/A,#N/A,TRUE,"COMP";#N/A,#N/A,TRUE,"COMP2";#N/A,#N/A,TRUE,"KEEP";#N/A,#N/A,TRUE,"IntExp";#N/A,#N/A,TRUE,"Proceeds"}</definedName>
    <definedName name="wrn.UK." localSheetId="17" hidden="1">{"UK",#N/A,FALSE,"U.K."}</definedName>
    <definedName name="wrn.UK." localSheetId="15" hidden="1">{"UK",#N/A,FALSE,"U.K."}</definedName>
    <definedName name="wrn.UK." localSheetId="12" hidden="1">{"UK",#N/A,FALSE,"U.K."}</definedName>
    <definedName name="wrn.UK." localSheetId="22" hidden="1">{"UK",#N/A,FALSE,"U.K."}</definedName>
    <definedName name="wrn.UK." localSheetId="20" hidden="1">{"UK",#N/A,FALSE,"U.K."}</definedName>
    <definedName name="wrn.UK." localSheetId="21" hidden="1">{"UK",#N/A,FALSE,"U.K."}</definedName>
    <definedName name="wrn.UK." localSheetId="23" hidden="1">{"UK",#N/A,FALSE,"U.K."}</definedName>
    <definedName name="wrn.UK." localSheetId="1" hidden="1">{"UK",#N/A,FALSE,"U.K."}</definedName>
    <definedName name="wrn.UK." localSheetId="28" hidden="1">{"UK",#N/A,FALSE,"U.K."}</definedName>
    <definedName name="wrn.UK." localSheetId="26" hidden="1">{"UK",#N/A,FALSE,"U.K."}</definedName>
    <definedName name="wrn.UK." localSheetId="27" hidden="1">{"UK",#N/A,FALSE,"U.K."}</definedName>
    <definedName name="wrn.UK." hidden="1">{"UK",#N/A,FALSE,"U.K."}</definedName>
    <definedName name="wrn.United._.States." localSheetId="17" hidden="1">{"US",#N/A,FALSE,"United States"}</definedName>
    <definedName name="wrn.United._.States." localSheetId="15" hidden="1">{"US",#N/A,FALSE,"United States"}</definedName>
    <definedName name="wrn.United._.States." localSheetId="12" hidden="1">{"US",#N/A,FALSE,"United States"}</definedName>
    <definedName name="wrn.United._.States." localSheetId="22" hidden="1">{"US",#N/A,FALSE,"United States"}</definedName>
    <definedName name="wrn.United._.States." localSheetId="20" hidden="1">{"US",#N/A,FALSE,"United States"}</definedName>
    <definedName name="wrn.United._.States." localSheetId="21" hidden="1">{"US",#N/A,FALSE,"United States"}</definedName>
    <definedName name="wrn.United._.States." localSheetId="23" hidden="1">{"US",#N/A,FALSE,"United States"}</definedName>
    <definedName name="wrn.United._.States." localSheetId="1" hidden="1">{"US",#N/A,FALSE,"United States"}</definedName>
    <definedName name="wrn.United._.States." localSheetId="28" hidden="1">{"US",#N/A,FALSE,"United States"}</definedName>
    <definedName name="wrn.United._.States." localSheetId="26" hidden="1">{"US",#N/A,FALSE,"United States"}</definedName>
    <definedName name="wrn.United._.States." localSheetId="27" hidden="1">{"US",#N/A,FALSE,"United States"}</definedName>
    <definedName name="wrn.United._.States." hidden="1">{"US",#N/A,FALSE,"United States"}</definedName>
    <definedName name="wrn.Universe." localSheetId="17" hidden="1">{"View_6",#N/A,FALSE,"Mix-Int-R&amp;D";"View_4",#N/A,FALSE,"Margins";"View_5",#N/A,FALSE,"Ratios";"View_3",#N/A,FALSE,"Mix";"View_2",#N/A,FALSE,"FV-EBITDA";"View_1",#N/A,FALSE,"EPS"}</definedName>
    <definedName name="wrn.Universe." localSheetId="15" hidden="1">{"View_6",#N/A,FALSE,"Mix-Int-R&amp;D";"View_4",#N/A,FALSE,"Margins";"View_5",#N/A,FALSE,"Ratios";"View_3",#N/A,FALSE,"Mix";"View_2",#N/A,FALSE,"FV-EBITDA";"View_1",#N/A,FALSE,"EPS"}</definedName>
    <definedName name="wrn.Universe." localSheetId="12" hidden="1">{"View_6",#N/A,FALSE,"Mix-Int-R&amp;D";"View_4",#N/A,FALSE,"Margins";"View_5",#N/A,FALSE,"Ratios";"View_3",#N/A,FALSE,"Mix";"View_2",#N/A,FALSE,"FV-EBITDA";"View_1",#N/A,FALSE,"EPS"}</definedName>
    <definedName name="wrn.Universe." localSheetId="22" hidden="1">{"View_6",#N/A,FALSE,"Mix-Int-R&amp;D";"View_4",#N/A,FALSE,"Margins";"View_5",#N/A,FALSE,"Ratios";"View_3",#N/A,FALSE,"Mix";"View_2",#N/A,FALSE,"FV-EBITDA";"View_1",#N/A,FALSE,"EPS"}</definedName>
    <definedName name="wrn.Universe." localSheetId="20" hidden="1">{"View_6",#N/A,FALSE,"Mix-Int-R&amp;D";"View_4",#N/A,FALSE,"Margins";"View_5",#N/A,FALSE,"Ratios";"View_3",#N/A,FALSE,"Mix";"View_2",#N/A,FALSE,"FV-EBITDA";"View_1",#N/A,FALSE,"EPS"}</definedName>
    <definedName name="wrn.Universe." localSheetId="21" hidden="1">{"View_6",#N/A,FALSE,"Mix-Int-R&amp;D";"View_4",#N/A,FALSE,"Margins";"View_5",#N/A,FALSE,"Ratios";"View_3",#N/A,FALSE,"Mix";"View_2",#N/A,FALSE,"FV-EBITDA";"View_1",#N/A,FALSE,"EPS"}</definedName>
    <definedName name="wrn.Universe." localSheetId="23" hidden="1">{"View_6",#N/A,FALSE,"Mix-Int-R&amp;D";"View_4",#N/A,FALSE,"Margins";"View_5",#N/A,FALSE,"Ratios";"View_3",#N/A,FALSE,"Mix";"View_2",#N/A,FALSE,"FV-EBITDA";"View_1",#N/A,FALSE,"EPS"}</definedName>
    <definedName name="wrn.Universe." localSheetId="1" hidden="1">{"View_6",#N/A,FALSE,"Mix-Int-R&amp;D";"View_4",#N/A,FALSE,"Margins";"View_5",#N/A,FALSE,"Ratios";"View_3",#N/A,FALSE,"Mix";"View_2",#N/A,FALSE,"FV-EBITDA";"View_1",#N/A,FALSE,"EPS"}</definedName>
    <definedName name="wrn.Universe." localSheetId="28" hidden="1">{"View_6",#N/A,FALSE,"Mix-Int-R&amp;D";"View_4",#N/A,FALSE,"Margins";"View_5",#N/A,FALSE,"Ratios";"View_3",#N/A,FALSE,"Mix";"View_2",#N/A,FALSE,"FV-EBITDA";"View_1",#N/A,FALSE,"EPS"}</definedName>
    <definedName name="wrn.Universe." localSheetId="26" hidden="1">{"View_6",#N/A,FALSE,"Mix-Int-R&amp;D";"View_4",#N/A,FALSE,"Margins";"View_5",#N/A,FALSE,"Ratios";"View_3",#N/A,FALSE,"Mix";"View_2",#N/A,FALSE,"FV-EBITDA";"View_1",#N/A,FALSE,"EPS"}</definedName>
    <definedName name="wrn.Universe." localSheetId="27" hidden="1">{"View_6",#N/A,FALSE,"Mix-Int-R&amp;D";"View_4",#N/A,FALSE,"Margins";"View_5",#N/A,FALSE,"Ratios";"View_3",#N/A,FALSE,"Mix";"View_2",#N/A,FALSE,"FV-EBITDA";"View_1",#N/A,FALSE,"EPS"}</definedName>
    <definedName name="wrn.Universe." hidden="1">{"View_6",#N/A,FALSE,"Mix-Int-R&amp;D";"View_4",#N/A,FALSE,"Margins";"View_5",#N/A,FALSE,"Ratios";"View_3",#N/A,FALSE,"Mix";"View_2",#N/A,FALSE,"FV-EBITDA";"View_1",#N/A,FALSE,"EPS"}</definedName>
    <definedName name="wrn.USA." localSheetId="17" hidden="1">{"USA",#N/A,FALSE,"U.S.A."}</definedName>
    <definedName name="wrn.USA." localSheetId="15" hidden="1">{"USA",#N/A,FALSE,"U.S.A."}</definedName>
    <definedName name="wrn.USA." localSheetId="12" hidden="1">{"USA",#N/A,FALSE,"U.S.A."}</definedName>
    <definedName name="wrn.USA." localSheetId="22" hidden="1">{"USA",#N/A,FALSE,"U.S.A."}</definedName>
    <definedName name="wrn.USA." localSheetId="20" hidden="1">{"USA",#N/A,FALSE,"U.S.A."}</definedName>
    <definedName name="wrn.USA." localSheetId="21" hidden="1">{"USA",#N/A,FALSE,"U.S.A."}</definedName>
    <definedName name="wrn.USA." localSheetId="23" hidden="1">{"USA",#N/A,FALSE,"U.S.A."}</definedName>
    <definedName name="wrn.USA." localSheetId="1" hidden="1">{"USA",#N/A,FALSE,"U.S.A."}</definedName>
    <definedName name="wrn.USA." localSheetId="28" hidden="1">{"USA",#N/A,FALSE,"U.S.A."}</definedName>
    <definedName name="wrn.USA." localSheetId="26" hidden="1">{"USA",#N/A,FALSE,"U.S.A."}</definedName>
    <definedName name="wrn.USA." localSheetId="27" hidden="1">{"USA",#N/A,FALSE,"U.S.A."}</definedName>
    <definedName name="wrn.USA." hidden="1">{"USA",#N/A,FALSE,"U.S.A."}</definedName>
    <definedName name="wrn.valuation." localSheetId="17" hidden="1">{"valuation",#N/A,FALSE,"TXTCOMPS"}</definedName>
    <definedName name="wrn.valuation." localSheetId="15" hidden="1">{"valuation",#N/A,FALSE,"TXTCOMPS"}</definedName>
    <definedName name="wrn.valuation." localSheetId="12" hidden="1">{"valuation",#N/A,FALSE,"TXTCOMPS"}</definedName>
    <definedName name="wrn.valuation." localSheetId="22" hidden="1">{"valuation",#N/A,FALSE,"TXTCOMPS"}</definedName>
    <definedName name="wrn.valuation." localSheetId="20" hidden="1">{"valuation",#N/A,FALSE,"TXTCOMPS"}</definedName>
    <definedName name="wrn.valuation." localSheetId="21" hidden="1">{"valuation",#N/A,FALSE,"TXTCOMPS"}</definedName>
    <definedName name="wrn.valuation." localSheetId="23" hidden="1">{"valuation",#N/A,FALSE,"TXTCOMPS"}</definedName>
    <definedName name="wrn.valuation." localSheetId="1" hidden="1">{"valuation",#N/A,FALSE,"TXTCOMPS"}</definedName>
    <definedName name="wrn.valuation." localSheetId="28" hidden="1">{"valuation",#N/A,FALSE,"TXTCOMPS"}</definedName>
    <definedName name="wrn.valuation." localSheetId="26" hidden="1">{"valuation",#N/A,FALSE,"TXTCOMPS"}</definedName>
    <definedName name="wrn.valuation." localSheetId="27" hidden="1">{"valuation",#N/A,FALSE,"TXTCOMPS"}</definedName>
    <definedName name="wrn.valuation." hidden="1">{"valuation",#N/A,FALSE,"TXTCOMPS"}</definedName>
    <definedName name="wrn.VALUENAV." localSheetId="17" hidden="1">{#N/A,#N/A,FALSE,"Value";#N/A,#N/A,FALSE,"NAV"}</definedName>
    <definedName name="wrn.VALUENAV." localSheetId="15" hidden="1">{#N/A,#N/A,FALSE,"Value";#N/A,#N/A,FALSE,"NAV"}</definedName>
    <definedName name="wrn.VALUENAV." localSheetId="12" hidden="1">{#N/A,#N/A,FALSE,"Value";#N/A,#N/A,FALSE,"NAV"}</definedName>
    <definedName name="wrn.VALUENAV." localSheetId="22" hidden="1">{#N/A,#N/A,FALSE,"Value";#N/A,#N/A,FALSE,"NAV"}</definedName>
    <definedName name="wrn.VALUENAV." localSheetId="20" hidden="1">{#N/A,#N/A,FALSE,"Value";#N/A,#N/A,FALSE,"NAV"}</definedName>
    <definedName name="wrn.VALUENAV." localSheetId="21" hidden="1">{#N/A,#N/A,FALSE,"Value";#N/A,#N/A,FALSE,"NAV"}</definedName>
    <definedName name="wrn.VALUENAV." localSheetId="23" hidden="1">{#N/A,#N/A,FALSE,"Value";#N/A,#N/A,FALSE,"NAV"}</definedName>
    <definedName name="wrn.VALUENAV." localSheetId="1" hidden="1">{#N/A,#N/A,FALSE,"Value";#N/A,#N/A,FALSE,"NAV"}</definedName>
    <definedName name="wrn.VALUENAV." localSheetId="28" hidden="1">{#N/A,#N/A,FALSE,"Value";#N/A,#N/A,FALSE,"NAV"}</definedName>
    <definedName name="wrn.VALUENAV." localSheetId="26" hidden="1">{#N/A,#N/A,FALSE,"Value";#N/A,#N/A,FALSE,"NAV"}</definedName>
    <definedName name="wrn.VALUENAV." localSheetId="27" hidden="1">{#N/A,#N/A,FALSE,"Value";#N/A,#N/A,FALSE,"NAV"}</definedName>
    <definedName name="wrn.VALUENAV." hidden="1">{#N/A,#N/A,FALSE,"Value";#N/A,#N/A,FALSE,"NAV"}</definedName>
    <definedName name="wrn.Variance._.3." localSheetId="17" hidden="1">{"Variance Q3",#N/A,FALSE,"Var"}</definedName>
    <definedName name="wrn.Variance._.3." localSheetId="15" hidden="1">{"Variance Q3",#N/A,FALSE,"Var"}</definedName>
    <definedName name="wrn.Variance._.3." localSheetId="12" hidden="1">{"Variance Q3",#N/A,FALSE,"Var"}</definedName>
    <definedName name="wrn.Variance._.3." localSheetId="22" hidden="1">{"Variance Q3",#N/A,FALSE,"Var"}</definedName>
    <definedName name="wrn.Variance._.3." localSheetId="20" hidden="1">{"Variance Q3",#N/A,FALSE,"Var"}</definedName>
    <definedName name="wrn.Variance._.3." localSheetId="21" hidden="1">{"Variance Q3",#N/A,FALSE,"Var"}</definedName>
    <definedName name="wrn.Variance._.3." localSheetId="23" hidden="1">{"Variance Q3",#N/A,FALSE,"Var"}</definedName>
    <definedName name="wrn.Variance._.3." localSheetId="1" hidden="1">{"Variance Q3",#N/A,FALSE,"Var"}</definedName>
    <definedName name="wrn.Variance._.3." localSheetId="28" hidden="1">{"Variance Q3",#N/A,FALSE,"Var"}</definedName>
    <definedName name="wrn.Variance._.3." localSheetId="26" hidden="1">{"Variance Q3",#N/A,FALSE,"Var"}</definedName>
    <definedName name="wrn.Variance._.3." localSheetId="27" hidden="1">{"Variance Q3",#N/A,FALSE,"Var"}</definedName>
    <definedName name="wrn.Variance._.3." hidden="1">{"Variance Q3",#N/A,FALSE,"Var"}</definedName>
    <definedName name="wrn.Variance._.Q1." localSheetId="17" hidden="1">{"Variance Q1",#N/A,FALSE,"Var"}</definedName>
    <definedName name="wrn.Variance._.Q1." localSheetId="15" hidden="1">{"Variance Q1",#N/A,FALSE,"Var"}</definedName>
    <definedName name="wrn.Variance._.Q1." localSheetId="12" hidden="1">{"Variance Q1",#N/A,FALSE,"Var"}</definedName>
    <definedName name="wrn.Variance._.Q1." localSheetId="22" hidden="1">{"Variance Q1",#N/A,FALSE,"Var"}</definedName>
    <definedName name="wrn.Variance._.Q1." localSheetId="20" hidden="1">{"Variance Q1",#N/A,FALSE,"Var"}</definedName>
    <definedName name="wrn.Variance._.Q1." localSheetId="21" hidden="1">{"Variance Q1",#N/A,FALSE,"Var"}</definedName>
    <definedName name="wrn.Variance._.Q1." localSheetId="23" hidden="1">{"Variance Q1",#N/A,FALSE,"Var"}</definedName>
    <definedName name="wrn.Variance._.Q1." localSheetId="1" hidden="1">{"Variance Q1",#N/A,FALSE,"Var"}</definedName>
    <definedName name="wrn.Variance._.Q1." localSheetId="28" hidden="1">{"Variance Q1",#N/A,FALSE,"Var"}</definedName>
    <definedName name="wrn.Variance._.Q1." localSheetId="26" hidden="1">{"Variance Q1",#N/A,FALSE,"Var"}</definedName>
    <definedName name="wrn.Variance._.Q1." localSheetId="27" hidden="1">{"Variance Q1",#N/A,FALSE,"Var"}</definedName>
    <definedName name="wrn.Variance._.Q1." hidden="1">{"Variance Q1",#N/A,FALSE,"Var"}</definedName>
    <definedName name="wrn.Variance._.Q2." localSheetId="17" hidden="1">{"Variance Q2",#N/A,FALSE,"Var"}</definedName>
    <definedName name="wrn.Variance._.Q2." localSheetId="15" hidden="1">{"Variance Q2",#N/A,FALSE,"Var"}</definedName>
    <definedName name="wrn.Variance._.Q2." localSheetId="12" hidden="1">{"Variance Q2",#N/A,FALSE,"Var"}</definedName>
    <definedName name="wrn.Variance._.Q2." localSheetId="22" hidden="1">{"Variance Q2",#N/A,FALSE,"Var"}</definedName>
    <definedName name="wrn.Variance._.Q2." localSheetId="20" hidden="1">{"Variance Q2",#N/A,FALSE,"Var"}</definedName>
    <definedName name="wrn.Variance._.Q2." localSheetId="21" hidden="1">{"Variance Q2",#N/A,FALSE,"Var"}</definedName>
    <definedName name="wrn.Variance._.Q2." localSheetId="23" hidden="1">{"Variance Q2",#N/A,FALSE,"Var"}</definedName>
    <definedName name="wrn.Variance._.Q2." localSheetId="1" hidden="1">{"Variance Q2",#N/A,FALSE,"Var"}</definedName>
    <definedName name="wrn.Variance._.Q2." localSheetId="28" hidden="1">{"Variance Q2",#N/A,FALSE,"Var"}</definedName>
    <definedName name="wrn.Variance._.Q2." localSheetId="26" hidden="1">{"Variance Q2",#N/A,FALSE,"Var"}</definedName>
    <definedName name="wrn.Variance._.Q2." localSheetId="27" hidden="1">{"Variance Q2",#N/A,FALSE,"Var"}</definedName>
    <definedName name="wrn.Variance._.Q2." hidden="1">{"Variance Q2",#N/A,FALSE,"Var"}</definedName>
    <definedName name="wrn.Variance._.Q3." localSheetId="17" hidden="1">{"Variance Q3",#N/A,FALSE,"Var"}</definedName>
    <definedName name="wrn.Variance._.Q3." localSheetId="15" hidden="1">{"Variance Q3",#N/A,FALSE,"Var"}</definedName>
    <definedName name="wrn.Variance._.Q3." localSheetId="12" hidden="1">{"Variance Q3",#N/A,FALSE,"Var"}</definedName>
    <definedName name="wrn.Variance._.Q3." localSheetId="22" hidden="1">{"Variance Q3",#N/A,FALSE,"Var"}</definedName>
    <definedName name="wrn.Variance._.Q3." localSheetId="20" hidden="1">{"Variance Q3",#N/A,FALSE,"Var"}</definedName>
    <definedName name="wrn.Variance._.Q3." localSheetId="21" hidden="1">{"Variance Q3",#N/A,FALSE,"Var"}</definedName>
    <definedName name="wrn.Variance._.Q3." localSheetId="23" hidden="1">{"Variance Q3",#N/A,FALSE,"Var"}</definedName>
    <definedName name="wrn.Variance._.Q3." localSheetId="1" hidden="1">{"Variance Q3",#N/A,FALSE,"Var"}</definedName>
    <definedName name="wrn.Variance._.Q3." localSheetId="28" hidden="1">{"Variance Q3",#N/A,FALSE,"Var"}</definedName>
    <definedName name="wrn.Variance._.Q3." localSheetId="26" hidden="1">{"Variance Q3",#N/A,FALSE,"Var"}</definedName>
    <definedName name="wrn.Variance._.Q3." localSheetId="27" hidden="1">{"Variance Q3",#N/A,FALSE,"Var"}</definedName>
    <definedName name="wrn.Variance._.Q3." hidden="1">{"Variance Q3",#N/A,FALSE,"Var"}</definedName>
    <definedName name="wrn.Variance._.Q4" localSheetId="17" hidden="1">{"Variance Q4",#N/A,FALSE,"Var"}</definedName>
    <definedName name="wrn.Variance._.Q4" localSheetId="15" hidden="1">{"Variance Q4",#N/A,FALSE,"Var"}</definedName>
    <definedName name="wrn.Variance._.Q4" localSheetId="12" hidden="1">{"Variance Q4",#N/A,FALSE,"Var"}</definedName>
    <definedName name="wrn.Variance._.Q4" localSheetId="22" hidden="1">{"Variance Q4",#N/A,FALSE,"Var"}</definedName>
    <definedName name="wrn.Variance._.Q4" localSheetId="20" hidden="1">{"Variance Q4",#N/A,FALSE,"Var"}</definedName>
    <definedName name="wrn.Variance._.Q4" localSheetId="21" hidden="1">{"Variance Q4",#N/A,FALSE,"Var"}</definedName>
    <definedName name="wrn.Variance._.Q4" localSheetId="23" hidden="1">{"Variance Q4",#N/A,FALSE,"Var"}</definedName>
    <definedName name="wrn.Variance._.Q4" localSheetId="1" hidden="1">{"Variance Q4",#N/A,FALSE,"Var"}</definedName>
    <definedName name="wrn.Variance._.Q4" localSheetId="28" hidden="1">{"Variance Q4",#N/A,FALSE,"Var"}</definedName>
    <definedName name="wrn.Variance._.Q4" localSheetId="26" hidden="1">{"Variance Q4",#N/A,FALSE,"Var"}</definedName>
    <definedName name="wrn.Variance._.Q4" localSheetId="27" hidden="1">{"Variance Q4",#N/A,FALSE,"Var"}</definedName>
    <definedName name="wrn.Variance._.Q4" hidden="1">{"Variance Q4",#N/A,FALSE,"Var"}</definedName>
    <definedName name="wrn.Variance._.Q4." localSheetId="17" hidden="1">{"Variance Q4",#N/A,FALSE,"Var"}</definedName>
    <definedName name="wrn.Variance._.Q4." localSheetId="15" hidden="1">{"Variance Q4",#N/A,FALSE,"Var"}</definedName>
    <definedName name="wrn.Variance._.Q4." localSheetId="12" hidden="1">{"Variance Q4",#N/A,FALSE,"Var"}</definedName>
    <definedName name="wrn.Variance._.Q4." localSheetId="22" hidden="1">{"Variance Q4",#N/A,FALSE,"Var"}</definedName>
    <definedName name="wrn.Variance._.Q4." localSheetId="20" hidden="1">{"Variance Q4",#N/A,FALSE,"Var"}</definedName>
    <definedName name="wrn.Variance._.Q4." localSheetId="21" hidden="1">{"Variance Q4",#N/A,FALSE,"Var"}</definedName>
    <definedName name="wrn.Variance._.Q4." localSheetId="23" hidden="1">{"Variance Q4",#N/A,FALSE,"Var"}</definedName>
    <definedName name="wrn.Variance._.Q4." localSheetId="1" hidden="1">{"Variance Q4",#N/A,FALSE,"Var"}</definedName>
    <definedName name="wrn.Variance._.Q4." localSheetId="28" hidden="1">{"Variance Q4",#N/A,FALSE,"Var"}</definedName>
    <definedName name="wrn.Variance._.Q4." localSheetId="26" hidden="1">{"Variance Q4",#N/A,FALSE,"Var"}</definedName>
    <definedName name="wrn.Variance._.Q4." localSheetId="27" hidden="1">{"Variance Q4",#N/A,FALSE,"Var"}</definedName>
    <definedName name="wrn.Variance._.Q4." hidden="1">{"Variance Q4",#N/A,FALSE,"Var"}</definedName>
    <definedName name="wrn.weekly." localSheetId="17" hidden="1">{#N/A,#N/A,FALSE,"Large Operators";#N/A,#N/A,FALSE,"Smaller Operators";#N/A,#N/A,FALSE,"Equip. Supply";#N/A,#N/A,FALSE,"EBITDA";#N/A,#N/A,FALSE,"perform"}</definedName>
    <definedName name="wrn.weekly." localSheetId="15" hidden="1">{#N/A,#N/A,FALSE,"Large Operators";#N/A,#N/A,FALSE,"Smaller Operators";#N/A,#N/A,FALSE,"Equip. Supply";#N/A,#N/A,FALSE,"EBITDA";#N/A,#N/A,FALSE,"perform"}</definedName>
    <definedName name="wrn.weekly." localSheetId="12" hidden="1">{#N/A,#N/A,FALSE,"Large Operators";#N/A,#N/A,FALSE,"Smaller Operators";#N/A,#N/A,FALSE,"Equip. Supply";#N/A,#N/A,FALSE,"EBITDA";#N/A,#N/A,FALSE,"perform"}</definedName>
    <definedName name="wrn.weekly." localSheetId="22" hidden="1">{#N/A,#N/A,FALSE,"Large Operators";#N/A,#N/A,FALSE,"Smaller Operators";#N/A,#N/A,FALSE,"Equip. Supply";#N/A,#N/A,FALSE,"EBITDA";#N/A,#N/A,FALSE,"perform"}</definedName>
    <definedName name="wrn.weekly." localSheetId="20" hidden="1">{#N/A,#N/A,FALSE,"Large Operators";#N/A,#N/A,FALSE,"Smaller Operators";#N/A,#N/A,FALSE,"Equip. Supply";#N/A,#N/A,FALSE,"EBITDA";#N/A,#N/A,FALSE,"perform"}</definedName>
    <definedName name="wrn.weekly." localSheetId="21" hidden="1">{#N/A,#N/A,FALSE,"Large Operators";#N/A,#N/A,FALSE,"Smaller Operators";#N/A,#N/A,FALSE,"Equip. Supply";#N/A,#N/A,FALSE,"EBITDA";#N/A,#N/A,FALSE,"perform"}</definedName>
    <definedName name="wrn.weekly." localSheetId="23" hidden="1">{#N/A,#N/A,FALSE,"Large Operators";#N/A,#N/A,FALSE,"Smaller Operators";#N/A,#N/A,FALSE,"Equip. Supply";#N/A,#N/A,FALSE,"EBITDA";#N/A,#N/A,FALSE,"perform"}</definedName>
    <definedName name="wrn.weekly." localSheetId="1" hidden="1">{#N/A,#N/A,FALSE,"Large Operators";#N/A,#N/A,FALSE,"Smaller Operators";#N/A,#N/A,FALSE,"Equip. Supply";#N/A,#N/A,FALSE,"EBITDA";#N/A,#N/A,FALSE,"perform"}</definedName>
    <definedName name="wrn.weekly." localSheetId="28" hidden="1">{#N/A,#N/A,FALSE,"Large Operators";#N/A,#N/A,FALSE,"Smaller Operators";#N/A,#N/A,FALSE,"Equip. Supply";#N/A,#N/A,FALSE,"EBITDA";#N/A,#N/A,FALSE,"perform"}</definedName>
    <definedName name="wrn.weekly." localSheetId="26" hidden="1">{#N/A,#N/A,FALSE,"Large Operators";#N/A,#N/A,FALSE,"Smaller Operators";#N/A,#N/A,FALSE,"Equip. Supply";#N/A,#N/A,FALSE,"EBITDA";#N/A,#N/A,FALSE,"perform"}</definedName>
    <definedName name="wrn.weekly." localSheetId="27" hidden="1">{#N/A,#N/A,FALSE,"Large Operators";#N/A,#N/A,FALSE,"Smaller Operators";#N/A,#N/A,FALSE,"Equip. Supply";#N/A,#N/A,FALSE,"EBITDA";#N/A,#N/A,FALSE,"perform"}</definedName>
    <definedName name="wrn.weekly." hidden="1">{#N/A,#N/A,FALSE,"Large Operators";#N/A,#N/A,FALSE,"Smaller Operators";#N/A,#N/A,FALSE,"Equip. Supply";#N/A,#N/A,FALSE,"EBITDA";#N/A,#N/A,FALSE,"perform"}</definedName>
    <definedName name="wrn.wells." localSheetId="1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5"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2"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2"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0"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1"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8"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6"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27"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LAVARIANCEANALYSIS." localSheetId="17" hidden="1">{"INCOME STATEMENT",#N/A,FALSE,"IS";"WWSALES",#N/A,FALSE,"WWSALES";"USSALES",#N/A,FALSE,"USSALES";"INTLSALES",#N/A,FALSE,"INTLSALES"}</definedName>
    <definedName name="wrn.WLAVARIANCEANALYSIS." localSheetId="15" hidden="1">{"INCOME STATEMENT",#N/A,FALSE,"IS";"WWSALES",#N/A,FALSE,"WWSALES";"USSALES",#N/A,FALSE,"USSALES";"INTLSALES",#N/A,FALSE,"INTLSALES"}</definedName>
    <definedName name="wrn.WLAVARIANCEANALYSIS." localSheetId="12" hidden="1">{"INCOME STATEMENT",#N/A,FALSE,"IS";"WWSALES",#N/A,FALSE,"WWSALES";"USSALES",#N/A,FALSE,"USSALES";"INTLSALES",#N/A,FALSE,"INTLSALES"}</definedName>
    <definedName name="wrn.WLAVARIANCEANALYSIS." localSheetId="22" hidden="1">{"INCOME STATEMENT",#N/A,FALSE,"IS";"WWSALES",#N/A,FALSE,"WWSALES";"USSALES",#N/A,FALSE,"USSALES";"INTLSALES",#N/A,FALSE,"INTLSALES"}</definedName>
    <definedName name="wrn.WLAVARIANCEANALYSIS." localSheetId="20" hidden="1">{"INCOME STATEMENT",#N/A,FALSE,"IS";"WWSALES",#N/A,FALSE,"WWSALES";"USSALES",#N/A,FALSE,"USSALES";"INTLSALES",#N/A,FALSE,"INTLSALES"}</definedName>
    <definedName name="wrn.WLAVARIANCEANALYSIS." localSheetId="21" hidden="1">{"INCOME STATEMENT",#N/A,FALSE,"IS";"WWSALES",#N/A,FALSE,"WWSALES";"USSALES",#N/A,FALSE,"USSALES";"INTLSALES",#N/A,FALSE,"INTLSALES"}</definedName>
    <definedName name="wrn.WLAVARIANCEANALYSIS." localSheetId="23" hidden="1">{"INCOME STATEMENT",#N/A,FALSE,"IS";"WWSALES",#N/A,FALSE,"WWSALES";"USSALES",#N/A,FALSE,"USSALES";"INTLSALES",#N/A,FALSE,"INTLSALES"}</definedName>
    <definedName name="wrn.WLAVARIANCEANALYSIS." localSheetId="1" hidden="1">{"INCOME STATEMENT",#N/A,FALSE,"IS";"WWSALES",#N/A,FALSE,"WWSALES";"USSALES",#N/A,FALSE,"USSALES";"INTLSALES",#N/A,FALSE,"INTLSALES"}</definedName>
    <definedName name="wrn.WLAVARIANCEANALYSIS." localSheetId="28" hidden="1">{"INCOME STATEMENT",#N/A,FALSE,"IS";"WWSALES",#N/A,FALSE,"WWSALES";"USSALES",#N/A,FALSE,"USSALES";"INTLSALES",#N/A,FALSE,"INTLSALES"}</definedName>
    <definedName name="wrn.WLAVARIANCEANALYSIS." localSheetId="26" hidden="1">{"INCOME STATEMENT",#N/A,FALSE,"IS";"WWSALES",#N/A,FALSE,"WWSALES";"USSALES",#N/A,FALSE,"USSALES";"INTLSALES",#N/A,FALSE,"INTLSALES"}</definedName>
    <definedName name="wrn.WLAVARIANCEANALYSIS." localSheetId="27" hidden="1">{"INCOME STATEMENT",#N/A,FALSE,"IS";"WWSALES",#N/A,FALSE,"WWSALES";"USSALES",#N/A,FALSE,"USSALES";"INTLSALES",#N/A,FALSE,"INTLSALES"}</definedName>
    <definedName name="wrn.WLAVARIANCEANALYSIS." hidden="1">{"INCOME STATEMENT",#N/A,FALSE,"IS";"WWSALES",#N/A,FALSE,"WWSALES";"USSALES",#N/A,FALSE,"USSALES";"INTLSALES",#N/A,FALSE,"INTLSALES"}</definedName>
    <definedName name="wrn1.corporate._Profile" localSheetId="17" hidden="1">{"Corporate Profile",#N/A,FALSE,"D"}</definedName>
    <definedName name="wrn1.corporate._Profile" localSheetId="15" hidden="1">{"Corporate Profile",#N/A,FALSE,"D"}</definedName>
    <definedName name="wrn1.corporate._Profile" localSheetId="12" hidden="1">{"Corporate Profile",#N/A,FALSE,"D"}</definedName>
    <definedName name="wrn1.corporate._Profile" localSheetId="22" hidden="1">{"Corporate Profile",#N/A,FALSE,"D"}</definedName>
    <definedName name="wrn1.corporate._Profile" localSheetId="20" hidden="1">{"Corporate Profile",#N/A,FALSE,"D"}</definedName>
    <definedName name="wrn1.corporate._Profile" localSheetId="21" hidden="1">{"Corporate Profile",#N/A,FALSE,"D"}</definedName>
    <definedName name="wrn1.corporate._Profile" localSheetId="23" hidden="1">{"Corporate Profile",#N/A,FALSE,"D"}</definedName>
    <definedName name="wrn1.corporate._Profile" localSheetId="1" hidden="1">{"Corporate Profile",#N/A,FALSE,"D"}</definedName>
    <definedName name="wrn1.corporate._Profile" localSheetId="28" hidden="1">{"Corporate Profile",#N/A,FALSE,"D"}</definedName>
    <definedName name="wrn1.corporate._Profile" localSheetId="26" hidden="1">{"Corporate Profile",#N/A,FALSE,"D"}</definedName>
    <definedName name="wrn1.corporate._Profile" localSheetId="27" hidden="1">{"Corporate Profile",#N/A,FALSE,"D"}</definedName>
    <definedName name="wrn1.corporate._Profile" hidden="1">{"Corporate Profile",#N/A,FALSE,"D"}</definedName>
    <definedName name="ws" localSheetId="17" hidden="1">{"'보고양식'!$A$58:$K$111"}</definedName>
    <definedName name="ws" localSheetId="15" hidden="1">{"'보고양식'!$A$58:$K$111"}</definedName>
    <definedName name="ws" localSheetId="12" hidden="1">{"'보고양식'!$A$58:$K$111"}</definedName>
    <definedName name="ws" localSheetId="22" hidden="1">{"'보고양식'!$A$58:$K$111"}</definedName>
    <definedName name="ws" localSheetId="20" hidden="1">{"'보고양식'!$A$58:$K$111"}</definedName>
    <definedName name="ws" localSheetId="21" hidden="1">{"'보고양식'!$A$58:$K$111"}</definedName>
    <definedName name="ws" localSheetId="23" hidden="1">{"'보고양식'!$A$58:$K$111"}</definedName>
    <definedName name="ws" localSheetId="1" hidden="1">{"'보고양식'!$A$58:$K$111"}</definedName>
    <definedName name="ws" localSheetId="28" hidden="1">{"'보고양식'!$A$58:$K$111"}</definedName>
    <definedName name="ws" localSheetId="26" hidden="1">{"'보고양식'!$A$58:$K$111"}</definedName>
    <definedName name="ws" localSheetId="27" hidden="1">{"'보고양식'!$A$58:$K$111"}</definedName>
    <definedName name="ws" hidden="1">{"'보고양식'!$A$58:$K$111"}</definedName>
    <definedName name="WTI_2004Q3">#REF!</definedName>
    <definedName name="WTI_2004Q4">#REF!</definedName>
    <definedName name="wvu.cash." localSheetId="17" hidden="1">{TRUE,TRUE,-1.25,-15.5,456.75,279.75,FALSE,FALSE,TRUE,TRUE,0,1,18,1,199,6,3,4,TRUE,TRUE,3,TRUE,1,TRUE,100,"Swvu.cash.","ACwvu.cash.",1,FALSE,FALSE,0.511811023622047,0.511811023622047,0.511811023622047,0.511811023622047,1,"","",FALSE,FALSE,FALSE,FALSE,1,#N/A,1,1,#DIV/0!,FALSE,"Rwvu.cash.",#N/A,FALSE,FALSE}</definedName>
    <definedName name="wvu.cash." localSheetId="15" hidden="1">{TRUE,TRUE,-1.25,-15.5,456.75,279.75,FALSE,FALSE,TRUE,TRUE,0,1,18,1,199,6,3,4,TRUE,TRUE,3,TRUE,1,TRUE,100,"Swvu.cash.","ACwvu.cash.",1,FALSE,FALSE,0.511811023622047,0.511811023622047,0.511811023622047,0.511811023622047,1,"","",FALSE,FALSE,FALSE,FALSE,1,#N/A,1,1,#DIV/0!,FALSE,"Rwvu.cash.",#N/A,FALSE,FALSE}</definedName>
    <definedName name="wvu.cash." localSheetId="12" hidden="1">{TRUE,TRUE,-1.25,-15.5,456.75,279.75,FALSE,FALSE,TRUE,TRUE,0,1,18,1,199,6,3,4,TRUE,TRUE,3,TRUE,1,TRUE,100,"Swvu.cash.","ACwvu.cash.",1,FALSE,FALSE,0.511811023622047,0.511811023622047,0.511811023622047,0.511811023622047,1,"","",FALSE,FALSE,FALSE,FALSE,1,#N/A,1,1,#DIV/0!,FALSE,"Rwvu.cash.",#N/A,FALSE,FALSE}</definedName>
    <definedName name="wvu.cash." localSheetId="22" hidden="1">{TRUE,TRUE,-1.25,-15.5,456.75,279.75,FALSE,FALSE,TRUE,TRUE,0,1,18,1,199,6,3,4,TRUE,TRUE,3,TRUE,1,TRUE,100,"Swvu.cash.","ACwvu.cash.",1,FALSE,FALSE,0.511811023622047,0.511811023622047,0.511811023622047,0.511811023622047,1,"","",FALSE,FALSE,FALSE,FALSE,1,#N/A,1,1,#DIV/0!,FALSE,"Rwvu.cash.",#N/A,FALSE,FALSE}</definedName>
    <definedName name="wvu.cash." localSheetId="20" hidden="1">{TRUE,TRUE,-1.25,-15.5,456.75,279.75,FALSE,FALSE,TRUE,TRUE,0,1,18,1,199,6,3,4,TRUE,TRUE,3,TRUE,1,TRUE,100,"Swvu.cash.","ACwvu.cash.",1,FALSE,FALSE,0.511811023622047,0.511811023622047,0.511811023622047,0.511811023622047,1,"","",FALSE,FALSE,FALSE,FALSE,1,#N/A,1,1,#DIV/0!,FALSE,"Rwvu.cash.",#N/A,FALSE,FALSE}</definedName>
    <definedName name="wvu.cash." localSheetId="21" hidden="1">{TRUE,TRUE,-1.25,-15.5,456.75,279.75,FALSE,FALSE,TRUE,TRUE,0,1,18,1,199,6,3,4,TRUE,TRUE,3,TRUE,1,TRUE,100,"Swvu.cash.","ACwvu.cash.",1,FALSE,FALSE,0.511811023622047,0.511811023622047,0.511811023622047,0.511811023622047,1,"","",FALSE,FALSE,FALSE,FALSE,1,#N/A,1,1,#DIV/0!,FALSE,"Rwvu.cash.",#N/A,FALSE,FALSE}</definedName>
    <definedName name="wvu.cash." localSheetId="23" hidden="1">{TRUE,TRUE,-1.25,-15.5,456.75,279.75,FALSE,FALSE,TRUE,TRUE,0,1,18,1,199,6,3,4,TRUE,TRUE,3,TRUE,1,TRUE,100,"Swvu.cash.","ACwvu.cash.",1,FALSE,FALSE,0.511811023622047,0.511811023622047,0.511811023622047,0.511811023622047,1,"","",FALSE,FALSE,FALSE,FALSE,1,#N/A,1,1,#DIV/0!,FALSE,"Rwvu.cash.",#N/A,FALSE,FALSE}</definedName>
    <definedName name="wvu.cash." localSheetId="1" hidden="1">{TRUE,TRUE,-1.25,-15.5,456.75,279.75,FALSE,FALSE,TRUE,TRUE,0,1,18,1,199,6,3,4,TRUE,TRUE,3,TRUE,1,TRUE,100,"Swvu.cash.","ACwvu.cash.",1,FALSE,FALSE,0.511811023622047,0.511811023622047,0.511811023622047,0.511811023622047,1,"","",FALSE,FALSE,FALSE,FALSE,1,#N/A,1,1,#DIV/0!,FALSE,"Rwvu.cash.",#N/A,FALSE,FALSE}</definedName>
    <definedName name="wvu.cash." localSheetId="28" hidden="1">{TRUE,TRUE,-1.25,-15.5,456.75,279.75,FALSE,FALSE,TRUE,TRUE,0,1,18,1,199,6,3,4,TRUE,TRUE,3,TRUE,1,TRUE,100,"Swvu.cash.","ACwvu.cash.",1,FALSE,FALSE,0.511811023622047,0.511811023622047,0.511811023622047,0.511811023622047,1,"","",FALSE,FALSE,FALSE,FALSE,1,#N/A,1,1,#DIV/0!,FALSE,"Rwvu.cash.",#N/A,FALSE,FALSE}</definedName>
    <definedName name="wvu.cash." localSheetId="26" hidden="1">{TRUE,TRUE,-1.25,-15.5,456.75,279.75,FALSE,FALSE,TRUE,TRUE,0,1,18,1,199,6,3,4,TRUE,TRUE,3,TRUE,1,TRUE,100,"Swvu.cash.","ACwvu.cash.",1,FALSE,FALSE,0.511811023622047,0.511811023622047,0.511811023622047,0.511811023622047,1,"","",FALSE,FALSE,FALSE,FALSE,1,#N/A,1,1,#DIV/0!,FALSE,"Rwvu.cash.",#N/A,FALSE,FALSE}</definedName>
    <definedName name="wvu.cash." localSheetId="27"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profits." localSheetId="17"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5"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2"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2"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0"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1"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3"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8"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6"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7"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turnover." localSheetId="17"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5"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2"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2"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0"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1"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3"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8"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6"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7"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_EP_Depr_2004">#REF!</definedName>
    <definedName name="WW_EP_NI_2004">#REF!</definedName>
    <definedName name="WW_EP_ROCC_1998">#REF!</definedName>
    <definedName name="WW_EP_ROCC_1999">#REF!</definedName>
    <definedName name="WW_EP_ROCC_2000">#REF!</definedName>
    <definedName name="WW_EP_ROCC_2001">#REF!</definedName>
    <definedName name="WW_EP_ROCC_2002">#REF!</definedName>
    <definedName name="WW_EP_ROCC_2003">#REF!</definedName>
    <definedName name="WW_EP_ROCC_2004">#REF!</definedName>
    <definedName name="WW_EP_ROCC_2005">#REF!</definedName>
    <definedName name="WW_EP_ROCC_2006">#REF!</definedName>
    <definedName name="WWAnnualSegs">#REF!</definedName>
    <definedName name="WWGasProd_2004">#REF!</definedName>
    <definedName name="WWOilProd_2004">#REF!</definedName>
    <definedName name="WWOtherCosts_2004">#REF!</definedName>
    <definedName name="WWProd_2004">#REF!</definedName>
    <definedName name="WWProdCosts_2004">#REF!</definedName>
    <definedName name="WWQuartSegs">#REF!</definedName>
    <definedName name="x" localSheetId="17" hidden="1">{"cover a","1q",FALSE,"Cover";"Op Earn Mgd Q1",#N/A,FALSE,"Op-Earn (Mng)";"Op Earn Rpt Q1",#N/A,FALSE,"Op-Earn (Rpt)";"Loans",#N/A,FALSE,"Loans";"Credit Costs",#N/A,FALSE,"CCosts";"Net Interest Margin",#N/A,FALSE,"Margin";"Nonint Income",#N/A,FALSE,"NonII";"Nonint Exp",#N/A,FALSE,"NonIE";"Valuation",#N/A,FALSE,"Valuation"}</definedName>
    <definedName name="x" localSheetId="15" hidden="1">"c2205"</definedName>
    <definedName name="x" localSheetId="12" hidden="1">"c2205"</definedName>
    <definedName name="x" localSheetId="22" hidden="1">{"cover a","1q",FALSE,"Cover";"Op Earn Mgd Q1",#N/A,FALSE,"Op-Earn (Mng)";"Op Earn Rpt Q1",#N/A,FALSE,"Op-Earn (Rpt)";"Loans",#N/A,FALSE,"Loans";"Credit Costs",#N/A,FALSE,"CCosts";"Net Interest Margin",#N/A,FALSE,"Margin";"Nonint Income",#N/A,FALSE,"NonII";"Nonint Exp",#N/A,FALSE,"NonIE";"Valuation",#N/A,FALSE,"Valuation"}</definedName>
    <definedName name="x" localSheetId="20" hidden="1">"c2205"</definedName>
    <definedName name="x" localSheetId="21" hidden="1">"c2205"</definedName>
    <definedName name="x" localSheetId="23" hidden="1">"c2205"</definedName>
    <definedName name="x" localSheetId="1" hidden="1">{"cover a","1q",FALSE,"Cover";"Op Earn Mgd Q1",#N/A,FALSE,"Op-Earn (Mng)";"Op Earn Rpt Q1",#N/A,FALSE,"Op-Earn (Rpt)";"Loans",#N/A,FALSE,"Loans";"Credit Costs",#N/A,FALSE,"CCosts";"Net Interest Margin",#N/A,FALSE,"Margin";"Nonint Income",#N/A,FALSE,"NonII";"Nonint Exp",#N/A,FALSE,"NonIE";"Valuation",#N/A,FALSE,"Valuation"}</definedName>
    <definedName name="x" localSheetId="28" hidden="1">{"cover a","1q",FALSE,"Cover";"Op Earn Mgd Q1",#N/A,FALSE,"Op-Earn (Mng)";"Op Earn Rpt Q1",#N/A,FALSE,"Op-Earn (Rpt)";"Loans",#N/A,FALSE,"Loans";"Credit Costs",#N/A,FALSE,"CCosts";"Net Interest Margin",#N/A,FALSE,"Margin";"Nonint Income",#N/A,FALSE,"NonII";"Nonint Exp",#N/A,FALSE,"NonIE";"Valuation",#N/A,FALSE,"Valuation"}</definedName>
    <definedName name="x" localSheetId="26" hidden="1">"c2205"</definedName>
    <definedName name="x" localSheetId="27" hidden="1">"c2205"</definedName>
    <definedName name="x" hidden="1">{"cover a","1q",FALSE,"Cover";"Op Earn Mgd Q1",#N/A,FALSE,"Op-Earn (Mng)";"Op Earn Rpt Q1",#N/A,FALSE,"Op-Earn (Rpt)";"Loans",#N/A,FALSE,"Loans";"Credit Costs",#N/A,FALSE,"CCosts";"Net Interest Margin",#N/A,FALSE,"Margin";"Nonint Income",#N/A,FALSE,"NonII";"Nonint Exp",#N/A,FALSE,"NonIE";"Valuation",#N/A,FALSE,"Valuation"}</definedName>
    <definedName name="XOM_CAPEX">#REF!</definedName>
    <definedName name="XOM_CAPEX_Chems">#REF!</definedName>
    <definedName name="XOM_CAPEX_EP">#REF!</definedName>
    <definedName name="XOM_CAPEX_Other">#REF!</definedName>
    <definedName name="XOM_CAPEX_RM">#REF!</definedName>
    <definedName name="xxxx" localSheetId="17" hidden="1">#REF!</definedName>
    <definedName name="xxxx" localSheetId="15" hidden="1">#REF!</definedName>
    <definedName name="xxxx" localSheetId="12" hidden="1">#REF!</definedName>
    <definedName name="xxxx" localSheetId="22" hidden="1">#REF!</definedName>
    <definedName name="xxxx" localSheetId="20" hidden="1">#REF!</definedName>
    <definedName name="xxxx" localSheetId="21" hidden="1">#REF!</definedName>
    <definedName name="xxxx" localSheetId="23" hidden="1">#REF!</definedName>
    <definedName name="xxxx" localSheetId="28" hidden="1">#REF!</definedName>
    <definedName name="xxxx" localSheetId="26" hidden="1">#REF!</definedName>
    <definedName name="xxxx" localSheetId="27" hidden="1">#REF!</definedName>
    <definedName name="xxxx" hidden="1">#REF!</definedName>
    <definedName name="y" localSheetId="17" hidden="1">{"segment_EPS",#N/A,FALSE,"TXTCOMPS"}</definedName>
    <definedName name="y" localSheetId="15" hidden="1">{"segment_EPS",#N/A,FALSE,"TXTCOMPS"}</definedName>
    <definedName name="y" localSheetId="12" hidden="1">{"segment_EPS",#N/A,FALSE,"TXTCOMPS"}</definedName>
    <definedName name="y" localSheetId="22" hidden="1">{"segment_EPS",#N/A,FALSE,"TXTCOMPS"}</definedName>
    <definedName name="y" localSheetId="20" hidden="1">{"segment_EPS",#N/A,FALSE,"TXTCOMPS"}</definedName>
    <definedName name="y" localSheetId="21" hidden="1">{"segment_EPS",#N/A,FALSE,"TXTCOMPS"}</definedName>
    <definedName name="y" localSheetId="23" hidden="1">{"segment_EPS",#N/A,FALSE,"TXTCOMPS"}</definedName>
    <definedName name="y" localSheetId="1" hidden="1">{"segment_EPS",#N/A,FALSE,"TXTCOMPS"}</definedName>
    <definedName name="y" localSheetId="28" hidden="1">{"segment_EPS",#N/A,FALSE,"TXTCOMPS"}</definedName>
    <definedName name="y" localSheetId="26" hidden="1">{"segment_EPS",#N/A,FALSE,"TXTCOMPS"}</definedName>
    <definedName name="y" localSheetId="27" hidden="1">{"segment_EPS",#N/A,FALSE,"TXTCOMPS"}</definedName>
    <definedName name="y" hidden="1">{"segment_EPS",#N/A,FALSE,"TXTCOMPS"}</definedName>
    <definedName name="YearBase">2004</definedName>
    <definedName name="z" localSheetId="17" hidden="1">{#N/A,#N/A,FALSE,"Aging Summary";#N/A,#N/A,FALSE,"Ratio Analysis";#N/A,#N/A,FALSE,"Test 120 Day Accts";#N/A,#N/A,FALSE,"Tickmarks"}</definedName>
    <definedName name="z" localSheetId="15" hidden="1">#REF!</definedName>
    <definedName name="z" localSheetId="12" hidden="1">#REF!</definedName>
    <definedName name="z" localSheetId="22" hidden="1">{#N/A,#N/A,FALSE,"Aging Summary";#N/A,#N/A,FALSE,"Ratio Analysis";#N/A,#N/A,FALSE,"Test 120 Day Accts";#N/A,#N/A,FALSE,"Tickmarks"}</definedName>
    <definedName name="z" localSheetId="20" hidden="1">#REF!</definedName>
    <definedName name="z" localSheetId="21" hidden="1">#REF!</definedName>
    <definedName name="z" localSheetId="23" hidden="1">{#N/A,#N/A,FALSE,"Aging Summary";#N/A,#N/A,FALSE,"Ratio Analysis";#N/A,#N/A,FALSE,"Test 120 Day Accts";#N/A,#N/A,FALSE,"Tickmarks"}</definedName>
    <definedName name="z" localSheetId="1" hidden="1">{#N/A,#N/A,FALSE,"Aging Summary";#N/A,#N/A,FALSE,"Ratio Analysis";#N/A,#N/A,FALSE,"Test 120 Day Accts";#N/A,#N/A,FALSE,"Tickmarks"}</definedName>
    <definedName name="z" localSheetId="28" hidden="1">{#N/A,#N/A,FALSE,"Aging Summary";#N/A,#N/A,FALSE,"Ratio Analysis";#N/A,#N/A,FALSE,"Test 120 Day Accts";#N/A,#N/A,FALSE,"Tickmarks"}</definedName>
    <definedName name="z" localSheetId="26" hidden="1">#REF!</definedName>
    <definedName name="z" localSheetId="27" hidden="1">#REF!</definedName>
    <definedName name="z" hidden="1">{#N/A,#N/A,FALSE,"Aging Summary";#N/A,#N/A,FALSE,"Ratio Analysis";#N/A,#N/A,FALSE,"Test 120 Day Accts";#N/A,#N/A,FALSE,"Tickmarks"}</definedName>
    <definedName name="ㄴㄴ" localSheetId="17" hidden="1">{#N/A,#N/A,FALSE,"Aging Summary";#N/A,#N/A,FALSE,"Ratio Analysis";#N/A,#N/A,FALSE,"Test 120 Day Accts";#N/A,#N/A,FALSE,"Tickmarks"}</definedName>
    <definedName name="ㄴㄴ" localSheetId="15" hidden="1">{#N/A,#N/A,FALSE,"Aging Summary";#N/A,#N/A,FALSE,"Ratio Analysis";#N/A,#N/A,FALSE,"Test 120 Day Accts";#N/A,#N/A,FALSE,"Tickmarks"}</definedName>
    <definedName name="ㄴㄴ" localSheetId="12" hidden="1">{#N/A,#N/A,FALSE,"Aging Summary";#N/A,#N/A,FALSE,"Ratio Analysis";#N/A,#N/A,FALSE,"Test 120 Day Accts";#N/A,#N/A,FALSE,"Tickmarks"}</definedName>
    <definedName name="ㄴㄴ" localSheetId="22" hidden="1">{#N/A,#N/A,FALSE,"Aging Summary";#N/A,#N/A,FALSE,"Ratio Analysis";#N/A,#N/A,FALSE,"Test 120 Day Accts";#N/A,#N/A,FALSE,"Tickmarks"}</definedName>
    <definedName name="ㄴㄴ" localSheetId="20" hidden="1">{#N/A,#N/A,FALSE,"Aging Summary";#N/A,#N/A,FALSE,"Ratio Analysis";#N/A,#N/A,FALSE,"Test 120 Day Accts";#N/A,#N/A,FALSE,"Tickmarks"}</definedName>
    <definedName name="ㄴㄴ" localSheetId="21" hidden="1">{#N/A,#N/A,FALSE,"Aging Summary";#N/A,#N/A,FALSE,"Ratio Analysis";#N/A,#N/A,FALSE,"Test 120 Day Accts";#N/A,#N/A,FALSE,"Tickmarks"}</definedName>
    <definedName name="ㄴㄴ" localSheetId="23" hidden="1">{#N/A,#N/A,FALSE,"Aging Summary";#N/A,#N/A,FALSE,"Ratio Analysis";#N/A,#N/A,FALSE,"Test 120 Day Accts";#N/A,#N/A,FALSE,"Tickmarks"}</definedName>
    <definedName name="ㄴㄴ" localSheetId="1" hidden="1">{#N/A,#N/A,FALSE,"Aging Summary";#N/A,#N/A,FALSE,"Ratio Analysis";#N/A,#N/A,FALSE,"Test 120 Day Accts";#N/A,#N/A,FALSE,"Tickmarks"}</definedName>
    <definedName name="ㄴㄴ" localSheetId="28" hidden="1">{#N/A,#N/A,FALSE,"Aging Summary";#N/A,#N/A,FALSE,"Ratio Analysis";#N/A,#N/A,FALSE,"Test 120 Day Accts";#N/A,#N/A,FALSE,"Tickmarks"}</definedName>
    <definedName name="ㄴㄴ" localSheetId="26" hidden="1">{#N/A,#N/A,FALSE,"Aging Summary";#N/A,#N/A,FALSE,"Ratio Analysis";#N/A,#N/A,FALSE,"Test 120 Day Accts";#N/A,#N/A,FALSE,"Tickmarks"}</definedName>
    <definedName name="ㄴㄴ" localSheetId="27" hidden="1">{#N/A,#N/A,FALSE,"Aging Summary";#N/A,#N/A,FALSE,"Ratio Analysis";#N/A,#N/A,FALSE,"Test 120 Day Accts";#N/A,#N/A,FALSE,"Tickmarks"}</definedName>
    <definedName name="ㄴㄴ" hidden="1">{#N/A,#N/A,FALSE,"Aging Summary";#N/A,#N/A,FALSE,"Ratio Analysis";#N/A,#N/A,FALSE,"Test 120 Day Accts";#N/A,#N/A,FALSE,"Tickmarks"}</definedName>
    <definedName name="매출원가" localSheetId="17" hidden="1">{#N/A,#N/A,FALSE,"Aging Summary";#N/A,#N/A,FALSE,"Ratio Analysis";#N/A,#N/A,FALSE,"Test 120 Day Accts";#N/A,#N/A,FALSE,"Tickmarks"}</definedName>
    <definedName name="매출원가" localSheetId="15" hidden="1">{#N/A,#N/A,FALSE,"Aging Summary";#N/A,#N/A,FALSE,"Ratio Analysis";#N/A,#N/A,FALSE,"Test 120 Day Accts";#N/A,#N/A,FALSE,"Tickmarks"}</definedName>
    <definedName name="매출원가" localSheetId="12" hidden="1">{#N/A,#N/A,FALSE,"Aging Summary";#N/A,#N/A,FALSE,"Ratio Analysis";#N/A,#N/A,FALSE,"Test 120 Day Accts";#N/A,#N/A,FALSE,"Tickmarks"}</definedName>
    <definedName name="매출원가" localSheetId="22" hidden="1">{#N/A,#N/A,FALSE,"Aging Summary";#N/A,#N/A,FALSE,"Ratio Analysis";#N/A,#N/A,FALSE,"Test 120 Day Accts";#N/A,#N/A,FALSE,"Tickmarks"}</definedName>
    <definedName name="매출원가" localSheetId="20" hidden="1">{#N/A,#N/A,FALSE,"Aging Summary";#N/A,#N/A,FALSE,"Ratio Analysis";#N/A,#N/A,FALSE,"Test 120 Day Accts";#N/A,#N/A,FALSE,"Tickmarks"}</definedName>
    <definedName name="매출원가" localSheetId="21" hidden="1">{#N/A,#N/A,FALSE,"Aging Summary";#N/A,#N/A,FALSE,"Ratio Analysis";#N/A,#N/A,FALSE,"Test 120 Day Accts";#N/A,#N/A,FALSE,"Tickmarks"}</definedName>
    <definedName name="매출원가" localSheetId="23" hidden="1">{#N/A,#N/A,FALSE,"Aging Summary";#N/A,#N/A,FALSE,"Ratio Analysis";#N/A,#N/A,FALSE,"Test 120 Day Accts";#N/A,#N/A,FALSE,"Tickmarks"}</definedName>
    <definedName name="매출원가" localSheetId="1" hidden="1">{#N/A,#N/A,FALSE,"Aging Summary";#N/A,#N/A,FALSE,"Ratio Analysis";#N/A,#N/A,FALSE,"Test 120 Day Accts";#N/A,#N/A,FALSE,"Tickmarks"}</definedName>
    <definedName name="매출원가" localSheetId="28" hidden="1">{#N/A,#N/A,FALSE,"Aging Summary";#N/A,#N/A,FALSE,"Ratio Analysis";#N/A,#N/A,FALSE,"Test 120 Day Accts";#N/A,#N/A,FALSE,"Tickmarks"}</definedName>
    <definedName name="매출원가" localSheetId="26" hidden="1">{#N/A,#N/A,FALSE,"Aging Summary";#N/A,#N/A,FALSE,"Ratio Analysis";#N/A,#N/A,FALSE,"Test 120 Day Accts";#N/A,#N/A,FALSE,"Tickmarks"}</definedName>
    <definedName name="매출원가" localSheetId="27" hidden="1">{#N/A,#N/A,FALSE,"Aging Summary";#N/A,#N/A,FALSE,"Ratio Analysis";#N/A,#N/A,FALSE,"Test 120 Day Accts";#N/A,#N/A,FALSE,"Tickmarks"}</definedName>
    <definedName name="매출원가" hidden="1">{#N/A,#N/A,FALSE,"Aging Summary";#N/A,#N/A,FALSE,"Ratio Analysis";#N/A,#N/A,FALSE,"Test 120 Day Accts";#N/A,#N/A,FALSE,"Tickmarks"}</definedName>
    <definedName name="매출원가1" localSheetId="17" hidden="1">{#N/A,#N/A,FALSE,"Aging Summary";#N/A,#N/A,FALSE,"Ratio Analysis";#N/A,#N/A,FALSE,"Test 120 Day Accts";#N/A,#N/A,FALSE,"Tickmarks"}</definedName>
    <definedName name="매출원가1" localSheetId="15" hidden="1">{#N/A,#N/A,FALSE,"Aging Summary";#N/A,#N/A,FALSE,"Ratio Analysis";#N/A,#N/A,FALSE,"Test 120 Day Accts";#N/A,#N/A,FALSE,"Tickmarks"}</definedName>
    <definedName name="매출원가1" localSheetId="12" hidden="1">{#N/A,#N/A,FALSE,"Aging Summary";#N/A,#N/A,FALSE,"Ratio Analysis";#N/A,#N/A,FALSE,"Test 120 Day Accts";#N/A,#N/A,FALSE,"Tickmarks"}</definedName>
    <definedName name="매출원가1" localSheetId="22" hidden="1">{#N/A,#N/A,FALSE,"Aging Summary";#N/A,#N/A,FALSE,"Ratio Analysis";#N/A,#N/A,FALSE,"Test 120 Day Accts";#N/A,#N/A,FALSE,"Tickmarks"}</definedName>
    <definedName name="매출원가1" localSheetId="20" hidden="1">{#N/A,#N/A,FALSE,"Aging Summary";#N/A,#N/A,FALSE,"Ratio Analysis";#N/A,#N/A,FALSE,"Test 120 Day Accts";#N/A,#N/A,FALSE,"Tickmarks"}</definedName>
    <definedName name="매출원가1" localSheetId="21" hidden="1">{#N/A,#N/A,FALSE,"Aging Summary";#N/A,#N/A,FALSE,"Ratio Analysis";#N/A,#N/A,FALSE,"Test 120 Day Accts";#N/A,#N/A,FALSE,"Tickmarks"}</definedName>
    <definedName name="매출원가1" localSheetId="23" hidden="1">{#N/A,#N/A,FALSE,"Aging Summary";#N/A,#N/A,FALSE,"Ratio Analysis";#N/A,#N/A,FALSE,"Test 120 Day Accts";#N/A,#N/A,FALSE,"Tickmarks"}</definedName>
    <definedName name="매출원가1" localSheetId="1" hidden="1">{#N/A,#N/A,FALSE,"Aging Summary";#N/A,#N/A,FALSE,"Ratio Analysis";#N/A,#N/A,FALSE,"Test 120 Day Accts";#N/A,#N/A,FALSE,"Tickmarks"}</definedName>
    <definedName name="매출원가1" localSheetId="28" hidden="1">{#N/A,#N/A,FALSE,"Aging Summary";#N/A,#N/A,FALSE,"Ratio Analysis";#N/A,#N/A,FALSE,"Test 120 Day Accts";#N/A,#N/A,FALSE,"Tickmarks"}</definedName>
    <definedName name="매출원가1" localSheetId="26" hidden="1">{#N/A,#N/A,FALSE,"Aging Summary";#N/A,#N/A,FALSE,"Ratio Analysis";#N/A,#N/A,FALSE,"Test 120 Day Accts";#N/A,#N/A,FALSE,"Tickmarks"}</definedName>
    <definedName name="매출원가1" localSheetId="27" hidden="1">{#N/A,#N/A,FALSE,"Aging Summary";#N/A,#N/A,FALSE,"Ratio Analysis";#N/A,#N/A,FALSE,"Test 120 Day Accts";#N/A,#N/A,FALSE,"Tickmarks"}</definedName>
    <definedName name="매출원가1" hidden="1">{#N/A,#N/A,FALSE,"Aging Summary";#N/A,#N/A,FALSE,"Ratio Analysis";#N/A,#N/A,FALSE,"Test 120 Day Accts";#N/A,#N/A,FALSE,"Tickmarks"}</definedName>
    <definedName name="ㅏㅏ" localSheetId="17" hidden="1">{#N/A,#N/A,FALSE,"Aging Summary";#N/A,#N/A,FALSE,"Ratio Analysis";#N/A,#N/A,FALSE,"Test 120 Day Accts";#N/A,#N/A,FALSE,"Tickmarks"}</definedName>
    <definedName name="ㅏㅏ" localSheetId="15" hidden="1">{#N/A,#N/A,FALSE,"Aging Summary";#N/A,#N/A,FALSE,"Ratio Analysis";#N/A,#N/A,FALSE,"Test 120 Day Accts";#N/A,#N/A,FALSE,"Tickmarks"}</definedName>
    <definedName name="ㅏㅏ" localSheetId="12" hidden="1">{#N/A,#N/A,FALSE,"Aging Summary";#N/A,#N/A,FALSE,"Ratio Analysis";#N/A,#N/A,FALSE,"Test 120 Day Accts";#N/A,#N/A,FALSE,"Tickmarks"}</definedName>
    <definedName name="ㅏㅏ" localSheetId="22" hidden="1">{#N/A,#N/A,FALSE,"Aging Summary";#N/A,#N/A,FALSE,"Ratio Analysis";#N/A,#N/A,FALSE,"Test 120 Day Accts";#N/A,#N/A,FALSE,"Tickmarks"}</definedName>
    <definedName name="ㅏㅏ" localSheetId="20" hidden="1">{#N/A,#N/A,FALSE,"Aging Summary";#N/A,#N/A,FALSE,"Ratio Analysis";#N/A,#N/A,FALSE,"Test 120 Day Accts";#N/A,#N/A,FALSE,"Tickmarks"}</definedName>
    <definedName name="ㅏㅏ" localSheetId="21" hidden="1">{#N/A,#N/A,FALSE,"Aging Summary";#N/A,#N/A,FALSE,"Ratio Analysis";#N/A,#N/A,FALSE,"Test 120 Day Accts";#N/A,#N/A,FALSE,"Tickmarks"}</definedName>
    <definedName name="ㅏㅏ" localSheetId="23" hidden="1">{#N/A,#N/A,FALSE,"Aging Summary";#N/A,#N/A,FALSE,"Ratio Analysis";#N/A,#N/A,FALSE,"Test 120 Day Accts";#N/A,#N/A,FALSE,"Tickmarks"}</definedName>
    <definedName name="ㅏㅏ" localSheetId="1" hidden="1">{#N/A,#N/A,FALSE,"Aging Summary";#N/A,#N/A,FALSE,"Ratio Analysis";#N/A,#N/A,FALSE,"Test 120 Day Accts";#N/A,#N/A,FALSE,"Tickmarks"}</definedName>
    <definedName name="ㅏㅏ" localSheetId="28" hidden="1">{#N/A,#N/A,FALSE,"Aging Summary";#N/A,#N/A,FALSE,"Ratio Analysis";#N/A,#N/A,FALSE,"Test 120 Day Accts";#N/A,#N/A,FALSE,"Tickmarks"}</definedName>
    <definedName name="ㅏㅏ" localSheetId="26" hidden="1">{#N/A,#N/A,FALSE,"Aging Summary";#N/A,#N/A,FALSE,"Ratio Analysis";#N/A,#N/A,FALSE,"Test 120 Day Accts";#N/A,#N/A,FALSE,"Tickmarks"}</definedName>
    <definedName name="ㅏㅏ" localSheetId="27" hidden="1">{#N/A,#N/A,FALSE,"Aging Summary";#N/A,#N/A,FALSE,"Ratio Analysis";#N/A,#N/A,FALSE,"Test 120 Day Accts";#N/A,#N/A,FALSE,"Tickmarks"}</definedName>
    <definedName name="ㅏㅏ" hidden="1">{#N/A,#N/A,FALSE,"Aging Summary";#N/A,#N/A,FALSE,"Ratio Analysis";#N/A,#N/A,FALSE,"Test 120 Day Accts";#N/A,#N/A,FALSE,"Tickmarks"}</definedName>
  </definedNames>
  <calcPr calcId="191029" iterate="1" calcCompleted="0"/>
  <pivotCaches>
    <pivotCache cacheId="0" r:id="rId63"/>
  </pivotCaches>
  <extLst>
    <ext xmlns:x14="http://schemas.microsoft.com/office/spreadsheetml/2009/9/main" uri="{BBE1A952-AA13-448e-AADC-164F8A28A991}">
      <x14:slicerCaches>
        <x14:slicerCache r:id="rId64"/>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65"/>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46" i="38" l="1"/>
  <c r="F77" i="36"/>
  <c r="X134" i="13" l="1"/>
  <c r="W134" i="13"/>
  <c r="V134" i="13"/>
  <c r="U134" i="13"/>
  <c r="T134" i="13"/>
  <c r="S134" i="13"/>
  <c r="R134" i="13"/>
  <c r="Q134" i="13"/>
  <c r="P134" i="13"/>
  <c r="O134" i="13"/>
  <c r="N134" i="13"/>
  <c r="M134" i="13"/>
  <c r="L134" i="13"/>
  <c r="K134" i="13"/>
  <c r="L130" i="13"/>
  <c r="K96" i="13"/>
  <c r="L96" i="13" s="1"/>
  <c r="F96" i="13"/>
  <c r="D96" i="13"/>
  <c r="K95" i="13"/>
  <c r="L95" i="13" s="1"/>
  <c r="G95" i="13"/>
  <c r="I95" i="13" s="1"/>
  <c r="F95" i="13"/>
  <c r="D95" i="13"/>
  <c r="K94" i="13"/>
  <c r="L94" i="13" s="1"/>
  <c r="G94" i="13"/>
  <c r="I94" i="13" s="1"/>
  <c r="F94" i="13"/>
  <c r="D94" i="13"/>
  <c r="K93" i="13"/>
  <c r="L93" i="13" s="1"/>
  <c r="G93" i="13"/>
  <c r="I93" i="13" s="1"/>
  <c r="F93" i="13"/>
  <c r="D93" i="13"/>
  <c r="K92" i="13"/>
  <c r="L92" i="13" s="1"/>
  <c r="F92" i="13"/>
  <c r="D92" i="13"/>
  <c r="K89" i="13"/>
  <c r="L89" i="13" s="1"/>
  <c r="G89" i="13"/>
  <c r="I89" i="13" s="1"/>
  <c r="F89" i="13"/>
  <c r="D89" i="13"/>
  <c r="K88" i="13"/>
  <c r="L88" i="13" s="1"/>
  <c r="G88" i="13"/>
  <c r="I88" i="13" s="1"/>
  <c r="F88" i="13"/>
  <c r="D88" i="13"/>
  <c r="K87" i="13"/>
  <c r="L87" i="13" s="1"/>
  <c r="F87" i="13"/>
  <c r="D87" i="13"/>
  <c r="K86" i="13"/>
  <c r="L86" i="13" s="1"/>
  <c r="F86" i="13"/>
  <c r="D86" i="13"/>
  <c r="K85" i="13"/>
  <c r="L85" i="13" s="1"/>
  <c r="G85" i="13"/>
  <c r="I85" i="13" s="1"/>
  <c r="F85" i="13"/>
  <c r="D85" i="13"/>
  <c r="K84" i="13"/>
  <c r="L84" i="13" s="1"/>
  <c r="G84" i="13"/>
  <c r="I84" i="13" s="1"/>
  <c r="F84" i="13"/>
  <c r="D84" i="13"/>
  <c r="J75" i="13"/>
  <c r="J134" i="13" s="1"/>
  <c r="I75" i="13"/>
  <c r="I134" i="13" s="1"/>
  <c r="H75" i="13"/>
  <c r="H134" i="13" s="1"/>
  <c r="G75" i="13"/>
  <c r="G134" i="13" s="1"/>
  <c r="F75" i="13"/>
  <c r="F134" i="13" s="1"/>
  <c r="E75" i="13"/>
  <c r="E134" i="13" s="1"/>
  <c r="Q66" i="13"/>
  <c r="W65" i="13"/>
  <c r="U65" i="13"/>
  <c r="Q65" i="13"/>
  <c r="W64" i="13"/>
  <c r="U64" i="13"/>
  <c r="Q64" i="13"/>
  <c r="W63" i="13"/>
  <c r="U63" i="13"/>
  <c r="Q63" i="13"/>
  <c r="W62" i="13"/>
  <c r="U62" i="13"/>
  <c r="Q62" i="13"/>
  <c r="C62" i="13"/>
  <c r="W61" i="13"/>
  <c r="C61" i="13"/>
  <c r="Q60" i="13"/>
  <c r="C60" i="13"/>
  <c r="C59" i="13"/>
  <c r="C58" i="13"/>
  <c r="C57" i="13"/>
  <c r="C56" i="13"/>
  <c r="C55" i="13"/>
  <c r="C54" i="13"/>
  <c r="C53" i="13"/>
  <c r="C52" i="13"/>
  <c r="C51" i="13"/>
  <c r="C50" i="13"/>
  <c r="C49" i="13"/>
  <c r="C48" i="13"/>
  <c r="C47" i="13"/>
  <c r="C46" i="13"/>
  <c r="C45" i="13"/>
  <c r="C44" i="13"/>
  <c r="C43" i="13"/>
  <c r="P42" i="13"/>
  <c r="O42" i="13"/>
  <c r="N42" i="13"/>
  <c r="M42" i="13"/>
  <c r="L42" i="13"/>
  <c r="K42" i="13"/>
  <c r="J42" i="13"/>
  <c r="T58" i="13" s="1"/>
  <c r="I42" i="13"/>
  <c r="S58" i="13" s="1"/>
  <c r="H42" i="13"/>
  <c r="G42" i="13"/>
  <c r="F42" i="13"/>
  <c r="E42" i="13"/>
  <c r="S31" i="13" l="1"/>
  <c r="S30" i="13"/>
  <c r="V29" i="13"/>
  <c r="V30" i="13" s="1"/>
  <c r="V31" i="13" s="1"/>
  <c r="V32" i="13" s="1"/>
  <c r="P27" i="13"/>
  <c r="O27" i="13"/>
  <c r="N27" i="13"/>
  <c r="O24" i="13"/>
  <c r="W22" i="13"/>
  <c r="V22" i="13"/>
  <c r="U22" i="13"/>
  <c r="T22" i="13"/>
  <c r="S22" i="13"/>
  <c r="W10" i="13"/>
  <c r="T10" i="13"/>
  <c r="S33" i="13" l="1"/>
  <c r="U10" i="13"/>
  <c r="C8" i="13" l="1"/>
  <c r="Z6" i="13"/>
  <c r="Y6" i="13"/>
  <c r="Z3" i="13" a="1"/>
  <c r="Z3" i="13" l="1"/>
  <c r="Z3" i="27" l="1" a="1"/>
  <c r="Z3" i="27" l="1"/>
  <c r="Z3" i="36" a="1"/>
  <c r="Z3" i="36" s="1"/>
  <c r="J86" i="14" l="1"/>
  <c r="J86" i="37"/>
  <c r="J86" i="28"/>
  <c r="E16" i="120" l="1"/>
  <c r="F16" i="120" s="1"/>
  <c r="E11" i="120"/>
  <c r="F11" i="120" s="1"/>
  <c r="G11" i="120" s="1"/>
  <c r="M134" i="39" l="1"/>
  <c r="N134" i="39"/>
  <c r="O134" i="39"/>
  <c r="P134" i="39"/>
  <c r="Q134" i="39"/>
  <c r="R134" i="39"/>
  <c r="M135" i="39"/>
  <c r="N135" i="39"/>
  <c r="O135" i="39"/>
  <c r="P135" i="39"/>
  <c r="Q135" i="39"/>
  <c r="R135" i="39"/>
  <c r="M136" i="39"/>
  <c r="N136" i="39"/>
  <c r="O136" i="39"/>
  <c r="P136" i="39"/>
  <c r="Q136" i="39"/>
  <c r="R136" i="39"/>
  <c r="R133" i="39"/>
  <c r="Q133" i="39"/>
  <c r="N133" i="39"/>
  <c r="O133" i="39"/>
  <c r="P133" i="39"/>
  <c r="M133" i="39"/>
  <c r="AC7" i="63"/>
  <c r="AC8" i="63"/>
  <c r="AC9" i="63"/>
  <c r="AC10" i="63"/>
  <c r="AC11" i="63"/>
  <c r="AC12" i="63"/>
  <c r="AC13" i="63"/>
  <c r="AC14" i="63"/>
  <c r="AC15" i="63"/>
  <c r="AC16" i="63"/>
  <c r="AC17" i="63"/>
  <c r="AC18" i="63"/>
  <c r="AC19" i="63"/>
  <c r="AC20" i="63"/>
  <c r="AC21" i="63"/>
  <c r="AC22" i="63"/>
  <c r="AC6" i="63"/>
  <c r="P70" i="17"/>
  <c r="O70" i="17"/>
  <c r="L70" i="17"/>
  <c r="K70" i="17"/>
  <c r="U72" i="17"/>
  <c r="S72" i="17"/>
  <c r="U70" i="17"/>
  <c r="S70" i="17"/>
  <c r="O24" i="27"/>
  <c r="O24" i="36"/>
  <c r="Z6" i="27"/>
  <c r="Y6" i="27"/>
  <c r="Z6" i="36"/>
  <c r="Y6" i="36"/>
  <c r="AC23" i="63" l="1"/>
  <c r="F87" i="36"/>
  <c r="F86" i="36"/>
  <c r="F85" i="36"/>
  <c r="F84" i="36"/>
  <c r="F83" i="36"/>
  <c r="F82" i="36"/>
  <c r="F81" i="36"/>
  <c r="O18" i="37"/>
  <c r="P18" i="37"/>
  <c r="Q18" i="37"/>
  <c r="R18" i="37"/>
  <c r="S18" i="37"/>
  <c r="T18" i="37"/>
  <c r="U18" i="37"/>
  <c r="V18" i="37"/>
  <c r="O19" i="37"/>
  <c r="P19" i="37"/>
  <c r="Q19" i="37"/>
  <c r="R19" i="37"/>
  <c r="S19" i="37"/>
  <c r="T19" i="37"/>
  <c r="U19" i="37"/>
  <c r="V19" i="37"/>
  <c r="O20" i="37"/>
  <c r="P20" i="37"/>
  <c r="Q20" i="37"/>
  <c r="R20" i="37"/>
  <c r="S20" i="37"/>
  <c r="T20" i="37"/>
  <c r="U20" i="37"/>
  <c r="O23" i="37"/>
  <c r="P23" i="37"/>
  <c r="Q23" i="37"/>
  <c r="R23" i="37"/>
  <c r="S23" i="37"/>
  <c r="T23" i="37"/>
  <c r="O26" i="37"/>
  <c r="P26" i="37"/>
  <c r="Q26" i="37"/>
  <c r="R26" i="37"/>
  <c r="S26" i="37"/>
  <c r="T26" i="37"/>
  <c r="U26" i="37"/>
  <c r="O29" i="37"/>
  <c r="P29" i="37"/>
  <c r="Q29" i="37"/>
  <c r="R29" i="37"/>
  <c r="S29" i="37"/>
  <c r="T29" i="37"/>
  <c r="U29" i="37"/>
  <c r="T30" i="37"/>
  <c r="U30" i="37"/>
  <c r="O31" i="37"/>
  <c r="P31" i="37"/>
  <c r="Q31" i="37"/>
  <c r="R31" i="37"/>
  <c r="S31" i="37"/>
  <c r="T31" i="37"/>
  <c r="U31" i="37"/>
  <c r="N31" i="37"/>
  <c r="N29" i="37"/>
  <c r="N26" i="37"/>
  <c r="N23" i="37"/>
  <c r="N20" i="37"/>
  <c r="N19" i="37"/>
  <c r="N18" i="37"/>
  <c r="S32" i="41"/>
  <c r="T32" i="41" s="1"/>
  <c r="U23" i="37"/>
  <c r="R327" i="39"/>
  <c r="R315" i="39"/>
  <c r="R308" i="39"/>
  <c r="R305" i="39"/>
  <c r="R295" i="39"/>
  <c r="R296" i="39"/>
  <c r="R297" i="39"/>
  <c r="R300" i="39"/>
  <c r="R294" i="39"/>
  <c r="E17" i="120" s="1"/>
  <c r="F17" i="120" s="1"/>
  <c r="R184" i="39"/>
  <c r="E13" i="120" s="1"/>
  <c r="F13" i="120" s="1"/>
  <c r="G13" i="120" s="1"/>
  <c r="R189" i="39"/>
  <c r="R190" i="39"/>
  <c r="R188" i="39"/>
  <c r="R202" i="39" s="1"/>
  <c r="R161" i="39"/>
  <c r="R216" i="39" s="1"/>
  <c r="R162" i="39"/>
  <c r="R217" i="39" s="1"/>
  <c r="R163" i="39"/>
  <c r="R218" i="39" s="1"/>
  <c r="R84" i="38"/>
  <c r="R36" i="38"/>
  <c r="R66" i="38" s="1"/>
  <c r="R117" i="39"/>
  <c r="R118" i="39"/>
  <c r="R100" i="39"/>
  <c r="R11" i="39" s="1"/>
  <c r="R92" i="39"/>
  <c r="R10" i="39" s="1"/>
  <c r="R16" i="39"/>
  <c r="R231" i="39" s="1"/>
  <c r="R246" i="39" s="1"/>
  <c r="R17" i="39"/>
  <c r="R232" i="39" s="1"/>
  <c r="R247" i="39" s="1"/>
  <c r="R18" i="39"/>
  <c r="R233" i="39" s="1"/>
  <c r="R248" i="39" s="1"/>
  <c r="R19" i="39"/>
  <c r="R234" i="39" s="1"/>
  <c r="R249" i="39" s="1"/>
  <c r="R20" i="39"/>
  <c r="R235" i="39" s="1"/>
  <c r="R250" i="39" s="1"/>
  <c r="R21" i="39"/>
  <c r="R236" i="39" s="1"/>
  <c r="R251" i="39" s="1"/>
  <c r="R22" i="39"/>
  <c r="R237" i="39" s="1"/>
  <c r="R252" i="39" s="1"/>
  <c r="R26" i="39"/>
  <c r="U9" i="37" s="1"/>
  <c r="R27" i="39"/>
  <c r="R240" i="39" s="1"/>
  <c r="R255" i="39" s="1"/>
  <c r="R30" i="39"/>
  <c r="R241" i="39" s="1"/>
  <c r="R256" i="39" s="1"/>
  <c r="R33" i="39"/>
  <c r="R36" i="39"/>
  <c r="U15" i="37" s="1"/>
  <c r="R37" i="39"/>
  <c r="R53" i="38"/>
  <c r="R54" i="38"/>
  <c r="R55" i="38"/>
  <c r="R57" i="38"/>
  <c r="R63" i="38"/>
  <c r="R67" i="38"/>
  <c r="R68" i="38"/>
  <c r="R72" i="38"/>
  <c r="R73" i="38"/>
  <c r="R74" i="38"/>
  <c r="R75" i="38"/>
  <c r="R76" i="38"/>
  <c r="R79" i="38"/>
  <c r="R182" i="38"/>
  <c r="R183" i="38"/>
  <c r="R251" i="38"/>
  <c r="R233" i="38"/>
  <c r="U17" i="37" s="1"/>
  <c r="R238" i="38"/>
  <c r="R222" i="38"/>
  <c r="R223" i="38"/>
  <c r="R226" i="38"/>
  <c r="R227" i="38"/>
  <c r="R199" i="38" a="1"/>
  <c r="R199" i="38" s="1"/>
  <c r="R200" i="38" a="1"/>
  <c r="R200" i="38" s="1"/>
  <c r="R194" i="38"/>
  <c r="R178" i="38" s="1"/>
  <c r="R148" i="38"/>
  <c r="R122" i="38"/>
  <c r="R124" i="38" s="1"/>
  <c r="R128" i="38"/>
  <c r="R225" i="38" s="1"/>
  <c r="R192" i="38"/>
  <c r="R176" i="38"/>
  <c r="R174" i="38" s="1"/>
  <c r="R129" i="38"/>
  <c r="R141" i="38"/>
  <c r="R149" i="38"/>
  <c r="R152" i="38"/>
  <c r="R155" i="38"/>
  <c r="R167" i="38"/>
  <c r="U25" i="37" s="1"/>
  <c r="T32" i="37" l="1"/>
  <c r="S24" i="37"/>
  <c r="O24" i="37"/>
  <c r="U32" i="37"/>
  <c r="T24" i="37"/>
  <c r="R179" i="38"/>
  <c r="R24" i="37"/>
  <c r="R182" i="39"/>
  <c r="Q24" i="37"/>
  <c r="R224" i="38"/>
  <c r="R69" i="38"/>
  <c r="R38" i="39" s="1"/>
  <c r="P24" i="37"/>
  <c r="U24" i="37"/>
  <c r="R181" i="39"/>
  <c r="R183" i="39"/>
  <c r="R204" i="39"/>
  <c r="R203" i="39"/>
  <c r="R239" i="39"/>
  <c r="R254" i="39" s="1"/>
  <c r="R298" i="39"/>
  <c r="R187" i="39"/>
  <c r="R160" i="39"/>
  <c r="R215" i="39" s="1"/>
  <c r="R161" i="38"/>
  <c r="R168" i="38" s="1"/>
  <c r="R135" i="38"/>
  <c r="U27" i="37" s="1"/>
  <c r="R201" i="39" l="1"/>
  <c r="R180" i="39"/>
  <c r="R170" i="38"/>
  <c r="C9" i="36" l="1"/>
  <c r="C8" i="36"/>
  <c r="C8" i="27" l="1"/>
  <c r="C9" i="27" l="1"/>
  <c r="L154" i="27"/>
  <c r="F66" i="85" l="1"/>
  <c r="H66" i="85"/>
  <c r="I66" i="85"/>
  <c r="J66" i="85"/>
  <c r="K66" i="85"/>
  <c r="L66" i="85"/>
  <c r="M66" i="85"/>
  <c r="O66" i="85"/>
  <c r="P66" i="85"/>
  <c r="Q66" i="85"/>
  <c r="R66" i="85"/>
  <c r="S66" i="85"/>
  <c r="T66" i="85"/>
  <c r="U66" i="85"/>
  <c r="V66" i="85"/>
  <c r="W66" i="85"/>
  <c r="X66" i="85"/>
  <c r="Y66" i="85"/>
  <c r="Z66" i="85"/>
  <c r="AA66" i="85"/>
  <c r="AB66" i="85"/>
  <c r="AC66" i="85"/>
  <c r="AD66" i="85"/>
  <c r="AE66" i="85"/>
  <c r="AF66" i="85"/>
  <c r="AG66" i="85"/>
  <c r="AH66" i="85"/>
  <c r="AJ66" i="85"/>
  <c r="AK66" i="85"/>
  <c r="AL66" i="85"/>
  <c r="AM66" i="85"/>
  <c r="AN66" i="85"/>
  <c r="AO66" i="85"/>
  <c r="AP66" i="85"/>
  <c r="AQ66" i="85"/>
  <c r="AR66" i="85"/>
  <c r="AS66" i="85"/>
  <c r="AT66" i="85"/>
  <c r="AU66" i="85"/>
  <c r="AV66" i="85"/>
  <c r="AW66" i="85"/>
  <c r="AX66" i="85"/>
  <c r="AY66" i="85"/>
  <c r="BA66" i="85"/>
  <c r="BB66" i="85"/>
  <c r="BC66" i="85"/>
  <c r="BD66" i="85"/>
  <c r="BE66" i="85"/>
  <c r="BF66" i="85"/>
  <c r="BG66" i="85"/>
  <c r="BH66" i="85"/>
  <c r="BI66" i="85"/>
  <c r="BJ66" i="85"/>
  <c r="BK66" i="85"/>
  <c r="BL66" i="85"/>
  <c r="BM66" i="85"/>
  <c r="BN66" i="85"/>
  <c r="BO66" i="85"/>
  <c r="BP66" i="85"/>
  <c r="BQ66" i="85"/>
  <c r="BR66" i="85"/>
  <c r="BS66" i="85"/>
  <c r="BT66" i="85"/>
  <c r="BU66" i="85"/>
  <c r="F67" i="85"/>
  <c r="G67" i="85"/>
  <c r="H67" i="85"/>
  <c r="I67" i="85"/>
  <c r="J67" i="85"/>
  <c r="K67" i="85"/>
  <c r="L67" i="85"/>
  <c r="M67" i="85"/>
  <c r="N67" i="85"/>
  <c r="O67" i="85"/>
  <c r="P67" i="85"/>
  <c r="Q67" i="85"/>
  <c r="R67" i="85"/>
  <c r="S67" i="85"/>
  <c r="T67" i="85"/>
  <c r="U67" i="85"/>
  <c r="V67" i="85"/>
  <c r="W67" i="85"/>
  <c r="X67" i="85"/>
  <c r="Y67" i="85"/>
  <c r="Z67" i="85"/>
  <c r="AA67" i="85"/>
  <c r="AB67" i="85"/>
  <c r="AC67" i="85"/>
  <c r="AD67" i="85"/>
  <c r="AE67" i="85"/>
  <c r="AF67" i="85"/>
  <c r="AG67" i="85"/>
  <c r="AH67" i="85"/>
  <c r="AI67" i="85"/>
  <c r="AJ67" i="85"/>
  <c r="AK67" i="85"/>
  <c r="AL67" i="85"/>
  <c r="AM67" i="85"/>
  <c r="AN67" i="85"/>
  <c r="AO67" i="85"/>
  <c r="AP67" i="85"/>
  <c r="AQ67" i="85"/>
  <c r="AR67" i="85"/>
  <c r="AS67" i="85"/>
  <c r="AT67" i="85"/>
  <c r="AU67" i="85"/>
  <c r="AV67" i="85"/>
  <c r="AW67" i="85"/>
  <c r="AX67" i="85"/>
  <c r="AY67" i="85"/>
  <c r="AZ67" i="85"/>
  <c r="BA67" i="85"/>
  <c r="BB67" i="85"/>
  <c r="BC67" i="85"/>
  <c r="BD67" i="85"/>
  <c r="BE67" i="85"/>
  <c r="BF67" i="85"/>
  <c r="BG67" i="85"/>
  <c r="BH67" i="85"/>
  <c r="BI67" i="85"/>
  <c r="BJ67" i="85"/>
  <c r="BK67" i="85"/>
  <c r="BL67" i="85"/>
  <c r="BM67" i="85"/>
  <c r="BN67" i="85"/>
  <c r="BO67" i="85"/>
  <c r="BP67" i="85"/>
  <c r="BQ67" i="85"/>
  <c r="BR67" i="85"/>
  <c r="BS67" i="85"/>
  <c r="BT67" i="85"/>
  <c r="BU67" i="85"/>
  <c r="F68" i="85"/>
  <c r="G68" i="85"/>
  <c r="H68" i="85"/>
  <c r="I68" i="85"/>
  <c r="J68" i="85"/>
  <c r="K68" i="85"/>
  <c r="L68" i="85"/>
  <c r="M68" i="85"/>
  <c r="N68" i="85"/>
  <c r="O68" i="85"/>
  <c r="P68" i="85"/>
  <c r="Q68" i="85"/>
  <c r="R68" i="85"/>
  <c r="S68" i="85"/>
  <c r="T68" i="85"/>
  <c r="U68" i="85"/>
  <c r="V68" i="85"/>
  <c r="X68" i="85"/>
  <c r="Y68" i="85"/>
  <c r="AB68" i="85"/>
  <c r="AC68" i="85"/>
  <c r="AD68" i="85"/>
  <c r="AE68" i="85"/>
  <c r="AF68" i="85"/>
  <c r="AG68" i="85"/>
  <c r="AH68" i="85"/>
  <c r="AI68" i="85"/>
  <c r="AJ68" i="85"/>
  <c r="AK68" i="85"/>
  <c r="AL68" i="85"/>
  <c r="AM68" i="85"/>
  <c r="AN68" i="85"/>
  <c r="AO68" i="85"/>
  <c r="AP68" i="85"/>
  <c r="AQ68" i="85"/>
  <c r="AR68" i="85"/>
  <c r="AS68" i="85"/>
  <c r="AT68" i="85"/>
  <c r="AU68" i="85"/>
  <c r="AV68" i="85"/>
  <c r="AW68" i="85"/>
  <c r="AX68" i="85"/>
  <c r="AY68" i="85"/>
  <c r="AZ68" i="85"/>
  <c r="BA68" i="85"/>
  <c r="BB68" i="85"/>
  <c r="BC68" i="85"/>
  <c r="BD68" i="85"/>
  <c r="BE68" i="85"/>
  <c r="BF68" i="85"/>
  <c r="BG68" i="85"/>
  <c r="BH68" i="85"/>
  <c r="BI68" i="85"/>
  <c r="BJ68" i="85"/>
  <c r="BK68" i="85"/>
  <c r="BL68" i="85"/>
  <c r="BM68" i="85"/>
  <c r="BN68" i="85"/>
  <c r="BO68" i="85"/>
  <c r="BP68" i="85"/>
  <c r="BQ68" i="85"/>
  <c r="BR68" i="85"/>
  <c r="BS68" i="85"/>
  <c r="BT68" i="85"/>
  <c r="BU68" i="85"/>
  <c r="F69" i="85"/>
  <c r="G69" i="85"/>
  <c r="H69" i="85"/>
  <c r="I69" i="85"/>
  <c r="J69" i="85"/>
  <c r="K69" i="85"/>
  <c r="L69" i="85"/>
  <c r="M69" i="85"/>
  <c r="N69" i="85"/>
  <c r="O69" i="85"/>
  <c r="P69" i="85"/>
  <c r="Q69" i="85"/>
  <c r="R69" i="85"/>
  <c r="S69" i="85"/>
  <c r="T69" i="85"/>
  <c r="U69" i="85"/>
  <c r="V69" i="85"/>
  <c r="W69" i="85"/>
  <c r="X69" i="85"/>
  <c r="Y69" i="85"/>
  <c r="Z69" i="85"/>
  <c r="AA69" i="85"/>
  <c r="AB69" i="85"/>
  <c r="AC69" i="85"/>
  <c r="AD69" i="85"/>
  <c r="AE69" i="85"/>
  <c r="AF69" i="85"/>
  <c r="AG69" i="85"/>
  <c r="AH69" i="85"/>
  <c r="AI69" i="85"/>
  <c r="AJ69" i="85"/>
  <c r="AK69" i="85"/>
  <c r="AL69" i="85"/>
  <c r="AM69" i="85"/>
  <c r="AN69" i="85"/>
  <c r="AO69" i="85"/>
  <c r="AP69" i="85"/>
  <c r="AQ69" i="85"/>
  <c r="AR69" i="85"/>
  <c r="AS69" i="85"/>
  <c r="AT69" i="85"/>
  <c r="AU69" i="85"/>
  <c r="AV69" i="85"/>
  <c r="AW69" i="85"/>
  <c r="AX69" i="85"/>
  <c r="AY69" i="85"/>
  <c r="AZ69" i="85"/>
  <c r="BA69" i="85"/>
  <c r="BB69" i="85"/>
  <c r="BC69" i="85"/>
  <c r="BD69" i="85"/>
  <c r="BE69" i="85"/>
  <c r="BF69" i="85"/>
  <c r="BG69" i="85"/>
  <c r="BH69" i="85"/>
  <c r="BI69" i="85"/>
  <c r="BJ69" i="85"/>
  <c r="BK69" i="85"/>
  <c r="BL69" i="85"/>
  <c r="BM69" i="85"/>
  <c r="BN69" i="85"/>
  <c r="BO69" i="85"/>
  <c r="BP69" i="85"/>
  <c r="BQ69" i="85"/>
  <c r="BR69" i="85"/>
  <c r="BS69" i="85"/>
  <c r="BT69" i="85"/>
  <c r="BU69" i="85"/>
  <c r="F73" i="85"/>
  <c r="H73" i="85"/>
  <c r="I73" i="85"/>
  <c r="J73" i="85"/>
  <c r="K73" i="85"/>
  <c r="L73" i="85"/>
  <c r="M73" i="85"/>
  <c r="O73" i="85"/>
  <c r="P73" i="85"/>
  <c r="Q73" i="85"/>
  <c r="R73" i="85"/>
  <c r="S73" i="85"/>
  <c r="T73" i="85"/>
  <c r="U73" i="85"/>
  <c r="V73" i="85"/>
  <c r="W73" i="85"/>
  <c r="X73" i="85"/>
  <c r="Y73" i="85"/>
  <c r="Z73" i="85"/>
  <c r="AA73" i="85"/>
  <c r="AB73" i="85"/>
  <c r="AC73" i="85"/>
  <c r="AD73" i="85"/>
  <c r="AE73" i="85"/>
  <c r="AF73" i="85"/>
  <c r="AG73" i="85"/>
  <c r="AH73" i="85"/>
  <c r="AJ73" i="85"/>
  <c r="AK73" i="85"/>
  <c r="AL73" i="85"/>
  <c r="AM73" i="85"/>
  <c r="AN73" i="85"/>
  <c r="AO73" i="85"/>
  <c r="AP73" i="85"/>
  <c r="AQ73" i="85"/>
  <c r="AR73" i="85"/>
  <c r="AS73" i="85"/>
  <c r="AT73" i="85"/>
  <c r="AU73" i="85"/>
  <c r="AV73" i="85"/>
  <c r="AW73" i="85"/>
  <c r="AX73" i="85"/>
  <c r="AY73" i="85"/>
  <c r="BA73" i="85"/>
  <c r="BB73" i="85"/>
  <c r="BC73" i="85"/>
  <c r="BD73" i="85"/>
  <c r="BE73" i="85"/>
  <c r="BF73" i="85"/>
  <c r="BG73" i="85"/>
  <c r="BH73" i="85"/>
  <c r="BI73" i="85"/>
  <c r="BJ73" i="85"/>
  <c r="BK73" i="85"/>
  <c r="BL73" i="85"/>
  <c r="BM73" i="85"/>
  <c r="BN73" i="85"/>
  <c r="BO73" i="85"/>
  <c r="BP73" i="85"/>
  <c r="BQ73" i="85"/>
  <c r="BR73" i="85"/>
  <c r="BS73" i="85"/>
  <c r="BT73" i="85"/>
  <c r="BU73" i="85"/>
  <c r="F74" i="85"/>
  <c r="G74" i="85"/>
  <c r="H74" i="85"/>
  <c r="I74" i="85"/>
  <c r="J74" i="85"/>
  <c r="K74" i="85"/>
  <c r="L74" i="85"/>
  <c r="M74" i="85"/>
  <c r="N74" i="85"/>
  <c r="O74" i="85"/>
  <c r="P74" i="85"/>
  <c r="Q74" i="85"/>
  <c r="R74" i="85"/>
  <c r="S74" i="85"/>
  <c r="T74" i="85"/>
  <c r="U74" i="85"/>
  <c r="V74" i="85"/>
  <c r="W74" i="85"/>
  <c r="X74" i="85"/>
  <c r="Y74" i="85"/>
  <c r="Z74" i="85"/>
  <c r="AA74" i="85"/>
  <c r="AB74" i="85"/>
  <c r="AC74" i="85"/>
  <c r="AD74" i="85"/>
  <c r="AE74" i="85"/>
  <c r="AF74" i="85"/>
  <c r="AG74" i="85"/>
  <c r="AH74" i="85"/>
  <c r="AI74" i="85"/>
  <c r="AJ74" i="85"/>
  <c r="AK74" i="85"/>
  <c r="AL74" i="85"/>
  <c r="AM74" i="85"/>
  <c r="AN74" i="85"/>
  <c r="AO74" i="85"/>
  <c r="AP74" i="85"/>
  <c r="AQ74" i="85"/>
  <c r="AR74" i="85"/>
  <c r="AS74" i="85"/>
  <c r="AT74" i="85"/>
  <c r="AU74" i="85"/>
  <c r="AV74" i="85"/>
  <c r="AW74" i="85"/>
  <c r="AX74" i="85"/>
  <c r="AY74" i="85"/>
  <c r="AZ74" i="85"/>
  <c r="BA74" i="85"/>
  <c r="BB74" i="85"/>
  <c r="BC74" i="85"/>
  <c r="BD74" i="85"/>
  <c r="BE74" i="85"/>
  <c r="BF74" i="85"/>
  <c r="BG74" i="85"/>
  <c r="BH74" i="85"/>
  <c r="BI74" i="85"/>
  <c r="BJ74" i="85"/>
  <c r="BK74" i="85"/>
  <c r="BL74" i="85"/>
  <c r="BM74" i="85"/>
  <c r="BN74" i="85"/>
  <c r="BO74" i="85"/>
  <c r="BP74" i="85"/>
  <c r="BQ74" i="85"/>
  <c r="BR74" i="85"/>
  <c r="BS74" i="85"/>
  <c r="BT74" i="85"/>
  <c r="BU74" i="85"/>
  <c r="F75" i="85"/>
  <c r="G75" i="85"/>
  <c r="H75" i="85"/>
  <c r="I75" i="85"/>
  <c r="J75" i="85"/>
  <c r="K75" i="85"/>
  <c r="L75" i="85"/>
  <c r="M75" i="85"/>
  <c r="N75" i="85"/>
  <c r="O75" i="85"/>
  <c r="P75" i="85"/>
  <c r="Q75" i="85"/>
  <c r="R75" i="85"/>
  <c r="S75" i="85"/>
  <c r="T75" i="85"/>
  <c r="U75" i="85"/>
  <c r="V75" i="85"/>
  <c r="X75" i="85"/>
  <c r="Y75" i="85"/>
  <c r="AB75" i="85"/>
  <c r="AC75" i="85"/>
  <c r="AD75" i="85"/>
  <c r="AE75" i="85"/>
  <c r="AF75" i="85"/>
  <c r="AG75" i="85"/>
  <c r="AH75" i="85"/>
  <c r="AI75" i="85"/>
  <c r="AJ75" i="85"/>
  <c r="AK75" i="85"/>
  <c r="AL75" i="85"/>
  <c r="AM75" i="85"/>
  <c r="AN75" i="85"/>
  <c r="AO75" i="85"/>
  <c r="AP75" i="85"/>
  <c r="AQ75" i="85"/>
  <c r="AR75" i="85"/>
  <c r="AS75" i="85"/>
  <c r="AT75" i="85"/>
  <c r="AU75" i="85"/>
  <c r="AV75" i="85"/>
  <c r="AW75" i="85"/>
  <c r="AX75" i="85"/>
  <c r="AY75" i="85"/>
  <c r="AZ75" i="85"/>
  <c r="BA75" i="85"/>
  <c r="BB75" i="85"/>
  <c r="BC75" i="85"/>
  <c r="BD75" i="85"/>
  <c r="BE75" i="85"/>
  <c r="BF75" i="85"/>
  <c r="BG75" i="85"/>
  <c r="BH75" i="85"/>
  <c r="BI75" i="85"/>
  <c r="BJ75" i="85"/>
  <c r="BK75" i="85"/>
  <c r="BL75" i="85"/>
  <c r="BM75" i="85"/>
  <c r="BN75" i="85"/>
  <c r="BO75" i="85"/>
  <c r="BP75" i="85"/>
  <c r="BQ75" i="85"/>
  <c r="BR75" i="85"/>
  <c r="BS75" i="85"/>
  <c r="BT75" i="85"/>
  <c r="BU75" i="85"/>
  <c r="F76" i="85"/>
  <c r="G76" i="85"/>
  <c r="H76" i="85"/>
  <c r="I76" i="85"/>
  <c r="J76" i="85"/>
  <c r="K76" i="85"/>
  <c r="L76" i="85"/>
  <c r="M76" i="85"/>
  <c r="N76" i="85"/>
  <c r="O76" i="85"/>
  <c r="P76" i="85"/>
  <c r="Q76" i="85"/>
  <c r="R76" i="85"/>
  <c r="S76" i="85"/>
  <c r="T76" i="85"/>
  <c r="U76" i="85"/>
  <c r="V76" i="85"/>
  <c r="W76" i="85"/>
  <c r="X76" i="85"/>
  <c r="Y76" i="85"/>
  <c r="Z76" i="85"/>
  <c r="AA76" i="85"/>
  <c r="AB76" i="85"/>
  <c r="AC76" i="85"/>
  <c r="AD76" i="85"/>
  <c r="AE76" i="85"/>
  <c r="AF76" i="85"/>
  <c r="AG76" i="85"/>
  <c r="AH76" i="85"/>
  <c r="AI76" i="85"/>
  <c r="AJ76" i="85"/>
  <c r="AK76" i="85"/>
  <c r="AL76" i="85"/>
  <c r="AM76" i="85"/>
  <c r="AN76" i="85"/>
  <c r="AO76" i="85"/>
  <c r="AP76" i="85"/>
  <c r="AQ76" i="85"/>
  <c r="AR76" i="85"/>
  <c r="AS76" i="85"/>
  <c r="AT76" i="85"/>
  <c r="AU76" i="85"/>
  <c r="AV76" i="85"/>
  <c r="AW76" i="85"/>
  <c r="AX76" i="85"/>
  <c r="AY76" i="85"/>
  <c r="AZ76" i="85"/>
  <c r="BA76" i="85"/>
  <c r="BB76" i="85"/>
  <c r="BC76" i="85"/>
  <c r="BD76" i="85"/>
  <c r="BE76" i="85"/>
  <c r="BF76" i="85"/>
  <c r="BG76" i="85"/>
  <c r="BH76" i="85"/>
  <c r="BI76" i="85"/>
  <c r="BJ76" i="85"/>
  <c r="BK76" i="85"/>
  <c r="BL76" i="85"/>
  <c r="BM76" i="85"/>
  <c r="BN76" i="85"/>
  <c r="BO76" i="85"/>
  <c r="BP76" i="85"/>
  <c r="BQ76" i="85"/>
  <c r="BR76" i="85"/>
  <c r="BS76" i="85"/>
  <c r="BT76" i="85"/>
  <c r="BU76" i="85"/>
  <c r="E74" i="85"/>
  <c r="E75" i="85"/>
  <c r="E76" i="85"/>
  <c r="E73" i="85"/>
  <c r="BU15" i="85"/>
  <c r="BT15" i="85"/>
  <c r="BS15" i="85"/>
  <c r="BR15" i="85"/>
  <c r="BQ15" i="85"/>
  <c r="BP15" i="85"/>
  <c r="BO15" i="85"/>
  <c r="BN15" i="85"/>
  <c r="BM15" i="85"/>
  <c r="BL15" i="85"/>
  <c r="BK15" i="85"/>
  <c r="BJ15" i="85"/>
  <c r="BI15" i="85"/>
  <c r="BH15" i="85"/>
  <c r="BG15" i="85"/>
  <c r="BF15" i="85"/>
  <c r="BE15" i="85"/>
  <c r="BD15" i="85"/>
  <c r="BC15" i="85"/>
  <c r="BB15" i="85"/>
  <c r="BA15" i="85"/>
  <c r="AY15" i="85"/>
  <c r="AX15" i="85"/>
  <c r="AW15" i="85"/>
  <c r="AV15" i="85"/>
  <c r="AU15" i="85"/>
  <c r="AT15" i="85"/>
  <c r="AS15" i="85"/>
  <c r="AR15" i="85"/>
  <c r="AQ15" i="85"/>
  <c r="AP15" i="85"/>
  <c r="AO15" i="85"/>
  <c r="AN15" i="85"/>
  <c r="AM15" i="85"/>
  <c r="AL15" i="85"/>
  <c r="AK15" i="85"/>
  <c r="AJ15" i="85"/>
  <c r="AH15" i="85"/>
  <c r="AG15" i="85"/>
  <c r="AF15" i="85"/>
  <c r="AE15" i="85"/>
  <c r="AD15" i="85"/>
  <c r="AC15" i="85"/>
  <c r="AB15" i="85"/>
  <c r="Y15" i="85"/>
  <c r="X15" i="85"/>
  <c r="V15" i="85"/>
  <c r="U15" i="85"/>
  <c r="T15" i="85"/>
  <c r="S15" i="85"/>
  <c r="R15" i="85"/>
  <c r="Q15" i="85"/>
  <c r="P15" i="85"/>
  <c r="O15" i="85"/>
  <c r="M15" i="85"/>
  <c r="L15" i="85"/>
  <c r="K15" i="85"/>
  <c r="J15" i="85"/>
  <c r="I15" i="85"/>
  <c r="H15" i="85"/>
  <c r="F15" i="85"/>
  <c r="E15" i="85"/>
  <c r="E67" i="85"/>
  <c r="E68" i="85"/>
  <c r="E69" i="85"/>
  <c r="E66" i="85"/>
  <c r="C76" i="85"/>
  <c r="C75" i="85"/>
  <c r="C74" i="85"/>
  <c r="C73" i="85"/>
  <c r="C69" i="85"/>
  <c r="C68" i="85"/>
  <c r="C67" i="85"/>
  <c r="C66" i="85"/>
  <c r="P99" i="85"/>
  <c r="O99" i="85"/>
  <c r="N99" i="85"/>
  <c r="M99" i="85"/>
  <c r="L99" i="85"/>
  <c r="K99" i="85"/>
  <c r="J99" i="85"/>
  <c r="I99" i="85"/>
  <c r="H99" i="85"/>
  <c r="G99" i="85"/>
  <c r="F99" i="85"/>
  <c r="E99" i="85"/>
  <c r="F93" i="85"/>
  <c r="J93" i="85"/>
  <c r="M93" i="85"/>
  <c r="N93" i="85"/>
  <c r="E93" i="85"/>
  <c r="P93" i="85"/>
  <c r="O93" i="85"/>
  <c r="L93" i="85"/>
  <c r="K93" i="85"/>
  <c r="I93" i="85"/>
  <c r="G93" i="85"/>
  <c r="P86" i="85"/>
  <c r="O86" i="85"/>
  <c r="N86" i="85"/>
  <c r="M86" i="85"/>
  <c r="L86" i="85"/>
  <c r="L101" i="85" s="1"/>
  <c r="K86" i="85"/>
  <c r="J86" i="85"/>
  <c r="I86" i="85"/>
  <c r="H86" i="85"/>
  <c r="G86" i="85"/>
  <c r="F86" i="85"/>
  <c r="E86" i="85"/>
  <c r="P56" i="85"/>
  <c r="O56" i="85"/>
  <c r="N56" i="85"/>
  <c r="M56" i="85"/>
  <c r="L56" i="85"/>
  <c r="K56" i="85"/>
  <c r="J56" i="85"/>
  <c r="I56" i="85"/>
  <c r="H56" i="85"/>
  <c r="G56" i="85"/>
  <c r="F56" i="85"/>
  <c r="E56" i="85"/>
  <c r="P43" i="85"/>
  <c r="O43" i="85"/>
  <c r="N43" i="85"/>
  <c r="M43" i="85"/>
  <c r="L43" i="85"/>
  <c r="K43" i="85"/>
  <c r="J43" i="85"/>
  <c r="I43" i="85"/>
  <c r="H43" i="85"/>
  <c r="G43" i="85"/>
  <c r="F43" i="85"/>
  <c r="E43" i="85"/>
  <c r="BU93" i="85"/>
  <c r="BT93" i="85"/>
  <c r="BS93" i="85"/>
  <c r="BR93" i="85"/>
  <c r="BQ93" i="85"/>
  <c r="BP93" i="85"/>
  <c r="BO93" i="85"/>
  <c r="BN93" i="85"/>
  <c r="BM93" i="85"/>
  <c r="BL93" i="85"/>
  <c r="BK93" i="85"/>
  <c r="BJ93" i="85"/>
  <c r="BI93" i="85"/>
  <c r="BH93" i="85"/>
  <c r="BG93" i="85"/>
  <c r="BF93" i="85"/>
  <c r="BE93" i="85"/>
  <c r="BD93" i="85"/>
  <c r="BC93" i="85"/>
  <c r="BB93" i="85"/>
  <c r="BA93" i="85"/>
  <c r="AZ93" i="85"/>
  <c r="AY93" i="85"/>
  <c r="AX93" i="85"/>
  <c r="AW93" i="85"/>
  <c r="AV93" i="85"/>
  <c r="AU93" i="85"/>
  <c r="AT93" i="85"/>
  <c r="AS93" i="85"/>
  <c r="AR93" i="85"/>
  <c r="AQ93" i="85"/>
  <c r="AP93" i="85"/>
  <c r="AO93" i="85"/>
  <c r="AN93" i="85"/>
  <c r="AM93" i="85"/>
  <c r="AL93" i="85"/>
  <c r="AK93" i="85"/>
  <c r="AJ93" i="85"/>
  <c r="AH93" i="85"/>
  <c r="AG93" i="85"/>
  <c r="AF93" i="85"/>
  <c r="AE93" i="85"/>
  <c r="AD93" i="85"/>
  <c r="AC93" i="85"/>
  <c r="AB93" i="85"/>
  <c r="AA93" i="85"/>
  <c r="Z93" i="85"/>
  <c r="Y93" i="85"/>
  <c r="X93" i="85"/>
  <c r="W93" i="85"/>
  <c r="V93" i="85"/>
  <c r="U93" i="85"/>
  <c r="T93" i="85"/>
  <c r="S93" i="85"/>
  <c r="R93" i="85"/>
  <c r="Q93" i="85"/>
  <c r="BU86" i="85"/>
  <c r="BT86" i="85"/>
  <c r="BS86" i="85"/>
  <c r="BR86" i="85"/>
  <c r="BQ86" i="85"/>
  <c r="BP86" i="85"/>
  <c r="BP101" i="85" s="1"/>
  <c r="BO86" i="85"/>
  <c r="BO101" i="85" s="1"/>
  <c r="BN86" i="85"/>
  <c r="BN101" i="85" s="1"/>
  <c r="BM86" i="85"/>
  <c r="BM101" i="85" s="1"/>
  <c r="BL86" i="85"/>
  <c r="BK86" i="85"/>
  <c r="BJ86" i="85"/>
  <c r="BI86" i="85"/>
  <c r="BH86" i="85"/>
  <c r="BG86" i="85"/>
  <c r="BF86" i="85"/>
  <c r="BE86" i="85"/>
  <c r="BD86" i="85"/>
  <c r="BD101" i="85" s="1"/>
  <c r="BC86" i="85"/>
  <c r="BC101" i="85" s="1"/>
  <c r="BB86" i="85"/>
  <c r="BB101" i="85" s="1"/>
  <c r="BA86" i="85"/>
  <c r="BA101" i="85" s="1"/>
  <c r="AZ86" i="85"/>
  <c r="AY86" i="85"/>
  <c r="AX86" i="85"/>
  <c r="AW86" i="85"/>
  <c r="AV86" i="85"/>
  <c r="AU86" i="85"/>
  <c r="AT86" i="85"/>
  <c r="AS86" i="85"/>
  <c r="AR86" i="85"/>
  <c r="AR101" i="85" s="1"/>
  <c r="AQ86" i="85"/>
  <c r="AQ101" i="85" s="1"/>
  <c r="AP86" i="85"/>
  <c r="AP101" i="85" s="1"/>
  <c r="AO86" i="85"/>
  <c r="AO101" i="85" s="1"/>
  <c r="AN86" i="85"/>
  <c r="AM86" i="85"/>
  <c r="AL86" i="85"/>
  <c r="AK86" i="85"/>
  <c r="AJ86" i="85"/>
  <c r="AI86" i="85"/>
  <c r="AH86" i="85"/>
  <c r="AG86" i="85"/>
  <c r="AF86" i="85"/>
  <c r="AE86" i="85"/>
  <c r="AD86" i="85"/>
  <c r="AC86" i="85"/>
  <c r="AB86" i="85"/>
  <c r="AA86" i="85"/>
  <c r="Z86" i="85"/>
  <c r="Y86" i="85"/>
  <c r="X86" i="85"/>
  <c r="W86" i="85"/>
  <c r="V86" i="85"/>
  <c r="U86" i="85"/>
  <c r="T86" i="85"/>
  <c r="S86" i="85"/>
  <c r="R86" i="85"/>
  <c r="Q86" i="85"/>
  <c r="BU56" i="85"/>
  <c r="BT56" i="85"/>
  <c r="BS56" i="85"/>
  <c r="BR56" i="85"/>
  <c r="BQ56" i="85"/>
  <c r="BP56" i="85"/>
  <c r="BO56" i="85"/>
  <c r="BN56" i="85"/>
  <c r="BM56" i="85"/>
  <c r="BL56" i="85"/>
  <c r="BK56" i="85"/>
  <c r="BK77" i="85" s="1"/>
  <c r="BJ56" i="85"/>
  <c r="BI56" i="85"/>
  <c r="BH56" i="85"/>
  <c r="BG56" i="85"/>
  <c r="BF56" i="85"/>
  <c r="BE56" i="85"/>
  <c r="BD56" i="85"/>
  <c r="BC56" i="85"/>
  <c r="BC77" i="85" s="1"/>
  <c r="BB56" i="85"/>
  <c r="BA56" i="85"/>
  <c r="AZ56" i="85"/>
  <c r="AY56" i="85"/>
  <c r="AX56" i="85"/>
  <c r="AW56" i="85"/>
  <c r="AV56" i="85"/>
  <c r="AU56" i="85"/>
  <c r="AT56" i="85"/>
  <c r="AS56" i="85"/>
  <c r="AR56" i="85"/>
  <c r="AQ56" i="85"/>
  <c r="AP56" i="85"/>
  <c r="AO56" i="85"/>
  <c r="AN56" i="85"/>
  <c r="AM56" i="85"/>
  <c r="AL56" i="85"/>
  <c r="AK56" i="85"/>
  <c r="AJ56" i="85"/>
  <c r="AI56" i="85"/>
  <c r="AH56" i="85"/>
  <c r="AG56" i="85"/>
  <c r="AF56" i="85"/>
  <c r="AE56" i="85"/>
  <c r="AD56" i="85"/>
  <c r="AC56" i="85"/>
  <c r="AB56" i="85"/>
  <c r="AA56" i="85"/>
  <c r="Z56" i="85"/>
  <c r="Y56" i="85"/>
  <c r="X56" i="85"/>
  <c r="W56" i="85"/>
  <c r="V56" i="85"/>
  <c r="U56" i="85"/>
  <c r="T56" i="85"/>
  <c r="S56" i="85"/>
  <c r="R56" i="85"/>
  <c r="Q56" i="85"/>
  <c r="BU43" i="85"/>
  <c r="BT43" i="85"/>
  <c r="BS43" i="85"/>
  <c r="BS70" i="85" s="1"/>
  <c r="BR43" i="85"/>
  <c r="BQ43" i="85"/>
  <c r="BP43" i="85"/>
  <c r="BO43" i="85"/>
  <c r="BN43" i="85"/>
  <c r="BM43" i="85"/>
  <c r="BL43" i="85"/>
  <c r="BK43" i="85"/>
  <c r="BK70" i="85" s="1"/>
  <c r="BJ43" i="85"/>
  <c r="BI43" i="85"/>
  <c r="BH43" i="85"/>
  <c r="BG43" i="85"/>
  <c r="BF43" i="85"/>
  <c r="BE43" i="85"/>
  <c r="BD43" i="85"/>
  <c r="BC43" i="85"/>
  <c r="BC70" i="85" s="1"/>
  <c r="BB43" i="85"/>
  <c r="BA43" i="85"/>
  <c r="AZ43" i="85"/>
  <c r="AY43" i="85"/>
  <c r="AX43" i="85"/>
  <c r="AW43" i="85"/>
  <c r="AV43" i="85"/>
  <c r="AU43" i="85"/>
  <c r="AT43" i="85"/>
  <c r="AS43" i="85"/>
  <c r="AR43" i="85"/>
  <c r="AQ43" i="85"/>
  <c r="AP43" i="85"/>
  <c r="AO43" i="85"/>
  <c r="AN43" i="85"/>
  <c r="AM43" i="85"/>
  <c r="AL43" i="85"/>
  <c r="AL70" i="85" s="1"/>
  <c r="AK43" i="85"/>
  <c r="AJ43" i="85"/>
  <c r="AI43" i="85"/>
  <c r="AH43" i="85"/>
  <c r="AG43" i="85"/>
  <c r="AF43" i="85"/>
  <c r="AE43" i="85"/>
  <c r="AD43" i="85"/>
  <c r="AC43" i="85"/>
  <c r="AB43" i="85"/>
  <c r="AA43" i="85"/>
  <c r="Z43" i="85"/>
  <c r="Y43" i="85"/>
  <c r="X43" i="85"/>
  <c r="W43" i="85"/>
  <c r="V43" i="85"/>
  <c r="U43" i="85"/>
  <c r="T43" i="85"/>
  <c r="S43" i="85"/>
  <c r="R43" i="85"/>
  <c r="Q43" i="85"/>
  <c r="BW21" i="85"/>
  <c r="BW20" i="85"/>
  <c r="BW19" i="85"/>
  <c r="BW18" i="85"/>
  <c r="BW14" i="85"/>
  <c r="BW13" i="85"/>
  <c r="BW12" i="85"/>
  <c r="AC203" i="3"/>
  <c r="AD203" i="3" s="1"/>
  <c r="BW42" i="85"/>
  <c r="BW41" i="85"/>
  <c r="BW40" i="85"/>
  <c r="BW39" i="85"/>
  <c r="BW55" i="85"/>
  <c r="BW54" i="85"/>
  <c r="BW53" i="85"/>
  <c r="BW52" i="85"/>
  <c r="AD191" i="3"/>
  <c r="AD233" i="3" s="1"/>
  <c r="AC191" i="3"/>
  <c r="AC233" i="3" s="1"/>
  <c r="AB191" i="3"/>
  <c r="AB233" i="3" s="1"/>
  <c r="W191" i="3"/>
  <c r="W183" i="3"/>
  <c r="V183" i="3"/>
  <c r="F183" i="3"/>
  <c r="G183" i="3"/>
  <c r="H183" i="3"/>
  <c r="I183" i="3"/>
  <c r="J183" i="3"/>
  <c r="K183" i="3"/>
  <c r="L183" i="3"/>
  <c r="M183" i="3"/>
  <c r="N183" i="3"/>
  <c r="O183" i="3"/>
  <c r="P183" i="3"/>
  <c r="Q183" i="3"/>
  <c r="E183" i="3"/>
  <c r="AN101" i="85" l="1"/>
  <c r="AZ101" i="85"/>
  <c r="BL101" i="85"/>
  <c r="K101" i="85"/>
  <c r="AB70" i="85"/>
  <c r="R77" i="85"/>
  <c r="AL101" i="85"/>
  <c r="AX101" i="85"/>
  <c r="BJ101" i="85"/>
  <c r="AS101" i="85"/>
  <c r="BE101" i="85"/>
  <c r="AT101" i="85"/>
  <c r="BF101" i="85"/>
  <c r="BR101" i="85"/>
  <c r="BQ101" i="85"/>
  <c r="BG101" i="85"/>
  <c r="AJ101" i="85"/>
  <c r="AV101" i="85"/>
  <c r="BH101" i="85"/>
  <c r="BT101" i="85"/>
  <c r="AE70" i="85"/>
  <c r="AK101" i="85"/>
  <c r="AW101" i="85"/>
  <c r="BI101" i="85"/>
  <c r="BU101" i="85"/>
  <c r="H77" i="85"/>
  <c r="BS77" i="85"/>
  <c r="AU101" i="85"/>
  <c r="BS101" i="85"/>
  <c r="AM101" i="85"/>
  <c r="AY101" i="85"/>
  <c r="BK101" i="85"/>
  <c r="J101" i="85"/>
  <c r="AT70" i="85"/>
  <c r="W101" i="85"/>
  <c r="AE101" i="85"/>
  <c r="T70" i="85"/>
  <c r="S77" i="85"/>
  <c r="AF77" i="85"/>
  <c r="AP77" i="85"/>
  <c r="AX77" i="85"/>
  <c r="BF77" i="85"/>
  <c r="BN77" i="85"/>
  <c r="L70" i="85"/>
  <c r="O77" i="85"/>
  <c r="X77" i="85"/>
  <c r="AH70" i="85"/>
  <c r="BH77" i="85"/>
  <c r="BG77" i="85"/>
  <c r="BO77" i="85"/>
  <c r="F77" i="85"/>
  <c r="Y70" i="85"/>
  <c r="BA77" i="85"/>
  <c r="BI77" i="85"/>
  <c r="BQ77" i="85"/>
  <c r="F101" i="85"/>
  <c r="H70" i="85"/>
  <c r="AB77" i="85"/>
  <c r="V70" i="85"/>
  <c r="L77" i="85"/>
  <c r="P101" i="85"/>
  <c r="J70" i="85"/>
  <c r="BD77" i="85"/>
  <c r="BL77" i="85"/>
  <c r="BT77" i="85"/>
  <c r="AF70" i="85"/>
  <c r="K70" i="85"/>
  <c r="T77" i="85"/>
  <c r="AN77" i="85"/>
  <c r="AV77" i="85"/>
  <c r="BE70" i="85"/>
  <c r="BM70" i="85"/>
  <c r="BU70" i="85"/>
  <c r="U77" i="85"/>
  <c r="AO70" i="85"/>
  <c r="AW70" i="85"/>
  <c r="BF70" i="85"/>
  <c r="BN70" i="85"/>
  <c r="BD70" i="85"/>
  <c r="M77" i="85"/>
  <c r="V77" i="85"/>
  <c r="AG70" i="85"/>
  <c r="AP70" i="85"/>
  <c r="AX70" i="85"/>
  <c r="BG70" i="85"/>
  <c r="BO70" i="85"/>
  <c r="AV70" i="85"/>
  <c r="E70" i="85"/>
  <c r="AQ70" i="85"/>
  <c r="AY70" i="85"/>
  <c r="BP70" i="85"/>
  <c r="AN70" i="85"/>
  <c r="P77" i="85"/>
  <c r="AJ70" i="85"/>
  <c r="AR70" i="85"/>
  <c r="Q70" i="85"/>
  <c r="AK77" i="85"/>
  <c r="AS77" i="85"/>
  <c r="BB77" i="85"/>
  <c r="BJ77" i="85"/>
  <c r="BR77" i="85"/>
  <c r="K77" i="85"/>
  <c r="P70" i="85"/>
  <c r="I70" i="85"/>
  <c r="R70" i="85"/>
  <c r="AC77" i="85"/>
  <c r="AL77" i="85"/>
  <c r="AT77" i="85"/>
  <c r="AR77" i="85"/>
  <c r="S70" i="85"/>
  <c r="AD77" i="85"/>
  <c r="AM77" i="85"/>
  <c r="AU77" i="85"/>
  <c r="BT70" i="85"/>
  <c r="AB49" i="4"/>
  <c r="AE77" i="85"/>
  <c r="AJ77" i="85"/>
  <c r="BL70" i="85"/>
  <c r="AY77" i="85"/>
  <c r="AM70" i="85"/>
  <c r="AH77" i="85"/>
  <c r="J77" i="85"/>
  <c r="BR70" i="85"/>
  <c r="BJ70" i="85"/>
  <c r="BB70" i="85"/>
  <c r="AD70" i="85"/>
  <c r="F70" i="85"/>
  <c r="BP77" i="85"/>
  <c r="X70" i="85"/>
  <c r="AQ77" i="85"/>
  <c r="AU70" i="85"/>
  <c r="O70" i="85"/>
  <c r="AC49" i="4"/>
  <c r="K63" i="85"/>
  <c r="BU77" i="85"/>
  <c r="BM77" i="85"/>
  <c r="BE77" i="85"/>
  <c r="AW77" i="85"/>
  <c r="AO77" i="85"/>
  <c r="AG77" i="85"/>
  <c r="Y77" i="85"/>
  <c r="Q77" i="85"/>
  <c r="I77" i="85"/>
  <c r="BQ70" i="85"/>
  <c r="BI70" i="85"/>
  <c r="BA70" i="85"/>
  <c r="AS70" i="85"/>
  <c r="AK70" i="85"/>
  <c r="AC70" i="85"/>
  <c r="U70" i="85"/>
  <c r="M70" i="85"/>
  <c r="AD49" i="4"/>
  <c r="L63" i="85"/>
  <c r="BH70" i="85"/>
  <c r="E77" i="85"/>
  <c r="Q101" i="85"/>
  <c r="Y101" i="85"/>
  <c r="AG101" i="85"/>
  <c r="G101" i="85"/>
  <c r="O101" i="85"/>
  <c r="U101" i="85"/>
  <c r="AC101" i="85"/>
  <c r="E63" i="85"/>
  <c r="X101" i="85"/>
  <c r="AF101" i="85"/>
  <c r="E101" i="85"/>
  <c r="M101" i="85"/>
  <c r="S101" i="85"/>
  <c r="AA101" i="85"/>
  <c r="N101" i="85"/>
  <c r="V101" i="85"/>
  <c r="AD101" i="85"/>
  <c r="I101" i="85"/>
  <c r="R101" i="85"/>
  <c r="Z101" i="85"/>
  <c r="AH101" i="85"/>
  <c r="F63" i="85"/>
  <c r="T101" i="85"/>
  <c r="AB101" i="85"/>
  <c r="H63" i="85"/>
  <c r="P63" i="85"/>
  <c r="M63" i="85"/>
  <c r="J63" i="85"/>
  <c r="O63" i="85"/>
  <c r="I63" i="85"/>
  <c r="G63" i="85"/>
  <c r="N63" i="85"/>
  <c r="AA63" i="85"/>
  <c r="AI63" i="85"/>
  <c r="AQ63" i="85"/>
  <c r="BG63" i="85"/>
  <c r="BO63" i="85"/>
  <c r="X63" i="85"/>
  <c r="AF63" i="85"/>
  <c r="AN63" i="85"/>
  <c r="AV63" i="85"/>
  <c r="BD63" i="85"/>
  <c r="BL63" i="85"/>
  <c r="BT63" i="85"/>
  <c r="R63" i="85"/>
  <c r="Z63" i="85"/>
  <c r="AH63" i="85"/>
  <c r="AP63" i="85"/>
  <c r="AX63" i="85"/>
  <c r="BF63" i="85"/>
  <c r="BN63" i="85"/>
  <c r="AS63" i="85"/>
  <c r="W63" i="85"/>
  <c r="AE63" i="85"/>
  <c r="AM63" i="85"/>
  <c r="AU63" i="85"/>
  <c r="BC63" i="85"/>
  <c r="BK63" i="85"/>
  <c r="BS63" i="85"/>
  <c r="AY63" i="85"/>
  <c r="S63" i="85"/>
  <c r="AR63" i="85"/>
  <c r="Q63" i="85"/>
  <c r="Y63" i="85"/>
  <c r="AG63" i="85"/>
  <c r="AO63" i="85"/>
  <c r="AW63" i="85"/>
  <c r="BE63" i="85"/>
  <c r="BM63" i="85"/>
  <c r="BU63" i="85"/>
  <c r="BP63" i="85"/>
  <c r="AJ63" i="85"/>
  <c r="BH63" i="85"/>
  <c r="AB63" i="85"/>
  <c r="AC63" i="85"/>
  <c r="AK63" i="85"/>
  <c r="BA63" i="85"/>
  <c r="BQ63" i="85"/>
  <c r="U63" i="85"/>
  <c r="BI63" i="85"/>
  <c r="V63" i="85"/>
  <c r="AD63" i="85"/>
  <c r="AL63" i="85"/>
  <c r="AT63" i="85"/>
  <c r="BB63" i="85"/>
  <c r="BJ63" i="85"/>
  <c r="BR63" i="85"/>
  <c r="AZ63" i="85"/>
  <c r="T63" i="85"/>
  <c r="F26" i="63"/>
  <c r="AD53" i="32"/>
  <c r="AC53" i="32"/>
  <c r="AB53" i="32"/>
  <c r="BW63" i="85" l="1"/>
  <c r="F138" i="3"/>
  <c r="F142" i="3" s="1"/>
  <c r="G138" i="3"/>
  <c r="G142" i="3" s="1"/>
  <c r="H138" i="3"/>
  <c r="H142" i="3" s="1"/>
  <c r="I138" i="3"/>
  <c r="I142" i="3" s="1"/>
  <c r="J138" i="3"/>
  <c r="J142" i="3" s="1"/>
  <c r="K138" i="3"/>
  <c r="K142" i="3" s="1"/>
  <c r="L138" i="3"/>
  <c r="L142" i="3" s="1"/>
  <c r="M138" i="3"/>
  <c r="M142" i="3" s="1"/>
  <c r="N138" i="3"/>
  <c r="N142" i="3" s="1"/>
  <c r="O138" i="3"/>
  <c r="O142" i="3" s="1"/>
  <c r="P138" i="3"/>
  <c r="P142" i="3" s="1"/>
  <c r="Q138" i="3"/>
  <c r="Q142" i="3" s="1"/>
  <c r="U138" i="3"/>
  <c r="V138" i="3"/>
  <c r="V142" i="3" s="1"/>
  <c r="W138" i="3"/>
  <c r="W142" i="3" s="1"/>
  <c r="E138" i="3"/>
  <c r="E142" i="3" s="1"/>
  <c r="AD53" i="41"/>
  <c r="AC53" i="41"/>
  <c r="AB53" i="41"/>
  <c r="W22" i="36"/>
  <c r="V22" i="36"/>
  <c r="U22" i="36"/>
  <c r="T22" i="36"/>
  <c r="S22" i="36"/>
  <c r="AJ98" i="85"/>
  <c r="AN97" i="85"/>
  <c r="AH46" i="85"/>
  <c r="AI89" i="85"/>
  <c r="AI11" i="85"/>
  <c r="AZ11" i="85"/>
  <c r="W61" i="85"/>
  <c r="U48" i="85"/>
  <c r="Y48" i="85"/>
  <c r="W13" i="85"/>
  <c r="AA13" i="85"/>
  <c r="Z13" i="85"/>
  <c r="O61" i="85"/>
  <c r="M48" i="85"/>
  <c r="N11" i="85"/>
  <c r="G11" i="85"/>
  <c r="BR49" i="85"/>
  <c r="BQ49" i="85"/>
  <c r="BP49" i="85"/>
  <c r="BO49" i="85"/>
  <c r="BN49" i="85"/>
  <c r="BM49" i="85"/>
  <c r="BL49" i="85"/>
  <c r="BK49" i="85"/>
  <c r="BJ49" i="85"/>
  <c r="BI49" i="85"/>
  <c r="BH49" i="85"/>
  <c r="BG49" i="85"/>
  <c r="BF49" i="85"/>
  <c r="BE49" i="85"/>
  <c r="BD49" i="85"/>
  <c r="BC49" i="85"/>
  <c r="BB49" i="85"/>
  <c r="BA49" i="85"/>
  <c r="AZ49" i="85"/>
  <c r="AY49" i="85"/>
  <c r="AX49" i="85"/>
  <c r="AW49" i="85"/>
  <c r="AV49" i="85"/>
  <c r="AU49" i="85"/>
  <c r="AT49" i="85"/>
  <c r="AS49" i="85"/>
  <c r="AR49" i="85"/>
  <c r="AQ49" i="85"/>
  <c r="AP49" i="85"/>
  <c r="AO49" i="85"/>
  <c r="AN49" i="85"/>
  <c r="AM49" i="85"/>
  <c r="AL49" i="85"/>
  <c r="AK49" i="85"/>
  <c r="AJ49" i="85"/>
  <c r="AI49" i="85"/>
  <c r="AH49" i="85"/>
  <c r="AG49" i="85"/>
  <c r="AF49" i="85"/>
  <c r="AE49" i="85"/>
  <c r="AD49" i="85"/>
  <c r="AC49" i="85"/>
  <c r="AB49" i="85"/>
  <c r="AA49" i="85"/>
  <c r="Z49" i="85"/>
  <c r="Y49" i="85"/>
  <c r="X49" i="85"/>
  <c r="W49" i="85"/>
  <c r="V49" i="85"/>
  <c r="U49" i="85"/>
  <c r="T49" i="85"/>
  <c r="S49" i="85"/>
  <c r="R49" i="85"/>
  <c r="Q49" i="85"/>
  <c r="P49" i="85"/>
  <c r="O49" i="85"/>
  <c r="N49" i="85"/>
  <c r="M49" i="85"/>
  <c r="L49" i="85"/>
  <c r="K49" i="85"/>
  <c r="J49" i="85"/>
  <c r="I49" i="85"/>
  <c r="H49" i="85"/>
  <c r="G49" i="85"/>
  <c r="F49" i="85"/>
  <c r="E49" i="85"/>
  <c r="BR48" i="85"/>
  <c r="BQ48" i="85"/>
  <c r="BP48" i="85"/>
  <c r="BO48" i="85"/>
  <c r="BN48" i="85"/>
  <c r="BM48" i="85"/>
  <c r="BL48" i="85"/>
  <c r="BK48" i="85"/>
  <c r="BJ48" i="85"/>
  <c r="BI48" i="85"/>
  <c r="BH48" i="85"/>
  <c r="BG48" i="85"/>
  <c r="BF48" i="85"/>
  <c r="BE48" i="85"/>
  <c r="BD48" i="85"/>
  <c r="BC48" i="85"/>
  <c r="BB48" i="85"/>
  <c r="BA48" i="85"/>
  <c r="AZ48" i="85"/>
  <c r="AY48" i="85"/>
  <c r="AX48" i="85"/>
  <c r="AW48" i="85"/>
  <c r="AV48" i="85"/>
  <c r="AU48" i="85"/>
  <c r="AT48" i="85"/>
  <c r="AS48" i="85"/>
  <c r="AR48" i="85"/>
  <c r="AQ48" i="85"/>
  <c r="AP48" i="85"/>
  <c r="AO48" i="85"/>
  <c r="AN48" i="85"/>
  <c r="AM48" i="85"/>
  <c r="AL48" i="85"/>
  <c r="AK48" i="85"/>
  <c r="AJ48" i="85"/>
  <c r="AI48" i="85"/>
  <c r="AH48" i="85"/>
  <c r="AG48" i="85"/>
  <c r="AF48" i="85"/>
  <c r="AE48" i="85"/>
  <c r="AD48" i="85"/>
  <c r="AC48" i="85"/>
  <c r="AB48" i="85"/>
  <c r="AA48" i="85"/>
  <c r="X48" i="85"/>
  <c r="V48" i="85"/>
  <c r="S48" i="85"/>
  <c r="R48" i="85"/>
  <c r="Q48" i="85"/>
  <c r="P48" i="85"/>
  <c r="O48" i="85"/>
  <c r="N48" i="85"/>
  <c r="K48" i="85"/>
  <c r="J48" i="85"/>
  <c r="I48" i="85"/>
  <c r="H48" i="85"/>
  <c r="G48" i="85"/>
  <c r="F48" i="85"/>
  <c r="E48" i="85"/>
  <c r="BR46" i="85"/>
  <c r="BQ46" i="85"/>
  <c r="BP46" i="85"/>
  <c r="BO46" i="85"/>
  <c r="BN46" i="85"/>
  <c r="BM46" i="85"/>
  <c r="BL46" i="85"/>
  <c r="BK46" i="85"/>
  <c r="BJ46" i="85"/>
  <c r="BI46" i="85"/>
  <c r="BH46" i="85"/>
  <c r="BG46" i="85"/>
  <c r="BF46" i="85"/>
  <c r="BE46" i="85"/>
  <c r="BD46" i="85"/>
  <c r="BC46" i="85"/>
  <c r="BB46" i="85"/>
  <c r="BA46" i="85"/>
  <c r="AZ46" i="85"/>
  <c r="AY46" i="85"/>
  <c r="AX46" i="85"/>
  <c r="AW46" i="85"/>
  <c r="AV46" i="85"/>
  <c r="AU46" i="85"/>
  <c r="AT46" i="85"/>
  <c r="AS46" i="85"/>
  <c r="AR46" i="85"/>
  <c r="AQ46" i="85"/>
  <c r="AP46" i="85"/>
  <c r="AO46" i="85"/>
  <c r="AN46" i="85"/>
  <c r="AM46" i="85"/>
  <c r="AL46" i="85"/>
  <c r="AK46" i="85"/>
  <c r="AJ46" i="85"/>
  <c r="AI46" i="85"/>
  <c r="AG46" i="85"/>
  <c r="AE46" i="85"/>
  <c r="AD46" i="85"/>
  <c r="AC46" i="85"/>
  <c r="AB46" i="85"/>
  <c r="AA46" i="85"/>
  <c r="Z46" i="85"/>
  <c r="Y46" i="85"/>
  <c r="X46" i="85"/>
  <c r="W46" i="85"/>
  <c r="V46" i="85"/>
  <c r="U46" i="85"/>
  <c r="T46" i="85"/>
  <c r="S46" i="85"/>
  <c r="R46" i="85"/>
  <c r="Q46" i="85"/>
  <c r="P46" i="85"/>
  <c r="O46" i="85"/>
  <c r="N46" i="85"/>
  <c r="M46" i="85"/>
  <c r="L46" i="85"/>
  <c r="K46" i="85"/>
  <c r="J46" i="85"/>
  <c r="I46" i="85"/>
  <c r="H46" i="85"/>
  <c r="G46" i="85"/>
  <c r="F46" i="85"/>
  <c r="E46" i="85"/>
  <c r="C49" i="85"/>
  <c r="C48" i="85"/>
  <c r="C47" i="85"/>
  <c r="C46" i="85"/>
  <c r="J47" i="85"/>
  <c r="K47" i="85"/>
  <c r="L47" i="85"/>
  <c r="M47" i="85"/>
  <c r="N47" i="85"/>
  <c r="O47" i="85"/>
  <c r="P47" i="85"/>
  <c r="Q47" i="85"/>
  <c r="R47" i="85"/>
  <c r="S47" i="85"/>
  <c r="T47" i="85"/>
  <c r="U47" i="85"/>
  <c r="V47" i="85"/>
  <c r="W47" i="85"/>
  <c r="X47" i="85"/>
  <c r="Y47" i="85"/>
  <c r="AD47" i="85"/>
  <c r="AE47" i="85"/>
  <c r="AF47" i="85"/>
  <c r="AG47" i="85"/>
  <c r="AH47" i="85"/>
  <c r="AI47" i="85"/>
  <c r="AJ47" i="85"/>
  <c r="AK47" i="85"/>
  <c r="AL47" i="85"/>
  <c r="AM47" i="85"/>
  <c r="AN47" i="85"/>
  <c r="AO47" i="85"/>
  <c r="AP47" i="85"/>
  <c r="AQ47" i="85"/>
  <c r="AR47" i="85"/>
  <c r="AS47" i="85"/>
  <c r="AT47" i="85"/>
  <c r="AU47" i="85"/>
  <c r="AV47" i="85"/>
  <c r="AW47" i="85"/>
  <c r="AX47" i="85"/>
  <c r="AY47" i="85"/>
  <c r="AZ47" i="85"/>
  <c r="BA47" i="85"/>
  <c r="BB47" i="85"/>
  <c r="BC47" i="85"/>
  <c r="BD47" i="85"/>
  <c r="BE47" i="85"/>
  <c r="BF47" i="85"/>
  <c r="BG47" i="85"/>
  <c r="BH47" i="85"/>
  <c r="BI47" i="85"/>
  <c r="BJ47" i="85"/>
  <c r="BK47" i="85"/>
  <c r="BL47" i="85"/>
  <c r="BM47" i="85"/>
  <c r="BN47" i="85"/>
  <c r="BO47" i="85"/>
  <c r="BP47" i="85"/>
  <c r="BQ47" i="85"/>
  <c r="BR47" i="85"/>
  <c r="E47" i="85"/>
  <c r="Q47" i="29"/>
  <c r="AQ232" i="60"/>
  <c r="H232" i="60"/>
  <c r="N232" i="60"/>
  <c r="T232" i="60"/>
  <c r="U232" i="60"/>
  <c r="V232" i="60"/>
  <c r="H231" i="60"/>
  <c r="N231" i="60"/>
  <c r="T231" i="60"/>
  <c r="U231" i="60"/>
  <c r="V231" i="60"/>
  <c r="AQ229" i="60"/>
  <c r="AQ226" i="60"/>
  <c r="AQ223" i="60"/>
  <c r="AQ220" i="60"/>
  <c r="AQ217" i="60"/>
  <c r="AQ214" i="60"/>
  <c r="AQ211" i="60"/>
  <c r="AQ208" i="60"/>
  <c r="AQ205" i="60"/>
  <c r="AQ202" i="60"/>
  <c r="AQ199" i="60"/>
  <c r="AQ196" i="60"/>
  <c r="AQ193" i="60"/>
  <c r="AQ190" i="60"/>
  <c r="AQ187" i="60"/>
  <c r="AQ184" i="60"/>
  <c r="AQ181" i="60"/>
  <c r="AQ178" i="60"/>
  <c r="AQ175" i="60"/>
  <c r="AQ172" i="60"/>
  <c r="AQ169" i="60"/>
  <c r="AQ166" i="60"/>
  <c r="AQ163" i="60"/>
  <c r="AQ160" i="60"/>
  <c r="AQ157" i="60"/>
  <c r="AQ154" i="60"/>
  <c r="AQ151" i="60"/>
  <c r="AQ148" i="60"/>
  <c r="AQ145" i="60"/>
  <c r="AQ142" i="60"/>
  <c r="AQ139" i="60"/>
  <c r="AQ136" i="60"/>
  <c r="AQ133" i="60"/>
  <c r="AQ130" i="60"/>
  <c r="AQ127" i="60"/>
  <c r="AQ124" i="60"/>
  <c r="AQ121" i="60"/>
  <c r="AQ118" i="60"/>
  <c r="AQ115" i="60"/>
  <c r="AQ112" i="60"/>
  <c r="AQ109" i="60"/>
  <c r="AQ106" i="60"/>
  <c r="AQ103" i="60"/>
  <c r="AQ100" i="60"/>
  <c r="AQ97" i="60"/>
  <c r="AQ94" i="60"/>
  <c r="AQ91" i="60"/>
  <c r="AQ88" i="60"/>
  <c r="AQ85" i="60"/>
  <c r="AQ82" i="60"/>
  <c r="AQ79" i="60"/>
  <c r="AQ76" i="60"/>
  <c r="AQ73" i="60"/>
  <c r="AQ70" i="60"/>
  <c r="AQ67" i="60"/>
  <c r="AQ64" i="60"/>
  <c r="AQ61" i="60"/>
  <c r="AQ58" i="60"/>
  <c r="AQ55" i="60"/>
  <c r="AQ52" i="60"/>
  <c r="AQ49" i="60"/>
  <c r="AQ46" i="60"/>
  <c r="AQ43" i="60"/>
  <c r="AQ40" i="60"/>
  <c r="AQ37" i="60"/>
  <c r="AQ34" i="60"/>
  <c r="AQ31" i="60"/>
  <c r="AQ28" i="60"/>
  <c r="AC98" i="85"/>
  <c r="Z47" i="85"/>
  <c r="I60" i="85"/>
  <c r="H92" i="85"/>
  <c r="F97" i="85"/>
  <c r="G97" i="85"/>
  <c r="H97" i="85"/>
  <c r="I97" i="85"/>
  <c r="J97" i="85"/>
  <c r="K97" i="85"/>
  <c r="L97" i="85"/>
  <c r="M97" i="85"/>
  <c r="N97" i="85"/>
  <c r="O97" i="85"/>
  <c r="P97" i="85"/>
  <c r="Q97" i="85"/>
  <c r="R97" i="85"/>
  <c r="S97" i="85"/>
  <c r="T97" i="85"/>
  <c r="U97" i="85"/>
  <c r="V97" i="85"/>
  <c r="W97" i="85"/>
  <c r="X97" i="85"/>
  <c r="Y97" i="85"/>
  <c r="Z97" i="85"/>
  <c r="AA97" i="85"/>
  <c r="AB97" i="85"/>
  <c r="AC97" i="85"/>
  <c r="AD97" i="85"/>
  <c r="AE97" i="85"/>
  <c r="AF97" i="85"/>
  <c r="AG97" i="85"/>
  <c r="AH97" i="85"/>
  <c r="AJ97" i="85"/>
  <c r="AK97" i="85"/>
  <c r="AL97" i="85"/>
  <c r="AM97" i="85"/>
  <c r="AO97" i="85"/>
  <c r="AP97" i="85"/>
  <c r="AQ97" i="85"/>
  <c r="AR97" i="85"/>
  <c r="AS97" i="85"/>
  <c r="AT97" i="85"/>
  <c r="AU97" i="85"/>
  <c r="AV97" i="85"/>
  <c r="AW97" i="85"/>
  <c r="AX97" i="85"/>
  <c r="AY97" i="85"/>
  <c r="AZ97" i="85"/>
  <c r="BA97" i="85"/>
  <c r="BB97" i="85"/>
  <c r="BC97" i="85"/>
  <c r="BD97" i="85"/>
  <c r="BE97" i="85"/>
  <c r="BF97" i="85"/>
  <c r="BG97" i="85"/>
  <c r="BH97" i="85"/>
  <c r="BI97" i="85"/>
  <c r="BJ97" i="85"/>
  <c r="BK97" i="85"/>
  <c r="BL97" i="85"/>
  <c r="BM97" i="85"/>
  <c r="BN97" i="85"/>
  <c r="BO97" i="85"/>
  <c r="BP97" i="85"/>
  <c r="BQ97" i="85"/>
  <c r="BR97" i="85"/>
  <c r="BS97" i="85"/>
  <c r="BT97" i="85"/>
  <c r="BU97" i="85"/>
  <c r="F98" i="85"/>
  <c r="G98" i="85"/>
  <c r="H98" i="85"/>
  <c r="I98" i="85"/>
  <c r="J98" i="85"/>
  <c r="K98" i="85"/>
  <c r="L98" i="85"/>
  <c r="M98" i="85"/>
  <c r="N98" i="85"/>
  <c r="O98" i="85"/>
  <c r="P98" i="85"/>
  <c r="Q98" i="85"/>
  <c r="R98" i="85"/>
  <c r="S98" i="85"/>
  <c r="T98" i="85"/>
  <c r="U98" i="85"/>
  <c r="V98" i="85"/>
  <c r="W98" i="85"/>
  <c r="X98" i="85"/>
  <c r="Y98" i="85"/>
  <c r="Z98" i="85"/>
  <c r="AA98" i="85"/>
  <c r="AB98" i="85"/>
  <c r="AD98" i="85"/>
  <c r="AE98" i="85"/>
  <c r="AF98" i="85"/>
  <c r="AG98" i="85"/>
  <c r="AH98" i="85"/>
  <c r="AI98" i="85"/>
  <c r="AK98" i="85"/>
  <c r="AL98" i="85"/>
  <c r="AM98" i="85"/>
  <c r="AN98" i="85"/>
  <c r="AO98" i="85"/>
  <c r="AP98" i="85"/>
  <c r="AQ98" i="85"/>
  <c r="AR98" i="85"/>
  <c r="AS98" i="85"/>
  <c r="AT98" i="85"/>
  <c r="AU98" i="85"/>
  <c r="AV98" i="85"/>
  <c r="AW98" i="85"/>
  <c r="AX98" i="85"/>
  <c r="AY98" i="85"/>
  <c r="AZ98" i="85"/>
  <c r="BA98" i="85"/>
  <c r="BB98" i="85"/>
  <c r="BC98" i="85"/>
  <c r="BD98" i="85"/>
  <c r="BE98" i="85"/>
  <c r="BF98" i="85"/>
  <c r="BG98" i="85"/>
  <c r="BH98" i="85"/>
  <c r="BI98" i="85"/>
  <c r="BJ98" i="85"/>
  <c r="BK98" i="85"/>
  <c r="BL98" i="85"/>
  <c r="BM98" i="85"/>
  <c r="BN98" i="85"/>
  <c r="BO98" i="85"/>
  <c r="BP98" i="85"/>
  <c r="BQ98" i="85"/>
  <c r="BR98" i="85"/>
  <c r="BS98" i="85"/>
  <c r="BT98" i="85"/>
  <c r="BU98" i="85"/>
  <c r="Q99" i="85"/>
  <c r="R99" i="85"/>
  <c r="S99" i="85"/>
  <c r="T99" i="85"/>
  <c r="U99" i="85"/>
  <c r="V99" i="85"/>
  <c r="W99" i="85"/>
  <c r="X99" i="85"/>
  <c r="Y99" i="85"/>
  <c r="Z99" i="85"/>
  <c r="AA99" i="85"/>
  <c r="AB99" i="85"/>
  <c r="AC99" i="85"/>
  <c r="AD99" i="85"/>
  <c r="AE99" i="85"/>
  <c r="AF99" i="85"/>
  <c r="AG99" i="85"/>
  <c r="AH99" i="85"/>
  <c r="AI99" i="85"/>
  <c r="AJ99" i="85"/>
  <c r="AK99" i="85"/>
  <c r="AL99" i="85"/>
  <c r="AM99" i="85"/>
  <c r="AN99" i="85"/>
  <c r="AO99" i="85"/>
  <c r="AP99" i="85"/>
  <c r="AQ99" i="85"/>
  <c r="AR99" i="85"/>
  <c r="AS99" i="85"/>
  <c r="AT99" i="85"/>
  <c r="AU99" i="85"/>
  <c r="AV99" i="85"/>
  <c r="AW99" i="85"/>
  <c r="AX99" i="85"/>
  <c r="AY99" i="85"/>
  <c r="AZ99" i="85"/>
  <c r="BA99" i="85"/>
  <c r="BB99" i="85"/>
  <c r="BC99" i="85"/>
  <c r="BD99" i="85"/>
  <c r="BE99" i="85"/>
  <c r="BF99" i="85"/>
  <c r="BG99" i="85"/>
  <c r="BH99" i="85"/>
  <c r="BI99" i="85"/>
  <c r="BJ99" i="85"/>
  <c r="BK99" i="85"/>
  <c r="BL99" i="85"/>
  <c r="BM99" i="85"/>
  <c r="BN99" i="85"/>
  <c r="BO99" i="85"/>
  <c r="BP99" i="85"/>
  <c r="BQ99" i="85"/>
  <c r="BR99" i="85"/>
  <c r="BS99" i="85"/>
  <c r="BT99" i="85"/>
  <c r="BU99" i="85"/>
  <c r="F100" i="85"/>
  <c r="G100" i="85"/>
  <c r="I100" i="85"/>
  <c r="J100" i="85"/>
  <c r="K100" i="85"/>
  <c r="L100" i="85"/>
  <c r="M100" i="85"/>
  <c r="N100" i="85"/>
  <c r="O100" i="85"/>
  <c r="P100" i="85"/>
  <c r="Q100" i="85"/>
  <c r="R100" i="85"/>
  <c r="S100" i="85"/>
  <c r="T100" i="85"/>
  <c r="U100" i="85"/>
  <c r="V100" i="85"/>
  <c r="W100" i="85"/>
  <c r="X100" i="85"/>
  <c r="Y100" i="85"/>
  <c r="Z100" i="85"/>
  <c r="AA100" i="85"/>
  <c r="AB100" i="85"/>
  <c r="AC100" i="85"/>
  <c r="AD100" i="85"/>
  <c r="AE100" i="85"/>
  <c r="AF100" i="85"/>
  <c r="AG100" i="85"/>
  <c r="AH100" i="85"/>
  <c r="AI100" i="85"/>
  <c r="AJ100" i="85"/>
  <c r="AK100" i="85"/>
  <c r="AL100" i="85"/>
  <c r="AM100" i="85"/>
  <c r="AN100" i="85"/>
  <c r="AO100" i="85"/>
  <c r="AP100" i="85"/>
  <c r="AQ100" i="85"/>
  <c r="AR100" i="85"/>
  <c r="AS100" i="85"/>
  <c r="AT100" i="85"/>
  <c r="AU100" i="85"/>
  <c r="AV100" i="85"/>
  <c r="AW100" i="85"/>
  <c r="AX100" i="85"/>
  <c r="AY100" i="85"/>
  <c r="AZ100" i="85"/>
  <c r="BA100" i="85"/>
  <c r="BB100" i="85"/>
  <c r="BC100" i="85"/>
  <c r="BD100" i="85"/>
  <c r="BE100" i="85"/>
  <c r="BF100" i="85"/>
  <c r="BG100" i="85"/>
  <c r="BH100" i="85"/>
  <c r="BI100" i="85"/>
  <c r="BJ100" i="85"/>
  <c r="BK100" i="85"/>
  <c r="BL100" i="85"/>
  <c r="BM100" i="85"/>
  <c r="BN100" i="85"/>
  <c r="BO100" i="85"/>
  <c r="BP100" i="85"/>
  <c r="BQ100" i="85"/>
  <c r="BR100" i="85"/>
  <c r="BS100" i="85"/>
  <c r="BT100" i="85"/>
  <c r="BU100" i="85"/>
  <c r="E98" i="85"/>
  <c r="E100" i="85"/>
  <c r="E97" i="85"/>
  <c r="C100" i="85"/>
  <c r="C99" i="85"/>
  <c r="C98" i="85"/>
  <c r="C97" i="85"/>
  <c r="C92" i="85"/>
  <c r="C91" i="85"/>
  <c r="C90" i="85"/>
  <c r="C89" i="85"/>
  <c r="F59" i="85"/>
  <c r="G59" i="85"/>
  <c r="H59" i="85"/>
  <c r="I59" i="85"/>
  <c r="J59" i="85"/>
  <c r="K59" i="85"/>
  <c r="L59" i="85"/>
  <c r="M59" i="85"/>
  <c r="N59" i="85"/>
  <c r="O59" i="85"/>
  <c r="P59" i="85"/>
  <c r="Q59" i="85"/>
  <c r="R59" i="85"/>
  <c r="S59" i="85"/>
  <c r="T59" i="85"/>
  <c r="U59" i="85"/>
  <c r="V59" i="85"/>
  <c r="W59" i="85"/>
  <c r="X59" i="85"/>
  <c r="Y59" i="85"/>
  <c r="Z59" i="85"/>
  <c r="AA59" i="85"/>
  <c r="AB59" i="85"/>
  <c r="AC59" i="85"/>
  <c r="AD59" i="85"/>
  <c r="AE59" i="85"/>
  <c r="AF59" i="85"/>
  <c r="AG59" i="85"/>
  <c r="AH59" i="85"/>
  <c r="AI59" i="85"/>
  <c r="AJ59" i="85"/>
  <c r="AK59" i="85"/>
  <c r="AL59" i="85"/>
  <c r="AM59" i="85"/>
  <c r="AN59" i="85"/>
  <c r="AO59" i="85"/>
  <c r="AP59" i="85"/>
  <c r="AQ59" i="85"/>
  <c r="AR59" i="85"/>
  <c r="AS59" i="85"/>
  <c r="AT59" i="85"/>
  <c r="AU59" i="85"/>
  <c r="AV59" i="85"/>
  <c r="AW59" i="85"/>
  <c r="AX59" i="85"/>
  <c r="AY59" i="85"/>
  <c r="AZ59" i="85"/>
  <c r="BA59" i="85"/>
  <c r="BB59" i="85"/>
  <c r="BC59" i="85"/>
  <c r="BD59" i="85"/>
  <c r="BE59" i="85"/>
  <c r="BF59" i="85"/>
  <c r="BG59" i="85"/>
  <c r="BH59" i="85"/>
  <c r="BI59" i="85"/>
  <c r="BJ59" i="85"/>
  <c r="BK59" i="85"/>
  <c r="BL59" i="85"/>
  <c r="BM59" i="85"/>
  <c r="BN59" i="85"/>
  <c r="BO59" i="85"/>
  <c r="BP59" i="85"/>
  <c r="BQ59" i="85"/>
  <c r="BR59" i="85"/>
  <c r="BS59" i="85"/>
  <c r="BT59" i="85"/>
  <c r="BU59" i="85"/>
  <c r="F60" i="85"/>
  <c r="G60" i="85"/>
  <c r="H60" i="85"/>
  <c r="J60" i="85"/>
  <c r="K60" i="85"/>
  <c r="L60" i="85"/>
  <c r="M60" i="85"/>
  <c r="N60" i="85"/>
  <c r="O60" i="85"/>
  <c r="P60" i="85"/>
  <c r="Q60" i="85"/>
  <c r="R60" i="85"/>
  <c r="S60" i="85"/>
  <c r="T60" i="85"/>
  <c r="U60" i="85"/>
  <c r="V60" i="85"/>
  <c r="W60" i="85"/>
  <c r="X60" i="85"/>
  <c r="Y60" i="85"/>
  <c r="Z60" i="85"/>
  <c r="AA60" i="85"/>
  <c r="AB60" i="85"/>
  <c r="AC60" i="85"/>
  <c r="AD60" i="85"/>
  <c r="AE60" i="85"/>
  <c r="AF60" i="85"/>
  <c r="AG60" i="85"/>
  <c r="AH60" i="85"/>
  <c r="AI60" i="85"/>
  <c r="AJ60" i="85"/>
  <c r="AK60" i="85"/>
  <c r="AL60" i="85"/>
  <c r="AM60" i="85"/>
  <c r="AN60" i="85"/>
  <c r="AO60" i="85"/>
  <c r="AP60" i="85"/>
  <c r="AQ60" i="85"/>
  <c r="AR60" i="85"/>
  <c r="AS60" i="85"/>
  <c r="AT60" i="85"/>
  <c r="AU60" i="85"/>
  <c r="AV60" i="85"/>
  <c r="AW60" i="85"/>
  <c r="AX60" i="85"/>
  <c r="AY60" i="85"/>
  <c r="AZ60" i="85"/>
  <c r="BA60" i="85"/>
  <c r="BB60" i="85"/>
  <c r="BC60" i="85"/>
  <c r="BD60" i="85"/>
  <c r="BE60" i="85"/>
  <c r="BF60" i="85"/>
  <c r="BG60" i="85"/>
  <c r="BH60" i="85"/>
  <c r="BI60" i="85"/>
  <c r="BJ60" i="85"/>
  <c r="BK60" i="85"/>
  <c r="BL60" i="85"/>
  <c r="BM60" i="85"/>
  <c r="BN60" i="85"/>
  <c r="BO60" i="85"/>
  <c r="BP60" i="85"/>
  <c r="BQ60" i="85"/>
  <c r="BR60" i="85"/>
  <c r="BS60" i="85"/>
  <c r="BT60" i="85"/>
  <c r="BU60" i="85"/>
  <c r="F61" i="85"/>
  <c r="G61" i="85"/>
  <c r="H61" i="85"/>
  <c r="I61" i="85"/>
  <c r="J61" i="85"/>
  <c r="K61" i="85"/>
  <c r="L61" i="85"/>
  <c r="M61" i="85"/>
  <c r="N61" i="85"/>
  <c r="P61" i="85"/>
  <c r="Q61" i="85"/>
  <c r="R61" i="85"/>
  <c r="S61" i="85"/>
  <c r="T61" i="85"/>
  <c r="U61" i="85"/>
  <c r="V61" i="85"/>
  <c r="X61" i="85"/>
  <c r="Y61" i="85"/>
  <c r="Z61" i="85"/>
  <c r="AB61" i="85"/>
  <c r="AC61" i="85"/>
  <c r="AD61" i="85"/>
  <c r="AE61" i="85"/>
  <c r="AF61" i="85"/>
  <c r="AG61" i="85"/>
  <c r="AH61" i="85"/>
  <c r="AI61" i="85"/>
  <c r="AJ61" i="85"/>
  <c r="AK61" i="85"/>
  <c r="AL61" i="85"/>
  <c r="AM61" i="85"/>
  <c r="AN61" i="85"/>
  <c r="AO61" i="85"/>
  <c r="AP61" i="85"/>
  <c r="AQ61" i="85"/>
  <c r="AR61" i="85"/>
  <c r="AS61" i="85"/>
  <c r="AT61" i="85"/>
  <c r="AU61" i="85"/>
  <c r="AV61" i="85"/>
  <c r="AW61" i="85"/>
  <c r="AX61" i="85"/>
  <c r="AY61" i="85"/>
  <c r="AZ61" i="85"/>
  <c r="BA61" i="85"/>
  <c r="BB61" i="85"/>
  <c r="BC61" i="85"/>
  <c r="BD61" i="85"/>
  <c r="BE61" i="85"/>
  <c r="BF61" i="85"/>
  <c r="BG61" i="85"/>
  <c r="BH61" i="85"/>
  <c r="BI61" i="85"/>
  <c r="BJ61" i="85"/>
  <c r="BK61" i="85"/>
  <c r="BL61" i="85"/>
  <c r="BM61" i="85"/>
  <c r="BN61" i="85"/>
  <c r="BO61" i="85"/>
  <c r="BP61" i="85"/>
  <c r="BQ61" i="85"/>
  <c r="BR61" i="85"/>
  <c r="BS61" i="85"/>
  <c r="BT61" i="85"/>
  <c r="BU61" i="85"/>
  <c r="F62" i="85"/>
  <c r="G62" i="85"/>
  <c r="H62" i="85"/>
  <c r="I62" i="85"/>
  <c r="J62" i="85"/>
  <c r="K62" i="85"/>
  <c r="L62" i="85"/>
  <c r="M62" i="85"/>
  <c r="N62" i="85"/>
  <c r="O62" i="85"/>
  <c r="P62" i="85"/>
  <c r="Q62" i="85"/>
  <c r="R62" i="85"/>
  <c r="S62" i="85"/>
  <c r="T62" i="85"/>
  <c r="U62" i="85"/>
  <c r="V62" i="85"/>
  <c r="W62" i="85"/>
  <c r="X62" i="85"/>
  <c r="Y62" i="85"/>
  <c r="Z62" i="85"/>
  <c r="AA62" i="85"/>
  <c r="AB62" i="85"/>
  <c r="AC62" i="85"/>
  <c r="AD62" i="85"/>
  <c r="AE62" i="85"/>
  <c r="AF62" i="85"/>
  <c r="AG62" i="85"/>
  <c r="AH62" i="85"/>
  <c r="AI62" i="85"/>
  <c r="AJ62" i="85"/>
  <c r="AK62" i="85"/>
  <c r="AL62" i="85"/>
  <c r="AM62" i="85"/>
  <c r="AN62" i="85"/>
  <c r="AO62" i="85"/>
  <c r="AP62" i="85"/>
  <c r="AQ62" i="85"/>
  <c r="AR62" i="85"/>
  <c r="AS62" i="85"/>
  <c r="AT62" i="85"/>
  <c r="AU62" i="85"/>
  <c r="AV62" i="85"/>
  <c r="AW62" i="85"/>
  <c r="AX62" i="85"/>
  <c r="AY62" i="85"/>
  <c r="AZ62" i="85"/>
  <c r="BA62" i="85"/>
  <c r="BB62" i="85"/>
  <c r="BC62" i="85"/>
  <c r="BD62" i="85"/>
  <c r="BE62" i="85"/>
  <c r="BF62" i="85"/>
  <c r="BG62" i="85"/>
  <c r="BH62" i="85"/>
  <c r="BI62" i="85"/>
  <c r="BJ62" i="85"/>
  <c r="BK62" i="85"/>
  <c r="BL62" i="85"/>
  <c r="BM62" i="85"/>
  <c r="BN62" i="85"/>
  <c r="BO62" i="85"/>
  <c r="BP62" i="85"/>
  <c r="BQ62" i="85"/>
  <c r="BR62" i="85"/>
  <c r="BS62" i="85"/>
  <c r="BT62" i="85"/>
  <c r="BU62" i="85"/>
  <c r="E60" i="85"/>
  <c r="E61" i="85"/>
  <c r="E62" i="85"/>
  <c r="E59" i="85"/>
  <c r="C62" i="85"/>
  <c r="C61" i="85"/>
  <c r="C60" i="85"/>
  <c r="C59" i="85"/>
  <c r="C42" i="85"/>
  <c r="C41" i="85"/>
  <c r="C40" i="85"/>
  <c r="C39" i="85"/>
  <c r="C55" i="85"/>
  <c r="C54" i="85"/>
  <c r="C53" i="85"/>
  <c r="C52" i="85"/>
  <c r="C85" i="85"/>
  <c r="C84" i="85"/>
  <c r="C83" i="85"/>
  <c r="C82" i="85"/>
  <c r="F30" i="85"/>
  <c r="H30" i="85"/>
  <c r="I30" i="85"/>
  <c r="J30" i="85"/>
  <c r="K30" i="85"/>
  <c r="L30" i="85"/>
  <c r="M30" i="85"/>
  <c r="O30" i="85"/>
  <c r="P30" i="85"/>
  <c r="Q30" i="85"/>
  <c r="R30" i="85"/>
  <c r="S30" i="85"/>
  <c r="T30" i="85"/>
  <c r="U30" i="85"/>
  <c r="V30" i="85"/>
  <c r="W30" i="85"/>
  <c r="X30" i="85"/>
  <c r="Y30" i="85"/>
  <c r="Z30" i="85"/>
  <c r="AA30" i="85"/>
  <c r="AB30" i="85"/>
  <c r="AC30" i="85"/>
  <c r="AD30" i="85"/>
  <c r="AE30" i="85"/>
  <c r="AF30" i="85"/>
  <c r="AG30" i="85"/>
  <c r="AH30" i="85"/>
  <c r="AJ30" i="85"/>
  <c r="AK30" i="85"/>
  <c r="AL30" i="85"/>
  <c r="AM30" i="85"/>
  <c r="AN30" i="85"/>
  <c r="AO30" i="85"/>
  <c r="AP30" i="85"/>
  <c r="AQ30" i="85"/>
  <c r="AR30" i="85"/>
  <c r="AS30" i="85"/>
  <c r="AT30" i="85"/>
  <c r="AU30" i="85"/>
  <c r="AV30" i="85"/>
  <c r="AW30" i="85"/>
  <c r="AX30" i="85"/>
  <c r="AY30" i="85"/>
  <c r="BA30" i="85"/>
  <c r="BB30" i="85"/>
  <c r="BC30" i="85"/>
  <c r="BD30" i="85"/>
  <c r="BE30" i="85"/>
  <c r="BF30" i="85"/>
  <c r="BG30" i="85"/>
  <c r="BH30" i="85"/>
  <c r="BI30" i="85"/>
  <c r="BJ30" i="85"/>
  <c r="BK30" i="85"/>
  <c r="BL30" i="85"/>
  <c r="BM30" i="85"/>
  <c r="BN30" i="85"/>
  <c r="BO30" i="85"/>
  <c r="BP30" i="85"/>
  <c r="BQ30" i="85"/>
  <c r="BR30" i="85"/>
  <c r="BS30" i="85"/>
  <c r="BT30" i="85"/>
  <c r="BU30" i="85"/>
  <c r="F31" i="85"/>
  <c r="G31" i="85"/>
  <c r="H31" i="85"/>
  <c r="I31" i="85"/>
  <c r="J31" i="85"/>
  <c r="K31" i="85"/>
  <c r="L31" i="85"/>
  <c r="M31" i="85"/>
  <c r="N31" i="85"/>
  <c r="O31" i="85"/>
  <c r="P31" i="85"/>
  <c r="Q31" i="85"/>
  <c r="R31" i="85"/>
  <c r="S31" i="85"/>
  <c r="T31" i="85"/>
  <c r="U31" i="85"/>
  <c r="V31" i="85"/>
  <c r="W31" i="85"/>
  <c r="X31" i="85"/>
  <c r="Y31" i="85"/>
  <c r="Z31" i="85"/>
  <c r="AA31" i="85"/>
  <c r="AB31" i="85"/>
  <c r="AC31" i="85"/>
  <c r="AD31" i="85"/>
  <c r="AE31" i="85"/>
  <c r="AF31" i="85"/>
  <c r="AG31" i="85"/>
  <c r="AH31" i="85"/>
  <c r="AI31" i="85"/>
  <c r="AJ31" i="85"/>
  <c r="AK31" i="85"/>
  <c r="AL31" i="85"/>
  <c r="AM31" i="85"/>
  <c r="AN31" i="85"/>
  <c r="AO31" i="85"/>
  <c r="AP31" i="85"/>
  <c r="AQ31" i="85"/>
  <c r="AR31" i="85"/>
  <c r="AS31" i="85"/>
  <c r="AT31" i="85"/>
  <c r="AU31" i="85"/>
  <c r="AV31" i="85"/>
  <c r="AW31" i="85"/>
  <c r="AX31" i="85"/>
  <c r="AY31" i="85"/>
  <c r="AZ31" i="85"/>
  <c r="BA31" i="85"/>
  <c r="BB31" i="85"/>
  <c r="BC31" i="85"/>
  <c r="BD31" i="85"/>
  <c r="BE31" i="85"/>
  <c r="BF31" i="85"/>
  <c r="BG31" i="85"/>
  <c r="BH31" i="85"/>
  <c r="BI31" i="85"/>
  <c r="BJ31" i="85"/>
  <c r="BK31" i="85"/>
  <c r="BL31" i="85"/>
  <c r="BM31" i="85"/>
  <c r="BN31" i="85"/>
  <c r="BO31" i="85"/>
  <c r="BP31" i="85"/>
  <c r="BQ31" i="85"/>
  <c r="BR31" i="85"/>
  <c r="BS31" i="85"/>
  <c r="BT31" i="85"/>
  <c r="BU31" i="85"/>
  <c r="F32" i="85"/>
  <c r="G32" i="85"/>
  <c r="H32" i="85"/>
  <c r="I32" i="85"/>
  <c r="J32" i="85"/>
  <c r="K32" i="85"/>
  <c r="L32" i="85"/>
  <c r="M32" i="85"/>
  <c r="N32" i="85"/>
  <c r="O32" i="85"/>
  <c r="P32" i="85"/>
  <c r="Q32" i="85"/>
  <c r="R32" i="85"/>
  <c r="S32" i="85"/>
  <c r="T32" i="85"/>
  <c r="U32" i="85"/>
  <c r="V32" i="85"/>
  <c r="X32" i="85"/>
  <c r="Y32" i="85"/>
  <c r="AB32" i="85"/>
  <c r="AC32" i="85"/>
  <c r="AD32" i="85"/>
  <c r="AE32" i="85"/>
  <c r="AF32" i="85"/>
  <c r="AG32" i="85"/>
  <c r="AH32" i="85"/>
  <c r="AI32" i="85"/>
  <c r="AJ32" i="85"/>
  <c r="AK32" i="85"/>
  <c r="AL32" i="85"/>
  <c r="AM32" i="85"/>
  <c r="AN32" i="85"/>
  <c r="AO32" i="85"/>
  <c r="AP32" i="85"/>
  <c r="AQ32" i="85"/>
  <c r="AR32" i="85"/>
  <c r="AS32" i="85"/>
  <c r="AT32" i="85"/>
  <c r="AU32" i="85"/>
  <c r="AV32" i="85"/>
  <c r="AW32" i="85"/>
  <c r="AX32" i="85"/>
  <c r="AY32" i="85"/>
  <c r="AZ32" i="85"/>
  <c r="BA32" i="85"/>
  <c r="BB32" i="85"/>
  <c r="BC32" i="85"/>
  <c r="BD32" i="85"/>
  <c r="BE32" i="85"/>
  <c r="BF32" i="85"/>
  <c r="BG32" i="85"/>
  <c r="BH32" i="85"/>
  <c r="BI32" i="85"/>
  <c r="BJ32" i="85"/>
  <c r="BK32" i="85"/>
  <c r="BL32" i="85"/>
  <c r="BM32" i="85"/>
  <c r="BN32" i="85"/>
  <c r="BO32" i="85"/>
  <c r="BP32" i="85"/>
  <c r="BQ32" i="85"/>
  <c r="BR32" i="85"/>
  <c r="BS32" i="85"/>
  <c r="BT32" i="85"/>
  <c r="BU32" i="85"/>
  <c r="F33" i="85"/>
  <c r="G33" i="85"/>
  <c r="H33" i="85"/>
  <c r="I33" i="85"/>
  <c r="J33" i="85"/>
  <c r="K33" i="85"/>
  <c r="L33" i="85"/>
  <c r="M33" i="85"/>
  <c r="N33" i="85"/>
  <c r="O33" i="85"/>
  <c r="P33" i="85"/>
  <c r="Q33" i="85"/>
  <c r="R33" i="85"/>
  <c r="S33" i="85"/>
  <c r="T33" i="85"/>
  <c r="U33" i="85"/>
  <c r="V33" i="85"/>
  <c r="W33" i="85"/>
  <c r="X33" i="85"/>
  <c r="Y33" i="85"/>
  <c r="Z33" i="85"/>
  <c r="AA33" i="85"/>
  <c r="AB33" i="85"/>
  <c r="AC33" i="85"/>
  <c r="AD33" i="85"/>
  <c r="AE33" i="85"/>
  <c r="AF33" i="85"/>
  <c r="AG33" i="85"/>
  <c r="AH33" i="85"/>
  <c r="AI33" i="85"/>
  <c r="AJ33" i="85"/>
  <c r="AK33" i="85"/>
  <c r="AL33" i="85"/>
  <c r="AM33" i="85"/>
  <c r="AN33" i="85"/>
  <c r="AO33" i="85"/>
  <c r="AP33" i="85"/>
  <c r="AQ33" i="85"/>
  <c r="AR33" i="85"/>
  <c r="AS33" i="85"/>
  <c r="AT33" i="85"/>
  <c r="AU33" i="85"/>
  <c r="AV33" i="85"/>
  <c r="AW33" i="85"/>
  <c r="AX33" i="85"/>
  <c r="AY33" i="85"/>
  <c r="AZ33" i="85"/>
  <c r="BA33" i="85"/>
  <c r="BB33" i="85"/>
  <c r="BC33" i="85"/>
  <c r="BD33" i="85"/>
  <c r="BE33" i="85"/>
  <c r="BF33" i="85"/>
  <c r="BG33" i="85"/>
  <c r="BH33" i="85"/>
  <c r="BI33" i="85"/>
  <c r="BJ33" i="85"/>
  <c r="BK33" i="85"/>
  <c r="BL33" i="85"/>
  <c r="BM33" i="85"/>
  <c r="BN33" i="85"/>
  <c r="BO33" i="85"/>
  <c r="BP33" i="85"/>
  <c r="BQ33" i="85"/>
  <c r="BR33" i="85"/>
  <c r="BS33" i="85"/>
  <c r="BT33" i="85"/>
  <c r="BU33" i="85"/>
  <c r="E31" i="85"/>
  <c r="E32" i="85"/>
  <c r="E33" i="85"/>
  <c r="E30" i="85"/>
  <c r="C33" i="85"/>
  <c r="C32" i="85"/>
  <c r="C31" i="85"/>
  <c r="C30" i="85"/>
  <c r="C27" i="85"/>
  <c r="C26" i="85"/>
  <c r="C25" i="85"/>
  <c r="C24" i="85"/>
  <c r="C21" i="85"/>
  <c r="C20" i="85"/>
  <c r="C19" i="85"/>
  <c r="C18" i="85"/>
  <c r="F6" i="85"/>
  <c r="G6" i="85" s="1"/>
  <c r="G5" i="85" s="1"/>
  <c r="E5" i="85"/>
  <c r="A2" i="85"/>
  <c r="BW62" i="85" l="1"/>
  <c r="G73" i="85"/>
  <c r="G66" i="85"/>
  <c r="N73" i="85"/>
  <c r="N66" i="85"/>
  <c r="AZ66" i="85"/>
  <c r="AZ73" i="85"/>
  <c r="AI66" i="85"/>
  <c r="AI73" i="85"/>
  <c r="G30" i="85"/>
  <c r="G34" i="85" s="1"/>
  <c r="Z68" i="85"/>
  <c r="Z75" i="85"/>
  <c r="BW60" i="85"/>
  <c r="AA68" i="85"/>
  <c r="AA75" i="85"/>
  <c r="BW59" i="85"/>
  <c r="W75" i="85"/>
  <c r="W68" i="85"/>
  <c r="W32" i="85"/>
  <c r="W34" i="85" s="1"/>
  <c r="W15" i="85"/>
  <c r="L34" i="85"/>
  <c r="BW11" i="85"/>
  <c r="G15" i="85"/>
  <c r="N30" i="85"/>
  <c r="N34" i="85" s="1"/>
  <c r="N15" i="85"/>
  <c r="AZ30" i="85"/>
  <c r="AZ34" i="85" s="1"/>
  <c r="AZ15" i="85"/>
  <c r="AI30" i="85"/>
  <c r="AI34" i="85" s="1"/>
  <c r="AI15" i="85"/>
  <c r="Z32" i="85"/>
  <c r="Z34" i="85" s="1"/>
  <c r="Z15" i="85"/>
  <c r="AA32" i="85"/>
  <c r="AA34" i="85" s="1"/>
  <c r="AA15" i="85"/>
  <c r="E34" i="85"/>
  <c r="M34" i="85"/>
  <c r="K34" i="85"/>
  <c r="J34" i="85"/>
  <c r="H100" i="85"/>
  <c r="H93" i="85"/>
  <c r="H101" i="85" s="1"/>
  <c r="I34" i="85"/>
  <c r="H34" i="85"/>
  <c r="P34" i="85"/>
  <c r="O34" i="85"/>
  <c r="F34" i="85"/>
  <c r="AI97" i="85"/>
  <c r="AI93" i="85"/>
  <c r="AI101" i="85" s="1"/>
  <c r="BS34" i="85"/>
  <c r="BK34" i="85"/>
  <c r="BC34" i="85"/>
  <c r="AT34" i="85"/>
  <c r="AL34" i="85"/>
  <c r="AD34" i="85"/>
  <c r="V34" i="85"/>
  <c r="BR34" i="85"/>
  <c r="BB34" i="85"/>
  <c r="AS34" i="85"/>
  <c r="AK34" i="85"/>
  <c r="U34" i="85"/>
  <c r="BJ34" i="85"/>
  <c r="AC34" i="85"/>
  <c r="BQ34" i="85"/>
  <c r="BI34" i="85"/>
  <c r="BA34" i="85"/>
  <c r="AR34" i="85"/>
  <c r="AJ34" i="85"/>
  <c r="AB34" i="85"/>
  <c r="T34" i="85"/>
  <c r="BP34" i="85"/>
  <c r="AQ34" i="85"/>
  <c r="BO34" i="85"/>
  <c r="BG34" i="85"/>
  <c r="AX34" i="85"/>
  <c r="AP34" i="85"/>
  <c r="AH34" i="85"/>
  <c r="R34" i="85"/>
  <c r="BN34" i="85"/>
  <c r="BF34" i="85"/>
  <c r="AW34" i="85"/>
  <c r="AO34" i="85"/>
  <c r="AG34" i="85"/>
  <c r="Y34" i="85"/>
  <c r="Q34" i="85"/>
  <c r="AY34" i="85"/>
  <c r="S34" i="85"/>
  <c r="BM34" i="85"/>
  <c r="AV34" i="85"/>
  <c r="AN34" i="85"/>
  <c r="X34" i="85"/>
  <c r="BH34" i="85"/>
  <c r="BU34" i="85"/>
  <c r="BE34" i="85"/>
  <c r="AF34" i="85"/>
  <c r="BT34" i="85"/>
  <c r="BL34" i="85"/>
  <c r="BD34" i="85"/>
  <c r="AU34" i="85"/>
  <c r="AM34" i="85"/>
  <c r="AE34" i="85"/>
  <c r="BW31" i="85"/>
  <c r="BX53" i="85" s="1"/>
  <c r="BW46" i="85"/>
  <c r="BW32" i="85"/>
  <c r="BX54" i="85" s="1"/>
  <c r="BW49" i="85"/>
  <c r="BW48" i="85"/>
  <c r="BW33" i="85"/>
  <c r="BX55" i="85" s="1"/>
  <c r="Z232" i="60"/>
  <c r="Z231" i="60"/>
  <c r="AF46" i="85"/>
  <c r="AA61" i="85"/>
  <c r="BW61" i="85" s="1"/>
  <c r="T48" i="85"/>
  <c r="Z48" i="85"/>
  <c r="W48" i="85"/>
  <c r="L48" i="85"/>
  <c r="I47" i="85"/>
  <c r="H47" i="85"/>
  <c r="G47" i="85"/>
  <c r="F47" i="85"/>
  <c r="AC47" i="85"/>
  <c r="AB47" i="85"/>
  <c r="AA47" i="85"/>
  <c r="F5" i="85"/>
  <c r="H6" i="85"/>
  <c r="BW30" i="85" l="1"/>
  <c r="BX52" i="85" s="1"/>
  <c r="G77" i="85"/>
  <c r="G70" i="85"/>
  <c r="AI70" i="85"/>
  <c r="AI77" i="85"/>
  <c r="W77" i="85"/>
  <c r="W70" i="85"/>
  <c r="Z70" i="85"/>
  <c r="Z77" i="85"/>
  <c r="AZ70" i="85"/>
  <c r="AZ77" i="85"/>
  <c r="AA70" i="85"/>
  <c r="AA77" i="85"/>
  <c r="N77" i="85"/>
  <c r="N70" i="85"/>
  <c r="BW47" i="85"/>
  <c r="I6" i="85"/>
  <c r="H5" i="85"/>
  <c r="J6" i="85" l="1"/>
  <c r="I5" i="85"/>
  <c r="K6" i="85" l="1"/>
  <c r="J5" i="85"/>
  <c r="L6" i="85" l="1"/>
  <c r="K5" i="85"/>
  <c r="M6" i="85" l="1"/>
  <c r="L5" i="85"/>
  <c r="M5" i="85" l="1"/>
  <c r="N6" i="85"/>
  <c r="N5" i="85" l="1"/>
  <c r="O6" i="85"/>
  <c r="P6" i="85" l="1"/>
  <c r="O5" i="85"/>
  <c r="Q6" i="85" l="1"/>
  <c r="R6" i="85" s="1"/>
  <c r="P5" i="85"/>
  <c r="Q5" i="85" l="1"/>
  <c r="S6" i="85"/>
  <c r="R5" i="85"/>
  <c r="S5" i="85" l="1"/>
  <c r="T6" i="85"/>
  <c r="U6" i="85" l="1"/>
  <c r="T5" i="85"/>
  <c r="U5" i="85" l="1"/>
  <c r="V6" i="85"/>
  <c r="V5" i="85" l="1"/>
  <c r="W6" i="85"/>
  <c r="X6" i="85" l="1"/>
  <c r="W5" i="85"/>
  <c r="X5" i="85" l="1"/>
  <c r="Y6" i="85"/>
  <c r="Z6" i="85" l="1"/>
  <c r="Y5" i="85"/>
  <c r="AA6" i="85" l="1"/>
  <c r="Z5" i="85"/>
  <c r="AB6" i="85" l="1"/>
  <c r="AA5" i="85"/>
  <c r="AC6" i="85" l="1"/>
  <c r="AB5" i="85"/>
  <c r="AC5" i="85" l="1"/>
  <c r="AD6" i="85"/>
  <c r="AD5" i="85" l="1"/>
  <c r="AE6" i="85"/>
  <c r="AE5" i="85" l="1"/>
  <c r="AF6" i="85"/>
  <c r="AF5" i="85" l="1"/>
  <c r="AG6" i="85"/>
  <c r="AH6" i="85" l="1"/>
  <c r="AG5" i="85"/>
  <c r="AH5" i="85" l="1"/>
  <c r="AI6" i="85"/>
  <c r="AI5" i="85" l="1"/>
  <c r="AJ6" i="85"/>
  <c r="AK6" i="85" l="1"/>
  <c r="AJ5" i="85"/>
  <c r="AL6" i="85" l="1"/>
  <c r="AK5" i="85"/>
  <c r="AL5" i="85" l="1"/>
  <c r="AM6" i="85"/>
  <c r="AM5" i="85" l="1"/>
  <c r="AN6" i="85"/>
  <c r="AO6" i="85" l="1"/>
  <c r="AN5" i="85"/>
  <c r="AP6" i="85" l="1"/>
  <c r="AO5" i="85"/>
  <c r="AQ6" i="85" l="1"/>
  <c r="AP5" i="85"/>
  <c r="AR6" i="85" l="1"/>
  <c r="AQ5" i="85"/>
  <c r="AR5" i="85" l="1"/>
  <c r="AS6" i="85"/>
  <c r="AS5" i="85" l="1"/>
  <c r="AT6" i="85"/>
  <c r="AT5" i="85" l="1"/>
  <c r="AU6" i="85"/>
  <c r="AU5" i="85" l="1"/>
  <c r="AV6" i="85"/>
  <c r="AV5" i="85" l="1"/>
  <c r="AW6" i="85"/>
  <c r="AW5" i="85" l="1"/>
  <c r="AX6" i="85"/>
  <c r="AY6" i="85" l="1"/>
  <c r="AX5" i="85"/>
  <c r="AY5" i="85" l="1"/>
  <c r="AZ6" i="85"/>
  <c r="BA6" i="85" l="1"/>
  <c r="AZ5" i="85"/>
  <c r="BA5" i="85" l="1"/>
  <c r="BB6" i="85"/>
  <c r="BC6" i="85" l="1"/>
  <c r="BB5" i="85"/>
  <c r="BD6" i="85" l="1"/>
  <c r="BC5" i="85"/>
  <c r="BD5" i="85" l="1"/>
  <c r="BE6" i="85"/>
  <c r="BE5" i="85" l="1"/>
  <c r="BF6" i="85"/>
  <c r="BF5" i="85" l="1"/>
  <c r="BG6" i="85"/>
  <c r="BG5" i="85" l="1"/>
  <c r="BH6" i="85"/>
  <c r="BI6" i="85" l="1"/>
  <c r="BH5" i="85"/>
  <c r="BI5" i="85" l="1"/>
  <c r="BJ6" i="85"/>
  <c r="BK6" i="85" l="1"/>
  <c r="BJ5" i="85"/>
  <c r="BL6" i="85" l="1"/>
  <c r="BK5" i="85"/>
  <c r="BM6" i="85" l="1"/>
  <c r="BL5" i="85"/>
  <c r="BM5" i="85" l="1"/>
  <c r="BN6" i="85"/>
  <c r="BO6" i="85" l="1"/>
  <c r="BN5" i="85"/>
  <c r="BP6" i="85" l="1"/>
  <c r="BO5" i="85"/>
  <c r="BP5" i="85" l="1"/>
  <c r="BQ6" i="85"/>
  <c r="BQ5" i="85" l="1"/>
  <c r="BR6" i="85"/>
  <c r="BS6" i="85" l="1"/>
  <c r="BR5" i="85"/>
  <c r="BS5" i="85" l="1"/>
  <c r="BT6" i="85"/>
  <c r="BU6" i="85" l="1"/>
  <c r="BT5" i="85"/>
  <c r="BU5" i="85" l="1"/>
  <c r="W22" i="27" l="1"/>
  <c r="V22" i="27"/>
  <c r="U22" i="27"/>
  <c r="T22" i="27"/>
  <c r="S22" i="27"/>
  <c r="AB227" i="3" l="1"/>
  <c r="AC227" i="3"/>
  <c r="AD227" i="3"/>
  <c r="AB229" i="38"/>
  <c r="AC229" i="38"/>
  <c r="AD229" i="38"/>
  <c r="S229" i="38"/>
  <c r="T229" i="38"/>
  <c r="V139" i="29"/>
  <c r="W139" i="29"/>
  <c r="S221" i="29"/>
  <c r="T221" i="29"/>
  <c r="R221" i="29"/>
  <c r="P220" i="29"/>
  <c r="O220" i="29"/>
  <c r="N220" i="29"/>
  <c r="M220" i="29"/>
  <c r="L220" i="29"/>
  <c r="K220" i="29"/>
  <c r="J220" i="29"/>
  <c r="I220" i="29"/>
  <c r="H220" i="29"/>
  <c r="G220" i="29"/>
  <c r="F220" i="29"/>
  <c r="H128" i="38"/>
  <c r="M188" i="29"/>
  <c r="W23" i="36"/>
  <c r="V23" i="36"/>
  <c r="U23" i="36"/>
  <c r="T23" i="36"/>
  <c r="S23" i="36"/>
  <c r="W23" i="27"/>
  <c r="V23" i="27"/>
  <c r="U23" i="27"/>
  <c r="T23" i="27"/>
  <c r="S23" i="27"/>
  <c r="Q224" i="3"/>
  <c r="Q228" i="3"/>
  <c r="L205" i="3"/>
  <c r="M205" i="3"/>
  <c r="N205" i="3"/>
  <c r="O205" i="3"/>
  <c r="P205" i="3"/>
  <c r="Q205" i="3"/>
  <c r="W200" i="38" a="1"/>
  <c r="W200" i="38" s="1"/>
  <c r="V200" i="38" a="1"/>
  <c r="V200" i="38" s="1"/>
  <c r="I200" i="38" a="1"/>
  <c r="I200" i="38" s="1"/>
  <c r="J200" i="38" a="1"/>
  <c r="J200" i="38" s="1"/>
  <c r="K200" i="38" a="1"/>
  <c r="K200" i="38" s="1"/>
  <c r="L200" i="38" a="1"/>
  <c r="L200" i="38" s="1"/>
  <c r="M200" i="38" a="1"/>
  <c r="M200" i="38" s="1"/>
  <c r="N200" i="38" a="1"/>
  <c r="N200" i="38" s="1"/>
  <c r="O200" i="38" a="1"/>
  <c r="O200" i="38" s="1"/>
  <c r="P200" i="38" a="1"/>
  <c r="P200" i="38" s="1"/>
  <c r="Q200" i="38" a="1"/>
  <c r="Q200" i="38" s="1"/>
  <c r="H200" i="38" a="1"/>
  <c r="H200" i="38" s="1"/>
  <c r="Q199" i="38" a="1"/>
  <c r="Q199" i="38" s="1"/>
  <c r="AC114" i="39"/>
  <c r="AD114" i="39" s="1"/>
  <c r="F81" i="15"/>
  <c r="AC143" i="30"/>
  <c r="F79" i="15"/>
  <c r="F82" i="15"/>
  <c r="F76" i="15"/>
  <c r="F75" i="15"/>
  <c r="F73" i="15"/>
  <c r="F72" i="15"/>
  <c r="D124" i="15"/>
  <c r="D121" i="15"/>
  <c r="D65" i="15" l="1"/>
  <c r="D64" i="15"/>
  <c r="D63" i="15"/>
  <c r="AD60" i="4"/>
  <c r="AC60" i="4"/>
  <c r="AB60" i="4"/>
  <c r="AD59" i="4"/>
  <c r="AC59" i="4"/>
  <c r="AB59" i="4"/>
  <c r="AD58" i="4"/>
  <c r="AC58" i="4"/>
  <c r="AB58" i="4"/>
  <c r="AD57" i="4"/>
  <c r="AC57" i="4"/>
  <c r="AB57" i="4"/>
  <c r="AD53" i="4"/>
  <c r="AC53" i="4"/>
  <c r="AB53" i="4"/>
  <c r="AD50" i="4"/>
  <c r="AC50" i="4"/>
  <c r="AB50" i="4"/>
  <c r="AB45" i="4"/>
  <c r="AC45" i="4"/>
  <c r="AD45" i="4"/>
  <c r="AB46" i="4"/>
  <c r="AC46" i="4"/>
  <c r="AD46" i="4"/>
  <c r="AB47" i="4"/>
  <c r="AC47" i="4"/>
  <c r="AD47" i="4"/>
  <c r="AB48" i="4"/>
  <c r="AC48" i="4"/>
  <c r="AD48" i="4"/>
  <c r="AC42" i="4"/>
  <c r="AD42" i="4"/>
  <c r="AB42" i="4"/>
  <c r="T60" i="4"/>
  <c r="S60" i="4"/>
  <c r="R60" i="4"/>
  <c r="T59" i="4"/>
  <c r="S59" i="4"/>
  <c r="R59" i="4"/>
  <c r="T58" i="4"/>
  <c r="S58" i="4"/>
  <c r="R58" i="4"/>
  <c r="T57" i="4"/>
  <c r="S57" i="4"/>
  <c r="R57" i="4"/>
  <c r="T54" i="4"/>
  <c r="S54" i="4"/>
  <c r="R54" i="4"/>
  <c r="T53" i="4"/>
  <c r="S53" i="4"/>
  <c r="R53" i="4"/>
  <c r="T50" i="4"/>
  <c r="S50" i="4"/>
  <c r="R50" i="4"/>
  <c r="T48" i="4"/>
  <c r="S48" i="4"/>
  <c r="R48" i="4"/>
  <c r="T47" i="4"/>
  <c r="S47" i="4"/>
  <c r="R47" i="4"/>
  <c r="T46" i="4"/>
  <c r="S46" i="4"/>
  <c r="R46" i="4"/>
  <c r="T45" i="4"/>
  <c r="S45" i="4"/>
  <c r="R45" i="4"/>
  <c r="T42" i="4"/>
  <c r="S42" i="4"/>
  <c r="R42" i="4"/>
  <c r="Q141" i="4"/>
  <c r="H39" i="15"/>
  <c r="L39" i="15" s="1"/>
  <c r="P39" i="15" s="1"/>
  <c r="D48" i="15"/>
  <c r="H48" i="15"/>
  <c r="L48" i="15"/>
  <c r="P48" i="15"/>
  <c r="D49" i="15"/>
  <c r="H49" i="15"/>
  <c r="L49" i="15"/>
  <c r="P49" i="15"/>
  <c r="D50" i="15"/>
  <c r="H50" i="15"/>
  <c r="L50" i="15"/>
  <c r="P50" i="15"/>
  <c r="D51" i="15"/>
  <c r="H51" i="15"/>
  <c r="L51" i="15"/>
  <c r="P51" i="15"/>
  <c r="C56" i="15"/>
  <c r="C57" i="15"/>
  <c r="C58" i="15"/>
  <c r="C59" i="15"/>
  <c r="C60" i="15"/>
  <c r="C62" i="15"/>
  <c r="D62" i="15"/>
  <c r="H62" i="15"/>
  <c r="L62" i="15"/>
  <c r="C63" i="15"/>
  <c r="H63" i="15"/>
  <c r="L63" i="15"/>
  <c r="C64" i="15"/>
  <c r="H64" i="15"/>
  <c r="L64" i="15"/>
  <c r="C65" i="15"/>
  <c r="H65" i="15"/>
  <c r="L65" i="15"/>
  <c r="R34" i="4"/>
  <c r="S34" i="4" s="1"/>
  <c r="T34" i="4" s="1"/>
  <c r="AC55" i="41"/>
  <c r="AD55" i="41"/>
  <c r="AC56" i="41"/>
  <c r="AD56" i="41"/>
  <c r="AC51" i="41"/>
  <c r="AD51" i="41"/>
  <c r="AC52" i="41"/>
  <c r="AD52" i="41"/>
  <c r="AC46" i="41"/>
  <c r="AD46" i="41"/>
  <c r="AC47" i="41"/>
  <c r="AD47" i="41"/>
  <c r="AC48" i="41"/>
  <c r="AD48" i="41"/>
  <c r="AC37" i="41"/>
  <c r="AD37" i="41"/>
  <c r="AC38" i="41"/>
  <c r="AD38" i="41"/>
  <c r="AB56" i="41"/>
  <c r="AB55" i="41"/>
  <c r="AB52" i="41"/>
  <c r="AB51" i="41"/>
  <c r="AB48" i="41"/>
  <c r="AB47" i="41"/>
  <c r="AB46" i="41"/>
  <c r="AB38" i="41"/>
  <c r="AB37" i="41"/>
  <c r="T56" i="41"/>
  <c r="S56" i="41"/>
  <c r="T55" i="41"/>
  <c r="S55" i="41"/>
  <c r="T52" i="41"/>
  <c r="S52" i="41"/>
  <c r="T51" i="41"/>
  <c r="S51" i="41"/>
  <c r="T48" i="41"/>
  <c r="S48" i="41"/>
  <c r="T47" i="41"/>
  <c r="S47" i="41"/>
  <c r="T46" i="41"/>
  <c r="S46" i="41"/>
  <c r="S37" i="41"/>
  <c r="T37" i="41"/>
  <c r="S38" i="41"/>
  <c r="T38" i="41"/>
  <c r="K87" i="36"/>
  <c r="K86" i="36"/>
  <c r="K85" i="36"/>
  <c r="K84" i="36"/>
  <c r="K83" i="36"/>
  <c r="K82" i="36"/>
  <c r="K81" i="36"/>
  <c r="D87" i="36"/>
  <c r="D86" i="36"/>
  <c r="G87" i="36"/>
  <c r="I87" i="36" s="1"/>
  <c r="G81" i="36"/>
  <c r="AB62" i="32"/>
  <c r="AC62" i="32"/>
  <c r="AB60" i="32"/>
  <c r="AC60" i="32"/>
  <c r="AD59" i="32"/>
  <c r="AC59" i="32"/>
  <c r="AB59" i="32"/>
  <c r="AD58" i="32"/>
  <c r="AC58" i="32"/>
  <c r="AB58" i="32"/>
  <c r="AD57" i="32"/>
  <c r="AC57" i="32"/>
  <c r="AB57" i="32"/>
  <c r="AD56" i="32"/>
  <c r="AC56" i="32"/>
  <c r="AB56" i="32"/>
  <c r="AD55" i="32"/>
  <c r="AC55" i="32"/>
  <c r="AB55" i="32"/>
  <c r="AD54" i="32"/>
  <c r="AC54" i="32"/>
  <c r="AB54" i="32"/>
  <c r="AD49" i="32"/>
  <c r="AD50" i="32"/>
  <c r="AD51" i="32"/>
  <c r="AD52" i="32"/>
  <c r="AC52" i="32"/>
  <c r="AB52" i="32"/>
  <c r="AC51" i="32"/>
  <c r="AB51" i="32"/>
  <c r="AC50" i="32"/>
  <c r="AB50" i="32"/>
  <c r="AC49" i="32"/>
  <c r="AB49" i="32"/>
  <c r="AB44" i="32"/>
  <c r="AC44" i="32"/>
  <c r="AB45" i="32"/>
  <c r="AC45" i="32"/>
  <c r="AC43" i="32"/>
  <c r="AB43" i="32"/>
  <c r="AD44" i="32"/>
  <c r="AD45" i="32"/>
  <c r="T62" i="32"/>
  <c r="S62" i="32"/>
  <c r="R62" i="32"/>
  <c r="S42" i="32"/>
  <c r="T42" i="32"/>
  <c r="S43" i="32"/>
  <c r="T43" i="32"/>
  <c r="S44" i="32"/>
  <c r="T44" i="32"/>
  <c r="S45" i="32"/>
  <c r="T45" i="32"/>
  <c r="S49" i="32"/>
  <c r="T49" i="32"/>
  <c r="S50" i="32"/>
  <c r="T50" i="32"/>
  <c r="S51" i="32"/>
  <c r="T51" i="32"/>
  <c r="S52" i="32"/>
  <c r="T52" i="32"/>
  <c r="S54" i="32"/>
  <c r="T54" i="32"/>
  <c r="S55" i="32"/>
  <c r="T55" i="32"/>
  <c r="S56" i="32"/>
  <c r="T56" i="32"/>
  <c r="S57" i="32"/>
  <c r="T57" i="32"/>
  <c r="S58" i="32"/>
  <c r="T58" i="32"/>
  <c r="S59" i="32"/>
  <c r="T59" i="32"/>
  <c r="S60" i="32"/>
  <c r="T60" i="32"/>
  <c r="R42" i="32"/>
  <c r="R43" i="32"/>
  <c r="R44" i="32"/>
  <c r="R45" i="32"/>
  <c r="R49" i="32"/>
  <c r="R50" i="32"/>
  <c r="R51" i="32"/>
  <c r="R52" i="32"/>
  <c r="R54" i="32"/>
  <c r="R55" i="32"/>
  <c r="R56" i="32"/>
  <c r="R57" i="32"/>
  <c r="R58" i="32"/>
  <c r="R59" i="32"/>
  <c r="R60" i="32"/>
  <c r="F81" i="27"/>
  <c r="F80" i="27"/>
  <c r="K99" i="27"/>
  <c r="L99" i="27" s="1"/>
  <c r="K98" i="27"/>
  <c r="L98" i="27" s="1"/>
  <c r="K97" i="27"/>
  <c r="L97" i="27" s="1"/>
  <c r="K93" i="27"/>
  <c r="L93" i="27" s="1"/>
  <c r="K92" i="27"/>
  <c r="L92" i="27" s="1"/>
  <c r="K91" i="27"/>
  <c r="L91" i="27" s="1"/>
  <c r="K90" i="27"/>
  <c r="K89" i="27"/>
  <c r="K88" i="27"/>
  <c r="L88" i="27" s="1"/>
  <c r="K87" i="27"/>
  <c r="L87" i="27" s="1"/>
  <c r="D99" i="27"/>
  <c r="D98" i="27"/>
  <c r="D97" i="27"/>
  <c r="D93" i="27"/>
  <c r="D92" i="27"/>
  <c r="D91" i="27"/>
  <c r="D90" i="27"/>
  <c r="D89" i="27"/>
  <c r="D88" i="27"/>
  <c r="D87" i="27"/>
  <c r="G89" i="27"/>
  <c r="I89" i="27" s="1"/>
  <c r="F89" i="27"/>
  <c r="L42" i="27"/>
  <c r="G99" i="27"/>
  <c r="I99" i="27" s="1"/>
  <c r="G98" i="27"/>
  <c r="I98" i="27" s="1"/>
  <c r="G97" i="27"/>
  <c r="I97" i="27" s="1"/>
  <c r="G93" i="27"/>
  <c r="I93" i="27" s="1"/>
  <c r="G92" i="27"/>
  <c r="I92" i="27" s="1"/>
  <c r="G90" i="27"/>
  <c r="I90" i="27" s="1"/>
  <c r="G88" i="27"/>
  <c r="I88" i="27" s="1"/>
  <c r="G87" i="27"/>
  <c r="I87" i="27" s="1"/>
  <c r="F97" i="27"/>
  <c r="F98" i="27"/>
  <c r="F99" i="27"/>
  <c r="F90" i="27"/>
  <c r="F91" i="27"/>
  <c r="F92" i="27"/>
  <c r="F93" i="27"/>
  <c r="F87" i="27"/>
  <c r="F88" i="27"/>
  <c r="I158" i="77"/>
  <c r="Q158" i="77" s="1"/>
  <c r="I136" i="77"/>
  <c r="Q136" i="77" s="1"/>
  <c r="U136" i="77" s="1"/>
  <c r="I120" i="77"/>
  <c r="Q120" i="77" s="1"/>
  <c r="U120" i="77" s="1"/>
  <c r="I104" i="77"/>
  <c r="Q104" i="77" s="1"/>
  <c r="U104" i="77" s="1"/>
  <c r="I88" i="77"/>
  <c r="Q88" i="77" s="1"/>
  <c r="U88" i="77" s="1"/>
  <c r="I72" i="77"/>
  <c r="Q72" i="77" s="1"/>
  <c r="U72" i="77" s="1"/>
  <c r="I50" i="77"/>
  <c r="Q50" i="77" s="1"/>
  <c r="U50" i="77" s="1"/>
  <c r="F168" i="39"/>
  <c r="G168" i="39"/>
  <c r="H168" i="39"/>
  <c r="F169" i="39"/>
  <c r="G169" i="39"/>
  <c r="H169" i="39"/>
  <c r="F170" i="39"/>
  <c r="G170" i="39"/>
  <c r="H170" i="39"/>
  <c r="E168" i="39"/>
  <c r="E169" i="39"/>
  <c r="E170" i="39"/>
  <c r="AA43" i="27"/>
  <c r="AA38" i="27"/>
  <c r="Z76" i="27"/>
  <c r="AA76" i="27"/>
  <c r="Z80" i="27"/>
  <c r="AA80" i="27"/>
  <c r="Z81" i="27"/>
  <c r="AA81" i="27"/>
  <c r="Z82" i="27"/>
  <c r="AA82" i="27"/>
  <c r="Z27" i="27"/>
  <c r="AA27" i="27"/>
  <c r="Z28" i="27"/>
  <c r="AA28" i="27"/>
  <c r="Z83" i="27"/>
  <c r="AA83" i="27"/>
  <c r="Z84" i="27"/>
  <c r="AA84" i="27"/>
  <c r="Z79" i="27"/>
  <c r="AA79" i="27"/>
  <c r="Z38" i="27"/>
  <c r="Z85" i="27"/>
  <c r="AA85" i="27"/>
  <c r="Z86" i="27"/>
  <c r="AA86" i="27"/>
  <c r="Z41" i="27"/>
  <c r="AA41" i="27"/>
  <c r="AA42" i="27"/>
  <c r="Z44" i="27"/>
  <c r="AA44" i="27"/>
  <c r="Z31" i="27"/>
  <c r="AA31" i="27"/>
  <c r="Z32" i="27"/>
  <c r="AA32" i="27"/>
  <c r="Z45" i="27"/>
  <c r="AA45" i="27"/>
  <c r="Z46" i="27"/>
  <c r="AA46" i="27"/>
  <c r="Z95" i="27"/>
  <c r="AA95" i="27"/>
  <c r="Z96" i="27"/>
  <c r="AA96" i="27"/>
  <c r="Z94" i="27"/>
  <c r="AA94" i="27"/>
  <c r="U158" i="77" l="1"/>
  <c r="Q187" i="77"/>
  <c r="E29" i="36"/>
  <c r="R175" i="3"/>
  <c r="S175" i="3" s="1"/>
  <c r="T175" i="3" s="1"/>
  <c r="F187" i="39"/>
  <c r="G187" i="39"/>
  <c r="H187" i="39"/>
  <c r="E187" i="39"/>
  <c r="F160" i="39"/>
  <c r="G160" i="39"/>
  <c r="G167" i="39" s="1"/>
  <c r="H160" i="39"/>
  <c r="H167" i="39" s="1"/>
  <c r="E160" i="39"/>
  <c r="E167" i="39" s="1"/>
  <c r="AB41" i="32"/>
  <c r="AC41" i="32"/>
  <c r="AD41" i="32"/>
  <c r="AA41" i="32"/>
  <c r="S41" i="32" s="1"/>
  <c r="AB40" i="32"/>
  <c r="AC40" i="32"/>
  <c r="AA40" i="32"/>
  <c r="S40" i="32" s="1"/>
  <c r="AC43" i="41"/>
  <c r="AD43" i="41"/>
  <c r="AB43" i="41"/>
  <c r="C92" i="41"/>
  <c r="C66" i="41"/>
  <c r="C42" i="41"/>
  <c r="AC41" i="4"/>
  <c r="AD41" i="4"/>
  <c r="AB41" i="4"/>
  <c r="T41" i="4"/>
  <c r="S41" i="4"/>
  <c r="AC40" i="4"/>
  <c r="AD40" i="4"/>
  <c r="AB40" i="4"/>
  <c r="T40" i="4"/>
  <c r="S40" i="4"/>
  <c r="AC39" i="4"/>
  <c r="AD39" i="4"/>
  <c r="AB39" i="4"/>
  <c r="R39" i="4"/>
  <c r="S39" i="4"/>
  <c r="T39" i="4"/>
  <c r="F153" i="3"/>
  <c r="G153" i="3"/>
  <c r="H153" i="3"/>
  <c r="I153" i="3"/>
  <c r="J153" i="3"/>
  <c r="K153" i="3"/>
  <c r="L153" i="3"/>
  <c r="M153" i="3"/>
  <c r="N153" i="3"/>
  <c r="O153" i="3"/>
  <c r="P153" i="3"/>
  <c r="Q153" i="3"/>
  <c r="V153" i="3"/>
  <c r="W153" i="3"/>
  <c r="E153" i="3"/>
  <c r="W156" i="3"/>
  <c r="V156" i="3"/>
  <c r="F156" i="3"/>
  <c r="G156" i="3"/>
  <c r="H156" i="3"/>
  <c r="I156" i="3"/>
  <c r="J156" i="3"/>
  <c r="K156" i="3"/>
  <c r="L156" i="3"/>
  <c r="M156" i="3"/>
  <c r="N156" i="3"/>
  <c r="O156" i="3"/>
  <c r="E156" i="3"/>
  <c r="F139" i="29"/>
  <c r="G139" i="29"/>
  <c r="H139" i="29"/>
  <c r="I139" i="29"/>
  <c r="J139" i="29"/>
  <c r="K139" i="29"/>
  <c r="L139" i="29"/>
  <c r="M139" i="29"/>
  <c r="N139" i="29"/>
  <c r="O139" i="29"/>
  <c r="P139" i="29"/>
  <c r="Q139" i="29"/>
  <c r="R139" i="29" s="1"/>
  <c r="S139" i="29" s="1"/>
  <c r="T139" i="29" s="1"/>
  <c r="E139" i="29"/>
  <c r="U156" i="29"/>
  <c r="I5" i="77"/>
  <c r="Q5" i="77" s="1"/>
  <c r="U5" i="77" s="1"/>
  <c r="A2" i="77"/>
  <c r="AR5" i="52"/>
  <c r="AV5" i="52" s="1"/>
  <c r="AD48" i="32"/>
  <c r="AD46" i="32"/>
  <c r="AC46" i="32"/>
  <c r="AB46" i="32"/>
  <c r="AC48" i="32"/>
  <c r="AB48" i="32"/>
  <c r="T10" i="27"/>
  <c r="R69" i="3"/>
  <c r="R25" i="16" s="1"/>
  <c r="S69" i="3"/>
  <c r="S25" i="16" s="1"/>
  <c r="T69" i="3"/>
  <c r="T25" i="16" s="1"/>
  <c r="W25" i="16"/>
  <c r="V25" i="16"/>
  <c r="W24" i="16"/>
  <c r="W233" i="16" s="1"/>
  <c r="V24" i="16"/>
  <c r="V233" i="16" s="1"/>
  <c r="F24" i="16"/>
  <c r="F233" i="16" s="1"/>
  <c r="G24" i="16"/>
  <c r="G233" i="16" s="1"/>
  <c r="H24" i="16"/>
  <c r="H233" i="16" s="1"/>
  <c r="I24" i="16"/>
  <c r="I233" i="16" s="1"/>
  <c r="J24" i="16"/>
  <c r="J233" i="16" s="1"/>
  <c r="K24" i="16"/>
  <c r="K233" i="16" s="1"/>
  <c r="L24" i="16"/>
  <c r="L233" i="16" s="1"/>
  <c r="M24" i="16"/>
  <c r="M233" i="16" s="1"/>
  <c r="N24" i="16"/>
  <c r="N233" i="16" s="1"/>
  <c r="O24" i="16"/>
  <c r="O233" i="16" s="1"/>
  <c r="P24" i="16"/>
  <c r="P233" i="16" s="1"/>
  <c r="Q24" i="16"/>
  <c r="Q233" i="16" s="1"/>
  <c r="E24" i="16"/>
  <c r="E233" i="16" s="1"/>
  <c r="F25" i="16"/>
  <c r="G25" i="16"/>
  <c r="H25" i="16"/>
  <c r="I25" i="16"/>
  <c r="J25" i="16"/>
  <c r="K25" i="16"/>
  <c r="L25" i="16"/>
  <c r="M25" i="16"/>
  <c r="N25" i="16"/>
  <c r="O25" i="16"/>
  <c r="P25" i="16"/>
  <c r="Q25" i="16"/>
  <c r="E25" i="16"/>
  <c r="L141" i="27"/>
  <c r="Q169" i="3"/>
  <c r="Q185" i="3"/>
  <c r="F167" i="39" l="1"/>
  <c r="R173" i="39"/>
  <c r="Q213" i="3"/>
  <c r="Q227" i="3" s="1"/>
  <c r="I213" i="3"/>
  <c r="I227" i="3" s="1"/>
  <c r="J213" i="3"/>
  <c r="J227" i="3" s="1"/>
  <c r="O213" i="3"/>
  <c r="O227" i="3" s="1"/>
  <c r="G213" i="3"/>
  <c r="G227" i="3" s="1"/>
  <c r="M213" i="3"/>
  <c r="M227" i="3" s="1"/>
  <c r="L213" i="3"/>
  <c r="L227" i="3" s="1"/>
  <c r="N213" i="3"/>
  <c r="N227" i="3" s="1"/>
  <c r="F213" i="3"/>
  <c r="W213" i="3"/>
  <c r="K213" i="3"/>
  <c r="K227" i="3" s="1"/>
  <c r="P213" i="3"/>
  <c r="P227" i="3" s="1"/>
  <c r="H213" i="3"/>
  <c r="I198" i="29"/>
  <c r="I221" i="29"/>
  <c r="P221" i="29"/>
  <c r="P198" i="29"/>
  <c r="H221" i="29"/>
  <c r="H198" i="29"/>
  <c r="L198" i="29"/>
  <c r="L221" i="29"/>
  <c r="K198" i="29"/>
  <c r="K221" i="29"/>
  <c r="J198" i="29"/>
  <c r="J221" i="29"/>
  <c r="Q198" i="29"/>
  <c r="Q221" i="29"/>
  <c r="O221" i="29"/>
  <c r="O198" i="29"/>
  <c r="G221" i="29"/>
  <c r="G198" i="29"/>
  <c r="N221" i="29"/>
  <c r="N198" i="29"/>
  <c r="F198" i="29"/>
  <c r="F221" i="29"/>
  <c r="M198" i="29"/>
  <c r="M221" i="29"/>
  <c r="R41" i="32"/>
  <c r="T41" i="32"/>
  <c r="R40" i="32"/>
  <c r="T40" i="32"/>
  <c r="T213" i="3" l="1"/>
  <c r="T227" i="3" s="1"/>
  <c r="H227" i="3"/>
  <c r="S213" i="3"/>
  <c r="R213" i="3"/>
  <c r="F227" i="3"/>
  <c r="D23" i="32"/>
  <c r="Z42" i="27" s="1"/>
  <c r="Z221" i="38"/>
  <c r="Y221" i="38"/>
  <c r="W221" i="38"/>
  <c r="V221" i="38"/>
  <c r="Q225" i="38"/>
  <c r="Q227" i="38"/>
  <c r="Q226" i="38"/>
  <c r="Q224" i="38"/>
  <c r="Q222" i="38"/>
  <c r="Q223" i="29"/>
  <c r="Q220" i="29"/>
  <c r="Q219" i="29"/>
  <c r="Q218" i="29"/>
  <c r="Q217" i="29"/>
  <c r="Q224" i="29"/>
  <c r="C257" i="16"/>
  <c r="C49" i="30"/>
  <c r="C275" i="30"/>
  <c r="C274" i="30"/>
  <c r="V19" i="14"/>
  <c r="U25" i="14"/>
  <c r="K25" i="14" s="1"/>
  <c r="O26" i="14"/>
  <c r="P26" i="14"/>
  <c r="Q26" i="14"/>
  <c r="R26" i="14"/>
  <c r="S26" i="14"/>
  <c r="T26" i="14"/>
  <c r="U26" i="14"/>
  <c r="E31" i="13" s="1"/>
  <c r="O29" i="14"/>
  <c r="P29" i="14"/>
  <c r="Q29" i="14"/>
  <c r="R29" i="14"/>
  <c r="S29" i="14"/>
  <c r="T29" i="14"/>
  <c r="U29" i="14"/>
  <c r="K29" i="14" s="1"/>
  <c r="O30" i="14"/>
  <c r="P30" i="14"/>
  <c r="Q30" i="14"/>
  <c r="R30" i="14"/>
  <c r="S30" i="14"/>
  <c r="T30" i="14"/>
  <c r="U30" i="14"/>
  <c r="O31" i="14"/>
  <c r="P31" i="14"/>
  <c r="Q31" i="14"/>
  <c r="R31" i="14"/>
  <c r="S31" i="14"/>
  <c r="T31" i="14"/>
  <c r="U31" i="14"/>
  <c r="K31" i="14" s="1"/>
  <c r="N31" i="14"/>
  <c r="N30" i="14"/>
  <c r="N29" i="14"/>
  <c r="N26" i="14"/>
  <c r="V18" i="28"/>
  <c r="V19" i="28"/>
  <c r="O26" i="28"/>
  <c r="P26" i="28"/>
  <c r="Q26" i="28"/>
  <c r="R26" i="28"/>
  <c r="S26" i="28"/>
  <c r="T26" i="28"/>
  <c r="U26" i="28"/>
  <c r="K26" i="28" s="1"/>
  <c r="O29" i="28"/>
  <c r="P29" i="28"/>
  <c r="Q29" i="28"/>
  <c r="R29" i="28"/>
  <c r="S29" i="28"/>
  <c r="T29" i="28"/>
  <c r="U29" i="28"/>
  <c r="K29" i="28" s="1"/>
  <c r="O30" i="28"/>
  <c r="P30" i="28"/>
  <c r="Q30" i="28"/>
  <c r="R30" i="28"/>
  <c r="S30" i="28"/>
  <c r="T30" i="28"/>
  <c r="U30" i="28"/>
  <c r="O31" i="28"/>
  <c r="P31" i="28"/>
  <c r="Q31" i="28"/>
  <c r="R31" i="28"/>
  <c r="S31" i="28"/>
  <c r="T31" i="28"/>
  <c r="U31" i="28"/>
  <c r="K31" i="28" s="1"/>
  <c r="N31" i="28"/>
  <c r="N30" i="28"/>
  <c r="N29" i="28"/>
  <c r="N26" i="28"/>
  <c r="Q174" i="30"/>
  <c r="Q175" i="30"/>
  <c r="Q176" i="30"/>
  <c r="Q177" i="30"/>
  <c r="Q141" i="30"/>
  <c r="Q142" i="30"/>
  <c r="Q143" i="30"/>
  <c r="Q144" i="30"/>
  <c r="Q160" i="30"/>
  <c r="Q161" i="30"/>
  <c r="Q162" i="30"/>
  <c r="Q163" i="30"/>
  <c r="Q134" i="30"/>
  <c r="Q135" i="30"/>
  <c r="Q136" i="30"/>
  <c r="Q133" i="30"/>
  <c r="Q285" i="30"/>
  <c r="Q190" i="30"/>
  <c r="Q185" i="30"/>
  <c r="Q187" i="30" s="1"/>
  <c r="Q201" i="30" s="1"/>
  <c r="Q226" i="30"/>
  <c r="Q244" i="30"/>
  <c r="Q245" i="30"/>
  <c r="Q246" i="30"/>
  <c r="Q247" i="30"/>
  <c r="Q248" i="30"/>
  <c r="Q249" i="30"/>
  <c r="Q250" i="30"/>
  <c r="Q251" i="30"/>
  <c r="R35" i="32"/>
  <c r="S35" i="32" s="1"/>
  <c r="Q76" i="30"/>
  <c r="Q77" i="30"/>
  <c r="Q78" i="30"/>
  <c r="Q81" i="30"/>
  <c r="Q82" i="30"/>
  <c r="Q10" i="30"/>
  <c r="Q11" i="30"/>
  <c r="Q12" i="30"/>
  <c r="Q15" i="30"/>
  <c r="Q211" i="30" s="1"/>
  <c r="Q220" i="30" s="1"/>
  <c r="Q16" i="30"/>
  <c r="Q279" i="30" s="1"/>
  <c r="Q282" i="30" s="1"/>
  <c r="Q17" i="30"/>
  <c r="Q18" i="30"/>
  <c r="Q19" i="30"/>
  <c r="Q20" i="30"/>
  <c r="Q23" i="30"/>
  <c r="Q24" i="30"/>
  <c r="Q27" i="30"/>
  <c r="Q30" i="30"/>
  <c r="Q31" i="30"/>
  <c r="Q51" i="29"/>
  <c r="Q188" i="29"/>
  <c r="Q197" i="29"/>
  <c r="Q202" i="29"/>
  <c r="Q203" i="29"/>
  <c r="Q245" i="29"/>
  <c r="Q244" i="29"/>
  <c r="U19" i="28" s="1"/>
  <c r="Q243" i="29"/>
  <c r="Q242" i="29"/>
  <c r="Q241" i="29"/>
  <c r="U18" i="28" s="1"/>
  <c r="Q240" i="29"/>
  <c r="Q239" i="29"/>
  <c r="Q236" i="29"/>
  <c r="Q235" i="29"/>
  <c r="Q234" i="29"/>
  <c r="Q233" i="29"/>
  <c r="Q232" i="29"/>
  <c r="Q231" i="29"/>
  <c r="Q230" i="29"/>
  <c r="Q229" i="29"/>
  <c r="Q228" i="29"/>
  <c r="Q226" i="29"/>
  <c r="Q110" i="29"/>
  <c r="Q183" i="29" s="1"/>
  <c r="R181" i="29" s="1"/>
  <c r="R126" i="32" s="1"/>
  <c r="AR216" i="29"/>
  <c r="AR227" i="29"/>
  <c r="AR237" i="29" s="1"/>
  <c r="AR246" i="29"/>
  <c r="Q132" i="29"/>
  <c r="Q129" i="29"/>
  <c r="Q135" i="29"/>
  <c r="Q176" i="29"/>
  <c r="Q163" i="29"/>
  <c r="Q127" i="29"/>
  <c r="Q13" i="29"/>
  <c r="Q225" i="3"/>
  <c r="Q212" i="3"/>
  <c r="Q226" i="3" s="1"/>
  <c r="Q204" i="3"/>
  <c r="Q248" i="3"/>
  <c r="Q247" i="3"/>
  <c r="Q246" i="3"/>
  <c r="Q244" i="3"/>
  <c r="U20" i="14" s="1"/>
  <c r="Q243" i="3"/>
  <c r="Q240" i="3"/>
  <c r="Q239" i="3"/>
  <c r="Q238" i="3"/>
  <c r="Q237" i="3"/>
  <c r="Q236" i="3"/>
  <c r="Q235" i="3"/>
  <c r="Q233" i="3"/>
  <c r="Q231" i="3"/>
  <c r="AR234" i="3"/>
  <c r="AR241" i="3" s="1"/>
  <c r="AR245" i="3"/>
  <c r="AR249" i="3" s="1"/>
  <c r="Q160" i="3"/>
  <c r="Q156" i="3" s="1"/>
  <c r="Q198" i="3"/>
  <c r="Q196" i="3"/>
  <c r="Q194" i="3" s="1"/>
  <c r="W196" i="3"/>
  <c r="W194" i="3" s="1"/>
  <c r="V196" i="3"/>
  <c r="V194" i="3" s="1"/>
  <c r="F196" i="3"/>
  <c r="F194" i="3" s="1"/>
  <c r="G196" i="3"/>
  <c r="G194" i="3" s="1"/>
  <c r="H196" i="3"/>
  <c r="H194" i="3" s="1"/>
  <c r="I196" i="3"/>
  <c r="I194" i="3" s="1"/>
  <c r="J196" i="3"/>
  <c r="J194" i="3" s="1"/>
  <c r="K196" i="3"/>
  <c r="K194" i="3" s="1"/>
  <c r="L196" i="3"/>
  <c r="L194" i="3" s="1"/>
  <c r="M196" i="3"/>
  <c r="M194" i="3" s="1"/>
  <c r="N196" i="3"/>
  <c r="N194" i="3" s="1"/>
  <c r="O196" i="3"/>
  <c r="O194" i="3" s="1"/>
  <c r="P196" i="3"/>
  <c r="P194" i="3" s="1"/>
  <c r="E196" i="3"/>
  <c r="E194" i="3" s="1"/>
  <c r="Q117" i="3"/>
  <c r="Q124" i="3" s="1"/>
  <c r="Q129" i="3"/>
  <c r="Q144" i="3"/>
  <c r="U23" i="14" s="1"/>
  <c r="Q147" i="3"/>
  <c r="Q150" i="3"/>
  <c r="R150" i="3" s="1"/>
  <c r="S150" i="3" s="1"/>
  <c r="T150" i="3" s="1"/>
  <c r="Q79" i="3"/>
  <c r="Q85" i="3"/>
  <c r="Q86" i="3"/>
  <c r="Q90" i="3"/>
  <c r="Q91" i="3"/>
  <c r="Q92" i="3"/>
  <c r="Q81" i="3" s="1"/>
  <c r="Q93" i="3"/>
  <c r="Q80" i="3" s="1"/>
  <c r="Q94" i="3"/>
  <c r="Q82" i="3" s="1"/>
  <c r="Q98" i="3"/>
  <c r="Q99" i="3"/>
  <c r="Q100" i="3"/>
  <c r="Q104" i="3"/>
  <c r="Q105" i="3"/>
  <c r="Q109" i="3"/>
  <c r="Q234" i="16"/>
  <c r="Q10" i="16"/>
  <c r="Q11" i="16"/>
  <c r="Q12" i="16"/>
  <c r="Q15" i="16"/>
  <c r="Q196" i="16" s="1"/>
  <c r="Q205" i="16" s="1"/>
  <c r="Q16" i="16"/>
  <c r="Q227" i="16" s="1"/>
  <c r="Q17" i="16"/>
  <c r="Q228" i="16" s="1"/>
  <c r="Q18" i="16"/>
  <c r="Q229" i="16" s="1"/>
  <c r="Q19" i="16"/>
  <c r="Q230" i="16" s="1"/>
  <c r="Q20" i="16"/>
  <c r="Q231" i="16" s="1"/>
  <c r="Q21" i="16"/>
  <c r="Q232" i="16" s="1"/>
  <c r="Q26" i="16"/>
  <c r="Q274" i="16" s="1"/>
  <c r="Q30" i="16"/>
  <c r="Q34" i="16"/>
  <c r="Q35" i="16"/>
  <c r="Q268" i="16"/>
  <c r="Q180" i="16"/>
  <c r="Q177" i="16"/>
  <c r="Q141" i="16"/>
  <c r="Q144" i="16"/>
  <c r="Q142" i="16"/>
  <c r="Q124" i="16"/>
  <c r="Q126" i="16"/>
  <c r="Q127" i="16"/>
  <c r="Q125" i="16"/>
  <c r="Q119" i="16"/>
  <c r="Q120" i="16"/>
  <c r="Q118" i="16"/>
  <c r="Q117" i="16"/>
  <c r="Q82" i="16"/>
  <c r="Q13" i="3"/>
  <c r="A2" i="4"/>
  <c r="V5" i="4"/>
  <c r="F6" i="4"/>
  <c r="G6" i="4" s="1"/>
  <c r="H6" i="4" s="1"/>
  <c r="W6" i="4"/>
  <c r="W5" i="4" s="1"/>
  <c r="D18" i="4"/>
  <c r="G86" i="13" s="1"/>
  <c r="I86" i="13" s="1"/>
  <c r="D24" i="4"/>
  <c r="G92" i="13" s="1"/>
  <c r="I92" i="13" s="1"/>
  <c r="D31" i="4"/>
  <c r="G96" i="13" s="1"/>
  <c r="I96" i="13" s="1"/>
  <c r="P33" i="4"/>
  <c r="P35" i="4" s="1"/>
  <c r="T222" i="3"/>
  <c r="C39" i="4"/>
  <c r="C40" i="4"/>
  <c r="C41" i="4"/>
  <c r="C42" i="4"/>
  <c r="C43" i="4"/>
  <c r="C44" i="4"/>
  <c r="C45" i="4"/>
  <c r="C46" i="4"/>
  <c r="C47" i="4"/>
  <c r="C48" i="4"/>
  <c r="C49" i="4"/>
  <c r="C50" i="4"/>
  <c r="C51" i="4"/>
  <c r="C52" i="4"/>
  <c r="C53" i="4"/>
  <c r="C54" i="4"/>
  <c r="C55" i="4"/>
  <c r="C56" i="4"/>
  <c r="C57" i="4"/>
  <c r="C58" i="4"/>
  <c r="C59" i="4"/>
  <c r="C60" i="4"/>
  <c r="C65" i="4"/>
  <c r="C66" i="4"/>
  <c r="C67" i="4"/>
  <c r="C68" i="4"/>
  <c r="C69" i="4"/>
  <c r="C70" i="4"/>
  <c r="C71" i="4"/>
  <c r="C72" i="4"/>
  <c r="C73" i="4"/>
  <c r="C74" i="4"/>
  <c r="C75" i="4"/>
  <c r="C76" i="4"/>
  <c r="C77" i="4"/>
  <c r="C78" i="4"/>
  <c r="C79" i="4"/>
  <c r="C80" i="4"/>
  <c r="C81" i="4"/>
  <c r="C82" i="4"/>
  <c r="C83" i="4"/>
  <c r="C84" i="4"/>
  <c r="C85" i="4"/>
  <c r="C86" i="4"/>
  <c r="C87" i="4"/>
  <c r="C88" i="4"/>
  <c r="C93" i="4"/>
  <c r="C94" i="4"/>
  <c r="C95" i="4"/>
  <c r="C96" i="4"/>
  <c r="C97" i="4"/>
  <c r="C98" i="4"/>
  <c r="C99" i="4"/>
  <c r="C100" i="4"/>
  <c r="C101" i="4"/>
  <c r="C102" i="4"/>
  <c r="C103" i="4"/>
  <c r="C104" i="4"/>
  <c r="C105" i="4"/>
  <c r="C106" i="4"/>
  <c r="C107" i="4"/>
  <c r="C108" i="4"/>
  <c r="C109" i="4"/>
  <c r="C110" i="4"/>
  <c r="C111" i="4"/>
  <c r="C112" i="4"/>
  <c r="C113" i="4"/>
  <c r="C114" i="4"/>
  <c r="C115" i="4"/>
  <c r="C116" i="4"/>
  <c r="R123" i="4"/>
  <c r="S123" i="4"/>
  <c r="T123" i="4"/>
  <c r="AB123" i="4"/>
  <c r="AC123" i="4"/>
  <c r="AD123" i="4"/>
  <c r="D128" i="4"/>
  <c r="AF130" i="4"/>
  <c r="V140" i="4"/>
  <c r="W140" i="4"/>
  <c r="C141" i="4"/>
  <c r="E141" i="4"/>
  <c r="F141" i="4"/>
  <c r="G141" i="4"/>
  <c r="H141" i="4"/>
  <c r="I141" i="4"/>
  <c r="J141" i="4"/>
  <c r="K141" i="4"/>
  <c r="L141" i="4"/>
  <c r="M141" i="4"/>
  <c r="N141" i="4"/>
  <c r="O141" i="4"/>
  <c r="P141" i="4"/>
  <c r="W141" i="4"/>
  <c r="A2" i="16"/>
  <c r="E5" i="16"/>
  <c r="V5" i="16"/>
  <c r="F6" i="16"/>
  <c r="W6" i="16"/>
  <c r="W5" i="16" s="1"/>
  <c r="AG6" i="16"/>
  <c r="AH6" i="16" s="1"/>
  <c r="AI6" i="16" s="1"/>
  <c r="AJ6" i="16" s="1"/>
  <c r="AK6" i="16" s="1"/>
  <c r="AL6" i="16" s="1"/>
  <c r="AM6" i="16" s="1"/>
  <c r="AN6" i="16" s="1"/>
  <c r="AO6" i="16" s="1"/>
  <c r="AP6" i="16" s="1"/>
  <c r="AQ6" i="16" s="1"/>
  <c r="E10" i="16"/>
  <c r="E13" i="52" s="1"/>
  <c r="F10" i="16"/>
  <c r="F13" i="52" s="1"/>
  <c r="G10" i="16"/>
  <c r="G13" i="52" s="1"/>
  <c r="H10" i="16"/>
  <c r="H13" i="52" s="1"/>
  <c r="I10" i="16"/>
  <c r="I13" i="52" s="1"/>
  <c r="J10" i="16"/>
  <c r="J13" i="52" s="1"/>
  <c r="K10" i="16"/>
  <c r="K13" i="52" s="1"/>
  <c r="L10" i="16"/>
  <c r="L13" i="52" s="1"/>
  <c r="M10" i="16"/>
  <c r="M13" i="52" s="1"/>
  <c r="N10" i="16"/>
  <c r="N13" i="52" s="1"/>
  <c r="O10" i="16"/>
  <c r="O13" i="52" s="1"/>
  <c r="P10" i="16"/>
  <c r="P13" i="52" s="1"/>
  <c r="V10" i="16"/>
  <c r="V13" i="52" s="1"/>
  <c r="W10" i="16"/>
  <c r="W13" i="52" s="1"/>
  <c r="E11" i="16"/>
  <c r="E18" i="52" s="1"/>
  <c r="F11" i="16"/>
  <c r="F172" i="16" s="1"/>
  <c r="F174" i="16" s="1"/>
  <c r="F187" i="16" s="1"/>
  <c r="G11" i="16"/>
  <c r="G18" i="52" s="1"/>
  <c r="H11" i="16"/>
  <c r="I11" i="16"/>
  <c r="I172" i="16" s="1"/>
  <c r="I174" i="16" s="1"/>
  <c r="I187" i="16" s="1"/>
  <c r="J11" i="16"/>
  <c r="J18" i="52" s="1"/>
  <c r="K11" i="16"/>
  <c r="K18" i="52" s="1"/>
  <c r="L11" i="16"/>
  <c r="L172" i="16" s="1"/>
  <c r="L174" i="16" s="1"/>
  <c r="L187" i="16" s="1"/>
  <c r="M11" i="16"/>
  <c r="M18" i="52" s="1"/>
  <c r="N11" i="16"/>
  <c r="N172" i="16" s="1"/>
  <c r="N174" i="16" s="1"/>
  <c r="N187" i="16" s="1"/>
  <c r="O11" i="16"/>
  <c r="O18" i="52" s="1"/>
  <c r="P11" i="16"/>
  <c r="P172" i="16" s="1"/>
  <c r="P174" i="16" s="1"/>
  <c r="P187" i="16" s="1"/>
  <c r="V11" i="16"/>
  <c r="V172" i="16" s="1"/>
  <c r="V174" i="16" s="1"/>
  <c r="V187" i="16" s="1"/>
  <c r="W11" i="16"/>
  <c r="W172" i="16" s="1"/>
  <c r="W174" i="16" s="1"/>
  <c r="W187" i="16" s="1"/>
  <c r="E12" i="16"/>
  <c r="E23" i="52" s="1"/>
  <c r="F12" i="16"/>
  <c r="F23" i="52" s="1"/>
  <c r="G12" i="16"/>
  <c r="G23" i="52" s="1"/>
  <c r="H12" i="16"/>
  <c r="H23" i="52" s="1"/>
  <c r="I12" i="16"/>
  <c r="I23" i="52" s="1"/>
  <c r="J12" i="16"/>
  <c r="J23" i="52" s="1"/>
  <c r="K12" i="16"/>
  <c r="K23" i="52" s="1"/>
  <c r="L12" i="16"/>
  <c r="L23" i="52" s="1"/>
  <c r="M12" i="16"/>
  <c r="M23" i="52" s="1"/>
  <c r="N12" i="16"/>
  <c r="N23" i="52" s="1"/>
  <c r="O12" i="16"/>
  <c r="O23" i="52" s="1"/>
  <c r="P12" i="16"/>
  <c r="P23" i="52" s="1"/>
  <c r="V12" i="16"/>
  <c r="V23" i="52" s="1"/>
  <c r="W12" i="16"/>
  <c r="W23" i="52" s="1"/>
  <c r="E15" i="16"/>
  <c r="E196" i="16" s="1"/>
  <c r="E205" i="16" s="1"/>
  <c r="E127" i="52" s="1"/>
  <c r="F15" i="16"/>
  <c r="F196" i="16" s="1"/>
  <c r="F162" i="52" s="1"/>
  <c r="G15" i="16"/>
  <c r="G196" i="16" s="1"/>
  <c r="H15" i="16"/>
  <c r="H196" i="16" s="1"/>
  <c r="H162" i="52" s="1"/>
  <c r="I15" i="16"/>
  <c r="I196" i="16" s="1"/>
  <c r="I162" i="52" s="1"/>
  <c r="J15" i="16"/>
  <c r="K15" i="16"/>
  <c r="K196" i="16" s="1"/>
  <c r="L15" i="16"/>
  <c r="L196" i="16" s="1"/>
  <c r="L205" i="16" s="1"/>
  <c r="L127" i="52" s="1"/>
  <c r="M15" i="16"/>
  <c r="N15" i="16"/>
  <c r="N196" i="16" s="1"/>
  <c r="O15" i="16"/>
  <c r="O196" i="16" s="1"/>
  <c r="P15" i="16"/>
  <c r="P196" i="16" s="1"/>
  <c r="V15" i="16"/>
  <c r="V196" i="16" s="1"/>
  <c r="V205" i="16" s="1"/>
  <c r="W15" i="16"/>
  <c r="I16" i="16"/>
  <c r="J16" i="16"/>
  <c r="K16" i="16"/>
  <c r="K227" i="16" s="1"/>
  <c r="L16" i="16"/>
  <c r="L227" i="16" s="1"/>
  <c r="M16" i="16"/>
  <c r="M261" i="16" s="1"/>
  <c r="N16" i="16"/>
  <c r="N227" i="16" s="1"/>
  <c r="O16" i="16"/>
  <c r="O261" i="16" s="1"/>
  <c r="P16" i="16"/>
  <c r="E17" i="16"/>
  <c r="E228" i="16" s="1"/>
  <c r="F17" i="16"/>
  <c r="F228" i="16" s="1"/>
  <c r="G17" i="16"/>
  <c r="G228" i="16" s="1"/>
  <c r="H17" i="16"/>
  <c r="H228" i="16" s="1"/>
  <c r="I17" i="16"/>
  <c r="I228" i="16" s="1"/>
  <c r="J17" i="16"/>
  <c r="J228" i="16" s="1"/>
  <c r="K17" i="16"/>
  <c r="K228" i="16" s="1"/>
  <c r="L17" i="16"/>
  <c r="L228" i="16" s="1"/>
  <c r="M17" i="16"/>
  <c r="N17" i="16"/>
  <c r="N228" i="16" s="1"/>
  <c r="O17" i="16"/>
  <c r="O228" i="16" s="1"/>
  <c r="P17" i="16"/>
  <c r="P228" i="16" s="1"/>
  <c r="V17" i="16"/>
  <c r="V228" i="16" s="1"/>
  <c r="W17" i="16"/>
  <c r="W228" i="16" s="1"/>
  <c r="E18" i="16"/>
  <c r="E229" i="16" s="1"/>
  <c r="F18" i="16"/>
  <c r="G18" i="16"/>
  <c r="H18" i="16"/>
  <c r="H229" i="16" s="1"/>
  <c r="I18" i="16"/>
  <c r="I229" i="16" s="1"/>
  <c r="J18" i="16"/>
  <c r="J229" i="16" s="1"/>
  <c r="K18" i="16"/>
  <c r="K229" i="16" s="1"/>
  <c r="L18" i="16"/>
  <c r="L229" i="16" s="1"/>
  <c r="M18" i="16"/>
  <c r="M229" i="16" s="1"/>
  <c r="N18" i="16"/>
  <c r="O18" i="16"/>
  <c r="P18" i="16"/>
  <c r="P229" i="16" s="1"/>
  <c r="V18" i="16"/>
  <c r="W18" i="16"/>
  <c r="W229" i="16" s="1"/>
  <c r="E19" i="16"/>
  <c r="E230" i="16" s="1"/>
  <c r="F19" i="16"/>
  <c r="F230" i="16" s="1"/>
  <c r="G19" i="16"/>
  <c r="G230" i="16" s="1"/>
  <c r="H19" i="16"/>
  <c r="I19" i="16"/>
  <c r="J19" i="16"/>
  <c r="J230" i="16" s="1"/>
  <c r="K19" i="16"/>
  <c r="K230" i="16" s="1"/>
  <c r="L19" i="16"/>
  <c r="L230" i="16" s="1"/>
  <c r="M19" i="16"/>
  <c r="M230" i="16" s="1"/>
  <c r="N19" i="16"/>
  <c r="N230" i="16" s="1"/>
  <c r="O19" i="16"/>
  <c r="O230" i="16" s="1"/>
  <c r="P19" i="16"/>
  <c r="P230" i="16" s="1"/>
  <c r="V19" i="16"/>
  <c r="W19" i="16"/>
  <c r="W230" i="16" s="1"/>
  <c r="E20" i="16"/>
  <c r="F20" i="16"/>
  <c r="F231" i="16" s="1"/>
  <c r="G20" i="16"/>
  <c r="G231" i="16" s="1"/>
  <c r="H20" i="16"/>
  <c r="H231" i="16" s="1"/>
  <c r="I20" i="16"/>
  <c r="I231" i="16" s="1"/>
  <c r="J20" i="16"/>
  <c r="K20" i="16"/>
  <c r="L20" i="16"/>
  <c r="L231" i="16" s="1"/>
  <c r="M20" i="16"/>
  <c r="N20" i="16"/>
  <c r="N231" i="16" s="1"/>
  <c r="O20" i="16"/>
  <c r="O231" i="16" s="1"/>
  <c r="P20" i="16"/>
  <c r="P231" i="16" s="1"/>
  <c r="V20" i="16"/>
  <c r="V231" i="16" s="1"/>
  <c r="W20" i="16"/>
  <c r="W231" i="16" s="1"/>
  <c r="E21" i="16"/>
  <c r="F21" i="16"/>
  <c r="G21" i="16"/>
  <c r="H21" i="16"/>
  <c r="H232" i="16" s="1"/>
  <c r="I21" i="16"/>
  <c r="I232" i="16" s="1"/>
  <c r="J21" i="16"/>
  <c r="J232" i="16" s="1"/>
  <c r="K21" i="16"/>
  <c r="K232" i="16" s="1"/>
  <c r="L21" i="16"/>
  <c r="L232" i="16" s="1"/>
  <c r="M21" i="16"/>
  <c r="M232" i="16" s="1"/>
  <c r="N21" i="16"/>
  <c r="O21" i="16"/>
  <c r="P21" i="16"/>
  <c r="P232" i="16" s="1"/>
  <c r="V21" i="16"/>
  <c r="V232" i="16" s="1"/>
  <c r="W21" i="16"/>
  <c r="W232" i="16" s="1"/>
  <c r="E26" i="16"/>
  <c r="E274" i="16" s="1"/>
  <c r="F26" i="16"/>
  <c r="F274" i="16" s="1"/>
  <c r="G26" i="16"/>
  <c r="G274" i="16" s="1"/>
  <c r="H26" i="16"/>
  <c r="H274" i="16" s="1"/>
  <c r="I26" i="16"/>
  <c r="I274" i="16" s="1"/>
  <c r="J26" i="16"/>
  <c r="J274" i="16" s="1"/>
  <c r="K26" i="16"/>
  <c r="K274" i="16" s="1"/>
  <c r="L26" i="16"/>
  <c r="L274" i="16" s="1"/>
  <c r="M26" i="16"/>
  <c r="M274" i="16" s="1"/>
  <c r="N26" i="16"/>
  <c r="N274" i="16" s="1"/>
  <c r="O26" i="16"/>
  <c r="O274" i="16" s="1"/>
  <c r="P26" i="16"/>
  <c r="P274" i="16" s="1"/>
  <c r="V26" i="16"/>
  <c r="V274" i="16" s="1"/>
  <c r="W26" i="16"/>
  <c r="W274" i="16" s="1"/>
  <c r="E30" i="16"/>
  <c r="F30" i="16"/>
  <c r="G30" i="16"/>
  <c r="H30" i="16"/>
  <c r="I30" i="16"/>
  <c r="J30" i="16"/>
  <c r="K30" i="16"/>
  <c r="L30" i="16"/>
  <c r="M30" i="16"/>
  <c r="N30" i="16"/>
  <c r="O30" i="16"/>
  <c r="P30" i="16"/>
  <c r="V30" i="16"/>
  <c r="W30" i="16"/>
  <c r="E34" i="16"/>
  <c r="F34" i="16"/>
  <c r="G34" i="16"/>
  <c r="H34" i="16"/>
  <c r="I34" i="16"/>
  <c r="J34" i="16"/>
  <c r="K34" i="16"/>
  <c r="L34" i="16"/>
  <c r="M34" i="16"/>
  <c r="N34" i="16"/>
  <c r="O34" i="16"/>
  <c r="P34" i="16"/>
  <c r="R34" i="16"/>
  <c r="S34" i="16"/>
  <c r="T34" i="16"/>
  <c r="V34" i="16"/>
  <c r="W34" i="16"/>
  <c r="AB34" i="16"/>
  <c r="AC34" i="16"/>
  <c r="AD34" i="16"/>
  <c r="E35" i="16"/>
  <c r="F35" i="16"/>
  <c r="G35" i="16"/>
  <c r="H35" i="16"/>
  <c r="I35" i="16"/>
  <c r="J35" i="16"/>
  <c r="K35" i="16"/>
  <c r="L35" i="16"/>
  <c r="M35" i="16"/>
  <c r="N35" i="16"/>
  <c r="O35" i="16"/>
  <c r="P35" i="16"/>
  <c r="V35" i="16"/>
  <c r="W35" i="16"/>
  <c r="E84" i="16"/>
  <c r="F84" i="16"/>
  <c r="G84" i="16"/>
  <c r="H84" i="16"/>
  <c r="I84" i="16"/>
  <c r="J84" i="16"/>
  <c r="K84" i="16"/>
  <c r="L84" i="16"/>
  <c r="L101" i="16" s="1"/>
  <c r="L58" i="52" s="1"/>
  <c r="M84" i="16"/>
  <c r="N84" i="16"/>
  <c r="O84" i="16"/>
  <c r="P84" i="16"/>
  <c r="V84" i="16"/>
  <c r="W84" i="16"/>
  <c r="C101" i="16"/>
  <c r="C103" i="16"/>
  <c r="C104" i="16"/>
  <c r="C102" i="16"/>
  <c r="C107" i="16"/>
  <c r="R107" i="16"/>
  <c r="S107" i="16"/>
  <c r="T107" i="16"/>
  <c r="C109" i="16"/>
  <c r="R109" i="16"/>
  <c r="S109" i="16"/>
  <c r="T109" i="16"/>
  <c r="C110" i="16"/>
  <c r="R110" i="16"/>
  <c r="S110" i="16"/>
  <c r="T110" i="16"/>
  <c r="C108" i="16"/>
  <c r="R108" i="16"/>
  <c r="S108" i="16"/>
  <c r="T108" i="16"/>
  <c r="E111" i="16"/>
  <c r="E68" i="52" s="1"/>
  <c r="F111" i="16"/>
  <c r="F128" i="16" s="1"/>
  <c r="G111" i="16"/>
  <c r="G209" i="16" s="1"/>
  <c r="S209" i="16" s="1"/>
  <c r="H111" i="16"/>
  <c r="H209" i="16" s="1"/>
  <c r="T209" i="16" s="1"/>
  <c r="I111" i="16"/>
  <c r="I68" i="52" s="1"/>
  <c r="J111" i="16"/>
  <c r="J68" i="52" s="1"/>
  <c r="K111" i="16"/>
  <c r="K68" i="52" s="1"/>
  <c r="L111" i="16"/>
  <c r="L68" i="52" s="1"/>
  <c r="M111" i="16"/>
  <c r="M68" i="52" s="1"/>
  <c r="N111" i="16"/>
  <c r="O111" i="16"/>
  <c r="P111" i="16"/>
  <c r="V111" i="16"/>
  <c r="V68" i="52" s="1"/>
  <c r="W111" i="16"/>
  <c r="W209" i="16" s="1"/>
  <c r="I117" i="16"/>
  <c r="J117" i="16"/>
  <c r="K117" i="16"/>
  <c r="L117" i="16"/>
  <c r="M117" i="16"/>
  <c r="N117" i="16"/>
  <c r="O117" i="16"/>
  <c r="P117" i="16"/>
  <c r="I119" i="16"/>
  <c r="J119" i="16"/>
  <c r="K119" i="16"/>
  <c r="L119" i="16"/>
  <c r="M119" i="16"/>
  <c r="N119" i="16"/>
  <c r="O119" i="16"/>
  <c r="P119" i="16"/>
  <c r="I120" i="16"/>
  <c r="J120" i="16"/>
  <c r="K120" i="16"/>
  <c r="L120" i="16"/>
  <c r="M120" i="16"/>
  <c r="N120" i="16"/>
  <c r="O120" i="16"/>
  <c r="P120" i="16"/>
  <c r="I118" i="16"/>
  <c r="J118" i="16"/>
  <c r="K118" i="16"/>
  <c r="L118" i="16"/>
  <c r="M118" i="16"/>
  <c r="N118" i="16"/>
  <c r="O118" i="16"/>
  <c r="P118" i="16"/>
  <c r="G124" i="16"/>
  <c r="S124" i="16" s="1"/>
  <c r="H124" i="16"/>
  <c r="T124" i="16" s="1"/>
  <c r="I124" i="16"/>
  <c r="J124" i="16"/>
  <c r="K124" i="16"/>
  <c r="L124" i="16"/>
  <c r="M124" i="16"/>
  <c r="N124" i="16"/>
  <c r="O124" i="16"/>
  <c r="P124" i="16"/>
  <c r="V124" i="16"/>
  <c r="W124" i="16"/>
  <c r="G126" i="16"/>
  <c r="S126" i="16" s="1"/>
  <c r="H126" i="16"/>
  <c r="T126" i="16" s="1"/>
  <c r="I126" i="16"/>
  <c r="E126" i="16" s="1"/>
  <c r="J126" i="16"/>
  <c r="F126" i="16" s="1"/>
  <c r="K126" i="16"/>
  <c r="L126" i="16"/>
  <c r="M126" i="16"/>
  <c r="N126" i="16"/>
  <c r="O126" i="16"/>
  <c r="P126" i="16"/>
  <c r="V126" i="16"/>
  <c r="W126" i="16"/>
  <c r="G127" i="16"/>
  <c r="S127" i="16" s="1"/>
  <c r="H127" i="16"/>
  <c r="T127" i="16" s="1"/>
  <c r="I127" i="16"/>
  <c r="E127" i="16" s="1"/>
  <c r="E134" i="16" s="1"/>
  <c r="E144" i="16" s="1"/>
  <c r="J127" i="16"/>
  <c r="F127" i="16" s="1"/>
  <c r="K127" i="16"/>
  <c r="L127" i="16"/>
  <c r="M127" i="16"/>
  <c r="N127" i="16"/>
  <c r="O127" i="16"/>
  <c r="P127" i="16"/>
  <c r="V127" i="16"/>
  <c r="W127" i="16"/>
  <c r="G125" i="16"/>
  <c r="S125" i="16" s="1"/>
  <c r="H125" i="16"/>
  <c r="T125" i="16" s="1"/>
  <c r="I125" i="16"/>
  <c r="E125" i="16" s="1"/>
  <c r="E132" i="16" s="1"/>
  <c r="E142" i="16" s="1"/>
  <c r="J125" i="16"/>
  <c r="F125" i="16" s="1"/>
  <c r="R125" i="16" s="1"/>
  <c r="K125" i="16"/>
  <c r="L125" i="16"/>
  <c r="M125" i="16"/>
  <c r="N125" i="16"/>
  <c r="O125" i="16"/>
  <c r="P125" i="16"/>
  <c r="V125" i="16"/>
  <c r="W125" i="16"/>
  <c r="G135" i="16"/>
  <c r="H135" i="16"/>
  <c r="I135" i="16"/>
  <c r="J135" i="16"/>
  <c r="K135" i="16"/>
  <c r="L135" i="16"/>
  <c r="M135" i="16"/>
  <c r="N135" i="16"/>
  <c r="O135" i="16"/>
  <c r="P135" i="16"/>
  <c r="V135" i="16"/>
  <c r="W135" i="16"/>
  <c r="C141" i="16"/>
  <c r="C148" i="16" s="1"/>
  <c r="G141" i="16"/>
  <c r="S141" i="16" s="1"/>
  <c r="H141" i="16"/>
  <c r="T141" i="16" s="1"/>
  <c r="I141" i="16"/>
  <c r="J141" i="16"/>
  <c r="K141" i="16"/>
  <c r="L141" i="16"/>
  <c r="M141" i="16"/>
  <c r="N141" i="16"/>
  <c r="O141" i="16"/>
  <c r="P141" i="16"/>
  <c r="V141" i="16"/>
  <c r="W141" i="16"/>
  <c r="C143" i="16"/>
  <c r="C150" i="16" s="1"/>
  <c r="G143" i="16"/>
  <c r="H143" i="16"/>
  <c r="T143" i="16" s="1"/>
  <c r="I143" i="16"/>
  <c r="J143" i="16"/>
  <c r="K143" i="16"/>
  <c r="L143" i="16"/>
  <c r="M143" i="16"/>
  <c r="N143" i="16"/>
  <c r="O143" i="16"/>
  <c r="P143" i="16"/>
  <c r="V143" i="16"/>
  <c r="W143" i="16"/>
  <c r="C144" i="16"/>
  <c r="C151" i="16" s="1"/>
  <c r="G144" i="16"/>
  <c r="S144" i="16" s="1"/>
  <c r="H144" i="16"/>
  <c r="I144" i="16"/>
  <c r="J144" i="16"/>
  <c r="K144" i="16"/>
  <c r="L144" i="16"/>
  <c r="M144" i="16"/>
  <c r="N144" i="16"/>
  <c r="O144" i="16"/>
  <c r="P144" i="16"/>
  <c r="P151" i="16" s="1"/>
  <c r="V144" i="16"/>
  <c r="W144" i="16"/>
  <c r="C142" i="16"/>
  <c r="C149" i="16" s="1"/>
  <c r="G142" i="16"/>
  <c r="S142" i="16" s="1"/>
  <c r="H142" i="16"/>
  <c r="T142" i="16" s="1"/>
  <c r="I142" i="16"/>
  <c r="J142" i="16"/>
  <c r="K142" i="16"/>
  <c r="L142" i="16"/>
  <c r="M142" i="16"/>
  <c r="N142" i="16"/>
  <c r="O142" i="16"/>
  <c r="O149" i="16" s="1"/>
  <c r="P142" i="16"/>
  <c r="V142" i="16"/>
  <c r="W142" i="16"/>
  <c r="C155" i="16"/>
  <c r="E155" i="16"/>
  <c r="F155" i="16"/>
  <c r="G155" i="16"/>
  <c r="H155" i="16"/>
  <c r="I155" i="16"/>
  <c r="J155" i="16"/>
  <c r="K155" i="16"/>
  <c r="L155" i="16"/>
  <c r="M155" i="16"/>
  <c r="M162" i="16" s="1"/>
  <c r="N155" i="16"/>
  <c r="O155" i="16"/>
  <c r="P155" i="16"/>
  <c r="P162" i="16" s="1"/>
  <c r="V155" i="16"/>
  <c r="W155" i="16"/>
  <c r="C157" i="16"/>
  <c r="E157" i="16"/>
  <c r="F157" i="16"/>
  <c r="G157" i="16"/>
  <c r="H157" i="16"/>
  <c r="I157" i="16"/>
  <c r="J157" i="16"/>
  <c r="K157" i="16"/>
  <c r="L157" i="16"/>
  <c r="M157" i="16"/>
  <c r="M164" i="16" s="1"/>
  <c r="N157" i="16"/>
  <c r="O157" i="16"/>
  <c r="P157" i="16"/>
  <c r="V157" i="16"/>
  <c r="W157" i="16"/>
  <c r="C158" i="16"/>
  <c r="E158" i="16"/>
  <c r="F158" i="16"/>
  <c r="G158" i="16"/>
  <c r="H158" i="16"/>
  <c r="I158" i="16"/>
  <c r="J158" i="16"/>
  <c r="K158" i="16"/>
  <c r="L158" i="16"/>
  <c r="M158" i="16"/>
  <c r="N158" i="16"/>
  <c r="O158" i="16"/>
  <c r="P158" i="16"/>
  <c r="V158" i="16"/>
  <c r="W158" i="16"/>
  <c r="C156" i="16"/>
  <c r="E156" i="16"/>
  <c r="F156" i="16"/>
  <c r="G156" i="16"/>
  <c r="H156" i="16"/>
  <c r="I156" i="16"/>
  <c r="J156" i="16"/>
  <c r="K156" i="16"/>
  <c r="L156" i="16"/>
  <c r="M156" i="16"/>
  <c r="N156" i="16"/>
  <c r="O156" i="16"/>
  <c r="O163" i="16" s="1"/>
  <c r="P156" i="16"/>
  <c r="P163" i="16" s="1"/>
  <c r="V156" i="16"/>
  <c r="W156" i="16"/>
  <c r="R173" i="16"/>
  <c r="R82" i="52" s="1"/>
  <c r="S173" i="16"/>
  <c r="S82" i="52" s="1"/>
  <c r="T173" i="16"/>
  <c r="T82" i="52" s="1"/>
  <c r="I177" i="16"/>
  <c r="J177" i="16"/>
  <c r="K177" i="16"/>
  <c r="L177" i="16"/>
  <c r="M177" i="16"/>
  <c r="N177" i="16"/>
  <c r="O177" i="16"/>
  <c r="P177" i="16"/>
  <c r="W177" i="16"/>
  <c r="E180" i="16"/>
  <c r="F180" i="16"/>
  <c r="G180" i="16"/>
  <c r="H180" i="16"/>
  <c r="I180" i="16"/>
  <c r="J180" i="16"/>
  <c r="K180" i="16"/>
  <c r="L180" i="16"/>
  <c r="M180" i="16"/>
  <c r="N180" i="16"/>
  <c r="O180" i="16"/>
  <c r="P180" i="16"/>
  <c r="V180" i="16"/>
  <c r="W180" i="16"/>
  <c r="D196" i="16"/>
  <c r="D227" i="16"/>
  <c r="D228" i="16"/>
  <c r="D229" i="16"/>
  <c r="D230" i="16"/>
  <c r="D231" i="16"/>
  <c r="D232" i="16"/>
  <c r="D233" i="16"/>
  <c r="D234" i="16"/>
  <c r="E234" i="16"/>
  <c r="F234" i="16"/>
  <c r="G234" i="16"/>
  <c r="H234" i="16"/>
  <c r="I234" i="16"/>
  <c r="J234" i="16"/>
  <c r="K234" i="16"/>
  <c r="L234" i="16"/>
  <c r="M234" i="16"/>
  <c r="N234" i="16"/>
  <c r="O234" i="16"/>
  <c r="P234" i="16"/>
  <c r="V234" i="16"/>
  <c r="W234" i="16"/>
  <c r="C238" i="16"/>
  <c r="C239" i="16"/>
  <c r="C240" i="16"/>
  <c r="C241" i="16"/>
  <c r="C242" i="16"/>
  <c r="C243" i="16"/>
  <c r="C244" i="16"/>
  <c r="C245" i="16"/>
  <c r="C249" i="16"/>
  <c r="C250" i="16"/>
  <c r="C251" i="16"/>
  <c r="C252" i="16"/>
  <c r="C253" i="16"/>
  <c r="C254" i="16"/>
  <c r="C255" i="16"/>
  <c r="C256" i="16"/>
  <c r="R262" i="16"/>
  <c r="S262" i="16"/>
  <c r="T262" i="16"/>
  <c r="AB262" i="16"/>
  <c r="AC262" i="16"/>
  <c r="AD262" i="16"/>
  <c r="I268" i="16"/>
  <c r="J268" i="16"/>
  <c r="K268" i="16"/>
  <c r="L268" i="16"/>
  <c r="M268" i="16"/>
  <c r="N268" i="16"/>
  <c r="O268" i="16"/>
  <c r="P268" i="16"/>
  <c r="X268" i="16"/>
  <c r="Y268" i="16"/>
  <c r="Z268" i="16"/>
  <c r="E5" i="3"/>
  <c r="V5" i="3"/>
  <c r="F6" i="3"/>
  <c r="W6" i="3"/>
  <c r="AG6" i="3"/>
  <c r="AH6" i="3" s="1"/>
  <c r="AI6" i="3" s="1"/>
  <c r="AJ6" i="3" s="1"/>
  <c r="AK6" i="3" s="1"/>
  <c r="AL6" i="3" s="1"/>
  <c r="AM6" i="3" s="1"/>
  <c r="AN6" i="3" s="1"/>
  <c r="AO6" i="3" s="1"/>
  <c r="AP6" i="3" s="1"/>
  <c r="AQ6" i="3" s="1"/>
  <c r="AR6" i="3" s="1"/>
  <c r="E13" i="3"/>
  <c r="F13" i="3"/>
  <c r="G13" i="3"/>
  <c r="H13" i="3"/>
  <c r="I13" i="3"/>
  <c r="J13" i="3"/>
  <c r="K13" i="3"/>
  <c r="L13" i="3"/>
  <c r="M13" i="3"/>
  <c r="N13" i="3"/>
  <c r="O13" i="3"/>
  <c r="P13" i="3"/>
  <c r="V13" i="3"/>
  <c r="W13" i="3"/>
  <c r="E16" i="3"/>
  <c r="F16" i="3"/>
  <c r="G16" i="3"/>
  <c r="H16" i="3"/>
  <c r="V16" i="3"/>
  <c r="W16" i="3"/>
  <c r="R43" i="3"/>
  <c r="S43" i="3" s="1"/>
  <c r="T43" i="3" s="1"/>
  <c r="R44" i="3"/>
  <c r="S44" i="3" s="1"/>
  <c r="T44" i="3" s="1"/>
  <c r="E49" i="3"/>
  <c r="F49" i="3"/>
  <c r="G49" i="3"/>
  <c r="H49" i="3"/>
  <c r="I49" i="3"/>
  <c r="J49" i="3"/>
  <c r="K49" i="3"/>
  <c r="L49" i="3"/>
  <c r="M49" i="3"/>
  <c r="N49" i="3"/>
  <c r="O49" i="3"/>
  <c r="P49" i="3"/>
  <c r="V49" i="3"/>
  <c r="W49" i="3"/>
  <c r="E50" i="3"/>
  <c r="F50" i="3"/>
  <c r="G50" i="3"/>
  <c r="H50" i="3"/>
  <c r="I50" i="3"/>
  <c r="J50" i="3"/>
  <c r="K50" i="3"/>
  <c r="L50" i="3"/>
  <c r="M50" i="3"/>
  <c r="N50" i="3"/>
  <c r="O50" i="3"/>
  <c r="P50" i="3"/>
  <c r="Q50" i="3"/>
  <c r="R50" i="3"/>
  <c r="S50" i="3"/>
  <c r="T50" i="3"/>
  <c r="V50" i="3"/>
  <c r="W50" i="3"/>
  <c r="AB50" i="3"/>
  <c r="AC50" i="3"/>
  <c r="AD50" i="3"/>
  <c r="E51" i="3"/>
  <c r="F51" i="3"/>
  <c r="G51" i="3"/>
  <c r="H51" i="3"/>
  <c r="I51" i="3"/>
  <c r="J51" i="3"/>
  <c r="K51" i="3"/>
  <c r="L51" i="3"/>
  <c r="M51" i="3"/>
  <c r="N51" i="3"/>
  <c r="O51" i="3"/>
  <c r="P51" i="3"/>
  <c r="V51" i="3"/>
  <c r="W51" i="3"/>
  <c r="E52" i="3"/>
  <c r="F52" i="3"/>
  <c r="G52" i="3"/>
  <c r="H52" i="3"/>
  <c r="I52" i="3"/>
  <c r="J52" i="3"/>
  <c r="K52" i="3"/>
  <c r="L52" i="3"/>
  <c r="M52" i="3"/>
  <c r="N52" i="3"/>
  <c r="O52" i="3"/>
  <c r="P52" i="3"/>
  <c r="Q52" i="3"/>
  <c r="R52" i="3"/>
  <c r="S52" i="3"/>
  <c r="T52" i="3"/>
  <c r="V52" i="3"/>
  <c r="W52" i="3"/>
  <c r="AB52" i="3"/>
  <c r="AC52" i="3"/>
  <c r="AD52" i="3"/>
  <c r="E53" i="3"/>
  <c r="F53" i="3"/>
  <c r="G53" i="3"/>
  <c r="H53" i="3"/>
  <c r="I53" i="3"/>
  <c r="J53" i="3"/>
  <c r="K53" i="3"/>
  <c r="L53" i="3"/>
  <c r="M53" i="3"/>
  <c r="N53" i="3"/>
  <c r="O53" i="3"/>
  <c r="P53" i="3"/>
  <c r="V53" i="3"/>
  <c r="W53" i="3"/>
  <c r="V60" i="3"/>
  <c r="W60" i="3"/>
  <c r="I65" i="3"/>
  <c r="J65" i="3"/>
  <c r="K65" i="3"/>
  <c r="L65" i="3"/>
  <c r="M65" i="3"/>
  <c r="N65" i="3"/>
  <c r="O65" i="3"/>
  <c r="P65" i="3"/>
  <c r="E66" i="3"/>
  <c r="F66" i="3"/>
  <c r="G66" i="3"/>
  <c r="H66" i="3"/>
  <c r="I66" i="3"/>
  <c r="J66" i="3"/>
  <c r="K66" i="3"/>
  <c r="L66" i="3"/>
  <c r="M66" i="3"/>
  <c r="N66" i="3"/>
  <c r="O66" i="3"/>
  <c r="P66" i="3"/>
  <c r="Q66" i="3"/>
  <c r="R66" i="3"/>
  <c r="S66" i="3"/>
  <c r="T66" i="3"/>
  <c r="V66" i="3"/>
  <c r="W66" i="3"/>
  <c r="AB66" i="3"/>
  <c r="AC66" i="3"/>
  <c r="AD66" i="3"/>
  <c r="E70" i="3"/>
  <c r="F70" i="3"/>
  <c r="G70" i="3"/>
  <c r="H70" i="3"/>
  <c r="I70" i="3"/>
  <c r="J70" i="3"/>
  <c r="K70" i="3"/>
  <c r="L70" i="3"/>
  <c r="M70" i="3"/>
  <c r="N70" i="3"/>
  <c r="O70" i="3"/>
  <c r="P70" i="3"/>
  <c r="V70" i="3"/>
  <c r="W70" i="3"/>
  <c r="E71" i="3"/>
  <c r="F71" i="3"/>
  <c r="G71" i="3"/>
  <c r="H71" i="3"/>
  <c r="I71" i="3"/>
  <c r="J71" i="3"/>
  <c r="K71" i="3"/>
  <c r="L71" i="3"/>
  <c r="M71" i="3"/>
  <c r="N71" i="3"/>
  <c r="O71" i="3"/>
  <c r="P71" i="3"/>
  <c r="V71" i="3"/>
  <c r="W71" i="3"/>
  <c r="E75" i="3"/>
  <c r="F75" i="3"/>
  <c r="G75" i="3"/>
  <c r="H75" i="3"/>
  <c r="I75" i="3"/>
  <c r="J75" i="3"/>
  <c r="K75" i="3"/>
  <c r="L75" i="3"/>
  <c r="M75" i="3"/>
  <c r="N75" i="3"/>
  <c r="O75" i="3"/>
  <c r="P75" i="3"/>
  <c r="Q75" i="3"/>
  <c r="R75" i="3"/>
  <c r="S75" i="3"/>
  <c r="T75" i="3"/>
  <c r="V75" i="3"/>
  <c r="W75" i="3"/>
  <c r="AB75" i="3"/>
  <c r="AC75" i="3"/>
  <c r="AD75" i="3"/>
  <c r="E79" i="3"/>
  <c r="F79" i="3"/>
  <c r="G79" i="3"/>
  <c r="H79" i="3"/>
  <c r="I79" i="3"/>
  <c r="J79" i="3"/>
  <c r="K79" i="3"/>
  <c r="L79" i="3"/>
  <c r="M79" i="3"/>
  <c r="N79" i="3"/>
  <c r="O79" i="3"/>
  <c r="P79" i="3"/>
  <c r="V79" i="3"/>
  <c r="W79" i="3"/>
  <c r="V82" i="3"/>
  <c r="W82" i="3"/>
  <c r="R83" i="3"/>
  <c r="R79" i="3" s="1"/>
  <c r="S83" i="3"/>
  <c r="S79" i="3" s="1"/>
  <c r="T83" i="3"/>
  <c r="T79" i="3" s="1"/>
  <c r="AB83" i="3"/>
  <c r="AB79" i="3" s="1"/>
  <c r="AC83" i="3"/>
  <c r="AC79" i="3" s="1"/>
  <c r="AD83" i="3"/>
  <c r="AD79" i="3" s="1"/>
  <c r="E85" i="3"/>
  <c r="F85" i="3"/>
  <c r="G85" i="3"/>
  <c r="H85" i="3"/>
  <c r="I85" i="3"/>
  <c r="J85" i="3"/>
  <c r="K85" i="3"/>
  <c r="L85" i="3"/>
  <c r="M85" i="3"/>
  <c r="N85" i="3"/>
  <c r="O85" i="3"/>
  <c r="P85" i="3"/>
  <c r="V85" i="3"/>
  <c r="W85" i="3"/>
  <c r="E86" i="3"/>
  <c r="F86" i="3"/>
  <c r="G86" i="3"/>
  <c r="H86" i="3"/>
  <c r="I86" i="3"/>
  <c r="J86" i="3"/>
  <c r="K86" i="3"/>
  <c r="L86" i="3"/>
  <c r="M86" i="3"/>
  <c r="N86" i="3"/>
  <c r="O86" i="3"/>
  <c r="P86" i="3"/>
  <c r="V86" i="3"/>
  <c r="W86" i="3"/>
  <c r="E90" i="3"/>
  <c r="F90" i="3"/>
  <c r="G90" i="3"/>
  <c r="H90" i="3"/>
  <c r="I90" i="3"/>
  <c r="J90" i="3"/>
  <c r="K90" i="3"/>
  <c r="L90" i="3"/>
  <c r="M90" i="3"/>
  <c r="N90" i="3"/>
  <c r="O90" i="3"/>
  <c r="P90" i="3"/>
  <c r="R90" i="3"/>
  <c r="S90" i="3"/>
  <c r="T90" i="3"/>
  <c r="V90" i="3"/>
  <c r="W90" i="3"/>
  <c r="AB90" i="3"/>
  <c r="AC90" i="3"/>
  <c r="AD90" i="3"/>
  <c r="E91" i="3"/>
  <c r="F91" i="3"/>
  <c r="G91" i="3"/>
  <c r="H91" i="3"/>
  <c r="I91" i="3"/>
  <c r="J91" i="3"/>
  <c r="K91" i="3"/>
  <c r="L91" i="3"/>
  <c r="M91" i="3"/>
  <c r="N91" i="3"/>
  <c r="O91" i="3"/>
  <c r="P91" i="3"/>
  <c r="R91" i="3"/>
  <c r="S91" i="3"/>
  <c r="T91" i="3"/>
  <c r="V91" i="3"/>
  <c r="W91" i="3"/>
  <c r="AB91" i="3"/>
  <c r="AC91" i="3"/>
  <c r="AD91" i="3"/>
  <c r="E92" i="3"/>
  <c r="E81" i="3" s="1"/>
  <c r="F92" i="3"/>
  <c r="F81" i="3" s="1"/>
  <c r="G92" i="3"/>
  <c r="G81" i="3" s="1"/>
  <c r="H92" i="3"/>
  <c r="H81" i="3" s="1"/>
  <c r="I92" i="3"/>
  <c r="I81" i="3" s="1"/>
  <c r="J92" i="3"/>
  <c r="J81" i="3" s="1"/>
  <c r="K92" i="3"/>
  <c r="K81" i="3" s="1"/>
  <c r="L92" i="3"/>
  <c r="M92" i="3"/>
  <c r="M81" i="3" s="1"/>
  <c r="N92" i="3"/>
  <c r="O92" i="3"/>
  <c r="O81" i="3" s="1"/>
  <c r="P92" i="3"/>
  <c r="P81" i="3" s="1"/>
  <c r="R92" i="3"/>
  <c r="R106" i="3" s="1"/>
  <c r="S92" i="3"/>
  <c r="S106" i="3" s="1"/>
  <c r="T92" i="3"/>
  <c r="T106" i="3" s="1"/>
  <c r="V92" i="3"/>
  <c r="V81" i="3" s="1"/>
  <c r="W92" i="3"/>
  <c r="W81" i="3" s="1"/>
  <c r="AB92" i="3"/>
  <c r="AB106" i="3" s="1"/>
  <c r="AC92" i="3"/>
  <c r="AC106" i="3" s="1"/>
  <c r="AD92" i="3"/>
  <c r="AD106" i="3" s="1"/>
  <c r="E93" i="3"/>
  <c r="F93" i="3"/>
  <c r="G93" i="3"/>
  <c r="G80" i="3" s="1"/>
  <c r="H93" i="3"/>
  <c r="H80" i="3" s="1"/>
  <c r="I93" i="3"/>
  <c r="I80" i="3" s="1"/>
  <c r="J93" i="3"/>
  <c r="K93" i="3"/>
  <c r="K80" i="3" s="1"/>
  <c r="L93" i="3"/>
  <c r="L80" i="3" s="1"/>
  <c r="M93" i="3"/>
  <c r="N93" i="3"/>
  <c r="N80" i="3" s="1"/>
  <c r="O93" i="3"/>
  <c r="P93" i="3"/>
  <c r="P80" i="3" s="1"/>
  <c r="R93" i="3"/>
  <c r="R107" i="3" s="1"/>
  <c r="S93" i="3"/>
  <c r="S107" i="3" s="1"/>
  <c r="T93" i="3"/>
  <c r="T107" i="3" s="1"/>
  <c r="V93" i="3"/>
  <c r="V80" i="3" s="1"/>
  <c r="W93" i="3"/>
  <c r="W80" i="3" s="1"/>
  <c r="AB93" i="3"/>
  <c r="AB107" i="3" s="1"/>
  <c r="AC93" i="3"/>
  <c r="AC107" i="3" s="1"/>
  <c r="AD93" i="3"/>
  <c r="AD107" i="3" s="1"/>
  <c r="E94" i="3"/>
  <c r="E82" i="3" s="1"/>
  <c r="F94" i="3"/>
  <c r="F82" i="3" s="1"/>
  <c r="G94" i="3"/>
  <c r="G82" i="3" s="1"/>
  <c r="H94" i="3"/>
  <c r="I94" i="3"/>
  <c r="I82" i="3" s="1"/>
  <c r="J94" i="3"/>
  <c r="K94" i="3"/>
  <c r="L94" i="3"/>
  <c r="L108" i="3" s="1"/>
  <c r="M94" i="3"/>
  <c r="N94" i="3"/>
  <c r="N82" i="3" s="1"/>
  <c r="O94" i="3"/>
  <c r="O82" i="3" s="1"/>
  <c r="P94" i="3"/>
  <c r="R94" i="3"/>
  <c r="R108" i="3" s="1"/>
  <c r="S94" i="3"/>
  <c r="S108" i="3" s="1"/>
  <c r="T94" i="3"/>
  <c r="T108" i="3" s="1"/>
  <c r="AB94" i="3"/>
  <c r="AB108" i="3" s="1"/>
  <c r="AC94" i="3"/>
  <c r="AC108" i="3" s="1"/>
  <c r="AD94" i="3"/>
  <c r="AD108" i="3" s="1"/>
  <c r="E98" i="3"/>
  <c r="F98" i="3"/>
  <c r="G98" i="3"/>
  <c r="H98" i="3"/>
  <c r="I98" i="3"/>
  <c r="J98" i="3"/>
  <c r="K98" i="3"/>
  <c r="L98" i="3"/>
  <c r="M98" i="3"/>
  <c r="N98" i="3"/>
  <c r="O98" i="3"/>
  <c r="P98" i="3"/>
  <c r="V98" i="3"/>
  <c r="W98" i="3"/>
  <c r="E99" i="3"/>
  <c r="F99" i="3"/>
  <c r="G99" i="3"/>
  <c r="H99" i="3"/>
  <c r="I99" i="3"/>
  <c r="J99" i="3"/>
  <c r="K99" i="3"/>
  <c r="L99" i="3"/>
  <c r="M99" i="3"/>
  <c r="N99" i="3"/>
  <c r="O99" i="3"/>
  <c r="P99" i="3"/>
  <c r="R99" i="3"/>
  <c r="S99" i="3"/>
  <c r="T99" i="3"/>
  <c r="V99" i="3"/>
  <c r="W99" i="3"/>
  <c r="E100" i="3"/>
  <c r="F100" i="3"/>
  <c r="G100" i="3"/>
  <c r="H100" i="3"/>
  <c r="I100" i="3"/>
  <c r="J100" i="3"/>
  <c r="K100" i="3"/>
  <c r="L100" i="3"/>
  <c r="M100" i="3"/>
  <c r="N100" i="3"/>
  <c r="O100" i="3"/>
  <c r="P100" i="3"/>
  <c r="R100" i="3"/>
  <c r="S100" i="3"/>
  <c r="T100" i="3"/>
  <c r="V100" i="3"/>
  <c r="W100" i="3"/>
  <c r="E104" i="3"/>
  <c r="F104" i="3"/>
  <c r="G104" i="3"/>
  <c r="H104" i="3"/>
  <c r="I104" i="3"/>
  <c r="J104" i="3"/>
  <c r="K104" i="3"/>
  <c r="L104" i="3"/>
  <c r="M104" i="3"/>
  <c r="N104" i="3"/>
  <c r="O104" i="3"/>
  <c r="P104" i="3"/>
  <c r="R104" i="3"/>
  <c r="S104" i="3"/>
  <c r="T104" i="3"/>
  <c r="V104" i="3"/>
  <c r="W104" i="3"/>
  <c r="AB104" i="3"/>
  <c r="AC104" i="3"/>
  <c r="AD104" i="3"/>
  <c r="E105" i="3"/>
  <c r="F105" i="3"/>
  <c r="G105" i="3"/>
  <c r="H105" i="3"/>
  <c r="I105" i="3"/>
  <c r="J105" i="3"/>
  <c r="K105" i="3"/>
  <c r="L105" i="3"/>
  <c r="M105" i="3"/>
  <c r="N105" i="3"/>
  <c r="O105" i="3"/>
  <c r="P105" i="3"/>
  <c r="R105" i="3"/>
  <c r="S105" i="3"/>
  <c r="T105" i="3"/>
  <c r="V105" i="3"/>
  <c r="W105" i="3"/>
  <c r="AB105" i="3"/>
  <c r="AC105" i="3"/>
  <c r="AD105" i="3"/>
  <c r="G106" i="3"/>
  <c r="H106" i="3"/>
  <c r="V108" i="3"/>
  <c r="W108" i="3"/>
  <c r="E109" i="3"/>
  <c r="F109" i="3"/>
  <c r="G109" i="3"/>
  <c r="H109" i="3"/>
  <c r="I109" i="3"/>
  <c r="J109" i="3"/>
  <c r="K109" i="3"/>
  <c r="L109" i="3"/>
  <c r="M109" i="3"/>
  <c r="N109" i="3"/>
  <c r="O109" i="3"/>
  <c r="P109" i="3"/>
  <c r="R109" i="3"/>
  <c r="S109" i="3"/>
  <c r="T109" i="3"/>
  <c r="V109" i="3"/>
  <c r="W109" i="3"/>
  <c r="AB109" i="3"/>
  <c r="AC109" i="3"/>
  <c r="AD109" i="3"/>
  <c r="E117" i="3"/>
  <c r="E140" i="4" s="1"/>
  <c r="F117" i="3"/>
  <c r="F140" i="4" s="1"/>
  <c r="G117" i="3"/>
  <c r="G140" i="4" s="1"/>
  <c r="H117" i="3"/>
  <c r="I117" i="3"/>
  <c r="J117" i="3"/>
  <c r="J140" i="4" s="1"/>
  <c r="K117" i="3"/>
  <c r="K140" i="4" s="1"/>
  <c r="L117" i="3"/>
  <c r="L140" i="4" s="1"/>
  <c r="M117" i="3"/>
  <c r="M140" i="4" s="1"/>
  <c r="N117" i="3"/>
  <c r="N140" i="4" s="1"/>
  <c r="O117" i="3"/>
  <c r="O140" i="4" s="1"/>
  <c r="P117" i="3"/>
  <c r="V117" i="3"/>
  <c r="V124" i="3" s="1"/>
  <c r="W117" i="3"/>
  <c r="W124" i="3" s="1"/>
  <c r="R118" i="3"/>
  <c r="R119" i="3"/>
  <c r="S119" i="3" s="1"/>
  <c r="T119" i="3" s="1"/>
  <c r="R120" i="3"/>
  <c r="S120" i="3" s="1"/>
  <c r="T120" i="3" s="1"/>
  <c r="R131" i="3"/>
  <c r="S131" i="3" s="1"/>
  <c r="T131" i="3" s="1"/>
  <c r="E129" i="3"/>
  <c r="F129" i="3"/>
  <c r="G129" i="3"/>
  <c r="H129" i="3"/>
  <c r="I129" i="3"/>
  <c r="J129" i="3"/>
  <c r="K129" i="3"/>
  <c r="L129" i="3"/>
  <c r="M129" i="3"/>
  <c r="N129" i="3"/>
  <c r="O129" i="3"/>
  <c r="P129" i="3"/>
  <c r="V129" i="3"/>
  <c r="W129" i="3"/>
  <c r="R130" i="3"/>
  <c r="S130" i="3" s="1"/>
  <c r="T130" i="3" s="1"/>
  <c r="R132" i="3"/>
  <c r="S132" i="3" s="1"/>
  <c r="T132" i="3" s="1"/>
  <c r="R133" i="3"/>
  <c r="S133" i="3" s="1"/>
  <c r="T133" i="3" s="1"/>
  <c r="R139" i="3"/>
  <c r="R140" i="3"/>
  <c r="S140" i="3" s="1"/>
  <c r="T140" i="3" s="1"/>
  <c r="R141" i="3"/>
  <c r="S141" i="3" s="1"/>
  <c r="T141" i="3" s="1"/>
  <c r="E144" i="3"/>
  <c r="F144" i="3"/>
  <c r="G144" i="3"/>
  <c r="H144" i="3"/>
  <c r="I144" i="3"/>
  <c r="I176" i="3" s="1"/>
  <c r="J144" i="3"/>
  <c r="N23" i="14" s="1"/>
  <c r="K144" i="3"/>
  <c r="K176" i="3" s="1"/>
  <c r="L144" i="3"/>
  <c r="L176" i="3" s="1"/>
  <c r="M144" i="3"/>
  <c r="N144" i="3"/>
  <c r="R23" i="14" s="1"/>
  <c r="O144" i="3"/>
  <c r="S23" i="14" s="1"/>
  <c r="P144" i="3"/>
  <c r="P176" i="3" s="1"/>
  <c r="V144" i="3"/>
  <c r="V176" i="3" s="1"/>
  <c r="W144" i="3"/>
  <c r="E147" i="3"/>
  <c r="F147" i="3"/>
  <c r="G147" i="3"/>
  <c r="H147" i="3"/>
  <c r="I147" i="3"/>
  <c r="J147" i="3"/>
  <c r="K147" i="3"/>
  <c r="L147" i="3"/>
  <c r="M147" i="3"/>
  <c r="N147" i="3"/>
  <c r="O147" i="3"/>
  <c r="P147" i="3"/>
  <c r="V147" i="3"/>
  <c r="W147" i="3"/>
  <c r="E150" i="3"/>
  <c r="F150" i="3"/>
  <c r="G150" i="3"/>
  <c r="H150" i="3"/>
  <c r="I150" i="3"/>
  <c r="J150" i="3"/>
  <c r="K150" i="3"/>
  <c r="L150" i="3"/>
  <c r="M150" i="3"/>
  <c r="N150" i="3"/>
  <c r="O150" i="3"/>
  <c r="P150" i="3"/>
  <c r="V150" i="3"/>
  <c r="W150" i="3"/>
  <c r="R157" i="3"/>
  <c r="R158" i="3"/>
  <c r="S158" i="3" s="1"/>
  <c r="T158" i="3" s="1"/>
  <c r="R159" i="3"/>
  <c r="S159" i="3" s="1"/>
  <c r="T159" i="3" s="1"/>
  <c r="P160" i="3"/>
  <c r="P156" i="3" s="1"/>
  <c r="R161" i="3"/>
  <c r="S161" i="3" s="1"/>
  <c r="T161" i="3" s="1"/>
  <c r="R164" i="3"/>
  <c r="S164" i="3" s="1"/>
  <c r="R165" i="3"/>
  <c r="S165" i="3" s="1"/>
  <c r="T165" i="3" s="1"/>
  <c r="R166" i="3"/>
  <c r="R168" i="3"/>
  <c r="S168" i="3" s="1"/>
  <c r="T168" i="3" s="1"/>
  <c r="E169" i="3"/>
  <c r="F169" i="3"/>
  <c r="G169" i="3"/>
  <c r="H169" i="3"/>
  <c r="I169" i="3"/>
  <c r="J169" i="3"/>
  <c r="N25" i="14" s="1"/>
  <c r="K169" i="3"/>
  <c r="O25" i="14" s="1"/>
  <c r="L169" i="3"/>
  <c r="P25" i="14" s="1"/>
  <c r="M169" i="3"/>
  <c r="Q25" i="14" s="1"/>
  <c r="N169" i="3"/>
  <c r="R25" i="14" s="1"/>
  <c r="O169" i="3"/>
  <c r="S25" i="14" s="1"/>
  <c r="P169" i="3"/>
  <c r="T25" i="14" s="1"/>
  <c r="V169" i="3"/>
  <c r="F25" i="14" s="1"/>
  <c r="W169" i="3"/>
  <c r="G25" i="14" s="1"/>
  <c r="V184" i="3"/>
  <c r="E185" i="3"/>
  <c r="F185" i="3"/>
  <c r="G185" i="3"/>
  <c r="H185" i="3"/>
  <c r="I185" i="3"/>
  <c r="J185" i="3"/>
  <c r="K185" i="3"/>
  <c r="L185" i="3"/>
  <c r="M185" i="3"/>
  <c r="N185" i="3"/>
  <c r="O185" i="3"/>
  <c r="P185" i="3"/>
  <c r="W185" i="3"/>
  <c r="V190" i="3"/>
  <c r="W190" i="3"/>
  <c r="F198" i="3"/>
  <c r="G198" i="3"/>
  <c r="H198" i="3"/>
  <c r="I198" i="3"/>
  <c r="I187" i="3" s="1"/>
  <c r="I188" i="3" s="1"/>
  <c r="J198" i="3"/>
  <c r="J187" i="3" s="1"/>
  <c r="J188" i="3" s="1"/>
  <c r="K198" i="3"/>
  <c r="L198" i="3"/>
  <c r="M198" i="3"/>
  <c r="M187" i="3" s="1"/>
  <c r="M188" i="3" s="1"/>
  <c r="N198" i="3"/>
  <c r="N187" i="3" s="1"/>
  <c r="N188" i="3" s="1"/>
  <c r="O198" i="3"/>
  <c r="P198" i="3"/>
  <c r="V198" i="3"/>
  <c r="V187" i="3" s="1"/>
  <c r="W198" i="3"/>
  <c r="H204" i="3"/>
  <c r="I204" i="3"/>
  <c r="J204" i="3"/>
  <c r="K204" i="3"/>
  <c r="L204" i="3"/>
  <c r="M204" i="3"/>
  <c r="N204" i="3"/>
  <c r="O204" i="3"/>
  <c r="P204" i="3"/>
  <c r="V204" i="3"/>
  <c r="W204" i="3"/>
  <c r="R206" i="3"/>
  <c r="S206" i="3"/>
  <c r="T206" i="3"/>
  <c r="AB206" i="3"/>
  <c r="AC206" i="3"/>
  <c r="AD206" i="3"/>
  <c r="F212" i="3"/>
  <c r="F226" i="3" s="1"/>
  <c r="G212" i="3"/>
  <c r="G226" i="3" s="1"/>
  <c r="H212" i="3"/>
  <c r="H226" i="3" s="1"/>
  <c r="I212" i="3"/>
  <c r="I226" i="3" s="1"/>
  <c r="J212" i="3"/>
  <c r="J226" i="3" s="1"/>
  <c r="K212" i="3"/>
  <c r="K226" i="3" s="1"/>
  <c r="L212" i="3"/>
  <c r="L226" i="3" s="1"/>
  <c r="M212" i="3"/>
  <c r="M226" i="3" s="1"/>
  <c r="N212" i="3"/>
  <c r="N226" i="3" s="1"/>
  <c r="O212" i="3"/>
  <c r="O226" i="3" s="1"/>
  <c r="P212" i="3"/>
  <c r="P226" i="3" s="1"/>
  <c r="W212" i="3"/>
  <c r="V223" i="3"/>
  <c r="V231" i="3" s="1"/>
  <c r="W223" i="3"/>
  <c r="W231" i="3" s="1"/>
  <c r="W59" i="3" s="1"/>
  <c r="AI223" i="3"/>
  <c r="AI231" i="3" s="1"/>
  <c r="H231" i="3" s="1"/>
  <c r="AM223" i="3"/>
  <c r="AM231" i="3" s="1"/>
  <c r="AQ223" i="3"/>
  <c r="AQ231" i="3" s="1"/>
  <c r="AB226" i="3"/>
  <c r="AC226" i="3"/>
  <c r="AD226" i="3"/>
  <c r="E231" i="3"/>
  <c r="E59" i="3" s="1"/>
  <c r="F231" i="3"/>
  <c r="F59" i="3" s="1"/>
  <c r="G231" i="3"/>
  <c r="I231" i="3"/>
  <c r="I59" i="3" s="1"/>
  <c r="J231" i="3"/>
  <c r="J59" i="3" s="1"/>
  <c r="K231" i="3"/>
  <c r="K59" i="3" s="1"/>
  <c r="M231" i="3"/>
  <c r="M59" i="3" s="1"/>
  <c r="N231" i="3"/>
  <c r="N59" i="3" s="1"/>
  <c r="O231" i="3"/>
  <c r="E233" i="3"/>
  <c r="E60" i="3" s="1"/>
  <c r="F233" i="3"/>
  <c r="F60" i="3" s="1"/>
  <c r="G233" i="3"/>
  <c r="G60" i="3" s="1"/>
  <c r="H233" i="3"/>
  <c r="I233" i="3"/>
  <c r="J233" i="3"/>
  <c r="J60" i="3" s="1"/>
  <c r="K233" i="3"/>
  <c r="O17" i="14" s="1"/>
  <c r="L233" i="3"/>
  <c r="P17" i="14" s="1"/>
  <c r="M233" i="3"/>
  <c r="M60" i="3" s="1"/>
  <c r="N233" i="3"/>
  <c r="R17" i="14" s="1"/>
  <c r="O233" i="3"/>
  <c r="O60" i="3" s="1"/>
  <c r="P233" i="3"/>
  <c r="T17" i="14" s="1"/>
  <c r="R234" i="3"/>
  <c r="S234" i="3"/>
  <c r="T234" i="3"/>
  <c r="V234" i="3"/>
  <c r="V241" i="3" s="1"/>
  <c r="W234" i="3"/>
  <c r="W241" i="3" s="1"/>
  <c r="AB234" i="3"/>
  <c r="AC234" i="3"/>
  <c r="AC241" i="3" s="1"/>
  <c r="AD234" i="3"/>
  <c r="AE234" i="3"/>
  <c r="AF234" i="3"/>
  <c r="AF241" i="3" s="1"/>
  <c r="AG234" i="3"/>
  <c r="AG241" i="3" s="1"/>
  <c r="AH234" i="3"/>
  <c r="AH241" i="3" s="1"/>
  <c r="AI234" i="3"/>
  <c r="AI241" i="3" s="1"/>
  <c r="AJ234" i="3"/>
  <c r="AJ241" i="3" s="1"/>
  <c r="AK234" i="3"/>
  <c r="AK241" i="3" s="1"/>
  <c r="AL234" i="3"/>
  <c r="AL241" i="3" s="1"/>
  <c r="AM234" i="3"/>
  <c r="AM241" i="3" s="1"/>
  <c r="AN234" i="3"/>
  <c r="AN241" i="3" s="1"/>
  <c r="AO234" i="3"/>
  <c r="AO241" i="3" s="1"/>
  <c r="AP234" i="3"/>
  <c r="AP241" i="3" s="1"/>
  <c r="AQ234" i="3"/>
  <c r="AQ241" i="3" s="1"/>
  <c r="E235" i="3"/>
  <c r="F235" i="3"/>
  <c r="G235" i="3"/>
  <c r="H235" i="3"/>
  <c r="I235" i="3"/>
  <c r="J235" i="3"/>
  <c r="K235" i="3"/>
  <c r="L235" i="3"/>
  <c r="M235" i="3"/>
  <c r="N235" i="3"/>
  <c r="O235" i="3"/>
  <c r="P235" i="3"/>
  <c r="E236" i="3"/>
  <c r="F236" i="3"/>
  <c r="G236" i="3"/>
  <c r="H236" i="3"/>
  <c r="I236" i="3"/>
  <c r="J236" i="3"/>
  <c r="K236" i="3"/>
  <c r="L236" i="3"/>
  <c r="M236" i="3"/>
  <c r="N236" i="3"/>
  <c r="O236" i="3"/>
  <c r="P236" i="3"/>
  <c r="E237" i="3"/>
  <c r="F237" i="3"/>
  <c r="G237" i="3"/>
  <c r="H237" i="3"/>
  <c r="I237" i="3"/>
  <c r="J237" i="3"/>
  <c r="K237" i="3"/>
  <c r="L237" i="3"/>
  <c r="M237" i="3"/>
  <c r="N237" i="3"/>
  <c r="O237" i="3"/>
  <c r="P237" i="3"/>
  <c r="E238" i="3"/>
  <c r="F238" i="3"/>
  <c r="G238" i="3"/>
  <c r="H238" i="3"/>
  <c r="I238" i="3"/>
  <c r="J238" i="3"/>
  <c r="K238" i="3"/>
  <c r="L238" i="3"/>
  <c r="M238" i="3"/>
  <c r="N238" i="3"/>
  <c r="O238" i="3"/>
  <c r="P238" i="3"/>
  <c r="E239" i="3"/>
  <c r="F239" i="3"/>
  <c r="G239" i="3"/>
  <c r="H239" i="3"/>
  <c r="I239" i="3"/>
  <c r="J239" i="3"/>
  <c r="K239" i="3"/>
  <c r="L239" i="3"/>
  <c r="M239" i="3"/>
  <c r="N239" i="3"/>
  <c r="O239" i="3"/>
  <c r="P239" i="3"/>
  <c r="E240" i="3"/>
  <c r="F240" i="3"/>
  <c r="G240" i="3"/>
  <c r="H240" i="3"/>
  <c r="I240" i="3"/>
  <c r="J240" i="3"/>
  <c r="K240" i="3"/>
  <c r="L240" i="3"/>
  <c r="M240" i="3"/>
  <c r="N240" i="3"/>
  <c r="O240" i="3"/>
  <c r="P240" i="3"/>
  <c r="I243" i="3"/>
  <c r="J243" i="3"/>
  <c r="K243" i="3"/>
  <c r="L243" i="3"/>
  <c r="M243" i="3"/>
  <c r="N243" i="3"/>
  <c r="O243" i="3"/>
  <c r="P243" i="3"/>
  <c r="V243" i="3"/>
  <c r="W243" i="3"/>
  <c r="AF243" i="3"/>
  <c r="E243" i="3" s="1"/>
  <c r="AG243" i="3"/>
  <c r="AH243" i="3"/>
  <c r="I244" i="3"/>
  <c r="J244" i="3"/>
  <c r="N20" i="14" s="1"/>
  <c r="K244" i="3"/>
  <c r="O20" i="14" s="1"/>
  <c r="L244" i="3"/>
  <c r="P20" i="14" s="1"/>
  <c r="M244" i="3"/>
  <c r="Q20" i="14" s="1"/>
  <c r="N244" i="3"/>
  <c r="O244" i="3"/>
  <c r="S20" i="14" s="1"/>
  <c r="P244" i="3"/>
  <c r="T20" i="14" s="1"/>
  <c r="V244" i="3"/>
  <c r="W244" i="3"/>
  <c r="G20" i="14" s="1"/>
  <c r="AF244" i="3"/>
  <c r="E244" i="3" s="1"/>
  <c r="AG244" i="3"/>
  <c r="AH244" i="3"/>
  <c r="R245" i="3"/>
  <c r="S245" i="3"/>
  <c r="T245" i="3"/>
  <c r="V245" i="3"/>
  <c r="W245" i="3"/>
  <c r="AB245" i="3"/>
  <c r="AC245" i="3"/>
  <c r="AD245" i="3"/>
  <c r="AE245" i="3"/>
  <c r="AF245" i="3"/>
  <c r="AG245" i="3"/>
  <c r="AH245" i="3"/>
  <c r="AI245" i="3"/>
  <c r="AI249" i="3" s="1"/>
  <c r="AJ245" i="3"/>
  <c r="AJ249" i="3" s="1"/>
  <c r="AK245" i="3"/>
  <c r="AK249" i="3" s="1"/>
  <c r="AL245" i="3"/>
  <c r="AL249" i="3" s="1"/>
  <c r="AM245" i="3"/>
  <c r="AM249" i="3" s="1"/>
  <c r="AN245" i="3"/>
  <c r="AN249" i="3" s="1"/>
  <c r="AO245" i="3"/>
  <c r="AO249" i="3" s="1"/>
  <c r="AP245" i="3"/>
  <c r="AP249" i="3" s="1"/>
  <c r="AQ245" i="3"/>
  <c r="AQ249" i="3" s="1"/>
  <c r="E246" i="3"/>
  <c r="F246" i="3"/>
  <c r="G246" i="3"/>
  <c r="H246" i="3"/>
  <c r="I246" i="3"/>
  <c r="J246" i="3"/>
  <c r="N19" i="14" s="1"/>
  <c r="K246" i="3"/>
  <c r="O19" i="14" s="1"/>
  <c r="L246" i="3"/>
  <c r="P19" i="14" s="1"/>
  <c r="M246" i="3"/>
  <c r="Q19" i="14" s="1"/>
  <c r="N246" i="3"/>
  <c r="R19" i="14" s="1"/>
  <c r="O246" i="3"/>
  <c r="S19" i="14" s="1"/>
  <c r="P246" i="3"/>
  <c r="T19" i="14" s="1"/>
  <c r="E247" i="3"/>
  <c r="F247" i="3"/>
  <c r="G247" i="3"/>
  <c r="H247" i="3"/>
  <c r="I247" i="3"/>
  <c r="J247" i="3"/>
  <c r="K247" i="3"/>
  <c r="L247" i="3"/>
  <c r="M247" i="3"/>
  <c r="N247" i="3"/>
  <c r="O247" i="3"/>
  <c r="P247" i="3"/>
  <c r="E248" i="3"/>
  <c r="F248" i="3"/>
  <c r="G248" i="3"/>
  <c r="H248" i="3"/>
  <c r="I248" i="3"/>
  <c r="J248" i="3"/>
  <c r="K248" i="3"/>
  <c r="L248" i="3"/>
  <c r="M248" i="3"/>
  <c r="N248" i="3"/>
  <c r="O248" i="3"/>
  <c r="P248" i="3"/>
  <c r="A2" i="14"/>
  <c r="F17" i="14"/>
  <c r="G17" i="14"/>
  <c r="K18" i="14"/>
  <c r="F19" i="14"/>
  <c r="G19" i="14"/>
  <c r="M19" i="14"/>
  <c r="F26" i="14"/>
  <c r="G26" i="14"/>
  <c r="F29" i="14"/>
  <c r="G29" i="14"/>
  <c r="F30" i="14"/>
  <c r="G30" i="14"/>
  <c r="F31" i="14"/>
  <c r="G31" i="14"/>
  <c r="M34" i="14"/>
  <c r="A2" i="41"/>
  <c r="V5" i="41"/>
  <c r="F6" i="41"/>
  <c r="G6" i="41" s="1"/>
  <c r="H6" i="41" s="1"/>
  <c r="W6" i="41"/>
  <c r="W5" i="41" s="1"/>
  <c r="D10" i="41"/>
  <c r="D24" i="41"/>
  <c r="G82" i="36" s="1"/>
  <c r="D25" i="41"/>
  <c r="D28" i="41"/>
  <c r="D29" i="41"/>
  <c r="P31" i="41"/>
  <c r="P33" i="41" s="1"/>
  <c r="P34" i="41" s="1"/>
  <c r="Q31" i="41"/>
  <c r="T220" i="38"/>
  <c r="C37" i="41"/>
  <c r="C38" i="41"/>
  <c r="C40" i="41"/>
  <c r="C41" i="41"/>
  <c r="C43" i="41"/>
  <c r="C45" i="41"/>
  <c r="C46" i="41"/>
  <c r="C47" i="41"/>
  <c r="C48" i="41"/>
  <c r="C50" i="41"/>
  <c r="C51" i="41"/>
  <c r="C52" i="41"/>
  <c r="C53" i="41"/>
  <c r="C55" i="41"/>
  <c r="C56" i="41"/>
  <c r="C61" i="41"/>
  <c r="C62" i="41"/>
  <c r="C64" i="41"/>
  <c r="C65" i="41"/>
  <c r="C67" i="41"/>
  <c r="C69" i="41"/>
  <c r="C70" i="41"/>
  <c r="C71" i="41"/>
  <c r="C72" i="41"/>
  <c r="C74" i="41"/>
  <c r="C75" i="41"/>
  <c r="C76" i="41"/>
  <c r="C77" i="41"/>
  <c r="C79" i="41"/>
  <c r="C80" i="41"/>
  <c r="C81" i="41"/>
  <c r="C82" i="41"/>
  <c r="C87" i="41"/>
  <c r="C88" i="41"/>
  <c r="C90" i="41"/>
  <c r="C91" i="41"/>
  <c r="C93" i="41"/>
  <c r="C95" i="41"/>
  <c r="C96" i="41"/>
  <c r="C97" i="41"/>
  <c r="C98" i="41"/>
  <c r="C100" i="41"/>
  <c r="C101" i="41"/>
  <c r="C102" i="41"/>
  <c r="C103" i="41"/>
  <c r="C105" i="41"/>
  <c r="C106" i="41"/>
  <c r="C107" i="41"/>
  <c r="C108" i="41"/>
  <c r="S115" i="41"/>
  <c r="T115" i="41"/>
  <c r="AB115" i="41"/>
  <c r="AC115" i="41"/>
  <c r="AD115" i="41"/>
  <c r="D120" i="41"/>
  <c r="AF122" i="41"/>
  <c r="A2" i="39"/>
  <c r="E5" i="39"/>
  <c r="V5" i="39"/>
  <c r="F6" i="39"/>
  <c r="W6" i="39"/>
  <c r="W5" i="39" s="1"/>
  <c r="AG6" i="39"/>
  <c r="AH6" i="39" s="1"/>
  <c r="AI6" i="39" s="1"/>
  <c r="AJ6" i="39" s="1"/>
  <c r="AK6" i="39" s="1"/>
  <c r="AL6" i="39" s="1"/>
  <c r="AM6" i="39" s="1"/>
  <c r="AN6" i="39" s="1"/>
  <c r="AO6" i="39" s="1"/>
  <c r="AP6" i="39" s="1"/>
  <c r="AQ6" i="39" s="1"/>
  <c r="C10" i="39"/>
  <c r="C52" i="39" s="1"/>
  <c r="E16" i="39"/>
  <c r="E231" i="39" s="1"/>
  <c r="E246" i="39" s="1"/>
  <c r="F16" i="39"/>
  <c r="F231" i="39" s="1"/>
  <c r="F246" i="39" s="1"/>
  <c r="R261" i="39" s="1"/>
  <c r="G16" i="39"/>
  <c r="G231" i="39" s="1"/>
  <c r="G246" i="39" s="1"/>
  <c r="S246" i="39" s="1"/>
  <c r="H16" i="39"/>
  <c r="H231" i="39" s="1"/>
  <c r="H246" i="39" s="1"/>
  <c r="T246" i="39" s="1"/>
  <c r="I16" i="39"/>
  <c r="I231" i="39" s="1"/>
  <c r="I246" i="39" s="1"/>
  <c r="J16" i="39"/>
  <c r="J231" i="39" s="1"/>
  <c r="J246" i="39" s="1"/>
  <c r="K16" i="39"/>
  <c r="K231" i="39" s="1"/>
  <c r="K246" i="39" s="1"/>
  <c r="L16" i="39"/>
  <c r="L231" i="39" s="1"/>
  <c r="L246" i="39" s="1"/>
  <c r="M16" i="39"/>
  <c r="M231" i="39" s="1"/>
  <c r="M246" i="39" s="1"/>
  <c r="N16" i="39"/>
  <c r="N231" i="39" s="1"/>
  <c r="N246" i="39" s="1"/>
  <c r="O16" i="39"/>
  <c r="O231" i="39" s="1"/>
  <c r="O246" i="39" s="1"/>
  <c r="P16" i="39"/>
  <c r="P231" i="39" s="1"/>
  <c r="P246" i="39" s="1"/>
  <c r="Q16" i="39"/>
  <c r="Q231" i="39" s="1"/>
  <c r="V16" i="39"/>
  <c r="V231" i="39" s="1"/>
  <c r="W16" i="39"/>
  <c r="W231" i="39" s="1"/>
  <c r="E17" i="39"/>
  <c r="E232" i="39" s="1"/>
  <c r="E247" i="39" s="1"/>
  <c r="F17" i="39"/>
  <c r="F232" i="39" s="1"/>
  <c r="F247" i="39" s="1"/>
  <c r="R262" i="39" s="1"/>
  <c r="G17" i="39"/>
  <c r="G232" i="39" s="1"/>
  <c r="G247" i="39" s="1"/>
  <c r="S247" i="39" s="1"/>
  <c r="H17" i="39"/>
  <c r="H232" i="39" s="1"/>
  <c r="H247" i="39" s="1"/>
  <c r="T247" i="39" s="1"/>
  <c r="I17" i="39"/>
  <c r="I232" i="39" s="1"/>
  <c r="I247" i="39" s="1"/>
  <c r="J17" i="39"/>
  <c r="J232" i="39" s="1"/>
  <c r="J247" i="39" s="1"/>
  <c r="K17" i="39"/>
  <c r="K232" i="39" s="1"/>
  <c r="K247" i="39" s="1"/>
  <c r="L17" i="39"/>
  <c r="L232" i="39" s="1"/>
  <c r="L247" i="39" s="1"/>
  <c r="M17" i="39"/>
  <c r="M232" i="39" s="1"/>
  <c r="M247" i="39" s="1"/>
  <c r="N17" i="39"/>
  <c r="N232" i="39" s="1"/>
  <c r="N247" i="39" s="1"/>
  <c r="O17" i="39"/>
  <c r="O232" i="39" s="1"/>
  <c r="O247" i="39" s="1"/>
  <c r="P17" i="39"/>
  <c r="P232" i="39" s="1"/>
  <c r="P247" i="39" s="1"/>
  <c r="Q17" i="39"/>
  <c r="Q232" i="39" s="1"/>
  <c r="Q247" i="39" s="1"/>
  <c r="V17" i="39"/>
  <c r="V232" i="39" s="1"/>
  <c r="W17" i="39"/>
  <c r="W232" i="39" s="1"/>
  <c r="E18" i="39"/>
  <c r="E233" i="39" s="1"/>
  <c r="E248" i="39" s="1"/>
  <c r="F18" i="39"/>
  <c r="F233" i="39" s="1"/>
  <c r="F248" i="39" s="1"/>
  <c r="R263" i="39" s="1"/>
  <c r="G18" i="39"/>
  <c r="G233" i="39" s="1"/>
  <c r="G248" i="39" s="1"/>
  <c r="S248" i="39" s="1"/>
  <c r="H18" i="39"/>
  <c r="H233" i="39" s="1"/>
  <c r="H248" i="39" s="1"/>
  <c r="T248" i="39" s="1"/>
  <c r="I18" i="39"/>
  <c r="I233" i="39" s="1"/>
  <c r="I248" i="39" s="1"/>
  <c r="J18" i="39"/>
  <c r="J233" i="39" s="1"/>
  <c r="J248" i="39" s="1"/>
  <c r="K18" i="39"/>
  <c r="K233" i="39" s="1"/>
  <c r="K248" i="39" s="1"/>
  <c r="L18" i="39"/>
  <c r="L233" i="39" s="1"/>
  <c r="L248" i="39" s="1"/>
  <c r="M18" i="39"/>
  <c r="M233" i="39" s="1"/>
  <c r="M248" i="39" s="1"/>
  <c r="N18" i="39"/>
  <c r="N233" i="39" s="1"/>
  <c r="N248" i="39" s="1"/>
  <c r="O18" i="39"/>
  <c r="O233" i="39" s="1"/>
  <c r="O248" i="39" s="1"/>
  <c r="P18" i="39"/>
  <c r="P233" i="39" s="1"/>
  <c r="P248" i="39" s="1"/>
  <c r="Q18" i="39"/>
  <c r="Q233" i="39" s="1"/>
  <c r="Q248" i="39" s="1"/>
  <c r="V18" i="39"/>
  <c r="V233" i="39" s="1"/>
  <c r="W18" i="39"/>
  <c r="W233" i="39" s="1"/>
  <c r="E19" i="39"/>
  <c r="E234" i="39" s="1"/>
  <c r="E249" i="39" s="1"/>
  <c r="F19" i="39"/>
  <c r="F234" i="39" s="1"/>
  <c r="F249" i="39" s="1"/>
  <c r="R264" i="39" s="1"/>
  <c r="G19" i="39"/>
  <c r="G234" i="39" s="1"/>
  <c r="G249" i="39" s="1"/>
  <c r="S249" i="39" s="1"/>
  <c r="H19" i="39"/>
  <c r="H234" i="39" s="1"/>
  <c r="I19" i="39"/>
  <c r="I234" i="39" s="1"/>
  <c r="I249" i="39" s="1"/>
  <c r="J19" i="39"/>
  <c r="J234" i="39" s="1"/>
  <c r="J249" i="39" s="1"/>
  <c r="K19" i="39"/>
  <c r="K234" i="39" s="1"/>
  <c r="K249" i="39" s="1"/>
  <c r="L19" i="39"/>
  <c r="L234" i="39" s="1"/>
  <c r="L249" i="39" s="1"/>
  <c r="M19" i="39"/>
  <c r="M234" i="39" s="1"/>
  <c r="M249" i="39" s="1"/>
  <c r="N19" i="39"/>
  <c r="N234" i="39" s="1"/>
  <c r="N249" i="39" s="1"/>
  <c r="O19" i="39"/>
  <c r="O234" i="39" s="1"/>
  <c r="O249" i="39" s="1"/>
  <c r="P19" i="39"/>
  <c r="P234" i="39" s="1"/>
  <c r="Q19" i="39"/>
  <c r="Q234" i="39" s="1"/>
  <c r="Q249" i="39" s="1"/>
  <c r="V19" i="39"/>
  <c r="V234" i="39" s="1"/>
  <c r="W19" i="39"/>
  <c r="W234" i="39" s="1"/>
  <c r="E20" i="39"/>
  <c r="E235" i="39" s="1"/>
  <c r="E250" i="39" s="1"/>
  <c r="F20" i="39"/>
  <c r="F235" i="39" s="1"/>
  <c r="F250" i="39" s="1"/>
  <c r="R265" i="39" s="1"/>
  <c r="G20" i="39"/>
  <c r="G235" i="39" s="1"/>
  <c r="G250" i="39" s="1"/>
  <c r="S250" i="39" s="1"/>
  <c r="H20" i="39"/>
  <c r="H235" i="39" s="1"/>
  <c r="H250" i="39" s="1"/>
  <c r="T250" i="39" s="1"/>
  <c r="I20" i="39"/>
  <c r="I235" i="39" s="1"/>
  <c r="I250" i="39" s="1"/>
  <c r="J20" i="39"/>
  <c r="J235" i="39" s="1"/>
  <c r="J250" i="39" s="1"/>
  <c r="K20" i="39"/>
  <c r="K235" i="39" s="1"/>
  <c r="K250" i="39" s="1"/>
  <c r="L20" i="39"/>
  <c r="L235" i="39" s="1"/>
  <c r="L250" i="39" s="1"/>
  <c r="M20" i="39"/>
  <c r="M235" i="39" s="1"/>
  <c r="M250" i="39" s="1"/>
  <c r="N20" i="39"/>
  <c r="N235" i="39" s="1"/>
  <c r="N250" i="39" s="1"/>
  <c r="O20" i="39"/>
  <c r="O235" i="39" s="1"/>
  <c r="O250" i="39" s="1"/>
  <c r="P20" i="39"/>
  <c r="P235" i="39" s="1"/>
  <c r="P250" i="39" s="1"/>
  <c r="Q20" i="39"/>
  <c r="Q235" i="39" s="1"/>
  <c r="Q250" i="39" s="1"/>
  <c r="V20" i="39"/>
  <c r="V235" i="39" s="1"/>
  <c r="W20" i="39"/>
  <c r="W235" i="39" s="1"/>
  <c r="E21" i="39"/>
  <c r="E236" i="39" s="1"/>
  <c r="E251" i="39" s="1"/>
  <c r="F21" i="39"/>
  <c r="F236" i="39" s="1"/>
  <c r="F251" i="39" s="1"/>
  <c r="R266" i="39" s="1"/>
  <c r="G21" i="39"/>
  <c r="G236" i="39" s="1"/>
  <c r="G251" i="39" s="1"/>
  <c r="S251" i="39" s="1"/>
  <c r="H21" i="39"/>
  <c r="H236" i="39" s="1"/>
  <c r="H251" i="39" s="1"/>
  <c r="T251" i="39" s="1"/>
  <c r="I21" i="39"/>
  <c r="I236" i="39" s="1"/>
  <c r="I251" i="39" s="1"/>
  <c r="J21" i="39"/>
  <c r="J236" i="39" s="1"/>
  <c r="J251" i="39" s="1"/>
  <c r="K21" i="39"/>
  <c r="K236" i="39" s="1"/>
  <c r="K251" i="39" s="1"/>
  <c r="L21" i="39"/>
  <c r="L236" i="39" s="1"/>
  <c r="L251" i="39" s="1"/>
  <c r="M21" i="39"/>
  <c r="M236" i="39" s="1"/>
  <c r="M251" i="39" s="1"/>
  <c r="N21" i="39"/>
  <c r="N236" i="39" s="1"/>
  <c r="N251" i="39" s="1"/>
  <c r="O21" i="39"/>
  <c r="O236" i="39" s="1"/>
  <c r="O251" i="39" s="1"/>
  <c r="P21" i="39"/>
  <c r="P236" i="39" s="1"/>
  <c r="P251" i="39" s="1"/>
  <c r="Q21" i="39"/>
  <c r="Q236" i="39" s="1"/>
  <c r="Q251" i="39" s="1"/>
  <c r="V21" i="39"/>
  <c r="V236" i="39" s="1"/>
  <c r="W21" i="39"/>
  <c r="W236" i="39" s="1"/>
  <c r="E22" i="39"/>
  <c r="E237" i="39" s="1"/>
  <c r="E252" i="39" s="1"/>
  <c r="F22" i="39"/>
  <c r="F237" i="39" s="1"/>
  <c r="F252" i="39" s="1"/>
  <c r="R267" i="39" s="1"/>
  <c r="G22" i="39"/>
  <c r="G237" i="39" s="1"/>
  <c r="G252" i="39" s="1"/>
  <c r="S252" i="39" s="1"/>
  <c r="H22" i="39"/>
  <c r="H237" i="39" s="1"/>
  <c r="H252" i="39" s="1"/>
  <c r="T252" i="39" s="1"/>
  <c r="I22" i="39"/>
  <c r="I237" i="39" s="1"/>
  <c r="I252" i="39" s="1"/>
  <c r="J22" i="39"/>
  <c r="J237" i="39" s="1"/>
  <c r="J252" i="39" s="1"/>
  <c r="K22" i="39"/>
  <c r="K237" i="39" s="1"/>
  <c r="K252" i="39" s="1"/>
  <c r="L22" i="39"/>
  <c r="L237" i="39" s="1"/>
  <c r="L252" i="39" s="1"/>
  <c r="M22" i="39"/>
  <c r="M237" i="39" s="1"/>
  <c r="M252" i="39" s="1"/>
  <c r="N22" i="39"/>
  <c r="N237" i="39" s="1"/>
  <c r="N252" i="39" s="1"/>
  <c r="N267" i="39" s="1"/>
  <c r="O22" i="39"/>
  <c r="O237" i="39" s="1"/>
  <c r="O252" i="39" s="1"/>
  <c r="P22" i="39"/>
  <c r="P237" i="39" s="1"/>
  <c r="P252" i="39" s="1"/>
  <c r="Q22" i="39"/>
  <c r="Q237" i="39" s="1"/>
  <c r="Q252" i="39" s="1"/>
  <c r="V22" i="39"/>
  <c r="V237" i="39" s="1"/>
  <c r="W22" i="39"/>
  <c r="W237" i="39" s="1"/>
  <c r="E26" i="39"/>
  <c r="E239" i="39" s="1"/>
  <c r="E254" i="39" s="1"/>
  <c r="F26" i="39"/>
  <c r="F239" i="39" s="1"/>
  <c r="F254" i="39" s="1"/>
  <c r="R269" i="39" s="1"/>
  <c r="G26" i="39"/>
  <c r="G239" i="39" s="1"/>
  <c r="G254" i="39" s="1"/>
  <c r="S254" i="39" s="1"/>
  <c r="H26" i="39"/>
  <c r="H239" i="39" s="1"/>
  <c r="H254" i="39" s="1"/>
  <c r="I26" i="39"/>
  <c r="I239" i="39" s="1"/>
  <c r="I254" i="39" s="1"/>
  <c r="J26" i="39"/>
  <c r="J239" i="39" s="1"/>
  <c r="J254" i="39" s="1"/>
  <c r="K26" i="39"/>
  <c r="L26" i="39"/>
  <c r="O9" i="37" s="1"/>
  <c r="M26" i="39"/>
  <c r="N26" i="39"/>
  <c r="O26" i="39"/>
  <c r="P26" i="39"/>
  <c r="Q26" i="39"/>
  <c r="V26" i="39"/>
  <c r="F9" i="37" s="1"/>
  <c r="W26" i="39"/>
  <c r="W239" i="39" s="1"/>
  <c r="E27" i="39"/>
  <c r="E240" i="39" s="1"/>
  <c r="E255" i="39" s="1"/>
  <c r="F27" i="39"/>
  <c r="F240" i="39" s="1"/>
  <c r="F255" i="39" s="1"/>
  <c r="R270" i="39" s="1"/>
  <c r="G27" i="39"/>
  <c r="G240" i="39" s="1"/>
  <c r="G255" i="39" s="1"/>
  <c r="S255" i="39" s="1"/>
  <c r="H27" i="39"/>
  <c r="H240" i="39" s="1"/>
  <c r="H255" i="39" s="1"/>
  <c r="T255" i="39" s="1"/>
  <c r="I27" i="39"/>
  <c r="I240" i="39" s="1"/>
  <c r="I255" i="39" s="1"/>
  <c r="J27" i="39"/>
  <c r="J240" i="39" s="1"/>
  <c r="J255" i="39" s="1"/>
  <c r="K27" i="39"/>
  <c r="K240" i="39" s="1"/>
  <c r="K255" i="39" s="1"/>
  <c r="L27" i="39"/>
  <c r="L240" i="39" s="1"/>
  <c r="L255" i="39" s="1"/>
  <c r="M27" i="39"/>
  <c r="M240" i="39" s="1"/>
  <c r="M255" i="39" s="1"/>
  <c r="N27" i="39"/>
  <c r="N240" i="39" s="1"/>
  <c r="N255" i="39" s="1"/>
  <c r="O27" i="39"/>
  <c r="O240" i="39" s="1"/>
  <c r="O255" i="39" s="1"/>
  <c r="P27" i="39"/>
  <c r="P240" i="39" s="1"/>
  <c r="P255" i="39" s="1"/>
  <c r="Q27" i="39"/>
  <c r="Q240" i="39" s="1"/>
  <c r="Q255" i="39" s="1"/>
  <c r="V27" i="39"/>
  <c r="V240" i="39" s="1"/>
  <c r="W27" i="39"/>
  <c r="W240" i="39" s="1"/>
  <c r="E30" i="39"/>
  <c r="E241" i="39" s="1"/>
  <c r="E256" i="39" s="1"/>
  <c r="F30" i="39"/>
  <c r="F241" i="39" s="1"/>
  <c r="F256" i="39" s="1"/>
  <c r="R271" i="39" s="1"/>
  <c r="G30" i="39"/>
  <c r="G241" i="39" s="1"/>
  <c r="G256" i="39" s="1"/>
  <c r="H30" i="39"/>
  <c r="H241" i="39" s="1"/>
  <c r="H256" i="39" s="1"/>
  <c r="I30" i="39"/>
  <c r="I241" i="39" s="1"/>
  <c r="I256" i="39" s="1"/>
  <c r="J30" i="39"/>
  <c r="J241" i="39" s="1"/>
  <c r="J256" i="39" s="1"/>
  <c r="K30" i="39"/>
  <c r="K241" i="39" s="1"/>
  <c r="K256" i="39" s="1"/>
  <c r="L30" i="39"/>
  <c r="L241" i="39" s="1"/>
  <c r="L256" i="39" s="1"/>
  <c r="M30" i="39"/>
  <c r="M241" i="39" s="1"/>
  <c r="M256" i="39" s="1"/>
  <c r="N30" i="39"/>
  <c r="N241" i="39" s="1"/>
  <c r="N256" i="39" s="1"/>
  <c r="O30" i="39"/>
  <c r="O241" i="39" s="1"/>
  <c r="O256" i="39" s="1"/>
  <c r="P30" i="39"/>
  <c r="P241" i="39" s="1"/>
  <c r="P256" i="39" s="1"/>
  <c r="Q30" i="39"/>
  <c r="Q241" i="39" s="1"/>
  <c r="Q256" i="39" s="1"/>
  <c r="V30" i="39"/>
  <c r="V241" i="39" s="1"/>
  <c r="W30" i="39"/>
  <c r="W241" i="39" s="1"/>
  <c r="E33" i="39"/>
  <c r="F33" i="39"/>
  <c r="G33" i="39"/>
  <c r="H33" i="39"/>
  <c r="I33" i="39"/>
  <c r="J33" i="39"/>
  <c r="K33" i="39"/>
  <c r="L33" i="39"/>
  <c r="M33" i="39"/>
  <c r="N33" i="39"/>
  <c r="O33" i="39"/>
  <c r="Q33" i="39"/>
  <c r="V33" i="39"/>
  <c r="W33" i="39"/>
  <c r="E36" i="39"/>
  <c r="F36" i="39"/>
  <c r="G36" i="39"/>
  <c r="H36" i="39"/>
  <c r="I36" i="39"/>
  <c r="J36" i="39"/>
  <c r="K36" i="39"/>
  <c r="N15" i="37" s="1"/>
  <c r="L36" i="39"/>
  <c r="O15" i="37" s="1"/>
  <c r="M36" i="39"/>
  <c r="P15" i="37" s="1"/>
  <c r="N36" i="39"/>
  <c r="Q15" i="37" s="1"/>
  <c r="O36" i="39"/>
  <c r="R15" i="37" s="1"/>
  <c r="P36" i="39"/>
  <c r="S15" i="37" s="1"/>
  <c r="Q36" i="39"/>
  <c r="T15" i="37" s="1"/>
  <c r="V36" i="39"/>
  <c r="F15" i="37" s="1"/>
  <c r="W36" i="39"/>
  <c r="G15" i="37" s="1"/>
  <c r="E37" i="39"/>
  <c r="F37" i="39"/>
  <c r="G37" i="39"/>
  <c r="H37" i="39"/>
  <c r="I37" i="39"/>
  <c r="J37" i="39"/>
  <c r="K37" i="39"/>
  <c r="L37" i="39"/>
  <c r="M37" i="39"/>
  <c r="N37" i="39"/>
  <c r="O37" i="39"/>
  <c r="P37" i="39"/>
  <c r="Q37" i="39"/>
  <c r="V37" i="39"/>
  <c r="W37" i="39"/>
  <c r="C53" i="39"/>
  <c r="C54" i="39"/>
  <c r="C55" i="39"/>
  <c r="E92" i="39"/>
  <c r="F92" i="39"/>
  <c r="F10" i="39" s="1"/>
  <c r="G92" i="39"/>
  <c r="G12" i="52" s="1"/>
  <c r="H92" i="39"/>
  <c r="H10" i="39" s="1"/>
  <c r="I92" i="39"/>
  <c r="I12" i="52" s="1"/>
  <c r="J92" i="39"/>
  <c r="J10" i="39" s="1"/>
  <c r="K92" i="39"/>
  <c r="K12" i="52" s="1"/>
  <c r="L92" i="39"/>
  <c r="L10" i="39" s="1"/>
  <c r="M92" i="39"/>
  <c r="N92" i="39"/>
  <c r="N10" i="39" s="1"/>
  <c r="O92" i="39"/>
  <c r="O12" i="52" s="1"/>
  <c r="P92" i="39"/>
  <c r="P12" i="52" s="1"/>
  <c r="Q92" i="39"/>
  <c r="Q12" i="52" s="1"/>
  <c r="V92" i="39"/>
  <c r="V10" i="39" s="1"/>
  <c r="W92" i="39"/>
  <c r="W10" i="39" s="1"/>
  <c r="S103" i="39"/>
  <c r="E96" i="39"/>
  <c r="E98" i="39" s="1"/>
  <c r="F96" i="39"/>
  <c r="F111" i="39" s="1"/>
  <c r="G96" i="39"/>
  <c r="G98" i="39" s="1"/>
  <c r="H96" i="39"/>
  <c r="H98" i="39" s="1"/>
  <c r="I96" i="39"/>
  <c r="I98" i="39" s="1"/>
  <c r="J96" i="39"/>
  <c r="J98" i="39" s="1"/>
  <c r="K96" i="39"/>
  <c r="K98" i="39" s="1"/>
  <c r="L96" i="39"/>
  <c r="L111" i="39" s="1"/>
  <c r="M96" i="39"/>
  <c r="M22" i="52" s="1"/>
  <c r="N96" i="39"/>
  <c r="N111" i="39" s="1"/>
  <c r="O98" i="39"/>
  <c r="P98" i="39"/>
  <c r="Q98" i="39"/>
  <c r="V98" i="39"/>
  <c r="W98" i="39"/>
  <c r="E100" i="39"/>
  <c r="E11" i="39" s="1"/>
  <c r="F100" i="39"/>
  <c r="F17" i="52" s="1"/>
  <c r="G100" i="39"/>
  <c r="G11" i="39" s="1"/>
  <c r="H100" i="39"/>
  <c r="H11" i="39" s="1"/>
  <c r="I100" i="39"/>
  <c r="I11" i="39" s="1"/>
  <c r="J100" i="39"/>
  <c r="J11" i="39" s="1"/>
  <c r="K100" i="39"/>
  <c r="K11" i="39" s="1"/>
  <c r="L100" i="39"/>
  <c r="L11" i="39" s="1"/>
  <c r="M100" i="39"/>
  <c r="M11" i="39" s="1"/>
  <c r="N100" i="39"/>
  <c r="N17" i="52" s="1"/>
  <c r="O100" i="39"/>
  <c r="O11" i="39" s="1"/>
  <c r="P100" i="39"/>
  <c r="P11" i="39" s="1"/>
  <c r="Q100" i="39"/>
  <c r="Q11" i="39" s="1"/>
  <c r="V100" i="39"/>
  <c r="V11" i="39" s="1"/>
  <c r="W100" i="39"/>
  <c r="W17" i="52" s="1"/>
  <c r="E103" i="39"/>
  <c r="F103" i="39"/>
  <c r="G103" i="39"/>
  <c r="H103" i="39"/>
  <c r="I103" i="39"/>
  <c r="J103" i="39"/>
  <c r="K103" i="39"/>
  <c r="L103" i="39"/>
  <c r="M103" i="39"/>
  <c r="N103" i="39"/>
  <c r="O103" i="39"/>
  <c r="P103" i="39"/>
  <c r="Q103" i="39"/>
  <c r="V103" i="39"/>
  <c r="W103" i="39"/>
  <c r="E110" i="39"/>
  <c r="F110" i="39"/>
  <c r="G110" i="39"/>
  <c r="H110" i="39"/>
  <c r="I110" i="39"/>
  <c r="J110" i="39"/>
  <c r="K110" i="39"/>
  <c r="L110" i="39"/>
  <c r="M110" i="39"/>
  <c r="N110" i="39"/>
  <c r="O110" i="39"/>
  <c r="P110" i="39"/>
  <c r="Q110" i="39"/>
  <c r="O111" i="39"/>
  <c r="P111" i="39"/>
  <c r="Q111" i="39"/>
  <c r="E112" i="39"/>
  <c r="F112" i="39"/>
  <c r="G112" i="39"/>
  <c r="H112" i="39"/>
  <c r="I112" i="39"/>
  <c r="J112" i="39"/>
  <c r="K112" i="39"/>
  <c r="L112" i="39"/>
  <c r="M112" i="39"/>
  <c r="N112" i="39"/>
  <c r="O112" i="39"/>
  <c r="P112" i="39"/>
  <c r="Q112" i="39"/>
  <c r="T112" i="39" s="1"/>
  <c r="E117" i="39"/>
  <c r="F117" i="39"/>
  <c r="G117" i="39"/>
  <c r="H117" i="39"/>
  <c r="I117" i="39"/>
  <c r="J117" i="39"/>
  <c r="K117" i="39"/>
  <c r="L117" i="39"/>
  <c r="M117" i="39"/>
  <c r="N117" i="39"/>
  <c r="O117" i="39"/>
  <c r="P117" i="39"/>
  <c r="Q117" i="39"/>
  <c r="V117" i="39"/>
  <c r="W117" i="39"/>
  <c r="E118" i="39"/>
  <c r="F118" i="39"/>
  <c r="G118" i="39"/>
  <c r="H118" i="39"/>
  <c r="I118" i="39"/>
  <c r="J118" i="39"/>
  <c r="K118" i="39"/>
  <c r="L118" i="39"/>
  <c r="M118" i="39"/>
  <c r="N118" i="39"/>
  <c r="O118" i="39"/>
  <c r="P118" i="39"/>
  <c r="Q118" i="39"/>
  <c r="V118" i="39"/>
  <c r="W118" i="39"/>
  <c r="E119" i="39"/>
  <c r="F119" i="39"/>
  <c r="G119" i="39"/>
  <c r="H119" i="39"/>
  <c r="I119" i="39"/>
  <c r="J119" i="39"/>
  <c r="K119" i="39"/>
  <c r="L119" i="39"/>
  <c r="M119" i="39"/>
  <c r="N119" i="39"/>
  <c r="O119" i="39"/>
  <c r="P119" i="39"/>
  <c r="Q119" i="39"/>
  <c r="V119" i="39"/>
  <c r="W119" i="39"/>
  <c r="E130" i="39"/>
  <c r="E154" i="39" s="1"/>
  <c r="E52" i="52" s="1"/>
  <c r="F130" i="39"/>
  <c r="G130" i="39"/>
  <c r="H130" i="39"/>
  <c r="I130" i="39"/>
  <c r="J130" i="39"/>
  <c r="J157" i="39" s="1"/>
  <c r="J55" i="52" s="1"/>
  <c r="K130" i="39"/>
  <c r="K154" i="39" s="1"/>
  <c r="L130" i="39"/>
  <c r="L155" i="39" s="1"/>
  <c r="L54" i="52" s="1"/>
  <c r="M130" i="39"/>
  <c r="N130" i="39"/>
  <c r="O130" i="39"/>
  <c r="P130" i="39"/>
  <c r="P137" i="39" s="1"/>
  <c r="Q130" i="39"/>
  <c r="V130" i="39"/>
  <c r="V154" i="39" s="1"/>
  <c r="V52" i="52" s="1"/>
  <c r="W130" i="39"/>
  <c r="W156" i="39" s="1"/>
  <c r="C154" i="39"/>
  <c r="C156" i="39"/>
  <c r="C155" i="39"/>
  <c r="C157" i="39"/>
  <c r="E215" i="39"/>
  <c r="F215" i="39"/>
  <c r="R222" i="39" s="1"/>
  <c r="G215" i="39"/>
  <c r="H215" i="39"/>
  <c r="I162" i="39"/>
  <c r="I169" i="39" s="1"/>
  <c r="J162" i="39"/>
  <c r="K162" i="39"/>
  <c r="L162" i="39"/>
  <c r="M162" i="39"/>
  <c r="M169" i="39" s="1"/>
  <c r="N162" i="39"/>
  <c r="O162" i="39"/>
  <c r="P162" i="39"/>
  <c r="P169" i="39" s="1"/>
  <c r="Q162" i="39"/>
  <c r="Q169" i="39" s="1"/>
  <c r="S162" i="39"/>
  <c r="T162" i="39"/>
  <c r="I161" i="39"/>
  <c r="I168" i="39" s="1"/>
  <c r="J161" i="39"/>
  <c r="J168" i="39" s="1"/>
  <c r="K161" i="39"/>
  <c r="K168" i="39" s="1"/>
  <c r="L161" i="39"/>
  <c r="L168" i="39" s="1"/>
  <c r="M161" i="39"/>
  <c r="M168" i="39" s="1"/>
  <c r="N161" i="39"/>
  <c r="N168" i="39" s="1"/>
  <c r="O161" i="39"/>
  <c r="O168" i="39" s="1"/>
  <c r="P161" i="39"/>
  <c r="P168" i="39" s="1"/>
  <c r="Q161" i="39"/>
  <c r="Q168" i="39" s="1"/>
  <c r="S161" i="39"/>
  <c r="T161" i="39"/>
  <c r="I163" i="39"/>
  <c r="J163" i="39"/>
  <c r="K163" i="39"/>
  <c r="K170" i="39" s="1"/>
  <c r="L163" i="39"/>
  <c r="M163" i="39"/>
  <c r="N163" i="39"/>
  <c r="O163" i="39"/>
  <c r="P163" i="39"/>
  <c r="Q163" i="39"/>
  <c r="S163" i="39"/>
  <c r="T163" i="39"/>
  <c r="V164" i="39"/>
  <c r="W164" i="39"/>
  <c r="W67" i="52" s="1"/>
  <c r="W173" i="39"/>
  <c r="W175" i="39"/>
  <c r="W174" i="39"/>
  <c r="W176" i="39"/>
  <c r="I177" i="39"/>
  <c r="J177" i="39"/>
  <c r="K177" i="39"/>
  <c r="K140" i="39" s="1"/>
  <c r="L177" i="39"/>
  <c r="L140" i="39" s="1"/>
  <c r="M177" i="39"/>
  <c r="M140" i="39" s="1"/>
  <c r="N177" i="39"/>
  <c r="N140" i="39" s="1"/>
  <c r="O177" i="39"/>
  <c r="P177" i="39"/>
  <c r="Q177" i="39"/>
  <c r="V180" i="39"/>
  <c r="E182" i="39"/>
  <c r="F182" i="39"/>
  <c r="G182" i="39"/>
  <c r="H182" i="39"/>
  <c r="V182" i="39"/>
  <c r="E181" i="39"/>
  <c r="F181" i="39"/>
  <c r="G181" i="39"/>
  <c r="H181" i="39"/>
  <c r="V181" i="39"/>
  <c r="E183" i="39"/>
  <c r="F183" i="39"/>
  <c r="G183" i="39"/>
  <c r="H183" i="39"/>
  <c r="V183" i="39"/>
  <c r="E184" i="39"/>
  <c r="F184" i="39"/>
  <c r="G184" i="39"/>
  <c r="H184" i="39"/>
  <c r="I184" i="39"/>
  <c r="J184" i="39"/>
  <c r="K184" i="39"/>
  <c r="L184" i="39"/>
  <c r="M184" i="39"/>
  <c r="M141" i="39" s="1"/>
  <c r="N184" i="39"/>
  <c r="O184" i="39"/>
  <c r="P184" i="39"/>
  <c r="Q184" i="39"/>
  <c r="E201" i="39"/>
  <c r="F201" i="39"/>
  <c r="R208" i="39" s="1"/>
  <c r="G201" i="39"/>
  <c r="S201" i="39" s="1"/>
  <c r="H201" i="39"/>
  <c r="P201" i="39" s="1"/>
  <c r="I189" i="39"/>
  <c r="I203" i="39" s="1"/>
  <c r="J189" i="39"/>
  <c r="K189" i="39"/>
  <c r="M189" i="39"/>
  <c r="M203" i="39" s="1"/>
  <c r="N189" i="39"/>
  <c r="O189" i="39"/>
  <c r="O203" i="39" s="1"/>
  <c r="Q189" i="39"/>
  <c r="Q203" i="39" s="1"/>
  <c r="W189" i="39"/>
  <c r="I188" i="39"/>
  <c r="J188" i="39"/>
  <c r="K188" i="39"/>
  <c r="M188" i="39"/>
  <c r="N188" i="39"/>
  <c r="O188" i="39"/>
  <c r="O202" i="39" s="1"/>
  <c r="Q188" i="39"/>
  <c r="W188" i="39"/>
  <c r="I190" i="39"/>
  <c r="I204" i="39" s="1"/>
  <c r="J190" i="39"/>
  <c r="J204" i="39" s="1"/>
  <c r="K190" i="39"/>
  <c r="K204" i="39" s="1"/>
  <c r="M190" i="39"/>
  <c r="M204" i="39" s="1"/>
  <c r="N190" i="39"/>
  <c r="O190" i="39"/>
  <c r="O204" i="39" s="1"/>
  <c r="Q190" i="39"/>
  <c r="Q204" i="39" s="1"/>
  <c r="W190" i="39"/>
  <c r="W183" i="39" s="1"/>
  <c r="I198" i="39"/>
  <c r="J198" i="39"/>
  <c r="K198" i="39"/>
  <c r="L198" i="39"/>
  <c r="M198" i="39"/>
  <c r="N198" i="39"/>
  <c r="O198" i="39"/>
  <c r="P198" i="39"/>
  <c r="Q198" i="39"/>
  <c r="W198" i="39"/>
  <c r="V201" i="39"/>
  <c r="E203" i="39"/>
  <c r="F203" i="39"/>
  <c r="R210" i="39" s="1"/>
  <c r="G203" i="39"/>
  <c r="S203" i="39" s="1"/>
  <c r="H203" i="39"/>
  <c r="P203" i="39" s="1"/>
  <c r="P189" i="39" s="1"/>
  <c r="V203" i="39"/>
  <c r="E202" i="39"/>
  <c r="F202" i="39"/>
  <c r="R209" i="39" s="1"/>
  <c r="G202" i="39"/>
  <c r="H202" i="39"/>
  <c r="L202" i="39" s="1"/>
  <c r="L188" i="39" s="1"/>
  <c r="V202" i="39"/>
  <c r="E204" i="39"/>
  <c r="F204" i="39"/>
  <c r="R211" i="39" s="1"/>
  <c r="G204" i="39"/>
  <c r="H204" i="39"/>
  <c r="L204" i="39" s="1"/>
  <c r="L190" i="39" s="1"/>
  <c r="L197" i="39" s="1"/>
  <c r="V204" i="39"/>
  <c r="V215" i="39"/>
  <c r="W215" i="39"/>
  <c r="E217" i="39"/>
  <c r="F217" i="39"/>
  <c r="R224" i="39" s="1"/>
  <c r="G217" i="39"/>
  <c r="H217" i="39"/>
  <c r="V217" i="39"/>
  <c r="W217" i="39"/>
  <c r="E216" i="39"/>
  <c r="F216" i="39"/>
  <c r="R223" i="39" s="1"/>
  <c r="G216" i="39"/>
  <c r="H216" i="39"/>
  <c r="V216" i="39"/>
  <c r="W216" i="39"/>
  <c r="E218" i="39"/>
  <c r="F218" i="39"/>
  <c r="R225" i="39" s="1"/>
  <c r="G218" i="39"/>
  <c r="H218" i="39"/>
  <c r="V218" i="39"/>
  <c r="W218" i="39"/>
  <c r="C246" i="39"/>
  <c r="C247" i="39"/>
  <c r="C248" i="39"/>
  <c r="C249" i="39"/>
  <c r="C250" i="39"/>
  <c r="C251" i="39"/>
  <c r="C252" i="39"/>
  <c r="C253" i="39"/>
  <c r="C254" i="39"/>
  <c r="C255" i="39"/>
  <c r="C256" i="39"/>
  <c r="C261" i="39"/>
  <c r="C262" i="39"/>
  <c r="C263" i="39"/>
  <c r="C264" i="39"/>
  <c r="C265" i="39"/>
  <c r="C266" i="39"/>
  <c r="C267" i="39"/>
  <c r="C268" i="39"/>
  <c r="C269" i="39"/>
  <c r="C270" i="39"/>
  <c r="C271" i="39"/>
  <c r="C272" i="39"/>
  <c r="E281" i="39"/>
  <c r="E285" i="39" s="1"/>
  <c r="F281" i="39"/>
  <c r="F285" i="39" s="1"/>
  <c r="G281" i="39"/>
  <c r="G285" i="39" s="1"/>
  <c r="G62" i="38" s="1"/>
  <c r="H281" i="39"/>
  <c r="H285" i="39" s="1"/>
  <c r="I281" i="39"/>
  <c r="I285" i="39" s="1"/>
  <c r="I15" i="39" s="1"/>
  <c r="J281" i="39"/>
  <c r="J285" i="39" s="1"/>
  <c r="K281" i="39"/>
  <c r="K285" i="39" s="1"/>
  <c r="K62" i="38" s="1"/>
  <c r="L281" i="39"/>
  <c r="L285" i="39" s="1"/>
  <c r="L62" i="38" s="1"/>
  <c r="M281" i="39"/>
  <c r="M285" i="39" s="1"/>
  <c r="M62" i="38" s="1"/>
  <c r="N281" i="39"/>
  <c r="N285" i="39" s="1"/>
  <c r="N62" i="38" s="1"/>
  <c r="O281" i="39"/>
  <c r="O285" i="39" s="1"/>
  <c r="O62" i="38" s="1"/>
  <c r="P281" i="39"/>
  <c r="P285" i="39" s="1"/>
  <c r="Q281" i="39"/>
  <c r="Q285" i="39" s="1"/>
  <c r="Q15" i="39" s="1"/>
  <c r="V281" i="39"/>
  <c r="V285" i="39" s="1"/>
  <c r="W281" i="39"/>
  <c r="W285" i="39" s="1"/>
  <c r="E294" i="39"/>
  <c r="F294" i="39"/>
  <c r="R312" i="39" s="1"/>
  <c r="G294" i="39"/>
  <c r="H294" i="39"/>
  <c r="I294" i="39"/>
  <c r="J294" i="39"/>
  <c r="K294" i="39"/>
  <c r="L294" i="39"/>
  <c r="M294" i="39"/>
  <c r="N294" i="39"/>
  <c r="O294" i="39"/>
  <c r="P294" i="39"/>
  <c r="Q294" i="39"/>
  <c r="V294" i="39"/>
  <c r="W294" i="39"/>
  <c r="E295" i="39"/>
  <c r="F295" i="39"/>
  <c r="G295" i="39"/>
  <c r="H295" i="39"/>
  <c r="I295" i="39"/>
  <c r="J295" i="39"/>
  <c r="K295" i="39"/>
  <c r="L295" i="39"/>
  <c r="M295" i="39"/>
  <c r="N295" i="39"/>
  <c r="O295" i="39"/>
  <c r="P295" i="39"/>
  <c r="Q295" i="39"/>
  <c r="V295" i="39"/>
  <c r="W295" i="39"/>
  <c r="E296" i="39"/>
  <c r="F296" i="39"/>
  <c r="G296" i="39"/>
  <c r="H296" i="39"/>
  <c r="I296" i="39"/>
  <c r="J296" i="39"/>
  <c r="K296" i="39"/>
  <c r="L296" i="39"/>
  <c r="M296" i="39"/>
  <c r="N296" i="39"/>
  <c r="O296" i="39"/>
  <c r="P296" i="39"/>
  <c r="Q296" i="39"/>
  <c r="V296" i="39"/>
  <c r="W296" i="39"/>
  <c r="E297" i="39"/>
  <c r="F297" i="39"/>
  <c r="G297" i="39"/>
  <c r="H297" i="39"/>
  <c r="I297" i="39"/>
  <c r="J297" i="39"/>
  <c r="K297" i="39"/>
  <c r="L297" i="39"/>
  <c r="M297" i="39"/>
  <c r="N297" i="39"/>
  <c r="O297" i="39"/>
  <c r="P297" i="39"/>
  <c r="Q297" i="39"/>
  <c r="V297" i="39"/>
  <c r="W297" i="39"/>
  <c r="C300" i="39"/>
  <c r="E300" i="39"/>
  <c r="F300" i="39"/>
  <c r="G300" i="39"/>
  <c r="H300" i="39"/>
  <c r="I300" i="39"/>
  <c r="J300" i="39"/>
  <c r="K300" i="39"/>
  <c r="L300" i="39"/>
  <c r="M300" i="39"/>
  <c r="N300" i="39"/>
  <c r="O300" i="39"/>
  <c r="P300" i="39"/>
  <c r="Q300" i="39"/>
  <c r="V300" i="39"/>
  <c r="W300" i="39"/>
  <c r="C301" i="39"/>
  <c r="E301" i="39"/>
  <c r="F301" i="39"/>
  <c r="G301" i="39"/>
  <c r="H301" i="39"/>
  <c r="I301" i="39"/>
  <c r="J301" i="39"/>
  <c r="K301" i="39"/>
  <c r="L301" i="39"/>
  <c r="M301" i="39"/>
  <c r="N301" i="39"/>
  <c r="O301" i="39"/>
  <c r="P301" i="39"/>
  <c r="Q301" i="39"/>
  <c r="V301" i="39"/>
  <c r="W301" i="39"/>
  <c r="E305" i="39"/>
  <c r="F305" i="39"/>
  <c r="R309" i="39" s="1"/>
  <c r="G305" i="39"/>
  <c r="S305" i="39" s="1"/>
  <c r="H305" i="39"/>
  <c r="T305" i="39" s="1"/>
  <c r="I305" i="39"/>
  <c r="J305" i="39"/>
  <c r="K305" i="39"/>
  <c r="L305" i="39"/>
  <c r="M305" i="39"/>
  <c r="M309" i="39" s="1"/>
  <c r="N305" i="39"/>
  <c r="O305" i="39"/>
  <c r="P305" i="39"/>
  <c r="Q305" i="39"/>
  <c r="I308" i="39"/>
  <c r="J308" i="39"/>
  <c r="K308" i="39"/>
  <c r="L308" i="39"/>
  <c r="M308" i="39"/>
  <c r="N308" i="39"/>
  <c r="O308" i="39"/>
  <c r="P308" i="39"/>
  <c r="Q308" i="39"/>
  <c r="W308" i="39"/>
  <c r="I315" i="39"/>
  <c r="J315" i="39"/>
  <c r="K315" i="39"/>
  <c r="L315" i="39"/>
  <c r="M315" i="39"/>
  <c r="N315" i="39"/>
  <c r="O315" i="39"/>
  <c r="P315" i="39"/>
  <c r="Q315" i="39"/>
  <c r="E327" i="39"/>
  <c r="F327" i="39"/>
  <c r="G327" i="39"/>
  <c r="H327" i="39"/>
  <c r="I327" i="39"/>
  <c r="J327" i="39"/>
  <c r="K327" i="39"/>
  <c r="L327" i="39"/>
  <c r="M327" i="39"/>
  <c r="N327" i="39"/>
  <c r="O327" i="39"/>
  <c r="P327" i="39"/>
  <c r="Q327" i="39"/>
  <c r="V327" i="39"/>
  <c r="W327" i="39"/>
  <c r="E5" i="38"/>
  <c r="V5" i="38"/>
  <c r="F6" i="38"/>
  <c r="W6" i="38"/>
  <c r="W5" i="38" s="1"/>
  <c r="AG6" i="38"/>
  <c r="AH6" i="38" s="1"/>
  <c r="AI6" i="38" s="1"/>
  <c r="AJ6" i="38" s="1"/>
  <c r="AK6" i="38" s="1"/>
  <c r="AL6" i="38" s="1"/>
  <c r="AM6" i="38" s="1"/>
  <c r="AN6" i="38" s="1"/>
  <c r="AO6" i="38" s="1"/>
  <c r="AP6" i="38" s="1"/>
  <c r="AQ6" i="38" s="1"/>
  <c r="AR6" i="38" s="1"/>
  <c r="AS6" i="38" s="1"/>
  <c r="E13" i="38"/>
  <c r="F13" i="38"/>
  <c r="G13" i="38"/>
  <c r="G24" i="38" s="1"/>
  <c r="H13" i="38"/>
  <c r="H24" i="38" s="1"/>
  <c r="H32" i="38" s="1"/>
  <c r="H40" i="38" s="1"/>
  <c r="I13" i="38"/>
  <c r="I24" i="38" s="1"/>
  <c r="J13" i="38"/>
  <c r="J24" i="38" s="1"/>
  <c r="K13" i="38"/>
  <c r="K24" i="38" s="1"/>
  <c r="K32" i="38" s="1"/>
  <c r="L13" i="38"/>
  <c r="L24" i="38" s="1"/>
  <c r="L32" i="38" s="1"/>
  <c r="L40" i="38" s="1"/>
  <c r="M13" i="38"/>
  <c r="N13" i="38"/>
  <c r="O13" i="38"/>
  <c r="P13" i="38"/>
  <c r="P24" i="38" s="1"/>
  <c r="P32" i="38" s="1"/>
  <c r="P40" i="38" s="1"/>
  <c r="Q13" i="38"/>
  <c r="Q24" i="38" s="1"/>
  <c r="Q32" i="38" s="1"/>
  <c r="V13" i="38"/>
  <c r="W13" i="38"/>
  <c r="S35" i="38"/>
  <c r="T35" i="38"/>
  <c r="AB35" i="38"/>
  <c r="AC35" i="38"/>
  <c r="AD35" i="38"/>
  <c r="M36" i="38"/>
  <c r="M66" i="38" s="1"/>
  <c r="N36" i="38"/>
  <c r="N66" i="38" s="1"/>
  <c r="Q36" i="38"/>
  <c r="Q66" i="38" s="1"/>
  <c r="I38" i="38"/>
  <c r="I73" i="38" s="1"/>
  <c r="I99" i="38" s="1"/>
  <c r="J38" i="38"/>
  <c r="J73" i="38" s="1"/>
  <c r="J99" i="38" s="1"/>
  <c r="K38" i="38"/>
  <c r="K73" i="38" s="1"/>
  <c r="K99" i="38" s="1"/>
  <c r="T48" i="38"/>
  <c r="T49" i="38"/>
  <c r="E53" i="38"/>
  <c r="F53" i="38"/>
  <c r="G53" i="38"/>
  <c r="H53" i="38"/>
  <c r="I53" i="38"/>
  <c r="J53" i="38"/>
  <c r="K53" i="38"/>
  <c r="L53" i="38"/>
  <c r="M53" i="38"/>
  <c r="N53" i="38"/>
  <c r="O53" i="38"/>
  <c r="P53" i="38"/>
  <c r="Q53" i="38"/>
  <c r="V53" i="38"/>
  <c r="W53" i="38"/>
  <c r="E54" i="38"/>
  <c r="F54" i="38"/>
  <c r="G54" i="38"/>
  <c r="H54" i="38"/>
  <c r="I54" i="38"/>
  <c r="J54" i="38"/>
  <c r="K54" i="38"/>
  <c r="L54" i="38"/>
  <c r="M54" i="38"/>
  <c r="N54" i="38"/>
  <c r="O54" i="38"/>
  <c r="P54" i="38"/>
  <c r="Q54" i="38"/>
  <c r="V54" i="38"/>
  <c r="W54" i="38"/>
  <c r="E55" i="38"/>
  <c r="F55" i="38"/>
  <c r="G55" i="38"/>
  <c r="H55" i="38"/>
  <c r="I55" i="38"/>
  <c r="J55" i="38"/>
  <c r="K55" i="38"/>
  <c r="L55" i="38"/>
  <c r="M55" i="38"/>
  <c r="N55" i="38"/>
  <c r="O55" i="38"/>
  <c r="P55" i="38"/>
  <c r="Q55" i="38"/>
  <c r="S55" i="38"/>
  <c r="T55" i="38"/>
  <c r="V55" i="38"/>
  <c r="W55" i="38"/>
  <c r="AB55" i="38"/>
  <c r="AC55" i="38"/>
  <c r="AD55" i="38"/>
  <c r="P56" i="38"/>
  <c r="E57" i="38"/>
  <c r="F57" i="38"/>
  <c r="G57" i="38"/>
  <c r="H57" i="38"/>
  <c r="I57" i="38"/>
  <c r="J57" i="38"/>
  <c r="K57" i="38"/>
  <c r="L57" i="38"/>
  <c r="M57" i="38"/>
  <c r="N57" i="38"/>
  <c r="O57" i="38"/>
  <c r="P57" i="38"/>
  <c r="Q57" i="38"/>
  <c r="V57" i="38"/>
  <c r="W57" i="38"/>
  <c r="E58" i="38"/>
  <c r="E78" i="38" s="1"/>
  <c r="E104" i="38" s="1"/>
  <c r="F58" i="38"/>
  <c r="F78" i="38" s="1"/>
  <c r="F104" i="38" s="1"/>
  <c r="G58" i="38"/>
  <c r="G78" i="38" s="1"/>
  <c r="G104" i="38" s="1"/>
  <c r="H58" i="38"/>
  <c r="H78" i="38" s="1"/>
  <c r="H104" i="38" s="1"/>
  <c r="I58" i="38"/>
  <c r="I78" i="38" s="1"/>
  <c r="I104" i="38" s="1"/>
  <c r="J58" i="38"/>
  <c r="J78" i="38" s="1"/>
  <c r="J104" i="38" s="1"/>
  <c r="K58" i="38"/>
  <c r="K78" i="38" s="1"/>
  <c r="K104" i="38" s="1"/>
  <c r="L58" i="38"/>
  <c r="L78" i="38" s="1"/>
  <c r="L104" i="38" s="1"/>
  <c r="M58" i="38"/>
  <c r="M78" i="38" s="1"/>
  <c r="M104" i="38" s="1"/>
  <c r="N58" i="38"/>
  <c r="N78" i="38" s="1"/>
  <c r="N104" i="38" s="1"/>
  <c r="O58" i="38"/>
  <c r="O78" i="38" s="1"/>
  <c r="O104" i="38" s="1"/>
  <c r="P58" i="38"/>
  <c r="P78" i="38" s="1"/>
  <c r="Q58" i="38"/>
  <c r="Q78" i="38" s="1"/>
  <c r="V58" i="38"/>
  <c r="V78" i="38" s="1"/>
  <c r="V91" i="38" s="1"/>
  <c r="W58" i="38"/>
  <c r="W78" i="38" s="1"/>
  <c r="W91" i="38" s="1"/>
  <c r="E63" i="38"/>
  <c r="F63" i="38"/>
  <c r="G63" i="38"/>
  <c r="H63" i="38"/>
  <c r="I63" i="38"/>
  <c r="J63" i="38"/>
  <c r="K63" i="38"/>
  <c r="L63" i="38"/>
  <c r="M63" i="38"/>
  <c r="N63" i="38"/>
  <c r="O63" i="38"/>
  <c r="Q63" i="38"/>
  <c r="V63" i="38"/>
  <c r="W63" i="38"/>
  <c r="E66" i="38"/>
  <c r="F66" i="38"/>
  <c r="G66" i="38"/>
  <c r="H66" i="38"/>
  <c r="I66" i="38"/>
  <c r="J66" i="38"/>
  <c r="K66" i="38"/>
  <c r="L66" i="38"/>
  <c r="O66" i="38"/>
  <c r="P66" i="38"/>
  <c r="V66" i="38"/>
  <c r="W66" i="38"/>
  <c r="E67" i="38"/>
  <c r="F67" i="38"/>
  <c r="G67" i="38"/>
  <c r="H67" i="38"/>
  <c r="I67" i="38"/>
  <c r="J67" i="38"/>
  <c r="K67" i="38"/>
  <c r="L67" i="38"/>
  <c r="M67" i="38"/>
  <c r="N67" i="38"/>
  <c r="O67" i="38"/>
  <c r="P67" i="38"/>
  <c r="Q67" i="38"/>
  <c r="S67" i="38"/>
  <c r="T67" i="38"/>
  <c r="V67" i="38"/>
  <c r="W67" i="38"/>
  <c r="AB67" i="38"/>
  <c r="AC67" i="38"/>
  <c r="AD67" i="38"/>
  <c r="E68" i="38"/>
  <c r="F68" i="38"/>
  <c r="G68" i="38"/>
  <c r="H68" i="38"/>
  <c r="I68" i="38"/>
  <c r="J68" i="38"/>
  <c r="K68" i="38"/>
  <c r="L68" i="38"/>
  <c r="M68" i="38"/>
  <c r="N68" i="38"/>
  <c r="O68" i="38"/>
  <c r="P68" i="38"/>
  <c r="Q68" i="38"/>
  <c r="S68" i="38"/>
  <c r="T68" i="38"/>
  <c r="V68" i="38"/>
  <c r="W68" i="38"/>
  <c r="AB68" i="38"/>
  <c r="AC68" i="38"/>
  <c r="AD68" i="38"/>
  <c r="S69" i="38"/>
  <c r="T69" i="38"/>
  <c r="AB69" i="38"/>
  <c r="AC69" i="38"/>
  <c r="AD69" i="38"/>
  <c r="E72" i="38"/>
  <c r="E98" i="38" s="1"/>
  <c r="F72" i="38"/>
  <c r="F98" i="38" s="1"/>
  <c r="G72" i="38"/>
  <c r="G98" i="38" s="1"/>
  <c r="H72" i="38"/>
  <c r="H98" i="38" s="1"/>
  <c r="I72" i="38"/>
  <c r="I98" i="38" s="1"/>
  <c r="J72" i="38"/>
  <c r="J98" i="38" s="1"/>
  <c r="K72" i="38"/>
  <c r="K98" i="38" s="1"/>
  <c r="L72" i="38"/>
  <c r="L98" i="38" s="1"/>
  <c r="M72" i="38"/>
  <c r="M98" i="38" s="1"/>
  <c r="N72" i="38"/>
  <c r="N98" i="38" s="1"/>
  <c r="O72" i="38"/>
  <c r="O98" i="38" s="1"/>
  <c r="P72" i="38"/>
  <c r="Q72" i="38"/>
  <c r="S72" i="38"/>
  <c r="S98" i="38" s="1"/>
  <c r="T72" i="38"/>
  <c r="T98" i="38" s="1"/>
  <c r="V72" i="38"/>
  <c r="W72" i="38"/>
  <c r="AB72" i="38"/>
  <c r="AB98" i="38" s="1"/>
  <c r="AC72" i="38"/>
  <c r="AC98" i="38" s="1"/>
  <c r="AD72" i="38"/>
  <c r="AD98" i="38" s="1"/>
  <c r="E73" i="38"/>
  <c r="E99" i="38" s="1"/>
  <c r="F73" i="38"/>
  <c r="F99" i="38" s="1"/>
  <c r="G73" i="38"/>
  <c r="G99" i="38" s="1"/>
  <c r="H73" i="38"/>
  <c r="H99" i="38" s="1"/>
  <c r="L73" i="38"/>
  <c r="L99" i="38" s="1"/>
  <c r="M73" i="38"/>
  <c r="M99" i="38" s="1"/>
  <c r="N73" i="38"/>
  <c r="N99" i="38" s="1"/>
  <c r="O73" i="38"/>
  <c r="O99" i="38" s="1"/>
  <c r="P73" i="38"/>
  <c r="Q73" i="38"/>
  <c r="S73" i="38"/>
  <c r="S99" i="38" s="1"/>
  <c r="T73" i="38"/>
  <c r="T99" i="38" s="1"/>
  <c r="V73" i="38"/>
  <c r="W73" i="38"/>
  <c r="AB73" i="38"/>
  <c r="AB99" i="38" s="1"/>
  <c r="AC73" i="38"/>
  <c r="AC99" i="38" s="1"/>
  <c r="AD73" i="38"/>
  <c r="AD99" i="38" s="1"/>
  <c r="E74" i="38"/>
  <c r="E100" i="38" s="1"/>
  <c r="F74" i="38"/>
  <c r="F100" i="38" s="1"/>
  <c r="G74" i="38"/>
  <c r="G100" i="38" s="1"/>
  <c r="H74" i="38"/>
  <c r="H100" i="38" s="1"/>
  <c r="I74" i="38"/>
  <c r="I100" i="38" s="1"/>
  <c r="J74" i="38"/>
  <c r="J100" i="38" s="1"/>
  <c r="K74" i="38"/>
  <c r="K100" i="38" s="1"/>
  <c r="L74" i="38"/>
  <c r="L100" i="38" s="1"/>
  <c r="M74" i="38"/>
  <c r="M100" i="38" s="1"/>
  <c r="N74" i="38"/>
  <c r="N100" i="38" s="1"/>
  <c r="O74" i="38"/>
  <c r="O100" i="38" s="1"/>
  <c r="P74" i="38"/>
  <c r="Q74" i="38"/>
  <c r="S74" i="38"/>
  <c r="S100" i="38" s="1"/>
  <c r="T74" i="38"/>
  <c r="T100" i="38" s="1"/>
  <c r="V74" i="38"/>
  <c r="W74" i="38"/>
  <c r="AB74" i="38"/>
  <c r="AB100" i="38" s="1"/>
  <c r="AC74" i="38"/>
  <c r="AC100" i="38" s="1"/>
  <c r="AD74" i="38"/>
  <c r="AD100" i="38" s="1"/>
  <c r="E75" i="38"/>
  <c r="E101" i="38" s="1"/>
  <c r="F75" i="38"/>
  <c r="F101" i="38" s="1"/>
  <c r="G75" i="38"/>
  <c r="G101" i="38" s="1"/>
  <c r="H75" i="38"/>
  <c r="H101" i="38" s="1"/>
  <c r="I75" i="38"/>
  <c r="I101" i="38" s="1"/>
  <c r="J75" i="38"/>
  <c r="J101" i="38" s="1"/>
  <c r="K75" i="38"/>
  <c r="K101" i="38" s="1"/>
  <c r="L75" i="38"/>
  <c r="L101" i="38" s="1"/>
  <c r="M75" i="38"/>
  <c r="M101" i="38" s="1"/>
  <c r="N75" i="38"/>
  <c r="N101" i="38" s="1"/>
  <c r="O75" i="38"/>
  <c r="O101" i="38" s="1"/>
  <c r="P75" i="38"/>
  <c r="Q75" i="38"/>
  <c r="V75" i="38"/>
  <c r="W75" i="38"/>
  <c r="E76" i="38"/>
  <c r="E102" i="38" s="1"/>
  <c r="F76" i="38"/>
  <c r="F102" i="38" s="1"/>
  <c r="G76" i="38"/>
  <c r="G102" i="38" s="1"/>
  <c r="H76" i="38"/>
  <c r="H102" i="38" s="1"/>
  <c r="I76" i="38"/>
  <c r="I102" i="38" s="1"/>
  <c r="J76" i="38"/>
  <c r="J102" i="38" s="1"/>
  <c r="K76" i="38"/>
  <c r="K102" i="38" s="1"/>
  <c r="L76" i="38"/>
  <c r="L102" i="38" s="1"/>
  <c r="M76" i="38"/>
  <c r="M102" i="38" s="1"/>
  <c r="N76" i="38"/>
  <c r="N102" i="38" s="1"/>
  <c r="O76" i="38"/>
  <c r="O102" i="38" s="1"/>
  <c r="P76" i="38"/>
  <c r="Q76" i="38"/>
  <c r="S76" i="38"/>
  <c r="S102" i="38" s="1"/>
  <c r="T76" i="38"/>
  <c r="T102" i="38" s="1"/>
  <c r="V76" i="38"/>
  <c r="W76" i="38"/>
  <c r="AB76" i="38"/>
  <c r="AB102" i="38" s="1"/>
  <c r="AC76" i="38"/>
  <c r="AC102" i="38" s="1"/>
  <c r="AD76" i="38"/>
  <c r="AD102" i="38" s="1"/>
  <c r="P77" i="38"/>
  <c r="E79" i="38"/>
  <c r="E105" i="38" s="1"/>
  <c r="F79" i="38"/>
  <c r="F105" i="38" s="1"/>
  <c r="G79" i="38"/>
  <c r="G105" i="38" s="1"/>
  <c r="H79" i="38"/>
  <c r="H105" i="38" s="1"/>
  <c r="I79" i="38"/>
  <c r="I105" i="38" s="1"/>
  <c r="J79" i="38"/>
  <c r="J105" i="38" s="1"/>
  <c r="K79" i="38"/>
  <c r="K105" i="38" s="1"/>
  <c r="L79" i="38"/>
  <c r="L105" i="38" s="1"/>
  <c r="M79" i="38"/>
  <c r="M105" i="38" s="1"/>
  <c r="N79" i="38"/>
  <c r="N105" i="38" s="1"/>
  <c r="O79" i="38"/>
  <c r="O105" i="38" s="1"/>
  <c r="P79" i="38"/>
  <c r="Q79" i="38"/>
  <c r="S79" i="38"/>
  <c r="S105" i="38" s="1"/>
  <c r="T79" i="38"/>
  <c r="T105" i="38" s="1"/>
  <c r="V79" i="38"/>
  <c r="W79" i="38"/>
  <c r="AB79" i="38"/>
  <c r="AB105" i="38" s="1"/>
  <c r="AC79" i="38"/>
  <c r="AC105" i="38" s="1"/>
  <c r="AD79" i="38"/>
  <c r="AD105" i="38" s="1"/>
  <c r="E84" i="38"/>
  <c r="E95" i="38" s="1"/>
  <c r="E41" i="39" s="1"/>
  <c r="F84" i="38"/>
  <c r="F95" i="38" s="1"/>
  <c r="F41" i="39" s="1"/>
  <c r="G84" i="38"/>
  <c r="G95" i="38" s="1"/>
  <c r="G41" i="39" s="1"/>
  <c r="H84" i="38"/>
  <c r="H95" i="38" s="1"/>
  <c r="H41" i="39" s="1"/>
  <c r="I84" i="38"/>
  <c r="I95" i="38" s="1"/>
  <c r="I41" i="39" s="1"/>
  <c r="J84" i="38"/>
  <c r="J95" i="38" s="1"/>
  <c r="J41" i="39" s="1"/>
  <c r="K84" i="38"/>
  <c r="K95" i="38" s="1"/>
  <c r="K41" i="39" s="1"/>
  <c r="L84" i="38"/>
  <c r="L95" i="38" s="1"/>
  <c r="L41" i="39" s="1"/>
  <c r="M84" i="38"/>
  <c r="M95" i="38" s="1"/>
  <c r="M41" i="39" s="1"/>
  <c r="N84" i="38"/>
  <c r="N95" i="38" s="1"/>
  <c r="N41" i="39" s="1"/>
  <c r="O84" i="38"/>
  <c r="O95" i="38" s="1"/>
  <c r="O41" i="39" s="1"/>
  <c r="R16" i="37" s="1"/>
  <c r="P84" i="38"/>
  <c r="Q84" i="38"/>
  <c r="V84" i="38"/>
  <c r="W84" i="38"/>
  <c r="E103" i="38"/>
  <c r="F103" i="38"/>
  <c r="G103" i="38"/>
  <c r="H103" i="38"/>
  <c r="I103" i="38"/>
  <c r="J103" i="38"/>
  <c r="K103" i="38"/>
  <c r="L103" i="38"/>
  <c r="M103" i="38"/>
  <c r="N103" i="38"/>
  <c r="O103" i="38"/>
  <c r="S103" i="38"/>
  <c r="T103" i="38"/>
  <c r="AB103" i="38"/>
  <c r="AC103" i="38"/>
  <c r="AD103" i="38"/>
  <c r="E106" i="38"/>
  <c r="F106" i="38"/>
  <c r="G106" i="38"/>
  <c r="H106" i="38"/>
  <c r="I106" i="38"/>
  <c r="J106" i="38"/>
  <c r="K106" i="38"/>
  <c r="L106" i="38"/>
  <c r="M106" i="38"/>
  <c r="N106" i="38"/>
  <c r="O106" i="38"/>
  <c r="S106" i="38"/>
  <c r="T106" i="38"/>
  <c r="AB106" i="38"/>
  <c r="AC106" i="38"/>
  <c r="AD106" i="38"/>
  <c r="E107" i="38"/>
  <c r="F107" i="38"/>
  <c r="G107" i="38"/>
  <c r="H107" i="38"/>
  <c r="I107" i="38"/>
  <c r="J107" i="38"/>
  <c r="K107" i="38"/>
  <c r="L107" i="38"/>
  <c r="M107" i="38"/>
  <c r="N107" i="38"/>
  <c r="O107" i="38"/>
  <c r="S107" i="38"/>
  <c r="T107" i="38"/>
  <c r="AB107" i="38"/>
  <c r="AC107" i="38"/>
  <c r="AD107" i="38"/>
  <c r="E110" i="38"/>
  <c r="F110" i="38"/>
  <c r="G110" i="38"/>
  <c r="H110" i="38"/>
  <c r="I110" i="38"/>
  <c r="J110" i="38"/>
  <c r="K110" i="38"/>
  <c r="L110" i="38"/>
  <c r="M110" i="38"/>
  <c r="N110" i="38"/>
  <c r="O110" i="38"/>
  <c r="P110" i="38"/>
  <c r="Q110" i="38"/>
  <c r="S117" i="38"/>
  <c r="T117" i="38" s="1"/>
  <c r="E119" i="38"/>
  <c r="E124" i="38" s="1"/>
  <c r="F119" i="38"/>
  <c r="F124" i="38" s="1"/>
  <c r="G119" i="38"/>
  <c r="G124" i="38" s="1"/>
  <c r="H119" i="38"/>
  <c r="I119" i="38"/>
  <c r="J119" i="38"/>
  <c r="J199" i="38" s="1" a="1"/>
  <c r="J199" i="38" s="1"/>
  <c r="K119" i="38"/>
  <c r="L119" i="38"/>
  <c r="O30" i="37" s="1"/>
  <c r="O32" i="37" s="1"/>
  <c r="M119" i="38"/>
  <c r="P30" i="37" s="1"/>
  <c r="P32" i="37" s="1"/>
  <c r="N119" i="38"/>
  <c r="Q30" i="37" s="1"/>
  <c r="Q32" i="37" s="1"/>
  <c r="O119" i="38"/>
  <c r="P119" i="38"/>
  <c r="S30" i="37" s="1"/>
  <c r="S32" i="37" s="1"/>
  <c r="V119" i="38"/>
  <c r="W119" i="38"/>
  <c r="W199" i="38" s="1" a="1"/>
  <c r="W199" i="38" s="1"/>
  <c r="S123" i="38"/>
  <c r="T123" i="38" s="1"/>
  <c r="Q124" i="38"/>
  <c r="E129" i="38"/>
  <c r="F129" i="38"/>
  <c r="G129" i="38"/>
  <c r="H129" i="38"/>
  <c r="I129" i="38"/>
  <c r="J129" i="38"/>
  <c r="K129" i="38"/>
  <c r="L129" i="38"/>
  <c r="M129" i="38"/>
  <c r="N129" i="38"/>
  <c r="O129" i="38"/>
  <c r="P129" i="38"/>
  <c r="Q129" i="38"/>
  <c r="V129" i="38"/>
  <c r="W129" i="38"/>
  <c r="S131" i="38"/>
  <c r="T131" i="38" s="1"/>
  <c r="S132" i="38"/>
  <c r="T132" i="38" s="1"/>
  <c r="S133" i="38"/>
  <c r="T133" i="38" s="1"/>
  <c r="S134" i="38"/>
  <c r="T134" i="38" s="1"/>
  <c r="S139" i="38"/>
  <c r="T139" i="38" s="1"/>
  <c r="S140" i="38"/>
  <c r="T140" i="38" s="1"/>
  <c r="E141" i="38"/>
  <c r="F141" i="38"/>
  <c r="G141" i="38"/>
  <c r="H141" i="38"/>
  <c r="I141" i="38"/>
  <c r="J141" i="38"/>
  <c r="K141" i="38"/>
  <c r="L141" i="38"/>
  <c r="M141" i="38"/>
  <c r="N141" i="38"/>
  <c r="O141" i="38"/>
  <c r="P141" i="38"/>
  <c r="Q141" i="38"/>
  <c r="V141" i="38"/>
  <c r="W141" i="38"/>
  <c r="E143" i="38"/>
  <c r="F143" i="38"/>
  <c r="G143" i="38"/>
  <c r="H143" i="38"/>
  <c r="I143" i="38"/>
  <c r="J143" i="38"/>
  <c r="K143" i="38"/>
  <c r="L143" i="38"/>
  <c r="M143" i="38"/>
  <c r="N143" i="38"/>
  <c r="O143" i="38"/>
  <c r="P143" i="38"/>
  <c r="Q143" i="38"/>
  <c r="S143" i="38" s="1"/>
  <c r="T143" i="38" s="1"/>
  <c r="V143" i="38"/>
  <c r="W143" i="38"/>
  <c r="E148" i="38"/>
  <c r="F148" i="38"/>
  <c r="G148" i="38"/>
  <c r="H148" i="38"/>
  <c r="I148" i="38"/>
  <c r="J148" i="38"/>
  <c r="K148" i="38"/>
  <c r="L148" i="38"/>
  <c r="M148" i="38"/>
  <c r="N148" i="38"/>
  <c r="O148" i="38"/>
  <c r="P148" i="38"/>
  <c r="Q148" i="38"/>
  <c r="V148" i="38"/>
  <c r="W148" i="38"/>
  <c r="E149" i="38"/>
  <c r="F149" i="38"/>
  <c r="G149" i="38"/>
  <c r="H149" i="38"/>
  <c r="I149" i="38"/>
  <c r="J149" i="38"/>
  <c r="K149" i="38"/>
  <c r="L149" i="38"/>
  <c r="M149" i="38"/>
  <c r="N149" i="38"/>
  <c r="O149" i="38"/>
  <c r="P149" i="38"/>
  <c r="Q149" i="38"/>
  <c r="S149" i="38" s="1"/>
  <c r="T149" i="38" s="1"/>
  <c r="V149" i="38"/>
  <c r="W149" i="38"/>
  <c r="E152" i="38"/>
  <c r="F152" i="38"/>
  <c r="G152" i="38"/>
  <c r="H152" i="38"/>
  <c r="I152" i="38"/>
  <c r="J152" i="38"/>
  <c r="K152" i="38"/>
  <c r="L152" i="38"/>
  <c r="M152" i="38"/>
  <c r="N152" i="38"/>
  <c r="O152" i="38"/>
  <c r="P152" i="38"/>
  <c r="Q152" i="38"/>
  <c r="R209" i="38" s="1"/>
  <c r="R228" i="38" s="1"/>
  <c r="V152" i="38"/>
  <c r="W152" i="38"/>
  <c r="E155" i="38"/>
  <c r="F155" i="38"/>
  <c r="G155" i="38"/>
  <c r="H155" i="38"/>
  <c r="I155" i="38"/>
  <c r="J155" i="38"/>
  <c r="K155" i="38"/>
  <c r="L155" i="38"/>
  <c r="M155" i="38"/>
  <c r="N155" i="38"/>
  <c r="O155" i="38"/>
  <c r="P155" i="38"/>
  <c r="Q155" i="38"/>
  <c r="R210" i="38" s="1"/>
  <c r="R229" i="38" s="1"/>
  <c r="V155" i="38"/>
  <c r="W155" i="38"/>
  <c r="S158" i="38"/>
  <c r="T158" i="38" s="1"/>
  <c r="S159" i="38"/>
  <c r="T159" i="38" s="1"/>
  <c r="S163" i="38"/>
  <c r="T163" i="38" s="1"/>
  <c r="S165" i="38"/>
  <c r="T165" i="38" s="1"/>
  <c r="S166" i="38"/>
  <c r="T166" i="38" s="1"/>
  <c r="E167" i="38"/>
  <c r="F167" i="38"/>
  <c r="G167" i="38"/>
  <c r="H167" i="38"/>
  <c r="I167" i="38"/>
  <c r="J167" i="38"/>
  <c r="K167" i="38"/>
  <c r="N25" i="37" s="1"/>
  <c r="L167" i="38"/>
  <c r="O25" i="37" s="1"/>
  <c r="M167" i="38"/>
  <c r="P25" i="37" s="1"/>
  <c r="N167" i="38"/>
  <c r="Q25" i="37" s="1"/>
  <c r="O167" i="38"/>
  <c r="R25" i="37" s="1"/>
  <c r="P167" i="38"/>
  <c r="S25" i="37" s="1"/>
  <c r="Q167" i="38"/>
  <c r="T25" i="37" s="1"/>
  <c r="V167" i="38"/>
  <c r="F25" i="37" s="1"/>
  <c r="W167" i="38"/>
  <c r="G25" i="37" s="1"/>
  <c r="E176" i="38"/>
  <c r="E174" i="38" s="1"/>
  <c r="F176" i="38"/>
  <c r="F174" i="38" s="1"/>
  <c r="G176" i="38"/>
  <c r="G174" i="38" s="1"/>
  <c r="H176" i="38"/>
  <c r="H174" i="38" s="1"/>
  <c r="I176" i="38"/>
  <c r="I174" i="38" s="1"/>
  <c r="J176" i="38"/>
  <c r="J174" i="38" s="1"/>
  <c r="K176" i="38"/>
  <c r="K174" i="38" s="1"/>
  <c r="L176" i="38"/>
  <c r="L174" i="38" s="1"/>
  <c r="M176" i="38"/>
  <c r="M174" i="38" s="1"/>
  <c r="N176" i="38"/>
  <c r="N174" i="38" s="1"/>
  <c r="O176" i="38"/>
  <c r="O174" i="38" s="1"/>
  <c r="P176" i="38"/>
  <c r="P174" i="38" s="1"/>
  <c r="Q176" i="38"/>
  <c r="Q174" i="38" s="1"/>
  <c r="V176" i="38"/>
  <c r="V174" i="38" s="1"/>
  <c r="W176" i="38"/>
  <c r="W174" i="38" s="1"/>
  <c r="V178" i="38"/>
  <c r="E182" i="38"/>
  <c r="F182" i="38"/>
  <c r="G182" i="38"/>
  <c r="S182" i="38" s="1"/>
  <c r="H182" i="38"/>
  <c r="I182" i="38"/>
  <c r="J182" i="38"/>
  <c r="K182" i="38"/>
  <c r="L182" i="38"/>
  <c r="M182" i="38"/>
  <c r="N182" i="38"/>
  <c r="O182" i="38"/>
  <c r="P182" i="38"/>
  <c r="Q182" i="38"/>
  <c r="V182" i="38"/>
  <c r="W182" i="38"/>
  <c r="E183" i="38"/>
  <c r="F183" i="38"/>
  <c r="G183" i="38"/>
  <c r="H183" i="38"/>
  <c r="I183" i="38"/>
  <c r="J183" i="38"/>
  <c r="K183" i="38"/>
  <c r="L183" i="38"/>
  <c r="M183" i="38"/>
  <c r="N183" i="38"/>
  <c r="O183" i="38"/>
  <c r="P183" i="38"/>
  <c r="Q183" i="38"/>
  <c r="V183" i="38"/>
  <c r="W183" i="38"/>
  <c r="S191" i="38"/>
  <c r="T191" i="38" s="1"/>
  <c r="E192" i="38"/>
  <c r="E190" i="38" s="1"/>
  <c r="F192" i="38"/>
  <c r="F190" i="38" s="1"/>
  <c r="G192" i="38"/>
  <c r="G190" i="38" s="1"/>
  <c r="H192" i="38"/>
  <c r="H190" i="38" s="1"/>
  <c r="I192" i="38"/>
  <c r="I190" i="38" s="1"/>
  <c r="J192" i="38"/>
  <c r="J190" i="38" s="1"/>
  <c r="K192" i="38"/>
  <c r="K190" i="38" s="1"/>
  <c r="L192" i="38"/>
  <c r="L190" i="38" s="1"/>
  <c r="M192" i="38"/>
  <c r="M190" i="38" s="1"/>
  <c r="N192" i="38"/>
  <c r="N190" i="38" s="1"/>
  <c r="O192" i="38"/>
  <c r="O190" i="38" s="1"/>
  <c r="P192" i="38"/>
  <c r="P190" i="38" s="1"/>
  <c r="Q192" i="38"/>
  <c r="Q190" i="38" s="1"/>
  <c r="V192" i="38"/>
  <c r="V190" i="38" s="1"/>
  <c r="W192" i="38"/>
  <c r="W190" i="38" s="1"/>
  <c r="E194" i="38"/>
  <c r="E178" i="38" s="1"/>
  <c r="F194" i="38"/>
  <c r="F178" i="38" s="1"/>
  <c r="G194" i="38"/>
  <c r="G178" i="38" s="1"/>
  <c r="H194" i="38"/>
  <c r="H178" i="38" s="1"/>
  <c r="I194" i="38"/>
  <c r="I178" i="38" s="1"/>
  <c r="J194" i="38"/>
  <c r="J178" i="38" s="1"/>
  <c r="K194" i="38"/>
  <c r="K178" i="38" s="1"/>
  <c r="L194" i="38"/>
  <c r="L178" i="38" s="1"/>
  <c r="M194" i="38"/>
  <c r="M178" i="38" s="1"/>
  <c r="N194" i="38"/>
  <c r="N178" i="38" s="1"/>
  <c r="O194" i="38"/>
  <c r="O178" i="38" s="1"/>
  <c r="P194" i="38"/>
  <c r="P178" i="38" s="1"/>
  <c r="Q194" i="38"/>
  <c r="Q178" i="38" s="1"/>
  <c r="W194" i="38"/>
  <c r="W178" i="38" s="1"/>
  <c r="AB228" i="38"/>
  <c r="AC228" i="38"/>
  <c r="AD228" i="38"/>
  <c r="K232" i="38"/>
  <c r="E233" i="38"/>
  <c r="E111" i="38" s="1"/>
  <c r="F233" i="38"/>
  <c r="G233" i="38"/>
  <c r="G111" i="38" s="1"/>
  <c r="H233" i="38"/>
  <c r="H111" i="38" s="1"/>
  <c r="I233" i="38"/>
  <c r="I111" i="38" s="1"/>
  <c r="J233" i="38"/>
  <c r="J111" i="38" s="1"/>
  <c r="K233" i="38"/>
  <c r="L233" i="38"/>
  <c r="M233" i="38"/>
  <c r="N233" i="38"/>
  <c r="Q17" i="37" s="1"/>
  <c r="O233" i="38"/>
  <c r="P233" i="38"/>
  <c r="Q233" i="38"/>
  <c r="T17" i="37" s="1"/>
  <c r="V233" i="38"/>
  <c r="W233" i="38"/>
  <c r="AB234" i="38"/>
  <c r="AC234" i="38"/>
  <c r="AD234" i="38"/>
  <c r="V237" i="38"/>
  <c r="V261" i="38" s="1"/>
  <c r="W238" i="38"/>
  <c r="W261" i="38" s="1"/>
  <c r="F239" i="38"/>
  <c r="G239" i="38"/>
  <c r="M239" i="38"/>
  <c r="N239" i="38"/>
  <c r="P239" i="38"/>
  <c r="E251" i="38"/>
  <c r="F251" i="38"/>
  <c r="G251" i="38"/>
  <c r="H251" i="38"/>
  <c r="I251" i="38"/>
  <c r="J251" i="38"/>
  <c r="K251" i="38"/>
  <c r="L251" i="38"/>
  <c r="M251" i="38"/>
  <c r="N251" i="38"/>
  <c r="O251" i="38"/>
  <c r="P251" i="38"/>
  <c r="Q251" i="38"/>
  <c r="V251" i="38"/>
  <c r="W251" i="38"/>
  <c r="E259" i="38"/>
  <c r="F259" i="38"/>
  <c r="G259" i="38"/>
  <c r="H259" i="38"/>
  <c r="I259" i="38"/>
  <c r="J259" i="38"/>
  <c r="K259" i="38"/>
  <c r="L259" i="38"/>
  <c r="M259" i="38"/>
  <c r="N259" i="38"/>
  <c r="O259" i="38"/>
  <c r="P259" i="38"/>
  <c r="Q259" i="38"/>
  <c r="E261" i="38"/>
  <c r="F261" i="38"/>
  <c r="G261" i="38"/>
  <c r="H261" i="38"/>
  <c r="I261" i="38"/>
  <c r="J261" i="38"/>
  <c r="K261" i="38"/>
  <c r="L261" i="38"/>
  <c r="M261" i="38"/>
  <c r="N261" i="38"/>
  <c r="O261" i="38"/>
  <c r="P261" i="38"/>
  <c r="Q261" i="38"/>
  <c r="R261" i="38"/>
  <c r="S261" i="38"/>
  <c r="T261" i="38"/>
  <c r="AB261" i="38"/>
  <c r="AC261" i="38"/>
  <c r="AD261" i="38"/>
  <c r="E262" i="38"/>
  <c r="F262" i="38"/>
  <c r="G262" i="38"/>
  <c r="H262" i="38"/>
  <c r="I262" i="38"/>
  <c r="J262" i="38"/>
  <c r="K262" i="38"/>
  <c r="L262" i="38"/>
  <c r="M262" i="38"/>
  <c r="N262" i="38"/>
  <c r="O262" i="38"/>
  <c r="P262" i="38"/>
  <c r="Q262" i="38"/>
  <c r="R262" i="38"/>
  <c r="S262" i="38"/>
  <c r="T262" i="38"/>
  <c r="V262" i="38"/>
  <c r="W262" i="38"/>
  <c r="AB262" i="38"/>
  <c r="AC262" i="38"/>
  <c r="AD262" i="38"/>
  <c r="A2" i="37"/>
  <c r="F18" i="37"/>
  <c r="G18" i="37"/>
  <c r="M18" i="37"/>
  <c r="F19" i="37"/>
  <c r="G19" i="37"/>
  <c r="M19" i="37"/>
  <c r="F20" i="37"/>
  <c r="G20" i="37"/>
  <c r="F23" i="37"/>
  <c r="G23" i="37"/>
  <c r="F26" i="37"/>
  <c r="G26" i="37"/>
  <c r="F29" i="37"/>
  <c r="G29" i="37"/>
  <c r="K30" i="37"/>
  <c r="F31" i="37"/>
  <c r="G31" i="37"/>
  <c r="K31" i="37"/>
  <c r="M34" i="37"/>
  <c r="N27" i="36"/>
  <c r="O27" i="36"/>
  <c r="P27" i="36"/>
  <c r="V29" i="36"/>
  <c r="V30" i="36" s="1"/>
  <c r="V31" i="36" s="1"/>
  <c r="V32" i="36" s="1"/>
  <c r="S30" i="36"/>
  <c r="S31" i="36"/>
  <c r="E42" i="36"/>
  <c r="F42" i="36"/>
  <c r="G42" i="36"/>
  <c r="H42" i="36"/>
  <c r="I42" i="36"/>
  <c r="S58" i="36" s="1"/>
  <c r="J42" i="36"/>
  <c r="T58" i="36" s="1"/>
  <c r="K42" i="36"/>
  <c r="L42" i="36"/>
  <c r="M42" i="36"/>
  <c r="N42" i="36"/>
  <c r="O42" i="36"/>
  <c r="P42" i="36"/>
  <c r="C43" i="36"/>
  <c r="C44" i="36"/>
  <c r="C45" i="36"/>
  <c r="C46" i="36"/>
  <c r="C47" i="36"/>
  <c r="C48" i="36"/>
  <c r="C49" i="36"/>
  <c r="C50" i="36"/>
  <c r="C51" i="36"/>
  <c r="C52" i="36"/>
  <c r="C53" i="36"/>
  <c r="C54" i="36"/>
  <c r="C55" i="36"/>
  <c r="C56" i="36"/>
  <c r="C57" i="36"/>
  <c r="C58" i="36"/>
  <c r="C59" i="36"/>
  <c r="C60" i="36"/>
  <c r="Q60" i="36"/>
  <c r="C61" i="36"/>
  <c r="W61" i="36"/>
  <c r="C62" i="36"/>
  <c r="Q62" i="36"/>
  <c r="U62" i="36"/>
  <c r="W62" i="36"/>
  <c r="Q63" i="36"/>
  <c r="U63" i="36"/>
  <c r="W63" i="36"/>
  <c r="Q64" i="36"/>
  <c r="U64" i="36"/>
  <c r="W64" i="36"/>
  <c r="Q65" i="36"/>
  <c r="U65" i="36"/>
  <c r="W65" i="36"/>
  <c r="Q66" i="36"/>
  <c r="E75" i="36"/>
  <c r="F75" i="36"/>
  <c r="G75" i="36"/>
  <c r="H75" i="36"/>
  <c r="I75" i="36"/>
  <c r="J75" i="36"/>
  <c r="A2" i="32"/>
  <c r="V5" i="32"/>
  <c r="F6" i="32"/>
  <c r="G6" i="32" s="1"/>
  <c r="H6" i="32" s="1"/>
  <c r="W6" i="32"/>
  <c r="W5" i="32" s="1"/>
  <c r="D24" i="32"/>
  <c r="P34" i="32"/>
  <c r="P36" i="32" s="1"/>
  <c r="C40" i="32"/>
  <c r="C41" i="32"/>
  <c r="C42" i="32"/>
  <c r="C43" i="32"/>
  <c r="C44" i="32"/>
  <c r="C45" i="32"/>
  <c r="C46" i="32"/>
  <c r="C47" i="32"/>
  <c r="C48" i="32"/>
  <c r="C49" i="32"/>
  <c r="C50" i="32"/>
  <c r="C51" i="32"/>
  <c r="C52" i="32"/>
  <c r="C53" i="32"/>
  <c r="C54" i="32"/>
  <c r="C55" i="32"/>
  <c r="C56" i="32"/>
  <c r="C57" i="32"/>
  <c r="C58" i="32"/>
  <c r="C59" i="32"/>
  <c r="C60" i="32"/>
  <c r="C61" i="32"/>
  <c r="C62"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R127" i="32"/>
  <c r="S127" i="32"/>
  <c r="T127" i="32"/>
  <c r="AB127" i="32"/>
  <c r="AC127" i="32"/>
  <c r="AD127" i="32"/>
  <c r="D132" i="32"/>
  <c r="AG134" i="32"/>
  <c r="A2" i="30"/>
  <c r="E5" i="30"/>
  <c r="V5" i="30"/>
  <c r="F6" i="30"/>
  <c r="G6" i="30" s="1"/>
  <c r="W6" i="30"/>
  <c r="W5" i="30" s="1"/>
  <c r="AG6" i="30"/>
  <c r="AH6" i="30" s="1"/>
  <c r="AI6" i="30" s="1"/>
  <c r="AJ6" i="30" s="1"/>
  <c r="AK6" i="30" s="1"/>
  <c r="AL6" i="30" s="1"/>
  <c r="AM6" i="30" s="1"/>
  <c r="AN6" i="30" s="1"/>
  <c r="AO6" i="30" s="1"/>
  <c r="AP6" i="30" s="1"/>
  <c r="AQ6" i="30" s="1"/>
  <c r="C10" i="30"/>
  <c r="C46" i="30" s="1"/>
  <c r="E10" i="30"/>
  <c r="E11" i="52" s="1"/>
  <c r="F10" i="30"/>
  <c r="F11" i="52" s="1"/>
  <c r="G10" i="30"/>
  <c r="G11" i="52" s="1"/>
  <c r="H10" i="30"/>
  <c r="H11" i="52" s="1"/>
  <c r="I10" i="30"/>
  <c r="I11" i="52" s="1"/>
  <c r="J10" i="30"/>
  <c r="J11" i="52" s="1"/>
  <c r="K10" i="30"/>
  <c r="K11" i="52" s="1"/>
  <c r="L10" i="30"/>
  <c r="L11" i="52" s="1"/>
  <c r="M10" i="30"/>
  <c r="M11" i="52" s="1"/>
  <c r="N10" i="30"/>
  <c r="O10" i="30"/>
  <c r="O11" i="52" s="1"/>
  <c r="P10" i="30"/>
  <c r="P11" i="52" s="1"/>
  <c r="V10" i="30"/>
  <c r="V11" i="52" s="1"/>
  <c r="W10" i="30"/>
  <c r="W11" i="52" s="1"/>
  <c r="C11" i="30"/>
  <c r="C47" i="30" s="1"/>
  <c r="E11" i="30"/>
  <c r="E16" i="52" s="1"/>
  <c r="F11" i="30"/>
  <c r="G11" i="30"/>
  <c r="G16" i="52" s="1"/>
  <c r="H11" i="30"/>
  <c r="I11" i="30"/>
  <c r="I16" i="52" s="1"/>
  <c r="J11" i="30"/>
  <c r="J16" i="52" s="1"/>
  <c r="K11" i="30"/>
  <c r="K16" i="52" s="1"/>
  <c r="L11" i="30"/>
  <c r="L16" i="52" s="1"/>
  <c r="M11" i="30"/>
  <c r="M16" i="52" s="1"/>
  <c r="N11" i="30"/>
  <c r="O11" i="30"/>
  <c r="O16" i="52" s="1"/>
  <c r="P11" i="30"/>
  <c r="V11" i="30"/>
  <c r="V16" i="52" s="1"/>
  <c r="W11" i="30"/>
  <c r="W16" i="52" s="1"/>
  <c r="C12" i="30"/>
  <c r="C48" i="30" s="1"/>
  <c r="E12" i="30"/>
  <c r="E21" i="52" s="1"/>
  <c r="F12" i="30"/>
  <c r="F21" i="52" s="1"/>
  <c r="G12" i="30"/>
  <c r="G21" i="52" s="1"/>
  <c r="H12" i="30"/>
  <c r="H21" i="52" s="1"/>
  <c r="I12" i="30"/>
  <c r="I21" i="52" s="1"/>
  <c r="J12" i="30"/>
  <c r="J21" i="52" s="1"/>
  <c r="K12" i="30"/>
  <c r="K21" i="52" s="1"/>
  <c r="L12" i="30"/>
  <c r="L21" i="52" s="1"/>
  <c r="M12" i="30"/>
  <c r="M21" i="52" s="1"/>
  <c r="N12" i="30"/>
  <c r="O12" i="30"/>
  <c r="O21" i="52" s="1"/>
  <c r="P12" i="30"/>
  <c r="P21" i="52" s="1"/>
  <c r="V12" i="30"/>
  <c r="V21" i="52" s="1"/>
  <c r="W12" i="30"/>
  <c r="W21" i="52" s="1"/>
  <c r="I15" i="30"/>
  <c r="I211" i="30" s="1"/>
  <c r="J15" i="30"/>
  <c r="J211" i="30" s="1"/>
  <c r="K15" i="30"/>
  <c r="K211" i="30" s="1"/>
  <c r="K220" i="30" s="1"/>
  <c r="K125" i="52" s="1"/>
  <c r="L15" i="30"/>
  <c r="L211" i="30" s="1"/>
  <c r="M15" i="30"/>
  <c r="M211" i="30" s="1"/>
  <c r="M160" i="52" s="1"/>
  <c r="N15" i="30"/>
  <c r="N211" i="30" s="1"/>
  <c r="O15" i="30"/>
  <c r="O211" i="30" s="1"/>
  <c r="O220" i="30" s="1"/>
  <c r="O125" i="52" s="1"/>
  <c r="P15" i="30"/>
  <c r="P211" i="30" s="1"/>
  <c r="E16" i="30"/>
  <c r="E279" i="30" s="1"/>
  <c r="E282" i="30" s="1"/>
  <c r="F16" i="30"/>
  <c r="F279" i="30" s="1"/>
  <c r="F282" i="30" s="1"/>
  <c r="R282" i="30" s="1"/>
  <c r="G16" i="30"/>
  <c r="G279" i="30" s="1"/>
  <c r="G282" i="30" s="1"/>
  <c r="S282" i="30" s="1"/>
  <c r="H16" i="30"/>
  <c r="I16" i="30"/>
  <c r="I279" i="30" s="1"/>
  <c r="I282" i="30" s="1"/>
  <c r="J16" i="30"/>
  <c r="J279" i="30" s="1"/>
  <c r="J282" i="30" s="1"/>
  <c r="K16" i="30"/>
  <c r="K279" i="30" s="1"/>
  <c r="K282" i="30" s="1"/>
  <c r="L16" i="30"/>
  <c r="L279" i="30" s="1"/>
  <c r="L282" i="30" s="1"/>
  <c r="M16" i="30"/>
  <c r="M279" i="30" s="1"/>
  <c r="M282" i="30" s="1"/>
  <c r="N16" i="30"/>
  <c r="N279" i="30" s="1"/>
  <c r="N282" i="30" s="1"/>
  <c r="O16" i="30"/>
  <c r="O279" i="30" s="1"/>
  <c r="O282" i="30" s="1"/>
  <c r="P16" i="30"/>
  <c r="V16" i="30"/>
  <c r="V279" i="30" s="1"/>
  <c r="V282" i="30" s="1"/>
  <c r="W16" i="30"/>
  <c r="W279" i="30" s="1"/>
  <c r="W282" i="30" s="1"/>
  <c r="E18" i="30"/>
  <c r="F18" i="30"/>
  <c r="G18" i="30"/>
  <c r="H18" i="30"/>
  <c r="I18" i="30"/>
  <c r="J18" i="30"/>
  <c r="K18" i="30"/>
  <c r="L18" i="30"/>
  <c r="M18" i="30"/>
  <c r="N18" i="30"/>
  <c r="O18" i="30"/>
  <c r="P18" i="30"/>
  <c r="V18" i="30"/>
  <c r="W18" i="30"/>
  <c r="E19" i="30"/>
  <c r="F19" i="30"/>
  <c r="G19" i="30"/>
  <c r="H19" i="30"/>
  <c r="I19" i="30"/>
  <c r="J19" i="30"/>
  <c r="K19" i="30"/>
  <c r="L19" i="30"/>
  <c r="M19" i="30"/>
  <c r="N19" i="30"/>
  <c r="O19" i="30"/>
  <c r="P19" i="30"/>
  <c r="V19" i="30"/>
  <c r="W19" i="30"/>
  <c r="E20" i="30"/>
  <c r="F20" i="30"/>
  <c r="G20" i="30"/>
  <c r="H20" i="30"/>
  <c r="I20" i="30"/>
  <c r="J20" i="30"/>
  <c r="K20" i="30"/>
  <c r="L20" i="30"/>
  <c r="M20" i="30"/>
  <c r="N20" i="30"/>
  <c r="O20" i="30"/>
  <c r="P20" i="30"/>
  <c r="V20" i="30"/>
  <c r="W20" i="30"/>
  <c r="E23" i="30"/>
  <c r="F23" i="30"/>
  <c r="G23" i="30"/>
  <c r="H23" i="30"/>
  <c r="I23" i="30"/>
  <c r="J23" i="30"/>
  <c r="N9" i="28" s="1"/>
  <c r="K23" i="30"/>
  <c r="O9" i="28" s="1"/>
  <c r="L23" i="30"/>
  <c r="P9" i="28" s="1"/>
  <c r="M23" i="30"/>
  <c r="Q9" i="28" s="1"/>
  <c r="N23" i="30"/>
  <c r="R9" i="28" s="1"/>
  <c r="O23" i="30"/>
  <c r="S9" i="28" s="1"/>
  <c r="P23" i="30"/>
  <c r="T9" i="28" s="1"/>
  <c r="V23" i="30"/>
  <c r="F9" i="28" s="1"/>
  <c r="W23" i="30"/>
  <c r="G9" i="28" s="1"/>
  <c r="E24" i="30"/>
  <c r="F24" i="30"/>
  <c r="G24" i="30"/>
  <c r="H24" i="30"/>
  <c r="I24" i="30"/>
  <c r="J24" i="30"/>
  <c r="K24" i="30"/>
  <c r="L24" i="30"/>
  <c r="M24" i="30"/>
  <c r="N24" i="30"/>
  <c r="O24" i="30"/>
  <c r="P24" i="30"/>
  <c r="V24" i="30"/>
  <c r="W24" i="30"/>
  <c r="E27" i="30"/>
  <c r="F27" i="30"/>
  <c r="G27" i="30"/>
  <c r="H27" i="30"/>
  <c r="I27" i="30"/>
  <c r="J27" i="30"/>
  <c r="K27" i="30"/>
  <c r="L27" i="30"/>
  <c r="M27" i="30"/>
  <c r="N27" i="30"/>
  <c r="O27" i="30"/>
  <c r="P27" i="30"/>
  <c r="V27" i="30"/>
  <c r="W27" i="30"/>
  <c r="E30" i="30"/>
  <c r="F30" i="30"/>
  <c r="G30" i="30"/>
  <c r="H30" i="30"/>
  <c r="I30" i="30"/>
  <c r="J30" i="30"/>
  <c r="K30" i="30"/>
  <c r="L30" i="30"/>
  <c r="M30" i="30"/>
  <c r="N30" i="30"/>
  <c r="O30" i="30"/>
  <c r="P30" i="30"/>
  <c r="V30" i="30"/>
  <c r="W30" i="30"/>
  <c r="E31" i="30"/>
  <c r="F31" i="30"/>
  <c r="G31" i="30"/>
  <c r="H31" i="30"/>
  <c r="I31" i="30"/>
  <c r="J31" i="30"/>
  <c r="N15" i="28" s="1"/>
  <c r="K31" i="30"/>
  <c r="O15" i="28" s="1"/>
  <c r="L31" i="30"/>
  <c r="P15" i="28" s="1"/>
  <c r="M31" i="30"/>
  <c r="Q15" i="28" s="1"/>
  <c r="N31" i="30"/>
  <c r="R15" i="28" s="1"/>
  <c r="O31" i="30"/>
  <c r="S15" i="28" s="1"/>
  <c r="P31" i="30"/>
  <c r="T15" i="28" s="1"/>
  <c r="V31" i="30"/>
  <c r="F15" i="28" s="1"/>
  <c r="W31" i="30"/>
  <c r="G15" i="28" s="1"/>
  <c r="E76" i="30"/>
  <c r="F76" i="30"/>
  <c r="G76" i="30"/>
  <c r="H76" i="30"/>
  <c r="I76" i="30"/>
  <c r="J76" i="30"/>
  <c r="K76" i="30"/>
  <c r="L76" i="30"/>
  <c r="M76" i="30"/>
  <c r="N76" i="30"/>
  <c r="O76" i="30"/>
  <c r="P76" i="30"/>
  <c r="V76" i="30"/>
  <c r="W76" i="30"/>
  <c r="E77" i="30"/>
  <c r="F77" i="30"/>
  <c r="G77" i="30"/>
  <c r="H77" i="30"/>
  <c r="I77" i="30"/>
  <c r="J77" i="30"/>
  <c r="K77" i="30"/>
  <c r="L77" i="30"/>
  <c r="M77" i="30"/>
  <c r="N77" i="30"/>
  <c r="O77" i="30"/>
  <c r="P77" i="30"/>
  <c r="V77" i="30"/>
  <c r="W77" i="30"/>
  <c r="E78" i="30"/>
  <c r="F78" i="30"/>
  <c r="G78" i="30"/>
  <c r="H78" i="30"/>
  <c r="I78" i="30"/>
  <c r="J78" i="30"/>
  <c r="K78" i="30"/>
  <c r="L78" i="30"/>
  <c r="M78" i="30"/>
  <c r="N78" i="30"/>
  <c r="O78" i="30"/>
  <c r="P78" i="30"/>
  <c r="V78" i="30"/>
  <c r="W78" i="30"/>
  <c r="E81" i="30"/>
  <c r="F81" i="30"/>
  <c r="G81" i="30"/>
  <c r="H81" i="30"/>
  <c r="I81" i="30"/>
  <c r="J81" i="30"/>
  <c r="K81" i="30"/>
  <c r="L81" i="30"/>
  <c r="M81" i="30"/>
  <c r="N81" i="30"/>
  <c r="O81" i="30"/>
  <c r="P81" i="30"/>
  <c r="V81" i="30"/>
  <c r="W81" i="30"/>
  <c r="E82" i="30"/>
  <c r="F82" i="30"/>
  <c r="G82" i="30"/>
  <c r="H82" i="30"/>
  <c r="I82" i="30"/>
  <c r="J82" i="30"/>
  <c r="K82" i="30"/>
  <c r="L82" i="30"/>
  <c r="M82" i="30"/>
  <c r="N82" i="30"/>
  <c r="O82" i="30"/>
  <c r="P82" i="30"/>
  <c r="E93" i="30"/>
  <c r="E111" i="30" s="1"/>
  <c r="F93" i="30"/>
  <c r="F113" i="30" s="1"/>
  <c r="G93" i="30"/>
  <c r="G112" i="30" s="1"/>
  <c r="G47" i="52" s="1"/>
  <c r="H93" i="30"/>
  <c r="H198" i="30" s="1"/>
  <c r="I93" i="30"/>
  <c r="I112" i="30" s="1"/>
  <c r="J93" i="30"/>
  <c r="J197" i="30" s="1"/>
  <c r="K93" i="30"/>
  <c r="L93" i="30"/>
  <c r="L113" i="30" s="1"/>
  <c r="M93" i="30"/>
  <c r="M111" i="30" s="1"/>
  <c r="N93" i="30"/>
  <c r="N113" i="30" s="1"/>
  <c r="N49" i="52" s="1"/>
  <c r="O93" i="30"/>
  <c r="O112" i="30" s="1"/>
  <c r="O47" i="52" s="1"/>
  <c r="P93" i="30"/>
  <c r="V93" i="30"/>
  <c r="W93" i="30"/>
  <c r="W112" i="30" s="1"/>
  <c r="C110" i="30"/>
  <c r="C111" i="30"/>
  <c r="C112" i="30"/>
  <c r="C113" i="30"/>
  <c r="R117" i="30"/>
  <c r="S117" i="30"/>
  <c r="T117" i="30"/>
  <c r="R118" i="30"/>
  <c r="S118" i="30"/>
  <c r="S150" i="30" s="1"/>
  <c r="T118" i="30"/>
  <c r="R119" i="30"/>
  <c r="S119" i="30"/>
  <c r="T119" i="30"/>
  <c r="R120" i="30"/>
  <c r="S120" i="30"/>
  <c r="T120" i="30"/>
  <c r="E121" i="30"/>
  <c r="F121" i="30"/>
  <c r="G121" i="30"/>
  <c r="H121" i="30"/>
  <c r="I121" i="30"/>
  <c r="J121" i="30"/>
  <c r="K121" i="30"/>
  <c r="L121" i="30"/>
  <c r="M121" i="30"/>
  <c r="N121" i="30"/>
  <c r="N223" i="30" s="1"/>
  <c r="O121" i="30"/>
  <c r="P121" i="30"/>
  <c r="V121" i="30"/>
  <c r="W121" i="30"/>
  <c r="I133" i="30"/>
  <c r="J133" i="30"/>
  <c r="K133" i="30"/>
  <c r="L133" i="30"/>
  <c r="M133" i="30"/>
  <c r="N133" i="30"/>
  <c r="O133" i="30"/>
  <c r="P133" i="30"/>
  <c r="W133" i="30"/>
  <c r="I134" i="30"/>
  <c r="J134" i="30"/>
  <c r="K134" i="30"/>
  <c r="L134" i="30"/>
  <c r="M134" i="30"/>
  <c r="N134" i="30"/>
  <c r="O134" i="30"/>
  <c r="P134" i="30"/>
  <c r="W134" i="30"/>
  <c r="I135" i="30"/>
  <c r="J135" i="30"/>
  <c r="K135" i="30"/>
  <c r="L135" i="30"/>
  <c r="M135" i="30"/>
  <c r="N135" i="30"/>
  <c r="O135" i="30"/>
  <c r="P135" i="30"/>
  <c r="W135" i="30"/>
  <c r="I136" i="30"/>
  <c r="J136" i="30"/>
  <c r="K136" i="30"/>
  <c r="L136" i="30"/>
  <c r="M136" i="30"/>
  <c r="N136" i="30"/>
  <c r="O136" i="30"/>
  <c r="P136" i="30"/>
  <c r="W136" i="30"/>
  <c r="E141" i="30"/>
  <c r="F141" i="30"/>
  <c r="G141" i="30"/>
  <c r="H141" i="30"/>
  <c r="I141" i="30"/>
  <c r="J141" i="30"/>
  <c r="K141" i="30"/>
  <c r="L141" i="30"/>
  <c r="M141" i="30"/>
  <c r="N141" i="30"/>
  <c r="O141" i="30"/>
  <c r="P141" i="30"/>
  <c r="V141" i="30"/>
  <c r="W141" i="30"/>
  <c r="E142" i="30"/>
  <c r="F142" i="30"/>
  <c r="G142" i="30"/>
  <c r="H142" i="30"/>
  <c r="I142" i="30"/>
  <c r="J142" i="30"/>
  <c r="K142" i="30"/>
  <c r="L142" i="30"/>
  <c r="M142" i="30"/>
  <c r="N142" i="30"/>
  <c r="O142" i="30"/>
  <c r="P142" i="30"/>
  <c r="V142" i="30"/>
  <c r="W142" i="30"/>
  <c r="E143" i="30"/>
  <c r="F143" i="30"/>
  <c r="G143" i="30"/>
  <c r="H143" i="30"/>
  <c r="I143" i="30"/>
  <c r="J143" i="30"/>
  <c r="K143" i="30"/>
  <c r="L143" i="30"/>
  <c r="M143" i="30"/>
  <c r="N143" i="30"/>
  <c r="O143" i="30"/>
  <c r="P143" i="30"/>
  <c r="V143" i="30"/>
  <c r="W143" i="30"/>
  <c r="E144" i="30"/>
  <c r="F144" i="30"/>
  <c r="G144" i="30"/>
  <c r="H144" i="30"/>
  <c r="I144" i="30"/>
  <c r="J144" i="30"/>
  <c r="K144" i="30"/>
  <c r="L144" i="30"/>
  <c r="M144" i="30"/>
  <c r="N144" i="30"/>
  <c r="O144" i="30"/>
  <c r="P144" i="30"/>
  <c r="V144" i="30"/>
  <c r="W144" i="30"/>
  <c r="E153" i="30"/>
  <c r="F153" i="30"/>
  <c r="G153" i="30"/>
  <c r="H153" i="30"/>
  <c r="I153" i="30"/>
  <c r="J153" i="30"/>
  <c r="K153" i="30"/>
  <c r="L153" i="30"/>
  <c r="M153" i="30"/>
  <c r="N153" i="30"/>
  <c r="O153" i="30"/>
  <c r="P153" i="30"/>
  <c r="V153" i="30"/>
  <c r="W153" i="30"/>
  <c r="E160" i="30"/>
  <c r="F160" i="30"/>
  <c r="R160" i="30" s="1"/>
  <c r="G160" i="30"/>
  <c r="S160" i="30" s="1"/>
  <c r="H160" i="30"/>
  <c r="T160" i="30" s="1"/>
  <c r="I160" i="30"/>
  <c r="J160" i="30"/>
  <c r="K160" i="30"/>
  <c r="L160" i="30"/>
  <c r="M160" i="30"/>
  <c r="N160" i="30"/>
  <c r="O160" i="30"/>
  <c r="P160" i="30"/>
  <c r="P167" i="30" s="1"/>
  <c r="V160" i="30"/>
  <c r="W160" i="30"/>
  <c r="E161" i="30"/>
  <c r="F161" i="30"/>
  <c r="R161" i="30" s="1"/>
  <c r="G161" i="30"/>
  <c r="H161" i="30"/>
  <c r="T161" i="30" s="1"/>
  <c r="I161" i="30"/>
  <c r="J161" i="30"/>
  <c r="K161" i="30"/>
  <c r="L161" i="30"/>
  <c r="M161" i="30"/>
  <c r="N161" i="30"/>
  <c r="N168" i="30" s="1"/>
  <c r="O161" i="30"/>
  <c r="P161" i="30"/>
  <c r="V161" i="30"/>
  <c r="W161" i="30"/>
  <c r="E162" i="30"/>
  <c r="F162" i="30"/>
  <c r="R162" i="30" s="1"/>
  <c r="G162" i="30"/>
  <c r="S162" i="30" s="1"/>
  <c r="H162" i="30"/>
  <c r="T162" i="30" s="1"/>
  <c r="I162" i="30"/>
  <c r="J162" i="30"/>
  <c r="K162" i="30"/>
  <c r="L162" i="30"/>
  <c r="M162" i="30"/>
  <c r="N162" i="30"/>
  <c r="O162" i="30"/>
  <c r="P162" i="30"/>
  <c r="V162" i="30"/>
  <c r="W162" i="30"/>
  <c r="E163" i="30"/>
  <c r="F163" i="30"/>
  <c r="R163" i="30" s="1"/>
  <c r="G163" i="30"/>
  <c r="S163" i="30" s="1"/>
  <c r="H163" i="30"/>
  <c r="T163" i="30" s="1"/>
  <c r="I163" i="30"/>
  <c r="J163" i="30"/>
  <c r="K163" i="30"/>
  <c r="L163" i="30"/>
  <c r="M163" i="30"/>
  <c r="N163" i="30"/>
  <c r="O163" i="30"/>
  <c r="P163" i="30"/>
  <c r="V163" i="30"/>
  <c r="W163" i="30"/>
  <c r="E174" i="30"/>
  <c r="F174" i="30"/>
  <c r="G174" i="30"/>
  <c r="H174" i="30"/>
  <c r="I174" i="30"/>
  <c r="J174" i="30"/>
  <c r="K174" i="30"/>
  <c r="L174" i="30"/>
  <c r="M174" i="30"/>
  <c r="N174" i="30"/>
  <c r="O174" i="30"/>
  <c r="P174" i="30"/>
  <c r="V174" i="30"/>
  <c r="W174" i="30"/>
  <c r="E175" i="30"/>
  <c r="F175" i="30"/>
  <c r="G175" i="30"/>
  <c r="H175" i="30"/>
  <c r="I175" i="30"/>
  <c r="J175" i="30"/>
  <c r="K175" i="30"/>
  <c r="L175" i="30"/>
  <c r="M175" i="30"/>
  <c r="N175" i="30"/>
  <c r="O175" i="30"/>
  <c r="P175" i="30"/>
  <c r="V175" i="30"/>
  <c r="W175" i="30"/>
  <c r="E176" i="30"/>
  <c r="F176" i="30"/>
  <c r="G176" i="30"/>
  <c r="H176" i="30"/>
  <c r="I176" i="30"/>
  <c r="J176" i="30"/>
  <c r="K176" i="30"/>
  <c r="L176" i="30"/>
  <c r="M176" i="30"/>
  <c r="N176" i="30"/>
  <c r="O176" i="30"/>
  <c r="P176" i="30"/>
  <c r="V176" i="30"/>
  <c r="W176" i="30"/>
  <c r="E177" i="30"/>
  <c r="F177" i="30"/>
  <c r="G177" i="30"/>
  <c r="H177" i="30"/>
  <c r="I177" i="30"/>
  <c r="J177" i="30"/>
  <c r="K177" i="30"/>
  <c r="L177" i="30"/>
  <c r="M177" i="30"/>
  <c r="N177" i="30"/>
  <c r="O177" i="30"/>
  <c r="P177" i="30"/>
  <c r="V177" i="30"/>
  <c r="W177" i="30"/>
  <c r="E185" i="30"/>
  <c r="E187" i="30" s="1"/>
  <c r="E201" i="30" s="1"/>
  <c r="F185" i="30"/>
  <c r="F187" i="30" s="1"/>
  <c r="F201" i="30" s="1"/>
  <c r="G185" i="30"/>
  <c r="G187" i="30" s="1"/>
  <c r="G201" i="30" s="1"/>
  <c r="H185" i="30"/>
  <c r="H187" i="30" s="1"/>
  <c r="H201" i="30" s="1"/>
  <c r="I185" i="30"/>
  <c r="I187" i="30" s="1"/>
  <c r="I201" i="30" s="1"/>
  <c r="J185" i="30"/>
  <c r="J187" i="30" s="1"/>
  <c r="J201" i="30" s="1"/>
  <c r="K185" i="30"/>
  <c r="K187" i="30" s="1"/>
  <c r="K201" i="30" s="1"/>
  <c r="L185" i="30"/>
  <c r="L187" i="30" s="1"/>
  <c r="L201" i="30" s="1"/>
  <c r="M185" i="30"/>
  <c r="M187" i="30" s="1"/>
  <c r="M201" i="30" s="1"/>
  <c r="N185" i="30"/>
  <c r="N187" i="30" s="1"/>
  <c r="N201" i="30" s="1"/>
  <c r="O185" i="30"/>
  <c r="O187" i="30" s="1"/>
  <c r="O201" i="30" s="1"/>
  <c r="P185" i="30"/>
  <c r="P187" i="30" s="1"/>
  <c r="P201" i="30" s="1"/>
  <c r="V185" i="30"/>
  <c r="V187" i="30" s="1"/>
  <c r="W185" i="30"/>
  <c r="W187" i="30" s="1"/>
  <c r="R186" i="30"/>
  <c r="R81" i="52" s="1"/>
  <c r="S186" i="30"/>
  <c r="S81" i="52" s="1"/>
  <c r="T186" i="30"/>
  <c r="T81" i="52" s="1"/>
  <c r="I190" i="30"/>
  <c r="J190" i="30"/>
  <c r="K190" i="30"/>
  <c r="L190" i="30"/>
  <c r="M190" i="30"/>
  <c r="N190" i="30"/>
  <c r="O190" i="30"/>
  <c r="P190" i="30"/>
  <c r="W190" i="30"/>
  <c r="C211" i="30"/>
  <c r="I226" i="30"/>
  <c r="J226" i="30"/>
  <c r="K226" i="30"/>
  <c r="L226" i="30"/>
  <c r="M226" i="30"/>
  <c r="N226" i="30"/>
  <c r="O226" i="30"/>
  <c r="P226" i="30"/>
  <c r="W226" i="30"/>
  <c r="E244" i="30"/>
  <c r="F244" i="30"/>
  <c r="G244" i="30"/>
  <c r="H244" i="30"/>
  <c r="I244" i="30"/>
  <c r="J244" i="30"/>
  <c r="K244" i="30"/>
  <c r="L244" i="30"/>
  <c r="M244" i="30"/>
  <c r="N244" i="30"/>
  <c r="O244" i="30"/>
  <c r="P244" i="30"/>
  <c r="V244" i="30"/>
  <c r="W244" i="30"/>
  <c r="E246" i="30"/>
  <c r="F246" i="30"/>
  <c r="G246" i="30"/>
  <c r="H246" i="30"/>
  <c r="I246" i="30"/>
  <c r="J246" i="30"/>
  <c r="K246" i="30"/>
  <c r="L246" i="30"/>
  <c r="M246" i="30"/>
  <c r="N246" i="30"/>
  <c r="O246" i="30"/>
  <c r="P246" i="30"/>
  <c r="V246" i="30"/>
  <c r="W246" i="30"/>
  <c r="E247" i="30"/>
  <c r="F247" i="30"/>
  <c r="G247" i="30"/>
  <c r="H247" i="30"/>
  <c r="I247" i="30"/>
  <c r="J247" i="30"/>
  <c r="K247" i="30"/>
  <c r="L247" i="30"/>
  <c r="M247" i="30"/>
  <c r="N247" i="30"/>
  <c r="O247" i="30"/>
  <c r="P247" i="30"/>
  <c r="V247" i="30"/>
  <c r="W247" i="30"/>
  <c r="E248" i="30"/>
  <c r="F248" i="30"/>
  <c r="G248" i="30"/>
  <c r="H248" i="30"/>
  <c r="I248" i="30"/>
  <c r="J248" i="30"/>
  <c r="K248" i="30"/>
  <c r="L248" i="30"/>
  <c r="M248" i="30"/>
  <c r="N248" i="30"/>
  <c r="O248" i="30"/>
  <c r="P248" i="30"/>
  <c r="V248" i="30"/>
  <c r="W248" i="30"/>
  <c r="E249" i="30"/>
  <c r="F249" i="30"/>
  <c r="G249" i="30"/>
  <c r="H249" i="30"/>
  <c r="I249" i="30"/>
  <c r="J249" i="30"/>
  <c r="K249" i="30"/>
  <c r="L249" i="30"/>
  <c r="M249" i="30"/>
  <c r="N249" i="30"/>
  <c r="O249" i="30"/>
  <c r="P249" i="30"/>
  <c r="V249" i="30"/>
  <c r="W249" i="30"/>
  <c r="E250" i="30"/>
  <c r="F250" i="30"/>
  <c r="G250" i="30"/>
  <c r="H250" i="30"/>
  <c r="I250" i="30"/>
  <c r="J250" i="30"/>
  <c r="K250" i="30"/>
  <c r="L250" i="30"/>
  <c r="M250" i="30"/>
  <c r="N250" i="30"/>
  <c r="O250" i="30"/>
  <c r="P250" i="30"/>
  <c r="V250" i="30"/>
  <c r="W250" i="30"/>
  <c r="E251" i="30"/>
  <c r="F251" i="30"/>
  <c r="G251" i="30"/>
  <c r="H251" i="30"/>
  <c r="I251" i="30"/>
  <c r="J251" i="30"/>
  <c r="K251" i="30"/>
  <c r="L251" i="30"/>
  <c r="M251" i="30"/>
  <c r="N251" i="30"/>
  <c r="O251" i="30"/>
  <c r="P251" i="30"/>
  <c r="V251" i="30"/>
  <c r="W251" i="30"/>
  <c r="C256" i="30"/>
  <c r="C257" i="30"/>
  <c r="C258" i="30"/>
  <c r="C259" i="30"/>
  <c r="C260" i="30"/>
  <c r="C261" i="30"/>
  <c r="C262" i="30"/>
  <c r="C263" i="30"/>
  <c r="C267" i="30"/>
  <c r="C268" i="30"/>
  <c r="C269" i="30"/>
  <c r="C270" i="30"/>
  <c r="C271" i="30"/>
  <c r="C272" i="30"/>
  <c r="C273" i="30"/>
  <c r="C279" i="30"/>
  <c r="R280" i="30"/>
  <c r="S280" i="30"/>
  <c r="T280" i="30"/>
  <c r="I285" i="30"/>
  <c r="J285" i="30"/>
  <c r="K285" i="30"/>
  <c r="L285" i="30"/>
  <c r="M285" i="30"/>
  <c r="N285" i="30"/>
  <c r="O285" i="30"/>
  <c r="P285" i="30"/>
  <c r="E5" i="29"/>
  <c r="V5" i="29"/>
  <c r="F6" i="29"/>
  <c r="W6" i="29"/>
  <c r="W5" i="29" s="1"/>
  <c r="AG6" i="29"/>
  <c r="AH6" i="29" s="1"/>
  <c r="AI6" i="29" s="1"/>
  <c r="AJ6" i="29" s="1"/>
  <c r="AK6" i="29" s="1"/>
  <c r="AL6" i="29" s="1"/>
  <c r="AM6" i="29" s="1"/>
  <c r="AN6" i="29" s="1"/>
  <c r="AO6" i="29" s="1"/>
  <c r="AP6" i="29" s="1"/>
  <c r="AQ6" i="29" s="1"/>
  <c r="AR6" i="29" s="1"/>
  <c r="E13" i="29"/>
  <c r="F13" i="29"/>
  <c r="G13" i="29"/>
  <c r="H13" i="29"/>
  <c r="I13" i="29"/>
  <c r="J13" i="29"/>
  <c r="K13" i="29"/>
  <c r="L13" i="29"/>
  <c r="M13" i="29"/>
  <c r="N13" i="29"/>
  <c r="O13" i="29"/>
  <c r="P13" i="29"/>
  <c r="V13" i="29"/>
  <c r="W13" i="29"/>
  <c r="E15" i="29"/>
  <c r="F15" i="29"/>
  <c r="F15" i="30" s="1"/>
  <c r="F211" i="30" s="1"/>
  <c r="F160" i="52" s="1"/>
  <c r="G15" i="29"/>
  <c r="H15" i="29"/>
  <c r="H15" i="30" s="1"/>
  <c r="V15" i="29"/>
  <c r="W15" i="29"/>
  <c r="W15" i="30" s="1"/>
  <c r="W211" i="30" s="1"/>
  <c r="W220" i="30" s="1"/>
  <c r="W125" i="52" s="1"/>
  <c r="S40" i="29"/>
  <c r="T40" i="29" s="1"/>
  <c r="AB40" i="29"/>
  <c r="AC40" i="29" s="1"/>
  <c r="AD40" i="29" s="1"/>
  <c r="S41" i="29"/>
  <c r="T41" i="29" s="1"/>
  <c r="AB41" i="29"/>
  <c r="AC41" i="29" s="1"/>
  <c r="AD41" i="29" s="1"/>
  <c r="V43" i="29"/>
  <c r="W43" i="29"/>
  <c r="V50" i="29"/>
  <c r="V17" i="29" s="1"/>
  <c r="V47" i="29" s="1"/>
  <c r="E51" i="29"/>
  <c r="E220" i="30" s="1"/>
  <c r="E125" i="52" s="1"/>
  <c r="F51" i="29"/>
  <c r="F220" i="30" s="1"/>
  <c r="F125" i="52" s="1"/>
  <c r="G51" i="29"/>
  <c r="G220" i="30" s="1"/>
  <c r="G125" i="52" s="1"/>
  <c r="H51" i="29"/>
  <c r="H220" i="30" s="1"/>
  <c r="H125" i="52" s="1"/>
  <c r="I51" i="29"/>
  <c r="J51" i="29"/>
  <c r="K51" i="29"/>
  <c r="L51" i="29"/>
  <c r="M51" i="29"/>
  <c r="N51" i="29"/>
  <c r="O51" i="29"/>
  <c r="P51" i="29"/>
  <c r="V51" i="29"/>
  <c r="W51" i="29"/>
  <c r="V63" i="29"/>
  <c r="V82" i="30" s="1"/>
  <c r="W63" i="29"/>
  <c r="W82" i="30" s="1"/>
  <c r="E80" i="29"/>
  <c r="E49" i="29" s="1"/>
  <c r="F80" i="29"/>
  <c r="F49" i="29" s="1"/>
  <c r="G80" i="29"/>
  <c r="H80" i="29"/>
  <c r="H49" i="29" s="1"/>
  <c r="I80" i="29"/>
  <c r="J80" i="29"/>
  <c r="J49" i="29" s="1"/>
  <c r="K80" i="29"/>
  <c r="K49" i="29" s="1"/>
  <c r="L80" i="29"/>
  <c r="M80" i="29"/>
  <c r="M49" i="29" s="1"/>
  <c r="N80" i="29"/>
  <c r="N49" i="29" s="1"/>
  <c r="O80" i="29"/>
  <c r="P80" i="29"/>
  <c r="P49" i="29" s="1"/>
  <c r="Q80" i="29"/>
  <c r="Q49" i="29" s="1"/>
  <c r="R80" i="29"/>
  <c r="R49" i="29" s="1"/>
  <c r="S80" i="29"/>
  <c r="S49" i="29" s="1"/>
  <c r="T80" i="29"/>
  <c r="V80" i="29"/>
  <c r="W80" i="29"/>
  <c r="W49" i="29" s="1"/>
  <c r="AB80" i="29"/>
  <c r="AC80" i="29"/>
  <c r="AC49" i="29" s="1"/>
  <c r="AD80" i="29"/>
  <c r="AD49" i="29" s="1"/>
  <c r="E88" i="29"/>
  <c r="E50" i="29" s="1"/>
  <c r="F88" i="29"/>
  <c r="F50" i="29" s="1"/>
  <c r="F17" i="29" s="1"/>
  <c r="G88" i="29"/>
  <c r="G50" i="29" s="1"/>
  <c r="G17" i="29" s="1"/>
  <c r="H88" i="29"/>
  <c r="I88" i="29"/>
  <c r="I50" i="29" s="1"/>
  <c r="J88" i="29"/>
  <c r="J50" i="29" s="1"/>
  <c r="J17" i="29" s="1"/>
  <c r="J47" i="29" s="1"/>
  <c r="K88" i="29"/>
  <c r="K50" i="29" s="1"/>
  <c r="L88" i="29"/>
  <c r="L50" i="29" s="1"/>
  <c r="L17" i="29" s="1"/>
  <c r="L47" i="29" s="1"/>
  <c r="M88" i="29"/>
  <c r="M50" i="29" s="1"/>
  <c r="N88" i="29"/>
  <c r="N50" i="29" s="1"/>
  <c r="N17" i="29" s="1"/>
  <c r="N47" i="29" s="1"/>
  <c r="O88" i="29"/>
  <c r="O50" i="29" s="1"/>
  <c r="O17" i="29" s="1"/>
  <c r="O47" i="29" s="1"/>
  <c r="P88" i="29"/>
  <c r="P50" i="29" s="1"/>
  <c r="P17" i="29" s="1"/>
  <c r="P47" i="29" s="1"/>
  <c r="Q88" i="29"/>
  <c r="Q50" i="29" s="1"/>
  <c r="R88" i="29"/>
  <c r="R50" i="29" s="1"/>
  <c r="S88" i="29"/>
  <c r="S50" i="29" s="1"/>
  <c r="T88" i="29"/>
  <c r="T50" i="29" s="1"/>
  <c r="W88" i="29"/>
  <c r="W50" i="29" s="1"/>
  <c r="W17" i="29" s="1"/>
  <c r="AB88" i="29"/>
  <c r="AB50" i="29" s="1"/>
  <c r="AC88" i="29"/>
  <c r="AC50" i="29" s="1"/>
  <c r="AD88" i="29"/>
  <c r="AD50" i="29" s="1"/>
  <c r="E96" i="29"/>
  <c r="E58" i="29" s="1"/>
  <c r="F96" i="29"/>
  <c r="F58" i="29" s="1"/>
  <c r="G96" i="29"/>
  <c r="G58" i="29" s="1"/>
  <c r="H96" i="29"/>
  <c r="H58" i="29" s="1"/>
  <c r="I96" i="29"/>
  <c r="I58" i="29" s="1"/>
  <c r="J96" i="29"/>
  <c r="J58" i="29" s="1"/>
  <c r="K96" i="29"/>
  <c r="K58" i="29" s="1"/>
  <c r="L96" i="29"/>
  <c r="L58" i="29" s="1"/>
  <c r="M96" i="29"/>
  <c r="M58" i="29" s="1"/>
  <c r="N96" i="29"/>
  <c r="N58" i="29" s="1"/>
  <c r="O96" i="29"/>
  <c r="O58" i="29" s="1"/>
  <c r="P96" i="29"/>
  <c r="P58" i="29" s="1"/>
  <c r="Q96" i="29"/>
  <c r="Q58" i="29" s="1"/>
  <c r="R96" i="29"/>
  <c r="R58" i="29" s="1"/>
  <c r="S96" i="29"/>
  <c r="S58" i="29" s="1"/>
  <c r="T96" i="29"/>
  <c r="T58" i="29" s="1"/>
  <c r="V96" i="29"/>
  <c r="V58" i="29" s="1"/>
  <c r="W96" i="29"/>
  <c r="W58" i="29" s="1"/>
  <c r="AB96" i="29"/>
  <c r="AB58" i="29" s="1"/>
  <c r="AC96" i="29"/>
  <c r="AC58" i="29" s="1"/>
  <c r="AD96" i="29"/>
  <c r="AD58" i="29" s="1"/>
  <c r="V100" i="29"/>
  <c r="W100" i="29"/>
  <c r="R106" i="29"/>
  <c r="S106" i="29" s="1"/>
  <c r="T106" i="29" s="1"/>
  <c r="R107" i="29"/>
  <c r="S107" i="29" s="1"/>
  <c r="T107" i="29" s="1"/>
  <c r="E111" i="29"/>
  <c r="E110" i="29" s="1"/>
  <c r="E183" i="29" s="1"/>
  <c r="F111" i="29"/>
  <c r="F110" i="29" s="1"/>
  <c r="F183" i="29" s="1"/>
  <c r="G111" i="29"/>
  <c r="G110" i="29" s="1"/>
  <c r="G183" i="29" s="1"/>
  <c r="H111" i="29"/>
  <c r="I111" i="29"/>
  <c r="J111" i="29"/>
  <c r="J110" i="29" s="1"/>
  <c r="K111" i="29"/>
  <c r="K110" i="29" s="1"/>
  <c r="L111" i="29"/>
  <c r="L110" i="29" s="1"/>
  <c r="L183" i="29" s="1"/>
  <c r="M111" i="29"/>
  <c r="M110" i="29" s="1"/>
  <c r="N111" i="29"/>
  <c r="N110" i="29" s="1"/>
  <c r="N183" i="29" s="1"/>
  <c r="O111" i="29"/>
  <c r="O110" i="29" s="1"/>
  <c r="O183" i="29" s="1"/>
  <c r="P111" i="29"/>
  <c r="V111" i="29"/>
  <c r="W111" i="29"/>
  <c r="W110" i="29" s="1"/>
  <c r="W183" i="29" s="1"/>
  <c r="R116" i="29"/>
  <c r="S116" i="29" s="1"/>
  <c r="T116" i="29" s="1"/>
  <c r="R117" i="29"/>
  <c r="S117" i="29" s="1"/>
  <c r="T117" i="29" s="1"/>
  <c r="R126" i="29"/>
  <c r="S126" i="29" s="1"/>
  <c r="T126" i="29" s="1"/>
  <c r="E127" i="29"/>
  <c r="F127" i="29"/>
  <c r="G127" i="29"/>
  <c r="H127" i="29"/>
  <c r="I127" i="29"/>
  <c r="J127" i="29"/>
  <c r="K127" i="29"/>
  <c r="L127" i="29"/>
  <c r="M127" i="29"/>
  <c r="N127" i="29"/>
  <c r="O127" i="29"/>
  <c r="P127" i="29"/>
  <c r="V127" i="29"/>
  <c r="W127" i="29"/>
  <c r="E129" i="29"/>
  <c r="F129" i="29"/>
  <c r="G129" i="29"/>
  <c r="H129" i="29"/>
  <c r="I129" i="29"/>
  <c r="J129" i="29"/>
  <c r="K129" i="29"/>
  <c r="L129" i="29"/>
  <c r="M129" i="29"/>
  <c r="N129" i="29"/>
  <c r="N156" i="29" s="1"/>
  <c r="O129" i="29"/>
  <c r="P129" i="29"/>
  <c r="V129" i="29"/>
  <c r="V156" i="29" s="1"/>
  <c r="W129" i="29"/>
  <c r="E132" i="29"/>
  <c r="F132" i="29"/>
  <c r="G132" i="29"/>
  <c r="H132" i="29"/>
  <c r="I132" i="29"/>
  <c r="J132" i="29"/>
  <c r="K132" i="29"/>
  <c r="L132" i="29"/>
  <c r="M132" i="29"/>
  <c r="N132" i="29"/>
  <c r="O132" i="29"/>
  <c r="P132" i="29"/>
  <c r="V132" i="29"/>
  <c r="W132" i="29"/>
  <c r="E135" i="29"/>
  <c r="F135" i="29"/>
  <c r="G135" i="29"/>
  <c r="H135" i="29"/>
  <c r="I135" i="29"/>
  <c r="J135" i="29"/>
  <c r="K135" i="29"/>
  <c r="L135" i="29"/>
  <c r="M135" i="29"/>
  <c r="N135" i="29"/>
  <c r="O135" i="29"/>
  <c r="P135" i="29"/>
  <c r="V135" i="29"/>
  <c r="W135" i="29"/>
  <c r="R138" i="29"/>
  <c r="S138" i="29" s="1"/>
  <c r="T138" i="29" s="1"/>
  <c r="R145" i="29"/>
  <c r="R147" i="29"/>
  <c r="S147" i="29" s="1"/>
  <c r="T147" i="29" s="1"/>
  <c r="E149" i="29"/>
  <c r="F149" i="29"/>
  <c r="G149" i="29"/>
  <c r="H149" i="29"/>
  <c r="I149" i="29"/>
  <c r="J149" i="29"/>
  <c r="N25" i="28" s="1"/>
  <c r="K149" i="29"/>
  <c r="O25" i="28" s="1"/>
  <c r="L149" i="29"/>
  <c r="P25" i="28" s="1"/>
  <c r="M149" i="29"/>
  <c r="Q25" i="28" s="1"/>
  <c r="N149" i="29"/>
  <c r="R25" i="28" s="1"/>
  <c r="O149" i="29"/>
  <c r="S25" i="28" s="1"/>
  <c r="P149" i="29"/>
  <c r="V149" i="29"/>
  <c r="F25" i="28" s="1"/>
  <c r="W149" i="29"/>
  <c r="E163" i="29"/>
  <c r="E165" i="29" s="1"/>
  <c r="F163" i="29"/>
  <c r="F165" i="29" s="1"/>
  <c r="G163" i="29"/>
  <c r="G165" i="29" s="1"/>
  <c r="H163" i="29"/>
  <c r="H165" i="29" s="1"/>
  <c r="I163" i="29"/>
  <c r="I165" i="29" s="1"/>
  <c r="J163" i="29"/>
  <c r="J165" i="29" s="1"/>
  <c r="K163" i="29"/>
  <c r="K165" i="29" s="1"/>
  <c r="L163" i="29"/>
  <c r="L165" i="29" s="1"/>
  <c r="M163" i="29"/>
  <c r="M165" i="29" s="1"/>
  <c r="N163" i="29"/>
  <c r="N165" i="29" s="1"/>
  <c r="O163" i="29"/>
  <c r="O165" i="29" s="1"/>
  <c r="P163" i="29"/>
  <c r="P165" i="29" s="1"/>
  <c r="V163" i="29"/>
  <c r="V165" i="29" s="1"/>
  <c r="W163" i="29"/>
  <c r="W165" i="29" s="1"/>
  <c r="V167" i="29"/>
  <c r="V170" i="29"/>
  <c r="W170" i="29"/>
  <c r="AB175" i="29"/>
  <c r="AC175" i="29"/>
  <c r="AD175" i="29"/>
  <c r="E176" i="29"/>
  <c r="F176" i="29"/>
  <c r="G176" i="29"/>
  <c r="H176" i="29"/>
  <c r="I176" i="29"/>
  <c r="J176" i="29"/>
  <c r="K176" i="29"/>
  <c r="L176" i="29"/>
  <c r="M176" i="29"/>
  <c r="N176" i="29"/>
  <c r="O176" i="29"/>
  <c r="P176" i="29"/>
  <c r="V176" i="29"/>
  <c r="W176" i="29"/>
  <c r="L188" i="29"/>
  <c r="N188" i="29"/>
  <c r="O188" i="29"/>
  <c r="P188" i="29"/>
  <c r="F197" i="29"/>
  <c r="G197" i="29"/>
  <c r="H197" i="29"/>
  <c r="I197" i="29"/>
  <c r="J197" i="29"/>
  <c r="K197" i="29"/>
  <c r="L197" i="29"/>
  <c r="M197" i="29"/>
  <c r="N197" i="29"/>
  <c r="O197" i="29"/>
  <c r="P197" i="29"/>
  <c r="W197" i="29"/>
  <c r="E202" i="29"/>
  <c r="F202" i="29"/>
  <c r="G202" i="29"/>
  <c r="H202" i="29"/>
  <c r="I202" i="29"/>
  <c r="J202" i="29"/>
  <c r="K202" i="29"/>
  <c r="L202" i="29"/>
  <c r="M202" i="29"/>
  <c r="N202" i="29"/>
  <c r="O202" i="29"/>
  <c r="P202" i="29"/>
  <c r="V202" i="29"/>
  <c r="W202" i="29"/>
  <c r="E203" i="29"/>
  <c r="F203" i="29"/>
  <c r="G203" i="29"/>
  <c r="H203" i="29"/>
  <c r="I203" i="29"/>
  <c r="J203" i="29"/>
  <c r="K203" i="29"/>
  <c r="L203" i="29"/>
  <c r="M203" i="29"/>
  <c r="N203" i="29"/>
  <c r="O203" i="29"/>
  <c r="P203" i="29"/>
  <c r="R211" i="29"/>
  <c r="V216" i="29"/>
  <c r="V224" i="29" s="1"/>
  <c r="V99" i="29" s="1"/>
  <c r="W216" i="29"/>
  <c r="W224" i="29" s="1"/>
  <c r="W99" i="29" s="1"/>
  <c r="AF216" i="29"/>
  <c r="AG216" i="29"/>
  <c r="AH216" i="29"/>
  <c r="AI216" i="29"/>
  <c r="AI224" i="29" s="1"/>
  <c r="H224" i="29" s="1"/>
  <c r="H99" i="29" s="1"/>
  <c r="AJ216" i="29"/>
  <c r="AK216" i="29"/>
  <c r="AL216" i="29"/>
  <c r="AM216" i="29"/>
  <c r="AM224" i="29" s="1"/>
  <c r="L224" i="29" s="1"/>
  <c r="AN216" i="29"/>
  <c r="AO216" i="29"/>
  <c r="AP216" i="29"/>
  <c r="AQ216" i="29"/>
  <c r="AQ224" i="29" s="1"/>
  <c r="P224" i="29" s="1"/>
  <c r="P99" i="29" s="1"/>
  <c r="E224" i="29"/>
  <c r="E99" i="29" s="1"/>
  <c r="F224" i="29"/>
  <c r="F99" i="29" s="1"/>
  <c r="G224" i="29"/>
  <c r="G99" i="29" s="1"/>
  <c r="I224" i="29"/>
  <c r="J224" i="29"/>
  <c r="J99" i="29" s="1"/>
  <c r="K224" i="29"/>
  <c r="M224" i="29"/>
  <c r="M99" i="29" s="1"/>
  <c r="N224" i="29"/>
  <c r="N99" i="29" s="1"/>
  <c r="O224" i="29"/>
  <c r="O99" i="29" s="1"/>
  <c r="E226" i="29"/>
  <c r="F226" i="29"/>
  <c r="F100" i="29" s="1"/>
  <c r="G226" i="29"/>
  <c r="H226" i="29"/>
  <c r="H170" i="29" s="1"/>
  <c r="I226" i="29"/>
  <c r="I170" i="29" s="1"/>
  <c r="J226" i="29"/>
  <c r="K226" i="29"/>
  <c r="K100" i="29" s="1"/>
  <c r="L226" i="29"/>
  <c r="L100" i="29" s="1"/>
  <c r="M226" i="29"/>
  <c r="Q17" i="28" s="1"/>
  <c r="N226" i="29"/>
  <c r="N100" i="29" s="1"/>
  <c r="O226" i="29"/>
  <c r="P226" i="29"/>
  <c r="P170" i="29" s="1"/>
  <c r="V227" i="29"/>
  <c r="V237" i="29" s="1"/>
  <c r="W227" i="29"/>
  <c r="W237" i="29" s="1"/>
  <c r="AF227" i="29"/>
  <c r="AF237" i="29" s="1"/>
  <c r="AG227" i="29"/>
  <c r="AG237" i="29" s="1"/>
  <c r="AH227" i="29"/>
  <c r="AH237" i="29" s="1"/>
  <c r="AI227" i="29"/>
  <c r="AI237" i="29" s="1"/>
  <c r="AJ227" i="29"/>
  <c r="AJ237" i="29" s="1"/>
  <c r="AK227" i="29"/>
  <c r="AK237" i="29" s="1"/>
  <c r="AL227" i="29"/>
  <c r="AL237" i="29" s="1"/>
  <c r="AM227" i="29"/>
  <c r="AM237" i="29" s="1"/>
  <c r="AN227" i="29"/>
  <c r="AN237" i="29" s="1"/>
  <c r="AO227" i="29"/>
  <c r="AO237" i="29" s="1"/>
  <c r="AP227" i="29"/>
  <c r="AP237" i="29" s="1"/>
  <c r="AQ227" i="29"/>
  <c r="AQ237" i="29" s="1"/>
  <c r="E228" i="29"/>
  <c r="F228" i="29"/>
  <c r="G228" i="29"/>
  <c r="H228" i="29"/>
  <c r="I228" i="29"/>
  <c r="J228" i="29"/>
  <c r="K228" i="29"/>
  <c r="L228" i="29"/>
  <c r="M228" i="29"/>
  <c r="N228" i="29"/>
  <c r="O228" i="29"/>
  <c r="P228" i="29"/>
  <c r="E229" i="29"/>
  <c r="F229" i="29"/>
  <c r="G229" i="29"/>
  <c r="H229" i="29"/>
  <c r="I229" i="29"/>
  <c r="J229" i="29"/>
  <c r="K229" i="29"/>
  <c r="L229" i="29"/>
  <c r="M229" i="29"/>
  <c r="N229" i="29"/>
  <c r="O229" i="29"/>
  <c r="P229" i="29"/>
  <c r="E230" i="29"/>
  <c r="F230" i="29"/>
  <c r="G230" i="29"/>
  <c r="H230" i="29"/>
  <c r="I230" i="29"/>
  <c r="J230" i="29"/>
  <c r="K230" i="29"/>
  <c r="L230" i="29"/>
  <c r="M230" i="29"/>
  <c r="N230" i="29"/>
  <c r="O230" i="29"/>
  <c r="P230" i="29"/>
  <c r="E231" i="29"/>
  <c r="F231" i="29"/>
  <c r="G231" i="29"/>
  <c r="H231" i="29"/>
  <c r="I231" i="29"/>
  <c r="J231" i="29"/>
  <c r="K231" i="29"/>
  <c r="L231" i="29"/>
  <c r="M231" i="29"/>
  <c r="N231" i="29"/>
  <c r="O231" i="29"/>
  <c r="P231" i="29"/>
  <c r="E232" i="29"/>
  <c r="F232" i="29"/>
  <c r="G232" i="29"/>
  <c r="H232" i="29"/>
  <c r="I232" i="29"/>
  <c r="J232" i="29"/>
  <c r="K232" i="29"/>
  <c r="L232" i="29"/>
  <c r="M232" i="29"/>
  <c r="N232" i="29"/>
  <c r="O232" i="29"/>
  <c r="P232" i="29"/>
  <c r="E233" i="29"/>
  <c r="F233" i="29"/>
  <c r="G233" i="29"/>
  <c r="H233" i="29"/>
  <c r="I233" i="29"/>
  <c r="J233" i="29"/>
  <c r="K233" i="29"/>
  <c r="L233" i="29"/>
  <c r="M233" i="29"/>
  <c r="N233" i="29"/>
  <c r="O233" i="29"/>
  <c r="P233" i="29"/>
  <c r="E234" i="29"/>
  <c r="F234" i="29"/>
  <c r="G234" i="29"/>
  <c r="H234" i="29"/>
  <c r="I234" i="29"/>
  <c r="J234" i="29"/>
  <c r="K234" i="29"/>
  <c r="L234" i="29"/>
  <c r="M234" i="29"/>
  <c r="N234" i="29"/>
  <c r="O234" i="29"/>
  <c r="P234" i="29"/>
  <c r="E235" i="29"/>
  <c r="F235" i="29"/>
  <c r="G235" i="29"/>
  <c r="H235" i="29"/>
  <c r="I235" i="29"/>
  <c r="J235" i="29"/>
  <c r="K235" i="29"/>
  <c r="L235" i="29"/>
  <c r="M235" i="29"/>
  <c r="N235" i="29"/>
  <c r="O235" i="29"/>
  <c r="P235" i="29"/>
  <c r="E236" i="29"/>
  <c r="F236" i="29"/>
  <c r="G236" i="29"/>
  <c r="H236" i="29"/>
  <c r="I236" i="29"/>
  <c r="J236" i="29"/>
  <c r="K236" i="29"/>
  <c r="L236" i="29"/>
  <c r="M236" i="29"/>
  <c r="N236" i="29"/>
  <c r="O236" i="29"/>
  <c r="P236" i="29"/>
  <c r="E239" i="29"/>
  <c r="F239" i="29"/>
  <c r="G239" i="29"/>
  <c r="H239" i="29"/>
  <c r="I239" i="29"/>
  <c r="J239" i="29"/>
  <c r="K239" i="29"/>
  <c r="L239" i="29"/>
  <c r="M239" i="29"/>
  <c r="N239" i="29"/>
  <c r="O239" i="29"/>
  <c r="P239" i="29"/>
  <c r="E240" i="29"/>
  <c r="F240" i="29"/>
  <c r="G240" i="29"/>
  <c r="H240" i="29"/>
  <c r="I240" i="29"/>
  <c r="J240" i="29"/>
  <c r="K240" i="29"/>
  <c r="O20" i="28" s="1"/>
  <c r="L240" i="29"/>
  <c r="P20" i="28" s="1"/>
  <c r="M240" i="29"/>
  <c r="Q20" i="28" s="1"/>
  <c r="N240" i="29"/>
  <c r="O240" i="29"/>
  <c r="S20" i="28" s="1"/>
  <c r="P240" i="29"/>
  <c r="T20" i="28" s="1"/>
  <c r="E241" i="29"/>
  <c r="E43" i="29" s="1"/>
  <c r="F241" i="29"/>
  <c r="F43" i="29" s="1"/>
  <c r="G241" i="29"/>
  <c r="G43" i="29" s="1"/>
  <c r="H241" i="29"/>
  <c r="I241" i="29"/>
  <c r="J241" i="29"/>
  <c r="K241" i="29"/>
  <c r="K43" i="29" s="1"/>
  <c r="L241" i="29"/>
  <c r="L43" i="29" s="1"/>
  <c r="M241" i="29"/>
  <c r="Q18" i="28" s="1"/>
  <c r="N241" i="29"/>
  <c r="R18" i="28" s="1"/>
  <c r="O241" i="29"/>
  <c r="O43" i="29" s="1"/>
  <c r="P241" i="29"/>
  <c r="T18" i="28" s="1"/>
  <c r="E242" i="29"/>
  <c r="F242" i="29"/>
  <c r="G242" i="29"/>
  <c r="H242" i="29"/>
  <c r="I242" i="29"/>
  <c r="J242" i="29"/>
  <c r="K242" i="29"/>
  <c r="L242" i="29"/>
  <c r="M242" i="29"/>
  <c r="N242" i="29"/>
  <c r="O242" i="29"/>
  <c r="P242" i="29"/>
  <c r="E243" i="29"/>
  <c r="F243" i="29"/>
  <c r="G243" i="29"/>
  <c r="H243" i="29"/>
  <c r="I243" i="29"/>
  <c r="J243" i="29"/>
  <c r="K243" i="29"/>
  <c r="L243" i="29"/>
  <c r="M243" i="29"/>
  <c r="N243" i="29"/>
  <c r="O243" i="29"/>
  <c r="P243" i="29"/>
  <c r="E244" i="29"/>
  <c r="F244" i="29"/>
  <c r="G244" i="29"/>
  <c r="H244" i="29"/>
  <c r="I244" i="29"/>
  <c r="J244" i="29"/>
  <c r="N19" i="28" s="1"/>
  <c r="K244" i="29"/>
  <c r="O19" i="28" s="1"/>
  <c r="L244" i="29"/>
  <c r="P19" i="28" s="1"/>
  <c r="M244" i="29"/>
  <c r="Q19" i="28" s="1"/>
  <c r="N244" i="29"/>
  <c r="R19" i="28" s="1"/>
  <c r="O244" i="29"/>
  <c r="S19" i="28" s="1"/>
  <c r="P244" i="29"/>
  <c r="T19" i="28" s="1"/>
  <c r="E245" i="29"/>
  <c r="F245" i="29"/>
  <c r="G245" i="29"/>
  <c r="H245" i="29"/>
  <c r="I245" i="29"/>
  <c r="J245" i="29"/>
  <c r="K245" i="29"/>
  <c r="L245" i="29"/>
  <c r="M245" i="29"/>
  <c r="N245" i="29"/>
  <c r="O245" i="29"/>
  <c r="P245" i="29"/>
  <c r="V246" i="29"/>
  <c r="W246" i="29"/>
  <c r="AF246" i="29"/>
  <c r="AG246" i="29"/>
  <c r="AH246" i="29"/>
  <c r="AI246" i="29"/>
  <c r="AJ246" i="29"/>
  <c r="AK246" i="29"/>
  <c r="AL246" i="29"/>
  <c r="AM246" i="29"/>
  <c r="AN246" i="29"/>
  <c r="AO246" i="29"/>
  <c r="AP246" i="29"/>
  <c r="AQ246" i="29"/>
  <c r="E249" i="29"/>
  <c r="AG249" i="29"/>
  <c r="AH249" i="29" s="1"/>
  <c r="AI249" i="29" s="1"/>
  <c r="A2" i="28"/>
  <c r="F17" i="28"/>
  <c r="G17" i="28"/>
  <c r="F18" i="28"/>
  <c r="G18" i="28"/>
  <c r="M18" i="28"/>
  <c r="F19" i="28"/>
  <c r="G19" i="28"/>
  <c r="M19" i="28"/>
  <c r="F20" i="28"/>
  <c r="G20" i="28"/>
  <c r="F26" i="28"/>
  <c r="G26" i="28"/>
  <c r="F29" i="28"/>
  <c r="G29" i="28"/>
  <c r="F30" i="28"/>
  <c r="G30" i="28"/>
  <c r="K30" i="28"/>
  <c r="F31" i="28"/>
  <c r="G31" i="28"/>
  <c r="M34" i="28"/>
  <c r="V10" i="27"/>
  <c r="W10" i="27" s="1"/>
  <c r="N27" i="27"/>
  <c r="O27" i="27"/>
  <c r="P27" i="27"/>
  <c r="V29" i="27"/>
  <c r="V30" i="27" s="1"/>
  <c r="V31" i="27" s="1"/>
  <c r="V32" i="27" s="1"/>
  <c r="S30" i="27"/>
  <c r="S31" i="27"/>
  <c r="E42" i="27"/>
  <c r="F42" i="27"/>
  <c r="G42" i="27"/>
  <c r="H42" i="27"/>
  <c r="I42" i="27"/>
  <c r="S58" i="27" s="1"/>
  <c r="J42" i="27"/>
  <c r="T58" i="27" s="1"/>
  <c r="K42" i="27"/>
  <c r="M42" i="27"/>
  <c r="N42" i="27"/>
  <c r="O42" i="27"/>
  <c r="P42" i="27"/>
  <c r="C43" i="27"/>
  <c r="C44" i="27"/>
  <c r="C45" i="27"/>
  <c r="C46" i="27"/>
  <c r="C47" i="27"/>
  <c r="C48" i="27"/>
  <c r="C49" i="27"/>
  <c r="C50" i="27"/>
  <c r="C51" i="27"/>
  <c r="C52" i="27"/>
  <c r="C53" i="27"/>
  <c r="C54" i="27"/>
  <c r="C55" i="27"/>
  <c r="C56" i="27"/>
  <c r="C57" i="27"/>
  <c r="C58" i="27"/>
  <c r="C59" i="27"/>
  <c r="C60" i="27"/>
  <c r="Q60" i="27"/>
  <c r="C61" i="27"/>
  <c r="W61" i="27"/>
  <c r="C62" i="27"/>
  <c r="Q62" i="27"/>
  <c r="U62" i="27"/>
  <c r="W62" i="27"/>
  <c r="Q63" i="27"/>
  <c r="U63" i="27"/>
  <c r="W63" i="27"/>
  <c r="Q64" i="27"/>
  <c r="U64" i="27"/>
  <c r="W64" i="27"/>
  <c r="Q65" i="27"/>
  <c r="U65" i="27"/>
  <c r="W65" i="27"/>
  <c r="Q66" i="27"/>
  <c r="E75" i="27"/>
  <c r="F75" i="27"/>
  <c r="G75" i="27"/>
  <c r="H75" i="27"/>
  <c r="I75" i="27"/>
  <c r="J75" i="27"/>
  <c r="A2" i="15"/>
  <c r="F3" i="15"/>
  <c r="O3" i="15"/>
  <c r="F4" i="15"/>
  <c r="F5" i="15"/>
  <c r="H9" i="15"/>
  <c r="L9" i="15" s="1"/>
  <c r="C26" i="15"/>
  <c r="C27" i="15"/>
  <c r="C28" i="15"/>
  <c r="C29" i="15"/>
  <c r="C30" i="15"/>
  <c r="C32" i="15"/>
  <c r="C33" i="15"/>
  <c r="C34" i="15"/>
  <c r="C35" i="15"/>
  <c r="H86" i="15"/>
  <c r="L86" i="15" s="1"/>
  <c r="C103" i="15"/>
  <c r="C104" i="15"/>
  <c r="C105" i="15"/>
  <c r="C106" i="15"/>
  <c r="C107" i="15"/>
  <c r="C109" i="15"/>
  <c r="C110" i="15"/>
  <c r="C111" i="15"/>
  <c r="C112" i="15"/>
  <c r="H129" i="15"/>
  <c r="L129" i="15" s="1"/>
  <c r="C146" i="15"/>
  <c r="C147" i="15"/>
  <c r="C148" i="15"/>
  <c r="C149" i="15"/>
  <c r="C150" i="15"/>
  <c r="C152" i="15"/>
  <c r="C153" i="15"/>
  <c r="C154" i="15"/>
  <c r="C155" i="15"/>
  <c r="A2" i="52"/>
  <c r="E5" i="52"/>
  <c r="V5" i="52"/>
  <c r="F6" i="52"/>
  <c r="F5" i="52" s="1"/>
  <c r="W6" i="52"/>
  <c r="X6" i="52" s="1"/>
  <c r="O22" i="52"/>
  <c r="P22" i="52"/>
  <c r="Q22" i="52"/>
  <c r="V22" i="52"/>
  <c r="W22" i="52"/>
  <c r="E67" i="52"/>
  <c r="F67" i="52"/>
  <c r="G67" i="52"/>
  <c r="H67" i="52"/>
  <c r="I67" i="52"/>
  <c r="J67" i="52"/>
  <c r="K67" i="52"/>
  <c r="L67" i="52"/>
  <c r="M67" i="52"/>
  <c r="N67" i="52"/>
  <c r="O67" i="52"/>
  <c r="P67" i="52"/>
  <c r="P72" i="52" s="1"/>
  <c r="Q67" i="52"/>
  <c r="E81" i="52"/>
  <c r="F81" i="52"/>
  <c r="G81" i="52"/>
  <c r="H81" i="52"/>
  <c r="I81" i="52"/>
  <c r="J81" i="52"/>
  <c r="K81" i="52"/>
  <c r="L81" i="52"/>
  <c r="M81" i="52"/>
  <c r="N81" i="52"/>
  <c r="O81" i="52"/>
  <c r="P81" i="52"/>
  <c r="Q81" i="52"/>
  <c r="V81" i="52"/>
  <c r="W81" i="52"/>
  <c r="E82" i="52"/>
  <c r="F82" i="52"/>
  <c r="G82" i="52"/>
  <c r="H82" i="52"/>
  <c r="I82" i="52"/>
  <c r="J82" i="52"/>
  <c r="K82" i="52"/>
  <c r="L82" i="52"/>
  <c r="M82" i="52"/>
  <c r="N82" i="52"/>
  <c r="O82" i="52"/>
  <c r="P82" i="52"/>
  <c r="Q82" i="52"/>
  <c r="V82" i="52"/>
  <c r="W82" i="52"/>
  <c r="E143" i="52"/>
  <c r="F143" i="52"/>
  <c r="G143" i="52"/>
  <c r="H143" i="52"/>
  <c r="I143" i="52"/>
  <c r="J143" i="52"/>
  <c r="K143" i="52"/>
  <c r="L143" i="52"/>
  <c r="M143" i="52"/>
  <c r="M150" i="52" s="1"/>
  <c r="N143" i="52"/>
  <c r="O143" i="52"/>
  <c r="P143" i="52"/>
  <c r="V143" i="52"/>
  <c r="W143" i="52"/>
  <c r="E144" i="52"/>
  <c r="F144" i="52"/>
  <c r="G144" i="52"/>
  <c r="H144" i="52"/>
  <c r="I144" i="52"/>
  <c r="J144" i="52"/>
  <c r="K144" i="52"/>
  <c r="L144" i="52"/>
  <c r="M144" i="52"/>
  <c r="N144" i="52"/>
  <c r="O144" i="52"/>
  <c r="P144" i="52"/>
  <c r="Q144" i="52"/>
  <c r="V144" i="52"/>
  <c r="W144" i="52"/>
  <c r="E145" i="52"/>
  <c r="F145" i="52"/>
  <c r="G145" i="52"/>
  <c r="H145" i="52"/>
  <c r="I145" i="52"/>
  <c r="J145" i="52"/>
  <c r="K145" i="52"/>
  <c r="L145" i="52"/>
  <c r="M145" i="52"/>
  <c r="N145" i="52"/>
  <c r="O145" i="52"/>
  <c r="P145" i="52"/>
  <c r="V145" i="52"/>
  <c r="W145" i="52"/>
  <c r="E161" i="52"/>
  <c r="F161" i="52"/>
  <c r="G161" i="52"/>
  <c r="H161" i="52"/>
  <c r="I161" i="52"/>
  <c r="J161" i="52"/>
  <c r="K161" i="52"/>
  <c r="L161" i="52"/>
  <c r="M161" i="52"/>
  <c r="N161" i="52"/>
  <c r="N166" i="52" s="1"/>
  <c r="O161" i="52"/>
  <c r="P161" i="52"/>
  <c r="Q161" i="52"/>
  <c r="V161" i="52"/>
  <c r="W161" i="52"/>
  <c r="R5" i="63"/>
  <c r="G6" i="63"/>
  <c r="R6" i="63"/>
  <c r="R7" i="63"/>
  <c r="R8" i="63"/>
  <c r="G9" i="63"/>
  <c r="R9" i="63"/>
  <c r="R10" i="63"/>
  <c r="R11" i="63"/>
  <c r="G12" i="63"/>
  <c r="R12" i="63"/>
  <c r="R13" i="63"/>
  <c r="G14" i="63"/>
  <c r="R14" i="63"/>
  <c r="P15" i="63"/>
  <c r="Q15" i="63"/>
  <c r="O19" i="63"/>
  <c r="P19" i="63" s="1"/>
  <c r="Q19" i="63" s="1"/>
  <c r="R19" i="63" s="1"/>
  <c r="T20" i="63"/>
  <c r="T21" i="63"/>
  <c r="T22" i="63"/>
  <c r="D23" i="63"/>
  <c r="H23" i="63" s="1"/>
  <c r="E23" i="63"/>
  <c r="F23" i="63"/>
  <c r="T23" i="63"/>
  <c r="Z23" i="63"/>
  <c r="AA23" i="63"/>
  <c r="AB23" i="63"/>
  <c r="AE23" i="63"/>
  <c r="AF23" i="63"/>
  <c r="N24" i="63"/>
  <c r="O24" i="63"/>
  <c r="P24" i="63"/>
  <c r="Q24" i="63"/>
  <c r="R24" i="63"/>
  <c r="S24" i="63"/>
  <c r="D27" i="63"/>
  <c r="D28" i="63"/>
  <c r="AB34" i="63"/>
  <c r="D29" i="63"/>
  <c r="D30" i="63"/>
  <c r="D31" i="63"/>
  <c r="A3" i="61"/>
  <c r="H3" i="61"/>
  <c r="I3" i="61" s="1"/>
  <c r="O3" i="61"/>
  <c r="P3" i="61" s="1"/>
  <c r="V3" i="61"/>
  <c r="W3" i="61" s="1"/>
  <c r="AC3" i="61"/>
  <c r="AD3" i="61" s="1"/>
  <c r="AJ3" i="61"/>
  <c r="AK3" i="61" s="1"/>
  <c r="AL3" i="61"/>
  <c r="AM3" i="61"/>
  <c r="AN3" i="61"/>
  <c r="AO3" i="61"/>
  <c r="AP3" i="61"/>
  <c r="AY3" i="61"/>
  <c r="AZ3" i="61" s="1"/>
  <c r="BF3" i="61"/>
  <c r="BG3" i="61" s="1"/>
  <c r="BM3" i="61"/>
  <c r="BN3" i="61" s="1"/>
  <c r="BT3" i="61"/>
  <c r="BU3" i="61" s="1"/>
  <c r="CA3" i="61"/>
  <c r="CB3" i="61" s="1"/>
  <c r="CC3" i="61"/>
  <c r="CD3" i="61"/>
  <c r="CE3" i="61"/>
  <c r="CF3" i="61"/>
  <c r="CG3" i="61"/>
  <c r="B4" i="61"/>
  <c r="H4" i="61"/>
  <c r="I4" i="61" s="1"/>
  <c r="O4" i="61"/>
  <c r="P4" i="61" s="1"/>
  <c r="V4" i="61"/>
  <c r="W4" i="61" s="1"/>
  <c r="AC4" i="61"/>
  <c r="AD4" i="61" s="1"/>
  <c r="AJ4" i="61"/>
  <c r="AK4" i="61" s="1"/>
  <c r="AL4" i="61"/>
  <c r="AM4" i="61"/>
  <c r="AN4" i="61"/>
  <c r="AO4" i="61"/>
  <c r="AP4" i="61"/>
  <c r="AY4" i="61"/>
  <c r="AZ4" i="61" s="1"/>
  <c r="BF4" i="61"/>
  <c r="BG4" i="61" s="1"/>
  <c r="BM4" i="61"/>
  <c r="BN4" i="61" s="1"/>
  <c r="BT4" i="61"/>
  <c r="BU4" i="61" s="1"/>
  <c r="CA4" i="61"/>
  <c r="CB4" i="61" s="1"/>
  <c r="CC4" i="61"/>
  <c r="CD4" i="61"/>
  <c r="CE4" i="61"/>
  <c r="CF4" i="61"/>
  <c r="CG4" i="61"/>
  <c r="H5" i="61"/>
  <c r="I5" i="61" s="1"/>
  <c r="O5" i="61"/>
  <c r="P5" i="61" s="1"/>
  <c r="V5" i="61"/>
  <c r="W5" i="61" s="1"/>
  <c r="AC5" i="61"/>
  <c r="AD5" i="61" s="1"/>
  <c r="AJ5" i="61"/>
  <c r="AK5" i="61" s="1"/>
  <c r="AL5" i="61"/>
  <c r="AM5" i="61"/>
  <c r="AN5" i="61"/>
  <c r="AO5" i="61"/>
  <c r="AP5" i="61"/>
  <c r="AY5" i="61"/>
  <c r="AZ5" i="61" s="1"/>
  <c r="BF5" i="61"/>
  <c r="BG5" i="61" s="1"/>
  <c r="BM5" i="61"/>
  <c r="BN5" i="61" s="1"/>
  <c r="BT5" i="61"/>
  <c r="BU5" i="61" s="1"/>
  <c r="CA5" i="61"/>
  <c r="CB5" i="61" s="1"/>
  <c r="CC5" i="61"/>
  <c r="CD5" i="61"/>
  <c r="CE5" i="61"/>
  <c r="CF5" i="61"/>
  <c r="CG5" i="61"/>
  <c r="H6" i="61"/>
  <c r="I6" i="61" s="1"/>
  <c r="O6" i="61"/>
  <c r="P6" i="61" s="1"/>
  <c r="V6" i="61"/>
  <c r="W6" i="61" s="1"/>
  <c r="AC6" i="61"/>
  <c r="AD6" i="61" s="1"/>
  <c r="AJ6" i="61"/>
  <c r="AK6" i="61" s="1"/>
  <c r="AL6" i="61"/>
  <c r="AM6" i="61"/>
  <c r="AN6" i="61"/>
  <c r="AO6" i="61"/>
  <c r="AP6" i="61"/>
  <c r="AY6" i="61"/>
  <c r="AZ6" i="61" s="1"/>
  <c r="BF6" i="61"/>
  <c r="BG6" i="61" s="1"/>
  <c r="BM6" i="61"/>
  <c r="BN6" i="61" s="1"/>
  <c r="BT6" i="61"/>
  <c r="BU6" i="61" s="1"/>
  <c r="CA6" i="61"/>
  <c r="CB6" i="61" s="1"/>
  <c r="CC6" i="61"/>
  <c r="CD6" i="61"/>
  <c r="CE6" i="61"/>
  <c r="CF6" i="61"/>
  <c r="CG6" i="61"/>
  <c r="H7" i="61"/>
  <c r="I7" i="61" s="1"/>
  <c r="O7" i="61"/>
  <c r="P7" i="61" s="1"/>
  <c r="V7" i="61"/>
  <c r="W7" i="61" s="1"/>
  <c r="AC7" i="61"/>
  <c r="AD7" i="61" s="1"/>
  <c r="AJ7" i="61"/>
  <c r="AK7" i="61" s="1"/>
  <c r="AL7" i="61"/>
  <c r="AM7" i="61"/>
  <c r="AN7" i="61"/>
  <c r="AO7" i="61"/>
  <c r="AP7" i="61"/>
  <c r="AY7" i="61"/>
  <c r="AZ7" i="61" s="1"/>
  <c r="BF7" i="61"/>
  <c r="BG7" i="61" s="1"/>
  <c r="BM7" i="61"/>
  <c r="BN7" i="61" s="1"/>
  <c r="BT7" i="61"/>
  <c r="BU7" i="61" s="1"/>
  <c r="CA7" i="61"/>
  <c r="CB7" i="61" s="1"/>
  <c r="CC7" i="61"/>
  <c r="CD7" i="61"/>
  <c r="CE7" i="61"/>
  <c r="CF7" i="61"/>
  <c r="CG7" i="61"/>
  <c r="H8" i="61"/>
  <c r="I8" i="61" s="1"/>
  <c r="O8" i="61"/>
  <c r="P8" i="61" s="1"/>
  <c r="V8" i="61"/>
  <c r="W8" i="61" s="1"/>
  <c r="AC8" i="61"/>
  <c r="AD8" i="61" s="1"/>
  <c r="AJ8" i="61"/>
  <c r="AK8" i="61" s="1"/>
  <c r="AL8" i="61"/>
  <c r="AM8" i="61"/>
  <c r="AN8" i="61"/>
  <c r="AO8" i="61"/>
  <c r="AP8" i="61"/>
  <c r="AY8" i="61"/>
  <c r="AZ8" i="61" s="1"/>
  <c r="BF8" i="61"/>
  <c r="BG8" i="61" s="1"/>
  <c r="BM8" i="61"/>
  <c r="BN8" i="61" s="1"/>
  <c r="BT8" i="61"/>
  <c r="BU8" i="61" s="1"/>
  <c r="CA8" i="61"/>
  <c r="CB8" i="61" s="1"/>
  <c r="CC8" i="61"/>
  <c r="CD8" i="61"/>
  <c r="CE8" i="61"/>
  <c r="CF8" i="61"/>
  <c r="CG8" i="61"/>
  <c r="H9" i="61"/>
  <c r="I9" i="61" s="1"/>
  <c r="O9" i="61"/>
  <c r="P9" i="61" s="1"/>
  <c r="V9" i="61"/>
  <c r="W9" i="61" s="1"/>
  <c r="AC9" i="61"/>
  <c r="AD9" i="61" s="1"/>
  <c r="AJ9" i="61"/>
  <c r="AK9" i="61" s="1"/>
  <c r="AL9" i="61"/>
  <c r="AM9" i="61"/>
  <c r="AN9" i="61"/>
  <c r="AO9" i="61"/>
  <c r="AP9" i="61"/>
  <c r="AY9" i="61"/>
  <c r="AZ9" i="61" s="1"/>
  <c r="BF9" i="61"/>
  <c r="BG9" i="61" s="1"/>
  <c r="BM9" i="61"/>
  <c r="BN9" i="61" s="1"/>
  <c r="BT9" i="61"/>
  <c r="BU9" i="61" s="1"/>
  <c r="CA9" i="61"/>
  <c r="CB9" i="61" s="1"/>
  <c r="CC9" i="61"/>
  <c r="CD9" i="61"/>
  <c r="CE9" i="61"/>
  <c r="CF9" i="61"/>
  <c r="CG9" i="61"/>
  <c r="H10" i="61"/>
  <c r="I10" i="61" s="1"/>
  <c r="O10" i="61"/>
  <c r="P10" i="61" s="1"/>
  <c r="V10" i="61"/>
  <c r="W10" i="61" s="1"/>
  <c r="AC10" i="61"/>
  <c r="AD10" i="61" s="1"/>
  <c r="AJ10" i="61"/>
  <c r="AK10" i="61" s="1"/>
  <c r="AL10" i="61"/>
  <c r="AM10" i="61"/>
  <c r="AN10" i="61"/>
  <c r="AO10" i="61"/>
  <c r="AP10" i="61"/>
  <c r="AY10" i="61"/>
  <c r="AZ10" i="61" s="1"/>
  <c r="BF10" i="61"/>
  <c r="BG10" i="61" s="1"/>
  <c r="BM10" i="61"/>
  <c r="BN10" i="61" s="1"/>
  <c r="BT10" i="61"/>
  <c r="BU10" i="61" s="1"/>
  <c r="CA10" i="61"/>
  <c r="CB10" i="61" s="1"/>
  <c r="CC10" i="61"/>
  <c r="CD10" i="61"/>
  <c r="CE10" i="61"/>
  <c r="CF10" i="61"/>
  <c r="CG10" i="61"/>
  <c r="H11" i="61"/>
  <c r="I11" i="61" s="1"/>
  <c r="O11" i="61"/>
  <c r="P11" i="61" s="1"/>
  <c r="V11" i="61"/>
  <c r="W11" i="61" s="1"/>
  <c r="AC11" i="61"/>
  <c r="AD11" i="61" s="1"/>
  <c r="AJ11" i="61"/>
  <c r="AK11" i="61" s="1"/>
  <c r="AL11" i="61"/>
  <c r="AM11" i="61"/>
  <c r="AN11" i="61"/>
  <c r="AO11" i="61"/>
  <c r="AP11" i="61"/>
  <c r="AY11" i="61"/>
  <c r="AZ11" i="61" s="1"/>
  <c r="BF11" i="61"/>
  <c r="BG11" i="61" s="1"/>
  <c r="BM11" i="61"/>
  <c r="BN11" i="61" s="1"/>
  <c r="BT11" i="61"/>
  <c r="BU11" i="61" s="1"/>
  <c r="CA11" i="61"/>
  <c r="CB11" i="61" s="1"/>
  <c r="CC11" i="61"/>
  <c r="CD11" i="61"/>
  <c r="CE11" i="61"/>
  <c r="CF11" i="61"/>
  <c r="CG11" i="61"/>
  <c r="H12" i="61"/>
  <c r="I12" i="61" s="1"/>
  <c r="O12" i="61"/>
  <c r="P12" i="61" s="1"/>
  <c r="V12" i="61"/>
  <c r="W12" i="61" s="1"/>
  <c r="AC12" i="61"/>
  <c r="AD12" i="61" s="1"/>
  <c r="AJ12" i="61"/>
  <c r="AK12" i="61" s="1"/>
  <c r="AL12" i="61"/>
  <c r="AM12" i="61"/>
  <c r="AN12" i="61"/>
  <c r="AO12" i="61"/>
  <c r="AP12" i="61"/>
  <c r="AY12" i="61"/>
  <c r="AZ12" i="61" s="1"/>
  <c r="BF12" i="61"/>
  <c r="BG12" i="61" s="1"/>
  <c r="BM12" i="61"/>
  <c r="BN12" i="61" s="1"/>
  <c r="BT12" i="61"/>
  <c r="BU12" i="61" s="1"/>
  <c r="CA12" i="61"/>
  <c r="CB12" i="61" s="1"/>
  <c r="CC12" i="61"/>
  <c r="CD12" i="61"/>
  <c r="CE12" i="61"/>
  <c r="CF12" i="61"/>
  <c r="CG12" i="61"/>
  <c r="H13" i="61"/>
  <c r="I13" i="61" s="1"/>
  <c r="O13" i="61"/>
  <c r="P13" i="61" s="1"/>
  <c r="V13" i="61"/>
  <c r="W13" i="61" s="1"/>
  <c r="AC13" i="61"/>
  <c r="AD13" i="61" s="1"/>
  <c r="AJ13" i="61"/>
  <c r="AK13" i="61" s="1"/>
  <c r="AL13" i="61"/>
  <c r="AM13" i="61"/>
  <c r="AN13" i="61"/>
  <c r="AO13" i="61"/>
  <c r="AP13" i="61"/>
  <c r="AY13" i="61"/>
  <c r="AZ13" i="61" s="1"/>
  <c r="BF13" i="61"/>
  <c r="BG13" i="61" s="1"/>
  <c r="BM13" i="61"/>
  <c r="BN13" i="61" s="1"/>
  <c r="BT13" i="61"/>
  <c r="BU13" i="61" s="1"/>
  <c r="CA13" i="61"/>
  <c r="CB13" i="61" s="1"/>
  <c r="CC13" i="61"/>
  <c r="CD13" i="61"/>
  <c r="CE13" i="61"/>
  <c r="CF13" i="61"/>
  <c r="CG13" i="61"/>
  <c r="H14" i="61"/>
  <c r="I14" i="61" s="1"/>
  <c r="O14" i="61"/>
  <c r="P14" i="61" s="1"/>
  <c r="V14" i="61"/>
  <c r="W14" i="61" s="1"/>
  <c r="AC14" i="61"/>
  <c r="AD14" i="61" s="1"/>
  <c r="AJ14" i="61"/>
  <c r="AK14" i="61" s="1"/>
  <c r="AL14" i="61"/>
  <c r="AM14" i="61"/>
  <c r="AN14" i="61"/>
  <c r="AO14" i="61"/>
  <c r="AP14" i="61"/>
  <c r="AY14" i="61"/>
  <c r="AZ14" i="61" s="1"/>
  <c r="BF14" i="61"/>
  <c r="BG14" i="61" s="1"/>
  <c r="BM14" i="61"/>
  <c r="BN14" i="61" s="1"/>
  <c r="BT14" i="61"/>
  <c r="BU14" i="61" s="1"/>
  <c r="CA14" i="61"/>
  <c r="CB14" i="61" s="1"/>
  <c r="CC14" i="61"/>
  <c r="CD14" i="61"/>
  <c r="CE14" i="61"/>
  <c r="CF14" i="61"/>
  <c r="CG14" i="61"/>
  <c r="H15" i="61"/>
  <c r="I15" i="61" s="1"/>
  <c r="O15" i="61"/>
  <c r="P15" i="61" s="1"/>
  <c r="V15" i="61"/>
  <c r="W15" i="61" s="1"/>
  <c r="AC15" i="61"/>
  <c r="AD15" i="61" s="1"/>
  <c r="AJ15" i="61"/>
  <c r="AK15" i="61" s="1"/>
  <c r="AL15" i="61"/>
  <c r="AM15" i="61"/>
  <c r="AN15" i="61"/>
  <c r="AO15" i="61"/>
  <c r="AP15" i="61"/>
  <c r="AY15" i="61"/>
  <c r="AZ15" i="61" s="1"/>
  <c r="BF15" i="61"/>
  <c r="BG15" i="61" s="1"/>
  <c r="BM15" i="61"/>
  <c r="BN15" i="61" s="1"/>
  <c r="BT15" i="61"/>
  <c r="BU15" i="61" s="1"/>
  <c r="CA15" i="61"/>
  <c r="CB15" i="61" s="1"/>
  <c r="CC15" i="61"/>
  <c r="CD15" i="61"/>
  <c r="CE15" i="61"/>
  <c r="CF15" i="61"/>
  <c r="CG15" i="61"/>
  <c r="H16" i="61"/>
  <c r="I16" i="61" s="1"/>
  <c r="O16" i="61"/>
  <c r="P16" i="61" s="1"/>
  <c r="V16" i="61"/>
  <c r="W16" i="61" s="1"/>
  <c r="AC16" i="61"/>
  <c r="AD16" i="61" s="1"/>
  <c r="AJ16" i="61"/>
  <c r="AK16" i="61" s="1"/>
  <c r="AL16" i="61"/>
  <c r="AM16" i="61"/>
  <c r="AN16" i="61"/>
  <c r="AO16" i="61"/>
  <c r="AP16" i="61"/>
  <c r="AY16" i="61"/>
  <c r="AZ16" i="61" s="1"/>
  <c r="BF16" i="61"/>
  <c r="BG16" i="61" s="1"/>
  <c r="BM16" i="61"/>
  <c r="BN16" i="61" s="1"/>
  <c r="BT16" i="61"/>
  <c r="BU16" i="61" s="1"/>
  <c r="CA16" i="61"/>
  <c r="CB16" i="61" s="1"/>
  <c r="CC16" i="61"/>
  <c r="CD16" i="61"/>
  <c r="CE16" i="61"/>
  <c r="CF16" i="61"/>
  <c r="CG16" i="61"/>
  <c r="H17" i="61"/>
  <c r="I17" i="61" s="1"/>
  <c r="O17" i="61"/>
  <c r="P17" i="61" s="1"/>
  <c r="V17" i="61"/>
  <c r="W17" i="61" s="1"/>
  <c r="AC17" i="61"/>
  <c r="AD17" i="61" s="1"/>
  <c r="AJ17" i="61"/>
  <c r="AK17" i="61" s="1"/>
  <c r="AL17" i="61"/>
  <c r="AM17" i="61"/>
  <c r="AN17" i="61"/>
  <c r="AO17" i="61"/>
  <c r="AP17" i="61"/>
  <c r="AY17" i="61"/>
  <c r="AZ17" i="61" s="1"/>
  <c r="BF17" i="61"/>
  <c r="BG17" i="61" s="1"/>
  <c r="BM17" i="61"/>
  <c r="BN17" i="61" s="1"/>
  <c r="BT17" i="61"/>
  <c r="BU17" i="61" s="1"/>
  <c r="CA17" i="61"/>
  <c r="CB17" i="61" s="1"/>
  <c r="CC17" i="61"/>
  <c r="CD17" i="61"/>
  <c r="CE17" i="61"/>
  <c r="CF17" i="61"/>
  <c r="CG17" i="61"/>
  <c r="H18" i="61"/>
  <c r="I18" i="61" s="1"/>
  <c r="O18" i="61"/>
  <c r="P18" i="61" s="1"/>
  <c r="V18" i="61"/>
  <c r="W18" i="61" s="1"/>
  <c r="AC18" i="61"/>
  <c r="AD18" i="61" s="1"/>
  <c r="AJ18" i="61"/>
  <c r="AK18" i="61" s="1"/>
  <c r="AL18" i="61"/>
  <c r="AM18" i="61"/>
  <c r="AN18" i="61"/>
  <c r="AO18" i="61"/>
  <c r="AP18" i="61"/>
  <c r="AY18" i="61"/>
  <c r="AZ18" i="61" s="1"/>
  <c r="BF18" i="61"/>
  <c r="BG18" i="61" s="1"/>
  <c r="BM18" i="61"/>
  <c r="BN18" i="61" s="1"/>
  <c r="BT18" i="61"/>
  <c r="BU18" i="61" s="1"/>
  <c r="CA18" i="61"/>
  <c r="CB18" i="61" s="1"/>
  <c r="CC18" i="61"/>
  <c r="CD18" i="61"/>
  <c r="CE18" i="61"/>
  <c r="CF18" i="61"/>
  <c r="CG18" i="61"/>
  <c r="H19" i="61"/>
  <c r="I19" i="61" s="1"/>
  <c r="O19" i="61"/>
  <c r="P19" i="61" s="1"/>
  <c r="V19" i="61"/>
  <c r="W19" i="61" s="1"/>
  <c r="AC19" i="61"/>
  <c r="AD19" i="61" s="1"/>
  <c r="AJ19" i="61"/>
  <c r="AK19" i="61" s="1"/>
  <c r="AL19" i="61"/>
  <c r="AM19" i="61"/>
  <c r="AN19" i="61"/>
  <c r="AO19" i="61"/>
  <c r="AP19" i="61"/>
  <c r="AY19" i="61"/>
  <c r="AZ19" i="61" s="1"/>
  <c r="BF19" i="61"/>
  <c r="BG19" i="61" s="1"/>
  <c r="BM19" i="61"/>
  <c r="BN19" i="61" s="1"/>
  <c r="BT19" i="61"/>
  <c r="BU19" i="61" s="1"/>
  <c r="CA19" i="61"/>
  <c r="CB19" i="61" s="1"/>
  <c r="CC19" i="61"/>
  <c r="CD19" i="61"/>
  <c r="CE19" i="61"/>
  <c r="CF19" i="61"/>
  <c r="CG19" i="61"/>
  <c r="H20" i="61"/>
  <c r="I20" i="61" s="1"/>
  <c r="O20" i="61"/>
  <c r="P20" i="61" s="1"/>
  <c r="V20" i="61"/>
  <c r="W20" i="61" s="1"/>
  <c r="AC20" i="61"/>
  <c r="AD20" i="61" s="1"/>
  <c r="AJ20" i="61"/>
  <c r="AK20" i="61" s="1"/>
  <c r="AL20" i="61"/>
  <c r="AM20" i="61"/>
  <c r="AN20" i="61"/>
  <c r="AO20" i="61"/>
  <c r="AP20" i="61"/>
  <c r="AY20" i="61"/>
  <c r="AZ20" i="61" s="1"/>
  <c r="BF20" i="61"/>
  <c r="BG20" i="61" s="1"/>
  <c r="BM20" i="61"/>
  <c r="BN20" i="61" s="1"/>
  <c r="BT20" i="61"/>
  <c r="BU20" i="61" s="1"/>
  <c r="CA20" i="61"/>
  <c r="CB20" i="61" s="1"/>
  <c r="CC20" i="61"/>
  <c r="CD20" i="61"/>
  <c r="CE20" i="61"/>
  <c r="CF20" i="61"/>
  <c r="CG20" i="61"/>
  <c r="H21" i="61"/>
  <c r="I21" i="61" s="1"/>
  <c r="O21" i="61"/>
  <c r="P21" i="61" s="1"/>
  <c r="V21" i="61"/>
  <c r="W21" i="61" s="1"/>
  <c r="AC21" i="61"/>
  <c r="AD21" i="61" s="1"/>
  <c r="AJ21" i="61"/>
  <c r="AK21" i="61" s="1"/>
  <c r="AL21" i="61"/>
  <c r="AM21" i="61"/>
  <c r="AN21" i="61"/>
  <c r="AO21" i="61"/>
  <c r="AP21" i="61"/>
  <c r="AY21" i="61"/>
  <c r="AZ21" i="61" s="1"/>
  <c r="BF21" i="61"/>
  <c r="BG21" i="61" s="1"/>
  <c r="BM21" i="61"/>
  <c r="BN21" i="61" s="1"/>
  <c r="BT21" i="61"/>
  <c r="BU21" i="61" s="1"/>
  <c r="CA21" i="61"/>
  <c r="CB21" i="61" s="1"/>
  <c r="CC21" i="61"/>
  <c r="CD21" i="61"/>
  <c r="CE21" i="61"/>
  <c r="CF21" i="61"/>
  <c r="CG21" i="61"/>
  <c r="H22" i="61"/>
  <c r="I22" i="61" s="1"/>
  <c r="O22" i="61"/>
  <c r="P22" i="61" s="1"/>
  <c r="V22" i="61"/>
  <c r="W22" i="61" s="1"/>
  <c r="AC22" i="61"/>
  <c r="AD22" i="61" s="1"/>
  <c r="AJ22" i="61"/>
  <c r="AK22" i="61" s="1"/>
  <c r="AL22" i="61"/>
  <c r="AM22" i="61"/>
  <c r="AN22" i="61"/>
  <c r="AO22" i="61"/>
  <c r="AP22" i="61"/>
  <c r="AY22" i="61"/>
  <c r="AZ22" i="61" s="1"/>
  <c r="BF22" i="61"/>
  <c r="BG22" i="61" s="1"/>
  <c r="BM22" i="61"/>
  <c r="BN22" i="61" s="1"/>
  <c r="BT22" i="61"/>
  <c r="BU22" i="61" s="1"/>
  <c r="CA22" i="61"/>
  <c r="CB22" i="61" s="1"/>
  <c r="CC22" i="61"/>
  <c r="CD22" i="61"/>
  <c r="CE22" i="61"/>
  <c r="CF22" i="61"/>
  <c r="CG22" i="61"/>
  <c r="H23" i="61"/>
  <c r="I23" i="61" s="1"/>
  <c r="O23" i="61"/>
  <c r="P23" i="61" s="1"/>
  <c r="V23" i="61"/>
  <c r="W23" i="61" s="1"/>
  <c r="AC23" i="61"/>
  <c r="AD23" i="61" s="1"/>
  <c r="AJ23" i="61"/>
  <c r="AK23" i="61" s="1"/>
  <c r="AL23" i="61"/>
  <c r="AM23" i="61"/>
  <c r="AN23" i="61"/>
  <c r="AO23" i="61"/>
  <c r="AP23" i="61"/>
  <c r="AY23" i="61"/>
  <c r="AZ23" i="61" s="1"/>
  <c r="BF23" i="61"/>
  <c r="BG23" i="61" s="1"/>
  <c r="BM23" i="61"/>
  <c r="BN23" i="61" s="1"/>
  <c r="BT23" i="61"/>
  <c r="BU23" i="61" s="1"/>
  <c r="CA23" i="61"/>
  <c r="CB23" i="61" s="1"/>
  <c r="CC23" i="61"/>
  <c r="CD23" i="61"/>
  <c r="CE23" i="61"/>
  <c r="CF23" i="61"/>
  <c r="CG23" i="61"/>
  <c r="H24" i="61"/>
  <c r="I24" i="61" s="1"/>
  <c r="O24" i="61"/>
  <c r="P24" i="61" s="1"/>
  <c r="V24" i="61"/>
  <c r="W24" i="61" s="1"/>
  <c r="AC24" i="61"/>
  <c r="AD24" i="61" s="1"/>
  <c r="AJ24" i="61"/>
  <c r="AK24" i="61" s="1"/>
  <c r="AL24" i="61"/>
  <c r="AM24" i="61"/>
  <c r="AN24" i="61"/>
  <c r="AO24" i="61"/>
  <c r="AP24" i="61"/>
  <c r="AY24" i="61"/>
  <c r="AZ24" i="61" s="1"/>
  <c r="BF24" i="61"/>
  <c r="BG24" i="61" s="1"/>
  <c r="BM24" i="61"/>
  <c r="BN24" i="61" s="1"/>
  <c r="BT24" i="61"/>
  <c r="BU24" i="61" s="1"/>
  <c r="CA24" i="61"/>
  <c r="CB24" i="61" s="1"/>
  <c r="CC24" i="61"/>
  <c r="CD24" i="61"/>
  <c r="CE24" i="61"/>
  <c r="CF24" i="61"/>
  <c r="CG24" i="61"/>
  <c r="H25" i="61"/>
  <c r="I25" i="61" s="1"/>
  <c r="O25" i="61"/>
  <c r="P25" i="61" s="1"/>
  <c r="V25" i="61"/>
  <c r="W25" i="61" s="1"/>
  <c r="AC25" i="61"/>
  <c r="AD25" i="61" s="1"/>
  <c r="AJ25" i="61"/>
  <c r="AK25" i="61" s="1"/>
  <c r="AL25" i="61"/>
  <c r="AM25" i="61"/>
  <c r="AN25" i="61"/>
  <c r="AO25" i="61"/>
  <c r="AP25" i="61"/>
  <c r="AY25" i="61"/>
  <c r="AZ25" i="61" s="1"/>
  <c r="BF25" i="61"/>
  <c r="BG25" i="61" s="1"/>
  <c r="BM25" i="61"/>
  <c r="BN25" i="61" s="1"/>
  <c r="BT25" i="61"/>
  <c r="BU25" i="61" s="1"/>
  <c r="CA25" i="61"/>
  <c r="CB25" i="61" s="1"/>
  <c r="CC25" i="61"/>
  <c r="CD25" i="61"/>
  <c r="CE25" i="61"/>
  <c r="CF25" i="61"/>
  <c r="CG25" i="61"/>
  <c r="H26" i="61"/>
  <c r="I26" i="61" s="1"/>
  <c r="O26" i="61"/>
  <c r="P26" i="61" s="1"/>
  <c r="V26" i="61"/>
  <c r="W26" i="61" s="1"/>
  <c r="AC26" i="61"/>
  <c r="AD26" i="61" s="1"/>
  <c r="AJ26" i="61"/>
  <c r="AK26" i="61" s="1"/>
  <c r="AL26" i="61"/>
  <c r="AM26" i="61"/>
  <c r="AN26" i="61"/>
  <c r="AO26" i="61"/>
  <c r="AP26" i="61"/>
  <c r="AY26" i="61"/>
  <c r="AZ26" i="61" s="1"/>
  <c r="BF26" i="61"/>
  <c r="BG26" i="61" s="1"/>
  <c r="BM26" i="61"/>
  <c r="BN26" i="61" s="1"/>
  <c r="BT26" i="61"/>
  <c r="BU26" i="61" s="1"/>
  <c r="CA26" i="61"/>
  <c r="CB26" i="61" s="1"/>
  <c r="CC26" i="61"/>
  <c r="CD26" i="61"/>
  <c r="CE26" i="61"/>
  <c r="CF26" i="61"/>
  <c r="CG26" i="61"/>
  <c r="H27" i="61"/>
  <c r="I27" i="61" s="1"/>
  <c r="O27" i="61"/>
  <c r="P27" i="61" s="1"/>
  <c r="V27" i="61"/>
  <c r="W27" i="61" s="1"/>
  <c r="AC27" i="61"/>
  <c r="AD27" i="61" s="1"/>
  <c r="AJ27" i="61"/>
  <c r="AK27" i="61" s="1"/>
  <c r="AL27" i="61"/>
  <c r="AM27" i="61"/>
  <c r="AN27" i="61"/>
  <c r="AO27" i="61"/>
  <c r="AP27" i="61"/>
  <c r="AY27" i="61"/>
  <c r="AZ27" i="61" s="1"/>
  <c r="BF27" i="61"/>
  <c r="BG27" i="61" s="1"/>
  <c r="BM27" i="61"/>
  <c r="BN27" i="61" s="1"/>
  <c r="BT27" i="61"/>
  <c r="BU27" i="61" s="1"/>
  <c r="CA27" i="61"/>
  <c r="CB27" i="61" s="1"/>
  <c r="CC27" i="61"/>
  <c r="CD27" i="61"/>
  <c r="CE27" i="61"/>
  <c r="CF27" i="61"/>
  <c r="CG27" i="61"/>
  <c r="H28" i="61"/>
  <c r="I28" i="61" s="1"/>
  <c r="O28" i="61"/>
  <c r="P28" i="61" s="1"/>
  <c r="V28" i="61"/>
  <c r="W28" i="61" s="1"/>
  <c r="AC28" i="61"/>
  <c r="AD28" i="61" s="1"/>
  <c r="AJ28" i="61"/>
  <c r="AK28" i="61" s="1"/>
  <c r="AL28" i="61"/>
  <c r="AM28" i="61"/>
  <c r="AN28" i="61"/>
  <c r="AO28" i="61"/>
  <c r="AP28" i="61"/>
  <c r="AY28" i="61"/>
  <c r="AZ28" i="61" s="1"/>
  <c r="BF28" i="61"/>
  <c r="BG28" i="61" s="1"/>
  <c r="BM28" i="61"/>
  <c r="BN28" i="61" s="1"/>
  <c r="BT28" i="61"/>
  <c r="BU28" i="61" s="1"/>
  <c r="CA28" i="61"/>
  <c r="CB28" i="61" s="1"/>
  <c r="CC28" i="61"/>
  <c r="CD28" i="61"/>
  <c r="CE28" i="61"/>
  <c r="CF28" i="61"/>
  <c r="CG28" i="61"/>
  <c r="H29" i="61"/>
  <c r="I29" i="61" s="1"/>
  <c r="O29" i="61"/>
  <c r="P29" i="61" s="1"/>
  <c r="V29" i="61"/>
  <c r="W29" i="61" s="1"/>
  <c r="AC29" i="61"/>
  <c r="AD29" i="61" s="1"/>
  <c r="AJ29" i="61"/>
  <c r="AK29" i="61" s="1"/>
  <c r="AL29" i="61"/>
  <c r="AM29" i="61"/>
  <c r="AN29" i="61"/>
  <c r="AO29" i="61"/>
  <c r="AP29" i="61"/>
  <c r="AY29" i="61"/>
  <c r="AZ29" i="61" s="1"/>
  <c r="BF29" i="61"/>
  <c r="BG29" i="61" s="1"/>
  <c r="BM29" i="61"/>
  <c r="BN29" i="61" s="1"/>
  <c r="BT29" i="61"/>
  <c r="BU29" i="61" s="1"/>
  <c r="CA29" i="61"/>
  <c r="CB29" i="61" s="1"/>
  <c r="CC29" i="61"/>
  <c r="CD29" i="61"/>
  <c r="CE29" i="61"/>
  <c r="CF29" i="61"/>
  <c r="CG29" i="61"/>
  <c r="H30" i="61"/>
  <c r="I30" i="61" s="1"/>
  <c r="O30" i="61"/>
  <c r="P30" i="61" s="1"/>
  <c r="V30" i="61"/>
  <c r="W30" i="61" s="1"/>
  <c r="AC30" i="61"/>
  <c r="AD30" i="61" s="1"/>
  <c r="AJ30" i="61"/>
  <c r="AK30" i="61" s="1"/>
  <c r="AL30" i="61"/>
  <c r="AM30" i="61"/>
  <c r="AN30" i="61"/>
  <c r="AO30" i="61"/>
  <c r="AP30" i="61"/>
  <c r="AY30" i="61"/>
  <c r="AZ30" i="61" s="1"/>
  <c r="BF30" i="61"/>
  <c r="BG30" i="61" s="1"/>
  <c r="BM30" i="61"/>
  <c r="BN30" i="61" s="1"/>
  <c r="BT30" i="61"/>
  <c r="BU30" i="61" s="1"/>
  <c r="CA30" i="61"/>
  <c r="CB30" i="61" s="1"/>
  <c r="CC30" i="61"/>
  <c r="CD30" i="61"/>
  <c r="CE30" i="61"/>
  <c r="CF30" i="61"/>
  <c r="CG30" i="61"/>
  <c r="H31" i="61"/>
  <c r="I31" i="61" s="1"/>
  <c r="O31" i="61"/>
  <c r="P31" i="61" s="1"/>
  <c r="V31" i="61"/>
  <c r="W31" i="61" s="1"/>
  <c r="AC31" i="61"/>
  <c r="AD31" i="61" s="1"/>
  <c r="AJ31" i="61"/>
  <c r="AK31" i="61" s="1"/>
  <c r="AL31" i="61"/>
  <c r="AM31" i="61"/>
  <c r="AN31" i="61"/>
  <c r="AO31" i="61"/>
  <c r="AP31" i="61"/>
  <c r="AY31" i="61"/>
  <c r="AZ31" i="61" s="1"/>
  <c r="BF31" i="61"/>
  <c r="BG31" i="61" s="1"/>
  <c r="BM31" i="61"/>
  <c r="BN31" i="61" s="1"/>
  <c r="BT31" i="61"/>
  <c r="BU31" i="61" s="1"/>
  <c r="CA31" i="61"/>
  <c r="CB31" i="61" s="1"/>
  <c r="CC31" i="61"/>
  <c r="CD31" i="61"/>
  <c r="CE31" i="61"/>
  <c r="CF31" i="61"/>
  <c r="CG31" i="61"/>
  <c r="H32" i="61"/>
  <c r="I32" i="61" s="1"/>
  <c r="O32" i="61"/>
  <c r="P32" i="61" s="1"/>
  <c r="V32" i="61"/>
  <c r="W32" i="61" s="1"/>
  <c r="AC32" i="61"/>
  <c r="AD32" i="61" s="1"/>
  <c r="AJ32" i="61"/>
  <c r="AK32" i="61" s="1"/>
  <c r="AL32" i="61"/>
  <c r="AM32" i="61"/>
  <c r="AN32" i="61"/>
  <c r="AO32" i="61"/>
  <c r="AP32" i="61"/>
  <c r="AY32" i="61"/>
  <c r="AZ32" i="61" s="1"/>
  <c r="BF32" i="61"/>
  <c r="BG32" i="61" s="1"/>
  <c r="BM32" i="61"/>
  <c r="BN32" i="61" s="1"/>
  <c r="BT32" i="61"/>
  <c r="BU32" i="61" s="1"/>
  <c r="CA32" i="61"/>
  <c r="CB32" i="61" s="1"/>
  <c r="CC32" i="61"/>
  <c r="CD32" i="61"/>
  <c r="CE32" i="61"/>
  <c r="CF32" i="61"/>
  <c r="CG32" i="61"/>
  <c r="H33" i="61"/>
  <c r="I33" i="61" s="1"/>
  <c r="O33" i="61"/>
  <c r="P33" i="61" s="1"/>
  <c r="V33" i="61"/>
  <c r="W33" i="61" s="1"/>
  <c r="AC33" i="61"/>
  <c r="AD33" i="61" s="1"/>
  <c r="AJ33" i="61"/>
  <c r="AK33" i="61" s="1"/>
  <c r="AL33" i="61"/>
  <c r="AM33" i="61"/>
  <c r="AN33" i="61"/>
  <c r="AO33" i="61"/>
  <c r="AP33" i="61"/>
  <c r="AY33" i="61"/>
  <c r="AZ33" i="61" s="1"/>
  <c r="BF33" i="61"/>
  <c r="BG33" i="61" s="1"/>
  <c r="BM33" i="61"/>
  <c r="BN33" i="61" s="1"/>
  <c r="BT33" i="61"/>
  <c r="BU33" i="61" s="1"/>
  <c r="CA33" i="61"/>
  <c r="CB33" i="61" s="1"/>
  <c r="CC33" i="61"/>
  <c r="CD33" i="61"/>
  <c r="CE33" i="61"/>
  <c r="CF33" i="61"/>
  <c r="CG33" i="61"/>
  <c r="H34" i="61"/>
  <c r="I34" i="61" s="1"/>
  <c r="O34" i="61"/>
  <c r="P34" i="61" s="1"/>
  <c r="V34" i="61"/>
  <c r="W34" i="61" s="1"/>
  <c r="AC34" i="61"/>
  <c r="AD34" i="61" s="1"/>
  <c r="AJ34" i="61"/>
  <c r="AK34" i="61" s="1"/>
  <c r="AL34" i="61"/>
  <c r="AM34" i="61"/>
  <c r="AN34" i="61"/>
  <c r="AO34" i="61"/>
  <c r="AP34" i="61"/>
  <c r="AY34" i="61"/>
  <c r="AZ34" i="61" s="1"/>
  <c r="BF34" i="61"/>
  <c r="BG34" i="61" s="1"/>
  <c r="BM34" i="61"/>
  <c r="BN34" i="61" s="1"/>
  <c r="BT34" i="61"/>
  <c r="BU34" i="61" s="1"/>
  <c r="CA34" i="61"/>
  <c r="CB34" i="61" s="1"/>
  <c r="CC34" i="61"/>
  <c r="CD34" i="61"/>
  <c r="CE34" i="61"/>
  <c r="CF34" i="61"/>
  <c r="CG34" i="61"/>
  <c r="H35" i="61"/>
  <c r="I35" i="61" s="1"/>
  <c r="O35" i="61"/>
  <c r="P35" i="61" s="1"/>
  <c r="V35" i="61"/>
  <c r="W35" i="61" s="1"/>
  <c r="AC35" i="61"/>
  <c r="AD35" i="61" s="1"/>
  <c r="AJ35" i="61"/>
  <c r="AK35" i="61" s="1"/>
  <c r="AL35" i="61"/>
  <c r="AM35" i="61"/>
  <c r="AN35" i="61"/>
  <c r="AO35" i="61"/>
  <c r="AP35" i="61"/>
  <c r="AY35" i="61"/>
  <c r="AZ35" i="61" s="1"/>
  <c r="BF35" i="61"/>
  <c r="BG35" i="61" s="1"/>
  <c r="BM35" i="61"/>
  <c r="BN35" i="61" s="1"/>
  <c r="BT35" i="61"/>
  <c r="BU35" i="61" s="1"/>
  <c r="CA35" i="61"/>
  <c r="CB35" i="61" s="1"/>
  <c r="CC35" i="61"/>
  <c r="CD35" i="61"/>
  <c r="CE35" i="61"/>
  <c r="CF35" i="61"/>
  <c r="CG35" i="61"/>
  <c r="H36" i="61"/>
  <c r="I36" i="61" s="1"/>
  <c r="O36" i="61"/>
  <c r="P36" i="61" s="1"/>
  <c r="V36" i="61"/>
  <c r="W36" i="61" s="1"/>
  <c r="AC36" i="61"/>
  <c r="AD36" i="61" s="1"/>
  <c r="AJ36" i="61"/>
  <c r="AK36" i="61" s="1"/>
  <c r="AL36" i="61"/>
  <c r="AM36" i="61"/>
  <c r="AN36" i="61"/>
  <c r="AO36" i="61"/>
  <c r="AP36" i="61"/>
  <c r="AY36" i="61"/>
  <c r="AZ36" i="61" s="1"/>
  <c r="BF36" i="61"/>
  <c r="BG36" i="61" s="1"/>
  <c r="BM36" i="61"/>
  <c r="BN36" i="61" s="1"/>
  <c r="BT36" i="61"/>
  <c r="BU36" i="61" s="1"/>
  <c r="CA36" i="61"/>
  <c r="CB36" i="61" s="1"/>
  <c r="CC36" i="61"/>
  <c r="CD36" i="61"/>
  <c r="CE36" i="61"/>
  <c r="CF36" i="61"/>
  <c r="CG36" i="61"/>
  <c r="H37" i="61"/>
  <c r="I37" i="61" s="1"/>
  <c r="O37" i="61"/>
  <c r="P37" i="61" s="1"/>
  <c r="V37" i="61"/>
  <c r="W37" i="61" s="1"/>
  <c r="AC37" i="61"/>
  <c r="AD37" i="61" s="1"/>
  <c r="AJ37" i="61"/>
  <c r="AK37" i="61" s="1"/>
  <c r="AL37" i="61"/>
  <c r="AM37" i="61"/>
  <c r="AN37" i="61"/>
  <c r="AO37" i="61"/>
  <c r="AP37" i="61"/>
  <c r="AY37" i="61"/>
  <c r="AZ37" i="61" s="1"/>
  <c r="BF37" i="61"/>
  <c r="BG37" i="61" s="1"/>
  <c r="BM37" i="61"/>
  <c r="BN37" i="61" s="1"/>
  <c r="BT37" i="61"/>
  <c r="BU37" i="61" s="1"/>
  <c r="CA37" i="61"/>
  <c r="CB37" i="61" s="1"/>
  <c r="CC37" i="61"/>
  <c r="CD37" i="61"/>
  <c r="CE37" i="61"/>
  <c r="CF37" i="61"/>
  <c r="CG37" i="61"/>
  <c r="H38" i="61"/>
  <c r="I38" i="61" s="1"/>
  <c r="O38" i="61"/>
  <c r="P38" i="61" s="1"/>
  <c r="V38" i="61"/>
  <c r="W38" i="61" s="1"/>
  <c r="AC38" i="61"/>
  <c r="AD38" i="61" s="1"/>
  <c r="AJ38" i="61"/>
  <c r="AK38" i="61" s="1"/>
  <c r="AL38" i="61"/>
  <c r="AM38" i="61"/>
  <c r="AN38" i="61"/>
  <c r="AO38" i="61"/>
  <c r="AP38" i="61"/>
  <c r="AY38" i="61"/>
  <c r="AZ38" i="61" s="1"/>
  <c r="BF38" i="61"/>
  <c r="BG38" i="61" s="1"/>
  <c r="BM38" i="61"/>
  <c r="BN38" i="61" s="1"/>
  <c r="BT38" i="61"/>
  <c r="BU38" i="61" s="1"/>
  <c r="CA38" i="61"/>
  <c r="CB38" i="61" s="1"/>
  <c r="CC38" i="61"/>
  <c r="CD38" i="61"/>
  <c r="CE38" i="61"/>
  <c r="CF38" i="61"/>
  <c r="CG38" i="61"/>
  <c r="H39" i="61"/>
  <c r="I39" i="61" s="1"/>
  <c r="O39" i="61"/>
  <c r="P39" i="61" s="1"/>
  <c r="V39" i="61"/>
  <c r="W39" i="61" s="1"/>
  <c r="AC39" i="61"/>
  <c r="AD39" i="61" s="1"/>
  <c r="AJ39" i="61"/>
  <c r="AK39" i="61" s="1"/>
  <c r="AL39" i="61"/>
  <c r="AM39" i="61"/>
  <c r="AN39" i="61"/>
  <c r="AO39" i="61"/>
  <c r="AP39" i="61"/>
  <c r="AY39" i="61"/>
  <c r="AZ39" i="61" s="1"/>
  <c r="BF39" i="61"/>
  <c r="BG39" i="61" s="1"/>
  <c r="BM39" i="61"/>
  <c r="BN39" i="61" s="1"/>
  <c r="BT39" i="61"/>
  <c r="BU39" i="61" s="1"/>
  <c r="CA39" i="61"/>
  <c r="CB39" i="61" s="1"/>
  <c r="CC39" i="61"/>
  <c r="CD39" i="61"/>
  <c r="CE39" i="61"/>
  <c r="CF39" i="61"/>
  <c r="CG39" i="61"/>
  <c r="H40" i="61"/>
  <c r="I40" i="61" s="1"/>
  <c r="O40" i="61"/>
  <c r="P40" i="61" s="1"/>
  <c r="V40" i="61"/>
  <c r="W40" i="61" s="1"/>
  <c r="AC40" i="61"/>
  <c r="AD40" i="61" s="1"/>
  <c r="AJ40" i="61"/>
  <c r="AK40" i="61" s="1"/>
  <c r="AL40" i="61"/>
  <c r="AM40" i="61"/>
  <c r="AN40" i="61"/>
  <c r="AO40" i="61"/>
  <c r="AP40" i="61"/>
  <c r="AY40" i="61"/>
  <c r="AZ40" i="61" s="1"/>
  <c r="BF40" i="61"/>
  <c r="BG40" i="61" s="1"/>
  <c r="BM40" i="61"/>
  <c r="BN40" i="61" s="1"/>
  <c r="BT40" i="61"/>
  <c r="BU40" i="61" s="1"/>
  <c r="CA40" i="61"/>
  <c r="CB40" i="61" s="1"/>
  <c r="CC40" i="61"/>
  <c r="CD40" i="61"/>
  <c r="CE40" i="61"/>
  <c r="CF40" i="61"/>
  <c r="CG40" i="61"/>
  <c r="H41" i="61"/>
  <c r="I41" i="61" s="1"/>
  <c r="O41" i="61"/>
  <c r="P41" i="61" s="1"/>
  <c r="V41" i="61"/>
  <c r="W41" i="61" s="1"/>
  <c r="AC41" i="61"/>
  <c r="AD41" i="61" s="1"/>
  <c r="AJ41" i="61"/>
  <c r="AK41" i="61" s="1"/>
  <c r="AL41" i="61"/>
  <c r="AM41" i="61"/>
  <c r="AN41" i="61"/>
  <c r="AO41" i="61"/>
  <c r="AP41" i="61"/>
  <c r="AY41" i="61"/>
  <c r="AZ41" i="61" s="1"/>
  <c r="BF41" i="61"/>
  <c r="BG41" i="61" s="1"/>
  <c r="BM41" i="61"/>
  <c r="BN41" i="61" s="1"/>
  <c r="BT41" i="61"/>
  <c r="BU41" i="61" s="1"/>
  <c r="CA41" i="61"/>
  <c r="CB41" i="61" s="1"/>
  <c r="CC41" i="61"/>
  <c r="CD41" i="61"/>
  <c r="CE41" i="61"/>
  <c r="CF41" i="61"/>
  <c r="CG41" i="61"/>
  <c r="H42" i="61"/>
  <c r="I42" i="61" s="1"/>
  <c r="O42" i="61"/>
  <c r="P42" i="61" s="1"/>
  <c r="V42" i="61"/>
  <c r="W42" i="61" s="1"/>
  <c r="AC42" i="61"/>
  <c r="AD42" i="61" s="1"/>
  <c r="AJ42" i="61"/>
  <c r="AK42" i="61" s="1"/>
  <c r="AL42" i="61"/>
  <c r="AM42" i="61"/>
  <c r="AN42" i="61"/>
  <c r="AO42" i="61"/>
  <c r="AP42" i="61"/>
  <c r="AY42" i="61"/>
  <c r="AZ42" i="61" s="1"/>
  <c r="BF42" i="61"/>
  <c r="BG42" i="61" s="1"/>
  <c r="BM42" i="61"/>
  <c r="BN42" i="61" s="1"/>
  <c r="BT42" i="61"/>
  <c r="BU42" i="61" s="1"/>
  <c r="CA42" i="61"/>
  <c r="CB42" i="61" s="1"/>
  <c r="CC42" i="61"/>
  <c r="CD42" i="61"/>
  <c r="CE42" i="61"/>
  <c r="CF42" i="61"/>
  <c r="CG42" i="61"/>
  <c r="H43" i="61"/>
  <c r="I43" i="61" s="1"/>
  <c r="O43" i="61"/>
  <c r="P43" i="61" s="1"/>
  <c r="V43" i="61"/>
  <c r="W43" i="61" s="1"/>
  <c r="AC43" i="61"/>
  <c r="AD43" i="61" s="1"/>
  <c r="AJ43" i="61"/>
  <c r="AK43" i="61" s="1"/>
  <c r="AL43" i="61"/>
  <c r="AM43" i="61"/>
  <c r="AN43" i="61"/>
  <c r="AO43" i="61"/>
  <c r="AP43" i="61"/>
  <c r="AY43" i="61"/>
  <c r="AZ43" i="61" s="1"/>
  <c r="BF43" i="61"/>
  <c r="BG43" i="61" s="1"/>
  <c r="BM43" i="61"/>
  <c r="BN43" i="61" s="1"/>
  <c r="BT43" i="61"/>
  <c r="BU43" i="61" s="1"/>
  <c r="CA43" i="61"/>
  <c r="CB43" i="61" s="1"/>
  <c r="CC43" i="61"/>
  <c r="CD43" i="61"/>
  <c r="CE43" i="61"/>
  <c r="CF43" i="61"/>
  <c r="CG43" i="61"/>
  <c r="H44" i="61"/>
  <c r="I44" i="61" s="1"/>
  <c r="O44" i="61"/>
  <c r="P44" i="61" s="1"/>
  <c r="V44" i="61"/>
  <c r="W44" i="61" s="1"/>
  <c r="AC44" i="61"/>
  <c r="AD44" i="61" s="1"/>
  <c r="AJ44" i="61"/>
  <c r="AK44" i="61" s="1"/>
  <c r="AL44" i="61"/>
  <c r="AM44" i="61"/>
  <c r="AN44" i="61"/>
  <c r="AO44" i="61"/>
  <c r="AP44" i="61"/>
  <c r="AY44" i="61"/>
  <c r="AZ44" i="61" s="1"/>
  <c r="BF44" i="61"/>
  <c r="BG44" i="61" s="1"/>
  <c r="BM44" i="61"/>
  <c r="BN44" i="61" s="1"/>
  <c r="BT44" i="61"/>
  <c r="BU44" i="61" s="1"/>
  <c r="CA44" i="61"/>
  <c r="CB44" i="61" s="1"/>
  <c r="CC44" i="61"/>
  <c r="CD44" i="61"/>
  <c r="CE44" i="61"/>
  <c r="CF44" i="61"/>
  <c r="CG44" i="61"/>
  <c r="H45" i="61"/>
  <c r="I45" i="61" s="1"/>
  <c r="O45" i="61"/>
  <c r="P45" i="61" s="1"/>
  <c r="V45" i="61"/>
  <c r="W45" i="61" s="1"/>
  <c r="AC45" i="61"/>
  <c r="AD45" i="61" s="1"/>
  <c r="AJ45" i="61"/>
  <c r="AK45" i="61" s="1"/>
  <c r="AL45" i="61"/>
  <c r="AM45" i="61"/>
  <c r="AN45" i="61"/>
  <c r="AO45" i="61"/>
  <c r="AP45" i="61"/>
  <c r="AY45" i="61"/>
  <c r="AZ45" i="61" s="1"/>
  <c r="BF45" i="61"/>
  <c r="BG45" i="61" s="1"/>
  <c r="BM45" i="61"/>
  <c r="BN45" i="61" s="1"/>
  <c r="BT45" i="61"/>
  <c r="BU45" i="61" s="1"/>
  <c r="CA45" i="61"/>
  <c r="CB45" i="61" s="1"/>
  <c r="CC45" i="61"/>
  <c r="CD45" i="61"/>
  <c r="CE45" i="61"/>
  <c r="CF45" i="61"/>
  <c r="CG45" i="61"/>
  <c r="H46" i="61"/>
  <c r="I46" i="61" s="1"/>
  <c r="O46" i="61"/>
  <c r="P46" i="61" s="1"/>
  <c r="V46" i="61"/>
  <c r="W46" i="61" s="1"/>
  <c r="AC46" i="61"/>
  <c r="AD46" i="61" s="1"/>
  <c r="AJ46" i="61"/>
  <c r="AK46" i="61" s="1"/>
  <c r="AL46" i="61"/>
  <c r="AM46" i="61"/>
  <c r="AN46" i="61"/>
  <c r="AO46" i="61"/>
  <c r="AP46" i="61"/>
  <c r="AY46" i="61"/>
  <c r="AZ46" i="61" s="1"/>
  <c r="BF46" i="61"/>
  <c r="BG46" i="61" s="1"/>
  <c r="BM46" i="61"/>
  <c r="BN46" i="61" s="1"/>
  <c r="BT46" i="61"/>
  <c r="BU46" i="61" s="1"/>
  <c r="CA46" i="61"/>
  <c r="CB46" i="61" s="1"/>
  <c r="CC46" i="61"/>
  <c r="CD46" i="61"/>
  <c r="CE46" i="61"/>
  <c r="CF46" i="61"/>
  <c r="CG46" i="61"/>
  <c r="H47" i="61"/>
  <c r="I47" i="61" s="1"/>
  <c r="O47" i="61"/>
  <c r="P47" i="61" s="1"/>
  <c r="V47" i="61"/>
  <c r="W47" i="61" s="1"/>
  <c r="AC47" i="61"/>
  <c r="AD47" i="61" s="1"/>
  <c r="AJ47" i="61"/>
  <c r="AK47" i="61" s="1"/>
  <c r="AL47" i="61"/>
  <c r="AM47" i="61"/>
  <c r="AN47" i="61"/>
  <c r="AO47" i="61"/>
  <c r="AP47" i="61"/>
  <c r="AY47" i="61"/>
  <c r="AZ47" i="61" s="1"/>
  <c r="BF47" i="61"/>
  <c r="BG47" i="61" s="1"/>
  <c r="BM47" i="61"/>
  <c r="BN47" i="61" s="1"/>
  <c r="BT47" i="61"/>
  <c r="BU47" i="61" s="1"/>
  <c r="CA47" i="61"/>
  <c r="CB47" i="61" s="1"/>
  <c r="CC47" i="61"/>
  <c r="CD47" i="61"/>
  <c r="CE47" i="61"/>
  <c r="CF47" i="61"/>
  <c r="CG47" i="61"/>
  <c r="H48" i="61"/>
  <c r="I48" i="61" s="1"/>
  <c r="O48" i="61"/>
  <c r="P48" i="61" s="1"/>
  <c r="V48" i="61"/>
  <c r="W48" i="61" s="1"/>
  <c r="AC48" i="61"/>
  <c r="AD48" i="61" s="1"/>
  <c r="AJ48" i="61"/>
  <c r="AK48" i="61" s="1"/>
  <c r="AL48" i="61"/>
  <c r="AM48" i="61"/>
  <c r="AN48" i="61"/>
  <c r="AO48" i="61"/>
  <c r="AP48" i="61"/>
  <c r="AY48" i="61"/>
  <c r="AZ48" i="61" s="1"/>
  <c r="BF48" i="61"/>
  <c r="BG48" i="61" s="1"/>
  <c r="BM48" i="61"/>
  <c r="BN48" i="61" s="1"/>
  <c r="BT48" i="61"/>
  <c r="BU48" i="61" s="1"/>
  <c r="CA48" i="61"/>
  <c r="CB48" i="61" s="1"/>
  <c r="CC48" i="61"/>
  <c r="CD48" i="61"/>
  <c r="CE48" i="61"/>
  <c r="CF48" i="61"/>
  <c r="CG48" i="61"/>
  <c r="H49" i="61"/>
  <c r="I49" i="61" s="1"/>
  <c r="O49" i="61"/>
  <c r="P49" i="61" s="1"/>
  <c r="V49" i="61"/>
  <c r="W49" i="61" s="1"/>
  <c r="AC49" i="61"/>
  <c r="AD49" i="61" s="1"/>
  <c r="AJ49" i="61"/>
  <c r="AK49" i="61" s="1"/>
  <c r="AL49" i="61"/>
  <c r="AM49" i="61"/>
  <c r="AN49" i="61"/>
  <c r="AO49" i="61"/>
  <c r="AP49" i="61"/>
  <c r="AY49" i="61"/>
  <c r="AZ49" i="61" s="1"/>
  <c r="BF49" i="61"/>
  <c r="BG49" i="61" s="1"/>
  <c r="BM49" i="61"/>
  <c r="BN49" i="61" s="1"/>
  <c r="BT49" i="61"/>
  <c r="BU49" i="61" s="1"/>
  <c r="CA49" i="61"/>
  <c r="CB49" i="61" s="1"/>
  <c r="CC49" i="61"/>
  <c r="CD49" i="61"/>
  <c r="CE49" i="61"/>
  <c r="CF49" i="61"/>
  <c r="CG49" i="61"/>
  <c r="H50" i="61"/>
  <c r="I50" i="61" s="1"/>
  <c r="O50" i="61"/>
  <c r="P50" i="61" s="1"/>
  <c r="V50" i="61"/>
  <c r="W50" i="61" s="1"/>
  <c r="AC50" i="61"/>
  <c r="AD50" i="61" s="1"/>
  <c r="AJ50" i="61"/>
  <c r="AK50" i="61" s="1"/>
  <c r="AL50" i="61"/>
  <c r="AM50" i="61"/>
  <c r="AN50" i="61"/>
  <c r="AO50" i="61"/>
  <c r="AP50" i="61"/>
  <c r="AY50" i="61"/>
  <c r="AZ50" i="61" s="1"/>
  <c r="BF50" i="61"/>
  <c r="BG50" i="61" s="1"/>
  <c r="BM50" i="61"/>
  <c r="BN50" i="61" s="1"/>
  <c r="BT50" i="61"/>
  <c r="BU50" i="61" s="1"/>
  <c r="CA50" i="61"/>
  <c r="CB50" i="61" s="1"/>
  <c r="CC50" i="61"/>
  <c r="CD50" i="61"/>
  <c r="CE50" i="61"/>
  <c r="CF50" i="61"/>
  <c r="CG50" i="61"/>
  <c r="H51" i="61"/>
  <c r="I51" i="61" s="1"/>
  <c r="O51" i="61"/>
  <c r="P51" i="61" s="1"/>
  <c r="V51" i="61"/>
  <c r="W51" i="61" s="1"/>
  <c r="AC51" i="61"/>
  <c r="AD51" i="61" s="1"/>
  <c r="AJ51" i="61"/>
  <c r="AK51" i="61" s="1"/>
  <c r="AL51" i="61"/>
  <c r="AM51" i="61"/>
  <c r="AN51" i="61"/>
  <c r="AO51" i="61"/>
  <c r="AP51" i="61"/>
  <c r="AY51" i="61"/>
  <c r="AZ51" i="61" s="1"/>
  <c r="BF51" i="61"/>
  <c r="BG51" i="61" s="1"/>
  <c r="BM51" i="61"/>
  <c r="BN51" i="61" s="1"/>
  <c r="BT51" i="61"/>
  <c r="BU51" i="61" s="1"/>
  <c r="CA51" i="61"/>
  <c r="CB51" i="61" s="1"/>
  <c r="CC51" i="61"/>
  <c r="CD51" i="61"/>
  <c r="CE51" i="61"/>
  <c r="CF51" i="61"/>
  <c r="CG51" i="61"/>
  <c r="H52" i="61"/>
  <c r="I52" i="61" s="1"/>
  <c r="O52" i="61"/>
  <c r="P52" i="61" s="1"/>
  <c r="V52" i="61"/>
  <c r="W52" i="61" s="1"/>
  <c r="AC52" i="61"/>
  <c r="AD52" i="61" s="1"/>
  <c r="AJ52" i="61"/>
  <c r="AK52" i="61" s="1"/>
  <c r="AL52" i="61"/>
  <c r="AM52" i="61"/>
  <c r="AN52" i="61"/>
  <c r="AO52" i="61"/>
  <c r="AP52" i="61"/>
  <c r="AY52" i="61"/>
  <c r="AZ52" i="61" s="1"/>
  <c r="BF52" i="61"/>
  <c r="BG52" i="61" s="1"/>
  <c r="BM52" i="61"/>
  <c r="BN52" i="61" s="1"/>
  <c r="BT52" i="61"/>
  <c r="BU52" i="61" s="1"/>
  <c r="CA52" i="61"/>
  <c r="CB52" i="61" s="1"/>
  <c r="CC52" i="61"/>
  <c r="CD52" i="61"/>
  <c r="CE52" i="61"/>
  <c r="CF52" i="61"/>
  <c r="CG52" i="61"/>
  <c r="H53" i="61"/>
  <c r="I53" i="61" s="1"/>
  <c r="O53" i="61"/>
  <c r="P53" i="61" s="1"/>
  <c r="V53" i="61"/>
  <c r="W53" i="61" s="1"/>
  <c r="AC53" i="61"/>
  <c r="AD53" i="61" s="1"/>
  <c r="AJ53" i="61"/>
  <c r="AK53" i="61" s="1"/>
  <c r="AL53" i="61"/>
  <c r="AM53" i="61"/>
  <c r="AN53" i="61"/>
  <c r="AO53" i="61"/>
  <c r="AP53" i="61"/>
  <c r="AY53" i="61"/>
  <c r="AZ53" i="61" s="1"/>
  <c r="BF53" i="61"/>
  <c r="BG53" i="61" s="1"/>
  <c r="BM53" i="61"/>
  <c r="BN53" i="61" s="1"/>
  <c r="BT53" i="61"/>
  <c r="BU53" i="61" s="1"/>
  <c r="CA53" i="61"/>
  <c r="CB53" i="61" s="1"/>
  <c r="CC53" i="61"/>
  <c r="CD53" i="61"/>
  <c r="CE53" i="61"/>
  <c r="CF53" i="61"/>
  <c r="CG53" i="61"/>
  <c r="H54" i="61"/>
  <c r="I54" i="61" s="1"/>
  <c r="O54" i="61"/>
  <c r="P54" i="61" s="1"/>
  <c r="V54" i="61"/>
  <c r="W54" i="61" s="1"/>
  <c r="AC54" i="61"/>
  <c r="AD54" i="61" s="1"/>
  <c r="AJ54" i="61"/>
  <c r="AK54" i="61" s="1"/>
  <c r="AL54" i="61"/>
  <c r="AM54" i="61"/>
  <c r="AN54" i="61"/>
  <c r="AO54" i="61"/>
  <c r="AP54" i="61"/>
  <c r="AY54" i="61"/>
  <c r="AZ54" i="61" s="1"/>
  <c r="BF54" i="61"/>
  <c r="BG54" i="61" s="1"/>
  <c r="BM54" i="61"/>
  <c r="BN54" i="61" s="1"/>
  <c r="BT54" i="61"/>
  <c r="BU54" i="61" s="1"/>
  <c r="CA54" i="61"/>
  <c r="CB54" i="61" s="1"/>
  <c r="CC54" i="61"/>
  <c r="CD54" i="61"/>
  <c r="CE54" i="61"/>
  <c r="CF54" i="61"/>
  <c r="CG54" i="61"/>
  <c r="H55" i="61"/>
  <c r="I55" i="61" s="1"/>
  <c r="O55" i="61"/>
  <c r="P55" i="61" s="1"/>
  <c r="V55" i="61"/>
  <c r="W55" i="61" s="1"/>
  <c r="AC55" i="61"/>
  <c r="AD55" i="61" s="1"/>
  <c r="AJ55" i="61"/>
  <c r="AK55" i="61" s="1"/>
  <c r="AL55" i="61"/>
  <c r="AM55" i="61"/>
  <c r="AN55" i="61"/>
  <c r="AO55" i="61"/>
  <c r="AP55" i="61"/>
  <c r="AY55" i="61"/>
  <c r="AZ55" i="61" s="1"/>
  <c r="BF55" i="61"/>
  <c r="BG55" i="61" s="1"/>
  <c r="BM55" i="61"/>
  <c r="BN55" i="61" s="1"/>
  <c r="BT55" i="61"/>
  <c r="BU55" i="61" s="1"/>
  <c r="CA55" i="61"/>
  <c r="CB55" i="61" s="1"/>
  <c r="CC55" i="61"/>
  <c r="CD55" i="61"/>
  <c r="CE55" i="61"/>
  <c r="CF55" i="61"/>
  <c r="CG55" i="61"/>
  <c r="H56" i="61"/>
  <c r="I56" i="61" s="1"/>
  <c r="O56" i="61"/>
  <c r="P56" i="61" s="1"/>
  <c r="V56" i="61"/>
  <c r="W56" i="61" s="1"/>
  <c r="AC56" i="61"/>
  <c r="AD56" i="61" s="1"/>
  <c r="AJ56" i="61"/>
  <c r="AK56" i="61" s="1"/>
  <c r="AL56" i="61"/>
  <c r="AM56" i="61"/>
  <c r="AN56" i="61"/>
  <c r="AO56" i="61"/>
  <c r="AP56" i="61"/>
  <c r="AY56" i="61"/>
  <c r="AZ56" i="61" s="1"/>
  <c r="BF56" i="61"/>
  <c r="BG56" i="61" s="1"/>
  <c r="BM56" i="61"/>
  <c r="BN56" i="61" s="1"/>
  <c r="BT56" i="61"/>
  <c r="BU56" i="61" s="1"/>
  <c r="CA56" i="61"/>
  <c r="CB56" i="61" s="1"/>
  <c r="CC56" i="61"/>
  <c r="CD56" i="61"/>
  <c r="CE56" i="61"/>
  <c r="CF56" i="61"/>
  <c r="CG56" i="61"/>
  <c r="H57" i="61"/>
  <c r="I57" i="61" s="1"/>
  <c r="O57" i="61"/>
  <c r="P57" i="61" s="1"/>
  <c r="V57" i="61"/>
  <c r="W57" i="61" s="1"/>
  <c r="AC57" i="61"/>
  <c r="AD57" i="61" s="1"/>
  <c r="AJ57" i="61"/>
  <c r="AK57" i="61" s="1"/>
  <c r="AL57" i="61"/>
  <c r="AM57" i="61"/>
  <c r="AN57" i="61"/>
  <c r="AO57" i="61"/>
  <c r="AP57" i="61"/>
  <c r="AY57" i="61"/>
  <c r="AZ57" i="61" s="1"/>
  <c r="BF57" i="61"/>
  <c r="BG57" i="61" s="1"/>
  <c r="BM57" i="61"/>
  <c r="BN57" i="61" s="1"/>
  <c r="BT57" i="61"/>
  <c r="BU57" i="61" s="1"/>
  <c r="CA57" i="61"/>
  <c r="CB57" i="61" s="1"/>
  <c r="CC57" i="61"/>
  <c r="CD57" i="61"/>
  <c r="CE57" i="61"/>
  <c r="CF57" i="61"/>
  <c r="CG57" i="61"/>
  <c r="H58" i="61"/>
  <c r="I58" i="61" s="1"/>
  <c r="O58" i="61"/>
  <c r="P58" i="61" s="1"/>
  <c r="V58" i="61"/>
  <c r="W58" i="61" s="1"/>
  <c r="AC58" i="61"/>
  <c r="AD58" i="61" s="1"/>
  <c r="AJ58" i="61"/>
  <c r="AK58" i="61" s="1"/>
  <c r="AL58" i="61"/>
  <c r="AM58" i="61"/>
  <c r="AN58" i="61"/>
  <c r="AO58" i="61"/>
  <c r="AP58" i="61"/>
  <c r="AY58" i="61"/>
  <c r="AZ58" i="61" s="1"/>
  <c r="BF58" i="61"/>
  <c r="BG58" i="61" s="1"/>
  <c r="BM58" i="61"/>
  <c r="BN58" i="61" s="1"/>
  <c r="BT58" i="61"/>
  <c r="BU58" i="61" s="1"/>
  <c r="CA58" i="61"/>
  <c r="CB58" i="61" s="1"/>
  <c r="CC58" i="61"/>
  <c r="CD58" i="61"/>
  <c r="CE58" i="61"/>
  <c r="CF58" i="61"/>
  <c r="CG58" i="61"/>
  <c r="H59" i="61"/>
  <c r="I59" i="61" s="1"/>
  <c r="O59" i="61"/>
  <c r="P59" i="61" s="1"/>
  <c r="V59" i="61"/>
  <c r="W59" i="61" s="1"/>
  <c r="AC59" i="61"/>
  <c r="AD59" i="61" s="1"/>
  <c r="AJ59" i="61"/>
  <c r="AK59" i="61" s="1"/>
  <c r="AL59" i="61"/>
  <c r="AM59" i="61"/>
  <c r="AN59" i="61"/>
  <c r="AO59" i="61"/>
  <c r="AP59" i="61"/>
  <c r="AY59" i="61"/>
  <c r="AZ59" i="61" s="1"/>
  <c r="BF59" i="61"/>
  <c r="BG59" i="61" s="1"/>
  <c r="BM59" i="61"/>
  <c r="BN59" i="61" s="1"/>
  <c r="BT59" i="61"/>
  <c r="BU59" i="61" s="1"/>
  <c r="CA59" i="61"/>
  <c r="CB59" i="61" s="1"/>
  <c r="CC59" i="61"/>
  <c r="CD59" i="61"/>
  <c r="CE59" i="61"/>
  <c r="CF59" i="61"/>
  <c r="CG59" i="61"/>
  <c r="H60" i="61"/>
  <c r="I60" i="61" s="1"/>
  <c r="O60" i="61"/>
  <c r="P60" i="61" s="1"/>
  <c r="V60" i="61"/>
  <c r="W60" i="61" s="1"/>
  <c r="AC60" i="61"/>
  <c r="AD60" i="61" s="1"/>
  <c r="AJ60" i="61"/>
  <c r="AK60" i="61" s="1"/>
  <c r="AL60" i="61"/>
  <c r="AM60" i="61"/>
  <c r="AN60" i="61"/>
  <c r="AO60" i="61"/>
  <c r="AP60" i="61"/>
  <c r="AY60" i="61"/>
  <c r="AZ60" i="61" s="1"/>
  <c r="BF60" i="61"/>
  <c r="BG60" i="61" s="1"/>
  <c r="BM60" i="61"/>
  <c r="BN60" i="61" s="1"/>
  <c r="BT60" i="61"/>
  <c r="BU60" i="61" s="1"/>
  <c r="CA60" i="61"/>
  <c r="CB60" i="61" s="1"/>
  <c r="CC60" i="61"/>
  <c r="CD60" i="61"/>
  <c r="CE60" i="61"/>
  <c r="CF60" i="61"/>
  <c r="CG60" i="61"/>
  <c r="H61" i="61"/>
  <c r="I61" i="61" s="1"/>
  <c r="O61" i="61"/>
  <c r="P61" i="61" s="1"/>
  <c r="V61" i="61"/>
  <c r="W61" i="61" s="1"/>
  <c r="AC61" i="61"/>
  <c r="AD61" i="61" s="1"/>
  <c r="AJ61" i="61"/>
  <c r="AK61" i="61" s="1"/>
  <c r="AL61" i="61"/>
  <c r="AM61" i="61"/>
  <c r="AN61" i="61"/>
  <c r="AO61" i="61"/>
  <c r="AP61" i="61"/>
  <c r="AY61" i="61"/>
  <c r="AZ61" i="61" s="1"/>
  <c r="BF61" i="61"/>
  <c r="BG61" i="61" s="1"/>
  <c r="BM61" i="61"/>
  <c r="BN61" i="61" s="1"/>
  <c r="BT61" i="61"/>
  <c r="BU61" i="61" s="1"/>
  <c r="CA61" i="61"/>
  <c r="CB61" i="61" s="1"/>
  <c r="CC61" i="61"/>
  <c r="CD61" i="61"/>
  <c r="CE61" i="61"/>
  <c r="CF61" i="61"/>
  <c r="CG61" i="61"/>
  <c r="H62" i="61"/>
  <c r="I62" i="61" s="1"/>
  <c r="O62" i="61"/>
  <c r="P62" i="61" s="1"/>
  <c r="V62" i="61"/>
  <c r="W62" i="61" s="1"/>
  <c r="AC62" i="61"/>
  <c r="AD62" i="61" s="1"/>
  <c r="AJ62" i="61"/>
  <c r="AK62" i="61" s="1"/>
  <c r="AL62" i="61"/>
  <c r="AM62" i="61"/>
  <c r="AN62" i="61"/>
  <c r="AO62" i="61"/>
  <c r="AP62" i="61"/>
  <c r="AY62" i="61"/>
  <c r="AZ62" i="61" s="1"/>
  <c r="BF62" i="61"/>
  <c r="BG62" i="61" s="1"/>
  <c r="BM62" i="61"/>
  <c r="BN62" i="61" s="1"/>
  <c r="BT62" i="61"/>
  <c r="BU62" i="61" s="1"/>
  <c r="CA62" i="61"/>
  <c r="CB62" i="61" s="1"/>
  <c r="CC62" i="61"/>
  <c r="CD62" i="61"/>
  <c r="CE62" i="61"/>
  <c r="CF62" i="61"/>
  <c r="CG62" i="61"/>
  <c r="H63" i="61"/>
  <c r="I63" i="61" s="1"/>
  <c r="O63" i="61"/>
  <c r="P63" i="61" s="1"/>
  <c r="V63" i="61"/>
  <c r="W63" i="61" s="1"/>
  <c r="AC63" i="61"/>
  <c r="AD63" i="61" s="1"/>
  <c r="AJ63" i="61"/>
  <c r="AK63" i="61" s="1"/>
  <c r="AL63" i="61"/>
  <c r="AM63" i="61"/>
  <c r="AN63" i="61"/>
  <c r="AO63" i="61"/>
  <c r="AP63" i="61"/>
  <c r="AY63" i="61"/>
  <c r="AZ63" i="61" s="1"/>
  <c r="BF63" i="61"/>
  <c r="BG63" i="61" s="1"/>
  <c r="BM63" i="61"/>
  <c r="BN63" i="61" s="1"/>
  <c r="BT63" i="61"/>
  <c r="BU63" i="61" s="1"/>
  <c r="CA63" i="61"/>
  <c r="CB63" i="61" s="1"/>
  <c r="CC63" i="61"/>
  <c r="CD63" i="61"/>
  <c r="CE63" i="61"/>
  <c r="CF63" i="61"/>
  <c r="CG63" i="61"/>
  <c r="H64" i="61"/>
  <c r="I64" i="61" s="1"/>
  <c r="O64" i="61"/>
  <c r="P64" i="61" s="1"/>
  <c r="V64" i="61"/>
  <c r="W64" i="61" s="1"/>
  <c r="AC64" i="61"/>
  <c r="AD64" i="61" s="1"/>
  <c r="AJ64" i="61"/>
  <c r="AK64" i="61" s="1"/>
  <c r="AL64" i="61"/>
  <c r="AM64" i="61"/>
  <c r="AN64" i="61"/>
  <c r="AO64" i="61"/>
  <c r="AP64" i="61"/>
  <c r="AY64" i="61"/>
  <c r="AZ64" i="61" s="1"/>
  <c r="BF64" i="61"/>
  <c r="BG64" i="61" s="1"/>
  <c r="BM64" i="61"/>
  <c r="BN64" i="61" s="1"/>
  <c r="BT64" i="61"/>
  <c r="BU64" i="61" s="1"/>
  <c r="CA64" i="61"/>
  <c r="CB64" i="61" s="1"/>
  <c r="CC64" i="61"/>
  <c r="CD64" i="61"/>
  <c r="CE64" i="61"/>
  <c r="CF64" i="61"/>
  <c r="CG64" i="61"/>
  <c r="H65" i="61"/>
  <c r="I65" i="61" s="1"/>
  <c r="O65" i="61"/>
  <c r="P65" i="61" s="1"/>
  <c r="V65" i="61"/>
  <c r="W65" i="61" s="1"/>
  <c r="AC65" i="61"/>
  <c r="AD65" i="61" s="1"/>
  <c r="AJ65" i="61"/>
  <c r="AK65" i="61" s="1"/>
  <c r="AL65" i="61"/>
  <c r="AM65" i="61"/>
  <c r="AN65" i="61"/>
  <c r="AO65" i="61"/>
  <c r="AP65" i="61"/>
  <c r="AY65" i="61"/>
  <c r="AZ65" i="61" s="1"/>
  <c r="BF65" i="61"/>
  <c r="BG65" i="61" s="1"/>
  <c r="BM65" i="61"/>
  <c r="BN65" i="61" s="1"/>
  <c r="BT65" i="61"/>
  <c r="BU65" i="61" s="1"/>
  <c r="CA65" i="61"/>
  <c r="CB65" i="61" s="1"/>
  <c r="CC65" i="61"/>
  <c r="CD65" i="61"/>
  <c r="CE65" i="61"/>
  <c r="CF65" i="61"/>
  <c r="CG65" i="61"/>
  <c r="H66" i="61"/>
  <c r="I66" i="61" s="1"/>
  <c r="O66" i="61"/>
  <c r="P66" i="61" s="1"/>
  <c r="V66" i="61"/>
  <c r="W66" i="61" s="1"/>
  <c r="AC66" i="61"/>
  <c r="AD66" i="61" s="1"/>
  <c r="AJ66" i="61"/>
  <c r="AK66" i="61" s="1"/>
  <c r="AL66" i="61"/>
  <c r="AM66" i="61"/>
  <c r="AN66" i="61"/>
  <c r="AO66" i="61"/>
  <c r="AP66" i="61"/>
  <c r="AY66" i="61"/>
  <c r="AZ66" i="61" s="1"/>
  <c r="BF66" i="61"/>
  <c r="BG66" i="61" s="1"/>
  <c r="BM66" i="61"/>
  <c r="BN66" i="61" s="1"/>
  <c r="BT66" i="61"/>
  <c r="BU66" i="61" s="1"/>
  <c r="CA66" i="61"/>
  <c r="CB66" i="61" s="1"/>
  <c r="CC66" i="61"/>
  <c r="CD66" i="61"/>
  <c r="CE66" i="61"/>
  <c r="CF66" i="61"/>
  <c r="CG66" i="61"/>
  <c r="H67" i="61"/>
  <c r="I67" i="61" s="1"/>
  <c r="O67" i="61"/>
  <c r="P67" i="61" s="1"/>
  <c r="V67" i="61"/>
  <c r="W67" i="61" s="1"/>
  <c r="AC67" i="61"/>
  <c r="AD67" i="61" s="1"/>
  <c r="AJ67" i="61"/>
  <c r="AK67" i="61" s="1"/>
  <c r="AL67" i="61"/>
  <c r="AM67" i="61"/>
  <c r="AN67" i="61"/>
  <c r="AO67" i="61"/>
  <c r="AP67" i="61"/>
  <c r="AY67" i="61"/>
  <c r="AZ67" i="61" s="1"/>
  <c r="BF67" i="61"/>
  <c r="BG67" i="61" s="1"/>
  <c r="BM67" i="61"/>
  <c r="BN67" i="61" s="1"/>
  <c r="BT67" i="61"/>
  <c r="BU67" i="61" s="1"/>
  <c r="CA67" i="61"/>
  <c r="CB67" i="61" s="1"/>
  <c r="CC67" i="61"/>
  <c r="CD67" i="61"/>
  <c r="CE67" i="61"/>
  <c r="CF67" i="61"/>
  <c r="CG67" i="61"/>
  <c r="H68" i="61"/>
  <c r="I68" i="61" s="1"/>
  <c r="O68" i="61"/>
  <c r="P68" i="61" s="1"/>
  <c r="V68" i="61"/>
  <c r="W68" i="61" s="1"/>
  <c r="AC68" i="61"/>
  <c r="AD68" i="61" s="1"/>
  <c r="AJ68" i="61"/>
  <c r="AK68" i="61" s="1"/>
  <c r="AL68" i="61"/>
  <c r="AM68" i="61"/>
  <c r="AN68" i="61"/>
  <c r="AO68" i="61"/>
  <c r="AP68" i="61"/>
  <c r="AY68" i="61"/>
  <c r="AZ68" i="61" s="1"/>
  <c r="BF68" i="61"/>
  <c r="BG68" i="61" s="1"/>
  <c r="BM68" i="61"/>
  <c r="BN68" i="61" s="1"/>
  <c r="BT68" i="61"/>
  <c r="BU68" i="61" s="1"/>
  <c r="CA68" i="61"/>
  <c r="CB68" i="61" s="1"/>
  <c r="CC68" i="61"/>
  <c r="CD68" i="61"/>
  <c r="CE68" i="61"/>
  <c r="CF68" i="61"/>
  <c r="CG68" i="61"/>
  <c r="H69" i="61"/>
  <c r="I69" i="61" s="1"/>
  <c r="O69" i="61"/>
  <c r="P69" i="61" s="1"/>
  <c r="V69" i="61"/>
  <c r="W69" i="61" s="1"/>
  <c r="AC69" i="61"/>
  <c r="AD69" i="61" s="1"/>
  <c r="AJ69" i="61"/>
  <c r="AK69" i="61" s="1"/>
  <c r="AL69" i="61"/>
  <c r="AM69" i="61"/>
  <c r="AN69" i="61"/>
  <c r="AO69" i="61"/>
  <c r="AP69" i="61"/>
  <c r="AY69" i="61"/>
  <c r="AZ69" i="61" s="1"/>
  <c r="BF69" i="61"/>
  <c r="BG69" i="61" s="1"/>
  <c r="BM69" i="61"/>
  <c r="BN69" i="61" s="1"/>
  <c r="BT69" i="61"/>
  <c r="BU69" i="61" s="1"/>
  <c r="CA69" i="61"/>
  <c r="CB69" i="61" s="1"/>
  <c r="CC69" i="61"/>
  <c r="CD69" i="61"/>
  <c r="CE69" i="61"/>
  <c r="CF69" i="61"/>
  <c r="CG69" i="61"/>
  <c r="H70" i="61"/>
  <c r="I70" i="61" s="1"/>
  <c r="O70" i="61"/>
  <c r="P70" i="61" s="1"/>
  <c r="V70" i="61"/>
  <c r="W70" i="61" s="1"/>
  <c r="AC70" i="61"/>
  <c r="AD70" i="61" s="1"/>
  <c r="AJ70" i="61"/>
  <c r="AK70" i="61" s="1"/>
  <c r="AL70" i="61"/>
  <c r="AM70" i="61"/>
  <c r="AN70" i="61"/>
  <c r="AO70" i="61"/>
  <c r="AP70" i="61"/>
  <c r="AY70" i="61"/>
  <c r="AZ70" i="61" s="1"/>
  <c r="BF70" i="61"/>
  <c r="BG70" i="61" s="1"/>
  <c r="BM70" i="61"/>
  <c r="BN70" i="61" s="1"/>
  <c r="BT70" i="61"/>
  <c r="BU70" i="61" s="1"/>
  <c r="CA70" i="61"/>
  <c r="CB70" i="61" s="1"/>
  <c r="CC70" i="61"/>
  <c r="CD70" i="61"/>
  <c r="CE70" i="61"/>
  <c r="CF70" i="61"/>
  <c r="CG70" i="61"/>
  <c r="H71" i="61"/>
  <c r="I71" i="61" s="1"/>
  <c r="O71" i="61"/>
  <c r="P71" i="61" s="1"/>
  <c r="V71" i="61"/>
  <c r="W71" i="61" s="1"/>
  <c r="AC71" i="61"/>
  <c r="AD71" i="61" s="1"/>
  <c r="AJ71" i="61"/>
  <c r="AK71" i="61" s="1"/>
  <c r="AL71" i="61"/>
  <c r="AM71" i="61"/>
  <c r="AN71" i="61"/>
  <c r="AO71" i="61"/>
  <c r="AP71" i="61"/>
  <c r="AY71" i="61"/>
  <c r="AZ71" i="61" s="1"/>
  <c r="BF71" i="61"/>
  <c r="BG71" i="61" s="1"/>
  <c r="BM71" i="61"/>
  <c r="BN71" i="61" s="1"/>
  <c r="BT71" i="61"/>
  <c r="BU71" i="61" s="1"/>
  <c r="CA71" i="61"/>
  <c r="CB71" i="61" s="1"/>
  <c r="CC71" i="61"/>
  <c r="CD71" i="61"/>
  <c r="CE71" i="61"/>
  <c r="CF71" i="61"/>
  <c r="CG71" i="61"/>
  <c r="H72" i="61"/>
  <c r="I72" i="61" s="1"/>
  <c r="O72" i="61"/>
  <c r="P72" i="61" s="1"/>
  <c r="V72" i="61"/>
  <c r="W72" i="61" s="1"/>
  <c r="AC72" i="61"/>
  <c r="AD72" i="61" s="1"/>
  <c r="AJ72" i="61"/>
  <c r="AK72" i="61" s="1"/>
  <c r="AL72" i="61"/>
  <c r="AM72" i="61"/>
  <c r="AN72" i="61"/>
  <c r="AO72" i="61"/>
  <c r="AP72" i="61"/>
  <c r="AY72" i="61"/>
  <c r="AZ72" i="61" s="1"/>
  <c r="BF72" i="61"/>
  <c r="BG72" i="61" s="1"/>
  <c r="BM72" i="61"/>
  <c r="BN72" i="61" s="1"/>
  <c r="BT72" i="61"/>
  <c r="BU72" i="61" s="1"/>
  <c r="CA72" i="61"/>
  <c r="CB72" i="61" s="1"/>
  <c r="CC72" i="61"/>
  <c r="CD72" i="61"/>
  <c r="CE72" i="61"/>
  <c r="CF72" i="61"/>
  <c r="CG72" i="61"/>
  <c r="H73" i="61"/>
  <c r="I73" i="61" s="1"/>
  <c r="O73" i="61"/>
  <c r="P73" i="61" s="1"/>
  <c r="V73" i="61"/>
  <c r="W73" i="61" s="1"/>
  <c r="AC73" i="61"/>
  <c r="AD73" i="61" s="1"/>
  <c r="AJ73" i="61"/>
  <c r="AK73" i="61" s="1"/>
  <c r="AL73" i="61"/>
  <c r="AM73" i="61"/>
  <c r="AN73" i="61"/>
  <c r="AO73" i="61"/>
  <c r="AP73" i="61"/>
  <c r="AY73" i="61"/>
  <c r="AZ73" i="61" s="1"/>
  <c r="BF73" i="61"/>
  <c r="BG73" i="61" s="1"/>
  <c r="BM73" i="61"/>
  <c r="BN73" i="61" s="1"/>
  <c r="BT73" i="61"/>
  <c r="BU73" i="61" s="1"/>
  <c r="CA73" i="61"/>
  <c r="CB73" i="61" s="1"/>
  <c r="CC73" i="61"/>
  <c r="CD73" i="61"/>
  <c r="CE73" i="61"/>
  <c r="CF73" i="61"/>
  <c r="CG73" i="61"/>
  <c r="H74" i="61"/>
  <c r="I74" i="61" s="1"/>
  <c r="O74" i="61"/>
  <c r="P74" i="61" s="1"/>
  <c r="V74" i="61"/>
  <c r="W74" i="61" s="1"/>
  <c r="AC74" i="61"/>
  <c r="AD74" i="61" s="1"/>
  <c r="AJ74" i="61"/>
  <c r="AK74" i="61" s="1"/>
  <c r="AL74" i="61"/>
  <c r="AM74" i="61"/>
  <c r="AN74" i="61"/>
  <c r="AO74" i="61"/>
  <c r="AP74" i="61"/>
  <c r="AY74" i="61"/>
  <c r="AZ74" i="61" s="1"/>
  <c r="BF74" i="61"/>
  <c r="BG74" i="61" s="1"/>
  <c r="BM74" i="61"/>
  <c r="BN74" i="61" s="1"/>
  <c r="BT74" i="61"/>
  <c r="BU74" i="61" s="1"/>
  <c r="CA74" i="61"/>
  <c r="CB74" i="61" s="1"/>
  <c r="CC74" i="61"/>
  <c r="CD74" i="61"/>
  <c r="CE74" i="61"/>
  <c r="CF74" i="61"/>
  <c r="CG74" i="61"/>
  <c r="H75" i="61"/>
  <c r="I75" i="61" s="1"/>
  <c r="O75" i="61"/>
  <c r="P75" i="61" s="1"/>
  <c r="V75" i="61"/>
  <c r="W75" i="61" s="1"/>
  <c r="AC75" i="61"/>
  <c r="AD75" i="61" s="1"/>
  <c r="AJ75" i="61"/>
  <c r="AK75" i="61" s="1"/>
  <c r="AL75" i="61"/>
  <c r="AM75" i="61"/>
  <c r="AN75" i="61"/>
  <c r="AO75" i="61"/>
  <c r="AP75" i="61"/>
  <c r="AY75" i="61"/>
  <c r="AZ75" i="61" s="1"/>
  <c r="BF75" i="61"/>
  <c r="BG75" i="61" s="1"/>
  <c r="BM75" i="61"/>
  <c r="BN75" i="61" s="1"/>
  <c r="BT75" i="61"/>
  <c r="BU75" i="61" s="1"/>
  <c r="CA75" i="61"/>
  <c r="CB75" i="61" s="1"/>
  <c r="CC75" i="61"/>
  <c r="CD75" i="61"/>
  <c r="CE75" i="61"/>
  <c r="CF75" i="61"/>
  <c r="CG75" i="61"/>
  <c r="H76" i="61"/>
  <c r="I76" i="61" s="1"/>
  <c r="O76" i="61"/>
  <c r="P76" i="61" s="1"/>
  <c r="V76" i="61"/>
  <c r="W76" i="61" s="1"/>
  <c r="AC76" i="61"/>
  <c r="AD76" i="61" s="1"/>
  <c r="AJ76" i="61"/>
  <c r="AK76" i="61" s="1"/>
  <c r="AL76" i="61"/>
  <c r="AM76" i="61"/>
  <c r="AN76" i="61"/>
  <c r="AO76" i="61"/>
  <c r="AP76" i="61"/>
  <c r="AY76" i="61"/>
  <c r="AZ76" i="61" s="1"/>
  <c r="BF76" i="61"/>
  <c r="BG76" i="61" s="1"/>
  <c r="BM76" i="61"/>
  <c r="BN76" i="61" s="1"/>
  <c r="BT76" i="61"/>
  <c r="BU76" i="61" s="1"/>
  <c r="CA76" i="61"/>
  <c r="CB76" i="61" s="1"/>
  <c r="CC76" i="61"/>
  <c r="CD76" i="61"/>
  <c r="CE76" i="61"/>
  <c r="CF76" i="61"/>
  <c r="CG76" i="61"/>
  <c r="H77" i="61"/>
  <c r="I77" i="61" s="1"/>
  <c r="O77" i="61"/>
  <c r="P77" i="61" s="1"/>
  <c r="V77" i="61"/>
  <c r="W77" i="61" s="1"/>
  <c r="AC77" i="61"/>
  <c r="AD77" i="61" s="1"/>
  <c r="AJ77" i="61"/>
  <c r="AK77" i="61" s="1"/>
  <c r="AL77" i="61"/>
  <c r="AM77" i="61"/>
  <c r="AN77" i="61"/>
  <c r="AO77" i="61"/>
  <c r="AP77" i="61"/>
  <c r="AY77" i="61"/>
  <c r="AZ77" i="61" s="1"/>
  <c r="BF77" i="61"/>
  <c r="BG77" i="61" s="1"/>
  <c r="BM77" i="61"/>
  <c r="BN77" i="61" s="1"/>
  <c r="BT77" i="61"/>
  <c r="BU77" i="61" s="1"/>
  <c r="CA77" i="61"/>
  <c r="CB77" i="61" s="1"/>
  <c r="CC77" i="61"/>
  <c r="CD77" i="61"/>
  <c r="CE77" i="61"/>
  <c r="CF77" i="61"/>
  <c r="CG77" i="61"/>
  <c r="H2" i="60"/>
  <c r="N2" i="60"/>
  <c r="T2" i="60"/>
  <c r="Z2" i="60"/>
  <c r="AK2" i="60"/>
  <c r="AL2" i="60"/>
  <c r="AM2" i="60"/>
  <c r="AN2" i="60"/>
  <c r="AO2" i="60"/>
  <c r="A3" i="60"/>
  <c r="H3" i="60"/>
  <c r="N3" i="60"/>
  <c r="T3" i="60"/>
  <c r="Z3" i="60"/>
  <c r="AK3" i="60"/>
  <c r="AL3" i="60"/>
  <c r="AM3" i="60"/>
  <c r="AN3" i="60"/>
  <c r="AO3" i="60"/>
  <c r="H4" i="60"/>
  <c r="N4" i="60"/>
  <c r="T4" i="60"/>
  <c r="Z4" i="60"/>
  <c r="AK4" i="60"/>
  <c r="AL4" i="60"/>
  <c r="AM4" i="60"/>
  <c r="AN4" i="60"/>
  <c r="AO4" i="60"/>
  <c r="H5" i="60"/>
  <c r="N5" i="60"/>
  <c r="T5" i="60"/>
  <c r="Z5" i="60"/>
  <c r="AK5" i="60"/>
  <c r="AL5" i="60"/>
  <c r="AM5" i="60"/>
  <c r="AN5" i="60"/>
  <c r="AO5" i="60"/>
  <c r="H6" i="60"/>
  <c r="N6" i="60"/>
  <c r="T6" i="60"/>
  <c r="Z6" i="60"/>
  <c r="AK6" i="60"/>
  <c r="AL6" i="60"/>
  <c r="AM6" i="60"/>
  <c r="AN6" i="60"/>
  <c r="AO6" i="60"/>
  <c r="H7" i="60"/>
  <c r="N7" i="60"/>
  <c r="T7" i="60"/>
  <c r="Z7" i="60"/>
  <c r="AK7" i="60"/>
  <c r="AL7" i="60"/>
  <c r="AM7" i="60"/>
  <c r="AN7" i="60"/>
  <c r="AO7" i="60"/>
  <c r="H8" i="60"/>
  <c r="N8" i="60"/>
  <c r="T8" i="60"/>
  <c r="Z8" i="60"/>
  <c r="AK8" i="60"/>
  <c r="AL8" i="60"/>
  <c r="AM8" i="60"/>
  <c r="AN8" i="60"/>
  <c r="AO8" i="60"/>
  <c r="H9" i="60"/>
  <c r="N9" i="60"/>
  <c r="T9" i="60"/>
  <c r="Z9" i="60"/>
  <c r="AK9" i="60"/>
  <c r="AL9" i="60"/>
  <c r="AM9" i="60"/>
  <c r="AN9" i="60"/>
  <c r="AO9" i="60"/>
  <c r="H10" i="60"/>
  <c r="N10" i="60"/>
  <c r="T10" i="60"/>
  <c r="Z10" i="60"/>
  <c r="AK10" i="60"/>
  <c r="AL10" i="60"/>
  <c r="AM10" i="60"/>
  <c r="AN10" i="60"/>
  <c r="AO10" i="60"/>
  <c r="H11" i="60"/>
  <c r="N11" i="60"/>
  <c r="T11" i="60"/>
  <c r="Z11" i="60"/>
  <c r="AK11" i="60"/>
  <c r="AL11" i="60"/>
  <c r="AM11" i="60"/>
  <c r="AN11" i="60"/>
  <c r="AO11" i="60"/>
  <c r="H12" i="60"/>
  <c r="N12" i="60"/>
  <c r="T12" i="60"/>
  <c r="Z12" i="60"/>
  <c r="AK12" i="60"/>
  <c r="AL12" i="60"/>
  <c r="AM12" i="60"/>
  <c r="AN12" i="60"/>
  <c r="AO12" i="60"/>
  <c r="H13" i="60"/>
  <c r="N13" i="60"/>
  <c r="T13" i="60"/>
  <c r="Z13" i="60"/>
  <c r="AK13" i="60"/>
  <c r="AL13" i="60"/>
  <c r="AM13" i="60"/>
  <c r="AN13" i="60"/>
  <c r="AO13" i="60"/>
  <c r="H14" i="60"/>
  <c r="N14" i="60"/>
  <c r="T14" i="60"/>
  <c r="Z14" i="60"/>
  <c r="AK14" i="60"/>
  <c r="AL14" i="60"/>
  <c r="AM14" i="60"/>
  <c r="AN14" i="60"/>
  <c r="AO14" i="60"/>
  <c r="H15" i="60"/>
  <c r="N15" i="60"/>
  <c r="T15" i="60"/>
  <c r="Z15" i="60"/>
  <c r="AK15" i="60"/>
  <c r="AL15" i="60"/>
  <c r="AM15" i="60"/>
  <c r="AN15" i="60"/>
  <c r="AO15" i="60"/>
  <c r="H16" i="60"/>
  <c r="N16" i="60"/>
  <c r="T16" i="60"/>
  <c r="Z16" i="60"/>
  <c r="AK16" i="60"/>
  <c r="AL16" i="60"/>
  <c r="AM16" i="60"/>
  <c r="AN16" i="60"/>
  <c r="AO16" i="60"/>
  <c r="H17" i="60"/>
  <c r="N17" i="60"/>
  <c r="T17" i="60"/>
  <c r="Z17" i="60"/>
  <c r="AK17" i="60"/>
  <c r="AL17" i="60"/>
  <c r="AM17" i="60"/>
  <c r="AN17" i="60"/>
  <c r="AO17" i="60"/>
  <c r="H18" i="60"/>
  <c r="N18" i="60"/>
  <c r="T18" i="60"/>
  <c r="Z18" i="60"/>
  <c r="AK18" i="60"/>
  <c r="AL18" i="60"/>
  <c r="AM18" i="60"/>
  <c r="AN18" i="60"/>
  <c r="AO18" i="60"/>
  <c r="H19" i="60"/>
  <c r="N19" i="60"/>
  <c r="T19" i="60"/>
  <c r="Z19" i="60"/>
  <c r="AK19" i="60"/>
  <c r="AL19" i="60"/>
  <c r="AM19" i="60"/>
  <c r="AN19" i="60"/>
  <c r="AO19" i="60"/>
  <c r="H20" i="60"/>
  <c r="N20" i="60"/>
  <c r="T20" i="60"/>
  <c r="Z20" i="60"/>
  <c r="AK20" i="60"/>
  <c r="AL20" i="60"/>
  <c r="AM20" i="60"/>
  <c r="AN20" i="60"/>
  <c r="AO20" i="60"/>
  <c r="H21" i="60"/>
  <c r="N21" i="60"/>
  <c r="T21" i="60"/>
  <c r="Z21" i="60"/>
  <c r="AK21" i="60"/>
  <c r="AL21" i="60"/>
  <c r="AM21" i="60"/>
  <c r="AN21" i="60"/>
  <c r="AO21" i="60"/>
  <c r="H22" i="60"/>
  <c r="N22" i="60"/>
  <c r="T22" i="60"/>
  <c r="Z22" i="60"/>
  <c r="AK22" i="60"/>
  <c r="AL22" i="60"/>
  <c r="AM22" i="60"/>
  <c r="AN22" i="60"/>
  <c r="AO22" i="60"/>
  <c r="H23" i="60"/>
  <c r="N23" i="60"/>
  <c r="T23" i="60"/>
  <c r="Z23" i="60"/>
  <c r="AK23" i="60"/>
  <c r="AL23" i="60"/>
  <c r="AM23" i="60"/>
  <c r="AN23" i="60"/>
  <c r="AO23" i="60"/>
  <c r="H24" i="60"/>
  <c r="N24" i="60"/>
  <c r="T24" i="60"/>
  <c r="Z24" i="60"/>
  <c r="AK24" i="60"/>
  <c r="AL24" i="60"/>
  <c r="AM24" i="60"/>
  <c r="AN24" i="60"/>
  <c r="AO24" i="60"/>
  <c r="H25" i="60"/>
  <c r="N25" i="60"/>
  <c r="T25" i="60"/>
  <c r="Z25" i="60"/>
  <c r="AK25" i="60"/>
  <c r="AL25" i="60"/>
  <c r="AM25" i="60"/>
  <c r="AN25" i="60"/>
  <c r="AO25" i="60"/>
  <c r="H26" i="60"/>
  <c r="N26" i="60"/>
  <c r="T26" i="60"/>
  <c r="Z26" i="60"/>
  <c r="AK26" i="60"/>
  <c r="AL26" i="60"/>
  <c r="AM26" i="60"/>
  <c r="AN26" i="60"/>
  <c r="AO26" i="60"/>
  <c r="H27" i="60"/>
  <c r="N27" i="60"/>
  <c r="T27" i="60"/>
  <c r="Z27" i="60"/>
  <c r="AK27" i="60"/>
  <c r="AL27" i="60"/>
  <c r="AM27" i="60"/>
  <c r="AN27" i="60"/>
  <c r="AO27" i="60"/>
  <c r="H28" i="60"/>
  <c r="N28" i="60"/>
  <c r="T28" i="60"/>
  <c r="Z28" i="60"/>
  <c r="AK28" i="60"/>
  <c r="AL28" i="60"/>
  <c r="AM28" i="60"/>
  <c r="AN28" i="60"/>
  <c r="AO28" i="60"/>
  <c r="H29" i="60"/>
  <c r="N29" i="60"/>
  <c r="T29" i="60"/>
  <c r="Z29" i="60"/>
  <c r="AK29" i="60"/>
  <c r="AL29" i="60"/>
  <c r="AM29" i="60"/>
  <c r="AN29" i="60"/>
  <c r="AO29" i="60"/>
  <c r="H30" i="60"/>
  <c r="N30" i="60"/>
  <c r="T30" i="60"/>
  <c r="Z30" i="60"/>
  <c r="AK30" i="60"/>
  <c r="AL30" i="60"/>
  <c r="AM30" i="60"/>
  <c r="AN30" i="60"/>
  <c r="AO30" i="60"/>
  <c r="H31" i="60"/>
  <c r="N31" i="60"/>
  <c r="T31" i="60"/>
  <c r="Z31" i="60"/>
  <c r="AK31" i="60"/>
  <c r="AL31" i="60"/>
  <c r="AM31" i="60"/>
  <c r="AN31" i="60"/>
  <c r="AO31" i="60"/>
  <c r="H32" i="60"/>
  <c r="N32" i="60"/>
  <c r="T32" i="60"/>
  <c r="Z32" i="60"/>
  <c r="AK32" i="60"/>
  <c r="AL32" i="60"/>
  <c r="AM32" i="60"/>
  <c r="AN32" i="60"/>
  <c r="AO32" i="60"/>
  <c r="H33" i="60"/>
  <c r="N33" i="60"/>
  <c r="T33" i="60"/>
  <c r="Z33" i="60"/>
  <c r="AK33" i="60"/>
  <c r="AL33" i="60"/>
  <c r="AM33" i="60"/>
  <c r="AN33" i="60"/>
  <c r="AO33" i="60"/>
  <c r="H34" i="60"/>
  <c r="N34" i="60"/>
  <c r="T34" i="60"/>
  <c r="Z34" i="60"/>
  <c r="AK34" i="60"/>
  <c r="AL34" i="60"/>
  <c r="AM34" i="60"/>
  <c r="AN34" i="60"/>
  <c r="AO34" i="60"/>
  <c r="H35" i="60"/>
  <c r="N35" i="60"/>
  <c r="T35" i="60"/>
  <c r="Z35" i="60"/>
  <c r="AK35" i="60"/>
  <c r="AL35" i="60"/>
  <c r="AM35" i="60"/>
  <c r="AN35" i="60"/>
  <c r="AO35" i="60"/>
  <c r="H36" i="60"/>
  <c r="N36" i="60"/>
  <c r="T36" i="60"/>
  <c r="Z36" i="60"/>
  <c r="AK36" i="60"/>
  <c r="AL36" i="60"/>
  <c r="AM36" i="60"/>
  <c r="AN36" i="60"/>
  <c r="AO36" i="60"/>
  <c r="H37" i="60"/>
  <c r="N37" i="60"/>
  <c r="T37" i="60"/>
  <c r="Z37" i="60"/>
  <c r="AK37" i="60"/>
  <c r="AL37" i="60"/>
  <c r="AM37" i="60"/>
  <c r="AN37" i="60"/>
  <c r="AO37" i="60"/>
  <c r="H38" i="60"/>
  <c r="N38" i="60"/>
  <c r="T38" i="60"/>
  <c r="Z38" i="60"/>
  <c r="AK38" i="60"/>
  <c r="AL38" i="60"/>
  <c r="AM38" i="60"/>
  <c r="AN38" i="60"/>
  <c r="AO38" i="60"/>
  <c r="H39" i="60"/>
  <c r="N39" i="60"/>
  <c r="T39" i="60"/>
  <c r="Z39" i="60"/>
  <c r="AK39" i="60"/>
  <c r="AL39" i="60"/>
  <c r="AM39" i="60"/>
  <c r="AN39" i="60"/>
  <c r="AO39" i="60"/>
  <c r="H40" i="60"/>
  <c r="N40" i="60"/>
  <c r="T40" i="60"/>
  <c r="Z40" i="60"/>
  <c r="AK40" i="60"/>
  <c r="AL40" i="60"/>
  <c r="AM40" i="60"/>
  <c r="AN40" i="60"/>
  <c r="AO40" i="60"/>
  <c r="H41" i="60"/>
  <c r="N41" i="60"/>
  <c r="T41" i="60"/>
  <c r="Z41" i="60"/>
  <c r="AK41" i="60"/>
  <c r="AL41" i="60"/>
  <c r="AM41" i="60"/>
  <c r="AN41" i="60"/>
  <c r="AO41" i="60"/>
  <c r="H42" i="60"/>
  <c r="N42" i="60"/>
  <c r="T42" i="60"/>
  <c r="Z42" i="60"/>
  <c r="AK42" i="60"/>
  <c r="AL42" i="60"/>
  <c r="AM42" i="60"/>
  <c r="AN42" i="60"/>
  <c r="AO42" i="60"/>
  <c r="H43" i="60"/>
  <c r="N43" i="60"/>
  <c r="T43" i="60"/>
  <c r="Z43" i="60"/>
  <c r="AK43" i="60"/>
  <c r="AL43" i="60"/>
  <c r="AM43" i="60"/>
  <c r="AN43" i="60"/>
  <c r="AO43" i="60"/>
  <c r="H44" i="60"/>
  <c r="N44" i="60"/>
  <c r="T44" i="60"/>
  <c r="Z44" i="60"/>
  <c r="AK44" i="60"/>
  <c r="AL44" i="60"/>
  <c r="AM44" i="60"/>
  <c r="AN44" i="60"/>
  <c r="AO44" i="60"/>
  <c r="H45" i="60"/>
  <c r="N45" i="60"/>
  <c r="T45" i="60"/>
  <c r="Z45" i="60"/>
  <c r="AK45" i="60"/>
  <c r="AL45" i="60"/>
  <c r="AM45" i="60"/>
  <c r="AN45" i="60"/>
  <c r="AO45" i="60"/>
  <c r="H46" i="60"/>
  <c r="N46" i="60"/>
  <c r="T46" i="60"/>
  <c r="Z46" i="60"/>
  <c r="AK46" i="60"/>
  <c r="AL46" i="60"/>
  <c r="AM46" i="60"/>
  <c r="AN46" i="60"/>
  <c r="AO46" i="60"/>
  <c r="H47" i="60"/>
  <c r="N47" i="60"/>
  <c r="T47" i="60"/>
  <c r="Z47" i="60"/>
  <c r="AK47" i="60"/>
  <c r="AL47" i="60"/>
  <c r="AM47" i="60"/>
  <c r="AN47" i="60"/>
  <c r="AO47" i="60"/>
  <c r="H48" i="60"/>
  <c r="N48" i="60"/>
  <c r="T48" i="60"/>
  <c r="Z48" i="60"/>
  <c r="AK48" i="60"/>
  <c r="AL48" i="60"/>
  <c r="AM48" i="60"/>
  <c r="AN48" i="60"/>
  <c r="AO48" i="60"/>
  <c r="H49" i="60"/>
  <c r="N49" i="60"/>
  <c r="T49" i="60"/>
  <c r="Z49" i="60"/>
  <c r="AK49" i="60"/>
  <c r="AL49" i="60"/>
  <c r="AM49" i="60"/>
  <c r="AN49" i="60"/>
  <c r="AO49" i="60"/>
  <c r="H50" i="60"/>
  <c r="N50" i="60"/>
  <c r="T50" i="60"/>
  <c r="Z50" i="60"/>
  <c r="AK50" i="60"/>
  <c r="AL50" i="60"/>
  <c r="AM50" i="60"/>
  <c r="AN50" i="60"/>
  <c r="AO50" i="60"/>
  <c r="H51" i="60"/>
  <c r="N51" i="60"/>
  <c r="T51" i="60"/>
  <c r="Z51" i="60"/>
  <c r="AK51" i="60"/>
  <c r="AL51" i="60"/>
  <c r="AM51" i="60"/>
  <c r="AN51" i="60"/>
  <c r="AO51" i="60"/>
  <c r="H52" i="60"/>
  <c r="N52" i="60"/>
  <c r="T52" i="60"/>
  <c r="Z52" i="60"/>
  <c r="AK52" i="60"/>
  <c r="AL52" i="60"/>
  <c r="AM52" i="60"/>
  <c r="AN52" i="60"/>
  <c r="AO52" i="60"/>
  <c r="H53" i="60"/>
  <c r="N53" i="60"/>
  <c r="T53" i="60"/>
  <c r="Z53" i="60"/>
  <c r="AK53" i="60"/>
  <c r="AL53" i="60"/>
  <c r="AM53" i="60"/>
  <c r="AN53" i="60"/>
  <c r="AO53" i="60"/>
  <c r="H54" i="60"/>
  <c r="N54" i="60"/>
  <c r="T54" i="60"/>
  <c r="Z54" i="60"/>
  <c r="AK54" i="60"/>
  <c r="AL54" i="60"/>
  <c r="AM54" i="60"/>
  <c r="AN54" i="60"/>
  <c r="AO54" i="60"/>
  <c r="H55" i="60"/>
  <c r="N55" i="60"/>
  <c r="T55" i="60"/>
  <c r="Z55" i="60"/>
  <c r="AK55" i="60"/>
  <c r="AL55" i="60"/>
  <c r="AM55" i="60"/>
  <c r="AN55" i="60"/>
  <c r="AO55" i="60"/>
  <c r="H56" i="60"/>
  <c r="N56" i="60"/>
  <c r="T56" i="60"/>
  <c r="Z56" i="60"/>
  <c r="AK56" i="60"/>
  <c r="AL56" i="60"/>
  <c r="AM56" i="60"/>
  <c r="AN56" i="60"/>
  <c r="AO56" i="60"/>
  <c r="H57" i="60"/>
  <c r="N57" i="60"/>
  <c r="T57" i="60"/>
  <c r="Z57" i="60"/>
  <c r="AK57" i="60"/>
  <c r="AL57" i="60"/>
  <c r="AM57" i="60"/>
  <c r="AN57" i="60"/>
  <c r="AO57" i="60"/>
  <c r="H58" i="60"/>
  <c r="N58" i="60"/>
  <c r="T58" i="60"/>
  <c r="Z58" i="60"/>
  <c r="AK58" i="60"/>
  <c r="AL58" i="60"/>
  <c r="AM58" i="60"/>
  <c r="AN58" i="60"/>
  <c r="AO58" i="60"/>
  <c r="H59" i="60"/>
  <c r="N59" i="60"/>
  <c r="T59" i="60"/>
  <c r="Z59" i="60"/>
  <c r="AK59" i="60"/>
  <c r="AL59" i="60"/>
  <c r="AM59" i="60"/>
  <c r="AN59" i="60"/>
  <c r="AO59" i="60"/>
  <c r="H60" i="60"/>
  <c r="N60" i="60"/>
  <c r="T60" i="60"/>
  <c r="Z60" i="60"/>
  <c r="AK60" i="60"/>
  <c r="AL60" i="60"/>
  <c r="AM60" i="60"/>
  <c r="AN60" i="60"/>
  <c r="AO60" i="60"/>
  <c r="H61" i="60"/>
  <c r="N61" i="60"/>
  <c r="T61" i="60"/>
  <c r="Z61" i="60"/>
  <c r="AK61" i="60"/>
  <c r="AL61" i="60"/>
  <c r="AM61" i="60"/>
  <c r="AN61" i="60"/>
  <c r="AO61" i="60"/>
  <c r="H62" i="60"/>
  <c r="N62" i="60"/>
  <c r="T62" i="60"/>
  <c r="Z62" i="60"/>
  <c r="AK62" i="60"/>
  <c r="AL62" i="60"/>
  <c r="AM62" i="60"/>
  <c r="AN62" i="60"/>
  <c r="AO62" i="60"/>
  <c r="H63" i="60"/>
  <c r="N63" i="60"/>
  <c r="T63" i="60"/>
  <c r="Z63" i="60"/>
  <c r="AK63" i="60"/>
  <c r="AL63" i="60"/>
  <c r="AM63" i="60"/>
  <c r="AN63" i="60"/>
  <c r="AO63" i="60"/>
  <c r="H64" i="60"/>
  <c r="N64" i="60"/>
  <c r="T64" i="60"/>
  <c r="Z64" i="60"/>
  <c r="AK64" i="60"/>
  <c r="AL64" i="60"/>
  <c r="AM64" i="60"/>
  <c r="AN64" i="60"/>
  <c r="AO64" i="60"/>
  <c r="H65" i="60"/>
  <c r="N65" i="60"/>
  <c r="T65" i="60"/>
  <c r="Z65" i="60"/>
  <c r="AK65" i="60"/>
  <c r="AL65" i="60"/>
  <c r="AM65" i="60"/>
  <c r="AN65" i="60"/>
  <c r="AO65" i="60"/>
  <c r="H66" i="60"/>
  <c r="N66" i="60"/>
  <c r="T66" i="60"/>
  <c r="Z66" i="60"/>
  <c r="AK66" i="60"/>
  <c r="AL66" i="60"/>
  <c r="AM66" i="60"/>
  <c r="AN66" i="60"/>
  <c r="AO66" i="60"/>
  <c r="H67" i="60"/>
  <c r="N67" i="60"/>
  <c r="T67" i="60"/>
  <c r="Z67" i="60"/>
  <c r="AK67" i="60"/>
  <c r="AL67" i="60"/>
  <c r="AM67" i="60"/>
  <c r="AN67" i="60"/>
  <c r="AO67" i="60"/>
  <c r="H68" i="60"/>
  <c r="N68" i="60"/>
  <c r="T68" i="60"/>
  <c r="Z68" i="60"/>
  <c r="AK68" i="60"/>
  <c r="AL68" i="60"/>
  <c r="AM68" i="60"/>
  <c r="AN68" i="60"/>
  <c r="AO68" i="60"/>
  <c r="H69" i="60"/>
  <c r="N69" i="60"/>
  <c r="T69" i="60"/>
  <c r="Z69" i="60"/>
  <c r="AK69" i="60"/>
  <c r="AL69" i="60"/>
  <c r="AM69" i="60"/>
  <c r="AN69" i="60"/>
  <c r="AO69" i="60"/>
  <c r="H70" i="60"/>
  <c r="N70" i="60"/>
  <c r="T70" i="60"/>
  <c r="Z70" i="60"/>
  <c r="AK70" i="60"/>
  <c r="AL70" i="60"/>
  <c r="AM70" i="60"/>
  <c r="AN70" i="60"/>
  <c r="AO70" i="60"/>
  <c r="H71" i="60"/>
  <c r="N71" i="60"/>
  <c r="T71" i="60"/>
  <c r="Z71" i="60"/>
  <c r="AK71" i="60"/>
  <c r="AL71" i="60"/>
  <c r="AM71" i="60"/>
  <c r="AN71" i="60"/>
  <c r="AO71" i="60"/>
  <c r="H72" i="60"/>
  <c r="N72" i="60"/>
  <c r="T72" i="60"/>
  <c r="Z72" i="60"/>
  <c r="AK72" i="60"/>
  <c r="AL72" i="60"/>
  <c r="AM72" i="60"/>
  <c r="AN72" i="60"/>
  <c r="AO72" i="60"/>
  <c r="H73" i="60"/>
  <c r="N73" i="60"/>
  <c r="T73" i="60"/>
  <c r="Z73" i="60"/>
  <c r="AK73" i="60"/>
  <c r="AL73" i="60"/>
  <c r="AM73" i="60"/>
  <c r="AN73" i="60"/>
  <c r="AO73" i="60"/>
  <c r="H74" i="60"/>
  <c r="N74" i="60"/>
  <c r="T74" i="60"/>
  <c r="Z74" i="60"/>
  <c r="AK74" i="60"/>
  <c r="AL74" i="60"/>
  <c r="AM74" i="60"/>
  <c r="AN74" i="60"/>
  <c r="AO74" i="60"/>
  <c r="H75" i="60"/>
  <c r="N75" i="60"/>
  <c r="T75" i="60"/>
  <c r="Z75" i="60"/>
  <c r="AK75" i="60"/>
  <c r="AL75" i="60"/>
  <c r="AM75" i="60"/>
  <c r="AN75" i="60"/>
  <c r="AO75" i="60"/>
  <c r="H76" i="60"/>
  <c r="N76" i="60"/>
  <c r="T76" i="60"/>
  <c r="Z76" i="60"/>
  <c r="AK76" i="60"/>
  <c r="AL76" i="60"/>
  <c r="AM76" i="60"/>
  <c r="AN76" i="60"/>
  <c r="AO76" i="60"/>
  <c r="H77" i="60"/>
  <c r="N77" i="60"/>
  <c r="T77" i="60"/>
  <c r="Z77" i="60"/>
  <c r="AK77" i="60"/>
  <c r="AL77" i="60"/>
  <c r="AM77" i="60"/>
  <c r="AN77" i="60"/>
  <c r="AO77" i="60"/>
  <c r="H78" i="60"/>
  <c r="N78" i="60"/>
  <c r="T78" i="60"/>
  <c r="Z78" i="60"/>
  <c r="AK78" i="60"/>
  <c r="AL78" i="60"/>
  <c r="AM78" i="60"/>
  <c r="AN78" i="60"/>
  <c r="AO78" i="60"/>
  <c r="H79" i="60"/>
  <c r="N79" i="60"/>
  <c r="T79" i="60"/>
  <c r="Z79" i="60"/>
  <c r="AK79" i="60"/>
  <c r="AL79" i="60"/>
  <c r="AM79" i="60"/>
  <c r="AN79" i="60"/>
  <c r="AO79" i="60"/>
  <c r="H80" i="60"/>
  <c r="N80" i="60"/>
  <c r="T80" i="60"/>
  <c r="Z80" i="60"/>
  <c r="AK80" i="60"/>
  <c r="AL80" i="60"/>
  <c r="AM80" i="60"/>
  <c r="AN80" i="60"/>
  <c r="AO80" i="60"/>
  <c r="H81" i="60"/>
  <c r="N81" i="60"/>
  <c r="T81" i="60"/>
  <c r="Z81" i="60"/>
  <c r="AK81" i="60"/>
  <c r="AL81" i="60"/>
  <c r="AM81" i="60"/>
  <c r="AN81" i="60"/>
  <c r="AO81" i="60"/>
  <c r="H82" i="60"/>
  <c r="N82" i="60"/>
  <c r="T82" i="60"/>
  <c r="Z82" i="60"/>
  <c r="AK82" i="60"/>
  <c r="AL82" i="60"/>
  <c r="AM82" i="60"/>
  <c r="AN82" i="60"/>
  <c r="AO82" i="60"/>
  <c r="H83" i="60"/>
  <c r="N83" i="60"/>
  <c r="T83" i="60"/>
  <c r="Z83" i="60"/>
  <c r="AK83" i="60"/>
  <c r="AL83" i="60"/>
  <c r="AM83" i="60"/>
  <c r="AN83" i="60"/>
  <c r="AO83" i="60"/>
  <c r="H84" i="60"/>
  <c r="N84" i="60"/>
  <c r="T84" i="60"/>
  <c r="Z84" i="60"/>
  <c r="AK84" i="60"/>
  <c r="AL84" i="60"/>
  <c r="AM84" i="60"/>
  <c r="AN84" i="60"/>
  <c r="AO84" i="60"/>
  <c r="H85" i="60"/>
  <c r="N85" i="60"/>
  <c r="T85" i="60"/>
  <c r="Z85" i="60"/>
  <c r="AK85" i="60"/>
  <c r="AL85" i="60"/>
  <c r="AM85" i="60"/>
  <c r="AN85" i="60"/>
  <c r="AO85" i="60"/>
  <c r="H86" i="60"/>
  <c r="N86" i="60"/>
  <c r="T86" i="60"/>
  <c r="Z86" i="60"/>
  <c r="AK86" i="60"/>
  <c r="AL86" i="60"/>
  <c r="AM86" i="60"/>
  <c r="AN86" i="60"/>
  <c r="AO86" i="60"/>
  <c r="H87" i="60"/>
  <c r="N87" i="60"/>
  <c r="T87" i="60"/>
  <c r="Z87" i="60"/>
  <c r="AK87" i="60"/>
  <c r="AL87" i="60"/>
  <c r="AM87" i="60"/>
  <c r="AN87" i="60"/>
  <c r="AO87" i="60"/>
  <c r="H88" i="60"/>
  <c r="N88" i="60"/>
  <c r="T88" i="60"/>
  <c r="Z88" i="60"/>
  <c r="AK88" i="60"/>
  <c r="AL88" i="60"/>
  <c r="AM88" i="60"/>
  <c r="AN88" i="60"/>
  <c r="AO88" i="60"/>
  <c r="H89" i="60"/>
  <c r="N89" i="60"/>
  <c r="T89" i="60"/>
  <c r="Z89" i="60"/>
  <c r="AK89" i="60"/>
  <c r="AL89" i="60"/>
  <c r="AM89" i="60"/>
  <c r="AN89" i="60"/>
  <c r="AO89" i="60"/>
  <c r="H90" i="60"/>
  <c r="N90" i="60"/>
  <c r="T90" i="60"/>
  <c r="Z90" i="60"/>
  <c r="AK90" i="60"/>
  <c r="AL90" i="60"/>
  <c r="AM90" i="60"/>
  <c r="AN90" i="60"/>
  <c r="AO90" i="60"/>
  <c r="H91" i="60"/>
  <c r="N91" i="60"/>
  <c r="T91" i="60"/>
  <c r="Z91" i="60"/>
  <c r="AK91" i="60"/>
  <c r="AL91" i="60"/>
  <c r="AM91" i="60"/>
  <c r="AN91" i="60"/>
  <c r="AO91" i="60"/>
  <c r="H92" i="60"/>
  <c r="N92" i="60"/>
  <c r="T92" i="60"/>
  <c r="Z92" i="60"/>
  <c r="AK92" i="60"/>
  <c r="AL92" i="60"/>
  <c r="AM92" i="60"/>
  <c r="AN92" i="60"/>
  <c r="AO92" i="60"/>
  <c r="H93" i="60"/>
  <c r="N93" i="60"/>
  <c r="T93" i="60"/>
  <c r="Z93" i="60"/>
  <c r="AK93" i="60"/>
  <c r="AL93" i="60"/>
  <c r="AM93" i="60"/>
  <c r="AN93" i="60"/>
  <c r="AO93" i="60"/>
  <c r="H94" i="60"/>
  <c r="N94" i="60"/>
  <c r="T94" i="60"/>
  <c r="Z94" i="60"/>
  <c r="AK94" i="60"/>
  <c r="AL94" i="60"/>
  <c r="AM94" i="60"/>
  <c r="AN94" i="60"/>
  <c r="AO94" i="60"/>
  <c r="H95" i="60"/>
  <c r="N95" i="60"/>
  <c r="T95" i="60"/>
  <c r="Z95" i="60"/>
  <c r="AK95" i="60"/>
  <c r="AL95" i="60"/>
  <c r="AM95" i="60"/>
  <c r="AN95" i="60"/>
  <c r="AO95" i="60"/>
  <c r="H96" i="60"/>
  <c r="N96" i="60"/>
  <c r="T96" i="60"/>
  <c r="Z96" i="60"/>
  <c r="AK96" i="60"/>
  <c r="AL96" i="60"/>
  <c r="AM96" i="60"/>
  <c r="AN96" i="60"/>
  <c r="AO96" i="60"/>
  <c r="H97" i="60"/>
  <c r="N97" i="60"/>
  <c r="T97" i="60"/>
  <c r="Z97" i="60"/>
  <c r="AK97" i="60"/>
  <c r="AL97" i="60"/>
  <c r="AM97" i="60"/>
  <c r="AN97" i="60"/>
  <c r="AO97" i="60"/>
  <c r="H98" i="60"/>
  <c r="N98" i="60"/>
  <c r="T98" i="60"/>
  <c r="Z98" i="60"/>
  <c r="AK98" i="60"/>
  <c r="AL98" i="60"/>
  <c r="AM98" i="60"/>
  <c r="AN98" i="60"/>
  <c r="AO98" i="60"/>
  <c r="H99" i="60"/>
  <c r="N99" i="60"/>
  <c r="T99" i="60"/>
  <c r="Z99" i="60"/>
  <c r="AK99" i="60"/>
  <c r="AL99" i="60"/>
  <c r="AM99" i="60"/>
  <c r="AN99" i="60"/>
  <c r="AO99" i="60"/>
  <c r="H100" i="60"/>
  <c r="N100" i="60"/>
  <c r="T100" i="60"/>
  <c r="Z100" i="60"/>
  <c r="AK100" i="60"/>
  <c r="AL100" i="60"/>
  <c r="AM100" i="60"/>
  <c r="AN100" i="60"/>
  <c r="AO100" i="60"/>
  <c r="H101" i="60"/>
  <c r="N101" i="60"/>
  <c r="T101" i="60"/>
  <c r="Z101" i="60"/>
  <c r="AK101" i="60"/>
  <c r="AL101" i="60"/>
  <c r="AM101" i="60"/>
  <c r="AN101" i="60"/>
  <c r="AO101" i="60"/>
  <c r="H102" i="60"/>
  <c r="N102" i="60"/>
  <c r="T102" i="60"/>
  <c r="Z102" i="60"/>
  <c r="AK102" i="60"/>
  <c r="AL102" i="60"/>
  <c r="AM102" i="60"/>
  <c r="AN102" i="60"/>
  <c r="AO102" i="60"/>
  <c r="H103" i="60"/>
  <c r="N103" i="60"/>
  <c r="T103" i="60"/>
  <c r="Z103" i="60"/>
  <c r="AK103" i="60"/>
  <c r="AL103" i="60"/>
  <c r="AM103" i="60"/>
  <c r="AN103" i="60"/>
  <c r="AO103" i="60"/>
  <c r="H104" i="60"/>
  <c r="N104" i="60"/>
  <c r="T104" i="60"/>
  <c r="Z104" i="60"/>
  <c r="AK104" i="60"/>
  <c r="AL104" i="60"/>
  <c r="AM104" i="60"/>
  <c r="AN104" i="60"/>
  <c r="AO104" i="60"/>
  <c r="H105" i="60"/>
  <c r="N105" i="60"/>
  <c r="T105" i="60"/>
  <c r="Z105" i="60"/>
  <c r="AK105" i="60"/>
  <c r="AL105" i="60"/>
  <c r="AM105" i="60"/>
  <c r="AN105" i="60"/>
  <c r="AO105" i="60"/>
  <c r="H106" i="60"/>
  <c r="N106" i="60"/>
  <c r="T106" i="60"/>
  <c r="Z106" i="60"/>
  <c r="AK106" i="60"/>
  <c r="AL106" i="60"/>
  <c r="AM106" i="60"/>
  <c r="AN106" i="60"/>
  <c r="AO106" i="60"/>
  <c r="H107" i="60"/>
  <c r="N107" i="60"/>
  <c r="T107" i="60"/>
  <c r="Z107" i="60"/>
  <c r="AK107" i="60"/>
  <c r="AL107" i="60"/>
  <c r="AM107" i="60"/>
  <c r="AN107" i="60"/>
  <c r="AO107" i="60"/>
  <c r="H108" i="60"/>
  <c r="N108" i="60"/>
  <c r="T108" i="60"/>
  <c r="Z108" i="60"/>
  <c r="AK108" i="60"/>
  <c r="AL108" i="60"/>
  <c r="AM108" i="60"/>
  <c r="AN108" i="60"/>
  <c r="AO108" i="60"/>
  <c r="H109" i="60"/>
  <c r="N109" i="60"/>
  <c r="T109" i="60"/>
  <c r="Z109" i="60"/>
  <c r="AK109" i="60"/>
  <c r="AL109" i="60"/>
  <c r="AM109" i="60"/>
  <c r="AN109" i="60"/>
  <c r="AO109" i="60"/>
  <c r="H110" i="60"/>
  <c r="N110" i="60"/>
  <c r="T110" i="60"/>
  <c r="Z110" i="60"/>
  <c r="AK110" i="60"/>
  <c r="AL110" i="60"/>
  <c r="AM110" i="60"/>
  <c r="AN110" i="60"/>
  <c r="AO110" i="60"/>
  <c r="H111" i="60"/>
  <c r="N111" i="60"/>
  <c r="T111" i="60"/>
  <c r="Z111" i="60"/>
  <c r="AK111" i="60"/>
  <c r="AL111" i="60"/>
  <c r="AM111" i="60"/>
  <c r="AN111" i="60"/>
  <c r="AO111" i="60"/>
  <c r="H112" i="60"/>
  <c r="N112" i="60"/>
  <c r="T112" i="60"/>
  <c r="Z112" i="60"/>
  <c r="AK112" i="60"/>
  <c r="AL112" i="60"/>
  <c r="AM112" i="60"/>
  <c r="AN112" i="60"/>
  <c r="AO112" i="60"/>
  <c r="H113" i="60"/>
  <c r="N113" i="60"/>
  <c r="T113" i="60"/>
  <c r="Z113" i="60"/>
  <c r="AK113" i="60"/>
  <c r="AL113" i="60"/>
  <c r="AM113" i="60"/>
  <c r="AN113" i="60"/>
  <c r="AO113" i="60"/>
  <c r="H114" i="60"/>
  <c r="N114" i="60"/>
  <c r="T114" i="60"/>
  <c r="Z114" i="60"/>
  <c r="AK114" i="60"/>
  <c r="AL114" i="60"/>
  <c r="AM114" i="60"/>
  <c r="AN114" i="60"/>
  <c r="AO114" i="60"/>
  <c r="H115" i="60"/>
  <c r="N115" i="60"/>
  <c r="T115" i="60"/>
  <c r="Z115" i="60"/>
  <c r="AK115" i="60"/>
  <c r="AL115" i="60"/>
  <c r="AM115" i="60"/>
  <c r="AN115" i="60"/>
  <c r="AO115" i="60"/>
  <c r="H116" i="60"/>
  <c r="N116" i="60"/>
  <c r="T116" i="60"/>
  <c r="Z116" i="60"/>
  <c r="AK116" i="60"/>
  <c r="AL116" i="60"/>
  <c r="AM116" i="60"/>
  <c r="AN116" i="60"/>
  <c r="AO116" i="60"/>
  <c r="H117" i="60"/>
  <c r="N117" i="60"/>
  <c r="T117" i="60"/>
  <c r="Z117" i="60"/>
  <c r="AK117" i="60"/>
  <c r="AL117" i="60"/>
  <c r="AM117" i="60"/>
  <c r="AN117" i="60"/>
  <c r="AO117" i="60"/>
  <c r="H118" i="60"/>
  <c r="N118" i="60"/>
  <c r="T118" i="60"/>
  <c r="Z118" i="60"/>
  <c r="AK118" i="60"/>
  <c r="AL118" i="60"/>
  <c r="AM118" i="60"/>
  <c r="AN118" i="60"/>
  <c r="AO118" i="60"/>
  <c r="H119" i="60"/>
  <c r="N119" i="60"/>
  <c r="T119" i="60"/>
  <c r="Z119" i="60"/>
  <c r="AK119" i="60"/>
  <c r="AL119" i="60"/>
  <c r="AM119" i="60"/>
  <c r="AN119" i="60"/>
  <c r="AO119" i="60"/>
  <c r="H120" i="60"/>
  <c r="N120" i="60"/>
  <c r="T120" i="60"/>
  <c r="Z120" i="60"/>
  <c r="AK120" i="60"/>
  <c r="AL120" i="60"/>
  <c r="AM120" i="60"/>
  <c r="AN120" i="60"/>
  <c r="AO120" i="60"/>
  <c r="H121" i="60"/>
  <c r="N121" i="60"/>
  <c r="T121" i="60"/>
  <c r="Z121" i="60"/>
  <c r="AK121" i="60"/>
  <c r="AL121" i="60"/>
  <c r="AM121" i="60"/>
  <c r="AN121" i="60"/>
  <c r="AO121" i="60"/>
  <c r="H122" i="60"/>
  <c r="N122" i="60"/>
  <c r="T122" i="60"/>
  <c r="Z122" i="60"/>
  <c r="AK122" i="60"/>
  <c r="AL122" i="60"/>
  <c r="AM122" i="60"/>
  <c r="AN122" i="60"/>
  <c r="AO122" i="60"/>
  <c r="H123" i="60"/>
  <c r="N123" i="60"/>
  <c r="T123" i="60"/>
  <c r="Z123" i="60"/>
  <c r="AK123" i="60"/>
  <c r="AL123" i="60"/>
  <c r="AM123" i="60"/>
  <c r="AN123" i="60"/>
  <c r="AO123" i="60"/>
  <c r="H124" i="60"/>
  <c r="N124" i="60"/>
  <c r="T124" i="60"/>
  <c r="Z124" i="60"/>
  <c r="AK124" i="60"/>
  <c r="AL124" i="60"/>
  <c r="AM124" i="60"/>
  <c r="AN124" i="60"/>
  <c r="AO124" i="60"/>
  <c r="H125" i="60"/>
  <c r="N125" i="60"/>
  <c r="T125" i="60"/>
  <c r="Z125" i="60"/>
  <c r="AK125" i="60"/>
  <c r="AL125" i="60"/>
  <c r="AM125" i="60"/>
  <c r="AN125" i="60"/>
  <c r="AO125" i="60"/>
  <c r="H126" i="60"/>
  <c r="N126" i="60"/>
  <c r="T126" i="60"/>
  <c r="Z126" i="60"/>
  <c r="AK126" i="60"/>
  <c r="AL126" i="60"/>
  <c r="AM126" i="60"/>
  <c r="AN126" i="60"/>
  <c r="AO126" i="60"/>
  <c r="H127" i="60"/>
  <c r="N127" i="60"/>
  <c r="T127" i="60"/>
  <c r="Z127" i="60"/>
  <c r="AK127" i="60"/>
  <c r="AL127" i="60"/>
  <c r="AM127" i="60"/>
  <c r="AN127" i="60"/>
  <c r="AO127" i="60"/>
  <c r="H128" i="60"/>
  <c r="N128" i="60"/>
  <c r="T128" i="60"/>
  <c r="Z128" i="60"/>
  <c r="AK128" i="60"/>
  <c r="AL128" i="60"/>
  <c r="AM128" i="60"/>
  <c r="AN128" i="60"/>
  <c r="AO128" i="60"/>
  <c r="H129" i="60"/>
  <c r="N129" i="60"/>
  <c r="T129" i="60"/>
  <c r="Z129" i="60"/>
  <c r="AK129" i="60"/>
  <c r="AL129" i="60"/>
  <c r="AM129" i="60"/>
  <c r="AN129" i="60"/>
  <c r="AO129" i="60"/>
  <c r="H130" i="60"/>
  <c r="N130" i="60"/>
  <c r="T130" i="60"/>
  <c r="Z130" i="60"/>
  <c r="AK130" i="60"/>
  <c r="AL130" i="60"/>
  <c r="AM130" i="60"/>
  <c r="AN130" i="60"/>
  <c r="AO130" i="60"/>
  <c r="H131" i="60"/>
  <c r="N131" i="60"/>
  <c r="T131" i="60"/>
  <c r="Z131" i="60"/>
  <c r="AK131" i="60"/>
  <c r="AL131" i="60"/>
  <c r="AM131" i="60"/>
  <c r="AN131" i="60"/>
  <c r="AO131" i="60"/>
  <c r="H132" i="60"/>
  <c r="N132" i="60"/>
  <c r="T132" i="60"/>
  <c r="Z132" i="60"/>
  <c r="AK132" i="60"/>
  <c r="AL132" i="60"/>
  <c r="AM132" i="60"/>
  <c r="AN132" i="60"/>
  <c r="AO132" i="60"/>
  <c r="H133" i="60"/>
  <c r="N133" i="60"/>
  <c r="T133" i="60"/>
  <c r="Z133" i="60"/>
  <c r="AK133" i="60"/>
  <c r="AL133" i="60"/>
  <c r="AM133" i="60"/>
  <c r="AN133" i="60"/>
  <c r="AO133" i="60"/>
  <c r="H134" i="60"/>
  <c r="N134" i="60"/>
  <c r="T134" i="60"/>
  <c r="Z134" i="60"/>
  <c r="AK134" i="60"/>
  <c r="AL134" i="60"/>
  <c r="AM134" i="60"/>
  <c r="AN134" i="60"/>
  <c r="AO134" i="60"/>
  <c r="H135" i="60"/>
  <c r="N135" i="60"/>
  <c r="T135" i="60"/>
  <c r="Z135" i="60"/>
  <c r="AK135" i="60"/>
  <c r="AL135" i="60"/>
  <c r="AM135" i="60"/>
  <c r="AN135" i="60"/>
  <c r="AO135" i="60"/>
  <c r="H136" i="60"/>
  <c r="N136" i="60"/>
  <c r="T136" i="60"/>
  <c r="Z136" i="60"/>
  <c r="AK136" i="60"/>
  <c r="AL136" i="60"/>
  <c r="AM136" i="60"/>
  <c r="AN136" i="60"/>
  <c r="AO136" i="60"/>
  <c r="H137" i="60"/>
  <c r="N137" i="60"/>
  <c r="T137" i="60"/>
  <c r="Z137" i="60"/>
  <c r="AK137" i="60"/>
  <c r="AL137" i="60"/>
  <c r="AM137" i="60"/>
  <c r="AN137" i="60"/>
  <c r="AO137" i="60"/>
  <c r="H138" i="60"/>
  <c r="N138" i="60"/>
  <c r="T138" i="60"/>
  <c r="Z138" i="60"/>
  <c r="AK138" i="60"/>
  <c r="AL138" i="60"/>
  <c r="AM138" i="60"/>
  <c r="AN138" i="60"/>
  <c r="AO138" i="60"/>
  <c r="H139" i="60"/>
  <c r="N139" i="60"/>
  <c r="T139" i="60"/>
  <c r="Z139" i="60"/>
  <c r="AK139" i="60"/>
  <c r="AL139" i="60"/>
  <c r="AM139" i="60"/>
  <c r="AN139" i="60"/>
  <c r="AO139" i="60"/>
  <c r="H140" i="60"/>
  <c r="N140" i="60"/>
  <c r="T140" i="60"/>
  <c r="Z140" i="60"/>
  <c r="AK140" i="60"/>
  <c r="AL140" i="60"/>
  <c r="AM140" i="60"/>
  <c r="AN140" i="60"/>
  <c r="AO140" i="60"/>
  <c r="H141" i="60"/>
  <c r="N141" i="60"/>
  <c r="T141" i="60"/>
  <c r="Z141" i="60"/>
  <c r="AK141" i="60"/>
  <c r="AL141" i="60"/>
  <c r="AM141" i="60"/>
  <c r="AN141" i="60"/>
  <c r="AO141" i="60"/>
  <c r="H142" i="60"/>
  <c r="N142" i="60"/>
  <c r="T142" i="60"/>
  <c r="Z142" i="60"/>
  <c r="AK142" i="60"/>
  <c r="AL142" i="60"/>
  <c r="AM142" i="60"/>
  <c r="AN142" i="60"/>
  <c r="AO142" i="60"/>
  <c r="H143" i="60"/>
  <c r="N143" i="60"/>
  <c r="T143" i="60"/>
  <c r="Z143" i="60"/>
  <c r="AK143" i="60"/>
  <c r="AL143" i="60"/>
  <c r="AM143" i="60"/>
  <c r="AN143" i="60"/>
  <c r="AO143" i="60"/>
  <c r="H144" i="60"/>
  <c r="N144" i="60"/>
  <c r="T144" i="60"/>
  <c r="Z144" i="60"/>
  <c r="AK144" i="60"/>
  <c r="AL144" i="60"/>
  <c r="AM144" i="60"/>
  <c r="AN144" i="60"/>
  <c r="AO144" i="60"/>
  <c r="H145" i="60"/>
  <c r="N145" i="60"/>
  <c r="T145" i="60"/>
  <c r="Z145" i="60"/>
  <c r="AK145" i="60"/>
  <c r="AL145" i="60"/>
  <c r="AM145" i="60"/>
  <c r="AN145" i="60"/>
  <c r="AO145" i="60"/>
  <c r="H146" i="60"/>
  <c r="N146" i="60"/>
  <c r="T146" i="60"/>
  <c r="Z146" i="60"/>
  <c r="AK146" i="60"/>
  <c r="AL146" i="60"/>
  <c r="AM146" i="60"/>
  <c r="AN146" i="60"/>
  <c r="AO146" i="60"/>
  <c r="H147" i="60"/>
  <c r="N147" i="60"/>
  <c r="T147" i="60"/>
  <c r="Z147" i="60"/>
  <c r="AK147" i="60"/>
  <c r="AL147" i="60"/>
  <c r="AM147" i="60"/>
  <c r="AN147" i="60"/>
  <c r="AO147" i="60"/>
  <c r="H148" i="60"/>
  <c r="N148" i="60"/>
  <c r="T148" i="60"/>
  <c r="Z148" i="60"/>
  <c r="AK148" i="60"/>
  <c r="AL148" i="60"/>
  <c r="AM148" i="60"/>
  <c r="AN148" i="60"/>
  <c r="AO148" i="60"/>
  <c r="H149" i="60"/>
  <c r="N149" i="60"/>
  <c r="T149" i="60"/>
  <c r="Z149" i="60"/>
  <c r="AK149" i="60"/>
  <c r="AL149" i="60"/>
  <c r="AM149" i="60"/>
  <c r="AN149" i="60"/>
  <c r="AO149" i="60"/>
  <c r="H150" i="60"/>
  <c r="N150" i="60"/>
  <c r="T150" i="60"/>
  <c r="Z150" i="60"/>
  <c r="AK150" i="60"/>
  <c r="AL150" i="60"/>
  <c r="AM150" i="60"/>
  <c r="AN150" i="60"/>
  <c r="AO150" i="60"/>
  <c r="H151" i="60"/>
  <c r="N151" i="60"/>
  <c r="T151" i="60"/>
  <c r="Z151" i="60"/>
  <c r="AK151" i="60"/>
  <c r="AL151" i="60"/>
  <c r="AM151" i="60"/>
  <c r="AN151" i="60"/>
  <c r="AO151" i="60"/>
  <c r="H152" i="60"/>
  <c r="N152" i="60"/>
  <c r="T152" i="60"/>
  <c r="Z152" i="60"/>
  <c r="AK152" i="60"/>
  <c r="AL152" i="60"/>
  <c r="AM152" i="60"/>
  <c r="AN152" i="60"/>
  <c r="AO152" i="60"/>
  <c r="H153" i="60"/>
  <c r="N153" i="60"/>
  <c r="T153" i="60"/>
  <c r="Z153" i="60"/>
  <c r="AK153" i="60"/>
  <c r="AL153" i="60"/>
  <c r="AM153" i="60"/>
  <c r="AN153" i="60"/>
  <c r="AO153" i="60"/>
  <c r="H154" i="60"/>
  <c r="N154" i="60"/>
  <c r="T154" i="60"/>
  <c r="Z154" i="60"/>
  <c r="AK154" i="60"/>
  <c r="AL154" i="60"/>
  <c r="AM154" i="60"/>
  <c r="AN154" i="60"/>
  <c r="AO154" i="60"/>
  <c r="H155" i="60"/>
  <c r="N155" i="60"/>
  <c r="T155" i="60"/>
  <c r="Z155" i="60"/>
  <c r="AK155" i="60"/>
  <c r="AL155" i="60"/>
  <c r="AM155" i="60"/>
  <c r="AN155" i="60"/>
  <c r="AO155" i="60"/>
  <c r="H156" i="60"/>
  <c r="N156" i="60"/>
  <c r="T156" i="60"/>
  <c r="Z156" i="60"/>
  <c r="AK156" i="60"/>
  <c r="AL156" i="60"/>
  <c r="AM156" i="60"/>
  <c r="AN156" i="60"/>
  <c r="AO156" i="60"/>
  <c r="H157" i="60"/>
  <c r="N157" i="60"/>
  <c r="T157" i="60"/>
  <c r="Z157" i="60"/>
  <c r="AK157" i="60"/>
  <c r="AL157" i="60"/>
  <c r="AM157" i="60"/>
  <c r="AN157" i="60"/>
  <c r="AO157" i="60"/>
  <c r="H158" i="60"/>
  <c r="N158" i="60"/>
  <c r="T158" i="60"/>
  <c r="Z158" i="60"/>
  <c r="AK158" i="60"/>
  <c r="AL158" i="60"/>
  <c r="AM158" i="60"/>
  <c r="AN158" i="60"/>
  <c r="AO158" i="60"/>
  <c r="H159" i="60"/>
  <c r="N159" i="60"/>
  <c r="T159" i="60"/>
  <c r="Z159" i="60"/>
  <c r="AK159" i="60"/>
  <c r="AL159" i="60"/>
  <c r="AM159" i="60"/>
  <c r="AN159" i="60"/>
  <c r="AO159" i="60"/>
  <c r="H160" i="60"/>
  <c r="N160" i="60"/>
  <c r="T160" i="60"/>
  <c r="Z160" i="60"/>
  <c r="AK160" i="60"/>
  <c r="AL160" i="60"/>
  <c r="AM160" i="60"/>
  <c r="AN160" i="60"/>
  <c r="AO160" i="60"/>
  <c r="H161" i="60"/>
  <c r="N161" i="60"/>
  <c r="T161" i="60"/>
  <c r="Z161" i="60"/>
  <c r="AK161" i="60"/>
  <c r="AL161" i="60"/>
  <c r="AM161" i="60"/>
  <c r="AN161" i="60"/>
  <c r="AO161" i="60"/>
  <c r="H162" i="60"/>
  <c r="N162" i="60"/>
  <c r="T162" i="60"/>
  <c r="Z162" i="60"/>
  <c r="AK162" i="60"/>
  <c r="AL162" i="60"/>
  <c r="AM162" i="60"/>
  <c r="AN162" i="60"/>
  <c r="AO162" i="60"/>
  <c r="H163" i="60"/>
  <c r="N163" i="60"/>
  <c r="T163" i="60"/>
  <c r="Z163" i="60"/>
  <c r="AK163" i="60"/>
  <c r="AL163" i="60"/>
  <c r="AM163" i="60"/>
  <c r="AN163" i="60"/>
  <c r="AO163" i="60"/>
  <c r="H164" i="60"/>
  <c r="N164" i="60"/>
  <c r="T164" i="60"/>
  <c r="Z164" i="60"/>
  <c r="AK164" i="60"/>
  <c r="AL164" i="60"/>
  <c r="AM164" i="60"/>
  <c r="AN164" i="60"/>
  <c r="AO164" i="60"/>
  <c r="H165" i="60"/>
  <c r="N165" i="60"/>
  <c r="T165" i="60"/>
  <c r="Z165" i="60"/>
  <c r="AK165" i="60"/>
  <c r="AL165" i="60"/>
  <c r="AM165" i="60"/>
  <c r="AN165" i="60"/>
  <c r="AO165" i="60"/>
  <c r="H166" i="60"/>
  <c r="N166" i="60"/>
  <c r="T166" i="60"/>
  <c r="Z166" i="60"/>
  <c r="AK166" i="60"/>
  <c r="AL166" i="60"/>
  <c r="AM166" i="60"/>
  <c r="AN166" i="60"/>
  <c r="AO166" i="60"/>
  <c r="H167" i="60"/>
  <c r="N167" i="60"/>
  <c r="T167" i="60"/>
  <c r="Z167" i="60"/>
  <c r="AK167" i="60"/>
  <c r="AL167" i="60"/>
  <c r="AM167" i="60"/>
  <c r="AN167" i="60"/>
  <c r="AO167" i="60"/>
  <c r="H168" i="60"/>
  <c r="N168" i="60"/>
  <c r="T168" i="60"/>
  <c r="Z168" i="60"/>
  <c r="AK168" i="60"/>
  <c r="AL168" i="60"/>
  <c r="AM168" i="60"/>
  <c r="AN168" i="60"/>
  <c r="AO168" i="60"/>
  <c r="H169" i="60"/>
  <c r="N169" i="60"/>
  <c r="T169" i="60"/>
  <c r="Z169" i="60"/>
  <c r="AK169" i="60"/>
  <c r="AL169" i="60"/>
  <c r="AM169" i="60"/>
  <c r="AN169" i="60"/>
  <c r="AO169" i="60"/>
  <c r="H170" i="60"/>
  <c r="N170" i="60"/>
  <c r="T170" i="60"/>
  <c r="Z170" i="60"/>
  <c r="AK170" i="60"/>
  <c r="AL170" i="60"/>
  <c r="AM170" i="60"/>
  <c r="AN170" i="60"/>
  <c r="AO170" i="60"/>
  <c r="H171" i="60"/>
  <c r="N171" i="60"/>
  <c r="T171" i="60"/>
  <c r="Z171" i="60"/>
  <c r="AK171" i="60"/>
  <c r="AL171" i="60"/>
  <c r="AM171" i="60"/>
  <c r="AN171" i="60"/>
  <c r="AO171" i="60"/>
  <c r="H172" i="60"/>
  <c r="N172" i="60"/>
  <c r="T172" i="60"/>
  <c r="Z172" i="60"/>
  <c r="AK172" i="60"/>
  <c r="AL172" i="60"/>
  <c r="AM172" i="60"/>
  <c r="AN172" i="60"/>
  <c r="AO172" i="60"/>
  <c r="H173" i="60"/>
  <c r="N173" i="60"/>
  <c r="T173" i="60"/>
  <c r="Z173" i="60"/>
  <c r="AK173" i="60"/>
  <c r="AL173" i="60"/>
  <c r="AM173" i="60"/>
  <c r="AN173" i="60"/>
  <c r="AO173" i="60"/>
  <c r="H174" i="60"/>
  <c r="N174" i="60"/>
  <c r="T174" i="60"/>
  <c r="Z174" i="60"/>
  <c r="AK174" i="60"/>
  <c r="AL174" i="60"/>
  <c r="AM174" i="60"/>
  <c r="AN174" i="60"/>
  <c r="AO174" i="60"/>
  <c r="H175" i="60"/>
  <c r="N175" i="60"/>
  <c r="T175" i="60"/>
  <c r="Z175" i="60"/>
  <c r="AK175" i="60"/>
  <c r="AL175" i="60"/>
  <c r="AM175" i="60"/>
  <c r="AN175" i="60"/>
  <c r="AO175" i="60"/>
  <c r="H176" i="60"/>
  <c r="N176" i="60"/>
  <c r="T176" i="60"/>
  <c r="Z176" i="60"/>
  <c r="AK176" i="60"/>
  <c r="AL176" i="60"/>
  <c r="AM176" i="60"/>
  <c r="AN176" i="60"/>
  <c r="AO176" i="60"/>
  <c r="H177" i="60"/>
  <c r="N177" i="60"/>
  <c r="T177" i="60"/>
  <c r="Z177" i="60"/>
  <c r="AK177" i="60"/>
  <c r="AL177" i="60"/>
  <c r="AM177" i="60"/>
  <c r="AN177" i="60"/>
  <c r="AO177" i="60"/>
  <c r="H178" i="60"/>
  <c r="N178" i="60"/>
  <c r="T178" i="60"/>
  <c r="Z178" i="60"/>
  <c r="AK178" i="60"/>
  <c r="AL178" i="60"/>
  <c r="AM178" i="60"/>
  <c r="AN178" i="60"/>
  <c r="AO178" i="60"/>
  <c r="H179" i="60"/>
  <c r="N179" i="60"/>
  <c r="T179" i="60"/>
  <c r="Z179" i="60"/>
  <c r="AK179" i="60"/>
  <c r="AL179" i="60"/>
  <c r="AM179" i="60"/>
  <c r="AN179" i="60"/>
  <c r="AO179" i="60"/>
  <c r="H180" i="60"/>
  <c r="N180" i="60"/>
  <c r="T180" i="60"/>
  <c r="Z180" i="60"/>
  <c r="AK180" i="60"/>
  <c r="AL180" i="60"/>
  <c r="AM180" i="60"/>
  <c r="AN180" i="60"/>
  <c r="AO180" i="60"/>
  <c r="H181" i="60"/>
  <c r="N181" i="60"/>
  <c r="T181" i="60"/>
  <c r="Z181" i="60"/>
  <c r="AK181" i="60"/>
  <c r="AL181" i="60"/>
  <c r="AM181" i="60"/>
  <c r="AN181" i="60"/>
  <c r="AO181" i="60"/>
  <c r="H182" i="60"/>
  <c r="N182" i="60"/>
  <c r="T182" i="60"/>
  <c r="Z182" i="60"/>
  <c r="AK182" i="60"/>
  <c r="AL182" i="60"/>
  <c r="AM182" i="60"/>
  <c r="AN182" i="60"/>
  <c r="AO182" i="60"/>
  <c r="H183" i="60"/>
  <c r="N183" i="60"/>
  <c r="T183" i="60"/>
  <c r="Z183" i="60"/>
  <c r="AK183" i="60"/>
  <c r="AL183" i="60"/>
  <c r="AM183" i="60"/>
  <c r="AN183" i="60"/>
  <c r="AO183" i="60"/>
  <c r="H184" i="60"/>
  <c r="N184" i="60"/>
  <c r="T184" i="60"/>
  <c r="Z184" i="60"/>
  <c r="AK184" i="60"/>
  <c r="AL184" i="60"/>
  <c r="AM184" i="60"/>
  <c r="AN184" i="60"/>
  <c r="AO184" i="60"/>
  <c r="H185" i="60"/>
  <c r="N185" i="60"/>
  <c r="T185" i="60"/>
  <c r="Z185" i="60"/>
  <c r="AK185" i="60"/>
  <c r="AL185" i="60"/>
  <c r="AM185" i="60"/>
  <c r="AN185" i="60"/>
  <c r="AO185" i="60"/>
  <c r="H186" i="60"/>
  <c r="N186" i="60"/>
  <c r="T186" i="60"/>
  <c r="Z186" i="60"/>
  <c r="AK186" i="60"/>
  <c r="AL186" i="60"/>
  <c r="AM186" i="60"/>
  <c r="AN186" i="60"/>
  <c r="AO186" i="60"/>
  <c r="H187" i="60"/>
  <c r="N187" i="60"/>
  <c r="T187" i="60"/>
  <c r="Z187" i="60"/>
  <c r="AK187" i="60"/>
  <c r="AL187" i="60"/>
  <c r="AM187" i="60"/>
  <c r="AN187" i="60"/>
  <c r="AO187" i="60"/>
  <c r="H188" i="60"/>
  <c r="N188" i="60"/>
  <c r="T188" i="60"/>
  <c r="Z188" i="60"/>
  <c r="AK188" i="60"/>
  <c r="AL188" i="60"/>
  <c r="AM188" i="60"/>
  <c r="AN188" i="60"/>
  <c r="AO188" i="60"/>
  <c r="H189" i="60"/>
  <c r="N189" i="60"/>
  <c r="T189" i="60"/>
  <c r="Z189" i="60"/>
  <c r="AK189" i="60"/>
  <c r="AL189" i="60"/>
  <c r="AM189" i="60"/>
  <c r="AN189" i="60"/>
  <c r="AO189" i="60"/>
  <c r="H190" i="60"/>
  <c r="N190" i="60"/>
  <c r="T190" i="60"/>
  <c r="Z190" i="60"/>
  <c r="AK190" i="60"/>
  <c r="AL190" i="60"/>
  <c r="AM190" i="60"/>
  <c r="AN190" i="60"/>
  <c r="AO190" i="60"/>
  <c r="H191" i="60"/>
  <c r="N191" i="60"/>
  <c r="T191" i="60"/>
  <c r="Z191" i="60"/>
  <c r="AK191" i="60"/>
  <c r="AL191" i="60"/>
  <c r="AM191" i="60"/>
  <c r="AN191" i="60"/>
  <c r="AO191" i="60"/>
  <c r="H192" i="60"/>
  <c r="N192" i="60"/>
  <c r="T192" i="60"/>
  <c r="Z192" i="60"/>
  <c r="AK192" i="60"/>
  <c r="AL192" i="60"/>
  <c r="AM192" i="60"/>
  <c r="AN192" i="60"/>
  <c r="AO192" i="60"/>
  <c r="H193" i="60"/>
  <c r="N193" i="60"/>
  <c r="T193" i="60"/>
  <c r="Z193" i="60"/>
  <c r="AK193" i="60"/>
  <c r="AL193" i="60"/>
  <c r="AM193" i="60"/>
  <c r="AN193" i="60"/>
  <c r="AO193" i="60"/>
  <c r="H194" i="60"/>
  <c r="N194" i="60"/>
  <c r="T194" i="60"/>
  <c r="Z194" i="60"/>
  <c r="AK194" i="60"/>
  <c r="AL194" i="60"/>
  <c r="AM194" i="60"/>
  <c r="AN194" i="60"/>
  <c r="AO194" i="60"/>
  <c r="H195" i="60"/>
  <c r="N195" i="60"/>
  <c r="T195" i="60"/>
  <c r="Z195" i="60"/>
  <c r="AK195" i="60"/>
  <c r="AL195" i="60"/>
  <c r="AM195" i="60"/>
  <c r="AN195" i="60"/>
  <c r="AO195" i="60"/>
  <c r="H196" i="60"/>
  <c r="N196" i="60"/>
  <c r="T196" i="60"/>
  <c r="Z196" i="60"/>
  <c r="AK196" i="60"/>
  <c r="AL196" i="60"/>
  <c r="AM196" i="60"/>
  <c r="AN196" i="60"/>
  <c r="AO196" i="60"/>
  <c r="H197" i="60"/>
  <c r="N197" i="60"/>
  <c r="T197" i="60"/>
  <c r="Z197" i="60"/>
  <c r="AK197" i="60"/>
  <c r="AL197" i="60"/>
  <c r="AM197" i="60"/>
  <c r="AN197" i="60"/>
  <c r="AO197" i="60"/>
  <c r="H198" i="60"/>
  <c r="N198" i="60"/>
  <c r="T198" i="60"/>
  <c r="Z198" i="60"/>
  <c r="AK198" i="60"/>
  <c r="AL198" i="60"/>
  <c r="AM198" i="60"/>
  <c r="AN198" i="60"/>
  <c r="AO198" i="60"/>
  <c r="H199" i="60"/>
  <c r="N199" i="60"/>
  <c r="T199" i="60"/>
  <c r="Z199" i="60"/>
  <c r="AK199" i="60"/>
  <c r="AL199" i="60"/>
  <c r="AM199" i="60"/>
  <c r="AN199" i="60"/>
  <c r="AO199" i="60"/>
  <c r="H200" i="60"/>
  <c r="N200" i="60"/>
  <c r="T200" i="60"/>
  <c r="Z200" i="60"/>
  <c r="AK200" i="60"/>
  <c r="AL200" i="60"/>
  <c r="AM200" i="60"/>
  <c r="AN200" i="60"/>
  <c r="AO200" i="60"/>
  <c r="H201" i="60"/>
  <c r="N201" i="60"/>
  <c r="T201" i="60"/>
  <c r="Z201" i="60"/>
  <c r="AK201" i="60"/>
  <c r="AL201" i="60"/>
  <c r="AM201" i="60"/>
  <c r="AN201" i="60"/>
  <c r="AO201" i="60"/>
  <c r="H202" i="60"/>
  <c r="N202" i="60"/>
  <c r="T202" i="60"/>
  <c r="Z202" i="60"/>
  <c r="AK202" i="60"/>
  <c r="AL202" i="60"/>
  <c r="AM202" i="60"/>
  <c r="AN202" i="60"/>
  <c r="AO202" i="60"/>
  <c r="H203" i="60"/>
  <c r="N203" i="60"/>
  <c r="T203" i="60"/>
  <c r="Z203" i="60"/>
  <c r="AK203" i="60"/>
  <c r="AL203" i="60"/>
  <c r="AM203" i="60"/>
  <c r="AN203" i="60"/>
  <c r="AO203" i="60"/>
  <c r="H204" i="60"/>
  <c r="N204" i="60"/>
  <c r="T204" i="60"/>
  <c r="Z204" i="60"/>
  <c r="AK204" i="60"/>
  <c r="AL204" i="60"/>
  <c r="AM204" i="60"/>
  <c r="AN204" i="60"/>
  <c r="AO204" i="60"/>
  <c r="H205" i="60"/>
  <c r="N205" i="60"/>
  <c r="T205" i="60"/>
  <c r="Z205" i="60"/>
  <c r="AK205" i="60"/>
  <c r="AL205" i="60"/>
  <c r="AM205" i="60"/>
  <c r="AN205" i="60"/>
  <c r="AO205" i="60"/>
  <c r="H206" i="60"/>
  <c r="N206" i="60"/>
  <c r="T206" i="60"/>
  <c r="Z206" i="60"/>
  <c r="AK206" i="60"/>
  <c r="AL206" i="60"/>
  <c r="AM206" i="60"/>
  <c r="AN206" i="60"/>
  <c r="AO206" i="60"/>
  <c r="H207" i="60"/>
  <c r="N207" i="60"/>
  <c r="T207" i="60"/>
  <c r="Z207" i="60"/>
  <c r="AK207" i="60"/>
  <c r="AL207" i="60"/>
  <c r="AM207" i="60"/>
  <c r="AN207" i="60"/>
  <c r="AO207" i="60"/>
  <c r="H208" i="60"/>
  <c r="N208" i="60"/>
  <c r="T208" i="60"/>
  <c r="Z208" i="60"/>
  <c r="AK208" i="60"/>
  <c r="AL208" i="60"/>
  <c r="AM208" i="60"/>
  <c r="AN208" i="60"/>
  <c r="AO208" i="60"/>
  <c r="H209" i="60"/>
  <c r="N209" i="60"/>
  <c r="T209" i="60"/>
  <c r="Z209" i="60"/>
  <c r="AK209" i="60"/>
  <c r="AL209" i="60"/>
  <c r="AM209" i="60"/>
  <c r="AN209" i="60"/>
  <c r="AO209" i="60"/>
  <c r="H210" i="60"/>
  <c r="N210" i="60"/>
  <c r="T210" i="60"/>
  <c r="Z210" i="60"/>
  <c r="AK210" i="60"/>
  <c r="AL210" i="60"/>
  <c r="AM210" i="60"/>
  <c r="AN210" i="60"/>
  <c r="AO210" i="60"/>
  <c r="H211" i="60"/>
  <c r="N211" i="60"/>
  <c r="T211" i="60"/>
  <c r="Z211" i="60"/>
  <c r="AK211" i="60"/>
  <c r="AL211" i="60"/>
  <c r="AM211" i="60"/>
  <c r="AN211" i="60"/>
  <c r="AO211" i="60"/>
  <c r="H212" i="60"/>
  <c r="N212" i="60"/>
  <c r="T212" i="60"/>
  <c r="Z212" i="60"/>
  <c r="AK212" i="60"/>
  <c r="AL212" i="60"/>
  <c r="AM212" i="60"/>
  <c r="AN212" i="60"/>
  <c r="AO212" i="60"/>
  <c r="H213" i="60"/>
  <c r="N213" i="60"/>
  <c r="T213" i="60"/>
  <c r="Z213" i="60"/>
  <c r="AK213" i="60"/>
  <c r="AL213" i="60"/>
  <c r="AM213" i="60"/>
  <c r="AN213" i="60"/>
  <c r="AO213" i="60"/>
  <c r="H214" i="60"/>
  <c r="N214" i="60"/>
  <c r="T214" i="60"/>
  <c r="Z214" i="60"/>
  <c r="AK214" i="60"/>
  <c r="AL214" i="60"/>
  <c r="AM214" i="60"/>
  <c r="AN214" i="60"/>
  <c r="AO214" i="60"/>
  <c r="H215" i="60"/>
  <c r="N215" i="60"/>
  <c r="T215" i="60"/>
  <c r="Z215" i="60"/>
  <c r="AK215" i="60"/>
  <c r="AL215" i="60"/>
  <c r="AM215" i="60"/>
  <c r="AN215" i="60"/>
  <c r="AO215" i="60"/>
  <c r="H216" i="60"/>
  <c r="N216" i="60"/>
  <c r="T216" i="60"/>
  <c r="Z216" i="60"/>
  <c r="AK216" i="60"/>
  <c r="AL216" i="60"/>
  <c r="AM216" i="60"/>
  <c r="AN216" i="60"/>
  <c r="AO216" i="60"/>
  <c r="H217" i="60"/>
  <c r="N217" i="60"/>
  <c r="T217" i="60"/>
  <c r="Z217" i="60"/>
  <c r="AK217" i="60"/>
  <c r="AL217" i="60"/>
  <c r="AM217" i="60"/>
  <c r="AN217" i="60"/>
  <c r="AO217" i="60"/>
  <c r="H218" i="60"/>
  <c r="N218" i="60"/>
  <c r="T218" i="60"/>
  <c r="Z218" i="60"/>
  <c r="AK218" i="60"/>
  <c r="AL218" i="60"/>
  <c r="AM218" i="60"/>
  <c r="AN218" i="60"/>
  <c r="AO218" i="60"/>
  <c r="H219" i="60"/>
  <c r="N219" i="60"/>
  <c r="T219" i="60"/>
  <c r="Z219" i="60"/>
  <c r="AK219" i="60"/>
  <c r="AL219" i="60"/>
  <c r="AM219" i="60"/>
  <c r="AN219" i="60"/>
  <c r="AO219" i="60"/>
  <c r="H220" i="60"/>
  <c r="N220" i="60"/>
  <c r="T220" i="60"/>
  <c r="Z220" i="60"/>
  <c r="AK220" i="60"/>
  <c r="AL220" i="60"/>
  <c r="AM220" i="60"/>
  <c r="AN220" i="60"/>
  <c r="AO220" i="60"/>
  <c r="H221" i="60"/>
  <c r="N221" i="60"/>
  <c r="T221" i="60"/>
  <c r="Z221" i="60"/>
  <c r="AK221" i="60"/>
  <c r="AL221" i="60"/>
  <c r="AM221" i="60"/>
  <c r="AN221" i="60"/>
  <c r="AO221" i="60"/>
  <c r="H222" i="60"/>
  <c r="N222" i="60"/>
  <c r="T222" i="60"/>
  <c r="Z222" i="60"/>
  <c r="AK222" i="60"/>
  <c r="AL222" i="60"/>
  <c r="AM222" i="60"/>
  <c r="AN222" i="60"/>
  <c r="AO222" i="60"/>
  <c r="H223" i="60"/>
  <c r="N223" i="60"/>
  <c r="T223" i="60"/>
  <c r="Z223" i="60"/>
  <c r="AK223" i="60"/>
  <c r="AL223" i="60"/>
  <c r="AM223" i="60"/>
  <c r="AN223" i="60"/>
  <c r="AO223" i="60"/>
  <c r="H224" i="60"/>
  <c r="N224" i="60"/>
  <c r="T224" i="60"/>
  <c r="Z224" i="60"/>
  <c r="AK224" i="60"/>
  <c r="AL224" i="60"/>
  <c r="AM224" i="60"/>
  <c r="AN224" i="60"/>
  <c r="AO224" i="60"/>
  <c r="H225" i="60"/>
  <c r="N225" i="60"/>
  <c r="T225" i="60"/>
  <c r="Z225" i="60"/>
  <c r="AK225" i="60"/>
  <c r="AL225" i="60"/>
  <c r="AM225" i="60"/>
  <c r="AN225" i="60"/>
  <c r="AO225" i="60"/>
  <c r="H226" i="60"/>
  <c r="N226" i="60"/>
  <c r="T226" i="60"/>
  <c r="Z226" i="60"/>
  <c r="AK226" i="60"/>
  <c r="AL226" i="60"/>
  <c r="AM226" i="60"/>
  <c r="AN226" i="60"/>
  <c r="AO226" i="60"/>
  <c r="H227" i="60"/>
  <c r="N227" i="60"/>
  <c r="T227" i="60"/>
  <c r="Z227" i="60"/>
  <c r="AK227" i="60"/>
  <c r="H228" i="60"/>
  <c r="N228" i="60"/>
  <c r="T228" i="60"/>
  <c r="Z228" i="60"/>
  <c r="AK228" i="60"/>
  <c r="H229" i="60"/>
  <c r="N229" i="60"/>
  <c r="T229" i="60"/>
  <c r="Z229" i="60"/>
  <c r="AK229" i="60"/>
  <c r="H230" i="60"/>
  <c r="N230" i="60"/>
  <c r="T230" i="60"/>
  <c r="Z230" i="60"/>
  <c r="AK230" i="60"/>
  <c r="H233" i="60"/>
  <c r="N233" i="60"/>
  <c r="T233" i="60"/>
  <c r="Z233" i="60"/>
  <c r="AK233" i="60"/>
  <c r="AL233" i="60"/>
  <c r="AM233" i="60"/>
  <c r="AN233" i="60"/>
  <c r="AO233" i="60"/>
  <c r="H234" i="60"/>
  <c r="N234" i="60"/>
  <c r="T234" i="60"/>
  <c r="Z234" i="60"/>
  <c r="AK234" i="60"/>
  <c r="AL234" i="60"/>
  <c r="AM234" i="60"/>
  <c r="AN234" i="60"/>
  <c r="AO234" i="60"/>
  <c r="H235" i="60"/>
  <c r="N235" i="60"/>
  <c r="T235" i="60"/>
  <c r="Z235" i="60"/>
  <c r="AK235" i="60"/>
  <c r="AL235" i="60"/>
  <c r="AM235" i="60"/>
  <c r="AN235" i="60"/>
  <c r="AO235" i="60"/>
  <c r="H236" i="60"/>
  <c r="N236" i="60"/>
  <c r="T236" i="60"/>
  <c r="Z236" i="60"/>
  <c r="AK236" i="60"/>
  <c r="AL236" i="60"/>
  <c r="AM236" i="60"/>
  <c r="AN236" i="60"/>
  <c r="AO236" i="60"/>
  <c r="H237" i="60"/>
  <c r="N237" i="60"/>
  <c r="T237" i="60"/>
  <c r="Z237" i="60"/>
  <c r="AK237" i="60"/>
  <c r="AL237" i="60"/>
  <c r="AM237" i="60"/>
  <c r="AN237" i="60"/>
  <c r="AO237" i="60"/>
  <c r="H238" i="60"/>
  <c r="N238" i="60"/>
  <c r="T238" i="60"/>
  <c r="Z238" i="60"/>
  <c r="AK238" i="60"/>
  <c r="AL238" i="60"/>
  <c r="AM238" i="60"/>
  <c r="AN238" i="60"/>
  <c r="AO238" i="60"/>
  <c r="H239" i="60"/>
  <c r="N239" i="60"/>
  <c r="T239" i="60"/>
  <c r="Z239" i="60"/>
  <c r="AK239" i="60"/>
  <c r="AL239" i="60"/>
  <c r="AM239" i="60"/>
  <c r="AN239" i="60"/>
  <c r="AO239" i="60"/>
  <c r="H240" i="60"/>
  <c r="N240" i="60"/>
  <c r="T240" i="60"/>
  <c r="Z240" i="60"/>
  <c r="AK240" i="60"/>
  <c r="AL240" i="60"/>
  <c r="AM240" i="60"/>
  <c r="AN240" i="60"/>
  <c r="AO240" i="60"/>
  <c r="H241" i="60"/>
  <c r="N241" i="60"/>
  <c r="T241" i="60"/>
  <c r="Z241" i="60"/>
  <c r="AK241" i="60"/>
  <c r="AL241" i="60"/>
  <c r="AM241" i="60"/>
  <c r="AN241" i="60"/>
  <c r="AO241" i="60"/>
  <c r="H242" i="60"/>
  <c r="N242" i="60"/>
  <c r="T242" i="60"/>
  <c r="Z242" i="60"/>
  <c r="AK242" i="60"/>
  <c r="AL242" i="60"/>
  <c r="AM242" i="60"/>
  <c r="AN242" i="60"/>
  <c r="AO242" i="60"/>
  <c r="H243" i="60"/>
  <c r="N243" i="60"/>
  <c r="T243" i="60"/>
  <c r="Z243" i="60"/>
  <c r="AK243" i="60"/>
  <c r="AL243" i="60"/>
  <c r="AM243" i="60"/>
  <c r="AN243" i="60"/>
  <c r="AO243" i="60"/>
  <c r="H244" i="60"/>
  <c r="N244" i="60"/>
  <c r="T244" i="60"/>
  <c r="Z244" i="60"/>
  <c r="AK244" i="60"/>
  <c r="AL244" i="60"/>
  <c r="AM244" i="60"/>
  <c r="AN244" i="60"/>
  <c r="AO244" i="60"/>
  <c r="H245" i="60"/>
  <c r="N245" i="60"/>
  <c r="T245" i="60"/>
  <c r="Z245" i="60"/>
  <c r="AK245" i="60"/>
  <c r="AL245" i="60"/>
  <c r="AM245" i="60"/>
  <c r="AN245" i="60"/>
  <c r="AO245" i="60"/>
  <c r="H246" i="60"/>
  <c r="N246" i="60"/>
  <c r="T246" i="60"/>
  <c r="Z246" i="60"/>
  <c r="AK246" i="60"/>
  <c r="AL246" i="60"/>
  <c r="AM246" i="60"/>
  <c r="AN246" i="60"/>
  <c r="AO246" i="60"/>
  <c r="H247" i="60"/>
  <c r="N247" i="60"/>
  <c r="T247" i="60"/>
  <c r="Z247" i="60"/>
  <c r="AK247" i="60"/>
  <c r="AL247" i="60"/>
  <c r="AM247" i="60"/>
  <c r="AN247" i="60"/>
  <c r="AO247" i="60"/>
  <c r="H248" i="60"/>
  <c r="N248" i="60"/>
  <c r="T248" i="60"/>
  <c r="Z248" i="60"/>
  <c r="AK248" i="60"/>
  <c r="AL248" i="60"/>
  <c r="AM248" i="60"/>
  <c r="AN248" i="60"/>
  <c r="AO248" i="60"/>
  <c r="H249" i="60"/>
  <c r="N249" i="60"/>
  <c r="T249" i="60"/>
  <c r="Z249" i="60"/>
  <c r="AK249" i="60"/>
  <c r="AL249" i="60"/>
  <c r="AM249" i="60"/>
  <c r="AN249" i="60"/>
  <c r="AO249" i="60"/>
  <c r="H250" i="60"/>
  <c r="N250" i="60"/>
  <c r="T250" i="60"/>
  <c r="Z250" i="60"/>
  <c r="AK250" i="60"/>
  <c r="AL250" i="60"/>
  <c r="AM250" i="60"/>
  <c r="AN250" i="60"/>
  <c r="AO250" i="60"/>
  <c r="H251" i="60"/>
  <c r="N251" i="60"/>
  <c r="T251" i="60"/>
  <c r="Z251" i="60"/>
  <c r="AK251" i="60"/>
  <c r="AL251" i="60"/>
  <c r="AM251" i="60"/>
  <c r="AN251" i="60"/>
  <c r="AO251" i="60"/>
  <c r="H252" i="60"/>
  <c r="N252" i="60"/>
  <c r="T252" i="60"/>
  <c r="Z252" i="60"/>
  <c r="AK252" i="60"/>
  <c r="AL252" i="60"/>
  <c r="AM252" i="60"/>
  <c r="AN252" i="60"/>
  <c r="AO252" i="60"/>
  <c r="H253" i="60"/>
  <c r="N253" i="60"/>
  <c r="T253" i="60"/>
  <c r="Z253" i="60"/>
  <c r="AK253" i="60"/>
  <c r="AL253" i="60"/>
  <c r="AM253" i="60"/>
  <c r="AN253" i="60"/>
  <c r="AO253" i="60"/>
  <c r="H254" i="60"/>
  <c r="N254" i="60"/>
  <c r="T254" i="60"/>
  <c r="Z254" i="60"/>
  <c r="AK254" i="60"/>
  <c r="AL254" i="60"/>
  <c r="AM254" i="60"/>
  <c r="AN254" i="60"/>
  <c r="AO254" i="60"/>
  <c r="H255" i="60"/>
  <c r="N255" i="60"/>
  <c r="T255" i="60"/>
  <c r="Z255" i="60"/>
  <c r="AK255" i="60"/>
  <c r="AL255" i="60"/>
  <c r="AM255" i="60"/>
  <c r="AN255" i="60"/>
  <c r="AO255" i="60"/>
  <c r="H256" i="60"/>
  <c r="N256" i="60"/>
  <c r="T256" i="60"/>
  <c r="Z256" i="60"/>
  <c r="AK256" i="60"/>
  <c r="AL256" i="60"/>
  <c r="AM256" i="60"/>
  <c r="AN256" i="60"/>
  <c r="AO256" i="60"/>
  <c r="H257" i="60"/>
  <c r="N257" i="60"/>
  <c r="T257" i="60"/>
  <c r="Z257" i="60"/>
  <c r="AK257" i="60"/>
  <c r="AL257" i="60"/>
  <c r="AM257" i="60"/>
  <c r="AN257" i="60"/>
  <c r="AO257" i="60"/>
  <c r="H258" i="60"/>
  <c r="N258" i="60"/>
  <c r="T258" i="60"/>
  <c r="Z258" i="60"/>
  <c r="AK258" i="60"/>
  <c r="AL258" i="60"/>
  <c r="AM258" i="60"/>
  <c r="AN258" i="60"/>
  <c r="AO258" i="60"/>
  <c r="H259" i="60"/>
  <c r="N259" i="60"/>
  <c r="T259" i="60"/>
  <c r="Z259" i="60"/>
  <c r="AK259" i="60"/>
  <c r="AL259" i="60"/>
  <c r="AM259" i="60"/>
  <c r="AN259" i="60"/>
  <c r="AO259" i="60"/>
  <c r="H260" i="60"/>
  <c r="N260" i="60"/>
  <c r="T260" i="60"/>
  <c r="Z260" i="60"/>
  <c r="AK260" i="60"/>
  <c r="AL260" i="60"/>
  <c r="AM260" i="60"/>
  <c r="AN260" i="60"/>
  <c r="AO260" i="60"/>
  <c r="H261" i="60"/>
  <c r="N261" i="60"/>
  <c r="T261" i="60"/>
  <c r="Z261" i="60"/>
  <c r="AK261" i="60"/>
  <c r="AL261" i="60"/>
  <c r="AM261" i="60"/>
  <c r="AN261" i="60"/>
  <c r="AO261" i="60"/>
  <c r="H262" i="60"/>
  <c r="N262" i="60"/>
  <c r="T262" i="60"/>
  <c r="Z262" i="60"/>
  <c r="AK262" i="60"/>
  <c r="AL262" i="60"/>
  <c r="AM262" i="60"/>
  <c r="AN262" i="60"/>
  <c r="AO262" i="60"/>
  <c r="H263" i="60"/>
  <c r="N263" i="60"/>
  <c r="T263" i="60"/>
  <c r="Z263" i="60"/>
  <c r="AK263" i="60"/>
  <c r="AL263" i="60"/>
  <c r="AM263" i="60"/>
  <c r="AN263" i="60"/>
  <c r="AO263" i="60"/>
  <c r="H264" i="60"/>
  <c r="N264" i="60"/>
  <c r="T264" i="60"/>
  <c r="Z264" i="60"/>
  <c r="AK264" i="60"/>
  <c r="AL264" i="60"/>
  <c r="AM264" i="60"/>
  <c r="AN264" i="60"/>
  <c r="AO264" i="60"/>
  <c r="H265" i="60"/>
  <c r="N265" i="60"/>
  <c r="T265" i="60"/>
  <c r="Z265" i="60"/>
  <c r="AK265" i="60"/>
  <c r="AL265" i="60"/>
  <c r="AM265" i="60"/>
  <c r="AN265" i="60"/>
  <c r="AO265" i="60"/>
  <c r="H266" i="60"/>
  <c r="N266" i="60"/>
  <c r="T266" i="60"/>
  <c r="Z266" i="60"/>
  <c r="AK266" i="60"/>
  <c r="AL266" i="60"/>
  <c r="AM266" i="60"/>
  <c r="AN266" i="60"/>
  <c r="AO266" i="60"/>
  <c r="H267" i="60"/>
  <c r="N267" i="60"/>
  <c r="T267" i="60"/>
  <c r="Z267" i="60"/>
  <c r="AK267" i="60"/>
  <c r="AL267" i="60"/>
  <c r="AM267" i="60"/>
  <c r="AN267" i="60"/>
  <c r="AO267" i="60"/>
  <c r="H268" i="60"/>
  <c r="N268" i="60"/>
  <c r="T268" i="60"/>
  <c r="Z268" i="60"/>
  <c r="AK268" i="60"/>
  <c r="AL268" i="60"/>
  <c r="AM268" i="60"/>
  <c r="AN268" i="60"/>
  <c r="AO268" i="60"/>
  <c r="H269" i="60"/>
  <c r="N269" i="60"/>
  <c r="T269" i="60"/>
  <c r="Z269" i="60"/>
  <c r="AK269" i="60"/>
  <c r="AL269" i="60"/>
  <c r="AM269" i="60"/>
  <c r="AN269" i="60"/>
  <c r="AO269" i="60"/>
  <c r="H270" i="60"/>
  <c r="N270" i="60"/>
  <c r="T270" i="60"/>
  <c r="Z270" i="60"/>
  <c r="AK270" i="60"/>
  <c r="AL270" i="60"/>
  <c r="AM270" i="60"/>
  <c r="AN270" i="60"/>
  <c r="AO270" i="60"/>
  <c r="H271" i="60"/>
  <c r="N271" i="60"/>
  <c r="T271" i="60"/>
  <c r="Z271" i="60"/>
  <c r="AK271" i="60"/>
  <c r="AL271" i="60"/>
  <c r="AM271" i="60"/>
  <c r="AN271" i="60"/>
  <c r="AO271" i="60"/>
  <c r="H272" i="60"/>
  <c r="N272" i="60"/>
  <c r="T272" i="60"/>
  <c r="Z272" i="60"/>
  <c r="AK272" i="60"/>
  <c r="AL272" i="60"/>
  <c r="AM272" i="60"/>
  <c r="AN272" i="60"/>
  <c r="AO272" i="60"/>
  <c r="H273" i="60"/>
  <c r="N273" i="60"/>
  <c r="T273" i="60"/>
  <c r="Z273" i="60"/>
  <c r="AK273" i="60"/>
  <c r="AL273" i="60"/>
  <c r="AM273" i="60"/>
  <c r="AN273" i="60"/>
  <c r="AO273" i="60"/>
  <c r="H274" i="60"/>
  <c r="N274" i="60"/>
  <c r="T274" i="60"/>
  <c r="Z274" i="60"/>
  <c r="AK274" i="60"/>
  <c r="AL274" i="60"/>
  <c r="AM274" i="60"/>
  <c r="AN274" i="60"/>
  <c r="AO274" i="60"/>
  <c r="H275" i="60"/>
  <c r="N275" i="60"/>
  <c r="T275" i="60"/>
  <c r="Z275" i="60"/>
  <c r="AK275" i="60"/>
  <c r="AL275" i="60"/>
  <c r="AM275" i="60"/>
  <c r="AN275" i="60"/>
  <c r="AO275" i="60"/>
  <c r="H276" i="60"/>
  <c r="N276" i="60"/>
  <c r="T276" i="60"/>
  <c r="Z276" i="60"/>
  <c r="AK276" i="60"/>
  <c r="AL276" i="60"/>
  <c r="AM276" i="60"/>
  <c r="AN276" i="60"/>
  <c r="AO276" i="60"/>
  <c r="H277" i="60"/>
  <c r="N277" i="60"/>
  <c r="T277" i="60"/>
  <c r="Z277" i="60"/>
  <c r="AK277" i="60"/>
  <c r="AL277" i="60"/>
  <c r="AM277" i="60"/>
  <c r="AN277" i="60"/>
  <c r="AO277" i="60"/>
  <c r="H278" i="60"/>
  <c r="N278" i="60"/>
  <c r="T278" i="60"/>
  <c r="Z278" i="60"/>
  <c r="AK278" i="60"/>
  <c r="AL278" i="60"/>
  <c r="AM278" i="60"/>
  <c r="AN278" i="60"/>
  <c r="AO278" i="60"/>
  <c r="H279" i="60"/>
  <c r="N279" i="60"/>
  <c r="T279" i="60"/>
  <c r="Z279" i="60"/>
  <c r="AK279" i="60"/>
  <c r="AL279" i="60"/>
  <c r="AM279" i="60"/>
  <c r="AN279" i="60"/>
  <c r="AO279" i="60"/>
  <c r="H280" i="60"/>
  <c r="N280" i="60"/>
  <c r="T280" i="60"/>
  <c r="Z280" i="60"/>
  <c r="AK280" i="60"/>
  <c r="AL280" i="60"/>
  <c r="AM280" i="60"/>
  <c r="AN280" i="60"/>
  <c r="AO280" i="60"/>
  <c r="H281" i="60"/>
  <c r="N281" i="60"/>
  <c r="T281" i="60"/>
  <c r="Z281" i="60"/>
  <c r="AK281" i="60"/>
  <c r="AL281" i="60"/>
  <c r="AM281" i="60"/>
  <c r="AN281" i="60"/>
  <c r="AO281" i="60"/>
  <c r="H282" i="60"/>
  <c r="N282" i="60"/>
  <c r="T282" i="60"/>
  <c r="Z282" i="60"/>
  <c r="AK282" i="60"/>
  <c r="AL282" i="60"/>
  <c r="AM282" i="60"/>
  <c r="AN282" i="60"/>
  <c r="AO282" i="60"/>
  <c r="H283" i="60"/>
  <c r="N283" i="60"/>
  <c r="T283" i="60"/>
  <c r="Z283" i="60"/>
  <c r="AK283" i="60"/>
  <c r="AL283" i="60"/>
  <c r="AM283" i="60"/>
  <c r="AN283" i="60"/>
  <c r="AO283" i="60"/>
  <c r="H284" i="60"/>
  <c r="N284" i="60"/>
  <c r="T284" i="60"/>
  <c r="Z284" i="60"/>
  <c r="AK284" i="60"/>
  <c r="AL284" i="60"/>
  <c r="AM284" i="60"/>
  <c r="AN284" i="60"/>
  <c r="AO284" i="60"/>
  <c r="H285" i="60"/>
  <c r="N285" i="60"/>
  <c r="T285" i="60"/>
  <c r="Z285" i="60"/>
  <c r="AK285" i="60"/>
  <c r="AL285" i="60"/>
  <c r="AM285" i="60"/>
  <c r="AN285" i="60"/>
  <c r="AO285" i="60"/>
  <c r="H286" i="60"/>
  <c r="N286" i="60"/>
  <c r="T286" i="60"/>
  <c r="Z286" i="60"/>
  <c r="AK286" i="60"/>
  <c r="AL286" i="60"/>
  <c r="AM286" i="60"/>
  <c r="AN286" i="60"/>
  <c r="AO286" i="60"/>
  <c r="H287" i="60"/>
  <c r="N287" i="60"/>
  <c r="T287" i="60"/>
  <c r="Z287" i="60"/>
  <c r="AK287" i="60"/>
  <c r="AL287" i="60"/>
  <c r="AM287" i="60"/>
  <c r="AN287" i="60"/>
  <c r="AO287" i="60"/>
  <c r="H288" i="60"/>
  <c r="N288" i="60"/>
  <c r="T288" i="60"/>
  <c r="Z288" i="60"/>
  <c r="AK288" i="60"/>
  <c r="AL288" i="60"/>
  <c r="AM288" i="60"/>
  <c r="AN288" i="60"/>
  <c r="AO288" i="60"/>
  <c r="H289" i="60"/>
  <c r="N289" i="60"/>
  <c r="T289" i="60"/>
  <c r="Z289" i="60"/>
  <c r="AK289" i="60"/>
  <c r="AL289" i="60"/>
  <c r="AM289" i="60"/>
  <c r="AN289" i="60"/>
  <c r="AO289" i="60"/>
  <c r="H290" i="60"/>
  <c r="N290" i="60"/>
  <c r="T290" i="60"/>
  <c r="Z290" i="60"/>
  <c r="AK290" i="60"/>
  <c r="AL290" i="60"/>
  <c r="AM290" i="60"/>
  <c r="AN290" i="60"/>
  <c r="AO290" i="60"/>
  <c r="H291" i="60"/>
  <c r="N291" i="60"/>
  <c r="T291" i="60"/>
  <c r="Z291" i="60"/>
  <c r="AK291" i="60"/>
  <c r="AL291" i="60"/>
  <c r="AM291" i="60"/>
  <c r="AN291" i="60"/>
  <c r="AO291" i="60"/>
  <c r="H292" i="60"/>
  <c r="N292" i="60"/>
  <c r="T292" i="60"/>
  <c r="Z292" i="60"/>
  <c r="AK292" i="60"/>
  <c r="AL292" i="60"/>
  <c r="AM292" i="60"/>
  <c r="AN292" i="60"/>
  <c r="AO292" i="60"/>
  <c r="H293" i="60"/>
  <c r="N293" i="60"/>
  <c r="T293" i="60"/>
  <c r="Z293" i="60"/>
  <c r="AK293" i="60"/>
  <c r="AL293" i="60"/>
  <c r="AM293" i="60"/>
  <c r="AN293" i="60"/>
  <c r="AO293" i="60"/>
  <c r="H294" i="60"/>
  <c r="N294" i="60"/>
  <c r="T294" i="60"/>
  <c r="Z294" i="60"/>
  <c r="AK294" i="60"/>
  <c r="AL294" i="60"/>
  <c r="AM294" i="60"/>
  <c r="AN294" i="60"/>
  <c r="AO294" i="60"/>
  <c r="H295" i="60"/>
  <c r="N295" i="60"/>
  <c r="T295" i="60"/>
  <c r="Z295" i="60"/>
  <c r="AK295" i="60"/>
  <c r="AL295" i="60"/>
  <c r="AM295" i="60"/>
  <c r="AN295" i="60"/>
  <c r="AO295" i="60"/>
  <c r="H296" i="60"/>
  <c r="N296" i="60"/>
  <c r="T296" i="60"/>
  <c r="Z296" i="60"/>
  <c r="AK296" i="60"/>
  <c r="AL296" i="60"/>
  <c r="AM296" i="60"/>
  <c r="AN296" i="60"/>
  <c r="AO296" i="60"/>
  <c r="H297" i="60"/>
  <c r="N297" i="60"/>
  <c r="T297" i="60"/>
  <c r="Z297" i="60"/>
  <c r="AK297" i="60"/>
  <c r="AL297" i="60"/>
  <c r="AM297" i="60"/>
  <c r="AN297" i="60"/>
  <c r="AO297" i="60"/>
  <c r="H298" i="60"/>
  <c r="N298" i="60"/>
  <c r="T298" i="60"/>
  <c r="Z298" i="60"/>
  <c r="AK298" i="60"/>
  <c r="AL298" i="60"/>
  <c r="AM298" i="60"/>
  <c r="AN298" i="60"/>
  <c r="AO298" i="60"/>
  <c r="H299" i="60"/>
  <c r="N299" i="60"/>
  <c r="T299" i="60"/>
  <c r="Z299" i="60"/>
  <c r="AK299" i="60"/>
  <c r="AL299" i="60"/>
  <c r="AM299" i="60"/>
  <c r="AN299" i="60"/>
  <c r="AO299" i="60"/>
  <c r="H300" i="60"/>
  <c r="N300" i="60"/>
  <c r="T300" i="60"/>
  <c r="Z300" i="60"/>
  <c r="AK300" i="60"/>
  <c r="AL300" i="60"/>
  <c r="AM300" i="60"/>
  <c r="AN300" i="60"/>
  <c r="AO300" i="60"/>
  <c r="H301" i="60"/>
  <c r="N301" i="60"/>
  <c r="T301" i="60"/>
  <c r="Z301" i="60"/>
  <c r="AK301" i="60"/>
  <c r="AL301" i="60"/>
  <c r="AM301" i="60"/>
  <c r="AN301" i="60"/>
  <c r="AO301" i="60"/>
  <c r="H302" i="60"/>
  <c r="N302" i="60"/>
  <c r="T302" i="60"/>
  <c r="Z302" i="60"/>
  <c r="AK302" i="60"/>
  <c r="AL302" i="60"/>
  <c r="AM302" i="60"/>
  <c r="AN302" i="60"/>
  <c r="AO302" i="60"/>
  <c r="H303" i="60"/>
  <c r="N303" i="60"/>
  <c r="T303" i="60"/>
  <c r="Z303" i="60"/>
  <c r="AK303" i="60"/>
  <c r="AL303" i="60"/>
  <c r="AM303" i="60"/>
  <c r="AN303" i="60"/>
  <c r="AO303" i="60"/>
  <c r="H304" i="60"/>
  <c r="N304" i="60"/>
  <c r="T304" i="60"/>
  <c r="Z304" i="60"/>
  <c r="AK304" i="60"/>
  <c r="AL304" i="60"/>
  <c r="AM304" i="60"/>
  <c r="AN304" i="60"/>
  <c r="AO304" i="60"/>
  <c r="H305" i="60"/>
  <c r="N305" i="60"/>
  <c r="T305" i="60"/>
  <c r="Z305" i="60"/>
  <c r="AK305" i="60"/>
  <c r="AL305" i="60"/>
  <c r="AM305" i="60"/>
  <c r="AN305" i="60"/>
  <c r="AO305" i="60"/>
  <c r="H306" i="60"/>
  <c r="N306" i="60"/>
  <c r="T306" i="60"/>
  <c r="Z306" i="60"/>
  <c r="AK306" i="60"/>
  <c r="AL306" i="60"/>
  <c r="AM306" i="60"/>
  <c r="AN306" i="60"/>
  <c r="AO306" i="60"/>
  <c r="H307" i="60"/>
  <c r="N307" i="60"/>
  <c r="T307" i="60"/>
  <c r="Z307" i="60"/>
  <c r="AK307" i="60"/>
  <c r="AL307" i="60"/>
  <c r="AM307" i="60"/>
  <c r="AN307" i="60"/>
  <c r="AO307" i="60"/>
  <c r="H308" i="60"/>
  <c r="N308" i="60"/>
  <c r="T308" i="60"/>
  <c r="Z308" i="60"/>
  <c r="AK308" i="60"/>
  <c r="AL308" i="60"/>
  <c r="AM308" i="60"/>
  <c r="AN308" i="60"/>
  <c r="AO308" i="60"/>
  <c r="H309" i="60"/>
  <c r="N309" i="60"/>
  <c r="T309" i="60"/>
  <c r="Z309" i="60"/>
  <c r="AK309" i="60"/>
  <c r="AL309" i="60"/>
  <c r="AM309" i="60"/>
  <c r="AN309" i="60"/>
  <c r="AO309" i="60"/>
  <c r="H310" i="60"/>
  <c r="N310" i="60"/>
  <c r="T310" i="60"/>
  <c r="Z310" i="60"/>
  <c r="AK310" i="60"/>
  <c r="AL310" i="60"/>
  <c r="AM310" i="60"/>
  <c r="AN310" i="60"/>
  <c r="AO310" i="60"/>
  <c r="H311" i="60"/>
  <c r="N311" i="60"/>
  <c r="T311" i="60"/>
  <c r="Z311" i="60"/>
  <c r="AK311" i="60"/>
  <c r="AL311" i="60"/>
  <c r="AM311" i="60"/>
  <c r="AN311" i="60"/>
  <c r="AO311" i="60"/>
  <c r="H312" i="60"/>
  <c r="N312" i="60"/>
  <c r="T312" i="60"/>
  <c r="Z312" i="60"/>
  <c r="AK312" i="60"/>
  <c r="AL312" i="60"/>
  <c r="AM312" i="60"/>
  <c r="AN312" i="60"/>
  <c r="AO312" i="60"/>
  <c r="H313" i="60"/>
  <c r="N313" i="60"/>
  <c r="T313" i="60"/>
  <c r="Z313" i="60"/>
  <c r="AK313" i="60"/>
  <c r="AL313" i="60"/>
  <c r="AM313" i="60"/>
  <c r="AN313" i="60"/>
  <c r="AO313" i="60"/>
  <c r="H314" i="60"/>
  <c r="N314" i="60"/>
  <c r="T314" i="60"/>
  <c r="Z314" i="60"/>
  <c r="AK314" i="60"/>
  <c r="AL314" i="60"/>
  <c r="AM314" i="60"/>
  <c r="AN314" i="60"/>
  <c r="AO314" i="60"/>
  <c r="H315" i="60"/>
  <c r="N315" i="60"/>
  <c r="T315" i="60"/>
  <c r="Z315" i="60"/>
  <c r="AK315" i="60"/>
  <c r="AL315" i="60"/>
  <c r="AM315" i="60"/>
  <c r="AN315" i="60"/>
  <c r="AO315" i="60"/>
  <c r="H316" i="60"/>
  <c r="N316" i="60"/>
  <c r="T316" i="60"/>
  <c r="Z316" i="60"/>
  <c r="AK316" i="60"/>
  <c r="AL316" i="60"/>
  <c r="AM316" i="60"/>
  <c r="AN316" i="60"/>
  <c r="AO316" i="60"/>
  <c r="H317" i="60"/>
  <c r="N317" i="60"/>
  <c r="T317" i="60"/>
  <c r="Z317" i="60"/>
  <c r="AK317" i="60"/>
  <c r="AL317" i="60"/>
  <c r="AM317" i="60"/>
  <c r="AN317" i="60"/>
  <c r="AO317" i="60"/>
  <c r="H318" i="60"/>
  <c r="N318" i="60"/>
  <c r="T318" i="60"/>
  <c r="Z318" i="60"/>
  <c r="AK318" i="60"/>
  <c r="AL318" i="60"/>
  <c r="AM318" i="60"/>
  <c r="AN318" i="60"/>
  <c r="AO318" i="60"/>
  <c r="H319" i="60"/>
  <c r="N319" i="60"/>
  <c r="T319" i="60"/>
  <c r="Z319" i="60"/>
  <c r="AK319" i="60"/>
  <c r="AL319" i="60"/>
  <c r="AM319" i="60"/>
  <c r="AN319" i="60"/>
  <c r="AO319" i="60"/>
  <c r="H320" i="60"/>
  <c r="N320" i="60"/>
  <c r="T320" i="60"/>
  <c r="Z320" i="60"/>
  <c r="AK320" i="60"/>
  <c r="AL320" i="60"/>
  <c r="AM320" i="60"/>
  <c r="AN320" i="60"/>
  <c r="AO320" i="60"/>
  <c r="H321" i="60"/>
  <c r="N321" i="60"/>
  <c r="T321" i="60"/>
  <c r="Z321" i="60"/>
  <c r="AK321" i="60"/>
  <c r="AL321" i="60"/>
  <c r="AM321" i="60"/>
  <c r="AN321" i="60"/>
  <c r="AO321" i="60"/>
  <c r="H322" i="60"/>
  <c r="N322" i="60"/>
  <c r="T322" i="60"/>
  <c r="Z322" i="60"/>
  <c r="AK322" i="60"/>
  <c r="AL322" i="60"/>
  <c r="AM322" i="60"/>
  <c r="AN322" i="60"/>
  <c r="AO322" i="60"/>
  <c r="H323" i="60"/>
  <c r="N323" i="60"/>
  <c r="T323" i="60"/>
  <c r="Z323" i="60"/>
  <c r="AK323" i="60"/>
  <c r="AL323" i="60"/>
  <c r="AM323" i="60"/>
  <c r="AN323" i="60"/>
  <c r="AO323" i="60"/>
  <c r="H324" i="60"/>
  <c r="N324" i="60"/>
  <c r="T324" i="60"/>
  <c r="Z324" i="60"/>
  <c r="AK324" i="60"/>
  <c r="AL324" i="60"/>
  <c r="AM324" i="60"/>
  <c r="AN324" i="60"/>
  <c r="AO324" i="60"/>
  <c r="H325" i="60"/>
  <c r="N325" i="60"/>
  <c r="T325" i="60"/>
  <c r="Z325" i="60"/>
  <c r="AK325" i="60"/>
  <c r="AL325" i="60"/>
  <c r="AM325" i="60"/>
  <c r="AN325" i="60"/>
  <c r="AO325" i="60"/>
  <c r="H326" i="60"/>
  <c r="N326" i="60"/>
  <c r="T326" i="60"/>
  <c r="Z326" i="60"/>
  <c r="AK326" i="60"/>
  <c r="AL326" i="60"/>
  <c r="AM326" i="60"/>
  <c r="AN326" i="60"/>
  <c r="AO326" i="60"/>
  <c r="H327" i="60"/>
  <c r="N327" i="60"/>
  <c r="T327" i="60"/>
  <c r="Z327" i="60"/>
  <c r="AK327" i="60"/>
  <c r="AL327" i="60"/>
  <c r="AM327" i="60"/>
  <c r="AN327" i="60"/>
  <c r="AO327" i="60"/>
  <c r="H328" i="60"/>
  <c r="N328" i="60"/>
  <c r="T328" i="60"/>
  <c r="Z328" i="60"/>
  <c r="AK328" i="60"/>
  <c r="AL328" i="60"/>
  <c r="AM328" i="60"/>
  <c r="AN328" i="60"/>
  <c r="AO328" i="60"/>
  <c r="H329" i="60"/>
  <c r="N329" i="60"/>
  <c r="T329" i="60"/>
  <c r="Z329" i="60"/>
  <c r="AK329" i="60"/>
  <c r="AL329" i="60"/>
  <c r="AM329" i="60"/>
  <c r="AN329" i="60"/>
  <c r="AO329" i="60"/>
  <c r="H330" i="60"/>
  <c r="N330" i="60"/>
  <c r="T330" i="60"/>
  <c r="Z330" i="60"/>
  <c r="AK330" i="60"/>
  <c r="AL330" i="60"/>
  <c r="AM330" i="60"/>
  <c r="AN330" i="60"/>
  <c r="AO330" i="60"/>
  <c r="H331" i="60"/>
  <c r="N331" i="60"/>
  <c r="T331" i="60"/>
  <c r="Z331" i="60"/>
  <c r="AK331" i="60"/>
  <c r="AL331" i="60"/>
  <c r="AM331" i="60"/>
  <c r="AN331" i="60"/>
  <c r="AO331" i="60"/>
  <c r="H332" i="60"/>
  <c r="N332" i="60"/>
  <c r="T332" i="60"/>
  <c r="Z332" i="60"/>
  <c r="AK332" i="60"/>
  <c r="AL332" i="60"/>
  <c r="AM332" i="60"/>
  <c r="AN332" i="60"/>
  <c r="AO332" i="60"/>
  <c r="H333" i="60"/>
  <c r="N333" i="60"/>
  <c r="T333" i="60"/>
  <c r="Z333" i="60"/>
  <c r="AK333" i="60"/>
  <c r="AL333" i="60"/>
  <c r="AM333" i="60"/>
  <c r="AN333" i="60"/>
  <c r="AO333" i="60"/>
  <c r="H334" i="60"/>
  <c r="N334" i="60"/>
  <c r="T334" i="60"/>
  <c r="Z334" i="60"/>
  <c r="AK334" i="60"/>
  <c r="AL334" i="60"/>
  <c r="AM334" i="60"/>
  <c r="AN334" i="60"/>
  <c r="AO334" i="60"/>
  <c r="H335" i="60"/>
  <c r="N335" i="60"/>
  <c r="T335" i="60"/>
  <c r="Z335" i="60"/>
  <c r="AK335" i="60"/>
  <c r="AL335" i="60"/>
  <c r="AM335" i="60"/>
  <c r="AN335" i="60"/>
  <c r="AO335" i="60"/>
  <c r="H336" i="60"/>
  <c r="N336" i="60"/>
  <c r="T336" i="60"/>
  <c r="Z336" i="60"/>
  <c r="AK336" i="60"/>
  <c r="AL336" i="60"/>
  <c r="AM336" i="60"/>
  <c r="AN336" i="60"/>
  <c r="AO336" i="60"/>
  <c r="H337" i="60"/>
  <c r="N337" i="60"/>
  <c r="T337" i="60"/>
  <c r="Z337" i="60"/>
  <c r="AK337" i="60"/>
  <c r="AL337" i="60"/>
  <c r="AM337" i="60"/>
  <c r="AN337" i="60"/>
  <c r="AO337" i="60"/>
  <c r="H338" i="60"/>
  <c r="N338" i="60"/>
  <c r="T338" i="60"/>
  <c r="Z338" i="60"/>
  <c r="AK338" i="60"/>
  <c r="AL338" i="60"/>
  <c r="AM338" i="60"/>
  <c r="AN338" i="60"/>
  <c r="AO338" i="60"/>
  <c r="H339" i="60"/>
  <c r="N339" i="60"/>
  <c r="T339" i="60"/>
  <c r="Z339" i="60"/>
  <c r="AK339" i="60"/>
  <c r="AL339" i="60"/>
  <c r="AM339" i="60"/>
  <c r="AN339" i="60"/>
  <c r="AO339" i="60"/>
  <c r="H340" i="60"/>
  <c r="N340" i="60"/>
  <c r="T340" i="60"/>
  <c r="Z340" i="60"/>
  <c r="AK340" i="60"/>
  <c r="AL340" i="60"/>
  <c r="AM340" i="60"/>
  <c r="AN340" i="60"/>
  <c r="AO340" i="60"/>
  <c r="H341" i="60"/>
  <c r="N341" i="60"/>
  <c r="T341" i="60"/>
  <c r="Z341" i="60"/>
  <c r="AK341" i="60"/>
  <c r="AL341" i="60"/>
  <c r="AM341" i="60"/>
  <c r="AN341" i="60"/>
  <c r="AO341" i="60"/>
  <c r="H342" i="60"/>
  <c r="N342" i="60"/>
  <c r="T342" i="60"/>
  <c r="Z342" i="60"/>
  <c r="AK342" i="60"/>
  <c r="AL342" i="60"/>
  <c r="AM342" i="60"/>
  <c r="AN342" i="60"/>
  <c r="AO342" i="60"/>
  <c r="H343" i="60"/>
  <c r="N343" i="60"/>
  <c r="T343" i="60"/>
  <c r="Z343" i="60"/>
  <c r="AK343" i="60"/>
  <c r="AL343" i="60"/>
  <c r="AM343" i="60"/>
  <c r="AN343" i="60"/>
  <c r="AO343" i="60"/>
  <c r="H344" i="60"/>
  <c r="N344" i="60"/>
  <c r="T344" i="60"/>
  <c r="Z344" i="60"/>
  <c r="AK344" i="60"/>
  <c r="AL344" i="60"/>
  <c r="AM344" i="60"/>
  <c r="AN344" i="60"/>
  <c r="AO344" i="60"/>
  <c r="H345" i="60"/>
  <c r="N345" i="60"/>
  <c r="T345" i="60"/>
  <c r="Z345" i="60"/>
  <c r="AK345" i="60"/>
  <c r="AL345" i="60"/>
  <c r="AM345" i="60"/>
  <c r="AN345" i="60"/>
  <c r="AO345" i="60"/>
  <c r="H346" i="60"/>
  <c r="N346" i="60"/>
  <c r="T346" i="60"/>
  <c r="Z346" i="60"/>
  <c r="AK346" i="60"/>
  <c r="AL346" i="60"/>
  <c r="AM346" i="60"/>
  <c r="AN346" i="60"/>
  <c r="AO346" i="60"/>
  <c r="H347" i="60"/>
  <c r="N347" i="60"/>
  <c r="T347" i="60"/>
  <c r="Z347" i="60"/>
  <c r="AK347" i="60"/>
  <c r="AL347" i="60"/>
  <c r="AM347" i="60"/>
  <c r="AN347" i="60"/>
  <c r="AO347" i="60"/>
  <c r="H348" i="60"/>
  <c r="N348" i="60"/>
  <c r="T348" i="60"/>
  <c r="Z348" i="60"/>
  <c r="AK348" i="60"/>
  <c r="AL348" i="60"/>
  <c r="AM348" i="60"/>
  <c r="AN348" i="60"/>
  <c r="AO348" i="60"/>
  <c r="H349" i="60"/>
  <c r="N349" i="60"/>
  <c r="T349" i="60"/>
  <c r="Z349" i="60"/>
  <c r="AK349" i="60"/>
  <c r="AL349" i="60"/>
  <c r="AM349" i="60"/>
  <c r="AN349" i="60"/>
  <c r="AO349" i="60"/>
  <c r="H350" i="60"/>
  <c r="N350" i="60"/>
  <c r="T350" i="60"/>
  <c r="Z350" i="60"/>
  <c r="AK350" i="60"/>
  <c r="AL350" i="60"/>
  <c r="AM350" i="60"/>
  <c r="AN350" i="60"/>
  <c r="AO350" i="60"/>
  <c r="H351" i="60"/>
  <c r="N351" i="60"/>
  <c r="T351" i="60"/>
  <c r="Z351" i="60"/>
  <c r="AK351" i="60"/>
  <c r="AL351" i="60"/>
  <c r="AM351" i="60"/>
  <c r="AN351" i="60"/>
  <c r="AO351" i="60"/>
  <c r="H352" i="60"/>
  <c r="N352" i="60"/>
  <c r="T352" i="60"/>
  <c r="Z352" i="60"/>
  <c r="AK352" i="60"/>
  <c r="AL352" i="60"/>
  <c r="AM352" i="60"/>
  <c r="AN352" i="60"/>
  <c r="AO352" i="60"/>
  <c r="H353" i="60"/>
  <c r="N353" i="60"/>
  <c r="T353" i="60"/>
  <c r="Z353" i="60"/>
  <c r="AK353" i="60"/>
  <c r="AL353" i="60"/>
  <c r="AM353" i="60"/>
  <c r="AN353" i="60"/>
  <c r="AO353" i="60"/>
  <c r="H354" i="60"/>
  <c r="N354" i="60"/>
  <c r="T354" i="60"/>
  <c r="Z354" i="60"/>
  <c r="AK354" i="60"/>
  <c r="AL354" i="60"/>
  <c r="AM354" i="60"/>
  <c r="AN354" i="60"/>
  <c r="AO354" i="60"/>
  <c r="H355" i="60"/>
  <c r="N355" i="60"/>
  <c r="T355" i="60"/>
  <c r="Z355" i="60"/>
  <c r="AK355" i="60"/>
  <c r="AL355" i="60"/>
  <c r="AM355" i="60"/>
  <c r="AN355" i="60"/>
  <c r="AO355" i="60"/>
  <c r="H356" i="60"/>
  <c r="N356" i="60"/>
  <c r="T356" i="60"/>
  <c r="Z356" i="60"/>
  <c r="AK356" i="60"/>
  <c r="AL356" i="60"/>
  <c r="AM356" i="60"/>
  <c r="AN356" i="60"/>
  <c r="AO356" i="60"/>
  <c r="H357" i="60"/>
  <c r="N357" i="60"/>
  <c r="T357" i="60"/>
  <c r="Z357" i="60"/>
  <c r="AK357" i="60"/>
  <c r="AL357" i="60"/>
  <c r="AM357" i="60"/>
  <c r="AN357" i="60"/>
  <c r="AO357" i="60"/>
  <c r="H358" i="60"/>
  <c r="N358" i="60"/>
  <c r="T358" i="60"/>
  <c r="Z358" i="60"/>
  <c r="AK358" i="60"/>
  <c r="AL358" i="60"/>
  <c r="AM358" i="60"/>
  <c r="AN358" i="60"/>
  <c r="AO358" i="60"/>
  <c r="H359" i="60"/>
  <c r="N359" i="60"/>
  <c r="T359" i="60"/>
  <c r="Z359" i="60"/>
  <c r="AK359" i="60"/>
  <c r="AL359" i="60"/>
  <c r="AM359" i="60"/>
  <c r="AN359" i="60"/>
  <c r="AO359" i="60"/>
  <c r="H360" i="60"/>
  <c r="N360" i="60"/>
  <c r="T360" i="60"/>
  <c r="Z360" i="60"/>
  <c r="AK360" i="60"/>
  <c r="AL360" i="60"/>
  <c r="AM360" i="60"/>
  <c r="AN360" i="60"/>
  <c r="AO360" i="60"/>
  <c r="H361" i="60"/>
  <c r="N361" i="60"/>
  <c r="T361" i="60"/>
  <c r="Z361" i="60"/>
  <c r="AK361" i="60"/>
  <c r="AL361" i="60"/>
  <c r="AM361" i="60"/>
  <c r="AN361" i="60"/>
  <c r="AO361" i="60"/>
  <c r="H362" i="60"/>
  <c r="N362" i="60"/>
  <c r="T362" i="60"/>
  <c r="Z362" i="60"/>
  <c r="AK362" i="60"/>
  <c r="AL362" i="60"/>
  <c r="AM362" i="60"/>
  <c r="AN362" i="60"/>
  <c r="AO362" i="60"/>
  <c r="H363" i="60"/>
  <c r="N363" i="60"/>
  <c r="T363" i="60"/>
  <c r="Z363" i="60"/>
  <c r="AK363" i="60"/>
  <c r="AL363" i="60"/>
  <c r="AM363" i="60"/>
  <c r="AN363" i="60"/>
  <c r="AO363" i="60"/>
  <c r="H364" i="60"/>
  <c r="N364" i="60"/>
  <c r="T364" i="60"/>
  <c r="Z364" i="60"/>
  <c r="AK364" i="60"/>
  <c r="AL364" i="60"/>
  <c r="AM364" i="60"/>
  <c r="AN364" i="60"/>
  <c r="AO364" i="60"/>
  <c r="H365" i="60"/>
  <c r="N365" i="60"/>
  <c r="T365" i="60"/>
  <c r="Z365" i="60"/>
  <c r="AK365" i="60"/>
  <c r="AL365" i="60"/>
  <c r="AM365" i="60"/>
  <c r="AN365" i="60"/>
  <c r="AO365" i="60"/>
  <c r="H366" i="60"/>
  <c r="N366" i="60"/>
  <c r="T366" i="60"/>
  <c r="Z366" i="60"/>
  <c r="AK366" i="60"/>
  <c r="AL366" i="60"/>
  <c r="AM366" i="60"/>
  <c r="AN366" i="60"/>
  <c r="AO366" i="60"/>
  <c r="H367" i="60"/>
  <c r="N367" i="60"/>
  <c r="T367" i="60"/>
  <c r="Z367" i="60"/>
  <c r="AK367" i="60"/>
  <c r="AL367" i="60"/>
  <c r="AM367" i="60"/>
  <c r="AN367" i="60"/>
  <c r="AO367" i="60"/>
  <c r="H368" i="60"/>
  <c r="N368" i="60"/>
  <c r="T368" i="60"/>
  <c r="Z368" i="60"/>
  <c r="AK368" i="60"/>
  <c r="AL368" i="60"/>
  <c r="AM368" i="60"/>
  <c r="AN368" i="60"/>
  <c r="AO368" i="60"/>
  <c r="H369" i="60"/>
  <c r="N369" i="60"/>
  <c r="T369" i="60"/>
  <c r="Z369" i="60"/>
  <c r="AK369" i="60"/>
  <c r="AL369" i="60"/>
  <c r="AM369" i="60"/>
  <c r="AN369" i="60"/>
  <c r="AO369" i="60"/>
  <c r="H370" i="60"/>
  <c r="N370" i="60"/>
  <c r="T370" i="60"/>
  <c r="Z370" i="60"/>
  <c r="AK370" i="60"/>
  <c r="AL370" i="60"/>
  <c r="AM370" i="60"/>
  <c r="AN370" i="60"/>
  <c r="AO370" i="60"/>
  <c r="H371" i="60"/>
  <c r="N371" i="60"/>
  <c r="T371" i="60"/>
  <c r="Z371" i="60"/>
  <c r="AK371" i="60"/>
  <c r="AL371" i="60"/>
  <c r="AM371" i="60"/>
  <c r="AN371" i="60"/>
  <c r="AO371" i="60"/>
  <c r="H372" i="60"/>
  <c r="N372" i="60"/>
  <c r="T372" i="60"/>
  <c r="Z372" i="60"/>
  <c r="AK372" i="60"/>
  <c r="AL372" i="60"/>
  <c r="AM372" i="60"/>
  <c r="AN372" i="60"/>
  <c r="AO372" i="60"/>
  <c r="H373" i="60"/>
  <c r="N373" i="60"/>
  <c r="T373" i="60"/>
  <c r="Z373" i="60"/>
  <c r="AK373" i="60"/>
  <c r="AL373" i="60"/>
  <c r="AM373" i="60"/>
  <c r="AN373" i="60"/>
  <c r="AO373" i="60"/>
  <c r="H374" i="60"/>
  <c r="N374" i="60"/>
  <c r="T374" i="60"/>
  <c r="Z374" i="60"/>
  <c r="AK374" i="60"/>
  <c r="AL374" i="60"/>
  <c r="AM374" i="60"/>
  <c r="AN374" i="60"/>
  <c r="AO374" i="60"/>
  <c r="H375" i="60"/>
  <c r="N375" i="60"/>
  <c r="T375" i="60"/>
  <c r="Z375" i="60"/>
  <c r="AK375" i="60"/>
  <c r="AL375" i="60"/>
  <c r="AM375" i="60"/>
  <c r="AN375" i="60"/>
  <c r="AO375" i="60"/>
  <c r="H376" i="60"/>
  <c r="N376" i="60"/>
  <c r="T376" i="60"/>
  <c r="Z376" i="60"/>
  <c r="AK376" i="60"/>
  <c r="AL376" i="60"/>
  <c r="AM376" i="60"/>
  <c r="AN376" i="60"/>
  <c r="AO376" i="60"/>
  <c r="H377" i="60"/>
  <c r="N377" i="60"/>
  <c r="T377" i="60"/>
  <c r="Z377" i="60"/>
  <c r="AK377" i="60"/>
  <c r="AL377" i="60"/>
  <c r="AM377" i="60"/>
  <c r="AN377" i="60"/>
  <c r="AO377" i="60"/>
  <c r="H378" i="60"/>
  <c r="N378" i="60"/>
  <c r="T378" i="60"/>
  <c r="Z378" i="60"/>
  <c r="AK378" i="60"/>
  <c r="AL378" i="60"/>
  <c r="AM378" i="60"/>
  <c r="AN378" i="60"/>
  <c r="AO378" i="60"/>
  <c r="H379" i="60"/>
  <c r="N379" i="60"/>
  <c r="T379" i="60"/>
  <c r="Z379" i="60"/>
  <c r="AK379" i="60"/>
  <c r="AL379" i="60"/>
  <c r="AM379" i="60"/>
  <c r="AN379" i="60"/>
  <c r="AO379" i="60"/>
  <c r="H380" i="60"/>
  <c r="N380" i="60"/>
  <c r="T380" i="60"/>
  <c r="Z380" i="60"/>
  <c r="AK380" i="60"/>
  <c r="AL380" i="60"/>
  <c r="AM380" i="60"/>
  <c r="AN380" i="60"/>
  <c r="AO380" i="60"/>
  <c r="H381" i="60"/>
  <c r="N381" i="60"/>
  <c r="T381" i="60"/>
  <c r="Z381" i="60"/>
  <c r="AK381" i="60"/>
  <c r="AL381" i="60"/>
  <c r="AM381" i="60"/>
  <c r="AN381" i="60"/>
  <c r="AO381" i="60"/>
  <c r="H382" i="60"/>
  <c r="N382" i="60"/>
  <c r="T382" i="60"/>
  <c r="Z382" i="60"/>
  <c r="AK382" i="60"/>
  <c r="AL382" i="60"/>
  <c r="AM382" i="60"/>
  <c r="AN382" i="60"/>
  <c r="AO382" i="60"/>
  <c r="H383" i="60"/>
  <c r="N383" i="60"/>
  <c r="T383" i="60"/>
  <c r="Z383" i="60"/>
  <c r="AK383" i="60"/>
  <c r="AL383" i="60"/>
  <c r="AM383" i="60"/>
  <c r="AN383" i="60"/>
  <c r="AO383" i="60"/>
  <c r="H384" i="60"/>
  <c r="N384" i="60"/>
  <c r="T384" i="60"/>
  <c r="Z384" i="60"/>
  <c r="AK384" i="60"/>
  <c r="AL384" i="60"/>
  <c r="AM384" i="60"/>
  <c r="AN384" i="60"/>
  <c r="AO384" i="60"/>
  <c r="H385" i="60"/>
  <c r="N385" i="60"/>
  <c r="T385" i="60"/>
  <c r="Z385" i="60"/>
  <c r="AK385" i="60"/>
  <c r="AL385" i="60"/>
  <c r="AM385" i="60"/>
  <c r="AN385" i="60"/>
  <c r="AO385" i="60"/>
  <c r="H386" i="60"/>
  <c r="N386" i="60"/>
  <c r="T386" i="60"/>
  <c r="Z386" i="60"/>
  <c r="AK386" i="60"/>
  <c r="AL386" i="60"/>
  <c r="AM386" i="60"/>
  <c r="AN386" i="60"/>
  <c r="AO386" i="60"/>
  <c r="H387" i="60"/>
  <c r="N387" i="60"/>
  <c r="T387" i="60"/>
  <c r="Z387" i="60"/>
  <c r="AK387" i="60"/>
  <c r="AL387" i="60"/>
  <c r="AM387" i="60"/>
  <c r="AN387" i="60"/>
  <c r="AO387" i="60"/>
  <c r="H388" i="60"/>
  <c r="N388" i="60"/>
  <c r="T388" i="60"/>
  <c r="Z388" i="60"/>
  <c r="AK388" i="60"/>
  <c r="AL388" i="60"/>
  <c r="AM388" i="60"/>
  <c r="AN388" i="60"/>
  <c r="AO388" i="60"/>
  <c r="H389" i="60"/>
  <c r="N389" i="60"/>
  <c r="T389" i="60"/>
  <c r="Z389" i="60"/>
  <c r="AK389" i="60"/>
  <c r="AL389" i="60"/>
  <c r="AM389" i="60"/>
  <c r="AN389" i="60"/>
  <c r="AO389" i="60"/>
  <c r="H390" i="60"/>
  <c r="N390" i="60"/>
  <c r="T390" i="60"/>
  <c r="Z390" i="60"/>
  <c r="AK390" i="60"/>
  <c r="AL390" i="60"/>
  <c r="AM390" i="60"/>
  <c r="AN390" i="60"/>
  <c r="AO390" i="60"/>
  <c r="H391" i="60"/>
  <c r="N391" i="60"/>
  <c r="T391" i="60"/>
  <c r="Z391" i="60"/>
  <c r="AK391" i="60"/>
  <c r="AL391" i="60"/>
  <c r="AM391" i="60"/>
  <c r="AN391" i="60"/>
  <c r="AO391" i="60"/>
  <c r="H392" i="60"/>
  <c r="N392" i="60"/>
  <c r="T392" i="60"/>
  <c r="Z392" i="60"/>
  <c r="AK392" i="60"/>
  <c r="AL392" i="60"/>
  <c r="AM392" i="60"/>
  <c r="AN392" i="60"/>
  <c r="AO392" i="60"/>
  <c r="H393" i="60"/>
  <c r="N393" i="60"/>
  <c r="T393" i="60"/>
  <c r="Z393" i="60"/>
  <c r="AK393" i="60"/>
  <c r="AL393" i="60"/>
  <c r="AM393" i="60"/>
  <c r="AN393" i="60"/>
  <c r="AO393" i="60"/>
  <c r="H394" i="60"/>
  <c r="N394" i="60"/>
  <c r="T394" i="60"/>
  <c r="Z394" i="60"/>
  <c r="AK394" i="60"/>
  <c r="AL394" i="60"/>
  <c r="AM394" i="60"/>
  <c r="AN394" i="60"/>
  <c r="AO394" i="60"/>
  <c r="H395" i="60"/>
  <c r="N395" i="60"/>
  <c r="T395" i="60"/>
  <c r="Z395" i="60"/>
  <c r="AK395" i="60"/>
  <c r="AL395" i="60"/>
  <c r="AM395" i="60"/>
  <c r="AN395" i="60"/>
  <c r="AO395" i="60"/>
  <c r="H396" i="60"/>
  <c r="N396" i="60"/>
  <c r="T396" i="60"/>
  <c r="Z396" i="60"/>
  <c r="AK396" i="60"/>
  <c r="AL396" i="60"/>
  <c r="AM396" i="60"/>
  <c r="AN396" i="60"/>
  <c r="AO396" i="60"/>
  <c r="H397" i="60"/>
  <c r="N397" i="60"/>
  <c r="T397" i="60"/>
  <c r="Z397" i="60"/>
  <c r="AK397" i="60"/>
  <c r="AL397" i="60"/>
  <c r="AM397" i="60"/>
  <c r="AN397" i="60"/>
  <c r="AO397" i="60"/>
  <c r="H398" i="60"/>
  <c r="N398" i="60"/>
  <c r="T398" i="60"/>
  <c r="Z398" i="60"/>
  <c r="AK398" i="60"/>
  <c r="AL398" i="60"/>
  <c r="AM398" i="60"/>
  <c r="AN398" i="60"/>
  <c r="AO398" i="60"/>
  <c r="H399" i="60"/>
  <c r="N399" i="60"/>
  <c r="T399" i="60"/>
  <c r="Z399" i="60"/>
  <c r="AK399" i="60"/>
  <c r="AL399" i="60"/>
  <c r="AM399" i="60"/>
  <c r="AN399" i="60"/>
  <c r="AO399" i="60"/>
  <c r="H400" i="60"/>
  <c r="N400" i="60"/>
  <c r="T400" i="60"/>
  <c r="Z400" i="60"/>
  <c r="AK400" i="60"/>
  <c r="AL400" i="60"/>
  <c r="AM400" i="60"/>
  <c r="AN400" i="60"/>
  <c r="AO400" i="60"/>
  <c r="H401" i="60"/>
  <c r="N401" i="60"/>
  <c r="T401" i="60"/>
  <c r="Z401" i="60"/>
  <c r="AK401" i="60"/>
  <c r="AL401" i="60"/>
  <c r="AM401" i="60"/>
  <c r="AN401" i="60"/>
  <c r="AO401" i="60"/>
  <c r="H402" i="60"/>
  <c r="N402" i="60"/>
  <c r="T402" i="60"/>
  <c r="Z402" i="60"/>
  <c r="AK402" i="60"/>
  <c r="AL402" i="60"/>
  <c r="AM402" i="60"/>
  <c r="AN402" i="60"/>
  <c r="AO402" i="60"/>
  <c r="H403" i="60"/>
  <c r="N403" i="60"/>
  <c r="T403" i="60"/>
  <c r="Z403" i="60"/>
  <c r="AK403" i="60"/>
  <c r="AL403" i="60"/>
  <c r="AM403" i="60"/>
  <c r="AN403" i="60"/>
  <c r="AO403" i="60"/>
  <c r="H404" i="60"/>
  <c r="N404" i="60"/>
  <c r="T404" i="60"/>
  <c r="Z404" i="60"/>
  <c r="AK404" i="60"/>
  <c r="AL404" i="60"/>
  <c r="AM404" i="60"/>
  <c r="AN404" i="60"/>
  <c r="AO404" i="60"/>
  <c r="H405" i="60"/>
  <c r="N405" i="60"/>
  <c r="T405" i="60"/>
  <c r="Z405" i="60"/>
  <c r="AK405" i="60"/>
  <c r="AL405" i="60"/>
  <c r="AM405" i="60"/>
  <c r="AN405" i="60"/>
  <c r="AO405" i="60"/>
  <c r="H406" i="60"/>
  <c r="N406" i="60"/>
  <c r="T406" i="60"/>
  <c r="Z406" i="60"/>
  <c r="AK406" i="60"/>
  <c r="AL406" i="60"/>
  <c r="AM406" i="60"/>
  <c r="AN406" i="60"/>
  <c r="AO406" i="60"/>
  <c r="H407" i="60"/>
  <c r="N407" i="60"/>
  <c r="T407" i="60"/>
  <c r="Z407" i="60"/>
  <c r="AK407" i="60"/>
  <c r="AL407" i="60"/>
  <c r="AM407" i="60"/>
  <c r="AN407" i="60"/>
  <c r="AO407" i="60"/>
  <c r="H408" i="60"/>
  <c r="N408" i="60"/>
  <c r="T408" i="60"/>
  <c r="Z408" i="60"/>
  <c r="AK408" i="60"/>
  <c r="AL408" i="60"/>
  <c r="AM408" i="60"/>
  <c r="AN408" i="60"/>
  <c r="AO408" i="60"/>
  <c r="H409" i="60"/>
  <c r="N409" i="60"/>
  <c r="T409" i="60"/>
  <c r="Z409" i="60"/>
  <c r="AK409" i="60"/>
  <c r="AL409" i="60"/>
  <c r="AM409" i="60"/>
  <c r="AN409" i="60"/>
  <c r="AO409" i="60"/>
  <c r="H410" i="60"/>
  <c r="N410" i="60"/>
  <c r="T410" i="60"/>
  <c r="Z410" i="60"/>
  <c r="AK410" i="60"/>
  <c r="AL410" i="60"/>
  <c r="AM410" i="60"/>
  <c r="AN410" i="60"/>
  <c r="AO410" i="60"/>
  <c r="H411" i="60"/>
  <c r="N411" i="60"/>
  <c r="T411" i="60"/>
  <c r="Z411" i="60"/>
  <c r="AK411" i="60"/>
  <c r="AL411" i="60"/>
  <c r="AM411" i="60"/>
  <c r="AN411" i="60"/>
  <c r="AO411" i="60"/>
  <c r="H412" i="60"/>
  <c r="N412" i="60"/>
  <c r="T412" i="60"/>
  <c r="Z412" i="60"/>
  <c r="AK412" i="60"/>
  <c r="AL412" i="60"/>
  <c r="AM412" i="60"/>
  <c r="AN412" i="60"/>
  <c r="AO412" i="60"/>
  <c r="H413" i="60"/>
  <c r="N413" i="60"/>
  <c r="T413" i="60"/>
  <c r="Z413" i="60"/>
  <c r="AK413" i="60"/>
  <c r="AL413" i="60"/>
  <c r="AM413" i="60"/>
  <c r="AN413" i="60"/>
  <c r="AO413" i="60"/>
  <c r="H414" i="60"/>
  <c r="N414" i="60"/>
  <c r="T414" i="60"/>
  <c r="Z414" i="60"/>
  <c r="AK414" i="60"/>
  <c r="AL414" i="60"/>
  <c r="AM414" i="60"/>
  <c r="AN414" i="60"/>
  <c r="AO414" i="60"/>
  <c r="H415" i="60"/>
  <c r="N415" i="60"/>
  <c r="T415" i="60"/>
  <c r="Z415" i="60"/>
  <c r="AK415" i="60"/>
  <c r="AL415" i="60"/>
  <c r="AM415" i="60"/>
  <c r="AN415" i="60"/>
  <c r="AO415" i="60"/>
  <c r="H416" i="60"/>
  <c r="N416" i="60"/>
  <c r="T416" i="60"/>
  <c r="Z416" i="60"/>
  <c r="AK416" i="60"/>
  <c r="AL416" i="60"/>
  <c r="AM416" i="60"/>
  <c r="AN416" i="60"/>
  <c r="AO416" i="60"/>
  <c r="H417" i="60"/>
  <c r="N417" i="60"/>
  <c r="T417" i="60"/>
  <c r="Z417" i="60"/>
  <c r="AK417" i="60"/>
  <c r="AL417" i="60"/>
  <c r="AM417" i="60"/>
  <c r="AN417" i="60"/>
  <c r="AO417" i="60"/>
  <c r="H418" i="60"/>
  <c r="N418" i="60"/>
  <c r="T418" i="60"/>
  <c r="Z418" i="60"/>
  <c r="AK418" i="60"/>
  <c r="AL418" i="60"/>
  <c r="AM418" i="60"/>
  <c r="AN418" i="60"/>
  <c r="AO418" i="60"/>
  <c r="H419" i="60"/>
  <c r="N419" i="60"/>
  <c r="T419" i="60"/>
  <c r="Z419" i="60"/>
  <c r="AK419" i="60"/>
  <c r="AL419" i="60"/>
  <c r="AM419" i="60"/>
  <c r="AN419" i="60"/>
  <c r="AO419" i="60"/>
  <c r="H420" i="60"/>
  <c r="N420" i="60"/>
  <c r="T420" i="60"/>
  <c r="Z420" i="60"/>
  <c r="AK420" i="60"/>
  <c r="AL420" i="60"/>
  <c r="AM420" i="60"/>
  <c r="AN420" i="60"/>
  <c r="AO420" i="60"/>
  <c r="H421" i="60"/>
  <c r="N421" i="60"/>
  <c r="T421" i="60"/>
  <c r="Z421" i="60"/>
  <c r="AK421" i="60"/>
  <c r="AL421" i="60"/>
  <c r="AM421" i="60"/>
  <c r="AN421" i="60"/>
  <c r="AO421" i="60"/>
  <c r="H422" i="60"/>
  <c r="N422" i="60"/>
  <c r="T422" i="60"/>
  <c r="Z422" i="60"/>
  <c r="AK422" i="60"/>
  <c r="AL422" i="60"/>
  <c r="AM422" i="60"/>
  <c r="AN422" i="60"/>
  <c r="AO422" i="60"/>
  <c r="H423" i="60"/>
  <c r="N423" i="60"/>
  <c r="T423" i="60"/>
  <c r="Z423" i="60"/>
  <c r="AK423" i="60"/>
  <c r="AL423" i="60"/>
  <c r="AM423" i="60"/>
  <c r="AN423" i="60"/>
  <c r="AO423" i="60"/>
  <c r="H424" i="60"/>
  <c r="N424" i="60"/>
  <c r="T424" i="60"/>
  <c r="Z424" i="60"/>
  <c r="AK424" i="60"/>
  <c r="AL424" i="60"/>
  <c r="AM424" i="60"/>
  <c r="AN424" i="60"/>
  <c r="AO424" i="60"/>
  <c r="H425" i="60"/>
  <c r="N425" i="60"/>
  <c r="T425" i="60"/>
  <c r="Z425" i="60"/>
  <c r="AK425" i="60"/>
  <c r="AL425" i="60"/>
  <c r="AM425" i="60"/>
  <c r="AN425" i="60"/>
  <c r="AO425" i="60"/>
  <c r="H426" i="60"/>
  <c r="N426" i="60"/>
  <c r="T426" i="60"/>
  <c r="Z426" i="60"/>
  <c r="AK426" i="60"/>
  <c r="AL426" i="60"/>
  <c r="AM426" i="60"/>
  <c r="AN426" i="60"/>
  <c r="AO426" i="60"/>
  <c r="H427" i="60"/>
  <c r="N427" i="60"/>
  <c r="T427" i="60"/>
  <c r="Z427" i="60"/>
  <c r="AK427" i="60"/>
  <c r="AL427" i="60"/>
  <c r="AM427" i="60"/>
  <c r="AN427" i="60"/>
  <c r="AO427" i="60"/>
  <c r="H428" i="60"/>
  <c r="N428" i="60"/>
  <c r="T428" i="60"/>
  <c r="Z428" i="60"/>
  <c r="AK428" i="60"/>
  <c r="AL428" i="60"/>
  <c r="AM428" i="60"/>
  <c r="AN428" i="60"/>
  <c r="AO428" i="60"/>
  <c r="H429" i="60"/>
  <c r="N429" i="60"/>
  <c r="T429" i="60"/>
  <c r="Z429" i="60"/>
  <c r="AK429" i="60"/>
  <c r="AL429" i="60"/>
  <c r="AM429" i="60"/>
  <c r="AN429" i="60"/>
  <c r="AO429" i="60"/>
  <c r="H430" i="60"/>
  <c r="N430" i="60"/>
  <c r="T430" i="60"/>
  <c r="Z430" i="60"/>
  <c r="AK430" i="60"/>
  <c r="AL430" i="60"/>
  <c r="AM430" i="60"/>
  <c r="AN430" i="60"/>
  <c r="AO430" i="60"/>
  <c r="H431" i="60"/>
  <c r="N431" i="60"/>
  <c r="T431" i="60"/>
  <c r="Z431" i="60"/>
  <c r="AK431" i="60"/>
  <c r="AL431" i="60"/>
  <c r="AM431" i="60"/>
  <c r="AN431" i="60"/>
  <c r="AO431" i="60"/>
  <c r="H432" i="60"/>
  <c r="N432" i="60"/>
  <c r="T432" i="60"/>
  <c r="Z432" i="60"/>
  <c r="AK432" i="60"/>
  <c r="AL432" i="60"/>
  <c r="AM432" i="60"/>
  <c r="AN432" i="60"/>
  <c r="AO432" i="60"/>
  <c r="H433" i="60"/>
  <c r="N433" i="60"/>
  <c r="T433" i="60"/>
  <c r="Z433" i="60"/>
  <c r="AK433" i="60"/>
  <c r="AL433" i="60"/>
  <c r="AM433" i="60"/>
  <c r="AN433" i="60"/>
  <c r="AO433" i="60"/>
  <c r="H434" i="60"/>
  <c r="N434" i="60"/>
  <c r="T434" i="60"/>
  <c r="Z434" i="60"/>
  <c r="AK434" i="60"/>
  <c r="AL434" i="60"/>
  <c r="AM434" i="60"/>
  <c r="AN434" i="60"/>
  <c r="AO434" i="60"/>
  <c r="H435" i="60"/>
  <c r="N435" i="60"/>
  <c r="T435" i="60"/>
  <c r="Z435" i="60"/>
  <c r="AK435" i="60"/>
  <c r="AL435" i="60"/>
  <c r="AM435" i="60"/>
  <c r="AN435" i="60"/>
  <c r="AO435" i="60"/>
  <c r="H436" i="60"/>
  <c r="N436" i="60"/>
  <c r="T436" i="60"/>
  <c r="Z436" i="60"/>
  <c r="AK436" i="60"/>
  <c r="AL436" i="60"/>
  <c r="AM436" i="60"/>
  <c r="AN436" i="60"/>
  <c r="AO436" i="60"/>
  <c r="H437" i="60"/>
  <c r="N437" i="60"/>
  <c r="T437" i="60"/>
  <c r="Z437" i="60"/>
  <c r="AK437" i="60"/>
  <c r="AL437" i="60"/>
  <c r="AM437" i="60"/>
  <c r="AN437" i="60"/>
  <c r="AO437" i="60"/>
  <c r="H438" i="60"/>
  <c r="N438" i="60"/>
  <c r="T438" i="60"/>
  <c r="Z438" i="60"/>
  <c r="AK438" i="60"/>
  <c r="AL438" i="60"/>
  <c r="AM438" i="60"/>
  <c r="AN438" i="60"/>
  <c r="AO438" i="60"/>
  <c r="H439" i="60"/>
  <c r="N439" i="60"/>
  <c r="T439" i="60"/>
  <c r="Z439" i="60"/>
  <c r="AK439" i="60"/>
  <c r="AL439" i="60"/>
  <c r="AM439" i="60"/>
  <c r="AN439" i="60"/>
  <c r="AO439" i="60"/>
  <c r="H440" i="60"/>
  <c r="N440" i="60"/>
  <c r="T440" i="60"/>
  <c r="Z440" i="60"/>
  <c r="AK440" i="60"/>
  <c r="AL440" i="60"/>
  <c r="AM440" i="60"/>
  <c r="AN440" i="60"/>
  <c r="AO440" i="60"/>
  <c r="H441" i="60"/>
  <c r="N441" i="60"/>
  <c r="T441" i="60"/>
  <c r="Z441" i="60"/>
  <c r="AK441" i="60"/>
  <c r="AL441" i="60"/>
  <c r="AM441" i="60"/>
  <c r="AN441" i="60"/>
  <c r="AO441" i="60"/>
  <c r="H442" i="60"/>
  <c r="N442" i="60"/>
  <c r="T442" i="60"/>
  <c r="Z442" i="60"/>
  <c r="AK442" i="60"/>
  <c r="AL442" i="60"/>
  <c r="AM442" i="60"/>
  <c r="AN442" i="60"/>
  <c r="AO442" i="60"/>
  <c r="H443" i="60"/>
  <c r="N443" i="60"/>
  <c r="T443" i="60"/>
  <c r="Z443" i="60"/>
  <c r="AK443" i="60"/>
  <c r="AL443" i="60"/>
  <c r="AM443" i="60"/>
  <c r="AN443" i="60"/>
  <c r="AO443" i="60"/>
  <c r="H444" i="60"/>
  <c r="N444" i="60"/>
  <c r="T444" i="60"/>
  <c r="Z444" i="60"/>
  <c r="AK444" i="60"/>
  <c r="AL444" i="60"/>
  <c r="AM444" i="60"/>
  <c r="AN444" i="60"/>
  <c r="AO444" i="60"/>
  <c r="H445" i="60"/>
  <c r="N445" i="60"/>
  <c r="T445" i="60"/>
  <c r="Z445" i="60"/>
  <c r="AK445" i="60"/>
  <c r="AL445" i="60"/>
  <c r="AM445" i="60"/>
  <c r="AN445" i="60"/>
  <c r="AO445" i="60"/>
  <c r="H446" i="60"/>
  <c r="N446" i="60"/>
  <c r="T446" i="60"/>
  <c r="Z446" i="60"/>
  <c r="AK446" i="60"/>
  <c r="AL446" i="60"/>
  <c r="AM446" i="60"/>
  <c r="AN446" i="60"/>
  <c r="AO446" i="60"/>
  <c r="H447" i="60"/>
  <c r="N447" i="60"/>
  <c r="T447" i="60"/>
  <c r="Z447" i="60"/>
  <c r="AK447" i="60"/>
  <c r="AL447" i="60"/>
  <c r="AM447" i="60"/>
  <c r="AN447" i="60"/>
  <c r="AO447" i="60"/>
  <c r="H448" i="60"/>
  <c r="N448" i="60"/>
  <c r="T448" i="60"/>
  <c r="Z448" i="60"/>
  <c r="AK448" i="60"/>
  <c r="AL448" i="60"/>
  <c r="AM448" i="60"/>
  <c r="AN448" i="60"/>
  <c r="AO448" i="60"/>
  <c r="H449" i="60"/>
  <c r="N449" i="60"/>
  <c r="T449" i="60"/>
  <c r="Z449" i="60"/>
  <c r="AK449" i="60"/>
  <c r="AL449" i="60"/>
  <c r="AM449" i="60"/>
  <c r="AN449" i="60"/>
  <c r="AO449" i="60"/>
  <c r="H450" i="60"/>
  <c r="N450" i="60"/>
  <c r="T450" i="60"/>
  <c r="Z450" i="60"/>
  <c r="AK450" i="60"/>
  <c r="AL450" i="60"/>
  <c r="AM450" i="60"/>
  <c r="AN450" i="60"/>
  <c r="AO450" i="60"/>
  <c r="H451" i="60"/>
  <c r="N451" i="60"/>
  <c r="T451" i="60"/>
  <c r="Z451" i="60"/>
  <c r="AK451" i="60"/>
  <c r="AL451" i="60"/>
  <c r="AM451" i="60"/>
  <c r="AN451" i="60"/>
  <c r="AO451" i="60"/>
  <c r="H452" i="60"/>
  <c r="N452" i="60"/>
  <c r="T452" i="60"/>
  <c r="Z452" i="60"/>
  <c r="AK452" i="60"/>
  <c r="AL452" i="60"/>
  <c r="AM452" i="60"/>
  <c r="AN452" i="60"/>
  <c r="AO452" i="60"/>
  <c r="H453" i="60"/>
  <c r="N453" i="60"/>
  <c r="T453" i="60"/>
  <c r="Z453" i="60"/>
  <c r="AK453" i="60"/>
  <c r="AL453" i="60"/>
  <c r="AM453" i="60"/>
  <c r="AN453" i="60"/>
  <c r="AO453" i="60"/>
  <c r="H454" i="60"/>
  <c r="N454" i="60"/>
  <c r="T454" i="60"/>
  <c r="Z454" i="60"/>
  <c r="AK454" i="60"/>
  <c r="AL454" i="60"/>
  <c r="AM454" i="60"/>
  <c r="AN454" i="60"/>
  <c r="AO454" i="60"/>
  <c r="H455" i="60"/>
  <c r="N455" i="60"/>
  <c r="T455" i="60"/>
  <c r="Z455" i="60"/>
  <c r="AK455" i="60"/>
  <c r="AL455" i="60"/>
  <c r="AM455" i="60"/>
  <c r="AN455" i="60"/>
  <c r="AO455" i="60"/>
  <c r="H456" i="60"/>
  <c r="N456" i="60"/>
  <c r="T456" i="60"/>
  <c r="Z456" i="60"/>
  <c r="AK456" i="60"/>
  <c r="AL456" i="60"/>
  <c r="AM456" i="60"/>
  <c r="AN456" i="60"/>
  <c r="AO456" i="60"/>
  <c r="H457" i="60"/>
  <c r="N457" i="60"/>
  <c r="T457" i="60"/>
  <c r="Z457" i="60"/>
  <c r="AK457" i="60"/>
  <c r="AL457" i="60"/>
  <c r="AM457" i="60"/>
  <c r="AN457" i="60"/>
  <c r="AO457" i="60"/>
  <c r="H458" i="60"/>
  <c r="N458" i="60"/>
  <c r="T458" i="60"/>
  <c r="Z458" i="60"/>
  <c r="AK458" i="60"/>
  <c r="H459" i="60"/>
  <c r="N459" i="60"/>
  <c r="T459" i="60"/>
  <c r="Z459" i="60"/>
  <c r="AK459" i="60"/>
  <c r="H460" i="60"/>
  <c r="N460" i="60"/>
  <c r="T460" i="60"/>
  <c r="Z460" i="60"/>
  <c r="AK460" i="60"/>
  <c r="H461" i="60"/>
  <c r="N461" i="60"/>
  <c r="T461" i="60"/>
  <c r="Z461" i="60"/>
  <c r="AK461" i="60"/>
  <c r="AA464" i="60"/>
  <c r="AB464" i="60"/>
  <c r="AA473" i="60"/>
  <c r="AB473" i="60"/>
  <c r="AC473" i="60"/>
  <c r="AD473" i="60"/>
  <c r="AE473" i="60"/>
  <c r="AA474" i="60"/>
  <c r="AB474" i="60"/>
  <c r="AC474" i="60"/>
  <c r="AD474" i="60"/>
  <c r="AE474" i="60"/>
  <c r="AA475" i="60"/>
  <c r="AB475" i="60"/>
  <c r="AC475" i="60"/>
  <c r="AD475" i="60"/>
  <c r="AE475" i="60"/>
  <c r="AA476" i="60"/>
  <c r="AB476" i="60"/>
  <c r="AC476" i="60"/>
  <c r="AD476" i="60"/>
  <c r="AE476" i="60"/>
  <c r="AA477" i="60"/>
  <c r="AB477" i="60"/>
  <c r="AC477" i="60"/>
  <c r="AD477" i="60"/>
  <c r="AE477" i="60"/>
  <c r="AA478" i="60"/>
  <c r="AB478" i="60"/>
  <c r="AC478" i="60"/>
  <c r="AD478" i="60"/>
  <c r="AE478" i="60"/>
  <c r="AA479" i="60"/>
  <c r="AB479" i="60"/>
  <c r="AC479" i="60"/>
  <c r="AD479" i="60"/>
  <c r="AE479" i="60"/>
  <c r="AA480" i="60"/>
  <c r="AB480" i="60"/>
  <c r="AC480" i="60"/>
  <c r="AD480" i="60"/>
  <c r="AE480" i="60"/>
  <c r="AA481" i="60"/>
  <c r="AB481" i="60"/>
  <c r="AC481" i="60"/>
  <c r="AD481" i="60"/>
  <c r="AE481" i="60"/>
  <c r="AA482" i="60"/>
  <c r="AB482" i="60"/>
  <c r="AC482" i="60"/>
  <c r="AD482" i="60"/>
  <c r="AA483" i="60"/>
  <c r="AB483" i="60"/>
  <c r="AC483" i="60"/>
  <c r="AD483" i="60"/>
  <c r="AA484" i="60"/>
  <c r="AB484" i="60"/>
  <c r="AC484" i="60"/>
  <c r="AD484" i="60"/>
  <c r="C5" i="69"/>
  <c r="C6" i="69" s="1"/>
  <c r="C7" i="69" s="1"/>
  <c r="C8" i="69" s="1"/>
  <c r="C9" i="69" s="1"/>
  <c r="C10" i="69" s="1"/>
  <c r="C11" i="69" s="1"/>
  <c r="C12" i="69" s="1"/>
  <c r="C13" i="69" s="1"/>
  <c r="C14" i="69" s="1"/>
  <c r="C15" i="69" s="1"/>
  <c r="C16" i="69" s="1"/>
  <c r="C17" i="69" s="1"/>
  <c r="C18" i="69" s="1"/>
  <c r="C19" i="69" s="1"/>
  <c r="C20" i="69" s="1"/>
  <c r="C21" i="69" s="1"/>
  <c r="C22" i="69" s="1"/>
  <c r="C23" i="69" s="1"/>
  <c r="C24" i="69" s="1"/>
  <c r="C25" i="69" s="1"/>
  <c r="C26" i="69" s="1"/>
  <c r="C27" i="69" s="1"/>
  <c r="C28" i="69" s="1"/>
  <c r="C29" i="69" s="1"/>
  <c r="C30" i="69" s="1"/>
  <c r="C31" i="69" s="1"/>
  <c r="C32" i="69" s="1"/>
  <c r="C33" i="69" s="1"/>
  <c r="C34" i="69" s="1"/>
  <c r="C35" i="69" s="1"/>
  <c r="C36" i="69" s="1"/>
  <c r="C37" i="69" s="1"/>
  <c r="C38" i="69" s="1"/>
  <c r="C39" i="69" s="1"/>
  <c r="C40" i="69" s="1"/>
  <c r="C41" i="69" s="1"/>
  <c r="C42" i="69" s="1"/>
  <c r="C43" i="69" s="1"/>
  <c r="C44" i="69" s="1"/>
  <c r="C45" i="69" s="1"/>
  <c r="C46" i="69" s="1"/>
  <c r="C47" i="69" s="1"/>
  <c r="C48" i="69" s="1"/>
  <c r="C49" i="69" s="1"/>
  <c r="C50" i="69" s="1"/>
  <c r="C51" i="69" s="1"/>
  <c r="C52" i="69" s="1"/>
  <c r="C53" i="69" s="1"/>
  <c r="C54" i="69" s="1"/>
  <c r="C55" i="69" s="1"/>
  <c r="C56" i="69" s="1"/>
  <c r="C57" i="69" s="1"/>
  <c r="C58" i="69" s="1"/>
  <c r="C59" i="69" s="1"/>
  <c r="C60" i="69" s="1"/>
  <c r="C61" i="69" s="1"/>
  <c r="C62" i="69" s="1"/>
  <c r="C63" i="69" s="1"/>
  <c r="C64" i="69" s="1"/>
  <c r="C65" i="69" s="1"/>
  <c r="C66" i="69" s="1"/>
  <c r="C67" i="69" s="1"/>
  <c r="C68" i="69" s="1"/>
  <c r="C69" i="69" s="1"/>
  <c r="C70" i="69" s="1"/>
  <c r="C71" i="69" s="1"/>
  <c r="C72" i="69" s="1"/>
  <c r="C73" i="69" s="1"/>
  <c r="C74" i="69" s="1"/>
  <c r="C75" i="69" s="1"/>
  <c r="C76" i="69" s="1"/>
  <c r="C77" i="69" s="1"/>
  <c r="C78" i="69" s="1"/>
  <c r="C79" i="69" s="1"/>
  <c r="C80" i="69" s="1"/>
  <c r="C81" i="69" s="1"/>
  <c r="C82" i="69" s="1"/>
  <c r="C83" i="69" s="1"/>
  <c r="C84" i="69" s="1"/>
  <c r="C85" i="69" s="1"/>
  <c r="C86" i="69" s="1"/>
  <c r="C87" i="69" s="1"/>
  <c r="C88" i="69" s="1"/>
  <c r="C89" i="69" s="1"/>
  <c r="C90" i="69" s="1"/>
  <c r="C91" i="69" s="1"/>
  <c r="C92" i="69" s="1"/>
  <c r="C93" i="69" s="1"/>
  <c r="C94" i="69" s="1"/>
  <c r="C95" i="69" s="1"/>
  <c r="C96" i="69" s="1"/>
  <c r="C97" i="69" s="1"/>
  <c r="C98" i="69" s="1"/>
  <c r="C99" i="69" s="1"/>
  <c r="C100" i="69" s="1"/>
  <c r="C101" i="69" s="1"/>
  <c r="C102" i="69" s="1"/>
  <c r="C103" i="69" s="1"/>
  <c r="C104" i="69" s="1"/>
  <c r="C105" i="69" s="1"/>
  <c r="C106" i="69" s="1"/>
  <c r="C107" i="69" s="1"/>
  <c r="C108" i="69" s="1"/>
  <c r="C109" i="69" s="1"/>
  <c r="C110" i="69" s="1"/>
  <c r="C111" i="69" s="1"/>
  <c r="C112" i="69" s="1"/>
  <c r="C113" i="69" s="1"/>
  <c r="C114" i="69" s="1"/>
  <c r="C115" i="69" s="1"/>
  <c r="C116" i="69" s="1"/>
  <c r="C117" i="69" s="1"/>
  <c r="C118" i="69" s="1"/>
  <c r="C119" i="69" s="1"/>
  <c r="C120" i="69" s="1"/>
  <c r="C121" i="69" s="1"/>
  <c r="C122" i="69" s="1"/>
  <c r="C123" i="69" s="1"/>
  <c r="C124" i="69" s="1"/>
  <c r="C125" i="69" s="1"/>
  <c r="C126" i="69" s="1"/>
  <c r="C127" i="69" s="1"/>
  <c r="C128" i="69" s="1"/>
  <c r="C129" i="69" s="1"/>
  <c r="C130" i="69" s="1"/>
  <c r="C131" i="69" s="1"/>
  <c r="C132" i="69" s="1"/>
  <c r="C133" i="69" s="1"/>
  <c r="C134" i="69" s="1"/>
  <c r="C135" i="69" s="1"/>
  <c r="C136" i="69" s="1"/>
  <c r="C137" i="69" s="1"/>
  <c r="C138" i="69" s="1"/>
  <c r="C139" i="69" s="1"/>
  <c r="C140" i="69" s="1"/>
  <c r="C141" i="69" s="1"/>
  <c r="C142" i="69" s="1"/>
  <c r="C143" i="69" s="1"/>
  <c r="C144" i="69" s="1"/>
  <c r="C145" i="69" s="1"/>
  <c r="C146" i="69" s="1"/>
  <c r="C147" i="69" s="1"/>
  <c r="C148" i="69" s="1"/>
  <c r="C149" i="69" s="1"/>
  <c r="C150" i="69" s="1"/>
  <c r="C151" i="69" s="1"/>
  <c r="C152" i="69" s="1"/>
  <c r="C153" i="69" s="1"/>
  <c r="C154" i="69" s="1"/>
  <c r="C155" i="69" s="1"/>
  <c r="C156" i="69" s="1"/>
  <c r="C157" i="69" s="1"/>
  <c r="C158" i="69" s="1"/>
  <c r="C159" i="69" s="1"/>
  <c r="C160" i="69" s="1"/>
  <c r="C161" i="69" s="1"/>
  <c r="C162" i="69" s="1"/>
  <c r="C163" i="69" s="1"/>
  <c r="C164" i="69" s="1"/>
  <c r="C165" i="69" s="1"/>
  <c r="C166" i="69" s="1"/>
  <c r="C167" i="69" s="1"/>
  <c r="C168" i="69" s="1"/>
  <c r="C169" i="69" s="1"/>
  <c r="C170" i="69" s="1"/>
  <c r="C171" i="69" s="1"/>
  <c r="C172" i="69" s="1"/>
  <c r="C173" i="69" s="1"/>
  <c r="C174" i="69" s="1"/>
  <c r="C175" i="69" s="1"/>
  <c r="C176" i="69" s="1"/>
  <c r="C177" i="69" s="1"/>
  <c r="C178" i="69" s="1"/>
  <c r="C179" i="69" s="1"/>
  <c r="C180" i="69" s="1"/>
  <c r="C181" i="69" s="1"/>
  <c r="C182" i="69" s="1"/>
  <c r="C183" i="69" s="1"/>
  <c r="C184" i="69" s="1"/>
  <c r="C185" i="69" s="1"/>
  <c r="C186" i="69" s="1"/>
  <c r="C187" i="69" s="1"/>
  <c r="C188" i="69" s="1"/>
  <c r="C189" i="69" s="1"/>
  <c r="C190" i="69" s="1"/>
  <c r="C191" i="69" s="1"/>
  <c r="C192" i="69" s="1"/>
  <c r="C193" i="69" s="1"/>
  <c r="C194" i="69" s="1"/>
  <c r="C195" i="69" s="1"/>
  <c r="C196" i="69" s="1"/>
  <c r="C197" i="69" s="1"/>
  <c r="C198" i="69" s="1"/>
  <c r="C199" i="69" s="1"/>
  <c r="C200" i="69" s="1"/>
  <c r="C201" i="69" s="1"/>
  <c r="C202" i="69" s="1"/>
  <c r="C203" i="69" s="1"/>
  <c r="C204" i="69" s="1"/>
  <c r="C205" i="69" s="1"/>
  <c r="C206" i="69" s="1"/>
  <c r="C207" i="69" s="1"/>
  <c r="C208" i="69" s="1"/>
  <c r="C209" i="69" s="1"/>
  <c r="C210" i="69" s="1"/>
  <c r="C211" i="69" s="1"/>
  <c r="C212" i="69" s="1"/>
  <c r="C213" i="69" s="1"/>
  <c r="C214" i="69" s="1"/>
  <c r="C215" i="69" s="1"/>
  <c r="C216" i="69" s="1"/>
  <c r="C217" i="69" s="1"/>
  <c r="C218" i="69" s="1"/>
  <c r="C219" i="69" s="1"/>
  <c r="C220" i="69" s="1"/>
  <c r="C221" i="69" s="1"/>
  <c r="C222" i="69" s="1"/>
  <c r="C223" i="69" s="1"/>
  <c r="C224" i="69" s="1"/>
  <c r="C225" i="69" s="1"/>
  <c r="C226" i="69" s="1"/>
  <c r="C227" i="69" s="1"/>
  <c r="C228" i="69" s="1"/>
  <c r="C229" i="69" s="1"/>
  <c r="C230" i="69" s="1"/>
  <c r="C231" i="69" s="1"/>
  <c r="C232" i="69" s="1"/>
  <c r="C233" i="69" s="1"/>
  <c r="C7" i="17"/>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E8" i="17"/>
  <c r="H9" i="17"/>
  <c r="H10" i="17" s="1"/>
  <c r="H11" i="17" s="1"/>
  <c r="H12" i="17" s="1"/>
  <c r="H13" i="17" s="1"/>
  <c r="H14" i="17" s="1"/>
  <c r="H15" i="17" s="1"/>
  <c r="H16" i="17" s="1"/>
  <c r="H17" i="17" s="1"/>
  <c r="H18" i="17" s="1"/>
  <c r="H19" i="17" s="1"/>
  <c r="H20" i="17" s="1"/>
  <c r="H21" i="17" s="1"/>
  <c r="H22" i="17" s="1"/>
  <c r="H23" i="17" s="1"/>
  <c r="H24" i="17" s="1"/>
  <c r="H25" i="17" s="1"/>
  <c r="H26" i="17" s="1"/>
  <c r="H27" i="17" s="1"/>
  <c r="H28" i="17" s="1"/>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52" i="17" s="1"/>
  <c r="H53" i="17" s="1"/>
  <c r="H54" i="17" s="1"/>
  <c r="H55" i="17" s="1"/>
  <c r="H56" i="17" s="1"/>
  <c r="H57" i="17" s="1"/>
  <c r="H58" i="17" s="1"/>
  <c r="H59" i="17" s="1"/>
  <c r="H60" i="17" s="1"/>
  <c r="H61" i="17" s="1"/>
  <c r="H62" i="17" s="1"/>
  <c r="H63" i="17" s="1"/>
  <c r="H64" i="17" s="1"/>
  <c r="H65" i="17" s="1"/>
  <c r="H66" i="17" s="1"/>
  <c r="H67" i="17" s="1"/>
  <c r="H68" i="17" s="1"/>
  <c r="H69" i="17" s="1"/>
  <c r="H70" i="17" s="1"/>
  <c r="H71" i="17" s="1"/>
  <c r="H72" i="17" s="1"/>
  <c r="X9" i="17"/>
  <c r="X10" i="17" s="1"/>
  <c r="X11" i="17" s="1"/>
  <c r="X12" i="17" s="1"/>
  <c r="X13" i="17" s="1"/>
  <c r="X14" i="17" s="1"/>
  <c r="X15" i="17" s="1"/>
  <c r="X16" i="17" s="1"/>
  <c r="X17" i="17" s="1"/>
  <c r="X18" i="17" s="1"/>
  <c r="X19" i="17" s="1"/>
  <c r="X20" i="17" s="1"/>
  <c r="X21" i="17" s="1"/>
  <c r="X22" i="17" s="1"/>
  <c r="X23" i="17" s="1"/>
  <c r="X24" i="17" s="1"/>
  <c r="X25" i="17" s="1"/>
  <c r="X26" i="17" s="1"/>
  <c r="X27" i="17" s="1"/>
  <c r="X28" i="17" s="1"/>
  <c r="X29" i="17" s="1"/>
  <c r="X30" i="17" s="1"/>
  <c r="X31" i="17" s="1"/>
  <c r="X32" i="17" s="1"/>
  <c r="X33" i="17" s="1"/>
  <c r="X34" i="17" s="1"/>
  <c r="X35" i="17" s="1"/>
  <c r="X36" i="17" s="1"/>
  <c r="X37" i="17" s="1"/>
  <c r="X38" i="17" s="1"/>
  <c r="X39" i="17" s="1"/>
  <c r="X40" i="17" s="1"/>
  <c r="X41" i="17" s="1"/>
  <c r="X42" i="17" s="1"/>
  <c r="X43" i="17" s="1"/>
  <c r="X44" i="17" s="1"/>
  <c r="X45" i="17" s="1"/>
  <c r="X46" i="17" s="1"/>
  <c r="X47" i="17" s="1"/>
  <c r="X48" i="17" s="1"/>
  <c r="X49" i="17" s="1"/>
  <c r="X50" i="17" s="1"/>
  <c r="X51" i="17" s="1"/>
  <c r="X52" i="17" s="1"/>
  <c r="X53" i="17" s="1"/>
  <c r="X54" i="17" s="1"/>
  <c r="X55" i="17" s="1"/>
  <c r="X56" i="17" s="1"/>
  <c r="X57" i="17" s="1"/>
  <c r="X58" i="17" s="1"/>
  <c r="X59" i="17" s="1"/>
  <c r="X60" i="17" s="1"/>
  <c r="X61" i="17" s="1"/>
  <c r="X62" i="17" s="1"/>
  <c r="X63" i="17" s="1"/>
  <c r="X64" i="17" s="1"/>
  <c r="X65" i="17" s="1"/>
  <c r="X66" i="17" s="1"/>
  <c r="X67" i="17" s="1"/>
  <c r="K10" i="17"/>
  <c r="O10" i="17"/>
  <c r="S10" i="17"/>
  <c r="U10" i="17"/>
  <c r="Z10" i="17"/>
  <c r="AD10" i="17"/>
  <c r="E11" i="17"/>
  <c r="K13" i="17"/>
  <c r="O13" i="17"/>
  <c r="S13" i="17"/>
  <c r="U13" i="17"/>
  <c r="Z13" i="17"/>
  <c r="AD13" i="17"/>
  <c r="E14" i="17"/>
  <c r="K16" i="17"/>
  <c r="O16" i="17"/>
  <c r="S16" i="17"/>
  <c r="U16" i="17"/>
  <c r="Z16" i="17"/>
  <c r="AD16" i="17"/>
  <c r="E17" i="17"/>
  <c r="K19" i="17"/>
  <c r="L19" i="17"/>
  <c r="O19" i="17"/>
  <c r="P19" i="17"/>
  <c r="S19" i="17"/>
  <c r="T19" i="17"/>
  <c r="U19" i="17"/>
  <c r="V19" i="17"/>
  <c r="Z19" i="17"/>
  <c r="AA19" i="17"/>
  <c r="AD19" i="17"/>
  <c r="AE19" i="17"/>
  <c r="E20" i="17"/>
  <c r="K22" i="17"/>
  <c r="O22" i="17"/>
  <c r="S22" i="17"/>
  <c r="U22" i="17"/>
  <c r="Z22" i="17"/>
  <c r="AD22" i="17"/>
  <c r="E23" i="17"/>
  <c r="K25" i="17"/>
  <c r="O25" i="17"/>
  <c r="S25" i="17"/>
  <c r="U25" i="17"/>
  <c r="Z25" i="17"/>
  <c r="AD25" i="17"/>
  <c r="E26" i="17"/>
  <c r="K28" i="17"/>
  <c r="O28" i="17"/>
  <c r="S28" i="17"/>
  <c r="U28" i="17"/>
  <c r="Z28" i="17"/>
  <c r="AD28" i="17"/>
  <c r="E29" i="17"/>
  <c r="K31" i="17"/>
  <c r="L31" i="17"/>
  <c r="O31" i="17"/>
  <c r="P31" i="17"/>
  <c r="S31" i="17"/>
  <c r="T31" i="17"/>
  <c r="U31" i="17"/>
  <c r="V31" i="17"/>
  <c r="Z31" i="17"/>
  <c r="AA31" i="17"/>
  <c r="AD31" i="17"/>
  <c r="AE31" i="17"/>
  <c r="E32" i="17"/>
  <c r="K34" i="17"/>
  <c r="O34" i="17"/>
  <c r="S34" i="17"/>
  <c r="U34" i="17"/>
  <c r="Z34" i="17"/>
  <c r="AD34" i="17"/>
  <c r="E35" i="17"/>
  <c r="K37" i="17"/>
  <c r="O37" i="17"/>
  <c r="S37" i="17"/>
  <c r="U37" i="17"/>
  <c r="Z37" i="17"/>
  <c r="AD37" i="17"/>
  <c r="E38" i="17"/>
  <c r="K40" i="17"/>
  <c r="O40" i="17"/>
  <c r="S40" i="17"/>
  <c r="U40" i="17"/>
  <c r="Z40" i="17"/>
  <c r="AD40" i="17"/>
  <c r="E41" i="17"/>
  <c r="K43" i="17"/>
  <c r="L43" i="17"/>
  <c r="O43" i="17"/>
  <c r="P43" i="17"/>
  <c r="S43" i="17"/>
  <c r="T43" i="17"/>
  <c r="U43" i="17"/>
  <c r="V43" i="17"/>
  <c r="Z43" i="17"/>
  <c r="AA43" i="17"/>
  <c r="AD43" i="17"/>
  <c r="AE43" i="17"/>
  <c r="E44" i="17"/>
  <c r="K46" i="17"/>
  <c r="O46" i="17"/>
  <c r="S46" i="17"/>
  <c r="U46" i="17"/>
  <c r="Z46" i="17"/>
  <c r="AD46" i="17"/>
  <c r="E47" i="17"/>
  <c r="K49" i="17"/>
  <c r="O49" i="17"/>
  <c r="S49" i="17"/>
  <c r="U49" i="17"/>
  <c r="Z49" i="17"/>
  <c r="AD49" i="17"/>
  <c r="E50" i="17"/>
  <c r="K52" i="17"/>
  <c r="O52" i="17"/>
  <c r="S52" i="17"/>
  <c r="U52" i="17"/>
  <c r="Z52" i="17"/>
  <c r="AD52" i="17"/>
  <c r="E53" i="17"/>
  <c r="K55" i="17"/>
  <c r="L55" i="17"/>
  <c r="O55" i="17"/>
  <c r="P55" i="17"/>
  <c r="S55" i="17"/>
  <c r="T55" i="17"/>
  <c r="U55" i="17"/>
  <c r="V55" i="17"/>
  <c r="Z55" i="17"/>
  <c r="AA55" i="17"/>
  <c r="AD55" i="17"/>
  <c r="AE55" i="17"/>
  <c r="E56" i="17"/>
  <c r="K58" i="17"/>
  <c r="O58" i="17"/>
  <c r="S58" i="17"/>
  <c r="U58" i="17"/>
  <c r="Z58" i="17"/>
  <c r="AD58" i="17"/>
  <c r="E59" i="17"/>
  <c r="K61" i="17"/>
  <c r="O61" i="17"/>
  <c r="S61" i="17"/>
  <c r="U61" i="17"/>
  <c r="Z61" i="17"/>
  <c r="AD61" i="17"/>
  <c r="E62" i="17"/>
  <c r="K64" i="17"/>
  <c r="O64" i="17"/>
  <c r="S64" i="17"/>
  <c r="U64" i="17"/>
  <c r="Z64" i="17"/>
  <c r="AD64" i="17"/>
  <c r="E65" i="17"/>
  <c r="K67" i="17"/>
  <c r="L67" i="17"/>
  <c r="O67" i="17"/>
  <c r="P67" i="17"/>
  <c r="S67" i="17"/>
  <c r="T67" i="17"/>
  <c r="U67" i="17"/>
  <c r="V67" i="17"/>
  <c r="Z67" i="17"/>
  <c r="AA67" i="17"/>
  <c r="AD67" i="17"/>
  <c r="AE67" i="17"/>
  <c r="E68" i="17"/>
  <c r="E71" i="17"/>
  <c r="E74" i="17"/>
  <c r="E77" i="17"/>
  <c r="E80" i="17"/>
  <c r="E83" i="17"/>
  <c r="E86" i="17"/>
  <c r="E89" i="17"/>
  <c r="E92" i="17"/>
  <c r="E95" i="17"/>
  <c r="E98" i="17"/>
  <c r="E101" i="17"/>
  <c r="N150" i="52" l="1"/>
  <c r="N170" i="30"/>
  <c r="P169" i="30"/>
  <c r="O137" i="39"/>
  <c r="O90" i="52"/>
  <c r="N137" i="39"/>
  <c r="M264" i="39"/>
  <c r="P166" i="52"/>
  <c r="P168" i="30"/>
  <c r="O267" i="39"/>
  <c r="M86" i="52"/>
  <c r="P89" i="52"/>
  <c r="N151" i="52"/>
  <c r="N309" i="39"/>
  <c r="O141" i="39"/>
  <c r="P164" i="16"/>
  <c r="N85" i="52"/>
  <c r="O77" i="52"/>
  <c r="N163" i="16"/>
  <c r="O151" i="16"/>
  <c r="N214" i="16"/>
  <c r="N152" i="52"/>
  <c r="N72" i="52"/>
  <c r="N167" i="30"/>
  <c r="N262" i="39"/>
  <c r="M163" i="16"/>
  <c r="P165" i="16"/>
  <c r="O150" i="16"/>
  <c r="M152" i="52"/>
  <c r="M167" i="30"/>
  <c r="P270" i="39"/>
  <c r="O148" i="16"/>
  <c r="P141" i="39"/>
  <c r="N165" i="16"/>
  <c r="S28" i="13"/>
  <c r="S34" i="13" s="1"/>
  <c r="O167" i="30"/>
  <c r="R221" i="38"/>
  <c r="N164" i="16"/>
  <c r="O241" i="38"/>
  <c r="O260" i="38" s="1"/>
  <c r="O264" i="38" s="1"/>
  <c r="O269" i="38" s="1"/>
  <c r="R17" i="37"/>
  <c r="R21" i="37" s="1"/>
  <c r="L111" i="38"/>
  <c r="L112" i="38" s="1"/>
  <c r="O13" i="37" s="1"/>
  <c r="O17" i="37"/>
  <c r="M111" i="38"/>
  <c r="M112" i="38" s="1"/>
  <c r="P13" i="37" s="1"/>
  <c r="P17" i="37"/>
  <c r="K111" i="38"/>
  <c r="N17" i="37"/>
  <c r="O199" i="38" a="1"/>
  <c r="O199" i="38" s="1"/>
  <c r="R30" i="37"/>
  <c r="R32" i="37" s="1"/>
  <c r="P111" i="38"/>
  <c r="P112" i="38" s="1"/>
  <c r="S13" i="37" s="1"/>
  <c r="S17" i="37"/>
  <c r="T182" i="38"/>
  <c r="T53" i="41" s="1"/>
  <c r="K199" i="38" a="1"/>
  <c r="K199" i="38" s="1"/>
  <c r="N30" i="37"/>
  <c r="Q137" i="39"/>
  <c r="M154" i="39"/>
  <c r="M52" i="52" s="1"/>
  <c r="M137" i="39"/>
  <c r="P151" i="52"/>
  <c r="Q239" i="39"/>
  <c r="Q254" i="39" s="1"/>
  <c r="Q269" i="39" s="1"/>
  <c r="T9" i="37"/>
  <c r="P239" i="39"/>
  <c r="P254" i="39" s="1"/>
  <c r="P269" i="39" s="1"/>
  <c r="S9" i="37"/>
  <c r="Q16" i="37"/>
  <c r="Q21" i="37" s="1"/>
  <c r="O239" i="39"/>
  <c r="O254" i="39" s="1"/>
  <c r="O269" i="39" s="1"/>
  <c r="R9" i="37"/>
  <c r="P16" i="37"/>
  <c r="N239" i="39"/>
  <c r="N254" i="39" s="1"/>
  <c r="N269" i="39" s="1"/>
  <c r="Q9" i="37"/>
  <c r="K239" i="39"/>
  <c r="K254" i="39" s="1"/>
  <c r="K269" i="39" s="1"/>
  <c r="N9" i="37"/>
  <c r="O16" i="37"/>
  <c r="R318" i="39"/>
  <c r="M239" i="39"/>
  <c r="M254" i="39" s="1"/>
  <c r="M269" i="39" s="1"/>
  <c r="P9" i="37"/>
  <c r="N16" i="37"/>
  <c r="C72" i="17"/>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O170" i="30"/>
  <c r="P170" i="30"/>
  <c r="M270" i="39"/>
  <c r="N141" i="39"/>
  <c r="N147" i="39" s="1"/>
  <c r="N90" i="52"/>
  <c r="M165" i="16"/>
  <c r="M85" i="52"/>
  <c r="P309" i="39"/>
  <c r="O162" i="16"/>
  <c r="F68" i="52"/>
  <c r="F95" i="52" s="1"/>
  <c r="H12" i="52"/>
  <c r="H94" i="52" s="1"/>
  <c r="Q165" i="29"/>
  <c r="U20" i="28"/>
  <c r="W47" i="29"/>
  <c r="G47" i="29"/>
  <c r="S139" i="3"/>
  <c r="R138" i="3"/>
  <c r="F47" i="29"/>
  <c r="G124" i="3"/>
  <c r="G134" i="3" s="1"/>
  <c r="I17" i="29"/>
  <c r="I47" i="29" s="1"/>
  <c r="M17" i="29"/>
  <c r="M47" i="29" s="1"/>
  <c r="A4" i="60"/>
  <c r="A5" i="60" s="1"/>
  <c r="A6" i="60" s="1"/>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N210" i="38"/>
  <c r="N229" i="38" s="1"/>
  <c r="F210" i="38"/>
  <c r="F229" i="38" s="1"/>
  <c r="L313" i="39"/>
  <c r="L319" i="39" s="1"/>
  <c r="Q17" i="52"/>
  <c r="I205" i="3"/>
  <c r="J210" i="38"/>
  <c r="J229" i="38" s="1"/>
  <c r="M170" i="30"/>
  <c r="K245" i="16"/>
  <c r="R227" i="3"/>
  <c r="R153" i="3"/>
  <c r="S153" i="3" s="1"/>
  <c r="T153" i="3" s="1"/>
  <c r="S227" i="3"/>
  <c r="I210" i="38"/>
  <c r="I229" i="38" s="1"/>
  <c r="V16" i="16"/>
  <c r="V261" i="16" s="1"/>
  <c r="V205" i="3"/>
  <c r="H16" i="16"/>
  <c r="H261" i="16" s="1"/>
  <c r="H264" i="16" s="1"/>
  <c r="K205" i="3"/>
  <c r="G16" i="16"/>
  <c r="G261" i="16" s="1"/>
  <c r="G264" i="16" s="1"/>
  <c r="J205" i="3"/>
  <c r="H205" i="3"/>
  <c r="W16" i="16"/>
  <c r="W261" i="16" s="1"/>
  <c r="W264" i="16" s="1"/>
  <c r="W205" i="3"/>
  <c r="M210" i="38"/>
  <c r="M229" i="38" s="1"/>
  <c r="W210" i="38"/>
  <c r="K210" i="38"/>
  <c r="K229" i="38" s="1"/>
  <c r="L210" i="38"/>
  <c r="L229" i="38" s="1"/>
  <c r="O24" i="38"/>
  <c r="O32" i="38" s="1"/>
  <c r="O40" i="38" s="1"/>
  <c r="O71" i="38" s="1"/>
  <c r="Q210" i="38"/>
  <c r="Q229" i="38" s="1"/>
  <c r="S155" i="38"/>
  <c r="T155" i="38" s="1"/>
  <c r="P210" i="38"/>
  <c r="P229" i="38" s="1"/>
  <c r="H210" i="38"/>
  <c r="H229" i="38" s="1"/>
  <c r="O210" i="38"/>
  <c r="O229" i="38" s="1"/>
  <c r="G210" i="38"/>
  <c r="G229" i="38" s="1"/>
  <c r="N124" i="38"/>
  <c r="N135" i="38" s="1"/>
  <c r="Q27" i="37" s="1"/>
  <c r="N199" i="38" a="1"/>
  <c r="N199" i="38" s="1"/>
  <c r="M124" i="38"/>
  <c r="M135" i="38" s="1"/>
  <c r="P27" i="37" s="1"/>
  <c r="M199" i="38" a="1"/>
  <c r="M199" i="38" s="1"/>
  <c r="L124" i="38"/>
  <c r="L135" i="38" s="1"/>
  <c r="O27" i="37" s="1"/>
  <c r="L199" i="38" a="1"/>
  <c r="L199" i="38" s="1"/>
  <c r="W204" i="38"/>
  <c r="W198" i="38"/>
  <c r="V24" i="38"/>
  <c r="V32" i="38" s="1"/>
  <c r="V40" i="38" s="1"/>
  <c r="V43" i="38" s="1"/>
  <c r="V214" i="38" s="1"/>
  <c r="V198" i="38"/>
  <c r="V124" i="38"/>
  <c r="V135" i="38" s="1"/>
  <c r="V199" i="38" a="1"/>
  <c r="V199" i="38" s="1"/>
  <c r="I124" i="38"/>
  <c r="I135" i="38" s="1"/>
  <c r="I199" i="38" a="1"/>
  <c r="I199" i="38" s="1"/>
  <c r="Q223" i="38"/>
  <c r="P199" i="38" a="1"/>
  <c r="P199" i="38" s="1"/>
  <c r="H124" i="38"/>
  <c r="H135" i="38" s="1"/>
  <c r="H199" i="38" a="1"/>
  <c r="H199" i="38" s="1"/>
  <c r="O286" i="30"/>
  <c r="N21" i="29"/>
  <c r="N27" i="29" s="1"/>
  <c r="N32" i="29" s="1"/>
  <c r="N56" i="29" s="1"/>
  <c r="F21" i="29"/>
  <c r="F27" i="29" s="1"/>
  <c r="O21" i="29"/>
  <c r="O27" i="29" s="1"/>
  <c r="O32" i="29" s="1"/>
  <c r="L21" i="29"/>
  <c r="L27" i="29" s="1"/>
  <c r="L32" i="29" s="1"/>
  <c r="L56" i="29" s="1"/>
  <c r="Q178" i="29"/>
  <c r="R178" i="29" s="1"/>
  <c r="R175" i="29" s="1"/>
  <c r="E15" i="30"/>
  <c r="E211" i="30" s="1"/>
  <c r="M233" i="30" s="1"/>
  <c r="G21" i="29"/>
  <c r="G27" i="29" s="1"/>
  <c r="G32" i="29" s="1"/>
  <c r="W200" i="29"/>
  <c r="W21" i="29"/>
  <c r="W27" i="29" s="1"/>
  <c r="W32" i="29" s="1"/>
  <c r="W56" i="29" s="1"/>
  <c r="J21" i="29"/>
  <c r="J27" i="29" s="1"/>
  <c r="J32" i="29" s="1"/>
  <c r="J56" i="29" s="1"/>
  <c r="Q200" i="29"/>
  <c r="Q21" i="29"/>
  <c r="V193" i="29"/>
  <c r="V21" i="29"/>
  <c r="V27" i="29" s="1"/>
  <c r="V32" i="29" s="1"/>
  <c r="V56" i="29" s="1"/>
  <c r="P21" i="29"/>
  <c r="P27" i="29" s="1"/>
  <c r="P32" i="29" s="1"/>
  <c r="P56" i="29" s="1"/>
  <c r="W201" i="30"/>
  <c r="S187" i="30"/>
  <c r="S201" i="30" s="1"/>
  <c r="V201" i="30"/>
  <c r="V127" i="52"/>
  <c r="N162" i="16"/>
  <c r="M264" i="16"/>
  <c r="F133" i="16"/>
  <c r="F143" i="16" s="1"/>
  <c r="R143" i="16" s="1"/>
  <c r="R126" i="16"/>
  <c r="R133" i="16" s="1"/>
  <c r="O264" i="16"/>
  <c r="K163" i="16"/>
  <c r="J165" i="16"/>
  <c r="I164" i="16"/>
  <c r="F134" i="16"/>
  <c r="F144" i="16" s="1"/>
  <c r="R144" i="16" s="1"/>
  <c r="R127" i="16"/>
  <c r="R134" i="16" s="1"/>
  <c r="O309" i="39"/>
  <c r="O312" i="39"/>
  <c r="O318" i="39" s="1"/>
  <c r="Q265" i="39"/>
  <c r="Q266" i="39"/>
  <c r="Q149" i="16"/>
  <c r="J22" i="3"/>
  <c r="J28" i="3" s="1"/>
  <c r="J35" i="3" s="1"/>
  <c r="J38" i="3" s="1"/>
  <c r="J103" i="3" s="1"/>
  <c r="J74" i="3"/>
  <c r="J76" i="3" s="1"/>
  <c r="L74" i="3"/>
  <c r="K22" i="3"/>
  <c r="K28" i="3" s="1"/>
  <c r="K35" i="3" s="1"/>
  <c r="K74" i="3"/>
  <c r="K76" i="3" s="1"/>
  <c r="V209" i="3"/>
  <c r="I74" i="3"/>
  <c r="P22" i="3"/>
  <c r="P28" i="3" s="1"/>
  <c r="P35" i="3" s="1"/>
  <c r="P74" i="3"/>
  <c r="P76" i="3" s="1"/>
  <c r="Q22" i="3"/>
  <c r="Q28" i="3" s="1"/>
  <c r="Q35" i="3" s="1"/>
  <c r="Q38" i="3" s="1"/>
  <c r="Q103" i="3" s="1"/>
  <c r="O22" i="3"/>
  <c r="O28" i="3" s="1"/>
  <c r="O35" i="3" s="1"/>
  <c r="O74" i="3"/>
  <c r="O76" i="3" s="1"/>
  <c r="N22" i="3"/>
  <c r="N28" i="3" s="1"/>
  <c r="N74" i="3"/>
  <c r="M22" i="3"/>
  <c r="M28" i="3" s="1"/>
  <c r="M35" i="3" s="1"/>
  <c r="M74" i="3"/>
  <c r="M76" i="3" s="1"/>
  <c r="G83" i="36"/>
  <c r="I83" i="36" s="1"/>
  <c r="G84" i="36"/>
  <c r="I84" i="36" s="1"/>
  <c r="J22" i="52"/>
  <c r="E31" i="36"/>
  <c r="S28" i="36" s="1"/>
  <c r="G86" i="36"/>
  <c r="I86" i="36" s="1"/>
  <c r="Q134" i="3"/>
  <c r="U27" i="14" s="1"/>
  <c r="Q140" i="4"/>
  <c r="Q267" i="39"/>
  <c r="J163" i="16"/>
  <c r="I165" i="16"/>
  <c r="K23" i="37"/>
  <c r="V12" i="52"/>
  <c r="J12" i="52"/>
  <c r="J94" i="52" s="1"/>
  <c r="F90" i="29"/>
  <c r="F57" i="29" s="1"/>
  <c r="F62" i="29" s="1"/>
  <c r="G85" i="36"/>
  <c r="M168" i="30"/>
  <c r="W187" i="39"/>
  <c r="W194" i="39" s="1"/>
  <c r="O169" i="30"/>
  <c r="Z43" i="27"/>
  <c r="G91" i="27"/>
  <c r="I91" i="27" s="1"/>
  <c r="Q271" i="39"/>
  <c r="Q262" i="39"/>
  <c r="D19" i="4"/>
  <c r="G87" i="13" s="1"/>
  <c r="I87" i="13" s="1"/>
  <c r="Q264" i="39"/>
  <c r="G22" i="52"/>
  <c r="D26" i="41"/>
  <c r="K223" i="30"/>
  <c r="K124" i="30"/>
  <c r="K127" i="30"/>
  <c r="K126" i="30"/>
  <c r="K125" i="30"/>
  <c r="W66" i="52"/>
  <c r="W93" i="52" s="1"/>
  <c r="W125" i="30"/>
  <c r="W124" i="30"/>
  <c r="W127" i="30"/>
  <c r="W126" i="30"/>
  <c r="J223" i="30"/>
  <c r="J127" i="30"/>
  <c r="J126" i="30"/>
  <c r="J125" i="30"/>
  <c r="J124" i="30"/>
  <c r="V66" i="52"/>
  <c r="V93" i="52" s="1"/>
  <c r="V124" i="30"/>
  <c r="V127" i="30"/>
  <c r="V126" i="30"/>
  <c r="V125" i="30"/>
  <c r="I66" i="52"/>
  <c r="I93" i="52" s="1"/>
  <c r="I127" i="30"/>
  <c r="I126" i="30"/>
  <c r="I125" i="30"/>
  <c r="I124" i="30"/>
  <c r="P66" i="52"/>
  <c r="P93" i="52" s="1"/>
  <c r="P127" i="30"/>
  <c r="P126" i="30"/>
  <c r="P125" i="30"/>
  <c r="P124" i="30"/>
  <c r="H66" i="52"/>
  <c r="H127" i="30"/>
  <c r="H126" i="30"/>
  <c r="H125" i="30"/>
  <c r="H124" i="30"/>
  <c r="O137" i="30"/>
  <c r="O96" i="30" s="1"/>
  <c r="O102" i="30" s="1"/>
  <c r="O127" i="30"/>
  <c r="O126" i="30"/>
  <c r="O125" i="30"/>
  <c r="O124" i="30"/>
  <c r="G127" i="30"/>
  <c r="G126" i="30"/>
  <c r="G125" i="30"/>
  <c r="G124" i="30"/>
  <c r="N137" i="30"/>
  <c r="N96" i="30" s="1"/>
  <c r="N102" i="30" s="1"/>
  <c r="N127" i="30"/>
  <c r="N126" i="30"/>
  <c r="N125" i="30"/>
  <c r="N124" i="30"/>
  <c r="F66" i="52"/>
  <c r="F93" i="52" s="1"/>
  <c r="F127" i="30"/>
  <c r="F126" i="30"/>
  <c r="F125" i="30"/>
  <c r="F124" i="30"/>
  <c r="M223" i="30"/>
  <c r="M126" i="30"/>
  <c r="M125" i="30"/>
  <c r="M124" i="30"/>
  <c r="M127" i="30"/>
  <c r="E223" i="30"/>
  <c r="E126" i="30"/>
  <c r="E127" i="30"/>
  <c r="E124" i="30"/>
  <c r="E125" i="30"/>
  <c r="L66" i="52"/>
  <c r="L93" i="52" s="1"/>
  <c r="L125" i="30"/>
  <c r="L124" i="30"/>
  <c r="L127" i="30"/>
  <c r="L126" i="30"/>
  <c r="V67" i="52"/>
  <c r="V176" i="52" s="1"/>
  <c r="V168" i="39"/>
  <c r="V170" i="39"/>
  <c r="V167" i="39"/>
  <c r="V169" i="39"/>
  <c r="M218" i="39"/>
  <c r="M225" i="39" s="1"/>
  <c r="M170" i="39"/>
  <c r="K217" i="39"/>
  <c r="K224" i="39" s="1"/>
  <c r="K169" i="39"/>
  <c r="J218" i="39"/>
  <c r="J225" i="39" s="1"/>
  <c r="J170" i="39"/>
  <c r="J217" i="39"/>
  <c r="J224" i="39" s="1"/>
  <c r="J169" i="39"/>
  <c r="Q218" i="39"/>
  <c r="Q225" i="39" s="1"/>
  <c r="Q170" i="39"/>
  <c r="I218" i="39"/>
  <c r="I225" i="39" s="1"/>
  <c r="I170" i="39"/>
  <c r="P218" i="39"/>
  <c r="P225" i="39" s="1"/>
  <c r="P170" i="39"/>
  <c r="L218" i="39"/>
  <c r="L225" i="39" s="1"/>
  <c r="L170" i="39"/>
  <c r="L217" i="39"/>
  <c r="L224" i="39" s="1"/>
  <c r="L169" i="39"/>
  <c r="O218" i="39"/>
  <c r="O225" i="39" s="1"/>
  <c r="O170" i="39"/>
  <c r="O217" i="39"/>
  <c r="O224" i="39" s="1"/>
  <c r="O169" i="39"/>
  <c r="W305" i="39"/>
  <c r="W167" i="39"/>
  <c r="W168" i="39"/>
  <c r="W169" i="39"/>
  <c r="W170" i="39"/>
  <c r="N218" i="39"/>
  <c r="N225" i="39" s="1"/>
  <c r="N170" i="39"/>
  <c r="N217" i="39"/>
  <c r="N224" i="39" s="1"/>
  <c r="N169" i="39"/>
  <c r="H111" i="39"/>
  <c r="O210" i="39"/>
  <c r="Q270" i="39"/>
  <c r="Q263" i="39"/>
  <c r="E205" i="39"/>
  <c r="I163" i="16"/>
  <c r="M219" i="39"/>
  <c r="J219" i="39"/>
  <c r="J160" i="39"/>
  <c r="J167" i="39" s="1"/>
  <c r="F49" i="52"/>
  <c r="J111" i="39"/>
  <c r="O164" i="16"/>
  <c r="J187" i="39"/>
  <c r="J194" i="39" s="1"/>
  <c r="O165" i="16"/>
  <c r="M187" i="39"/>
  <c r="M194" i="39" s="1"/>
  <c r="M169" i="30"/>
  <c r="K216" i="39"/>
  <c r="K223" i="39" s="1"/>
  <c r="K160" i="39"/>
  <c r="K167" i="39" s="1"/>
  <c r="S53" i="41"/>
  <c r="O197" i="30"/>
  <c r="I187" i="39"/>
  <c r="Q216" i="39"/>
  <c r="Q223" i="39" s="1"/>
  <c r="Q160" i="39"/>
  <c r="Q167" i="39" s="1"/>
  <c r="I216" i="39"/>
  <c r="I223" i="39" s="1"/>
  <c r="I160" i="39"/>
  <c r="I167" i="39" s="1"/>
  <c r="L17" i="52"/>
  <c r="P216" i="39"/>
  <c r="P223" i="39" s="1"/>
  <c r="P160" i="39"/>
  <c r="P167" i="39" s="1"/>
  <c r="K157" i="39"/>
  <c r="K55" i="52" s="1"/>
  <c r="L164" i="16"/>
  <c r="N169" i="30"/>
  <c r="K202" i="39"/>
  <c r="K209" i="39" s="1"/>
  <c r="K187" i="39"/>
  <c r="W12" i="52"/>
  <c r="W27" i="52" s="1"/>
  <c r="W109" i="52" s="1"/>
  <c r="W205" i="39"/>
  <c r="Q187" i="39"/>
  <c r="O216" i="39"/>
  <c r="O223" i="39" s="1"/>
  <c r="O160" i="39"/>
  <c r="O167" i="39" s="1"/>
  <c r="L165" i="16"/>
  <c r="K164" i="16"/>
  <c r="L216" i="39"/>
  <c r="L223" i="39" s="1"/>
  <c r="L160" i="39"/>
  <c r="L167" i="39" s="1"/>
  <c r="V205" i="39"/>
  <c r="O187" i="39"/>
  <c r="N216" i="39"/>
  <c r="N223" i="39" s="1"/>
  <c r="N160" i="39"/>
  <c r="N167" i="39" s="1"/>
  <c r="L163" i="16"/>
  <c r="K165" i="16"/>
  <c r="J164" i="16"/>
  <c r="N15" i="63"/>
  <c r="E206" i="30" s="1"/>
  <c r="K22" i="52"/>
  <c r="M313" i="39"/>
  <c r="M319" i="39" s="1"/>
  <c r="N187" i="39"/>
  <c r="M216" i="39"/>
  <c r="M223" i="39" s="1"/>
  <c r="M160" i="39"/>
  <c r="M167" i="39" s="1"/>
  <c r="K113" i="29"/>
  <c r="K121" i="29" s="1"/>
  <c r="O27" i="28" s="1"/>
  <c r="K183" i="29"/>
  <c r="J113" i="29"/>
  <c r="J121" i="29" s="1"/>
  <c r="N27" i="28" s="1"/>
  <c r="J183" i="29"/>
  <c r="M183" i="29"/>
  <c r="J143" i="29"/>
  <c r="J151" i="29" s="1"/>
  <c r="N18" i="52"/>
  <c r="N28" i="52" s="1"/>
  <c r="F18" i="52"/>
  <c r="F28" i="52" s="1"/>
  <c r="U17" i="14"/>
  <c r="Q190" i="3"/>
  <c r="V172" i="29"/>
  <c r="I143" i="29"/>
  <c r="I151" i="29" s="1"/>
  <c r="P143" i="29"/>
  <c r="P151" i="29" s="1"/>
  <c r="H143" i="29"/>
  <c r="H151" i="29" s="1"/>
  <c r="G6" i="29"/>
  <c r="O143" i="29"/>
  <c r="O151" i="29" s="1"/>
  <c r="G143" i="29"/>
  <c r="G151" i="29" s="1"/>
  <c r="Q143" i="29"/>
  <c r="N143" i="29"/>
  <c r="N151" i="29" s="1"/>
  <c r="F143" i="29"/>
  <c r="F151" i="29" s="1"/>
  <c r="M143" i="29"/>
  <c r="M151" i="29" s="1"/>
  <c r="E143" i="29"/>
  <c r="E151" i="29" s="1"/>
  <c r="U17" i="28"/>
  <c r="Q170" i="29"/>
  <c r="L143" i="29"/>
  <c r="L151" i="29" s="1"/>
  <c r="K143" i="29"/>
  <c r="K151" i="29" s="1"/>
  <c r="M162" i="3"/>
  <c r="E162" i="3"/>
  <c r="Q162" i="3"/>
  <c r="W162" i="3"/>
  <c r="J162" i="3"/>
  <c r="P162" i="3"/>
  <c r="H162" i="3"/>
  <c r="O162" i="3"/>
  <c r="G162" i="3"/>
  <c r="S157" i="3"/>
  <c r="N162" i="3"/>
  <c r="F162" i="3"/>
  <c r="L162" i="3"/>
  <c r="K162" i="3"/>
  <c r="Q187" i="3"/>
  <c r="Q188" i="3" s="1"/>
  <c r="S198" i="3"/>
  <c r="T198" i="3"/>
  <c r="R198" i="3"/>
  <c r="G6" i="3"/>
  <c r="G5" i="3" s="1"/>
  <c r="V162" i="3"/>
  <c r="I162" i="3"/>
  <c r="I192" i="3"/>
  <c r="W22" i="3"/>
  <c r="W28" i="3" s="1"/>
  <c r="W35" i="3" s="1"/>
  <c r="W38" i="3" s="1"/>
  <c r="W41" i="3" s="1"/>
  <c r="Q107" i="3"/>
  <c r="Q108" i="3"/>
  <c r="F20" i="14"/>
  <c r="W192" i="3"/>
  <c r="N162" i="52"/>
  <c r="N167" i="52" s="1"/>
  <c r="G23" i="28"/>
  <c r="G24" i="28" s="1"/>
  <c r="W156" i="29"/>
  <c r="N23" i="28"/>
  <c r="N24" i="28" s="1"/>
  <c r="J156" i="29"/>
  <c r="I156" i="29"/>
  <c r="P156" i="29"/>
  <c r="H156" i="29"/>
  <c r="S23" i="28"/>
  <c r="S24" i="28" s="1"/>
  <c r="O156" i="29"/>
  <c r="G156" i="29"/>
  <c r="F156" i="29"/>
  <c r="M156" i="29"/>
  <c r="E156" i="29"/>
  <c r="U23" i="28"/>
  <c r="Q156" i="29"/>
  <c r="L156" i="29"/>
  <c r="O23" i="28"/>
  <c r="O24" i="28" s="1"/>
  <c r="K156" i="29"/>
  <c r="N220" i="30"/>
  <c r="N125" i="52" s="1"/>
  <c r="N11" i="52"/>
  <c r="N21" i="52"/>
  <c r="E31" i="27"/>
  <c r="S28" i="27" s="1"/>
  <c r="V18" i="52"/>
  <c r="V28" i="52" s="1"/>
  <c r="V110" i="52" s="1"/>
  <c r="I18" i="52"/>
  <c r="I28" i="52" s="1"/>
  <c r="G6" i="16"/>
  <c r="G199" i="16" s="1"/>
  <c r="F12" i="52"/>
  <c r="F94" i="52" s="1"/>
  <c r="O166" i="52"/>
  <c r="L270" i="39"/>
  <c r="N12" i="52"/>
  <c r="N94" i="52" s="1"/>
  <c r="M147" i="39"/>
  <c r="F22" i="52"/>
  <c r="G6" i="39"/>
  <c r="G288" i="39" s="1"/>
  <c r="O188" i="38"/>
  <c r="G188" i="38"/>
  <c r="S188" i="38" s="1"/>
  <c r="I22" i="52"/>
  <c r="Q106" i="3"/>
  <c r="AQ248" i="29"/>
  <c r="N263" i="30"/>
  <c r="F263" i="30"/>
  <c r="N259" i="30"/>
  <c r="F259" i="30"/>
  <c r="R259" i="30" s="1"/>
  <c r="F223" i="30"/>
  <c r="R223" i="30" s="1"/>
  <c r="J245" i="16"/>
  <c r="I172" i="29"/>
  <c r="V207" i="38"/>
  <c r="V262" i="30"/>
  <c r="I262" i="30"/>
  <c r="V258" i="30"/>
  <c r="I258" i="30"/>
  <c r="L197" i="30"/>
  <c r="E12" i="39"/>
  <c r="N22" i="52"/>
  <c r="W68" i="52"/>
  <c r="W95" i="52" s="1"/>
  <c r="F178" i="30"/>
  <c r="T188" i="39"/>
  <c r="T195" i="39" s="1"/>
  <c r="W154" i="39"/>
  <c r="G23" i="63"/>
  <c r="E192" i="16" s="1"/>
  <c r="K219" i="39"/>
  <c r="K205" i="39"/>
  <c r="W155" i="39"/>
  <c r="W54" i="52" s="1"/>
  <c r="J141" i="39"/>
  <c r="J147" i="39" s="1"/>
  <c r="K155" i="39"/>
  <c r="W65" i="3"/>
  <c r="W67" i="3" s="1"/>
  <c r="W72" i="3" s="1"/>
  <c r="I111" i="39"/>
  <c r="P148" i="16"/>
  <c r="L261" i="16"/>
  <c r="L148" i="16"/>
  <c r="P121" i="16"/>
  <c r="P87" i="16" s="1"/>
  <c r="P93" i="16" s="1"/>
  <c r="P149" i="16"/>
  <c r="H68" i="52"/>
  <c r="L78" i="52" s="1"/>
  <c r="C125" i="16"/>
  <c r="C126" i="16"/>
  <c r="W104" i="16"/>
  <c r="W61" i="52" s="1"/>
  <c r="J102" i="16"/>
  <c r="J60" i="52" s="1"/>
  <c r="J128" i="16"/>
  <c r="J88" i="16" s="1"/>
  <c r="J94" i="16" s="1"/>
  <c r="V103" i="16"/>
  <c r="I103" i="16"/>
  <c r="C127" i="16"/>
  <c r="C124" i="16"/>
  <c r="H104" i="16"/>
  <c r="O101" i="16"/>
  <c r="O58" i="52" s="1"/>
  <c r="G102" i="16"/>
  <c r="F103" i="16"/>
  <c r="Q143" i="16"/>
  <c r="M104" i="16"/>
  <c r="E101" i="16"/>
  <c r="E58" i="52" s="1"/>
  <c r="P68" i="52"/>
  <c r="Q43" i="29"/>
  <c r="G65" i="3"/>
  <c r="G67" i="3" s="1"/>
  <c r="G72" i="3" s="1"/>
  <c r="P214" i="16"/>
  <c r="P220" i="16" s="1"/>
  <c r="L149" i="16"/>
  <c r="T134" i="16"/>
  <c r="T131" i="16"/>
  <c r="P204" i="39"/>
  <c r="P190" i="39" s="1"/>
  <c r="P183" i="39" s="1"/>
  <c r="K124" i="3"/>
  <c r="K134" i="3" s="1"/>
  <c r="O27" i="14" s="1"/>
  <c r="P245" i="16"/>
  <c r="H245" i="16"/>
  <c r="P209" i="16"/>
  <c r="P210" i="16" s="1"/>
  <c r="N298" i="39"/>
  <c r="K182" i="39"/>
  <c r="S189" i="39"/>
  <c r="M156" i="39"/>
  <c r="M172" i="16"/>
  <c r="M174" i="16" s="1"/>
  <c r="J156" i="39"/>
  <c r="J53" i="52" s="1"/>
  <c r="P244" i="16"/>
  <c r="W241" i="16"/>
  <c r="J241" i="16"/>
  <c r="H240" i="16"/>
  <c r="T240" i="16" s="1"/>
  <c r="P194" i="29"/>
  <c r="AQ30" i="61"/>
  <c r="AR30" i="61" s="1"/>
  <c r="H17" i="52"/>
  <c r="L167" i="30"/>
  <c r="N188" i="38"/>
  <c r="F188" i="38"/>
  <c r="M181" i="39"/>
  <c r="V155" i="39"/>
  <c r="V54" i="52" s="1"/>
  <c r="P243" i="16"/>
  <c r="N242" i="16"/>
  <c r="L241" i="16"/>
  <c r="L242" i="16"/>
  <c r="H22" i="52"/>
  <c r="N312" i="39"/>
  <c r="N318" i="39" s="1"/>
  <c r="J312" i="39"/>
  <c r="L219" i="39"/>
  <c r="O32" i="28"/>
  <c r="L243" i="16"/>
  <c r="P85" i="52"/>
  <c r="F23" i="14"/>
  <c r="F24" i="14" s="1"/>
  <c r="AQ12" i="61"/>
  <c r="AR12" i="61" s="1"/>
  <c r="P17" i="52"/>
  <c r="P27" i="52" s="1"/>
  <c r="P109" i="52" s="1"/>
  <c r="P159" i="16"/>
  <c r="S17" i="28"/>
  <c r="L103" i="16"/>
  <c r="L104" i="16"/>
  <c r="L145" i="16"/>
  <c r="H18" i="52"/>
  <c r="H28" i="52" s="1"/>
  <c r="H172" i="16"/>
  <c r="H174" i="16" s="1"/>
  <c r="K205" i="16"/>
  <c r="K127" i="52" s="1"/>
  <c r="K162" i="52"/>
  <c r="K177" i="52" s="1"/>
  <c r="P140" i="39"/>
  <c r="P146" i="39" s="1"/>
  <c r="P313" i="39"/>
  <c r="P319" i="39" s="1"/>
  <c r="O214" i="16"/>
  <c r="O220" i="16" s="1"/>
  <c r="O68" i="52"/>
  <c r="O209" i="16"/>
  <c r="O210" i="16" s="1"/>
  <c r="L162" i="52"/>
  <c r="L172" i="52" s="1"/>
  <c r="F23" i="28"/>
  <c r="F24" i="28" s="1"/>
  <c r="N181" i="39"/>
  <c r="F187" i="3"/>
  <c r="F188" i="3" s="1"/>
  <c r="F199" i="3"/>
  <c r="AQ50" i="61"/>
  <c r="AR50" i="61" s="1"/>
  <c r="P18" i="52"/>
  <c r="P28" i="52" s="1"/>
  <c r="R20" i="14"/>
  <c r="K20" i="14" s="1"/>
  <c r="N81" i="3"/>
  <c r="N83" i="3" s="1"/>
  <c r="N27" i="16" s="1"/>
  <c r="N106" i="3"/>
  <c r="M10" i="39"/>
  <c r="M12" i="52"/>
  <c r="M94" i="52" s="1"/>
  <c r="E10" i="39"/>
  <c r="E12" i="52"/>
  <c r="E94" i="52" s="1"/>
  <c r="G68" i="52"/>
  <c r="K78" i="52" s="1"/>
  <c r="G180" i="39"/>
  <c r="S32" i="28"/>
  <c r="L12" i="52"/>
  <c r="L94" i="52" s="1"/>
  <c r="AG248" i="29"/>
  <c r="AG250" i="29" s="1"/>
  <c r="AG252" i="29" s="1"/>
  <c r="G17" i="37"/>
  <c r="W157" i="39"/>
  <c r="K156" i="39"/>
  <c r="F145" i="16"/>
  <c r="T32" i="28"/>
  <c r="R147" i="3"/>
  <c r="S147" i="3" s="1"/>
  <c r="T147" i="3" s="1"/>
  <c r="L181" i="16"/>
  <c r="T32" i="14"/>
  <c r="CH47" i="61"/>
  <c r="CI47" i="61" s="1"/>
  <c r="Q168" i="30"/>
  <c r="V206" i="38"/>
  <c r="V187" i="38"/>
  <c r="K309" i="39"/>
  <c r="L205" i="39"/>
  <c r="V195" i="29"/>
  <c r="V187" i="29"/>
  <c r="D34" i="32"/>
  <c r="V204" i="38"/>
  <c r="V188" i="38"/>
  <c r="J188" i="38"/>
  <c r="G298" i="39"/>
  <c r="G23" i="14"/>
  <c r="G24" i="14" s="1"/>
  <c r="H65" i="3"/>
  <c r="H67" i="3" s="1"/>
  <c r="H72" i="3" s="1"/>
  <c r="N209" i="16"/>
  <c r="O241" i="16"/>
  <c r="M240" i="16"/>
  <c r="S220" i="38"/>
  <c r="T202" i="39"/>
  <c r="G111" i="39"/>
  <c r="R103" i="39"/>
  <c r="G245" i="3"/>
  <c r="AP251" i="3"/>
  <c r="W243" i="16"/>
  <c r="J243" i="16"/>
  <c r="P242" i="16"/>
  <c r="H242" i="16"/>
  <c r="T242" i="16" s="1"/>
  <c r="N241" i="16"/>
  <c r="J95" i="52"/>
  <c r="Q227" i="29"/>
  <c r="Q237" i="29" s="1"/>
  <c r="Q204" i="29"/>
  <c r="F101" i="17"/>
  <c r="AQ66" i="61"/>
  <c r="AR66" i="61" s="1"/>
  <c r="V200" i="29"/>
  <c r="V194" i="29"/>
  <c r="R220" i="38"/>
  <c r="J187" i="38"/>
  <c r="M149" i="16"/>
  <c r="K151" i="16"/>
  <c r="F104" i="16"/>
  <c r="F61" i="52" s="1"/>
  <c r="K244" i="16"/>
  <c r="U32" i="28"/>
  <c r="K32" i="28" s="1"/>
  <c r="O32" i="14"/>
  <c r="U24" i="14"/>
  <c r="K23" i="14"/>
  <c r="K54" i="14" s="1"/>
  <c r="I61" i="13" s="1"/>
  <c r="W53" i="52"/>
  <c r="K52" i="52"/>
  <c r="P205" i="16"/>
  <c r="P127" i="52" s="1"/>
  <c r="P162" i="52"/>
  <c r="P167" i="52" s="1"/>
  <c r="AQ56" i="61"/>
  <c r="AR56" i="61" s="1"/>
  <c r="AQ46" i="61"/>
  <c r="AR46" i="61" s="1"/>
  <c r="AQ38" i="61"/>
  <c r="AR38" i="61" s="1"/>
  <c r="E66" i="52"/>
  <c r="E22" i="52"/>
  <c r="M261" i="30"/>
  <c r="E261" i="30"/>
  <c r="M256" i="30"/>
  <c r="E256" i="30"/>
  <c r="N198" i="30"/>
  <c r="N164" i="30"/>
  <c r="F164" i="30"/>
  <c r="G113" i="30"/>
  <c r="G49" i="52" s="1"/>
  <c r="O181" i="39"/>
  <c r="S160" i="39"/>
  <c r="N261" i="16"/>
  <c r="E172" i="16"/>
  <c r="E174" i="16" s="1"/>
  <c r="H159" i="16"/>
  <c r="I162" i="16"/>
  <c r="I104" i="16"/>
  <c r="R32" i="28"/>
  <c r="R32" i="14"/>
  <c r="CH18" i="61"/>
  <c r="CI18" i="61" s="1"/>
  <c r="AQ18" i="61"/>
  <c r="AR18" i="61" s="1"/>
  <c r="Q176" i="52"/>
  <c r="I176" i="52"/>
  <c r="L22" i="52"/>
  <c r="N262" i="30"/>
  <c r="F262" i="30"/>
  <c r="R262" i="30" s="1"/>
  <c r="N258" i="30"/>
  <c r="F258" i="30"/>
  <c r="R258" i="30" s="1"/>
  <c r="G198" i="30"/>
  <c r="L183" i="39"/>
  <c r="P106" i="3"/>
  <c r="F159" i="16"/>
  <c r="Q32" i="28"/>
  <c r="Q32" i="14"/>
  <c r="AQ58" i="61"/>
  <c r="AR58" i="61" s="1"/>
  <c r="L18" i="52"/>
  <c r="L28" i="52" s="1"/>
  <c r="L110" i="52" s="1"/>
  <c r="M262" i="30"/>
  <c r="E262" i="30"/>
  <c r="F198" i="30"/>
  <c r="N178" i="30"/>
  <c r="T190" i="39"/>
  <c r="T197" i="39" s="1"/>
  <c r="W203" i="3"/>
  <c r="Q245" i="3"/>
  <c r="Q249" i="3" s="1"/>
  <c r="P32" i="28"/>
  <c r="P32" i="14"/>
  <c r="AQ51" i="61"/>
  <c r="AR51" i="61" s="1"/>
  <c r="AQ32" i="61"/>
  <c r="AR32" i="61" s="1"/>
  <c r="AQ16" i="61"/>
  <c r="AR16" i="61" s="1"/>
  <c r="N68" i="52"/>
  <c r="N66" i="52"/>
  <c r="N197" i="30"/>
  <c r="O110" i="30"/>
  <c r="Q205" i="38"/>
  <c r="I205" i="38"/>
  <c r="V305" i="39"/>
  <c r="V256" i="39"/>
  <c r="W248" i="39"/>
  <c r="V247" i="39"/>
  <c r="W210" i="3"/>
  <c r="P67" i="3"/>
  <c r="P72" i="3" s="1"/>
  <c r="K203" i="3"/>
  <c r="N245" i="16"/>
  <c r="F245" i="16"/>
  <c r="O227" i="16"/>
  <c r="O238" i="16" s="1"/>
  <c r="O168" i="30"/>
  <c r="P150" i="16"/>
  <c r="M66" i="52"/>
  <c r="M175" i="52" s="1"/>
  <c r="W178" i="29"/>
  <c r="W167" i="29" s="1"/>
  <c r="W168" i="29" s="1"/>
  <c r="J178" i="29"/>
  <c r="J167" i="29" s="1"/>
  <c r="J168" i="29" s="1"/>
  <c r="R135" i="29"/>
  <c r="S135" i="29" s="1"/>
  <c r="T135" i="29" s="1"/>
  <c r="N260" i="30"/>
  <c r="F260" i="30"/>
  <c r="R260" i="30" s="1"/>
  <c r="G110" i="30"/>
  <c r="G46" i="52" s="1"/>
  <c r="O187" i="38"/>
  <c r="G187" i="38"/>
  <c r="H205" i="38"/>
  <c r="J155" i="39"/>
  <c r="S222" i="3"/>
  <c r="W209" i="3"/>
  <c r="V188" i="3"/>
  <c r="P128" i="16"/>
  <c r="H128" i="16"/>
  <c r="T133" i="16"/>
  <c r="T82" i="16" s="1"/>
  <c r="V104" i="16"/>
  <c r="N159" i="16"/>
  <c r="H243" i="16"/>
  <c r="T243" i="16" s="1"/>
  <c r="F242" i="16"/>
  <c r="R242" i="16" s="1"/>
  <c r="W240" i="16"/>
  <c r="J240" i="16"/>
  <c r="H239" i="16"/>
  <c r="T239" i="16" s="1"/>
  <c r="F29" i="17"/>
  <c r="CH56" i="61"/>
  <c r="CI56" i="61" s="1"/>
  <c r="AQ52" i="61"/>
  <c r="AR52" i="61" s="1"/>
  <c r="W101" i="29"/>
  <c r="G13" i="28" s="1"/>
  <c r="M260" i="30"/>
  <c r="E260" i="30"/>
  <c r="G197" i="30"/>
  <c r="V239" i="39"/>
  <c r="V254" i="39" s="1"/>
  <c r="H180" i="39"/>
  <c r="J154" i="39"/>
  <c r="L98" i="39"/>
  <c r="L101" i="39" s="1"/>
  <c r="L105" i="39" s="1"/>
  <c r="W250" i="39"/>
  <c r="V249" i="39"/>
  <c r="R222" i="3"/>
  <c r="N209" i="3"/>
  <c r="L107" i="3"/>
  <c r="L87" i="3"/>
  <c r="L33" i="16" s="1"/>
  <c r="P15" i="14" s="1"/>
  <c r="W87" i="3"/>
  <c r="W33" i="16" s="1"/>
  <c r="G15" i="14" s="1"/>
  <c r="J87" i="3"/>
  <c r="J33" i="16" s="1"/>
  <c r="N15" i="14" s="1"/>
  <c r="L245" i="16"/>
  <c r="P239" i="16"/>
  <c r="W181" i="16"/>
  <c r="N104" i="16"/>
  <c r="N101" i="16"/>
  <c r="Q223" i="3"/>
  <c r="U32" i="14"/>
  <c r="K32" i="14" s="1"/>
  <c r="AQ64" i="61"/>
  <c r="AR64" i="61" s="1"/>
  <c r="CH50" i="61"/>
  <c r="CI50" i="61" s="1"/>
  <c r="AQ26" i="61"/>
  <c r="AR26" i="61" s="1"/>
  <c r="N261" i="30"/>
  <c r="F261" i="30"/>
  <c r="R261" i="30" s="1"/>
  <c r="N256" i="30"/>
  <c r="F256" i="30"/>
  <c r="O198" i="30"/>
  <c r="F197" i="30"/>
  <c r="G164" i="30"/>
  <c r="S33" i="36"/>
  <c r="T160" i="39"/>
  <c r="V157" i="39"/>
  <c r="K111" i="39"/>
  <c r="K209" i="3"/>
  <c r="G107" i="3"/>
  <c r="Q210" i="3"/>
  <c r="P240" i="16"/>
  <c r="N239" i="16"/>
  <c r="V181" i="16"/>
  <c r="I181" i="16"/>
  <c r="S32" i="14"/>
  <c r="U19" i="14"/>
  <c r="K19" i="14" s="1"/>
  <c r="F53" i="17"/>
  <c r="AQ72" i="61"/>
  <c r="AR72" i="61" s="1"/>
  <c r="AQ68" i="61"/>
  <c r="AR68" i="61" s="1"/>
  <c r="AQ44" i="61"/>
  <c r="AR44" i="61" s="1"/>
  <c r="AQ43" i="61"/>
  <c r="AR43" i="61" s="1"/>
  <c r="CH35" i="61"/>
  <c r="CI35" i="61" s="1"/>
  <c r="AQ28" i="61"/>
  <c r="AR28" i="61" s="1"/>
  <c r="AQ24" i="61"/>
  <c r="AR24" i="61" s="1"/>
  <c r="CH15" i="61"/>
  <c r="CI15" i="61" s="1"/>
  <c r="AQ11" i="61"/>
  <c r="AR11" i="61" s="1"/>
  <c r="W15" i="39"/>
  <c r="W302" i="39"/>
  <c r="W126" i="52" s="1"/>
  <c r="W62" i="38"/>
  <c r="V15" i="39"/>
  <c r="V302" i="39"/>
  <c r="V126" i="52" s="1"/>
  <c r="V62" i="38"/>
  <c r="AQ74" i="61"/>
  <c r="AR74" i="61" s="1"/>
  <c r="CH69" i="61"/>
  <c r="CI69" i="61" s="1"/>
  <c r="CH64" i="61"/>
  <c r="CI64" i="61" s="1"/>
  <c r="CH41" i="61"/>
  <c r="CI41" i="61" s="1"/>
  <c r="CH9" i="61"/>
  <c r="CI9" i="61" s="1"/>
  <c r="CH6" i="61"/>
  <c r="CI6" i="61" s="1"/>
  <c r="V49" i="29"/>
  <c r="V48" i="29" s="1"/>
  <c r="V90" i="29"/>
  <c r="V57" i="29" s="1"/>
  <c r="V62" i="29" s="1"/>
  <c r="F77" i="17"/>
  <c r="AQ76" i="61"/>
  <c r="AR76" i="61" s="1"/>
  <c r="AQ75" i="61"/>
  <c r="AR75" i="61" s="1"/>
  <c r="CH67" i="61"/>
  <c r="CI67" i="61" s="1"/>
  <c r="AQ62" i="61"/>
  <c r="AR62" i="61" s="1"/>
  <c r="AQ60" i="61"/>
  <c r="AR60" i="61" s="1"/>
  <c r="CH52" i="61"/>
  <c r="CI52" i="61" s="1"/>
  <c r="AQ48" i="61"/>
  <c r="AR48" i="61" s="1"/>
  <c r="AQ34" i="61"/>
  <c r="AR34" i="61" s="1"/>
  <c r="CH8" i="61"/>
  <c r="CI8" i="61" s="1"/>
  <c r="T25" i="28"/>
  <c r="R23" i="28"/>
  <c r="R24" i="28" s="1"/>
  <c r="H110" i="29"/>
  <c r="AQ70" i="61"/>
  <c r="AR70" i="61" s="1"/>
  <c r="CH44" i="61"/>
  <c r="CI44" i="61" s="1"/>
  <c r="CH26" i="61"/>
  <c r="CI26" i="61" s="1"/>
  <c r="CH24" i="61"/>
  <c r="CI24" i="61" s="1"/>
  <c r="AQ14" i="61"/>
  <c r="AR14" i="61" s="1"/>
  <c r="AQ6" i="61"/>
  <c r="AR6" i="61" s="1"/>
  <c r="Q195" i="29"/>
  <c r="T35" i="32"/>
  <c r="T211" i="29" s="1"/>
  <c r="S211" i="29"/>
  <c r="AF464" i="60"/>
  <c r="CH73" i="61"/>
  <c r="CI73" i="61" s="1"/>
  <c r="AQ40" i="61"/>
  <c r="AR40" i="61" s="1"/>
  <c r="AQ36" i="61"/>
  <c r="AR36" i="61" s="1"/>
  <c r="AQ10" i="61"/>
  <c r="AR10" i="61" s="1"/>
  <c r="J43" i="29"/>
  <c r="N18" i="28"/>
  <c r="R20" i="28"/>
  <c r="G100" i="29"/>
  <c r="G101" i="29" s="1"/>
  <c r="I99" i="29"/>
  <c r="Q48" i="29"/>
  <c r="CH76" i="61"/>
  <c r="CI76" i="61" s="1"/>
  <c r="CH58" i="61"/>
  <c r="CI58" i="61" s="1"/>
  <c r="AQ54" i="61"/>
  <c r="AR54" i="61" s="1"/>
  <c r="CH46" i="61"/>
  <c r="CI46" i="61" s="1"/>
  <c r="AQ42" i="61"/>
  <c r="AR42" i="61" s="1"/>
  <c r="CH37" i="61"/>
  <c r="CI37" i="61" s="1"/>
  <c r="CH32" i="61"/>
  <c r="CI32" i="61" s="1"/>
  <c r="AQ22" i="61"/>
  <c r="AR22" i="61" s="1"/>
  <c r="CH12" i="61"/>
  <c r="CI12" i="61" s="1"/>
  <c r="AQ8" i="61"/>
  <c r="AR8" i="61" s="1"/>
  <c r="P172" i="29"/>
  <c r="L260" i="30"/>
  <c r="W298" i="39"/>
  <c r="J298" i="39"/>
  <c r="K203" i="39"/>
  <c r="K210" i="39" s="1"/>
  <c r="Q141" i="39"/>
  <c r="Q147" i="39" s="1"/>
  <c r="I141" i="39"/>
  <c r="I147" i="39" s="1"/>
  <c r="K181" i="39"/>
  <c r="V156" i="39"/>
  <c r="W249" i="39"/>
  <c r="V248" i="39"/>
  <c r="G243" i="3"/>
  <c r="M209" i="3"/>
  <c r="M245" i="16"/>
  <c r="E245" i="16"/>
  <c r="M227" i="16"/>
  <c r="M238" i="16" s="1"/>
  <c r="K172" i="16"/>
  <c r="K174" i="16" s="1"/>
  <c r="K187" i="16" s="1"/>
  <c r="E145" i="16"/>
  <c r="S131" i="16"/>
  <c r="S80" i="16" s="1"/>
  <c r="E104" i="16"/>
  <c r="T17" i="28"/>
  <c r="O23" i="14"/>
  <c r="O24" i="14" s="1"/>
  <c r="Q194" i="29"/>
  <c r="T23" i="28"/>
  <c r="T24" i="28" s="1"/>
  <c r="S18" i="28"/>
  <c r="W193" i="29"/>
  <c r="L261" i="30"/>
  <c r="W260" i="30"/>
  <c r="J260" i="30"/>
  <c r="L256" i="30"/>
  <c r="Q62" i="38"/>
  <c r="N24" i="38"/>
  <c r="N32" i="38" s="1"/>
  <c r="N40" i="38" s="1"/>
  <c r="P205" i="38"/>
  <c r="N313" i="39"/>
  <c r="N319" i="39" s="1"/>
  <c r="W246" i="39"/>
  <c r="E219" i="39"/>
  <c r="M205" i="39"/>
  <c r="P202" i="39"/>
  <c r="P188" i="39" s="1"/>
  <c r="P181" i="39" s="1"/>
  <c r="O147" i="39"/>
  <c r="M146" i="39"/>
  <c r="M157" i="39"/>
  <c r="M155" i="39"/>
  <c r="L156" i="39"/>
  <c r="L114" i="39"/>
  <c r="W251" i="39"/>
  <c r="V250" i="39"/>
  <c r="N210" i="3"/>
  <c r="M106" i="3"/>
  <c r="V87" i="3"/>
  <c r="V33" i="16" s="1"/>
  <c r="F15" i="14" s="1"/>
  <c r="I87" i="3"/>
  <c r="I33" i="16" s="1"/>
  <c r="J67" i="3"/>
  <c r="J72" i="3" s="1"/>
  <c r="H22" i="3"/>
  <c r="H28" i="3" s="1"/>
  <c r="H35" i="3" s="1"/>
  <c r="O121" i="16"/>
  <c r="O87" i="16" s="1"/>
  <c r="O93" i="16" s="1"/>
  <c r="N102" i="16"/>
  <c r="N60" i="52" s="1"/>
  <c r="N103" i="16"/>
  <c r="F101" i="16"/>
  <c r="Q234" i="3"/>
  <c r="Q241" i="3" s="1"/>
  <c r="Q203" i="3"/>
  <c r="Q246" i="29"/>
  <c r="Q193" i="29"/>
  <c r="R17" i="28"/>
  <c r="Q216" i="29"/>
  <c r="L176" i="52"/>
  <c r="L72" i="52"/>
  <c r="F24" i="38"/>
  <c r="F32" i="38" s="1"/>
  <c r="F40" i="38" s="1"/>
  <c r="F43" i="38" s="1"/>
  <c r="F45" i="38" s="1"/>
  <c r="L309" i="39"/>
  <c r="L271" i="39"/>
  <c r="I210" i="39"/>
  <c r="L157" i="39"/>
  <c r="W252" i="39"/>
  <c r="V251" i="39"/>
  <c r="M210" i="3"/>
  <c r="G22" i="3"/>
  <c r="G28" i="3" s="1"/>
  <c r="G35" i="3" s="1"/>
  <c r="G241" i="16"/>
  <c r="F209" i="16"/>
  <c r="R209" i="16" s="1"/>
  <c r="O181" i="16"/>
  <c r="N128" i="16"/>
  <c r="N88" i="16" s="1"/>
  <c r="N94" i="16" s="1"/>
  <c r="S134" i="16"/>
  <c r="S83" i="16" s="1"/>
  <c r="S158" i="16" s="1"/>
  <c r="S165" i="16" s="1"/>
  <c r="N121" i="16"/>
  <c r="N87" i="16" s="1"/>
  <c r="N93" i="16" s="1"/>
  <c r="M102" i="16"/>
  <c r="J104" i="16"/>
  <c r="M103" i="16"/>
  <c r="Q189" i="29"/>
  <c r="T23" i="14"/>
  <c r="T24" i="14" s="1"/>
  <c r="S17" i="14"/>
  <c r="J205" i="38"/>
  <c r="N202" i="39"/>
  <c r="N209" i="39" s="1"/>
  <c r="T203" i="39"/>
  <c r="Q211" i="39"/>
  <c r="K210" i="3"/>
  <c r="F108" i="3"/>
  <c r="O101" i="3"/>
  <c r="O38" i="16" s="1"/>
  <c r="S16" i="14" s="1"/>
  <c r="F241" i="16"/>
  <c r="E240" i="16"/>
  <c r="F239" i="16"/>
  <c r="R239" i="16" s="1"/>
  <c r="N181" i="16"/>
  <c r="F181" i="16"/>
  <c r="M128" i="16"/>
  <c r="L102" i="16"/>
  <c r="W242" i="16"/>
  <c r="P241" i="16"/>
  <c r="Q151" i="16"/>
  <c r="N17" i="28"/>
  <c r="Q23" i="28"/>
  <c r="Q24" i="28" s="1"/>
  <c r="P18" i="28"/>
  <c r="P17" i="28"/>
  <c r="J176" i="52"/>
  <c r="K313" i="39"/>
  <c r="K319" i="39" s="1"/>
  <c r="Q302" i="39"/>
  <c r="Q126" i="52" s="1"/>
  <c r="J205" i="39"/>
  <c r="K211" i="39"/>
  <c r="M202" i="39"/>
  <c r="M209" i="39" s="1"/>
  <c r="Q210" i="39"/>
  <c r="F180" i="39"/>
  <c r="E155" i="39"/>
  <c r="E156" i="39"/>
  <c r="W255" i="39"/>
  <c r="F106" i="3"/>
  <c r="E244" i="16"/>
  <c r="E181" i="16"/>
  <c r="M145" i="16"/>
  <c r="F102" i="16"/>
  <c r="O13" i="16"/>
  <c r="O66" i="16" s="1"/>
  <c r="Q187" i="29"/>
  <c r="P23" i="28"/>
  <c r="P24" i="28" s="1"/>
  <c r="O18" i="28"/>
  <c r="O17" i="28"/>
  <c r="Q17" i="14"/>
  <c r="J83" i="30"/>
  <c r="J35" i="30" s="1"/>
  <c r="N16" i="28" s="1"/>
  <c r="I302" i="39"/>
  <c r="I126" i="52" s="1"/>
  <c r="V252" i="39"/>
  <c r="E157" i="39"/>
  <c r="W256" i="39"/>
  <c r="V255" i="39"/>
  <c r="W247" i="39"/>
  <c r="V246" i="39"/>
  <c r="O245" i="16"/>
  <c r="G245" i="16"/>
  <c r="M181" i="16"/>
  <c r="E102" i="16"/>
  <c r="G104" i="16"/>
  <c r="N17" i="14"/>
  <c r="S24" i="14"/>
  <c r="Q23" i="14"/>
  <c r="Q24" i="14" s="1"/>
  <c r="I62" i="38"/>
  <c r="L203" i="39"/>
  <c r="L189" i="39" s="1"/>
  <c r="L187" i="39" s="1"/>
  <c r="O242" i="16"/>
  <c r="G242" i="16"/>
  <c r="S242" i="16" s="1"/>
  <c r="M241" i="16"/>
  <c r="E241" i="16"/>
  <c r="V199" i="3"/>
  <c r="Q209" i="3"/>
  <c r="N20" i="28"/>
  <c r="R24" i="14"/>
  <c r="P23" i="14"/>
  <c r="P24" i="14" s="1"/>
  <c r="I72" i="52"/>
  <c r="M90" i="52"/>
  <c r="P171" i="52"/>
  <c r="Q86" i="52"/>
  <c r="I86" i="52"/>
  <c r="M176" i="52"/>
  <c r="I171" i="52"/>
  <c r="Q72" i="52"/>
  <c r="P155" i="52"/>
  <c r="L166" i="52"/>
  <c r="Q94" i="52"/>
  <c r="I94" i="52"/>
  <c r="J166" i="52"/>
  <c r="L157" i="52"/>
  <c r="O86" i="52"/>
  <c r="W176" i="52"/>
  <c r="K176" i="52"/>
  <c r="L151" i="52"/>
  <c r="J155" i="52"/>
  <c r="L95" i="52"/>
  <c r="S86" i="52"/>
  <c r="I151" i="52"/>
  <c r="R90" i="52"/>
  <c r="T89" i="52"/>
  <c r="L85" i="52"/>
  <c r="Q77" i="52"/>
  <c r="M89" i="52"/>
  <c r="P77" i="52"/>
  <c r="W5" i="52"/>
  <c r="P176" i="52"/>
  <c r="P156" i="52"/>
  <c r="N77" i="52"/>
  <c r="K95" i="52"/>
  <c r="N176" i="52"/>
  <c r="Q151" i="52"/>
  <c r="I157" i="52"/>
  <c r="L156" i="52"/>
  <c r="P94" i="52"/>
  <c r="Q89" i="52"/>
  <c r="I85" i="52"/>
  <c r="L77" i="52"/>
  <c r="N171" i="52"/>
  <c r="M78" i="52"/>
  <c r="Q27" i="52"/>
  <c r="Q109" i="52" s="1"/>
  <c r="H176" i="52"/>
  <c r="Q166" i="52"/>
  <c r="V205" i="38"/>
  <c r="M209" i="38"/>
  <c r="M228" i="38" s="1"/>
  <c r="O205" i="38"/>
  <c r="W205" i="38"/>
  <c r="N205" i="38"/>
  <c r="M205" i="38"/>
  <c r="L205" i="38"/>
  <c r="K205" i="38"/>
  <c r="G9" i="37"/>
  <c r="W207" i="38"/>
  <c r="I17" i="52"/>
  <c r="Q114" i="39"/>
  <c r="O263" i="39"/>
  <c r="K187" i="38"/>
  <c r="F209" i="38"/>
  <c r="F228" i="38" s="1"/>
  <c r="I114" i="39"/>
  <c r="K17" i="52"/>
  <c r="O209" i="38"/>
  <c r="O228" i="38" s="1"/>
  <c r="I204" i="38"/>
  <c r="Q207" i="38"/>
  <c r="I206" i="38"/>
  <c r="K271" i="39"/>
  <c r="L263" i="39"/>
  <c r="P262" i="39"/>
  <c r="G17" i="52"/>
  <c r="I207" i="38"/>
  <c r="J204" i="38"/>
  <c r="Q187" i="38"/>
  <c r="I187" i="38"/>
  <c r="P263" i="39"/>
  <c r="N120" i="39"/>
  <c r="N23" i="39" s="1"/>
  <c r="N238" i="39" s="1"/>
  <c r="N253" i="39" s="1"/>
  <c r="Q206" i="38"/>
  <c r="J198" i="38"/>
  <c r="L188" i="38"/>
  <c r="P124" i="38"/>
  <c r="P135" i="38" s="1"/>
  <c r="S27" i="37" s="1"/>
  <c r="J206" i="38"/>
  <c r="I198" i="38"/>
  <c r="O17" i="52"/>
  <c r="O27" i="52" s="1"/>
  <c r="Q198" i="38"/>
  <c r="F30" i="37"/>
  <c r="F32" i="37" s="1"/>
  <c r="F24" i="37"/>
  <c r="K112" i="38"/>
  <c r="N13" i="37" s="1"/>
  <c r="L187" i="38"/>
  <c r="M206" i="38"/>
  <c r="H206" i="38"/>
  <c r="K207" i="38"/>
  <c r="Q188" i="38"/>
  <c r="I188" i="38"/>
  <c r="K267" i="39"/>
  <c r="J207" i="38"/>
  <c r="Q204" i="38"/>
  <c r="P188" i="38"/>
  <c r="H188" i="38"/>
  <c r="T188" i="38" s="1"/>
  <c r="V17" i="52"/>
  <c r="N24" i="37"/>
  <c r="H204" i="38"/>
  <c r="N209" i="38"/>
  <c r="N228" i="38" s="1"/>
  <c r="N264" i="39"/>
  <c r="N265" i="39"/>
  <c r="P204" i="38"/>
  <c r="L239" i="39"/>
  <c r="L254" i="39" s="1"/>
  <c r="L269" i="39" s="1"/>
  <c r="P206" i="38"/>
  <c r="O69" i="38"/>
  <c r="O38" i="39" s="1"/>
  <c r="J17" i="52"/>
  <c r="O207" i="38"/>
  <c r="H209" i="38"/>
  <c r="H228" i="38" s="1"/>
  <c r="W120" i="39"/>
  <c r="W23" i="39" s="1"/>
  <c r="W238" i="39" s="1"/>
  <c r="W253" i="39" s="1"/>
  <c r="J114" i="39"/>
  <c r="G24" i="37"/>
  <c r="G209" i="38"/>
  <c r="G228" i="38" s="1"/>
  <c r="E135" i="38"/>
  <c r="J264" i="39"/>
  <c r="I270" i="39"/>
  <c r="K265" i="39"/>
  <c r="M262" i="39"/>
  <c r="N263" i="39"/>
  <c r="I271" i="39"/>
  <c r="M266" i="39"/>
  <c r="L265" i="39"/>
  <c r="K264" i="39"/>
  <c r="J263" i="39"/>
  <c r="K241" i="38"/>
  <c r="K253" i="38" s="1"/>
  <c r="N270" i="39"/>
  <c r="N266" i="39"/>
  <c r="K262" i="39"/>
  <c r="N271" i="39"/>
  <c r="M60" i="38"/>
  <c r="M64" i="38" s="1"/>
  <c r="J266" i="39"/>
  <c r="L60" i="38"/>
  <c r="L64" i="38" s="1"/>
  <c r="V60" i="38"/>
  <c r="J262" i="39"/>
  <c r="M69" i="38"/>
  <c r="M38" i="39" s="1"/>
  <c r="L267" i="39"/>
  <c r="J32" i="38"/>
  <c r="J40" i="38" s="1"/>
  <c r="J71" i="38" s="1"/>
  <c r="P261" i="39"/>
  <c r="L207" i="38"/>
  <c r="K179" i="38"/>
  <c r="W209" i="38"/>
  <c r="K209" i="38"/>
  <c r="K228" i="38" s="1"/>
  <c r="K266" i="39"/>
  <c r="Q120" i="39"/>
  <c r="Q23" i="39" s="1"/>
  <c r="Q238" i="39" s="1"/>
  <c r="Q253" i="39" s="1"/>
  <c r="I120" i="39"/>
  <c r="I23" i="39" s="1"/>
  <c r="I238" i="39" s="1"/>
  <c r="L206" i="38"/>
  <c r="I181" i="38"/>
  <c r="I186" i="38" s="1"/>
  <c r="J209" i="38"/>
  <c r="J228" i="38" s="1"/>
  <c r="M161" i="38"/>
  <c r="M168" i="38" s="1"/>
  <c r="E161" i="38"/>
  <c r="E168" i="38" s="1"/>
  <c r="W24" i="38"/>
  <c r="M263" i="39"/>
  <c r="E114" i="39"/>
  <c r="J101" i="39"/>
  <c r="J105" i="39" s="1"/>
  <c r="K32" i="37"/>
  <c r="M241" i="38"/>
  <c r="M260" i="38" s="1"/>
  <c r="M264" i="38" s="1"/>
  <c r="M269" i="38" s="1"/>
  <c r="W241" i="38"/>
  <c r="W260" i="38" s="1"/>
  <c r="K206" i="38"/>
  <c r="N204" i="38"/>
  <c r="P181" i="38"/>
  <c r="P186" i="38" s="1"/>
  <c r="H181" i="38"/>
  <c r="H186" i="38" s="1"/>
  <c r="Q179" i="38"/>
  <c r="I179" i="38"/>
  <c r="L161" i="38"/>
  <c r="L168" i="38" s="1"/>
  <c r="P267" i="39"/>
  <c r="I269" i="39"/>
  <c r="N261" i="39"/>
  <c r="W206" i="38"/>
  <c r="L204" i="38"/>
  <c r="E69" i="38"/>
  <c r="E38" i="39" s="1"/>
  <c r="F120" i="39"/>
  <c r="F23" i="39" s="1"/>
  <c r="F238" i="39" s="1"/>
  <c r="F253" i="39" s="1"/>
  <c r="M17" i="52"/>
  <c r="E17" i="52"/>
  <c r="G54" i="37"/>
  <c r="E61" i="36" s="1"/>
  <c r="J241" i="38"/>
  <c r="J260" i="38" s="1"/>
  <c r="J264" i="38" s="1"/>
  <c r="J269" i="38" s="1"/>
  <c r="L209" i="38"/>
  <c r="L228" i="38" s="1"/>
  <c r="K204" i="38"/>
  <c r="L198" i="38"/>
  <c r="W187" i="38"/>
  <c r="Q135" i="38"/>
  <c r="W69" i="38"/>
  <c r="W38" i="39" s="1"/>
  <c r="P266" i="39"/>
  <c r="K20" i="37"/>
  <c r="I241" i="38"/>
  <c r="I253" i="38" s="1"/>
  <c r="N207" i="38"/>
  <c r="K198" i="38"/>
  <c r="W188" i="38"/>
  <c r="K188" i="38"/>
  <c r="M181" i="38"/>
  <c r="M186" i="38" s="1"/>
  <c r="E181" i="38"/>
  <c r="E186" i="38" s="1"/>
  <c r="O266" i="39"/>
  <c r="O262" i="39"/>
  <c r="L261" i="39"/>
  <c r="L262" i="39"/>
  <c r="K261" i="39"/>
  <c r="M114" i="39"/>
  <c r="K19" i="37"/>
  <c r="E241" i="38"/>
  <c r="E253" i="38" s="1"/>
  <c r="E255" i="38" s="1"/>
  <c r="F254" i="38" s="1"/>
  <c r="M207" i="38"/>
  <c r="L179" i="38"/>
  <c r="Q181" i="38"/>
  <c r="Q186" i="38" s="1"/>
  <c r="P87" i="38"/>
  <c r="P100" i="38" s="1"/>
  <c r="G69" i="38"/>
  <c r="G38" i="39" s="1"/>
  <c r="J267" i="39"/>
  <c r="P265" i="39"/>
  <c r="I262" i="39"/>
  <c r="L266" i="39"/>
  <c r="K263" i="39"/>
  <c r="T24" i="63"/>
  <c r="O205" i="16"/>
  <c r="O127" i="52" s="1"/>
  <c r="O162" i="52"/>
  <c r="G205" i="16"/>
  <c r="G127" i="52" s="1"/>
  <c r="G162" i="52"/>
  <c r="K86" i="52"/>
  <c r="F205" i="16"/>
  <c r="F127" i="52" s="1"/>
  <c r="O159" i="16"/>
  <c r="T132" i="16"/>
  <c r="T81" i="16" s="1"/>
  <c r="T156" i="16" s="1"/>
  <c r="T163" i="16" s="1"/>
  <c r="O102" i="16"/>
  <c r="M101" i="16"/>
  <c r="M73" i="52"/>
  <c r="J162" i="16"/>
  <c r="K149" i="16"/>
  <c r="O104" i="16"/>
  <c r="G103" i="16"/>
  <c r="G101" i="16"/>
  <c r="K243" i="16"/>
  <c r="G181" i="16"/>
  <c r="G159" i="16"/>
  <c r="K241" i="16"/>
  <c r="O239" i="16"/>
  <c r="G239" i="16"/>
  <c r="S239" i="16" s="1"/>
  <c r="Q13" i="16"/>
  <c r="V162" i="52"/>
  <c r="V177" i="52" s="1"/>
  <c r="N216" i="16"/>
  <c r="K148" i="16"/>
  <c r="E103" i="16"/>
  <c r="H244" i="16"/>
  <c r="T244" i="16" s="1"/>
  <c r="S111" i="16"/>
  <c r="R86" i="52"/>
  <c r="J90" i="52"/>
  <c r="K162" i="16"/>
  <c r="N145" i="16"/>
  <c r="L150" i="16"/>
  <c r="O103" i="16"/>
  <c r="M243" i="16"/>
  <c r="E239" i="16"/>
  <c r="M157" i="52"/>
  <c r="N86" i="52"/>
  <c r="N220" i="16"/>
  <c r="L239" i="16"/>
  <c r="K157" i="52"/>
  <c r="M95" i="52"/>
  <c r="E95" i="52"/>
  <c r="R111" i="16"/>
  <c r="K66" i="52"/>
  <c r="W261" i="30"/>
  <c r="J258" i="30"/>
  <c r="K263" i="30"/>
  <c r="K259" i="30"/>
  <c r="W263" i="30"/>
  <c r="W259" i="30"/>
  <c r="Q167" i="30"/>
  <c r="K145" i="30"/>
  <c r="I223" i="30"/>
  <c r="I263" i="30"/>
  <c r="I259" i="30"/>
  <c r="G178" i="30"/>
  <c r="T151" i="30"/>
  <c r="T91" i="30" s="1"/>
  <c r="V260" i="30"/>
  <c r="I260" i="30"/>
  <c r="I261" i="30"/>
  <c r="I256" i="30"/>
  <c r="I164" i="30"/>
  <c r="K170" i="30"/>
  <c r="P191" i="30"/>
  <c r="W47" i="52"/>
  <c r="P220" i="30"/>
  <c r="P160" i="52"/>
  <c r="P223" i="30"/>
  <c r="P256" i="30"/>
  <c r="P261" i="30"/>
  <c r="H261" i="30"/>
  <c r="T261" i="30" s="1"/>
  <c r="H256" i="30"/>
  <c r="P137" i="30"/>
  <c r="P231" i="30" s="1"/>
  <c r="N155" i="52"/>
  <c r="I150" i="52"/>
  <c r="O261" i="30"/>
  <c r="G261" i="30"/>
  <c r="S261" i="30" s="1"/>
  <c r="S151" i="30"/>
  <c r="S91" i="30" s="1"/>
  <c r="P13" i="30"/>
  <c r="H13" i="30"/>
  <c r="H51" i="30" s="1"/>
  <c r="P260" i="30"/>
  <c r="P262" i="30"/>
  <c r="H262" i="30"/>
  <c r="T262" i="30" s="1"/>
  <c r="P258" i="30"/>
  <c r="H258" i="30"/>
  <c r="T258" i="30" s="1"/>
  <c r="I137" i="30"/>
  <c r="I96" i="30" s="1"/>
  <c r="I102" i="30" s="1"/>
  <c r="N112" i="30"/>
  <c r="G223" i="30"/>
  <c r="S223" i="30" s="1"/>
  <c r="H263" i="30"/>
  <c r="P259" i="30"/>
  <c r="H259" i="30"/>
  <c r="T259" i="30" s="1"/>
  <c r="J167" i="30"/>
  <c r="O259" i="30"/>
  <c r="O145" i="30"/>
  <c r="E48" i="52"/>
  <c r="M48" i="52"/>
  <c r="M145" i="30"/>
  <c r="E145" i="30"/>
  <c r="J170" i="30"/>
  <c r="O113" i="30"/>
  <c r="F111" i="30"/>
  <c r="T85" i="52"/>
  <c r="R151" i="30"/>
  <c r="R91" i="30" s="1"/>
  <c r="Q286" i="30"/>
  <c r="Q170" i="30"/>
  <c r="J150" i="52"/>
  <c r="I170" i="30"/>
  <c r="W13" i="30"/>
  <c r="Q191" i="30"/>
  <c r="Q169" i="30"/>
  <c r="I47" i="52"/>
  <c r="W160" i="52"/>
  <c r="M155" i="52"/>
  <c r="L170" i="30"/>
  <c r="I113" i="30"/>
  <c r="N111" i="30"/>
  <c r="N110" i="30"/>
  <c r="F5" i="30"/>
  <c r="Q13" i="30"/>
  <c r="Q252" i="30"/>
  <c r="U9" i="28"/>
  <c r="H16" i="52"/>
  <c r="H26" i="52" s="1"/>
  <c r="G263" i="30"/>
  <c r="G259" i="30"/>
  <c r="S259" i="30" s="1"/>
  <c r="O262" i="30"/>
  <c r="G262" i="30"/>
  <c r="S262" i="30" s="1"/>
  <c r="O258" i="30"/>
  <c r="G258" i="30"/>
  <c r="S258" i="30" s="1"/>
  <c r="O223" i="30"/>
  <c r="I110" i="30"/>
  <c r="I198" i="30"/>
  <c r="I197" i="30"/>
  <c r="I111" i="30"/>
  <c r="J89" i="52"/>
  <c r="G66" i="52"/>
  <c r="G93" i="52" s="1"/>
  <c r="P16" i="52"/>
  <c r="P26" i="52" s="1"/>
  <c r="O263" i="30"/>
  <c r="M258" i="30"/>
  <c r="E258" i="30"/>
  <c r="O178" i="30"/>
  <c r="L169" i="30"/>
  <c r="G111" i="30"/>
  <c r="F110" i="30"/>
  <c r="O66" i="52"/>
  <c r="K191" i="30"/>
  <c r="U15" i="28"/>
  <c r="K15" i="28" s="1"/>
  <c r="M263" i="30"/>
  <c r="E263" i="30"/>
  <c r="O260" i="30"/>
  <c r="G260" i="30"/>
  <c r="S260" i="30" s="1"/>
  <c r="M259" i="30"/>
  <c r="E259" i="30"/>
  <c r="I178" i="30"/>
  <c r="R149" i="30"/>
  <c r="R89" i="30" s="1"/>
  <c r="Q79" i="30"/>
  <c r="N89" i="52"/>
  <c r="O164" i="30"/>
  <c r="F112" i="30"/>
  <c r="T121" i="30"/>
  <c r="S149" i="30"/>
  <c r="S89" i="30" s="1"/>
  <c r="R152" i="30"/>
  <c r="R92" i="30" s="1"/>
  <c r="K26" i="14"/>
  <c r="Q83" i="30"/>
  <c r="AR248" i="29"/>
  <c r="N178" i="29"/>
  <c r="N167" i="29" s="1"/>
  <c r="N168" i="29" s="1"/>
  <c r="N160" i="52"/>
  <c r="K90" i="29"/>
  <c r="K57" i="29" s="1"/>
  <c r="K62" i="29" s="1"/>
  <c r="P83" i="30"/>
  <c r="P35" i="30" s="1"/>
  <c r="T16" i="28" s="1"/>
  <c r="J13" i="30"/>
  <c r="N101" i="29"/>
  <c r="R13" i="28" s="1"/>
  <c r="Q113" i="29"/>
  <c r="Q121" i="29" s="1"/>
  <c r="U27" i="28" s="1"/>
  <c r="G113" i="29"/>
  <c r="G121" i="29" s="1"/>
  <c r="F113" i="29"/>
  <c r="F121" i="29" s="1"/>
  <c r="K160" i="52"/>
  <c r="O204" i="29"/>
  <c r="G204" i="29"/>
  <c r="K187" i="29"/>
  <c r="N204" i="29"/>
  <c r="F204" i="29"/>
  <c r="V101" i="29"/>
  <c r="F13" i="28" s="1"/>
  <c r="AK248" i="29"/>
  <c r="J48" i="29"/>
  <c r="AD90" i="29"/>
  <c r="AD57" i="29" s="1"/>
  <c r="AD62" i="29" s="1"/>
  <c r="AD48" i="29"/>
  <c r="N79" i="30"/>
  <c r="N32" i="30" s="1"/>
  <c r="L79" i="30"/>
  <c r="L32" i="30" s="1"/>
  <c r="J220" i="30"/>
  <c r="J125" i="52" s="1"/>
  <c r="J160" i="52"/>
  <c r="J170" i="52" s="1"/>
  <c r="M204" i="29"/>
  <c r="K195" i="29"/>
  <c r="K194" i="29"/>
  <c r="H83" i="30"/>
  <c r="H35" i="30" s="1"/>
  <c r="N83" i="30"/>
  <c r="N35" i="30" s="1"/>
  <c r="F83" i="30"/>
  <c r="F35" i="30" s="1"/>
  <c r="W187" i="29"/>
  <c r="W172" i="29"/>
  <c r="K258" i="30"/>
  <c r="L193" i="29"/>
  <c r="L178" i="29"/>
  <c r="L167" i="29" s="1"/>
  <c r="L168" i="29" s="1"/>
  <c r="S48" i="29"/>
  <c r="K193" i="29"/>
  <c r="O90" i="29"/>
  <c r="O57" i="29" s="1"/>
  <c r="O62" i="29" s="1"/>
  <c r="G90" i="29"/>
  <c r="G57" i="29" s="1"/>
  <c r="G62" i="29" s="1"/>
  <c r="L83" i="30"/>
  <c r="L35" i="30" s="1"/>
  <c r="O160" i="52"/>
  <c r="W194" i="29"/>
  <c r="K178" i="29"/>
  <c r="K167" i="29" s="1"/>
  <c r="K168" i="29" s="1"/>
  <c r="K170" i="29"/>
  <c r="K172" i="29" s="1"/>
  <c r="M113" i="29"/>
  <c r="M121" i="29" s="1"/>
  <c r="Q27" i="28" s="1"/>
  <c r="P195" i="29"/>
  <c r="M191" i="30"/>
  <c r="G79" i="30"/>
  <c r="G32" i="30" s="1"/>
  <c r="L246" i="29"/>
  <c r="W195" i="29"/>
  <c r="V168" i="29"/>
  <c r="F79" i="30"/>
  <c r="F32" i="30" s="1"/>
  <c r="K246" i="29"/>
  <c r="AN248" i="29"/>
  <c r="L99" i="29"/>
  <c r="L101" i="29" s="1"/>
  <c r="P13" i="28" s="1"/>
  <c r="L26" i="52"/>
  <c r="O113" i="29"/>
  <c r="O121" i="29" s="1"/>
  <c r="S27" i="28" s="1"/>
  <c r="I160" i="52"/>
  <c r="I220" i="30"/>
  <c r="W113" i="29"/>
  <c r="W121" i="29" s="1"/>
  <c r="G27" i="28" s="1"/>
  <c r="I26" i="52"/>
  <c r="J227" i="29"/>
  <c r="J237" i="29" s="1"/>
  <c r="N286" i="30"/>
  <c r="L258" i="30"/>
  <c r="O83" i="30"/>
  <c r="O35" i="30" s="1"/>
  <c r="S16" i="28" s="1"/>
  <c r="G83" i="30"/>
  <c r="G35" i="30" s="1"/>
  <c r="M246" i="29"/>
  <c r="L204" i="29"/>
  <c r="I178" i="29"/>
  <c r="I167" i="29" s="1"/>
  <c r="I168" i="29" s="1"/>
  <c r="J188" i="29"/>
  <c r="K13" i="30"/>
  <c r="AO248" i="29"/>
  <c r="N194" i="29"/>
  <c r="J191" i="30"/>
  <c r="V79" i="30"/>
  <c r="V32" i="30" s="1"/>
  <c r="I79" i="30"/>
  <c r="I32" i="30" s="1"/>
  <c r="L13" i="30"/>
  <c r="P263" i="30"/>
  <c r="F32" i="28"/>
  <c r="N32" i="28"/>
  <c r="E178" i="29"/>
  <c r="E167" i="29" s="1"/>
  <c r="E168" i="29" s="1"/>
  <c r="E90" i="29"/>
  <c r="E57" i="29" s="1"/>
  <c r="L191" i="30"/>
  <c r="O79" i="30"/>
  <c r="O32" i="30" s="1"/>
  <c r="I286" i="30"/>
  <c r="AJ248" i="29"/>
  <c r="AF248" i="29"/>
  <c r="AF250" i="29" s="1"/>
  <c r="AF252" i="29" s="1"/>
  <c r="AM248" i="29"/>
  <c r="P204" i="29"/>
  <c r="H204" i="29"/>
  <c r="N187" i="29"/>
  <c r="M90" i="29"/>
  <c r="M57" i="29" s="1"/>
  <c r="I83" i="30"/>
  <c r="I35" i="30" s="1"/>
  <c r="P79" i="30"/>
  <c r="P32" i="30" s="1"/>
  <c r="F5" i="29"/>
  <c r="AR251" i="3"/>
  <c r="Q199" i="3"/>
  <c r="N199" i="3"/>
  <c r="L124" i="3"/>
  <c r="L134" i="3" s="1"/>
  <c r="P27" i="14" s="1"/>
  <c r="N205" i="16"/>
  <c r="K13" i="16"/>
  <c r="W142" i="4"/>
  <c r="P210" i="3"/>
  <c r="V101" i="3"/>
  <c r="V38" i="16" s="1"/>
  <c r="F16" i="14" s="1"/>
  <c r="W101" i="3"/>
  <c r="W38" i="16" s="1"/>
  <c r="G16" i="14" s="1"/>
  <c r="I245" i="3"/>
  <c r="I249" i="3" s="1"/>
  <c r="H234" i="3"/>
  <c r="H241" i="3" s="1"/>
  <c r="E162" i="52"/>
  <c r="E177" i="52" s="1"/>
  <c r="Q101" i="3"/>
  <c r="AL251" i="3"/>
  <c r="V185" i="3"/>
  <c r="W106" i="3"/>
  <c r="E106" i="3"/>
  <c r="J172" i="16"/>
  <c r="J174" i="16" s="1"/>
  <c r="W18" i="52"/>
  <c r="W28" i="52" s="1"/>
  <c r="W107" i="3"/>
  <c r="O87" i="3"/>
  <c r="O33" i="16" s="1"/>
  <c r="S15" i="14" s="1"/>
  <c r="K67" i="3"/>
  <c r="K72" i="3" s="1"/>
  <c r="N13" i="16"/>
  <c r="F13" i="16"/>
  <c r="F66" i="16" s="1"/>
  <c r="O245" i="3"/>
  <c r="O249" i="3" s="1"/>
  <c r="H209" i="3"/>
  <c r="H203" i="3"/>
  <c r="M192" i="3"/>
  <c r="J124" i="3"/>
  <c r="J134" i="3" s="1"/>
  <c r="N27" i="14" s="1"/>
  <c r="M101" i="3"/>
  <c r="M38" i="16" s="1"/>
  <c r="E101" i="3"/>
  <c r="E38" i="16" s="1"/>
  <c r="K101" i="3"/>
  <c r="K38" i="16" s="1"/>
  <c r="I67" i="3"/>
  <c r="I72" i="3" s="1"/>
  <c r="AI251" i="3"/>
  <c r="O210" i="3"/>
  <c r="P209" i="3"/>
  <c r="J199" i="3"/>
  <c r="O142" i="4"/>
  <c r="G142" i="4"/>
  <c r="V106" i="3"/>
  <c r="M87" i="3"/>
  <c r="M33" i="16" s="1"/>
  <c r="Q15" i="14" s="1"/>
  <c r="E87" i="3"/>
  <c r="E33" i="16" s="1"/>
  <c r="M67" i="3"/>
  <c r="M72" i="3" s="1"/>
  <c r="L245" i="3"/>
  <c r="L249" i="3" s="1"/>
  <c r="AK251" i="3"/>
  <c r="E190" i="3"/>
  <c r="P107" i="3"/>
  <c r="N87" i="3"/>
  <c r="N33" i="16" s="1"/>
  <c r="R15" i="14" s="1"/>
  <c r="F87" i="3"/>
  <c r="F33" i="16" s="1"/>
  <c r="L82" i="3"/>
  <c r="V229" i="16"/>
  <c r="V240" i="16" s="1"/>
  <c r="J13" i="16"/>
  <c r="Q87" i="3"/>
  <c r="AB241" i="3"/>
  <c r="W61" i="3"/>
  <c r="G13" i="14" s="1"/>
  <c r="T226" i="3"/>
  <c r="K87" i="3"/>
  <c r="K33" i="16" s="1"/>
  <c r="O15" i="14" s="1"/>
  <c r="V13" i="16"/>
  <c r="V59" i="16" s="1"/>
  <c r="P234" i="3"/>
  <c r="P241" i="3" s="1"/>
  <c r="L234" i="3"/>
  <c r="L241" i="3" s="1"/>
  <c r="P203" i="3"/>
  <c r="O124" i="3"/>
  <c r="O134" i="3" s="1"/>
  <c r="S27" i="14" s="1"/>
  <c r="W134" i="3"/>
  <c r="G27" i="14" s="1"/>
  <c r="O108" i="3"/>
  <c r="H107" i="3"/>
  <c r="O106" i="3"/>
  <c r="V22" i="3"/>
  <c r="V28" i="3" s="1"/>
  <c r="U54" i="14"/>
  <c r="O61" i="13" s="1"/>
  <c r="O234" i="3"/>
  <c r="O241" i="3" s="1"/>
  <c r="J210" i="3"/>
  <c r="J209" i="3"/>
  <c r="M199" i="3"/>
  <c r="V134" i="3"/>
  <c r="F27" i="14" s="1"/>
  <c r="V65" i="3"/>
  <c r="V67" i="3" s="1"/>
  <c r="V72" i="3" s="1"/>
  <c r="M61" i="3"/>
  <c r="Q13" i="14" s="1"/>
  <c r="H210" i="3"/>
  <c r="I209" i="3"/>
  <c r="J203" i="3"/>
  <c r="O199" i="3"/>
  <c r="G199" i="3"/>
  <c r="N101" i="3"/>
  <c r="N38" i="16" s="1"/>
  <c r="F101" i="3"/>
  <c r="F38" i="16" s="1"/>
  <c r="Q176" i="3"/>
  <c r="Q83" i="3"/>
  <c r="Q235" i="16"/>
  <c r="AC465" i="60"/>
  <c r="AD465" i="60"/>
  <c r="AB465" i="60"/>
  <c r="AB466" i="60" s="1"/>
  <c r="CH75" i="61"/>
  <c r="CI75" i="61" s="1"/>
  <c r="CH55" i="61"/>
  <c r="CI55" i="61" s="1"/>
  <c r="CH49" i="61"/>
  <c r="CI49" i="61" s="1"/>
  <c r="CH43" i="61"/>
  <c r="CI43" i="61" s="1"/>
  <c r="CH23" i="61"/>
  <c r="CI23" i="61" s="1"/>
  <c r="W124" i="38"/>
  <c r="W135" i="38" s="1"/>
  <c r="G30" i="37"/>
  <c r="G32" i="37" s="1"/>
  <c r="F65" i="17"/>
  <c r="CH72" i="61"/>
  <c r="CI72" i="61" s="1"/>
  <c r="CH66" i="61"/>
  <c r="CI66" i="61" s="1"/>
  <c r="CH63" i="61"/>
  <c r="CI63" i="61" s="1"/>
  <c r="CH60" i="61"/>
  <c r="CI60" i="61" s="1"/>
  <c r="AQ59" i="61"/>
  <c r="AR59" i="61" s="1"/>
  <c r="CH57" i="61"/>
  <c r="CI57" i="61" s="1"/>
  <c r="CH51" i="61"/>
  <c r="CI51" i="61" s="1"/>
  <c r="CH40" i="61"/>
  <c r="CI40" i="61" s="1"/>
  <c r="CH34" i="61"/>
  <c r="CI34" i="61" s="1"/>
  <c r="CH31" i="61"/>
  <c r="CI31" i="61" s="1"/>
  <c r="CH28" i="61"/>
  <c r="CI28" i="61" s="1"/>
  <c r="AQ27" i="61"/>
  <c r="AR27" i="61" s="1"/>
  <c r="CH25" i="61"/>
  <c r="CI25" i="61" s="1"/>
  <c r="AQ20" i="61"/>
  <c r="AR20" i="61" s="1"/>
  <c r="M151" i="52"/>
  <c r="M156" i="52"/>
  <c r="K155" i="52"/>
  <c r="K150" i="52"/>
  <c r="R89" i="52"/>
  <c r="R85" i="52"/>
  <c r="L160" i="52"/>
  <c r="L220" i="30"/>
  <c r="L125" i="52" s="1"/>
  <c r="L49" i="52"/>
  <c r="N32" i="37"/>
  <c r="J124" i="38"/>
  <c r="J135" i="38" s="1"/>
  <c r="F89" i="17"/>
  <c r="CH77" i="61"/>
  <c r="CI77" i="61" s="1"/>
  <c r="CH54" i="61"/>
  <c r="CI54" i="61" s="1"/>
  <c r="CH45" i="61"/>
  <c r="CI45" i="61" s="1"/>
  <c r="CH22" i="61"/>
  <c r="CI22" i="61" s="1"/>
  <c r="V110" i="29"/>
  <c r="V183" i="29" s="1"/>
  <c r="I110" i="29"/>
  <c r="I183" i="29" s="1"/>
  <c r="N113" i="29"/>
  <c r="N121" i="29" s="1"/>
  <c r="R27" i="28" s="1"/>
  <c r="CH74" i="61"/>
  <c r="CI74" i="61" s="1"/>
  <c r="CH71" i="61"/>
  <c r="CI71" i="61" s="1"/>
  <c r="CH68" i="61"/>
  <c r="CI68" i="61" s="1"/>
  <c r="AQ67" i="61"/>
  <c r="AR67" i="61" s="1"/>
  <c r="CH65" i="61"/>
  <c r="CI65" i="61" s="1"/>
  <c r="CH59" i="61"/>
  <c r="CI59" i="61" s="1"/>
  <c r="CH48" i="61"/>
  <c r="CI48" i="61" s="1"/>
  <c r="CH42" i="61"/>
  <c r="CI42" i="61" s="1"/>
  <c r="CH39" i="61"/>
  <c r="CI39" i="61" s="1"/>
  <c r="CH36" i="61"/>
  <c r="CI36" i="61" s="1"/>
  <c r="AQ35" i="61"/>
  <c r="AR35" i="61" s="1"/>
  <c r="CH33" i="61"/>
  <c r="CI33" i="61" s="1"/>
  <c r="CH27" i="61"/>
  <c r="CI27" i="61" s="1"/>
  <c r="CH21" i="61"/>
  <c r="CI21" i="61" s="1"/>
  <c r="P227" i="29"/>
  <c r="P237" i="29" s="1"/>
  <c r="H227" i="29"/>
  <c r="H237" i="29" s="1"/>
  <c r="M170" i="29"/>
  <c r="M172" i="29" s="1"/>
  <c r="M100" i="29"/>
  <c r="M101" i="29" s="1"/>
  <c r="Q13" i="28" s="1"/>
  <c r="E170" i="29"/>
  <c r="E172" i="29" s="1"/>
  <c r="E100" i="29"/>
  <c r="E101" i="29" s="1"/>
  <c r="K99" i="29"/>
  <c r="K101" i="29" s="1"/>
  <c r="O13" i="28" s="1"/>
  <c r="CH62" i="61"/>
  <c r="CI62" i="61" s="1"/>
  <c r="CH53" i="61"/>
  <c r="CI53" i="61" s="1"/>
  <c r="CH30" i="61"/>
  <c r="CI30" i="61" s="1"/>
  <c r="CH19" i="61"/>
  <c r="CI19" i="61" s="1"/>
  <c r="CH13" i="61"/>
  <c r="CI13" i="61" s="1"/>
  <c r="AQ4" i="61"/>
  <c r="AR4" i="61" s="1"/>
  <c r="AQ3" i="61"/>
  <c r="AR3" i="61" s="1"/>
  <c r="O150" i="52"/>
  <c r="O155" i="52"/>
  <c r="K72" i="52"/>
  <c r="F41" i="17"/>
  <c r="F17" i="17"/>
  <c r="CH70" i="61"/>
  <c r="CI70" i="61" s="1"/>
  <c r="CH61" i="61"/>
  <c r="CI61" i="61" s="1"/>
  <c r="CH38" i="61"/>
  <c r="CI38" i="61" s="1"/>
  <c r="CH29" i="61"/>
  <c r="CI29" i="61" s="1"/>
  <c r="J72" i="52"/>
  <c r="J77" i="52"/>
  <c r="M28" i="52"/>
  <c r="M110" i="52" s="1"/>
  <c r="E28" i="52"/>
  <c r="E110" i="52" s="1"/>
  <c r="V95" i="52"/>
  <c r="V15" i="30"/>
  <c r="V211" i="30" s="1"/>
  <c r="V188" i="29"/>
  <c r="O195" i="29"/>
  <c r="P187" i="29"/>
  <c r="J187" i="29"/>
  <c r="J194" i="29"/>
  <c r="J193" i="29"/>
  <c r="H187" i="29"/>
  <c r="J195" i="29"/>
  <c r="I187" i="29"/>
  <c r="H194" i="29"/>
  <c r="I194" i="29"/>
  <c r="I193" i="29"/>
  <c r="I195" i="29"/>
  <c r="CH14" i="61"/>
  <c r="CI14" i="61" s="1"/>
  <c r="CH5" i="61"/>
  <c r="CI5" i="61" s="1"/>
  <c r="I155" i="52"/>
  <c r="L152" i="52"/>
  <c r="L89" i="52"/>
  <c r="W26" i="52"/>
  <c r="J26" i="52"/>
  <c r="O28" i="52"/>
  <c r="G28" i="52"/>
  <c r="I227" i="29"/>
  <c r="I237" i="29" s="1"/>
  <c r="O100" i="29"/>
  <c r="O101" i="29" s="1"/>
  <c r="S13" i="28" s="1"/>
  <c r="T90" i="29"/>
  <c r="T57" i="29" s="1"/>
  <c r="T62" i="29" s="1"/>
  <c r="T49" i="29"/>
  <c r="T48" i="29" s="1"/>
  <c r="L90" i="29"/>
  <c r="L57" i="29" s="1"/>
  <c r="L62" i="29" s="1"/>
  <c r="L49" i="29"/>
  <c r="L48" i="29" s="1"/>
  <c r="I168" i="30"/>
  <c r="K110" i="30"/>
  <c r="K111" i="30"/>
  <c r="K164" i="30"/>
  <c r="K178" i="30"/>
  <c r="K198" i="30"/>
  <c r="K113" i="30"/>
  <c r="K112" i="30"/>
  <c r="K197" i="30"/>
  <c r="CH16" i="61"/>
  <c r="CI16" i="61" s="1"/>
  <c r="CH10" i="61"/>
  <c r="CI10" i="61" s="1"/>
  <c r="CH7" i="61"/>
  <c r="CI7" i="61" s="1"/>
  <c r="CH4" i="61"/>
  <c r="CI4" i="61" s="1"/>
  <c r="F176" i="52"/>
  <c r="N156" i="52"/>
  <c r="G94" i="52"/>
  <c r="J86" i="52"/>
  <c r="J73" i="52"/>
  <c r="M77" i="52"/>
  <c r="M72" i="52"/>
  <c r="N227" i="29"/>
  <c r="N237" i="29" s="1"/>
  <c r="F227" i="29"/>
  <c r="F237" i="29" s="1"/>
  <c r="J137" i="30"/>
  <c r="J96" i="30" s="1"/>
  <c r="J102" i="30" s="1"/>
  <c r="J262" i="30"/>
  <c r="J66" i="52"/>
  <c r="R121" i="30"/>
  <c r="G82" i="15" s="1"/>
  <c r="H82" i="15" s="1"/>
  <c r="I82" i="15" s="1"/>
  <c r="P112" i="30"/>
  <c r="P197" i="30"/>
  <c r="P178" i="30"/>
  <c r="P111" i="30"/>
  <c r="P198" i="30"/>
  <c r="P110" i="30"/>
  <c r="P113" i="30"/>
  <c r="H112" i="30"/>
  <c r="H113" i="30"/>
  <c r="H110" i="30"/>
  <c r="H178" i="30"/>
  <c r="H197" i="30"/>
  <c r="H111" i="30"/>
  <c r="P279" i="30"/>
  <c r="P282" i="30" s="1"/>
  <c r="H279" i="30"/>
  <c r="H282" i="30" s="1"/>
  <c r="T282" i="30" s="1"/>
  <c r="T279" i="30" s="1"/>
  <c r="T244" i="30" s="1"/>
  <c r="R15" i="63"/>
  <c r="L171" i="52"/>
  <c r="M171" i="52"/>
  <c r="M166" i="52"/>
  <c r="Q171" i="52"/>
  <c r="E176" i="52"/>
  <c r="P152" i="52"/>
  <c r="P157" i="52"/>
  <c r="I73" i="52"/>
  <c r="I78" i="52"/>
  <c r="N43" i="29"/>
  <c r="J246" i="29"/>
  <c r="N246" i="29"/>
  <c r="F246" i="29"/>
  <c r="M193" i="29"/>
  <c r="N193" i="29"/>
  <c r="L195" i="29"/>
  <c r="L187" i="29"/>
  <c r="O193" i="29"/>
  <c r="L194" i="29"/>
  <c r="M195" i="29"/>
  <c r="M187" i="29"/>
  <c r="M194" i="29"/>
  <c r="N195" i="29"/>
  <c r="O187" i="29"/>
  <c r="O194" i="29"/>
  <c r="M286" i="30"/>
  <c r="V256" i="30"/>
  <c r="V223" i="30"/>
  <c r="V261" i="30"/>
  <c r="S279" i="30"/>
  <c r="S244" i="30" s="1"/>
  <c r="J182" i="39"/>
  <c r="J203" i="39"/>
  <c r="J210" i="39" s="1"/>
  <c r="CH3" i="61"/>
  <c r="CI3" i="61" s="1"/>
  <c r="O157" i="52"/>
  <c r="O152" i="52"/>
  <c r="S89" i="52"/>
  <c r="S85" i="52"/>
  <c r="K89" i="52"/>
  <c r="K85" i="52"/>
  <c r="K94" i="52"/>
  <c r="K77" i="52"/>
  <c r="J28" i="52"/>
  <c r="J110" i="52" s="1"/>
  <c r="M43" i="29"/>
  <c r="E246" i="29"/>
  <c r="E113" i="29"/>
  <c r="E121" i="29" s="1"/>
  <c r="AB49" i="29"/>
  <c r="AB48" i="29" s="1"/>
  <c r="AB90" i="29"/>
  <c r="AB57" i="29" s="1"/>
  <c r="AB62" i="29" s="1"/>
  <c r="O26" i="52"/>
  <c r="G26" i="52"/>
  <c r="N13" i="30"/>
  <c r="N180" i="30" s="1"/>
  <c r="N16" i="52"/>
  <c r="F13" i="30"/>
  <c r="F16" i="52"/>
  <c r="F26" i="52" s="1"/>
  <c r="K25" i="37"/>
  <c r="U54" i="37"/>
  <c r="O61" i="36" s="1"/>
  <c r="AL248" i="29"/>
  <c r="V248" i="29"/>
  <c r="V250" i="29" s="1"/>
  <c r="W249" i="29" s="1"/>
  <c r="CH20" i="61"/>
  <c r="CI20" i="61" s="1"/>
  <c r="AQ19" i="61"/>
  <c r="AR19" i="61" s="1"/>
  <c r="CH17" i="61"/>
  <c r="CI17" i="61" s="1"/>
  <c r="CH11" i="61"/>
  <c r="CI11" i="61" s="1"/>
  <c r="I166" i="52"/>
  <c r="O94" i="52"/>
  <c r="M26" i="52"/>
  <c r="L113" i="29"/>
  <c r="L121" i="29" s="1"/>
  <c r="P27" i="28" s="1"/>
  <c r="J263" i="30"/>
  <c r="J259" i="30"/>
  <c r="S161" i="30"/>
  <c r="K168" i="30"/>
  <c r="W113" i="30"/>
  <c r="W110" i="30"/>
  <c r="J198" i="30"/>
  <c r="J112" i="30"/>
  <c r="J110" i="30"/>
  <c r="Q209" i="38"/>
  <c r="P209" i="38"/>
  <c r="P228" i="38" s="1"/>
  <c r="I209" i="38"/>
  <c r="I228" i="38" s="1"/>
  <c r="I309" i="39"/>
  <c r="Q309" i="39"/>
  <c r="T254" i="39"/>
  <c r="P154" i="39"/>
  <c r="P205" i="39"/>
  <c r="P219" i="39"/>
  <c r="P156" i="39"/>
  <c r="P157" i="39"/>
  <c r="H154" i="39"/>
  <c r="H205" i="39"/>
  <c r="H212" i="39" s="1"/>
  <c r="H219" i="39"/>
  <c r="H157" i="39"/>
  <c r="L146" i="39"/>
  <c r="H156" i="39"/>
  <c r="K227" i="29"/>
  <c r="K237" i="29" s="1"/>
  <c r="O227" i="29"/>
  <c r="O237" i="29" s="1"/>
  <c r="G227" i="29"/>
  <c r="G237" i="29" s="1"/>
  <c r="H195" i="29"/>
  <c r="M178" i="29"/>
  <c r="M167" i="29" s="1"/>
  <c r="M168" i="29" s="1"/>
  <c r="W90" i="29"/>
  <c r="W57" i="29" s="1"/>
  <c r="W62" i="29" s="1"/>
  <c r="K286" i="30"/>
  <c r="V263" i="30"/>
  <c r="W178" i="30"/>
  <c r="W137" i="30"/>
  <c r="W223" i="30"/>
  <c r="W256" i="30"/>
  <c r="S121" i="30"/>
  <c r="J111" i="30"/>
  <c r="N181" i="38"/>
  <c r="N186" i="38" s="1"/>
  <c r="N187" i="38"/>
  <c r="F181" i="38"/>
  <c r="F186" i="38" s="1"/>
  <c r="F187" i="38"/>
  <c r="P147" i="39"/>
  <c r="P82" i="3"/>
  <c r="P83" i="3" s="1"/>
  <c r="P27" i="16" s="1"/>
  <c r="P108" i="3"/>
  <c r="H82" i="3"/>
  <c r="H83" i="3" s="1"/>
  <c r="H27" i="16" s="1"/>
  <c r="H108" i="3"/>
  <c r="M80" i="3"/>
  <c r="M107" i="3"/>
  <c r="E80" i="3"/>
  <c r="E83" i="3" s="1"/>
  <c r="E27" i="16" s="1"/>
  <c r="E107" i="3"/>
  <c r="K152" i="52"/>
  <c r="J156" i="52"/>
  <c r="I89" i="52"/>
  <c r="K19" i="28"/>
  <c r="AP248" i="29"/>
  <c r="AH248" i="29"/>
  <c r="AH250" i="29" s="1"/>
  <c r="AH252" i="29" s="1"/>
  <c r="P193" i="29"/>
  <c r="H193" i="29"/>
  <c r="F178" i="29"/>
  <c r="F167" i="29" s="1"/>
  <c r="F168" i="29" s="1"/>
  <c r="S90" i="29"/>
  <c r="S57" i="29" s="1"/>
  <c r="S62" i="29" s="1"/>
  <c r="V145" i="30"/>
  <c r="G145" i="30"/>
  <c r="K137" i="30"/>
  <c r="J113" i="30"/>
  <c r="R54" i="37"/>
  <c r="L61" i="36" s="1"/>
  <c r="E60" i="38"/>
  <c r="N15" i="39"/>
  <c r="N302" i="39"/>
  <c r="N126" i="52" s="1"/>
  <c r="F15" i="39"/>
  <c r="F62" i="38"/>
  <c r="F302" i="39"/>
  <c r="F126" i="52" s="1"/>
  <c r="I266" i="39"/>
  <c r="W202" i="39"/>
  <c r="W209" i="39" s="1"/>
  <c r="I181" i="39"/>
  <c r="I202" i="39"/>
  <c r="I209" i="39" s="1"/>
  <c r="Q156" i="52"/>
  <c r="I156" i="52"/>
  <c r="K28" i="52"/>
  <c r="S33" i="27"/>
  <c r="L227" i="29"/>
  <c r="L237" i="29" s="1"/>
  <c r="W248" i="29"/>
  <c r="I204" i="29"/>
  <c r="W188" i="29"/>
  <c r="K188" i="29"/>
  <c r="N90" i="29"/>
  <c r="N57" i="29" s="1"/>
  <c r="N62" i="29" s="1"/>
  <c r="R90" i="29"/>
  <c r="R57" i="29" s="1"/>
  <c r="R62" i="29" s="1"/>
  <c r="J90" i="29"/>
  <c r="J57" i="29" s="1"/>
  <c r="J62" i="29" s="1"/>
  <c r="L262" i="30"/>
  <c r="K261" i="30"/>
  <c r="W198" i="30"/>
  <c r="H260" i="30"/>
  <c r="H223" i="30"/>
  <c r="T223" i="30" s="1"/>
  <c r="M13" i="30"/>
  <c r="M180" i="30" s="1"/>
  <c r="E13" i="30"/>
  <c r="Q111" i="38"/>
  <c r="Q112" i="38" s="1"/>
  <c r="T13" i="37" s="1"/>
  <c r="Q241" i="38"/>
  <c r="I112" i="38"/>
  <c r="K181" i="38"/>
  <c r="K186" i="38" s="1"/>
  <c r="Q87" i="38"/>
  <c r="Q100" i="38" s="1"/>
  <c r="J15" i="39"/>
  <c r="J302" i="39"/>
  <c r="J126" i="52" s="1"/>
  <c r="J62" i="38"/>
  <c r="M15" i="39"/>
  <c r="M302" i="39"/>
  <c r="M126" i="52" s="1"/>
  <c r="E15" i="39"/>
  <c r="E302" i="39"/>
  <c r="E126" i="52" s="1"/>
  <c r="E62" i="38"/>
  <c r="K270" i="39"/>
  <c r="M267" i="39"/>
  <c r="I152" i="52"/>
  <c r="K90" i="52"/>
  <c r="Q85" i="52"/>
  <c r="W197" i="30"/>
  <c r="W111" i="30"/>
  <c r="K83" i="30"/>
  <c r="K35" i="30" s="1"/>
  <c r="W79" i="30"/>
  <c r="W32" i="30" s="1"/>
  <c r="K29" i="37"/>
  <c r="M271" i="39"/>
  <c r="F101" i="29"/>
  <c r="AC90" i="29"/>
  <c r="AC57" i="29" s="1"/>
  <c r="AC62" i="29" s="1"/>
  <c r="R279" i="30"/>
  <c r="R244" i="30" s="1"/>
  <c r="R16" i="30" s="1"/>
  <c r="L259" i="30"/>
  <c r="W258" i="30"/>
  <c r="L110" i="30"/>
  <c r="L111" i="30"/>
  <c r="L164" i="30"/>
  <c r="L198" i="30"/>
  <c r="L112" i="30"/>
  <c r="O161" i="38"/>
  <c r="O168" i="38" s="1"/>
  <c r="G161" i="38"/>
  <c r="G168" i="38" s="1"/>
  <c r="N161" i="38"/>
  <c r="N168" i="38" s="1"/>
  <c r="F161" i="38"/>
  <c r="F168" i="38" s="1"/>
  <c r="K124" i="38"/>
  <c r="K135" i="38" s="1"/>
  <c r="N27" i="37" s="1"/>
  <c r="S31" i="38"/>
  <c r="T31" i="38" s="1"/>
  <c r="Q140" i="39"/>
  <c r="Q146" i="39" s="1"/>
  <c r="Q313" i="39"/>
  <c r="Q319" i="39" s="1"/>
  <c r="I140" i="39"/>
  <c r="I146" i="39" s="1"/>
  <c r="I313" i="39"/>
  <c r="I319" i="39" s="1"/>
  <c r="J179" i="38"/>
  <c r="P85" i="38"/>
  <c r="P98" i="38" s="1"/>
  <c r="AD66" i="38"/>
  <c r="AD36" i="38" s="1"/>
  <c r="N69" i="38"/>
  <c r="N38" i="39" s="1"/>
  <c r="F69" i="38"/>
  <c r="F38" i="39" s="1"/>
  <c r="I265" i="39"/>
  <c r="I264" i="39"/>
  <c r="W182" i="39"/>
  <c r="W203" i="39"/>
  <c r="W210" i="39" s="1"/>
  <c r="O205" i="39"/>
  <c r="O219" i="39"/>
  <c r="O156" i="39"/>
  <c r="O157" i="39"/>
  <c r="O154" i="39"/>
  <c r="G155" i="39"/>
  <c r="G154" i="39"/>
  <c r="G205" i="39"/>
  <c r="G219" i="39"/>
  <c r="G156" i="39"/>
  <c r="G157" i="39"/>
  <c r="V59" i="3"/>
  <c r="V61" i="3" s="1"/>
  <c r="F13" i="14" s="1"/>
  <c r="K260" i="30"/>
  <c r="V259" i="30"/>
  <c r="T150" i="30"/>
  <c r="T90" i="30" s="1"/>
  <c r="T149" i="30"/>
  <c r="T89" i="30" s="1"/>
  <c r="Q121" i="30"/>
  <c r="O111" i="30"/>
  <c r="H187" i="38"/>
  <c r="W161" i="38"/>
  <c r="W168" i="38" s="1"/>
  <c r="K161" i="38"/>
  <c r="K168" i="38" s="1"/>
  <c r="P94" i="38"/>
  <c r="P107" i="38" s="1"/>
  <c r="P90" i="38"/>
  <c r="P103" i="38" s="1"/>
  <c r="L69" i="38"/>
  <c r="L38" i="39" s="1"/>
  <c r="K40" i="38"/>
  <c r="K71" i="38" s="1"/>
  <c r="K312" i="39"/>
  <c r="K318" i="39" s="1"/>
  <c r="T296" i="39"/>
  <c r="F298" i="39"/>
  <c r="I263" i="39"/>
  <c r="O261" i="39"/>
  <c r="O211" i="39"/>
  <c r="Q181" i="39"/>
  <c r="Q202" i="39"/>
  <c r="Q209" i="39" s="1"/>
  <c r="N205" i="39"/>
  <c r="N219" i="39"/>
  <c r="N156" i="39"/>
  <c r="N157" i="39"/>
  <c r="N154" i="39"/>
  <c r="N155" i="39"/>
  <c r="F155" i="39"/>
  <c r="F154" i="39"/>
  <c r="F205" i="39"/>
  <c r="F219" i="39"/>
  <c r="F156" i="39"/>
  <c r="F157" i="39"/>
  <c r="H79" i="30"/>
  <c r="H32" i="30" s="1"/>
  <c r="V13" i="30"/>
  <c r="X6" i="30"/>
  <c r="X5" i="30" s="1"/>
  <c r="P179" i="38"/>
  <c r="H179" i="38"/>
  <c r="P187" i="38"/>
  <c r="J181" i="38"/>
  <c r="J186" i="38" s="1"/>
  <c r="V161" i="38"/>
  <c r="V168" i="38" s="1"/>
  <c r="G135" i="38"/>
  <c r="P93" i="38"/>
  <c r="P106" i="38" s="1"/>
  <c r="Q88" i="38"/>
  <c r="Q101" i="38" s="1"/>
  <c r="T66" i="38"/>
  <c r="T36" i="38" s="1"/>
  <c r="N60" i="38"/>
  <c r="F60" i="38"/>
  <c r="S296" i="39"/>
  <c r="J270" i="39"/>
  <c r="S204" i="39"/>
  <c r="F98" i="39"/>
  <c r="F12" i="39" s="1"/>
  <c r="P10" i="39"/>
  <c r="P101" i="39"/>
  <c r="P105" i="39" s="1"/>
  <c r="J271" i="39"/>
  <c r="Q246" i="39"/>
  <c r="Q261" i="39" s="1"/>
  <c r="I261" i="39"/>
  <c r="K234" i="3"/>
  <c r="K241" i="3" s="1"/>
  <c r="V209" i="16"/>
  <c r="W210" i="16" s="1"/>
  <c r="V243" i="16"/>
  <c r="V159" i="16"/>
  <c r="V128" i="16"/>
  <c r="I209" i="16"/>
  <c r="I245" i="16"/>
  <c r="I243" i="16"/>
  <c r="I239" i="16"/>
  <c r="K102" i="16"/>
  <c r="K103" i="16"/>
  <c r="K159" i="16"/>
  <c r="K101" i="16"/>
  <c r="K256" i="30"/>
  <c r="K169" i="30"/>
  <c r="L168" i="30"/>
  <c r="W164" i="30"/>
  <c r="J145" i="30"/>
  <c r="T152" i="30"/>
  <c r="T92" i="30" s="1"/>
  <c r="R150" i="30"/>
  <c r="R90" i="30" s="1"/>
  <c r="M79" i="30"/>
  <c r="M32" i="30" s="1"/>
  <c r="E79" i="30"/>
  <c r="E32" i="30" s="1"/>
  <c r="E112" i="38"/>
  <c r="Q91" i="38"/>
  <c r="Q104" i="38" s="1"/>
  <c r="S66" i="38"/>
  <c r="S36" i="38" s="1"/>
  <c r="V69" i="38"/>
  <c r="V38" i="39" s="1"/>
  <c r="J69" i="38"/>
  <c r="J38" i="39" s="1"/>
  <c r="O298" i="39"/>
  <c r="O270" i="39"/>
  <c r="O265" i="39"/>
  <c r="M261" i="39"/>
  <c r="I267" i="39"/>
  <c r="O101" i="39"/>
  <c r="O105" i="39" s="1"/>
  <c r="G10" i="39"/>
  <c r="G101" i="39"/>
  <c r="G105" i="39" s="1"/>
  <c r="W5" i="3"/>
  <c r="X6" i="3"/>
  <c r="K262" i="30"/>
  <c r="J261" i="30"/>
  <c r="J256" i="30"/>
  <c r="J169" i="30"/>
  <c r="K167" i="30"/>
  <c r="M83" i="30"/>
  <c r="M35" i="30" s="1"/>
  <c r="E83" i="30"/>
  <c r="E35" i="30" s="1"/>
  <c r="N179" i="38"/>
  <c r="F179" i="38"/>
  <c r="V179" i="38"/>
  <c r="P161" i="38"/>
  <c r="P168" i="38" s="1"/>
  <c r="H161" i="38"/>
  <c r="H168" i="38" s="1"/>
  <c r="F135" i="38"/>
  <c r="P89" i="38"/>
  <c r="P102" i="38" s="1"/>
  <c r="P91" i="38"/>
  <c r="P104" i="38" s="1"/>
  <c r="L71" i="38"/>
  <c r="L82" i="38" s="1"/>
  <c r="L43" i="38"/>
  <c r="L46" i="38" s="1"/>
  <c r="M265" i="39"/>
  <c r="P271" i="39"/>
  <c r="S202" i="39"/>
  <c r="K146" i="39"/>
  <c r="W110" i="39"/>
  <c r="W184" i="39"/>
  <c r="W219" i="39"/>
  <c r="W114" i="39"/>
  <c r="J216" i="39"/>
  <c r="J223" i="39" s="1"/>
  <c r="N98" i="39"/>
  <c r="N12" i="39" s="1"/>
  <c r="M98" i="39"/>
  <c r="M111" i="39"/>
  <c r="L263" i="30"/>
  <c r="W262" i="30"/>
  <c r="O191" i="30"/>
  <c r="I169" i="30"/>
  <c r="J168" i="30"/>
  <c r="S152" i="30"/>
  <c r="S92" i="30" s="1"/>
  <c r="K79" i="30"/>
  <c r="K32" i="30" s="1"/>
  <c r="O13" i="30"/>
  <c r="G13" i="30"/>
  <c r="G46" i="37"/>
  <c r="E53" i="36" s="1"/>
  <c r="J112" i="38"/>
  <c r="M179" i="38"/>
  <c r="E179" i="38"/>
  <c r="O181" i="38"/>
  <c r="O186" i="38" s="1"/>
  <c r="G181" i="38"/>
  <c r="G186" i="38" s="1"/>
  <c r="J161" i="38"/>
  <c r="J168" i="38" s="1"/>
  <c r="I161" i="38"/>
  <c r="I168" i="38" s="1"/>
  <c r="P88" i="38"/>
  <c r="P101" i="38" s="1"/>
  <c r="W60" i="38"/>
  <c r="K60" i="38"/>
  <c r="K64" i="38" s="1"/>
  <c r="W254" i="39"/>
  <c r="O271" i="39"/>
  <c r="O183" i="39"/>
  <c r="J140" i="39"/>
  <c r="J146" i="39" s="1"/>
  <c r="J313" i="39"/>
  <c r="J319" i="39" s="1"/>
  <c r="V184" i="39"/>
  <c r="V219" i="39"/>
  <c r="M217" i="39"/>
  <c r="M224" i="39" s="1"/>
  <c r="O155" i="39"/>
  <c r="N11" i="39"/>
  <c r="N114" i="39"/>
  <c r="F11" i="39"/>
  <c r="F114" i="39"/>
  <c r="S118" i="39"/>
  <c r="S57" i="38"/>
  <c r="P199" i="3"/>
  <c r="P187" i="3"/>
  <c r="P188" i="3" s="1"/>
  <c r="H187" i="3"/>
  <c r="H188" i="3" s="1"/>
  <c r="H199" i="3"/>
  <c r="L101" i="3"/>
  <c r="L38" i="16" s="1"/>
  <c r="Q60" i="38"/>
  <c r="I60" i="38"/>
  <c r="L231" i="3"/>
  <c r="AM251" i="3"/>
  <c r="O176" i="3"/>
  <c r="G176" i="3"/>
  <c r="V239" i="16"/>
  <c r="N244" i="16"/>
  <c r="F244" i="16"/>
  <c r="J231" i="16"/>
  <c r="J242" i="16" s="1"/>
  <c r="H230" i="16"/>
  <c r="H241" i="16" s="1"/>
  <c r="N229" i="16"/>
  <c r="N240" i="16" s="1"/>
  <c r="F229" i="16"/>
  <c r="F240" i="16" s="1"/>
  <c r="R240" i="16" s="1"/>
  <c r="R229" i="16" s="1"/>
  <c r="P261" i="16"/>
  <c r="P227" i="16"/>
  <c r="P238" i="16" s="1"/>
  <c r="W196" i="16"/>
  <c r="J196" i="16"/>
  <c r="W95" i="38"/>
  <c r="W41" i="39" s="1"/>
  <c r="G16" i="37" s="1"/>
  <c r="P92" i="38"/>
  <c r="P105" i="38" s="1"/>
  <c r="Q92" i="38"/>
  <c r="Q105" i="38" s="1"/>
  <c r="K69" i="38"/>
  <c r="K38" i="39" s="1"/>
  <c r="AC66" i="38"/>
  <c r="AC36" i="38" s="1"/>
  <c r="P69" i="38"/>
  <c r="P38" i="39" s="1"/>
  <c r="H69" i="38"/>
  <c r="H38" i="39" s="1"/>
  <c r="P60" i="38"/>
  <c r="H60" i="38"/>
  <c r="Q40" i="38"/>
  <c r="Q71" i="38" s="1"/>
  <c r="K298" i="39"/>
  <c r="K120" i="39"/>
  <c r="K23" i="39" s="1"/>
  <c r="K238" i="39" s="1"/>
  <c r="K253" i="39" s="1"/>
  <c r="N176" i="3"/>
  <c r="F176" i="3"/>
  <c r="AB66" i="38"/>
  <c r="AB36" i="38" s="1"/>
  <c r="O60" i="38"/>
  <c r="O64" i="38" s="1"/>
  <c r="G60" i="38"/>
  <c r="G64" i="38" s="1"/>
  <c r="O264" i="39"/>
  <c r="O209" i="39"/>
  <c r="P217" i="39"/>
  <c r="P224" i="39" s="1"/>
  <c r="V120" i="39"/>
  <c r="V23" i="39" s="1"/>
  <c r="V238" i="39" s="1"/>
  <c r="V253" i="39" s="1"/>
  <c r="J120" i="39"/>
  <c r="J23" i="39" s="1"/>
  <c r="J238" i="39" s="1"/>
  <c r="J253" i="39" s="1"/>
  <c r="K245" i="3"/>
  <c r="K249" i="3" s="1"/>
  <c r="G234" i="3"/>
  <c r="G241" i="3" s="1"/>
  <c r="P60" i="3"/>
  <c r="H60" i="3"/>
  <c r="H192" i="3"/>
  <c r="I140" i="4"/>
  <c r="J142" i="4" s="1"/>
  <c r="I124" i="3"/>
  <c r="I134" i="3" s="1"/>
  <c r="AJ251" i="3"/>
  <c r="N234" i="3"/>
  <c r="N241" i="3" s="1"/>
  <c r="F234" i="3"/>
  <c r="F241" i="3" s="1"/>
  <c r="H205" i="16"/>
  <c r="H127" i="52" s="1"/>
  <c r="L216" i="16"/>
  <c r="P216" i="16"/>
  <c r="M234" i="3"/>
  <c r="M241" i="3" s="1"/>
  <c r="E234" i="3"/>
  <c r="E241" i="3" s="1"/>
  <c r="N60" i="3"/>
  <c r="N61" i="3" s="1"/>
  <c r="R13" i="14" s="1"/>
  <c r="J108" i="3"/>
  <c r="J82" i="3"/>
  <c r="O80" i="3"/>
  <c r="O83" i="3" s="1"/>
  <c r="O27" i="16" s="1"/>
  <c r="O107" i="3"/>
  <c r="L106" i="3"/>
  <c r="L81" i="3"/>
  <c r="AG249" i="3"/>
  <c r="AG251" i="3" s="1"/>
  <c r="W83" i="3"/>
  <c r="W27" i="16" s="1"/>
  <c r="F80" i="3"/>
  <c r="F83" i="3" s="1"/>
  <c r="F27" i="16" s="1"/>
  <c r="F107" i="3"/>
  <c r="F16" i="16"/>
  <c r="F261" i="16" s="1"/>
  <c r="F264" i="16" s="1"/>
  <c r="F65" i="3"/>
  <c r="F67" i="3" s="1"/>
  <c r="F72" i="3" s="1"/>
  <c r="F22" i="3"/>
  <c r="F28" i="3" s="1"/>
  <c r="L22" i="3"/>
  <c r="N203" i="3"/>
  <c r="O209" i="3"/>
  <c r="I240" i="16"/>
  <c r="I205" i="16"/>
  <c r="I216" i="16"/>
  <c r="O244" i="16"/>
  <c r="G244" i="16"/>
  <c r="M228" i="16"/>
  <c r="M239" i="16" s="1"/>
  <c r="I261" i="16"/>
  <c r="I227" i="16"/>
  <c r="H13" i="16"/>
  <c r="M183" i="39"/>
  <c r="O182" i="39"/>
  <c r="T189" i="39"/>
  <c r="P120" i="39"/>
  <c r="P23" i="39" s="1"/>
  <c r="P238" i="39" s="1"/>
  <c r="P253" i="39" s="1"/>
  <c r="H120" i="39"/>
  <c r="H23" i="39" s="1"/>
  <c r="H238" i="39" s="1"/>
  <c r="H253" i="39" s="1"/>
  <c r="T253" i="39" s="1"/>
  <c r="W12" i="39"/>
  <c r="J12" i="39"/>
  <c r="J13" i="39" s="1"/>
  <c r="J83" i="39" s="1"/>
  <c r="X6" i="39"/>
  <c r="X288" i="39" s="1"/>
  <c r="N32" i="14"/>
  <c r="P245" i="3"/>
  <c r="P249" i="3" s="1"/>
  <c r="H245" i="3"/>
  <c r="F244" i="3"/>
  <c r="J234" i="3"/>
  <c r="J241" i="3" s="1"/>
  <c r="AO251" i="3"/>
  <c r="S226" i="3"/>
  <c r="R160" i="3"/>
  <c r="S160" i="3" s="1"/>
  <c r="T160" i="3" s="1"/>
  <c r="I101" i="3"/>
  <c r="I38" i="16" s="1"/>
  <c r="K231" i="16"/>
  <c r="K242" i="16" s="1"/>
  <c r="V230" i="16"/>
  <c r="V241" i="16" s="1"/>
  <c r="I230" i="16"/>
  <c r="I241" i="16" s="1"/>
  <c r="G229" i="16"/>
  <c r="G240" i="16" s="1"/>
  <c r="S240" i="16" s="1"/>
  <c r="S229" i="16" s="1"/>
  <c r="N238" i="16"/>
  <c r="S133" i="16"/>
  <c r="P103" i="16"/>
  <c r="P145" i="16"/>
  <c r="P102" i="16"/>
  <c r="P104" i="16"/>
  <c r="H103" i="16"/>
  <c r="H102" i="16"/>
  <c r="H145" i="16"/>
  <c r="M244" i="16"/>
  <c r="M211" i="39"/>
  <c r="L141" i="39"/>
  <c r="L147" i="39" s="1"/>
  <c r="S190" i="39"/>
  <c r="S197" i="39" s="1"/>
  <c r="E111" i="39"/>
  <c r="I12" i="39"/>
  <c r="I234" i="3"/>
  <c r="I241" i="3" s="1"/>
  <c r="O203" i="3"/>
  <c r="L199" i="3"/>
  <c r="E192" i="3"/>
  <c r="W176" i="3"/>
  <c r="V192" i="3"/>
  <c r="V210" i="3"/>
  <c r="V203" i="3"/>
  <c r="I22" i="3"/>
  <c r="L209" i="3"/>
  <c r="I210" i="3"/>
  <c r="I203" i="3"/>
  <c r="L210" i="3"/>
  <c r="E232" i="16"/>
  <c r="E243" i="16" s="1"/>
  <c r="O229" i="16"/>
  <c r="I128" i="16"/>
  <c r="O172" i="16"/>
  <c r="O174" i="16" s="1"/>
  <c r="G13" i="16"/>
  <c r="G172" i="16"/>
  <c r="G174" i="16" s="1"/>
  <c r="G187" i="16" s="1"/>
  <c r="M13" i="16"/>
  <c r="E13" i="16"/>
  <c r="J211" i="39"/>
  <c r="M210" i="39"/>
  <c r="K141" i="39"/>
  <c r="K147" i="39" s="1"/>
  <c r="N146" i="39"/>
  <c r="O120" i="39"/>
  <c r="O23" i="39" s="1"/>
  <c r="O238" i="39" s="1"/>
  <c r="O253" i="39" s="1"/>
  <c r="G120" i="39"/>
  <c r="G23" i="39" s="1"/>
  <c r="G238" i="39" s="1"/>
  <c r="Q12" i="39"/>
  <c r="H12" i="39"/>
  <c r="H13" i="39" s="1"/>
  <c r="N245" i="3"/>
  <c r="N249" i="3" s="1"/>
  <c r="F245" i="3"/>
  <c r="M203" i="3"/>
  <c r="K187" i="3"/>
  <c r="K188" i="3" s="1"/>
  <c r="K199" i="3"/>
  <c r="G187" i="3"/>
  <c r="G188" i="3" s="1"/>
  <c r="I108" i="3"/>
  <c r="G101" i="3"/>
  <c r="G38" i="16" s="1"/>
  <c r="M82" i="3"/>
  <c r="M108" i="3"/>
  <c r="J80" i="3"/>
  <c r="J107" i="3"/>
  <c r="L235" i="16"/>
  <c r="L189" i="52" s="1"/>
  <c r="L204" i="52" s="1"/>
  <c r="M151" i="16"/>
  <c r="L209" i="16"/>
  <c r="L210" i="16" s="1"/>
  <c r="L240" i="16"/>
  <c r="L159" i="16"/>
  <c r="L214" i="16"/>
  <c r="L220" i="16" s="1"/>
  <c r="L121" i="16"/>
  <c r="L87" i="16" s="1"/>
  <c r="L93" i="16" s="1"/>
  <c r="I211" i="39"/>
  <c r="S188" i="39"/>
  <c r="M120" i="39"/>
  <c r="M23" i="39" s="1"/>
  <c r="M238" i="39" s="1"/>
  <c r="M253" i="39" s="1"/>
  <c r="E120" i="39"/>
  <c r="E23" i="39" s="1"/>
  <c r="E238" i="39" s="1"/>
  <c r="E253" i="39" s="1"/>
  <c r="P12" i="39"/>
  <c r="F32" i="14"/>
  <c r="E245" i="3"/>
  <c r="E249" i="3" s="1"/>
  <c r="AB60" i="3"/>
  <c r="M17" i="14"/>
  <c r="L203" i="3"/>
  <c r="W199" i="3"/>
  <c r="G108" i="3"/>
  <c r="N107" i="3"/>
  <c r="K106" i="3"/>
  <c r="V242" i="16"/>
  <c r="K238" i="16"/>
  <c r="O128" i="16"/>
  <c r="O145" i="16"/>
  <c r="G128" i="16"/>
  <c r="G145" i="16"/>
  <c r="W159" i="16"/>
  <c r="W101" i="16"/>
  <c r="W145" i="16"/>
  <c r="W102" i="16"/>
  <c r="J101" i="16"/>
  <c r="J103" i="16"/>
  <c r="J159" i="16"/>
  <c r="J145" i="16"/>
  <c r="J181" i="16"/>
  <c r="W249" i="3"/>
  <c r="W251" i="3" s="1"/>
  <c r="V249" i="3"/>
  <c r="V251" i="3" s="1"/>
  <c r="V253" i="3" s="1"/>
  <c r="W252" i="3" s="1"/>
  <c r="E61" i="3"/>
  <c r="R226" i="3"/>
  <c r="L67" i="3"/>
  <c r="L72" i="3" s="1"/>
  <c r="P181" i="16"/>
  <c r="H181" i="16"/>
  <c r="I149" i="16"/>
  <c r="V101" i="16"/>
  <c r="V145" i="16"/>
  <c r="V102" i="16"/>
  <c r="I159" i="16"/>
  <c r="I101" i="16"/>
  <c r="I102" i="16"/>
  <c r="K209" i="16"/>
  <c r="K210" i="16" s="1"/>
  <c r="K240" i="16"/>
  <c r="K214" i="16"/>
  <c r="K220" i="16" s="1"/>
  <c r="O232" i="16"/>
  <c r="O243" i="16" s="1"/>
  <c r="G232" i="16"/>
  <c r="G243" i="16" s="1"/>
  <c r="S243" i="16" s="1"/>
  <c r="M231" i="16"/>
  <c r="M242" i="16" s="1"/>
  <c r="E231" i="16"/>
  <c r="E242" i="16" s="1"/>
  <c r="K261" i="16"/>
  <c r="M196" i="16"/>
  <c r="AF249" i="3"/>
  <c r="AF251" i="3" s="1"/>
  <c r="G244" i="3"/>
  <c r="F243" i="3"/>
  <c r="I242" i="16"/>
  <c r="L238" i="16"/>
  <c r="J209" i="16"/>
  <c r="J239" i="16"/>
  <c r="J214" i="16"/>
  <c r="J220" i="16" s="1"/>
  <c r="J244" i="16"/>
  <c r="T111" i="16"/>
  <c r="T121" i="16" s="1"/>
  <c r="Q111" i="16"/>
  <c r="Q214" i="16" s="1"/>
  <c r="Q220" i="16" s="1"/>
  <c r="W103" i="16"/>
  <c r="N232" i="16"/>
  <c r="N243" i="16" s="1"/>
  <c r="F232" i="16"/>
  <c r="F243" i="16" s="1"/>
  <c r="J261" i="16"/>
  <c r="J227" i="16"/>
  <c r="J238" i="16" s="1"/>
  <c r="W244" i="16"/>
  <c r="I151" i="16"/>
  <c r="P13" i="16"/>
  <c r="P50" i="16" s="1"/>
  <c r="W245" i="16"/>
  <c r="V244" i="16"/>
  <c r="I244" i="16"/>
  <c r="L151" i="16"/>
  <c r="L128" i="16"/>
  <c r="S132" i="16"/>
  <c r="S81" i="16" s="1"/>
  <c r="G87" i="3"/>
  <c r="G33" i="16" s="1"/>
  <c r="O67" i="3"/>
  <c r="O72" i="3" s="1"/>
  <c r="V245" i="16"/>
  <c r="K239" i="16"/>
  <c r="K181" i="16"/>
  <c r="L162" i="16"/>
  <c r="W128" i="16"/>
  <c r="J121" i="16"/>
  <c r="J87" i="16" s="1"/>
  <c r="J93" i="16" s="1"/>
  <c r="W13" i="16"/>
  <c r="W239" i="16"/>
  <c r="I13" i="16"/>
  <c r="AE465" i="60"/>
  <c r="N157" i="52"/>
  <c r="AA465" i="60"/>
  <c r="AA466" i="60" s="1"/>
  <c r="AQ77" i="61"/>
  <c r="AR77" i="61" s="1"/>
  <c r="AQ69" i="61"/>
  <c r="AR69" i="61" s="1"/>
  <c r="AQ61" i="61"/>
  <c r="AR61" i="61" s="1"/>
  <c r="AQ53" i="61"/>
  <c r="AR53" i="61" s="1"/>
  <c r="AQ45" i="61"/>
  <c r="AR45" i="61" s="1"/>
  <c r="AQ37" i="61"/>
  <c r="AR37" i="61" s="1"/>
  <c r="AQ29" i="61"/>
  <c r="AR29" i="61" s="1"/>
  <c r="AQ21" i="61"/>
  <c r="AR21" i="61" s="1"/>
  <c r="AQ13" i="61"/>
  <c r="AR13" i="61" s="1"/>
  <c r="AQ5" i="61"/>
  <c r="AR5" i="61" s="1"/>
  <c r="O156" i="52"/>
  <c r="O151" i="52"/>
  <c r="K156" i="52"/>
  <c r="K151" i="52"/>
  <c r="L155" i="52"/>
  <c r="L150" i="52"/>
  <c r="O85" i="52"/>
  <c r="O89" i="52"/>
  <c r="AQ71" i="61"/>
  <c r="AR71" i="61" s="1"/>
  <c r="AQ63" i="61"/>
  <c r="AR63" i="61" s="1"/>
  <c r="AQ55" i="61"/>
  <c r="AR55" i="61" s="1"/>
  <c r="AQ47" i="61"/>
  <c r="AR47" i="61" s="1"/>
  <c r="AQ39" i="61"/>
  <c r="AR39" i="61" s="1"/>
  <c r="AQ31" i="61"/>
  <c r="AR31" i="61" s="1"/>
  <c r="AQ23" i="61"/>
  <c r="AR23" i="61" s="1"/>
  <c r="AQ15" i="61"/>
  <c r="AR15" i="61" s="1"/>
  <c r="AQ7" i="61"/>
  <c r="AR7" i="61" s="1"/>
  <c r="P150" i="52"/>
  <c r="E147" i="52"/>
  <c r="J157" i="52"/>
  <c r="J152" i="52"/>
  <c r="I95" i="52"/>
  <c r="O171" i="52"/>
  <c r="O176" i="52"/>
  <c r="K171" i="52"/>
  <c r="K166" i="52"/>
  <c r="G176" i="52"/>
  <c r="F199" i="16"/>
  <c r="V199" i="16"/>
  <c r="V202" i="16" s="1"/>
  <c r="W199" i="16"/>
  <c r="E199" i="16"/>
  <c r="V288" i="39"/>
  <c r="V291" i="39" s="1"/>
  <c r="W288" i="39"/>
  <c r="E287" i="39"/>
  <c r="E290" i="39" s="1"/>
  <c r="F288" i="39"/>
  <c r="E288" i="39"/>
  <c r="E291" i="39" s="1"/>
  <c r="V214" i="30"/>
  <c r="W214" i="30"/>
  <c r="W217" i="30" s="1"/>
  <c r="E213" i="30"/>
  <c r="E216" i="30" s="1"/>
  <c r="E214" i="30"/>
  <c r="E217" i="30" s="1"/>
  <c r="F214" i="30"/>
  <c r="F217" i="30" s="1"/>
  <c r="V130" i="52"/>
  <c r="W130" i="52"/>
  <c r="X130" i="52"/>
  <c r="V147" i="52"/>
  <c r="W147" i="52"/>
  <c r="E130" i="52"/>
  <c r="X147" i="52"/>
  <c r="F130" i="52"/>
  <c r="F147" i="52"/>
  <c r="AQ73" i="61"/>
  <c r="AR73" i="61" s="1"/>
  <c r="AQ65" i="61"/>
  <c r="AR65" i="61" s="1"/>
  <c r="AQ57" i="61"/>
  <c r="AR57" i="61" s="1"/>
  <c r="AQ49" i="61"/>
  <c r="AR49" i="61" s="1"/>
  <c r="AQ41" i="61"/>
  <c r="AR41" i="61" s="1"/>
  <c r="AQ33" i="61"/>
  <c r="AR33" i="61" s="1"/>
  <c r="AQ25" i="61"/>
  <c r="AR25" i="61" s="1"/>
  <c r="AQ17" i="61"/>
  <c r="AR17" i="61" s="1"/>
  <c r="AQ9" i="61"/>
  <c r="AR9" i="61" s="1"/>
  <c r="F177" i="52"/>
  <c r="E26" i="52"/>
  <c r="V113" i="16"/>
  <c r="V114" i="16" s="1"/>
  <c r="E113" i="16"/>
  <c r="E114" i="16" s="1"/>
  <c r="F113" i="16"/>
  <c r="F114" i="16" s="1"/>
  <c r="W113" i="16"/>
  <c r="W114" i="16" s="1"/>
  <c r="E137" i="16"/>
  <c r="E138" i="16" s="1"/>
  <c r="F137" i="16"/>
  <c r="F138" i="16" s="1"/>
  <c r="V137" i="16"/>
  <c r="V138" i="16" s="1"/>
  <c r="W137" i="16"/>
  <c r="W138" i="16" s="1"/>
  <c r="V129" i="30"/>
  <c r="V130" i="30" s="1"/>
  <c r="E155" i="30"/>
  <c r="E156" i="30" s="1"/>
  <c r="W129" i="30"/>
  <c r="W130" i="30" s="1"/>
  <c r="F155" i="30"/>
  <c r="F156" i="30" s="1"/>
  <c r="E129" i="30"/>
  <c r="E130" i="30" s="1"/>
  <c r="V155" i="30"/>
  <c r="V156" i="30" s="1"/>
  <c r="F129" i="30"/>
  <c r="F130" i="30" s="1"/>
  <c r="W155" i="30"/>
  <c r="W156" i="30" s="1"/>
  <c r="G155" i="30"/>
  <c r="G156" i="30" s="1"/>
  <c r="P90" i="52"/>
  <c r="P86" i="52"/>
  <c r="L86" i="52"/>
  <c r="T86" i="52"/>
  <c r="T90" i="52"/>
  <c r="L90" i="52"/>
  <c r="J171" i="52"/>
  <c r="Q90" i="52"/>
  <c r="I90" i="52"/>
  <c r="I77" i="52"/>
  <c r="O72" i="52"/>
  <c r="J78" i="52"/>
  <c r="K26" i="52"/>
  <c r="A4" i="61"/>
  <c r="J85" i="52"/>
  <c r="V26" i="52"/>
  <c r="G6" i="52"/>
  <c r="J151" i="52"/>
  <c r="S90" i="52"/>
  <c r="B5" i="61"/>
  <c r="I177" i="52"/>
  <c r="X5" i="52"/>
  <c r="Y6" i="52"/>
  <c r="P17" i="30"/>
  <c r="P245" i="30"/>
  <c r="H50" i="29"/>
  <c r="H17" i="29" s="1"/>
  <c r="H90" i="29"/>
  <c r="H57" i="29" s="1"/>
  <c r="H62" i="29" s="1"/>
  <c r="J204" i="29"/>
  <c r="K204" i="29"/>
  <c r="P43" i="29"/>
  <c r="P246" i="29"/>
  <c r="H43" i="29"/>
  <c r="H246" i="29"/>
  <c r="P90" i="29"/>
  <c r="P57" i="29" s="1"/>
  <c r="P62" i="29" s="1"/>
  <c r="N17" i="30"/>
  <c r="N245" i="30"/>
  <c r="J100" i="29"/>
  <c r="J101" i="29" s="1"/>
  <c r="N13" i="28" s="1"/>
  <c r="J170" i="29"/>
  <c r="J172" i="29" s="1"/>
  <c r="W17" i="30"/>
  <c r="W189" i="29"/>
  <c r="W245" i="30"/>
  <c r="V245" i="30"/>
  <c r="V17" i="30"/>
  <c r="V189" i="29"/>
  <c r="AC48" i="29"/>
  <c r="Q90" i="29"/>
  <c r="Q57" i="29" s="1"/>
  <c r="I49" i="29"/>
  <c r="I90" i="29"/>
  <c r="I57" i="29" s="1"/>
  <c r="V197" i="30"/>
  <c r="V110" i="30"/>
  <c r="V198" i="30"/>
  <c r="V178" i="30"/>
  <c r="V112" i="30"/>
  <c r="V113" i="30"/>
  <c r="V164" i="30"/>
  <c r="V111" i="30"/>
  <c r="G32" i="28"/>
  <c r="G25" i="28"/>
  <c r="O256" i="30"/>
  <c r="G256" i="30"/>
  <c r="O245" i="30"/>
  <c r="O257" i="30" s="1"/>
  <c r="O17" i="30"/>
  <c r="G245" i="30"/>
  <c r="G257" i="30" s="1"/>
  <c r="S257" i="30" s="1"/>
  <c r="G17" i="30"/>
  <c r="P48" i="29"/>
  <c r="H172" i="29"/>
  <c r="F17" i="30"/>
  <c r="F245" i="30"/>
  <c r="F32" i="29"/>
  <c r="F56" i="29" s="1"/>
  <c r="AI248" i="29"/>
  <c r="AI250" i="29" s="1"/>
  <c r="O178" i="29"/>
  <c r="O167" i="29" s="1"/>
  <c r="O168" i="29" s="1"/>
  <c r="P178" i="29"/>
  <c r="P167" i="29" s="1"/>
  <c r="P168" i="29" s="1"/>
  <c r="G178" i="29"/>
  <c r="G167" i="29" s="1"/>
  <c r="G168" i="29" s="1"/>
  <c r="H178" i="29"/>
  <c r="H167" i="29" s="1"/>
  <c r="H168" i="29" s="1"/>
  <c r="S145" i="29"/>
  <c r="W48" i="29"/>
  <c r="N48" i="29"/>
  <c r="F48" i="29"/>
  <c r="J286" i="30"/>
  <c r="I246" i="29"/>
  <c r="M227" i="29"/>
  <c r="M237" i="29" s="1"/>
  <c r="E227" i="29"/>
  <c r="E237" i="29" s="1"/>
  <c r="G15" i="30"/>
  <c r="H188" i="29"/>
  <c r="I188" i="29"/>
  <c r="R174" i="29"/>
  <c r="K17" i="29"/>
  <c r="K48" i="29"/>
  <c r="R48" i="29"/>
  <c r="M48" i="29"/>
  <c r="H6" i="30"/>
  <c r="G5" i="30"/>
  <c r="G129" i="30"/>
  <c r="G130" i="30" s="1"/>
  <c r="G214" i="30"/>
  <c r="G217" i="30" s="1"/>
  <c r="O246" i="29"/>
  <c r="G246" i="29"/>
  <c r="R125" i="29"/>
  <c r="R220" i="29" s="1"/>
  <c r="J17" i="30"/>
  <c r="J245" i="30"/>
  <c r="E48" i="29"/>
  <c r="E17" i="29"/>
  <c r="E47" i="29" s="1"/>
  <c r="J79" i="30"/>
  <c r="J32" i="30" s="1"/>
  <c r="O170" i="29"/>
  <c r="O172" i="29" s="1"/>
  <c r="G170" i="29"/>
  <c r="P110" i="29"/>
  <c r="P183" i="29" s="1"/>
  <c r="I100" i="29"/>
  <c r="I191" i="30"/>
  <c r="I167" i="30"/>
  <c r="P164" i="30"/>
  <c r="P145" i="30"/>
  <c r="H164" i="30"/>
  <c r="H145" i="30"/>
  <c r="M197" i="30"/>
  <c r="M110" i="30"/>
  <c r="M198" i="30"/>
  <c r="M178" i="30"/>
  <c r="M112" i="30"/>
  <c r="M113" i="30"/>
  <c r="M164" i="30"/>
  <c r="E197" i="30"/>
  <c r="E110" i="30"/>
  <c r="E198" i="30"/>
  <c r="E178" i="30"/>
  <c r="E112" i="30"/>
  <c r="E113" i="30"/>
  <c r="E164" i="30"/>
  <c r="I13" i="30"/>
  <c r="I180" i="30" s="1"/>
  <c r="N170" i="29"/>
  <c r="N172" i="29" s="1"/>
  <c r="F170" i="29"/>
  <c r="P100" i="29"/>
  <c r="P101" i="29" s="1"/>
  <c r="T13" i="28" s="1"/>
  <c r="H100" i="29"/>
  <c r="H101" i="29" s="1"/>
  <c r="O49" i="29"/>
  <c r="O48" i="29" s="1"/>
  <c r="G49" i="29"/>
  <c r="G48" i="29" s="1"/>
  <c r="W191" i="30"/>
  <c r="L178" i="30"/>
  <c r="L145" i="30"/>
  <c r="L223" i="30"/>
  <c r="L137" i="30"/>
  <c r="W83" i="30"/>
  <c r="W35" i="30" s="1"/>
  <c r="L170" i="29"/>
  <c r="L172" i="29" s="1"/>
  <c r="I43" i="29"/>
  <c r="H211" i="30"/>
  <c r="P233" i="30" s="1"/>
  <c r="O230" i="30"/>
  <c r="Q153" i="30"/>
  <c r="V83" i="30"/>
  <c r="V35" i="30" s="1"/>
  <c r="R132" i="29"/>
  <c r="S132" i="29" s="1"/>
  <c r="T132" i="29" s="1"/>
  <c r="J233" i="30"/>
  <c r="N233" i="30"/>
  <c r="X6" i="29"/>
  <c r="M220" i="30"/>
  <c r="N191" i="30"/>
  <c r="R187" i="30"/>
  <c r="R201" i="30" s="1"/>
  <c r="L17" i="30"/>
  <c r="L245" i="30"/>
  <c r="K230" i="30"/>
  <c r="I6" i="32"/>
  <c r="J6" i="32" s="1"/>
  <c r="K6" i="32" s="1"/>
  <c r="L6" i="32" s="1"/>
  <c r="E5" i="32"/>
  <c r="F5" i="32"/>
  <c r="G5" i="32"/>
  <c r="H5" i="32"/>
  <c r="J178" i="30"/>
  <c r="I145" i="30"/>
  <c r="M137" i="30"/>
  <c r="T187" i="30"/>
  <c r="T201" i="30" s="1"/>
  <c r="J164" i="30"/>
  <c r="W145" i="30"/>
  <c r="N145" i="30"/>
  <c r="F145" i="30"/>
  <c r="X6" i="32"/>
  <c r="K26" i="37"/>
  <c r="N111" i="38"/>
  <c r="N112" i="38" s="1"/>
  <c r="Q13" i="37" s="1"/>
  <c r="N241" i="38"/>
  <c r="F111" i="38"/>
  <c r="F112" i="38" s="1"/>
  <c r="F241" i="38"/>
  <c r="K18" i="37"/>
  <c r="R46" i="37"/>
  <c r="L53" i="36" s="1"/>
  <c r="S46" i="37"/>
  <c r="M53" i="36" s="1"/>
  <c r="T46" i="37"/>
  <c r="N53" i="36" s="1"/>
  <c r="U46" i="37"/>
  <c r="O53" i="36" s="1"/>
  <c r="V181" i="38"/>
  <c r="V186" i="38" s="1"/>
  <c r="V111" i="38"/>
  <c r="S130" i="38"/>
  <c r="H71" i="38"/>
  <c r="H43" i="38"/>
  <c r="G32" i="38"/>
  <c r="G40" i="38" s="1"/>
  <c r="I32" i="38"/>
  <c r="I40" i="38" s="1"/>
  <c r="T54" i="37"/>
  <c r="N61" i="36" s="1"/>
  <c r="P241" i="38"/>
  <c r="H241" i="38"/>
  <c r="W179" i="38"/>
  <c r="O111" i="38"/>
  <c r="O112" i="38" s="1"/>
  <c r="R13" i="37" s="1"/>
  <c r="V95" i="38"/>
  <c r="V41" i="39" s="1"/>
  <c r="J60" i="38"/>
  <c r="J265" i="39"/>
  <c r="S54" i="37"/>
  <c r="M61" i="36" s="1"/>
  <c r="K15" i="37"/>
  <c r="G241" i="38"/>
  <c r="O179" i="38"/>
  <c r="G179" i="38"/>
  <c r="O124" i="38"/>
  <c r="O135" i="38" s="1"/>
  <c r="R27" i="37" s="1"/>
  <c r="M198" i="38"/>
  <c r="M204" i="38"/>
  <c r="O206" i="38"/>
  <c r="M187" i="38"/>
  <c r="N198" i="38"/>
  <c r="M188" i="38"/>
  <c r="O198" i="38"/>
  <c r="O204" i="38"/>
  <c r="P198" i="38"/>
  <c r="M24" i="38"/>
  <c r="N206" i="38"/>
  <c r="P207" i="38"/>
  <c r="E187" i="38"/>
  <c r="E188" i="38"/>
  <c r="H198" i="38"/>
  <c r="E24" i="38"/>
  <c r="H207" i="38"/>
  <c r="F5" i="38"/>
  <c r="G6" i="38"/>
  <c r="F17" i="37"/>
  <c r="V241" i="38"/>
  <c r="V260" i="38" s="1"/>
  <c r="L241" i="38"/>
  <c r="H112" i="38"/>
  <c r="Q69" i="38"/>
  <c r="Q38" i="39" s="1"/>
  <c r="I69" i="38"/>
  <c r="I38" i="39" s="1"/>
  <c r="P71" i="38"/>
  <c r="P43" i="38"/>
  <c r="Q155" i="39"/>
  <c r="Q157" i="39"/>
  <c r="Q205" i="39"/>
  <c r="Q154" i="39"/>
  <c r="Q219" i="39"/>
  <c r="Q156" i="39"/>
  <c r="I155" i="39"/>
  <c r="I157" i="39"/>
  <c r="I205" i="39"/>
  <c r="I154" i="39"/>
  <c r="I219" i="39"/>
  <c r="I156" i="39"/>
  <c r="L181" i="38"/>
  <c r="L186" i="38" s="1"/>
  <c r="G112" i="38"/>
  <c r="W181" i="38"/>
  <c r="W186" i="38" s="1"/>
  <c r="W111" i="38"/>
  <c r="Q86" i="38"/>
  <c r="Q99" i="38" s="1"/>
  <c r="Q90" i="38"/>
  <c r="Q103" i="38" s="1"/>
  <c r="Q89" i="38"/>
  <c r="Q102" i="38" s="1"/>
  <c r="P15" i="39"/>
  <c r="P302" i="39"/>
  <c r="P126" i="52" s="1"/>
  <c r="P62" i="38"/>
  <c r="H15" i="39"/>
  <c r="H302" i="39"/>
  <c r="H126" i="52" s="1"/>
  <c r="H62" i="38"/>
  <c r="K183" i="39"/>
  <c r="K218" i="39"/>
  <c r="K225" i="39" s="1"/>
  <c r="Q93" i="38"/>
  <c r="Q106" i="38" s="1"/>
  <c r="J261" i="39"/>
  <c r="P182" i="39"/>
  <c r="P196" i="39"/>
  <c r="Q161" i="38"/>
  <c r="Q168" i="38" s="1"/>
  <c r="Q94" i="38"/>
  <c r="Q107" i="38" s="1"/>
  <c r="Q85" i="38"/>
  <c r="W11" i="39"/>
  <c r="W101" i="39"/>
  <c r="W105" i="39" s="1"/>
  <c r="M298" i="39"/>
  <c r="M312" i="39"/>
  <c r="E298" i="39"/>
  <c r="O15" i="39"/>
  <c r="O302" i="39"/>
  <c r="O126" i="52" s="1"/>
  <c r="J269" i="39"/>
  <c r="N203" i="39"/>
  <c r="N210" i="39" s="1"/>
  <c r="L181" i="39"/>
  <c r="L195" i="39"/>
  <c r="J202" i="39"/>
  <c r="J209" i="39" s="1"/>
  <c r="J181" i="39"/>
  <c r="L120" i="39"/>
  <c r="L23" i="39" s="1"/>
  <c r="E5" i="41"/>
  <c r="F5" i="41"/>
  <c r="G5" i="41"/>
  <c r="I6" i="41"/>
  <c r="J6" i="41" s="1"/>
  <c r="K6" i="41" s="1"/>
  <c r="L6" i="41" s="1"/>
  <c r="H5" i="41"/>
  <c r="P86" i="38"/>
  <c r="P99" i="38" s="1"/>
  <c r="X6" i="38"/>
  <c r="J309" i="39"/>
  <c r="L15" i="39"/>
  <c r="L302" i="39"/>
  <c r="L126" i="52" s="1"/>
  <c r="L201" i="39"/>
  <c r="T201" i="39"/>
  <c r="O313" i="39"/>
  <c r="O319" i="39" s="1"/>
  <c r="O140" i="39"/>
  <c r="O146" i="39" s="1"/>
  <c r="Q217" i="39"/>
  <c r="Q224" i="39" s="1"/>
  <c r="I217" i="39"/>
  <c r="I224" i="39" s="1"/>
  <c r="V298" i="39"/>
  <c r="K15" i="39"/>
  <c r="K302" i="39"/>
  <c r="K126" i="52" s="1"/>
  <c r="Q298" i="39"/>
  <c r="G15" i="39"/>
  <c r="G302" i="39"/>
  <c r="G126" i="52" s="1"/>
  <c r="P249" i="39"/>
  <c r="H249" i="39"/>
  <c r="N183" i="39"/>
  <c r="N204" i="39"/>
  <c r="N211" i="39" s="1"/>
  <c r="N182" i="39"/>
  <c r="P312" i="39"/>
  <c r="P298" i="39"/>
  <c r="H298" i="39"/>
  <c r="W204" i="39"/>
  <c r="W211" i="39" s="1"/>
  <c r="W181" i="39"/>
  <c r="P155" i="39"/>
  <c r="H155" i="39"/>
  <c r="L154" i="39"/>
  <c r="O114" i="39"/>
  <c r="G114" i="39"/>
  <c r="H101" i="39"/>
  <c r="H105" i="39" s="1"/>
  <c r="Q10" i="39"/>
  <c r="Q101" i="39"/>
  <c r="Q105" i="39" s="1"/>
  <c r="I10" i="39"/>
  <c r="I101" i="39"/>
  <c r="I105" i="39" s="1"/>
  <c r="O10" i="39"/>
  <c r="T204" i="39"/>
  <c r="M182" i="39"/>
  <c r="V114" i="39"/>
  <c r="W112" i="39"/>
  <c r="J183" i="39"/>
  <c r="E180" i="39"/>
  <c r="W177" i="39"/>
  <c r="V112" i="39"/>
  <c r="W111" i="39"/>
  <c r="E101" i="39"/>
  <c r="E105" i="39" s="1"/>
  <c r="G12" i="39"/>
  <c r="L312" i="39"/>
  <c r="L298" i="39"/>
  <c r="Q183" i="39"/>
  <c r="I183" i="39"/>
  <c r="K114" i="39"/>
  <c r="V111" i="39"/>
  <c r="O12" i="39"/>
  <c r="V110" i="39"/>
  <c r="Q182" i="39"/>
  <c r="I182" i="39"/>
  <c r="K10" i="39"/>
  <c r="K101" i="39"/>
  <c r="K105" i="39" s="1"/>
  <c r="Q312" i="39"/>
  <c r="I312" i="39"/>
  <c r="I298" i="39"/>
  <c r="P114" i="39"/>
  <c r="H114" i="39"/>
  <c r="V101" i="39"/>
  <c r="V105" i="39" s="1"/>
  <c r="V12" i="39"/>
  <c r="V13" i="39" s="1"/>
  <c r="V52" i="39" s="1"/>
  <c r="K12" i="39"/>
  <c r="F5" i="39"/>
  <c r="X6" i="41"/>
  <c r="R46" i="14"/>
  <c r="L53" i="13" s="1"/>
  <c r="S46" i="14"/>
  <c r="M53" i="13" s="1"/>
  <c r="K60" i="3"/>
  <c r="K61" i="3" s="1"/>
  <c r="O13" i="14" s="1"/>
  <c r="K192" i="3"/>
  <c r="K190" i="3"/>
  <c r="H59" i="3"/>
  <c r="K30" i="14"/>
  <c r="J245" i="3"/>
  <c r="J249" i="3" s="1"/>
  <c r="R194" i="3"/>
  <c r="AN251" i="3"/>
  <c r="G59" i="3"/>
  <c r="G61" i="3" s="1"/>
  <c r="T164" i="3"/>
  <c r="G32" i="14"/>
  <c r="O59" i="3"/>
  <c r="O61" i="3" s="1"/>
  <c r="AQ251" i="3"/>
  <c r="P231" i="3"/>
  <c r="S166" i="3"/>
  <c r="T166" i="3" s="1"/>
  <c r="N24" i="14"/>
  <c r="AD60" i="3"/>
  <c r="AD241" i="3"/>
  <c r="L60" i="3"/>
  <c r="L192" i="3"/>
  <c r="L190" i="3"/>
  <c r="R117" i="3"/>
  <c r="S118" i="3"/>
  <c r="E16" i="16"/>
  <c r="E22" i="3"/>
  <c r="E65" i="3"/>
  <c r="E67" i="3" s="1"/>
  <c r="E72" i="3" s="1"/>
  <c r="H243" i="3"/>
  <c r="AC60" i="3"/>
  <c r="F61" i="3"/>
  <c r="I199" i="3"/>
  <c r="P192" i="3"/>
  <c r="G192" i="3"/>
  <c r="J190" i="3"/>
  <c r="O187" i="3"/>
  <c r="O188" i="3" s="1"/>
  <c r="J176" i="3"/>
  <c r="K82" i="3"/>
  <c r="K83" i="3" s="1"/>
  <c r="K27" i="16" s="1"/>
  <c r="K108" i="3"/>
  <c r="AH249" i="3"/>
  <c r="AH251" i="3" s="1"/>
  <c r="I60" i="3"/>
  <c r="I61" i="3" s="1"/>
  <c r="I190" i="3"/>
  <c r="O192" i="3"/>
  <c r="F192" i="3"/>
  <c r="H190" i="3"/>
  <c r="J101" i="3"/>
  <c r="J38" i="16" s="1"/>
  <c r="N192" i="3"/>
  <c r="P190" i="3"/>
  <c r="G190" i="3"/>
  <c r="W187" i="3"/>
  <c r="W188" i="3" s="1"/>
  <c r="P36" i="4"/>
  <c r="M245" i="3"/>
  <c r="M249" i="3" s="1"/>
  <c r="O190" i="3"/>
  <c r="F190" i="3"/>
  <c r="L187" i="3"/>
  <c r="L188" i="3" s="1"/>
  <c r="H176" i="3"/>
  <c r="H244" i="3"/>
  <c r="J61" i="3"/>
  <c r="N13" i="14" s="1"/>
  <c r="N190" i="3"/>
  <c r="P140" i="4"/>
  <c r="P124" i="3"/>
  <c r="P134" i="3" s="1"/>
  <c r="T27" i="14" s="1"/>
  <c r="H140" i="4"/>
  <c r="H124" i="3"/>
  <c r="H134" i="3" s="1"/>
  <c r="J192" i="3"/>
  <c r="M190" i="3"/>
  <c r="M124" i="3"/>
  <c r="M134" i="3" s="1"/>
  <c r="Q27" i="14" s="1"/>
  <c r="E124" i="3"/>
  <c r="E134" i="3" s="1"/>
  <c r="N108" i="3"/>
  <c r="E108" i="3"/>
  <c r="V107" i="3"/>
  <c r="I106" i="3"/>
  <c r="I83" i="3"/>
  <c r="I27" i="16" s="1"/>
  <c r="N67" i="3"/>
  <c r="N72" i="3" s="1"/>
  <c r="I107" i="3"/>
  <c r="G83" i="3"/>
  <c r="G27" i="16" s="1"/>
  <c r="P101" i="3"/>
  <c r="P38" i="16" s="1"/>
  <c r="T16" i="14" s="1"/>
  <c r="H101" i="3"/>
  <c r="H38" i="16" s="1"/>
  <c r="M176" i="3"/>
  <c r="E176" i="3"/>
  <c r="N142" i="4"/>
  <c r="F142" i="4"/>
  <c r="P87" i="3"/>
  <c r="P33" i="16" s="1"/>
  <c r="T15" i="14" s="1"/>
  <c r="H87" i="3"/>
  <c r="H33" i="16" s="1"/>
  <c r="V83" i="3"/>
  <c r="V27" i="16" s="1"/>
  <c r="N124" i="3"/>
  <c r="N134" i="3" s="1"/>
  <c r="R27" i="14" s="1"/>
  <c r="F124" i="3"/>
  <c r="F134" i="3" s="1"/>
  <c r="K142" i="4"/>
  <c r="J106" i="3"/>
  <c r="M142" i="4"/>
  <c r="K107" i="3"/>
  <c r="F5" i="3"/>
  <c r="L244" i="16"/>
  <c r="W178" i="16"/>
  <c r="O216" i="16"/>
  <c r="R174" i="16"/>
  <c r="R132" i="16"/>
  <c r="F132" i="16"/>
  <c r="E133" i="16"/>
  <c r="K128" i="16"/>
  <c r="K145" i="16"/>
  <c r="K216" i="16"/>
  <c r="S143" i="16"/>
  <c r="K150" i="16"/>
  <c r="P178" i="16"/>
  <c r="T174" i="16"/>
  <c r="M209" i="16"/>
  <c r="M159" i="16"/>
  <c r="M121" i="16"/>
  <c r="M87" i="16" s="1"/>
  <c r="M93" i="16" s="1"/>
  <c r="M214" i="16"/>
  <c r="M220" i="16" s="1"/>
  <c r="I121" i="16"/>
  <c r="I87" i="16" s="1"/>
  <c r="I93" i="16" s="1"/>
  <c r="E209" i="16"/>
  <c r="Q145" i="52" s="1"/>
  <c r="E128" i="16"/>
  <c r="I214" i="16"/>
  <c r="I220" i="16" s="1"/>
  <c r="E159" i="16"/>
  <c r="I145" i="16"/>
  <c r="T144" i="16"/>
  <c r="P101" i="16"/>
  <c r="H101" i="16"/>
  <c r="K104" i="16"/>
  <c r="K121" i="16"/>
  <c r="K87" i="16" s="1"/>
  <c r="K93" i="16" s="1"/>
  <c r="X6" i="16"/>
  <c r="E5" i="4"/>
  <c r="F5" i="4"/>
  <c r="G5" i="4"/>
  <c r="H5" i="4"/>
  <c r="I6" i="4"/>
  <c r="J6" i="4" s="1"/>
  <c r="K6" i="4" s="1"/>
  <c r="L6" i="4" s="1"/>
  <c r="L13" i="16"/>
  <c r="F5" i="16"/>
  <c r="L142" i="4"/>
  <c r="X6" i="4"/>
  <c r="N21" i="37" l="1"/>
  <c r="N78" i="52"/>
  <c r="Q107" i="39"/>
  <c r="K43" i="38"/>
  <c r="K46" i="38" s="1"/>
  <c r="O253" i="38"/>
  <c r="O107" i="39"/>
  <c r="J151" i="16"/>
  <c r="N151" i="16"/>
  <c r="T171" i="29"/>
  <c r="T53" i="32" s="1"/>
  <c r="W188" i="16"/>
  <c r="W189" i="16" s="1"/>
  <c r="J188" i="16"/>
  <c r="G188" i="16"/>
  <c r="G189" i="16" s="1"/>
  <c r="P188" i="16"/>
  <c r="P189" i="16" s="1"/>
  <c r="N188" i="16"/>
  <c r="N189" i="16" s="1"/>
  <c r="O21" i="37"/>
  <c r="O188" i="16"/>
  <c r="P107" i="39"/>
  <c r="S127" i="39"/>
  <c r="K27" i="37"/>
  <c r="T27" i="37"/>
  <c r="P21" i="37"/>
  <c r="J201" i="39"/>
  <c r="J208" i="39" s="1"/>
  <c r="L314" i="39"/>
  <c r="L320" i="39" s="1"/>
  <c r="S196" i="39"/>
  <c r="S128" i="39"/>
  <c r="S135" i="39" s="1"/>
  <c r="F188" i="16"/>
  <c r="F189" i="16" s="1"/>
  <c r="L188" i="16"/>
  <c r="L189" i="16" s="1"/>
  <c r="F198" i="16"/>
  <c r="F129" i="52"/>
  <c r="F135" i="52" s="1"/>
  <c r="W213" i="30"/>
  <c r="W216" i="30" s="1"/>
  <c r="V287" i="39"/>
  <c r="V290" i="39" s="1"/>
  <c r="R110" i="39"/>
  <c r="R111" i="39"/>
  <c r="R112" i="39"/>
  <c r="R114" i="39"/>
  <c r="O43" i="38"/>
  <c r="W180" i="39"/>
  <c r="I256" i="16"/>
  <c r="K188" i="16"/>
  <c r="M188" i="16"/>
  <c r="I188" i="16"/>
  <c r="I189" i="16" s="1"/>
  <c r="V188" i="16"/>
  <c r="V189" i="16" s="1"/>
  <c r="H188" i="16"/>
  <c r="E188" i="16"/>
  <c r="S191" i="3"/>
  <c r="S49" i="4" s="1"/>
  <c r="S190" i="3"/>
  <c r="T229" i="16"/>
  <c r="S178" i="29"/>
  <c r="S175" i="29" s="1"/>
  <c r="Q240" i="16"/>
  <c r="T178" i="29"/>
  <c r="T175" i="29" s="1"/>
  <c r="Q167" i="29"/>
  <c r="Q168" i="29" s="1"/>
  <c r="R190" i="3"/>
  <c r="R191" i="3"/>
  <c r="R49" i="4" s="1"/>
  <c r="S171" i="29"/>
  <c r="S53" i="32" s="1"/>
  <c r="T191" i="3"/>
  <c r="T49" i="4" s="1"/>
  <c r="T190" i="3"/>
  <c r="Q195" i="77"/>
  <c r="Q207" i="77"/>
  <c r="Q219" i="77"/>
  <c r="S19" i="27"/>
  <c r="W19" i="27"/>
  <c r="V19" i="27"/>
  <c r="U19" i="27"/>
  <c r="T19" i="27"/>
  <c r="W227" i="16"/>
  <c r="W235" i="16" s="1"/>
  <c r="W189" i="52" s="1"/>
  <c r="W22" i="16"/>
  <c r="W28" i="16" s="1"/>
  <c r="M245" i="30"/>
  <c r="M257" i="30" s="1"/>
  <c r="M21" i="29"/>
  <c r="M27" i="29" s="1"/>
  <c r="M32" i="29" s="1"/>
  <c r="M56" i="29" s="1"/>
  <c r="M59" i="29" s="1"/>
  <c r="P189" i="29"/>
  <c r="P190" i="29" s="1"/>
  <c r="O189" i="29"/>
  <c r="O190" i="29" s="1"/>
  <c r="K20" i="28"/>
  <c r="M17" i="30"/>
  <c r="M53" i="30" s="1"/>
  <c r="R171" i="29"/>
  <c r="R53" i="32" s="1"/>
  <c r="Q170" i="38"/>
  <c r="Q3" i="38" s="1"/>
  <c r="I245" i="30"/>
  <c r="I257" i="30" s="1"/>
  <c r="I264" i="30" s="1"/>
  <c r="I21" i="29"/>
  <c r="I27" i="29" s="1"/>
  <c r="I32" i="29" s="1"/>
  <c r="I56" i="29" s="1"/>
  <c r="I17" i="30"/>
  <c r="I21" i="30" s="1"/>
  <c r="M215" i="39"/>
  <c r="M222" i="39" s="1"/>
  <c r="R83" i="16"/>
  <c r="R158" i="16" s="1"/>
  <c r="R165" i="16" s="1"/>
  <c r="T139" i="3"/>
  <c r="T138" i="3" s="1"/>
  <c r="S138" i="3"/>
  <c r="N172" i="52"/>
  <c r="N150" i="16"/>
  <c r="W201" i="39"/>
  <c r="W208" i="39" s="1"/>
  <c r="F202" i="30"/>
  <c r="F203" i="30" s="1"/>
  <c r="J150" i="16"/>
  <c r="F131" i="16"/>
  <c r="M202" i="30"/>
  <c r="M203" i="30" s="1"/>
  <c r="H202" i="30"/>
  <c r="H203" i="30" s="1"/>
  <c r="E202" i="30"/>
  <c r="E203" i="30" s="1"/>
  <c r="J202" i="30"/>
  <c r="P202" i="30"/>
  <c r="P203" i="30" s="1"/>
  <c r="V202" i="30"/>
  <c r="V203" i="30" s="1"/>
  <c r="W202" i="30"/>
  <c r="W203" i="30" s="1"/>
  <c r="K202" i="30"/>
  <c r="K203" i="30" s="1"/>
  <c r="M62" i="29"/>
  <c r="Q62" i="29"/>
  <c r="K21" i="29"/>
  <c r="K27" i="29" s="1"/>
  <c r="K32" i="29" s="1"/>
  <c r="K56" i="29" s="1"/>
  <c r="K47" i="29"/>
  <c r="K54" i="29" s="1"/>
  <c r="G35" i="29"/>
  <c r="G61" i="29" s="1"/>
  <c r="G64" i="29" s="1"/>
  <c r="G56" i="29"/>
  <c r="G59" i="29" s="1"/>
  <c r="O35" i="29"/>
  <c r="O61" i="29" s="1"/>
  <c r="O64" i="29" s="1"/>
  <c r="O56" i="29"/>
  <c r="O59" i="29" s="1"/>
  <c r="E62" i="29"/>
  <c r="I62" i="29"/>
  <c r="I189" i="29"/>
  <c r="I190" i="29" s="1"/>
  <c r="H47" i="29"/>
  <c r="I48" i="29"/>
  <c r="I54" i="29" s="1"/>
  <c r="A231" i="60"/>
  <c r="A232" i="60" s="1"/>
  <c r="K256" i="16"/>
  <c r="L202" i="30"/>
  <c r="L203" i="30" s="1"/>
  <c r="O202" i="30"/>
  <c r="O203" i="30" s="1"/>
  <c r="S234" i="38"/>
  <c r="P175" i="52"/>
  <c r="H227" i="16"/>
  <c r="H238" i="16" s="1"/>
  <c r="G202" i="30"/>
  <c r="G203" i="30" s="1"/>
  <c r="N202" i="30"/>
  <c r="N203" i="30" s="1"/>
  <c r="W110" i="52"/>
  <c r="I202" i="30"/>
  <c r="I203" i="30" s="1"/>
  <c r="G227" i="16"/>
  <c r="G238" i="16" s="1"/>
  <c r="V140" i="52"/>
  <c r="V227" i="16"/>
  <c r="V238" i="16" s="1"/>
  <c r="V246" i="16" s="1"/>
  <c r="H189" i="29"/>
  <c r="H190" i="29" s="1"/>
  <c r="K97" i="30"/>
  <c r="Q41" i="3"/>
  <c r="Q89" i="3"/>
  <c r="Q96" i="3" s="1"/>
  <c r="Q40" i="3"/>
  <c r="F108" i="52"/>
  <c r="K189" i="16"/>
  <c r="J71" i="52"/>
  <c r="F175" i="52"/>
  <c r="S174" i="16"/>
  <c r="O187" i="16"/>
  <c r="R172" i="16"/>
  <c r="R11" i="16" s="1"/>
  <c r="R11" i="3" s="1"/>
  <c r="R187" i="16"/>
  <c r="T172" i="16"/>
  <c r="T11" i="16" s="1"/>
  <c r="T11" i="3" s="1"/>
  <c r="T187" i="16"/>
  <c r="N178" i="16"/>
  <c r="J187" i="16"/>
  <c r="L178" i="16"/>
  <c r="H187" i="16"/>
  <c r="I178" i="16"/>
  <c r="E187" i="16"/>
  <c r="M178" i="16"/>
  <c r="M187" i="16"/>
  <c r="Q228" i="38"/>
  <c r="Q221" i="38" s="1"/>
  <c r="S34" i="36"/>
  <c r="L45" i="38"/>
  <c r="K54" i="37"/>
  <c r="I61" i="36" s="1"/>
  <c r="K260" i="38"/>
  <c r="K264" i="38" s="1"/>
  <c r="K269" i="38" s="1"/>
  <c r="R176" i="29"/>
  <c r="R118" i="29" s="1"/>
  <c r="N54" i="29"/>
  <c r="E21" i="29"/>
  <c r="E27" i="29" s="1"/>
  <c r="E32" i="29" s="1"/>
  <c r="E56" i="29" s="1"/>
  <c r="L54" i="29"/>
  <c r="H21" i="29"/>
  <c r="H27" i="29" s="1"/>
  <c r="H32" i="29" s="1"/>
  <c r="H56" i="29" s="1"/>
  <c r="Q27" i="29"/>
  <c r="Q32" i="29" s="1"/>
  <c r="Q56" i="29" s="1"/>
  <c r="Q59" i="29" s="1"/>
  <c r="Q54" i="29"/>
  <c r="Q253" i="30" s="1"/>
  <c r="G46" i="28"/>
  <c r="E53" i="27" s="1"/>
  <c r="M170" i="38"/>
  <c r="M3" i="38" s="1"/>
  <c r="W309" i="39"/>
  <c r="W212" i="39"/>
  <c r="P108" i="52"/>
  <c r="N76" i="52"/>
  <c r="S185" i="30"/>
  <c r="S11" i="29" s="1"/>
  <c r="R185" i="30"/>
  <c r="R11" i="30" s="1"/>
  <c r="J203" i="30"/>
  <c r="O231" i="30"/>
  <c r="T185" i="30"/>
  <c r="T11" i="30" s="1"/>
  <c r="L175" i="52"/>
  <c r="L108" i="52"/>
  <c r="M227" i="30"/>
  <c r="L71" i="52"/>
  <c r="P125" i="52"/>
  <c r="I175" i="52"/>
  <c r="G287" i="39"/>
  <c r="G290" i="39" s="1"/>
  <c r="M201" i="39"/>
  <c r="M208" i="39" s="1"/>
  <c r="J215" i="39"/>
  <c r="J222" i="39" s="1"/>
  <c r="G5" i="39"/>
  <c r="H6" i="39"/>
  <c r="H5" i="39" s="1"/>
  <c r="P215" i="39"/>
  <c r="P222" i="39" s="1"/>
  <c r="P173" i="39"/>
  <c r="K212" i="39"/>
  <c r="K142" i="39" s="1"/>
  <c r="K148" i="39" s="1"/>
  <c r="P76" i="52"/>
  <c r="J273" i="30"/>
  <c r="I108" i="52"/>
  <c r="P71" i="52"/>
  <c r="H108" i="52"/>
  <c r="H93" i="52"/>
  <c r="L103" i="52" s="1"/>
  <c r="L76" i="52"/>
  <c r="T129" i="39"/>
  <c r="O267" i="16"/>
  <c r="J264" i="16"/>
  <c r="J269" i="16" s="1"/>
  <c r="J267" i="16"/>
  <c r="I264" i="16"/>
  <c r="L264" i="16"/>
  <c r="L269" i="16" s="1"/>
  <c r="L267" i="16"/>
  <c r="K264" i="16"/>
  <c r="K269" i="16" s="1"/>
  <c r="K267" i="16"/>
  <c r="P264" i="16"/>
  <c r="P269" i="16" s="1"/>
  <c r="P267" i="16"/>
  <c r="N264" i="16"/>
  <c r="N269" i="16" s="1"/>
  <c r="N267" i="16"/>
  <c r="L226" i="39"/>
  <c r="J212" i="39"/>
  <c r="J142" i="39" s="1"/>
  <c r="J148" i="39" s="1"/>
  <c r="M226" i="39"/>
  <c r="V27" i="52"/>
  <c r="V109" i="52" s="1"/>
  <c r="G27" i="52"/>
  <c r="G109" i="52" s="1"/>
  <c r="H6" i="16"/>
  <c r="H198" i="16" s="1"/>
  <c r="H201" i="16" s="1"/>
  <c r="G137" i="16"/>
  <c r="G138" i="16" s="1"/>
  <c r="G198" i="16"/>
  <c r="G201" i="16" s="1"/>
  <c r="G5" i="16"/>
  <c r="G113" i="16"/>
  <c r="G114" i="16" s="1"/>
  <c r="F74" i="3"/>
  <c r="F76" i="3" s="1"/>
  <c r="V74" i="3"/>
  <c r="V76" i="3" s="1"/>
  <c r="H74" i="3"/>
  <c r="H76" i="3" s="1"/>
  <c r="O251" i="3"/>
  <c r="W74" i="3"/>
  <c r="W76" i="3" s="1"/>
  <c r="G74" i="3"/>
  <c r="G76" i="3" s="1"/>
  <c r="E74" i="3"/>
  <c r="T66" i="52"/>
  <c r="T76" i="52" s="1"/>
  <c r="T137" i="30"/>
  <c r="T231" i="30" s="1"/>
  <c r="T237" i="30" s="1"/>
  <c r="T234" i="38"/>
  <c r="H52" i="30"/>
  <c r="H56" i="30"/>
  <c r="J27" i="52"/>
  <c r="J109" i="52" s="1"/>
  <c r="P142" i="4"/>
  <c r="Q142" i="4"/>
  <c r="R142" i="4" s="1"/>
  <c r="S142" i="4" s="1"/>
  <c r="T142" i="4" s="1"/>
  <c r="H63" i="30"/>
  <c r="R204" i="29"/>
  <c r="S204" i="29" s="1"/>
  <c r="T204" i="29" s="1"/>
  <c r="M93" i="52"/>
  <c r="V94" i="52"/>
  <c r="M253" i="38"/>
  <c r="J166" i="16"/>
  <c r="H68" i="30"/>
  <c r="I271" i="30"/>
  <c r="I85" i="36"/>
  <c r="G29" i="36"/>
  <c r="F29" i="36"/>
  <c r="I76" i="52"/>
  <c r="V47" i="30"/>
  <c r="V180" i="30"/>
  <c r="E46" i="30"/>
  <c r="E180" i="30"/>
  <c r="M181" i="30" s="1"/>
  <c r="F47" i="30"/>
  <c r="F180" i="30"/>
  <c r="N181" i="30" s="1"/>
  <c r="D20" i="4"/>
  <c r="J67" i="30"/>
  <c r="J180" i="30"/>
  <c r="G46" i="30"/>
  <c r="G180" i="30"/>
  <c r="W46" i="30"/>
  <c r="W180" i="30"/>
  <c r="O60" i="30"/>
  <c r="O180" i="30"/>
  <c r="H47" i="30"/>
  <c r="H180" i="30"/>
  <c r="U24" i="28"/>
  <c r="K52" i="30"/>
  <c r="K180" i="30"/>
  <c r="P56" i="30"/>
  <c r="P180" i="30"/>
  <c r="L52" i="30"/>
  <c r="L180" i="30"/>
  <c r="Q180" i="30"/>
  <c r="Q137" i="30"/>
  <c r="Q127" i="30"/>
  <c r="Q126" i="30"/>
  <c r="Q125" i="30"/>
  <c r="Q124" i="30"/>
  <c r="W175" i="52"/>
  <c r="I227" i="30"/>
  <c r="T124" i="30"/>
  <c r="N231" i="30"/>
  <c r="N237" i="30" s="1"/>
  <c r="T126" i="30"/>
  <c r="W108" i="52"/>
  <c r="I171" i="30"/>
  <c r="I98" i="30" s="1"/>
  <c r="I104" i="30" s="1"/>
  <c r="T127" i="30"/>
  <c r="T125" i="30"/>
  <c r="S127" i="30"/>
  <c r="S126" i="30"/>
  <c r="S125" i="30"/>
  <c r="S124" i="30"/>
  <c r="R124" i="30"/>
  <c r="R125" i="30"/>
  <c r="R127" i="30"/>
  <c r="R126" i="30"/>
  <c r="N93" i="52"/>
  <c r="N103" i="52" s="1"/>
  <c r="N71" i="52"/>
  <c r="N175" i="52"/>
  <c r="R177" i="39"/>
  <c r="R194" i="39"/>
  <c r="K226" i="39"/>
  <c r="T164" i="39"/>
  <c r="T167" i="39" s="1"/>
  <c r="R170" i="39"/>
  <c r="J226" i="39"/>
  <c r="W94" i="52"/>
  <c r="R168" i="39"/>
  <c r="P197" i="39"/>
  <c r="L215" i="39"/>
  <c r="L222" i="39" s="1"/>
  <c r="S164" i="39"/>
  <c r="S167" i="39" s="1"/>
  <c r="R167" i="39"/>
  <c r="R169" i="39"/>
  <c r="M314" i="39"/>
  <c r="M320" i="39" s="1"/>
  <c r="Q212" i="39"/>
  <c r="Q142" i="39" s="1"/>
  <c r="Q148" i="39" s="1"/>
  <c r="I212" i="39"/>
  <c r="I142" i="39" s="1"/>
  <c r="I143" i="39" s="1"/>
  <c r="Q268" i="39"/>
  <c r="M212" i="39"/>
  <c r="M142" i="39" s="1"/>
  <c r="M148" i="39" s="1"/>
  <c r="S187" i="39"/>
  <c r="S194" i="39" s="1"/>
  <c r="R67" i="52"/>
  <c r="R77" i="52" s="1"/>
  <c r="F27" i="52"/>
  <c r="F109" i="52" s="1"/>
  <c r="S68" i="52"/>
  <c r="S73" i="52" s="1"/>
  <c r="S121" i="16"/>
  <c r="S87" i="16" s="1"/>
  <c r="S93" i="16" s="1"/>
  <c r="F202" i="16"/>
  <c r="W287" i="39"/>
  <c r="W290" i="39" s="1"/>
  <c r="G21" i="37"/>
  <c r="I170" i="38"/>
  <c r="I3" i="38" s="1"/>
  <c r="I59" i="52"/>
  <c r="K153" i="29"/>
  <c r="K3" i="29" s="1"/>
  <c r="W269" i="30"/>
  <c r="M108" i="52"/>
  <c r="N26" i="52"/>
  <c r="N108" i="52" s="1"/>
  <c r="T187" i="39"/>
  <c r="T194" i="39" s="1"/>
  <c r="I226" i="39"/>
  <c r="K201" i="38"/>
  <c r="E93" i="52"/>
  <c r="J269" i="30"/>
  <c r="E13" i="39"/>
  <c r="E58" i="39" s="1"/>
  <c r="I314" i="39"/>
  <c r="I320" i="39" s="1"/>
  <c r="T54" i="28"/>
  <c r="N61" i="27" s="1"/>
  <c r="R55" i="28"/>
  <c r="L62" i="27" s="1"/>
  <c r="G45" i="28"/>
  <c r="E52" i="27" s="1"/>
  <c r="N227" i="30"/>
  <c r="M27" i="52"/>
  <c r="M109" i="52" s="1"/>
  <c r="N27" i="52"/>
  <c r="N109" i="52" s="1"/>
  <c r="M76" i="52"/>
  <c r="I71" i="52"/>
  <c r="J171" i="30"/>
  <c r="J98" i="30" s="1"/>
  <c r="J104" i="30" s="1"/>
  <c r="W129" i="52"/>
  <c r="W133" i="52" s="1"/>
  <c r="W198" i="16"/>
  <c r="W203" i="16" s="1"/>
  <c r="M71" i="52"/>
  <c r="W54" i="30"/>
  <c r="T256" i="30"/>
  <c r="T267" i="30" s="1"/>
  <c r="R246" i="30"/>
  <c r="R18" i="30" s="1"/>
  <c r="R18" i="29" s="1"/>
  <c r="K27" i="52"/>
  <c r="K109" i="52" s="1"/>
  <c r="P195" i="39"/>
  <c r="P187" i="39"/>
  <c r="P180" i="39" s="1"/>
  <c r="L182" i="39"/>
  <c r="G54" i="28"/>
  <c r="E61" i="27" s="1"/>
  <c r="J153" i="29"/>
  <c r="J3" i="29" s="1"/>
  <c r="J227" i="30"/>
  <c r="M248" i="29"/>
  <c r="W53" i="30"/>
  <c r="L196" i="39"/>
  <c r="T222" i="30"/>
  <c r="T226" i="30" s="1"/>
  <c r="T250" i="30"/>
  <c r="T24" i="30" s="1"/>
  <c r="T26" i="29" s="1"/>
  <c r="H113" i="29"/>
  <c r="H121" i="29" s="1"/>
  <c r="H153" i="29" s="1"/>
  <c r="H3" i="29" s="1"/>
  <c r="H183" i="29"/>
  <c r="J267" i="30"/>
  <c r="N230" i="30"/>
  <c r="I269" i="30"/>
  <c r="V59" i="30"/>
  <c r="S54" i="28"/>
  <c r="M61" i="27" s="1"/>
  <c r="W272" i="30"/>
  <c r="K46" i="14"/>
  <c r="I53" i="13" s="1"/>
  <c r="T55" i="14"/>
  <c r="N62" i="13" s="1"/>
  <c r="L59" i="3"/>
  <c r="L61" i="3" s="1"/>
  <c r="H6" i="3"/>
  <c r="I6" i="3" s="1"/>
  <c r="U46" i="14"/>
  <c r="O53" i="13" s="1"/>
  <c r="P250" i="16"/>
  <c r="J89" i="3"/>
  <c r="J96" i="3" s="1"/>
  <c r="J256" i="16"/>
  <c r="G45" i="14"/>
  <c r="E52" i="13" s="1"/>
  <c r="G46" i="14"/>
  <c r="E53" i="13" s="1"/>
  <c r="L177" i="52"/>
  <c r="L226" i="52" s="1"/>
  <c r="W48" i="3"/>
  <c r="W57" i="3" s="1"/>
  <c r="G54" i="14"/>
  <c r="E61" i="13" s="1"/>
  <c r="W103" i="3"/>
  <c r="W112" i="3" s="1"/>
  <c r="W40" i="3"/>
  <c r="I270" i="30"/>
  <c r="K272" i="30"/>
  <c r="L270" i="30"/>
  <c r="L273" i="30"/>
  <c r="W55" i="30"/>
  <c r="W51" i="30"/>
  <c r="W63" i="30"/>
  <c r="W60" i="30"/>
  <c r="I272" i="30"/>
  <c r="W52" i="30"/>
  <c r="J272" i="30"/>
  <c r="W68" i="30"/>
  <c r="W56" i="30"/>
  <c r="G5" i="29"/>
  <c r="L248" i="29"/>
  <c r="W67" i="30"/>
  <c r="W59" i="30"/>
  <c r="H6" i="29"/>
  <c r="I6" i="29" s="1"/>
  <c r="S34" i="27"/>
  <c r="L267" i="30"/>
  <c r="N272" i="30"/>
  <c r="W66" i="30"/>
  <c r="W190" i="29"/>
  <c r="I273" i="30"/>
  <c r="Q112" i="3"/>
  <c r="R199" i="3"/>
  <c r="R156" i="3"/>
  <c r="T157" i="3"/>
  <c r="T156" i="3" s="1"/>
  <c r="S156" i="3"/>
  <c r="G249" i="3"/>
  <c r="G251" i="3" s="1"/>
  <c r="W206" i="3"/>
  <c r="W89" i="3"/>
  <c r="W96" i="3" s="1"/>
  <c r="X223" i="3"/>
  <c r="N274" i="30"/>
  <c r="K273" i="30"/>
  <c r="E56" i="30"/>
  <c r="I101" i="29"/>
  <c r="R54" i="28"/>
  <c r="L61" i="27" s="1"/>
  <c r="J271" i="30"/>
  <c r="J274" i="30"/>
  <c r="M267" i="30"/>
  <c r="J54" i="29"/>
  <c r="N271" i="30"/>
  <c r="O213" i="16"/>
  <c r="O215" i="16" s="1"/>
  <c r="O221" i="16" s="1"/>
  <c r="W273" i="16"/>
  <c r="W275" i="16" s="1"/>
  <c r="W54" i="16"/>
  <c r="H27" i="52"/>
  <c r="H109" i="52" s="1"/>
  <c r="P114" i="52" s="1"/>
  <c r="J181" i="52"/>
  <c r="X5" i="39"/>
  <c r="V45" i="39"/>
  <c r="J314" i="39"/>
  <c r="J320" i="39" s="1"/>
  <c r="N99" i="52"/>
  <c r="N13" i="39"/>
  <c r="J318" i="39"/>
  <c r="I27" i="52"/>
  <c r="I109" i="52" s="1"/>
  <c r="K181" i="52"/>
  <c r="G95" i="52"/>
  <c r="K105" i="52" s="1"/>
  <c r="K73" i="52"/>
  <c r="G110" i="52"/>
  <c r="K250" i="16"/>
  <c r="P256" i="16"/>
  <c r="H177" i="52"/>
  <c r="H95" i="52"/>
  <c r="L105" i="52" s="1"/>
  <c r="L73" i="52"/>
  <c r="M53" i="52"/>
  <c r="S55" i="28"/>
  <c r="M62" i="27" s="1"/>
  <c r="T249" i="30"/>
  <c r="T23" i="30" s="1"/>
  <c r="T23" i="29" s="1"/>
  <c r="R137" i="3"/>
  <c r="S137" i="3" s="1"/>
  <c r="T137" i="3" s="1"/>
  <c r="V252" i="29"/>
  <c r="V4" i="29" s="1"/>
  <c r="K252" i="16"/>
  <c r="X251" i="3"/>
  <c r="Y6" i="3"/>
  <c r="W273" i="30"/>
  <c r="S21" i="28"/>
  <c r="L254" i="16"/>
  <c r="X5" i="3"/>
  <c r="J180" i="39"/>
  <c r="N270" i="30"/>
  <c r="M83" i="3"/>
  <c r="M27" i="16" s="1"/>
  <c r="M63" i="16" s="1"/>
  <c r="O46" i="52"/>
  <c r="M271" i="30"/>
  <c r="N269" i="30"/>
  <c r="M272" i="30"/>
  <c r="T127" i="39"/>
  <c r="I267" i="30"/>
  <c r="P268" i="39"/>
  <c r="J270" i="30"/>
  <c r="L12" i="39"/>
  <c r="L13" i="39" s="1"/>
  <c r="G13" i="39"/>
  <c r="G80" i="39" s="1"/>
  <c r="Q226" i="39"/>
  <c r="V190" i="29"/>
  <c r="L271" i="30"/>
  <c r="P230" i="30"/>
  <c r="P236" i="30" s="1"/>
  <c r="Y6" i="39"/>
  <c r="Y288" i="39" s="1"/>
  <c r="J173" i="39"/>
  <c r="V54" i="29"/>
  <c r="K54" i="52"/>
  <c r="J178" i="16"/>
  <c r="J152" i="16"/>
  <c r="J89" i="16" s="1"/>
  <c r="J95" i="16" s="1"/>
  <c r="O54" i="30"/>
  <c r="L152" i="16"/>
  <c r="L89" i="16" s="1"/>
  <c r="L95" i="16" s="1"/>
  <c r="R55" i="37"/>
  <c r="L62" i="36" s="1"/>
  <c r="Q190" i="29"/>
  <c r="Q314" i="39"/>
  <c r="Q320" i="39" s="1"/>
  <c r="V71" i="38"/>
  <c r="V97" i="38" s="1"/>
  <c r="V108" i="38" s="1"/>
  <c r="W271" i="30"/>
  <c r="L27" i="52"/>
  <c r="L109" i="52" s="1"/>
  <c r="P314" i="39"/>
  <c r="P320" i="39" s="1"/>
  <c r="G153" i="29"/>
  <c r="G3" i="29" s="1"/>
  <c r="O153" i="29"/>
  <c r="O3" i="29" s="1"/>
  <c r="W52" i="52"/>
  <c r="H61" i="52"/>
  <c r="O78" i="52"/>
  <c r="F63" i="16"/>
  <c r="F53" i="16"/>
  <c r="F49" i="16"/>
  <c r="E74" i="16"/>
  <c r="N152" i="16"/>
  <c r="N89" i="16" s="1"/>
  <c r="N95" i="16" s="1"/>
  <c r="H110" i="52"/>
  <c r="L120" i="52" s="1"/>
  <c r="P166" i="16"/>
  <c r="F74" i="16"/>
  <c r="P73" i="52"/>
  <c r="P51" i="16"/>
  <c r="M183" i="16"/>
  <c r="P254" i="16"/>
  <c r="L183" i="16"/>
  <c r="E63" i="16"/>
  <c r="T54" i="14"/>
  <c r="N61" i="13" s="1"/>
  <c r="T46" i="14"/>
  <c r="N53" i="13" s="1"/>
  <c r="H57" i="16"/>
  <c r="H183" i="16"/>
  <c r="P62" i="16"/>
  <c r="P57" i="16"/>
  <c r="E59" i="16"/>
  <c r="E183" i="16"/>
  <c r="U7" i="14"/>
  <c r="Q183" i="16"/>
  <c r="P55" i="16"/>
  <c r="J253" i="16"/>
  <c r="P253" i="16"/>
  <c r="O7" i="14"/>
  <c r="O36" i="14" s="1"/>
  <c r="K183" i="16"/>
  <c r="P22" i="16"/>
  <c r="T8" i="14" s="1"/>
  <c r="I57" i="16"/>
  <c r="I183" i="16"/>
  <c r="S7" i="14"/>
  <c r="S39" i="14" s="1"/>
  <c r="M46" i="13" s="1"/>
  <c r="O183" i="16"/>
  <c r="G54" i="16"/>
  <c r="G183" i="16"/>
  <c r="W252" i="16"/>
  <c r="J58" i="16"/>
  <c r="J183" i="16"/>
  <c r="L255" i="16"/>
  <c r="W53" i="16"/>
  <c r="W183" i="16"/>
  <c r="F58" i="16"/>
  <c r="F183" i="16"/>
  <c r="T7" i="14"/>
  <c r="T36" i="14" s="1"/>
  <c r="N43" i="13" s="1"/>
  <c r="P183" i="16"/>
  <c r="P53" i="16"/>
  <c r="P49" i="16"/>
  <c r="V53" i="16"/>
  <c r="V183" i="16"/>
  <c r="R7" i="14"/>
  <c r="N183" i="16"/>
  <c r="V54" i="16"/>
  <c r="V70" i="16"/>
  <c r="V55" i="16"/>
  <c r="V22" i="16"/>
  <c r="V28" i="16" s="1"/>
  <c r="V57" i="16"/>
  <c r="V273" i="16"/>
  <c r="V275" i="16" s="1"/>
  <c r="V66" i="16"/>
  <c r="V63" i="16"/>
  <c r="V49" i="16"/>
  <c r="L251" i="16"/>
  <c r="M255" i="16"/>
  <c r="N253" i="16"/>
  <c r="M88" i="16"/>
  <c r="M94" i="16" s="1"/>
  <c r="O177" i="52"/>
  <c r="J57" i="16"/>
  <c r="R231" i="16"/>
  <c r="R20" i="16" s="1"/>
  <c r="R20" i="3" s="1"/>
  <c r="O95" i="52"/>
  <c r="K178" i="16"/>
  <c r="O73" i="52"/>
  <c r="V59" i="52"/>
  <c r="O178" i="16"/>
  <c r="M61" i="52"/>
  <c r="K213" i="16"/>
  <c r="K219" i="16" s="1"/>
  <c r="S82" i="16"/>
  <c r="S157" i="16" s="1"/>
  <c r="S164" i="16" s="1"/>
  <c r="J210" i="16"/>
  <c r="I182" i="52"/>
  <c r="I167" i="52"/>
  <c r="S228" i="16"/>
  <c r="S17" i="16" s="1"/>
  <c r="S17" i="3" s="1"/>
  <c r="S232" i="16"/>
  <c r="S21" i="16" s="1"/>
  <c r="S21" i="3" s="1"/>
  <c r="K253" i="16"/>
  <c r="L253" i="16"/>
  <c r="F21" i="14"/>
  <c r="G60" i="52"/>
  <c r="I255" i="16"/>
  <c r="G21" i="14"/>
  <c r="W251" i="16"/>
  <c r="I152" i="16"/>
  <c r="I89" i="16" s="1"/>
  <c r="I95" i="16" s="1"/>
  <c r="M251" i="16"/>
  <c r="P251" i="16"/>
  <c r="T83" i="16"/>
  <c r="W74" i="16"/>
  <c r="M74" i="16"/>
  <c r="P255" i="16"/>
  <c r="P95" i="52"/>
  <c r="Q273" i="16"/>
  <c r="Q275" i="16" s="1"/>
  <c r="P78" i="52"/>
  <c r="M152" i="16"/>
  <c r="M89" i="16" s="1"/>
  <c r="M95" i="16" s="1"/>
  <c r="P110" i="52"/>
  <c r="I250" i="16"/>
  <c r="L256" i="16"/>
  <c r="I48" i="16"/>
  <c r="I252" i="16"/>
  <c r="Q22" i="16"/>
  <c r="U8" i="14" s="1"/>
  <c r="M250" i="16"/>
  <c r="V62" i="16"/>
  <c r="V69" i="16"/>
  <c r="V51" i="16"/>
  <c r="L167" i="52"/>
  <c r="N166" i="16"/>
  <c r="V48" i="16"/>
  <c r="F59" i="52"/>
  <c r="O253" i="16"/>
  <c r="P88" i="16"/>
  <c r="P94" i="16" s="1"/>
  <c r="T135" i="16"/>
  <c r="V50" i="16"/>
  <c r="T80" i="16"/>
  <c r="O74" i="16"/>
  <c r="W253" i="16"/>
  <c r="T233" i="16"/>
  <c r="T24" i="16" s="1"/>
  <c r="T24" i="3" s="1"/>
  <c r="K166" i="16"/>
  <c r="O250" i="16"/>
  <c r="G108" i="52"/>
  <c r="G54" i="30"/>
  <c r="I172" i="52"/>
  <c r="W250" i="16"/>
  <c r="O226" i="39"/>
  <c r="I274" i="30"/>
  <c r="H54" i="30"/>
  <c r="O256" i="16"/>
  <c r="K235" i="16"/>
  <c r="K189" i="52" s="1"/>
  <c r="K204" i="52" s="1"/>
  <c r="K104" i="52"/>
  <c r="M153" i="29"/>
  <c r="M3" i="29" s="1"/>
  <c r="H71" i="30"/>
  <c r="W254" i="16"/>
  <c r="V64" i="38"/>
  <c r="M99" i="52"/>
  <c r="I99" i="52"/>
  <c r="L59" i="52"/>
  <c r="R82" i="16"/>
  <c r="R157" i="16" s="1"/>
  <c r="R164" i="16" s="1"/>
  <c r="N252" i="16"/>
  <c r="F55" i="30"/>
  <c r="N54" i="16"/>
  <c r="K70" i="16"/>
  <c r="Q251" i="3"/>
  <c r="P96" i="30"/>
  <c r="P102" i="30" s="1"/>
  <c r="H60" i="30"/>
  <c r="W55" i="52"/>
  <c r="J252" i="16"/>
  <c r="R264" i="16"/>
  <c r="R261" i="16" s="1"/>
  <c r="F227" i="16"/>
  <c r="F238" i="16" s="1"/>
  <c r="F54" i="30"/>
  <c r="K251" i="3"/>
  <c r="L173" i="39"/>
  <c r="K22" i="16"/>
  <c r="O8" i="14" s="1"/>
  <c r="S21" i="14"/>
  <c r="P181" i="52"/>
  <c r="F52" i="30"/>
  <c r="F53" i="30"/>
  <c r="J41" i="3"/>
  <c r="K71" i="52"/>
  <c r="O166" i="16"/>
  <c r="Q206" i="3"/>
  <c r="M180" i="39"/>
  <c r="F46" i="38"/>
  <c r="E251" i="3"/>
  <c r="J40" i="3"/>
  <c r="N314" i="39"/>
  <c r="N320" i="39" s="1"/>
  <c r="I181" i="52"/>
  <c r="K53" i="52"/>
  <c r="M173" i="39"/>
  <c r="J48" i="3"/>
  <c r="J57" i="3" s="1"/>
  <c r="K171" i="30"/>
  <c r="K98" i="30" s="1"/>
  <c r="K104" i="30" s="1"/>
  <c r="O171" i="30"/>
  <c r="O98" i="30" s="1"/>
  <c r="O104" i="30" s="1"/>
  <c r="F71" i="38"/>
  <c r="F22" i="16"/>
  <c r="F28" i="16" s="1"/>
  <c r="P177" i="52"/>
  <c r="P35" i="52"/>
  <c r="L166" i="16"/>
  <c r="L83" i="3"/>
  <c r="L27" i="16" s="1"/>
  <c r="L63" i="16" s="1"/>
  <c r="P172" i="52"/>
  <c r="P274" i="30"/>
  <c r="E27" i="52"/>
  <c r="E109" i="52" s="1"/>
  <c r="N273" i="30"/>
  <c r="J112" i="3"/>
  <c r="F71" i="30"/>
  <c r="K167" i="52"/>
  <c r="M104" i="52"/>
  <c r="O252" i="16"/>
  <c r="Q248" i="29"/>
  <c r="N171" i="30"/>
  <c r="N98" i="30" s="1"/>
  <c r="N104" i="30" s="1"/>
  <c r="L61" i="52"/>
  <c r="I210" i="16"/>
  <c r="J230" i="30"/>
  <c r="J236" i="30" s="1"/>
  <c r="K93" i="52"/>
  <c r="K98" i="52" s="1"/>
  <c r="N177" i="52"/>
  <c r="N182" i="52" s="1"/>
  <c r="J250" i="16"/>
  <c r="N57" i="16"/>
  <c r="N66" i="16"/>
  <c r="L59" i="30"/>
  <c r="S214" i="16"/>
  <c r="S220" i="16" s="1"/>
  <c r="K62" i="16"/>
  <c r="K56" i="16"/>
  <c r="O58" i="16"/>
  <c r="H67" i="30"/>
  <c r="H66" i="30"/>
  <c r="L250" i="16"/>
  <c r="N61" i="52"/>
  <c r="V61" i="52"/>
  <c r="I166" i="16"/>
  <c r="Q43" i="38"/>
  <c r="Q45" i="38" s="1"/>
  <c r="L53" i="30"/>
  <c r="L88" i="16"/>
  <c r="L94" i="16" s="1"/>
  <c r="N59" i="16"/>
  <c r="N58" i="16"/>
  <c r="K66" i="16"/>
  <c r="K69" i="16"/>
  <c r="N62" i="16"/>
  <c r="K273" i="16"/>
  <c r="K275" i="16" s="1"/>
  <c r="K49" i="16"/>
  <c r="O54" i="16"/>
  <c r="N210" i="16"/>
  <c r="M246" i="16"/>
  <c r="J35" i="52"/>
  <c r="N250" i="16"/>
  <c r="S18" i="16"/>
  <c r="S18" i="3" s="1"/>
  <c r="N53" i="16"/>
  <c r="O56" i="16"/>
  <c r="N56" i="16"/>
  <c r="L56" i="30"/>
  <c r="K57" i="16"/>
  <c r="O273" i="16"/>
  <c r="O275" i="16" s="1"/>
  <c r="O51" i="16"/>
  <c r="K254" i="16"/>
  <c r="N73" i="52"/>
  <c r="I251" i="16"/>
  <c r="N256" i="16"/>
  <c r="M273" i="30"/>
  <c r="O59" i="16"/>
  <c r="O48" i="16"/>
  <c r="N50" i="16"/>
  <c r="N49" i="16"/>
  <c r="N69" i="16"/>
  <c r="L67" i="30"/>
  <c r="K59" i="16"/>
  <c r="O55" i="16"/>
  <c r="O57" i="16"/>
  <c r="P272" i="30"/>
  <c r="M256" i="16"/>
  <c r="K50" i="16"/>
  <c r="O49" i="16"/>
  <c r="N71" i="16"/>
  <c r="N51" i="16"/>
  <c r="K58" i="16"/>
  <c r="S231" i="16"/>
  <c r="S20" i="16" s="1"/>
  <c r="S20" i="3" s="1"/>
  <c r="O44" i="30"/>
  <c r="V206" i="3"/>
  <c r="F64" i="38"/>
  <c r="L60" i="30"/>
  <c r="K51" i="16"/>
  <c r="O50" i="16"/>
  <c r="O22" i="16"/>
  <c r="S8" i="14" s="1"/>
  <c r="F153" i="29"/>
  <c r="F3" i="29" s="1"/>
  <c r="N95" i="52"/>
  <c r="N105" i="52" s="1"/>
  <c r="O69" i="16"/>
  <c r="N70" i="16"/>
  <c r="N55" i="16"/>
  <c r="N22" i="16"/>
  <c r="R8" i="14" s="1"/>
  <c r="K314" i="39"/>
  <c r="K48" i="16"/>
  <c r="O53" i="16"/>
  <c r="P99" i="52"/>
  <c r="I104" i="52"/>
  <c r="J52" i="52"/>
  <c r="I61" i="52"/>
  <c r="K74" i="16"/>
  <c r="K54" i="16"/>
  <c r="O70" i="16"/>
  <c r="N273" i="16"/>
  <c r="N275" i="16" s="1"/>
  <c r="K53" i="16"/>
  <c r="O62" i="16"/>
  <c r="P246" i="16"/>
  <c r="S207" i="16"/>
  <c r="S145" i="52" s="1"/>
  <c r="S157" i="52" s="1"/>
  <c r="P13" i="39"/>
  <c r="K55" i="16"/>
  <c r="K71" i="16"/>
  <c r="O71" i="16"/>
  <c r="L251" i="3"/>
  <c r="N48" i="16"/>
  <c r="H59" i="30"/>
  <c r="Q99" i="52"/>
  <c r="M252" i="16"/>
  <c r="V55" i="52"/>
  <c r="N267" i="30"/>
  <c r="N58" i="52"/>
  <c r="J54" i="52"/>
  <c r="F60" i="52"/>
  <c r="M60" i="52"/>
  <c r="H22" i="16"/>
  <c r="H28" i="16" s="1"/>
  <c r="J251" i="16"/>
  <c r="H61" i="3"/>
  <c r="S129" i="39"/>
  <c r="H170" i="38"/>
  <c r="H3" i="38" s="1"/>
  <c r="N45" i="39"/>
  <c r="M46" i="30"/>
  <c r="M44" i="30"/>
  <c r="Q35" i="29"/>
  <c r="L181" i="52"/>
  <c r="E53" i="52"/>
  <c r="J61" i="52"/>
  <c r="V53" i="52"/>
  <c r="G61" i="52"/>
  <c r="W139" i="52"/>
  <c r="K248" i="29"/>
  <c r="J49" i="30"/>
  <c r="J44" i="30"/>
  <c r="Q48" i="30"/>
  <c r="Q44" i="30"/>
  <c r="E60" i="52"/>
  <c r="L53" i="52"/>
  <c r="H69" i="16"/>
  <c r="T21" i="14"/>
  <c r="X287" i="39"/>
  <c r="X292" i="39" s="1"/>
  <c r="T21" i="28"/>
  <c r="P270" i="30"/>
  <c r="P273" i="30"/>
  <c r="O272" i="30"/>
  <c r="M54" i="52"/>
  <c r="V46" i="38"/>
  <c r="N47" i="30"/>
  <c r="N44" i="30"/>
  <c r="E153" i="29"/>
  <c r="E3" i="29" s="1"/>
  <c r="P206" i="3"/>
  <c r="W48" i="30"/>
  <c r="E55" i="52"/>
  <c r="L60" i="52"/>
  <c r="L55" i="52"/>
  <c r="F58" i="52"/>
  <c r="M55" i="52"/>
  <c r="E61" i="52"/>
  <c r="E54" i="52"/>
  <c r="K88" i="16"/>
  <c r="K94" i="16" s="1"/>
  <c r="V45" i="38"/>
  <c r="H71" i="16"/>
  <c r="W270" i="30"/>
  <c r="N59" i="52"/>
  <c r="S13" i="14"/>
  <c r="I46" i="30"/>
  <c r="I44" i="30"/>
  <c r="L212" i="39"/>
  <c r="L142" i="39" s="1"/>
  <c r="L149" i="39" s="1"/>
  <c r="P212" i="39"/>
  <c r="P142" i="39" s="1"/>
  <c r="L49" i="30"/>
  <c r="L44" i="30"/>
  <c r="K49" i="30"/>
  <c r="K44" i="30"/>
  <c r="H273" i="16"/>
  <c r="H275" i="16" s="1"/>
  <c r="M235" i="16"/>
  <c r="M189" i="52" s="1"/>
  <c r="M204" i="52" s="1"/>
  <c r="H54" i="16"/>
  <c r="F67" i="30"/>
  <c r="P49" i="30"/>
  <c r="P44" i="30"/>
  <c r="M59" i="52"/>
  <c r="J165" i="52"/>
  <c r="G177" i="52"/>
  <c r="O167" i="52"/>
  <c r="Q104" i="52"/>
  <c r="L35" i="52"/>
  <c r="Q181" i="52"/>
  <c r="M100" i="52"/>
  <c r="J105" i="52"/>
  <c r="K76" i="52"/>
  <c r="V139" i="52"/>
  <c r="K172" i="52"/>
  <c r="O76" i="52"/>
  <c r="M181" i="52"/>
  <c r="M35" i="52"/>
  <c r="K175" i="52"/>
  <c r="M105" i="52"/>
  <c r="V231" i="38"/>
  <c r="E260" i="38"/>
  <c r="E264" i="38" s="1"/>
  <c r="E269" i="38" s="1"/>
  <c r="S228" i="38"/>
  <c r="E170" i="38"/>
  <c r="E3" i="38" s="1"/>
  <c r="G55" i="37"/>
  <c r="E62" i="36" s="1"/>
  <c r="S75" i="38"/>
  <c r="S101" i="38" s="1"/>
  <c r="E257" i="38"/>
  <c r="E4" i="38" s="1"/>
  <c r="K45" i="39"/>
  <c r="S54" i="38"/>
  <c r="W45" i="39"/>
  <c r="T228" i="38"/>
  <c r="P64" i="38"/>
  <c r="R45" i="37"/>
  <c r="L52" i="36" s="1"/>
  <c r="F170" i="38"/>
  <c r="F3" i="38" s="1"/>
  <c r="N64" i="38"/>
  <c r="S55" i="37"/>
  <c r="M62" i="36" s="1"/>
  <c r="E45" i="39"/>
  <c r="W242" i="39"/>
  <c r="W257" i="39" s="1"/>
  <c r="L170" i="38"/>
  <c r="L3" i="38" s="1"/>
  <c r="K170" i="38"/>
  <c r="K3" i="38" s="1"/>
  <c r="K9" i="37"/>
  <c r="I260" i="38"/>
  <c r="I264" i="38" s="1"/>
  <c r="I269" i="38" s="1"/>
  <c r="G253" i="39"/>
  <c r="G242" i="39"/>
  <c r="G243" i="39" s="1"/>
  <c r="Q242" i="39"/>
  <c r="Q257" i="39" s="1"/>
  <c r="K46" i="37"/>
  <c r="I53" i="36" s="1"/>
  <c r="P170" i="38"/>
  <c r="P3" i="38" s="1"/>
  <c r="Q45" i="39"/>
  <c r="J52" i="39"/>
  <c r="J68" i="39"/>
  <c r="J69" i="39"/>
  <c r="J201" i="38"/>
  <c r="O242" i="39"/>
  <c r="O243" i="39" s="1"/>
  <c r="P264" i="39"/>
  <c r="G170" i="38"/>
  <c r="G3" i="38" s="1"/>
  <c r="F45" i="39"/>
  <c r="N43" i="38"/>
  <c r="N71" i="38"/>
  <c r="M268" i="39"/>
  <c r="J57" i="39"/>
  <c r="G45" i="39"/>
  <c r="J253" i="38"/>
  <c r="L201" i="38"/>
  <c r="T55" i="37"/>
  <c r="N62" i="36" s="1"/>
  <c r="W32" i="38"/>
  <c r="W40" i="38" s="1"/>
  <c r="E64" i="38"/>
  <c r="H80" i="39"/>
  <c r="I45" i="39"/>
  <c r="H64" i="38"/>
  <c r="J170" i="38"/>
  <c r="J3" i="38" s="1"/>
  <c r="R18" i="16"/>
  <c r="R18" i="3" s="1"/>
  <c r="Q68" i="52"/>
  <c r="Q209" i="16"/>
  <c r="Q210" i="16" s="1"/>
  <c r="Q121" i="16"/>
  <c r="Q87" i="16" s="1"/>
  <c r="Q93" i="16" s="1"/>
  <c r="M48" i="16"/>
  <c r="Q7" i="14"/>
  <c r="Q36" i="14" s="1"/>
  <c r="E59" i="52"/>
  <c r="I253" i="16"/>
  <c r="Q16" i="14"/>
  <c r="Q21" i="14" s="1"/>
  <c r="Q238" i="16"/>
  <c r="Q242" i="16"/>
  <c r="Q243" i="16"/>
  <c r="N16" i="14"/>
  <c r="N21" i="14" s="1"/>
  <c r="L236" i="16"/>
  <c r="G58" i="52"/>
  <c r="O172" i="52"/>
  <c r="E70" i="16"/>
  <c r="J66" i="16"/>
  <c r="N7" i="14"/>
  <c r="N36" i="14" s="1"/>
  <c r="Q244" i="16"/>
  <c r="G59" i="52"/>
  <c r="E58" i="16"/>
  <c r="O61" i="52"/>
  <c r="M58" i="52"/>
  <c r="Q245" i="16"/>
  <c r="Q256" i="16" s="1"/>
  <c r="O60" i="52"/>
  <c r="P16" i="14"/>
  <c r="P21" i="14" s="1"/>
  <c r="R16" i="14"/>
  <c r="R21" i="14" s="1"/>
  <c r="Q239" i="16"/>
  <c r="Q241" i="16"/>
  <c r="L69" i="16"/>
  <c r="P7" i="14"/>
  <c r="P36" i="14" s="1"/>
  <c r="O16" i="14"/>
  <c r="O21" i="14" s="1"/>
  <c r="O59" i="52"/>
  <c r="R121" i="16"/>
  <c r="R68" i="52"/>
  <c r="R214" i="16"/>
  <c r="R220" i="16" s="1"/>
  <c r="R228" i="16"/>
  <c r="R17" i="16" s="1"/>
  <c r="R17" i="3" s="1"/>
  <c r="R207" i="16"/>
  <c r="R145" i="52" s="1"/>
  <c r="Y6" i="30"/>
  <c r="Y155" i="30" s="1"/>
  <c r="W274" i="30"/>
  <c r="O270" i="30"/>
  <c r="H46" i="30"/>
  <c r="O227" i="30"/>
  <c r="K46" i="30"/>
  <c r="J56" i="30"/>
  <c r="P60" i="30"/>
  <c r="T246" i="30"/>
  <c r="T18" i="30" s="1"/>
  <c r="T18" i="29" s="1"/>
  <c r="N48" i="30"/>
  <c r="F46" i="30"/>
  <c r="J71" i="30"/>
  <c r="J68" i="30"/>
  <c r="P52" i="30"/>
  <c r="N46" i="30"/>
  <c r="J63" i="30"/>
  <c r="T176" i="30"/>
  <c r="P63" i="30"/>
  <c r="J55" i="30"/>
  <c r="P67" i="30"/>
  <c r="K227" i="30"/>
  <c r="Q46" i="30"/>
  <c r="L227" i="30"/>
  <c r="P71" i="30"/>
  <c r="J53" i="30"/>
  <c r="P54" i="30"/>
  <c r="P46" i="30"/>
  <c r="J60" i="30"/>
  <c r="I231" i="30"/>
  <c r="I237" i="30" s="1"/>
  <c r="P53" i="30"/>
  <c r="O56" i="30"/>
  <c r="O46" i="30"/>
  <c r="L46" i="30"/>
  <c r="V46" i="30"/>
  <c r="J51" i="30"/>
  <c r="J52" i="30"/>
  <c r="P59" i="30"/>
  <c r="P47" i="30"/>
  <c r="J46" i="30"/>
  <c r="J59" i="30"/>
  <c r="P55" i="30"/>
  <c r="P68" i="30"/>
  <c r="I63" i="30"/>
  <c r="I49" i="30"/>
  <c r="O63" i="30"/>
  <c r="N59" i="30"/>
  <c r="N49" i="30"/>
  <c r="G7" i="28"/>
  <c r="W49" i="30"/>
  <c r="F48" i="30"/>
  <c r="J47" i="30"/>
  <c r="F7" i="28"/>
  <c r="V49" i="30"/>
  <c r="I48" i="30"/>
  <c r="I47" i="30"/>
  <c r="O52" i="30"/>
  <c r="O66" i="30"/>
  <c r="G68" i="30"/>
  <c r="G48" i="30"/>
  <c r="G49" i="30"/>
  <c r="T7" i="28"/>
  <c r="T44" i="28" s="1"/>
  <c r="N51" i="27" s="1"/>
  <c r="P267" i="30"/>
  <c r="J48" i="30"/>
  <c r="V48" i="30"/>
  <c r="O51" i="30"/>
  <c r="L269" i="30"/>
  <c r="E52" i="30"/>
  <c r="E49" i="30"/>
  <c r="P51" i="30"/>
  <c r="W47" i="30"/>
  <c r="G47" i="30"/>
  <c r="O67" i="30"/>
  <c r="O53" i="30"/>
  <c r="L274" i="30"/>
  <c r="M59" i="30"/>
  <c r="M49" i="30"/>
  <c r="S246" i="30"/>
  <c r="S18" i="30" s="1"/>
  <c r="S18" i="29" s="1"/>
  <c r="S90" i="30"/>
  <c r="S175" i="30" s="1"/>
  <c r="L272" i="30"/>
  <c r="Q53" i="30"/>
  <c r="Q49" i="30"/>
  <c r="P66" i="30"/>
  <c r="M47" i="30"/>
  <c r="L47" i="30"/>
  <c r="O47" i="30"/>
  <c r="K47" i="30"/>
  <c r="M269" i="30"/>
  <c r="H55" i="30"/>
  <c r="H49" i="30"/>
  <c r="E47" i="30"/>
  <c r="E48" i="30"/>
  <c r="H48" i="30"/>
  <c r="L48" i="30"/>
  <c r="O48" i="30"/>
  <c r="O49" i="30"/>
  <c r="V56" i="30"/>
  <c r="P269" i="30"/>
  <c r="F60" i="30"/>
  <c r="F49" i="30"/>
  <c r="K48" i="30"/>
  <c r="M48" i="30"/>
  <c r="P48" i="30"/>
  <c r="Q47" i="30"/>
  <c r="V67" i="30"/>
  <c r="W21" i="30"/>
  <c r="W57" i="30" s="1"/>
  <c r="N54" i="30"/>
  <c r="O274" i="30"/>
  <c r="K274" i="30"/>
  <c r="V66" i="30"/>
  <c r="G63" i="30"/>
  <c r="G66" i="30"/>
  <c r="N47" i="52"/>
  <c r="V55" i="30"/>
  <c r="G52" i="30"/>
  <c r="V53" i="30"/>
  <c r="J33" i="52"/>
  <c r="V54" i="30"/>
  <c r="G60" i="30"/>
  <c r="M274" i="30"/>
  <c r="V63" i="30"/>
  <c r="G67" i="30"/>
  <c r="G56" i="30"/>
  <c r="G53" i="30"/>
  <c r="Q59" i="30"/>
  <c r="S245" i="30"/>
  <c r="S17" i="30" s="1"/>
  <c r="O269" i="30"/>
  <c r="M97" i="30"/>
  <c r="M103" i="30" s="1"/>
  <c r="J97" i="30"/>
  <c r="J103" i="30" s="1"/>
  <c r="I97" i="30"/>
  <c r="I103" i="30" s="1"/>
  <c r="F48" i="52"/>
  <c r="K269" i="30"/>
  <c r="O49" i="52"/>
  <c r="M68" i="30"/>
  <c r="E67" i="30"/>
  <c r="K270" i="30"/>
  <c r="O271" i="30"/>
  <c r="K271" i="30"/>
  <c r="N56" i="30"/>
  <c r="R7" i="28"/>
  <c r="O175" i="52"/>
  <c r="M270" i="30"/>
  <c r="O273" i="30"/>
  <c r="Q145" i="30"/>
  <c r="Q97" i="30" s="1"/>
  <c r="Q103" i="30" s="1"/>
  <c r="N21" i="28"/>
  <c r="E55" i="30"/>
  <c r="J175" i="52"/>
  <c r="M54" i="30"/>
  <c r="Q7" i="28"/>
  <c r="Q36" i="28" s="1"/>
  <c r="F46" i="52"/>
  <c r="Q52" i="30"/>
  <c r="Q60" i="30"/>
  <c r="Q67" i="30"/>
  <c r="O16" i="28"/>
  <c r="O21" i="28" s="1"/>
  <c r="L51" i="30"/>
  <c r="P7" i="28"/>
  <c r="P36" i="28" s="1"/>
  <c r="O7" i="28"/>
  <c r="O36" i="28" s="1"/>
  <c r="P16" i="28"/>
  <c r="P21" i="28" s="1"/>
  <c r="N7" i="28"/>
  <c r="N36" i="28" s="1"/>
  <c r="G48" i="52"/>
  <c r="I46" i="52"/>
  <c r="N46" i="52"/>
  <c r="J108" i="52"/>
  <c r="J66" i="30"/>
  <c r="N48" i="52"/>
  <c r="Q51" i="30"/>
  <c r="Q56" i="30"/>
  <c r="E71" i="30"/>
  <c r="J93" i="52"/>
  <c r="J98" i="52" s="1"/>
  <c r="J54" i="30"/>
  <c r="I49" i="52"/>
  <c r="Q63" i="30"/>
  <c r="J76" i="52"/>
  <c r="O33" i="52"/>
  <c r="O71" i="52"/>
  <c r="O93" i="52"/>
  <c r="O98" i="52" s="1"/>
  <c r="L55" i="30"/>
  <c r="R16" i="28"/>
  <c r="R21" i="28" s="1"/>
  <c r="I48" i="52"/>
  <c r="Q16" i="28"/>
  <c r="Q21" i="28" s="1"/>
  <c r="O108" i="52"/>
  <c r="O59" i="30"/>
  <c r="S7" i="28"/>
  <c r="S39" i="28" s="1"/>
  <c r="M46" i="27" s="1"/>
  <c r="E68" i="30"/>
  <c r="L63" i="30"/>
  <c r="F47" i="52"/>
  <c r="Q21" i="30"/>
  <c r="U7" i="28"/>
  <c r="U36" i="28" s="1"/>
  <c r="O43" i="27" s="1"/>
  <c r="Q55" i="30"/>
  <c r="Q66" i="30"/>
  <c r="Q54" i="30"/>
  <c r="S248" i="30"/>
  <c r="S20" i="30" s="1"/>
  <c r="S20" i="29" s="1"/>
  <c r="S222" i="30"/>
  <c r="S226" i="30" s="1"/>
  <c r="S174" i="30"/>
  <c r="T247" i="30"/>
  <c r="T19" i="30" s="1"/>
  <c r="T19" i="29" s="1"/>
  <c r="S256" i="30"/>
  <c r="S66" i="52"/>
  <c r="S76" i="52" s="1"/>
  <c r="S137" i="30"/>
  <c r="S96" i="30" s="1"/>
  <c r="S102" i="30" s="1"/>
  <c r="R248" i="30"/>
  <c r="R20" i="30" s="1"/>
  <c r="R20" i="29" s="1"/>
  <c r="R250" i="30"/>
  <c r="R24" i="30" s="1"/>
  <c r="R26" i="29" s="1"/>
  <c r="R222" i="30"/>
  <c r="R247" i="30"/>
  <c r="R19" i="30" s="1"/>
  <c r="R19" i="29" s="1"/>
  <c r="R249" i="30"/>
  <c r="R23" i="30" s="1"/>
  <c r="V9" i="28" s="1"/>
  <c r="Q256" i="30"/>
  <c r="Q267" i="30" s="1"/>
  <c r="Q223" i="30"/>
  <c r="Q257" i="30"/>
  <c r="Q262" i="30"/>
  <c r="Q273" i="30" s="1"/>
  <c r="Q258" i="30"/>
  <c r="Q269" i="30" s="1"/>
  <c r="Q259" i="30"/>
  <c r="Q270" i="30" s="1"/>
  <c r="Q260" i="30"/>
  <c r="Q271" i="30" s="1"/>
  <c r="Q261" i="30"/>
  <c r="Q272" i="30" s="1"/>
  <c r="Q263" i="30"/>
  <c r="Q274" i="30" s="1"/>
  <c r="E248" i="29"/>
  <c r="E250" i="29" s="1"/>
  <c r="E252" i="29" s="1"/>
  <c r="E4" i="29" s="1"/>
  <c r="G55" i="28"/>
  <c r="E62" i="27" s="1"/>
  <c r="W267" i="30"/>
  <c r="S46" i="28"/>
  <c r="M53" i="27" s="1"/>
  <c r="L286" i="30"/>
  <c r="T16" i="30"/>
  <c r="T16" i="29" s="1"/>
  <c r="P286" i="30"/>
  <c r="J189" i="29"/>
  <c r="J190" i="29" s="1"/>
  <c r="N170" i="52"/>
  <c r="G71" i="30"/>
  <c r="R46" i="28"/>
  <c r="L53" i="27" s="1"/>
  <c r="N165" i="52"/>
  <c r="M63" i="30"/>
  <c r="N55" i="30"/>
  <c r="T55" i="28"/>
  <c r="N62" i="27" s="1"/>
  <c r="J21" i="30"/>
  <c r="N8" i="28" s="1"/>
  <c r="N63" i="30"/>
  <c r="I66" i="30"/>
  <c r="I68" i="30"/>
  <c r="M67" i="30"/>
  <c r="N52" i="30"/>
  <c r="M56" i="30"/>
  <c r="R256" i="30"/>
  <c r="R267" i="30" s="1"/>
  <c r="N53" i="30"/>
  <c r="F248" i="29"/>
  <c r="N71" i="30"/>
  <c r="M66" i="30"/>
  <c r="M51" i="30"/>
  <c r="M60" i="30"/>
  <c r="M55" i="30"/>
  <c r="N153" i="29"/>
  <c r="N3" i="29" s="1"/>
  <c r="N66" i="30"/>
  <c r="L71" i="30"/>
  <c r="V52" i="30"/>
  <c r="L33" i="52"/>
  <c r="T45" i="28"/>
  <c r="N52" i="27" s="1"/>
  <c r="L68" i="30"/>
  <c r="V68" i="30"/>
  <c r="P21" i="30"/>
  <c r="T8" i="28" s="1"/>
  <c r="O71" i="30"/>
  <c r="O252" i="30"/>
  <c r="O187" i="52" s="1"/>
  <c r="O214" i="52" s="1"/>
  <c r="O219" i="52" s="1"/>
  <c r="K55" i="30"/>
  <c r="I71" i="30"/>
  <c r="O54" i="29"/>
  <c r="R45" i="28"/>
  <c r="L52" i="27" s="1"/>
  <c r="P248" i="29"/>
  <c r="K68" i="30"/>
  <c r="L54" i="30"/>
  <c r="L66" i="30"/>
  <c r="I230" i="30"/>
  <c r="I236" i="30" s="1"/>
  <c r="I125" i="52"/>
  <c r="N67" i="30"/>
  <c r="O68" i="30"/>
  <c r="O21" i="30"/>
  <c r="S8" i="28" s="1"/>
  <c r="K59" i="30"/>
  <c r="K60" i="30"/>
  <c r="I53" i="30"/>
  <c r="G21" i="30"/>
  <c r="G57" i="30" s="1"/>
  <c r="W250" i="29"/>
  <c r="W252" i="29" s="1"/>
  <c r="W4" i="29" s="1"/>
  <c r="N248" i="29"/>
  <c r="I55" i="30"/>
  <c r="K51" i="30"/>
  <c r="S45" i="28"/>
  <c r="M52" i="27" s="1"/>
  <c r="K63" i="30"/>
  <c r="K67" i="30"/>
  <c r="K71" i="30"/>
  <c r="G248" i="29"/>
  <c r="V21" i="30"/>
  <c r="V25" i="30" s="1"/>
  <c r="N51" i="30"/>
  <c r="K56" i="30"/>
  <c r="K54" i="30"/>
  <c r="M71" i="30"/>
  <c r="K66" i="30"/>
  <c r="O55" i="30"/>
  <c r="K18" i="28"/>
  <c r="O63" i="16"/>
  <c r="V35" i="3"/>
  <c r="V38" i="3" s="1"/>
  <c r="N213" i="16"/>
  <c r="N127" i="52"/>
  <c r="J71" i="16"/>
  <c r="I206" i="3"/>
  <c r="F50" i="16"/>
  <c r="J251" i="3"/>
  <c r="J70" i="16"/>
  <c r="F48" i="16"/>
  <c r="G48" i="16"/>
  <c r="K17" i="14"/>
  <c r="J59" i="16"/>
  <c r="F71" i="16"/>
  <c r="F62" i="16"/>
  <c r="F273" i="16"/>
  <c r="F275" i="16" s="1"/>
  <c r="N74" i="16"/>
  <c r="J54" i="16"/>
  <c r="J50" i="16"/>
  <c r="F70" i="16"/>
  <c r="J51" i="16"/>
  <c r="O255" i="16"/>
  <c r="F51" i="16"/>
  <c r="F56" i="16"/>
  <c r="F249" i="3"/>
  <c r="F251" i="3" s="1"/>
  <c r="J69" i="16"/>
  <c r="F59" i="16"/>
  <c r="J255" i="16"/>
  <c r="J273" i="16"/>
  <c r="J275" i="16" s="1"/>
  <c r="F57" i="16"/>
  <c r="F69" i="16"/>
  <c r="F54" i="16"/>
  <c r="G55" i="14"/>
  <c r="E62" i="13" s="1"/>
  <c r="J55" i="16"/>
  <c r="P235" i="16"/>
  <c r="P189" i="52" s="1"/>
  <c r="P216" i="52" s="1"/>
  <c r="P221" i="52" s="1"/>
  <c r="J62" i="16"/>
  <c r="V74" i="16"/>
  <c r="J22" i="16"/>
  <c r="F55" i="16"/>
  <c r="J53" i="16"/>
  <c r="J83" i="3"/>
  <c r="J27" i="16" s="1"/>
  <c r="J63" i="16" s="1"/>
  <c r="V58" i="16"/>
  <c r="F7" i="14"/>
  <c r="V71" i="16"/>
  <c r="W50" i="16"/>
  <c r="E69" i="16"/>
  <c r="N254" i="16"/>
  <c r="O254" i="16"/>
  <c r="G56" i="16"/>
  <c r="W69" i="16"/>
  <c r="H63" i="16"/>
  <c r="W256" i="16"/>
  <c r="G69" i="16"/>
  <c r="E48" i="16"/>
  <c r="W66" i="16"/>
  <c r="P63" i="16"/>
  <c r="V56" i="16"/>
  <c r="G55" i="16"/>
  <c r="K251" i="16"/>
  <c r="K246" i="16"/>
  <c r="G74" i="16"/>
  <c r="I251" i="3"/>
  <c r="E55" i="16"/>
  <c r="J49" i="16"/>
  <c r="J56" i="16"/>
  <c r="J48" i="16"/>
  <c r="N235" i="16"/>
  <c r="W57" i="16"/>
  <c r="N246" i="16"/>
  <c r="K103" i="30"/>
  <c r="W253" i="3"/>
  <c r="AF252" i="3" s="1"/>
  <c r="AF253" i="3" s="1"/>
  <c r="AF255" i="3" s="1"/>
  <c r="S177" i="30"/>
  <c r="R175" i="30"/>
  <c r="R93" i="30"/>
  <c r="I71" i="16"/>
  <c r="I64" i="38"/>
  <c r="W255" i="16"/>
  <c r="I58" i="52"/>
  <c r="J59" i="52"/>
  <c r="P38" i="3"/>
  <c r="P89" i="3"/>
  <c r="P96" i="3" s="1"/>
  <c r="M22" i="16"/>
  <c r="Q8" i="14" s="1"/>
  <c r="M49" i="16"/>
  <c r="M56" i="16"/>
  <c r="M54" i="16"/>
  <c r="M71" i="16"/>
  <c r="M50" i="16"/>
  <c r="M66" i="16"/>
  <c r="M57" i="16"/>
  <c r="M70" i="16"/>
  <c r="M273" i="16"/>
  <c r="M275" i="16" s="1"/>
  <c r="M51" i="16"/>
  <c r="H59" i="52"/>
  <c r="N226" i="39"/>
  <c r="O55" i="52"/>
  <c r="L47" i="52"/>
  <c r="P48" i="52"/>
  <c r="I113" i="29"/>
  <c r="I121" i="29" s="1"/>
  <c r="I51" i="16"/>
  <c r="M166" i="16"/>
  <c r="K152" i="16"/>
  <c r="K89" i="16" s="1"/>
  <c r="K95" i="16" s="1"/>
  <c r="P213" i="16"/>
  <c r="P215" i="16" s="1"/>
  <c r="P221" i="16" s="1"/>
  <c r="F13" i="39"/>
  <c r="F63" i="39" s="1"/>
  <c r="E60" i="30"/>
  <c r="F63" i="30"/>
  <c r="J231" i="30"/>
  <c r="J237" i="30" s="1"/>
  <c r="E66" i="30"/>
  <c r="L171" i="30"/>
  <c r="L98" i="30" s="1"/>
  <c r="L104" i="30" s="1"/>
  <c r="X129" i="52"/>
  <c r="V213" i="30"/>
  <c r="V218" i="30" s="1"/>
  <c r="V198" i="16"/>
  <c r="V201" i="16" s="1"/>
  <c r="J235" i="16"/>
  <c r="R243" i="16"/>
  <c r="R232" i="16" s="1"/>
  <c r="R21" i="16" s="1"/>
  <c r="R21" i="3" s="1"/>
  <c r="J254" i="16"/>
  <c r="J58" i="52"/>
  <c r="O152" i="16"/>
  <c r="O89" i="16" s="1"/>
  <c r="G70" i="16"/>
  <c r="P61" i="52"/>
  <c r="T196" i="39"/>
  <c r="T128" i="39"/>
  <c r="T135" i="39" s="1"/>
  <c r="L28" i="3"/>
  <c r="M206" i="3"/>
  <c r="N206" i="3"/>
  <c r="O206" i="3"/>
  <c r="W63" i="16"/>
  <c r="J216" i="16"/>
  <c r="J205" i="16"/>
  <c r="J162" i="52"/>
  <c r="G55" i="30"/>
  <c r="N212" i="39"/>
  <c r="N142" i="39" s="1"/>
  <c r="O48" i="52"/>
  <c r="G55" i="52"/>
  <c r="O53" i="52"/>
  <c r="M52" i="30"/>
  <c r="P33" i="52"/>
  <c r="S250" i="30"/>
  <c r="S24" i="30" s="1"/>
  <c r="S26" i="29" s="1"/>
  <c r="W46" i="52"/>
  <c r="K47" i="52"/>
  <c r="I55" i="16"/>
  <c r="I273" i="16"/>
  <c r="I275" i="16" s="1"/>
  <c r="I62" i="16"/>
  <c r="I70" i="16"/>
  <c r="I59" i="16"/>
  <c r="I58" i="16"/>
  <c r="I53" i="16"/>
  <c r="I56" i="16"/>
  <c r="I49" i="16"/>
  <c r="H55" i="52"/>
  <c r="O109" i="52"/>
  <c r="I50" i="16"/>
  <c r="I74" i="16"/>
  <c r="M69" i="16"/>
  <c r="Q64" i="38"/>
  <c r="N104" i="52"/>
  <c r="X214" i="30"/>
  <c r="N255" i="16"/>
  <c r="R244" i="16"/>
  <c r="F56" i="30"/>
  <c r="V113" i="29"/>
  <c r="V121" i="29" s="1"/>
  <c r="I66" i="16"/>
  <c r="M12" i="39"/>
  <c r="M101" i="39"/>
  <c r="M105" i="39" s="1"/>
  <c r="M107" i="39" s="1"/>
  <c r="W64" i="38"/>
  <c r="V60" i="52"/>
  <c r="W60" i="52"/>
  <c r="S55" i="14"/>
  <c r="M62" i="13" s="1"/>
  <c r="S54" i="14"/>
  <c r="M61" i="13" s="1"/>
  <c r="G53" i="52"/>
  <c r="H52" i="52"/>
  <c r="W49" i="52"/>
  <c r="G63" i="16"/>
  <c r="I63" i="16"/>
  <c r="I142" i="4"/>
  <c r="S195" i="39"/>
  <c r="Q95" i="38"/>
  <c r="Q41" i="39" s="1"/>
  <c r="T16" i="37" s="1"/>
  <c r="T21" i="37" s="1"/>
  <c r="Q98" i="38"/>
  <c r="L97" i="38"/>
  <c r="L108" i="38" s="1"/>
  <c r="S153" i="30"/>
  <c r="S145" i="30" s="1"/>
  <c r="S97" i="30" s="1"/>
  <c r="S103" i="30" s="1"/>
  <c r="E54" i="30"/>
  <c r="N21" i="30"/>
  <c r="R8" i="28" s="1"/>
  <c r="V51" i="30"/>
  <c r="P104" i="52"/>
  <c r="X129" i="30"/>
  <c r="AF465" i="60"/>
  <c r="AF466" i="60" s="1"/>
  <c r="T231" i="16"/>
  <c r="T20" i="16" s="1"/>
  <c r="T20" i="3" s="1"/>
  <c r="I69" i="16"/>
  <c r="M58" i="16"/>
  <c r="I54" i="16"/>
  <c r="O240" i="16"/>
  <c r="O235" i="16"/>
  <c r="O189" i="52" s="1"/>
  <c r="O204" i="52" s="1"/>
  <c r="P152" i="16"/>
  <c r="P89" i="16" s="1"/>
  <c r="I235" i="16"/>
  <c r="I189" i="52" s="1"/>
  <c r="I204" i="52" s="1"/>
  <c r="I238" i="16"/>
  <c r="I246" i="16" s="1"/>
  <c r="I213" i="16"/>
  <c r="I219" i="16" s="1"/>
  <c r="I127" i="52"/>
  <c r="F35" i="3"/>
  <c r="W205" i="16"/>
  <c r="W162" i="52"/>
  <c r="W177" i="52" s="1"/>
  <c r="T228" i="16"/>
  <c r="T17" i="16" s="1"/>
  <c r="T17" i="3" s="1"/>
  <c r="H242" i="39"/>
  <c r="N35" i="3"/>
  <c r="N76" i="3"/>
  <c r="N170" i="38"/>
  <c r="N3" i="38" s="1"/>
  <c r="T207" i="16"/>
  <c r="T145" i="52" s="1"/>
  <c r="K58" i="52"/>
  <c r="F54" i="52"/>
  <c r="T153" i="30"/>
  <c r="T145" i="30" s="1"/>
  <c r="T97" i="30" s="1"/>
  <c r="T103" i="30" s="1"/>
  <c r="O212" i="39"/>
  <c r="O142" i="39" s="1"/>
  <c r="O148" i="39" s="1"/>
  <c r="L48" i="52"/>
  <c r="O97" i="30"/>
  <c r="N68" i="30"/>
  <c r="F68" i="30"/>
  <c r="E51" i="30"/>
  <c r="J48" i="52"/>
  <c r="P55" i="52"/>
  <c r="G59" i="30"/>
  <c r="H49" i="52"/>
  <c r="P47" i="52"/>
  <c r="O110" i="52"/>
  <c r="O35" i="52"/>
  <c r="H60" i="52"/>
  <c r="N53" i="52"/>
  <c r="O52" i="52"/>
  <c r="H48" i="52"/>
  <c r="O314" i="39"/>
  <c r="O320" i="39" s="1"/>
  <c r="O268" i="30"/>
  <c r="O88" i="16"/>
  <c r="O94" i="16" s="1"/>
  <c r="G49" i="16"/>
  <c r="G50" i="16"/>
  <c r="G57" i="16"/>
  <c r="G51" i="16"/>
  <c r="G58" i="16"/>
  <c r="G71" i="16"/>
  <c r="G66" i="16"/>
  <c r="F52" i="52"/>
  <c r="Q66" i="52"/>
  <c r="K110" i="52"/>
  <c r="K35" i="52"/>
  <c r="I233" i="30"/>
  <c r="E160" i="52"/>
  <c r="L153" i="29"/>
  <c r="L3" i="29" s="1"/>
  <c r="K49" i="52"/>
  <c r="G22" i="16"/>
  <c r="G28" i="16" s="1"/>
  <c r="G202" i="16"/>
  <c r="M251" i="3"/>
  <c r="H249" i="3"/>
  <c r="H251" i="3" s="1"/>
  <c r="H79" i="39"/>
  <c r="F242" i="39"/>
  <c r="F188" i="52" s="1"/>
  <c r="P45" i="39"/>
  <c r="R153" i="30"/>
  <c r="R145" i="30" s="1"/>
  <c r="R97" i="30" s="1"/>
  <c r="R103" i="30" s="1"/>
  <c r="F21" i="30"/>
  <c r="F25" i="30" s="1"/>
  <c r="E63" i="30"/>
  <c r="H48" i="29"/>
  <c r="T46" i="28"/>
  <c r="N53" i="27" s="1"/>
  <c r="J248" i="29"/>
  <c r="X155" i="30"/>
  <c r="E218" i="30"/>
  <c r="V129" i="52"/>
  <c r="G273" i="16"/>
  <c r="G275" i="16" s="1"/>
  <c r="P48" i="16"/>
  <c r="P273" i="16"/>
  <c r="P275" i="16" s="1"/>
  <c r="P59" i="16"/>
  <c r="P70" i="16"/>
  <c r="P58" i="16"/>
  <c r="P56" i="16"/>
  <c r="P66" i="16"/>
  <c r="P71" i="16"/>
  <c r="J246" i="16"/>
  <c r="M53" i="16"/>
  <c r="M253" i="16"/>
  <c r="V58" i="52"/>
  <c r="W58" i="52"/>
  <c r="M59" i="16"/>
  <c r="I254" i="16"/>
  <c r="M254" i="16"/>
  <c r="I28" i="3"/>
  <c r="L206" i="3"/>
  <c r="J206" i="3"/>
  <c r="K206" i="3"/>
  <c r="E62" i="16"/>
  <c r="W71" i="16"/>
  <c r="P59" i="52"/>
  <c r="L252" i="16"/>
  <c r="P242" i="39"/>
  <c r="X224" i="3"/>
  <c r="X228" i="3"/>
  <c r="X238" i="3"/>
  <c r="X246" i="3"/>
  <c r="X219" i="3"/>
  <c r="X226" i="3"/>
  <c r="X237" i="3"/>
  <c r="X217" i="3"/>
  <c r="X222" i="3"/>
  <c r="X247" i="3"/>
  <c r="X218" i="3"/>
  <c r="X240" i="3"/>
  <c r="X220" i="3"/>
  <c r="X235" i="3"/>
  <c r="X244" i="3"/>
  <c r="H20" i="14" s="1"/>
  <c r="X221" i="3"/>
  <c r="X227" i="3"/>
  <c r="X243" i="3"/>
  <c r="X230" i="3"/>
  <c r="X248" i="3"/>
  <c r="X236" i="3"/>
  <c r="X229" i="3"/>
  <c r="X233" i="3"/>
  <c r="X239" i="3"/>
  <c r="X225" i="3"/>
  <c r="N54" i="52"/>
  <c r="L46" i="52"/>
  <c r="J49" i="52"/>
  <c r="P53" i="52"/>
  <c r="N60" i="30"/>
  <c r="H47" i="52"/>
  <c r="R137" i="30"/>
  <c r="R66" i="52"/>
  <c r="N181" i="52"/>
  <c r="F53" i="52"/>
  <c r="P52" i="52"/>
  <c r="G53" i="16"/>
  <c r="L213" i="16"/>
  <c r="L215" i="16" s="1"/>
  <c r="L221" i="16" s="1"/>
  <c r="V255" i="3"/>
  <c r="V4" i="3" s="1"/>
  <c r="N101" i="39"/>
  <c r="N105" i="39" s="1"/>
  <c r="L45" i="39"/>
  <c r="J43" i="38"/>
  <c r="J45" i="38" s="1"/>
  <c r="M45" i="39"/>
  <c r="T45" i="37"/>
  <c r="N52" i="36" s="1"/>
  <c r="E59" i="30"/>
  <c r="L97" i="30"/>
  <c r="L103" i="30" s="1"/>
  <c r="O248" i="29"/>
  <c r="G252" i="30"/>
  <c r="G187" i="52" s="1"/>
  <c r="G202" i="52" s="1"/>
  <c r="S16" i="30"/>
  <c r="S16" i="29" s="1"/>
  <c r="J100" i="52"/>
  <c r="W55" i="16"/>
  <c r="W48" i="16"/>
  <c r="W51" i="16"/>
  <c r="W56" i="16"/>
  <c r="W59" i="16"/>
  <c r="W62" i="16"/>
  <c r="W58" i="16"/>
  <c r="W70" i="16"/>
  <c r="G7" i="14"/>
  <c r="W59" i="52"/>
  <c r="M205" i="16"/>
  <c r="M216" i="16"/>
  <c r="M162" i="52"/>
  <c r="G59" i="16"/>
  <c r="E51" i="16"/>
  <c r="E56" i="16"/>
  <c r="E49" i="16"/>
  <c r="E71" i="16"/>
  <c r="E50" i="16"/>
  <c r="E53" i="16"/>
  <c r="E66" i="16"/>
  <c r="E57" i="16"/>
  <c r="R54" i="14"/>
  <c r="L61" i="13" s="1"/>
  <c r="R55" i="14"/>
  <c r="L62" i="13" s="1"/>
  <c r="S135" i="16"/>
  <c r="S128" i="16" s="1"/>
  <c r="S88" i="16" s="1"/>
  <c r="S94" i="16" s="1"/>
  <c r="H48" i="16"/>
  <c r="M55" i="16"/>
  <c r="G62" i="16"/>
  <c r="N251" i="3"/>
  <c r="P54" i="16"/>
  <c r="K59" i="52"/>
  <c r="N52" i="52"/>
  <c r="R174" i="30"/>
  <c r="G52" i="52"/>
  <c r="P227" i="30"/>
  <c r="Q253" i="38"/>
  <c r="Q260" i="38"/>
  <c r="Q264" i="38" s="1"/>
  <c r="Q269" i="38" s="1"/>
  <c r="T260" i="30"/>
  <c r="T248" i="30" s="1"/>
  <c r="T20" i="30" s="1"/>
  <c r="T20" i="29" s="1"/>
  <c r="P271" i="30"/>
  <c r="K23" i="28"/>
  <c r="K96" i="30"/>
  <c r="K102" i="30" s="1"/>
  <c r="K231" i="30"/>
  <c r="H53" i="52"/>
  <c r="P226" i="39"/>
  <c r="V60" i="30"/>
  <c r="S249" i="30"/>
  <c r="S23" i="30" s="1"/>
  <c r="S23" i="29" s="1"/>
  <c r="S247" i="30"/>
  <c r="S19" i="30" s="1"/>
  <c r="S19" i="29" s="1"/>
  <c r="P49" i="52"/>
  <c r="K99" i="52"/>
  <c r="T214" i="16"/>
  <c r="T220" i="16" s="1"/>
  <c r="T87" i="16"/>
  <c r="T93" i="16" s="1"/>
  <c r="T68" i="52"/>
  <c r="I60" i="52"/>
  <c r="O173" i="39"/>
  <c r="O215" i="39"/>
  <c r="O222" i="39" s="1"/>
  <c r="J47" i="52"/>
  <c r="K46" i="52"/>
  <c r="I22" i="16"/>
  <c r="I28" i="16" s="1"/>
  <c r="L230" i="30"/>
  <c r="L236" i="30" s="1"/>
  <c r="T177" i="30"/>
  <c r="P60" i="52"/>
  <c r="N251" i="16"/>
  <c r="V170" i="38"/>
  <c r="V3" i="38" s="1"/>
  <c r="F27" i="37"/>
  <c r="W48" i="52"/>
  <c r="H46" i="52"/>
  <c r="N268" i="39"/>
  <c r="F66" i="30"/>
  <c r="F51" i="30"/>
  <c r="W218" i="30"/>
  <c r="X213" i="30"/>
  <c r="M62" i="16"/>
  <c r="F101" i="39"/>
  <c r="F105" i="39" s="1"/>
  <c r="H66" i="16"/>
  <c r="H50" i="16"/>
  <c r="H55" i="16"/>
  <c r="H59" i="16"/>
  <c r="H58" i="16"/>
  <c r="H70" i="16"/>
  <c r="H49" i="16"/>
  <c r="H56" i="16"/>
  <c r="H51" i="16"/>
  <c r="H53" i="16"/>
  <c r="H62" i="16"/>
  <c r="W49" i="16"/>
  <c r="K255" i="16"/>
  <c r="S244" i="16"/>
  <c r="S233" i="16" s="1"/>
  <c r="S24" i="16" s="1"/>
  <c r="S24" i="3" s="1"/>
  <c r="T232" i="16"/>
  <c r="T21" i="16" s="1"/>
  <c r="T21" i="3" s="1"/>
  <c r="P252" i="16"/>
  <c r="O54" i="52"/>
  <c r="K60" i="52"/>
  <c r="F55" i="52"/>
  <c r="N55" i="52"/>
  <c r="F59" i="30"/>
  <c r="G54" i="52"/>
  <c r="W227" i="30"/>
  <c r="J46" i="52"/>
  <c r="O104" i="52"/>
  <c r="O99" i="52"/>
  <c r="P46" i="52"/>
  <c r="K48" i="52"/>
  <c r="L216" i="52"/>
  <c r="L221" i="52" s="1"/>
  <c r="E202" i="16"/>
  <c r="K63" i="16"/>
  <c r="K13" i="39"/>
  <c r="I53" i="52"/>
  <c r="I5" i="32"/>
  <c r="J5" i="32"/>
  <c r="K5" i="32"/>
  <c r="L5" i="32"/>
  <c r="M6" i="32"/>
  <c r="N6" i="32" s="1"/>
  <c r="O6" i="32" s="1"/>
  <c r="P6" i="32" s="1"/>
  <c r="S176" i="30"/>
  <c r="J252" i="30"/>
  <c r="J187" i="52" s="1"/>
  <c r="J257" i="30"/>
  <c r="T145" i="29"/>
  <c r="V220" i="30"/>
  <c r="V160" i="52"/>
  <c r="V175" i="52" s="1"/>
  <c r="V46" i="52"/>
  <c r="W35" i="29"/>
  <c r="W61" i="29" s="1"/>
  <c r="W59" i="29"/>
  <c r="N252" i="30"/>
  <c r="N257" i="30"/>
  <c r="P252" i="30"/>
  <c r="P187" i="52" s="1"/>
  <c r="P257" i="30"/>
  <c r="G5" i="52"/>
  <c r="G147" i="52"/>
  <c r="H6" i="52"/>
  <c r="G129" i="52"/>
  <c r="G134" i="52" s="1"/>
  <c r="G130" i="52"/>
  <c r="G139" i="52" s="1"/>
  <c r="I33" i="52"/>
  <c r="E108" i="52"/>
  <c r="F138" i="52"/>
  <c r="F139" i="52"/>
  <c r="F140" i="52"/>
  <c r="L104" i="52"/>
  <c r="L99" i="52"/>
  <c r="L22" i="16"/>
  <c r="P8" i="14" s="1"/>
  <c r="L56" i="16"/>
  <c r="L48" i="16"/>
  <c r="L58" i="16"/>
  <c r="L55" i="16"/>
  <c r="L70" i="16"/>
  <c r="L49" i="16"/>
  <c r="L50" i="16"/>
  <c r="L57" i="16"/>
  <c r="L62" i="16"/>
  <c r="L51" i="16"/>
  <c r="L53" i="16"/>
  <c r="L54" i="16"/>
  <c r="L59" i="16"/>
  <c r="L66" i="16"/>
  <c r="L71" i="16"/>
  <c r="L273" i="16"/>
  <c r="L275" i="16" s="1"/>
  <c r="Q157" i="52"/>
  <c r="Q152" i="52"/>
  <c r="K194" i="39"/>
  <c r="K201" i="39"/>
  <c r="K208" i="39" s="1"/>
  <c r="K180" i="39"/>
  <c r="K5" i="4"/>
  <c r="L5" i="4"/>
  <c r="M6" i="4"/>
  <c r="N6" i="4" s="1"/>
  <c r="O6" i="4" s="1"/>
  <c r="P6" i="4" s="1"/>
  <c r="J5" i="4"/>
  <c r="I5" i="4"/>
  <c r="I88" i="16"/>
  <c r="I94" i="16" s="1"/>
  <c r="H74" i="16"/>
  <c r="J74" i="16"/>
  <c r="J24" i="39"/>
  <c r="J58" i="39"/>
  <c r="J78" i="39"/>
  <c r="J59" i="39"/>
  <c r="J79" i="39"/>
  <c r="J60" i="39"/>
  <c r="J61" i="39"/>
  <c r="J55" i="39"/>
  <c r="J64" i="39"/>
  <c r="J75" i="39"/>
  <c r="J72" i="39"/>
  <c r="J54" i="39"/>
  <c r="J62" i="39"/>
  <c r="J63" i="39"/>
  <c r="H53" i="39"/>
  <c r="O194" i="39"/>
  <c r="O201" i="39"/>
  <c r="O208" i="39" s="1"/>
  <c r="O180" i="39"/>
  <c r="H54" i="39"/>
  <c r="Q180" i="39"/>
  <c r="Q194" i="39"/>
  <c r="Q201" i="39"/>
  <c r="Q208" i="39" s="1"/>
  <c r="L264" i="39"/>
  <c r="T249" i="39"/>
  <c r="V65" i="39"/>
  <c r="S97" i="39"/>
  <c r="H65" i="39"/>
  <c r="N242" i="39"/>
  <c r="H57" i="39"/>
  <c r="E242" i="39"/>
  <c r="Q201" i="38"/>
  <c r="P260" i="38"/>
  <c r="P264" i="38" s="1"/>
  <c r="P269" i="38" s="1"/>
  <c r="P253" i="38"/>
  <c r="G43" i="38"/>
  <c r="G71" i="38"/>
  <c r="F260" i="38"/>
  <c r="F264" i="38" s="1"/>
  <c r="F269" i="38" s="1"/>
  <c r="F253" i="38"/>
  <c r="F255" i="38" s="1"/>
  <c r="L59" i="29"/>
  <c r="L35" i="29"/>
  <c r="L61" i="29" s="1"/>
  <c r="M230" i="30"/>
  <c r="M125" i="52"/>
  <c r="V71" i="30"/>
  <c r="F16" i="28"/>
  <c r="F21" i="28" s="1"/>
  <c r="L233" i="30"/>
  <c r="P237" i="30"/>
  <c r="H160" i="52"/>
  <c r="F172" i="29"/>
  <c r="P97" i="30"/>
  <c r="P103" i="30" s="1"/>
  <c r="I59" i="29"/>
  <c r="I35" i="29"/>
  <c r="I61" i="29" s="1"/>
  <c r="G51" i="30"/>
  <c r="G211" i="30"/>
  <c r="K236" i="30" s="1"/>
  <c r="M54" i="29"/>
  <c r="F54" i="29"/>
  <c r="V59" i="29"/>
  <c r="V35" i="29"/>
  <c r="V61" i="29" s="1"/>
  <c r="N35" i="29"/>
  <c r="N61" i="29" s="1"/>
  <c r="N59" i="29"/>
  <c r="P35" i="29"/>
  <c r="P61" i="29" s="1"/>
  <c r="P59" i="29"/>
  <c r="Z6" i="52"/>
  <c r="Y5" i="52"/>
  <c r="Y130" i="52"/>
  <c r="Y147" i="52"/>
  <c r="Y129" i="52"/>
  <c r="Q156" i="16"/>
  <c r="Q163" i="16" s="1"/>
  <c r="E131" i="16"/>
  <c r="E143" i="16"/>
  <c r="Q150" i="16" s="1"/>
  <c r="H89" i="3"/>
  <c r="H96" i="3" s="1"/>
  <c r="H38" i="3"/>
  <c r="F142" i="16"/>
  <c r="K38" i="3"/>
  <c r="K89" i="3"/>
  <c r="K96" i="3" s="1"/>
  <c r="V58" i="39"/>
  <c r="V242" i="39"/>
  <c r="W13" i="39"/>
  <c r="W53" i="39" s="1"/>
  <c r="Q52" i="52"/>
  <c r="G253" i="38"/>
  <c r="G260" i="38"/>
  <c r="G264" i="38" s="1"/>
  <c r="G269" i="38" s="1"/>
  <c r="S264" i="16"/>
  <c r="S261" i="16" s="1"/>
  <c r="O269" i="16"/>
  <c r="G89" i="3"/>
  <c r="G96" i="3" s="1"/>
  <c r="G38" i="3"/>
  <c r="P74" i="16"/>
  <c r="L246" i="16"/>
  <c r="L74" i="16"/>
  <c r="I318" i="39"/>
  <c r="T118" i="39"/>
  <c r="T103" i="39"/>
  <c r="T57" i="38"/>
  <c r="I253" i="39"/>
  <c r="I242" i="39"/>
  <c r="J268" i="39"/>
  <c r="K242" i="39"/>
  <c r="I52" i="52"/>
  <c r="Q55" i="52"/>
  <c r="M242" i="39"/>
  <c r="M243" i="39" s="1"/>
  <c r="J80" i="39"/>
  <c r="T54" i="38"/>
  <c r="T75" i="38"/>
  <c r="T101" i="38" s="1"/>
  <c r="W170" i="38"/>
  <c r="W3" i="38" s="1"/>
  <c r="G27" i="37"/>
  <c r="Q16" i="52"/>
  <c r="X217" i="29"/>
  <c r="X239" i="29"/>
  <c r="X5" i="29"/>
  <c r="X210" i="29"/>
  <c r="X220" i="29"/>
  <c r="X241" i="29"/>
  <c r="X242" i="29"/>
  <c r="X243" i="29"/>
  <c r="X244" i="29"/>
  <c r="H19" i="28" s="1"/>
  <c r="X245" i="29"/>
  <c r="X211" i="29"/>
  <c r="X221" i="29"/>
  <c r="X209" i="29"/>
  <c r="X219" i="29"/>
  <c r="X226" i="29"/>
  <c r="X213" i="29"/>
  <c r="X215" i="29"/>
  <c r="X228" i="29"/>
  <c r="X229" i="29"/>
  <c r="X230" i="29"/>
  <c r="X231" i="29"/>
  <c r="X232" i="29"/>
  <c r="X233" i="29"/>
  <c r="X234" i="29"/>
  <c r="X235" i="29"/>
  <c r="X236" i="29"/>
  <c r="X240" i="29"/>
  <c r="H20" i="28" s="1"/>
  <c r="Y6" i="29"/>
  <c r="X208" i="29"/>
  <c r="X212" i="29"/>
  <c r="X222" i="29"/>
  <c r="X214" i="29"/>
  <c r="X223" i="29"/>
  <c r="X218" i="29"/>
  <c r="L231" i="30"/>
  <c r="L237" i="30" s="1"/>
  <c r="L96" i="30"/>
  <c r="L102" i="30" s="1"/>
  <c r="M46" i="52"/>
  <c r="P113" i="29"/>
  <c r="P121" i="29" s="1"/>
  <c r="T27" i="28" s="1"/>
  <c r="K245" i="30"/>
  <c r="K17" i="30"/>
  <c r="N189" i="29"/>
  <c r="N190" i="29" s="1"/>
  <c r="L189" i="29"/>
  <c r="L190" i="29" s="1"/>
  <c r="V48" i="52"/>
  <c r="U46" i="28"/>
  <c r="O53" i="27" s="1"/>
  <c r="V108" i="52"/>
  <c r="E138" i="52"/>
  <c r="E139" i="52"/>
  <c r="E140" i="52"/>
  <c r="W291" i="39"/>
  <c r="S155" i="16"/>
  <c r="S162" i="16" s="1"/>
  <c r="E54" i="16"/>
  <c r="E227" i="16"/>
  <c r="E261" i="16"/>
  <c r="I267" i="16" s="1"/>
  <c r="E273" i="16"/>
  <c r="E275" i="16" s="1"/>
  <c r="K61" i="52"/>
  <c r="V63" i="39"/>
  <c r="I180" i="39"/>
  <c r="I194" i="39"/>
  <c r="I201" i="39"/>
  <c r="I208" i="39" s="1"/>
  <c r="Q13" i="39"/>
  <c r="T7" i="37" s="1"/>
  <c r="E22" i="16"/>
  <c r="N63" i="16"/>
  <c r="P59" i="3"/>
  <c r="P61" i="3" s="1"/>
  <c r="P251" i="3"/>
  <c r="Q318" i="39"/>
  <c r="J65" i="39"/>
  <c r="J5" i="41"/>
  <c r="K5" i="41"/>
  <c r="L5" i="41"/>
  <c r="M6" i="41"/>
  <c r="N6" i="41" s="1"/>
  <c r="O6" i="41" s="1"/>
  <c r="P6" i="41" s="1"/>
  <c r="I5" i="41"/>
  <c r="V80" i="39"/>
  <c r="K82" i="38"/>
  <c r="K97" i="38"/>
  <c r="K108" i="38" s="1"/>
  <c r="Q54" i="52"/>
  <c r="O45" i="39"/>
  <c r="G5" i="38"/>
  <c r="H6" i="38"/>
  <c r="J45" i="39"/>
  <c r="J64" i="38"/>
  <c r="H45" i="38"/>
  <c r="H46" i="38"/>
  <c r="K17" i="37"/>
  <c r="N97" i="30"/>
  <c r="T93" i="30"/>
  <c r="T174" i="30"/>
  <c r="L21" i="30"/>
  <c r="P8" i="28" s="1"/>
  <c r="T175" i="30"/>
  <c r="E46" i="52"/>
  <c r="P171" i="30"/>
  <c r="P98" i="30" s="1"/>
  <c r="S125" i="29"/>
  <c r="AI252" i="29"/>
  <c r="AJ249" i="29"/>
  <c r="F35" i="29"/>
  <c r="F61" i="29" s="1"/>
  <c r="F59" i="29"/>
  <c r="K9" i="28"/>
  <c r="V252" i="30"/>
  <c r="V187" i="52" s="1"/>
  <c r="V202" i="52" s="1"/>
  <c r="V257" i="30"/>
  <c r="V264" i="30" s="1"/>
  <c r="F110" i="52"/>
  <c r="J115" i="52" s="1"/>
  <c r="O181" i="52"/>
  <c r="H59" i="39"/>
  <c r="H68" i="39"/>
  <c r="H60" i="39"/>
  <c r="H69" i="39"/>
  <c r="H61" i="39"/>
  <c r="H62" i="39"/>
  <c r="H63" i="39"/>
  <c r="H24" i="39"/>
  <c r="H58" i="39"/>
  <c r="H78" i="39"/>
  <c r="H55" i="39"/>
  <c r="H64" i="39"/>
  <c r="H75" i="39"/>
  <c r="H253" i="38"/>
  <c r="H260" i="38"/>
  <c r="H264" i="38" s="1"/>
  <c r="H269" i="38" s="1"/>
  <c r="E47" i="52"/>
  <c r="X5" i="4"/>
  <c r="Y6" i="4"/>
  <c r="S156" i="16"/>
  <c r="S163" i="16" s="1"/>
  <c r="T264" i="16"/>
  <c r="T261" i="16" s="1"/>
  <c r="H142" i="4"/>
  <c r="T118" i="3"/>
  <c r="T117" i="3" s="1"/>
  <c r="S117" i="3"/>
  <c r="S194" i="3"/>
  <c r="S199" i="3" s="1"/>
  <c r="K24" i="14"/>
  <c r="K55" i="14" s="1"/>
  <c r="I62" i="13" s="1"/>
  <c r="U55" i="14"/>
  <c r="O62" i="13" s="1"/>
  <c r="V54" i="39"/>
  <c r="J53" i="39"/>
  <c r="L52" i="52"/>
  <c r="I215" i="39"/>
  <c r="I222" i="39" s="1"/>
  <c r="I173" i="39"/>
  <c r="L194" i="39"/>
  <c r="L180" i="39"/>
  <c r="I55" i="52"/>
  <c r="M32" i="38"/>
  <c r="M40" i="38" s="1"/>
  <c r="O201" i="38"/>
  <c r="I71" i="38"/>
  <c r="I43" i="38"/>
  <c r="H82" i="38"/>
  <c r="H97" i="38"/>
  <c r="H108" i="38" s="1"/>
  <c r="N260" i="38"/>
  <c r="N264" i="38" s="1"/>
  <c r="N269" i="38" s="1"/>
  <c r="N253" i="38"/>
  <c r="L252" i="30"/>
  <c r="L257" i="30"/>
  <c r="R177" i="30"/>
  <c r="W71" i="30"/>
  <c r="G16" i="28"/>
  <c r="G21" i="28" s="1"/>
  <c r="Q93" i="30"/>
  <c r="G54" i="29"/>
  <c r="F252" i="30"/>
  <c r="F187" i="52" s="1"/>
  <c r="F257" i="30"/>
  <c r="K267" i="30"/>
  <c r="G264" i="30"/>
  <c r="V49" i="52"/>
  <c r="B6" i="61"/>
  <c r="A5" i="61"/>
  <c r="N35" i="52"/>
  <c r="N110" i="52"/>
  <c r="K33" i="52"/>
  <c r="K108" i="52"/>
  <c r="M33" i="52"/>
  <c r="G291" i="39"/>
  <c r="O89" i="3"/>
  <c r="O96" i="3" s="1"/>
  <c r="O38" i="3"/>
  <c r="X5" i="41"/>
  <c r="Y6" i="41"/>
  <c r="H72" i="39"/>
  <c r="L318" i="39"/>
  <c r="V57" i="39"/>
  <c r="H54" i="52"/>
  <c r="S177" i="39"/>
  <c r="S304" i="39"/>
  <c r="S280" i="39" s="1"/>
  <c r="S67" i="52"/>
  <c r="L238" i="39"/>
  <c r="M318" i="39"/>
  <c r="I54" i="52"/>
  <c r="O82" i="38"/>
  <c r="O97" i="38"/>
  <c r="O108" i="38" s="1"/>
  <c r="V83" i="39"/>
  <c r="F16" i="37"/>
  <c r="F21" i="37" s="1"/>
  <c r="S45" i="37"/>
  <c r="M52" i="36" s="1"/>
  <c r="U55" i="37"/>
  <c r="O62" i="36" s="1"/>
  <c r="K24" i="37"/>
  <c r="K55" i="37" s="1"/>
  <c r="I62" i="36" s="1"/>
  <c r="M96" i="30"/>
  <c r="M102" i="30" s="1"/>
  <c r="M231" i="30"/>
  <c r="M237" i="30" s="1"/>
  <c r="M171" i="30"/>
  <c r="M98" i="30" s="1"/>
  <c r="K17" i="28"/>
  <c r="H5" i="30"/>
  <c r="H129" i="30"/>
  <c r="H130" i="30" s="1"/>
  <c r="H214" i="30"/>
  <c r="I6" i="30"/>
  <c r="H155" i="30"/>
  <c r="H156" i="30" s="1"/>
  <c r="H213" i="30"/>
  <c r="H216" i="30" s="1"/>
  <c r="V47" i="52"/>
  <c r="W54" i="29"/>
  <c r="W138" i="52"/>
  <c r="R195" i="3"/>
  <c r="H58" i="52"/>
  <c r="T157" i="16"/>
  <c r="T164" i="16" s="1"/>
  <c r="X5" i="16"/>
  <c r="Y6" i="16"/>
  <c r="X198" i="16"/>
  <c r="X113" i="16"/>
  <c r="X199" i="16"/>
  <c r="X137" i="16"/>
  <c r="P58" i="52"/>
  <c r="Q158" i="16"/>
  <c r="Q165" i="16" s="1"/>
  <c r="M210" i="16"/>
  <c r="P69" i="16"/>
  <c r="K27" i="14"/>
  <c r="M38" i="3"/>
  <c r="M89" i="3"/>
  <c r="M96" i="3" s="1"/>
  <c r="E28" i="3"/>
  <c r="H206" i="3"/>
  <c r="I13" i="39"/>
  <c r="I80" i="39" s="1"/>
  <c r="P54" i="52"/>
  <c r="Q215" i="39"/>
  <c r="Q222" i="39" s="1"/>
  <c r="Q173" i="39"/>
  <c r="X5" i="38"/>
  <c r="Y6" i="38"/>
  <c r="N194" i="39"/>
  <c r="N201" i="39"/>
  <c r="N208" i="39" s="1"/>
  <c r="N180" i="39"/>
  <c r="N173" i="39"/>
  <c r="N215" i="39"/>
  <c r="N222" i="39" s="1"/>
  <c r="S240" i="39"/>
  <c r="S27" i="39" s="1"/>
  <c r="K215" i="39"/>
  <c r="K222" i="39" s="1"/>
  <c r="K173" i="39"/>
  <c r="J97" i="38"/>
  <c r="J108" i="38" s="1"/>
  <c r="J82" i="38"/>
  <c r="Q53" i="52"/>
  <c r="P45" i="38"/>
  <c r="P46" i="38"/>
  <c r="E32" i="38"/>
  <c r="E40" i="38" s="1"/>
  <c r="O45" i="38"/>
  <c r="O46" i="38"/>
  <c r="H83" i="39"/>
  <c r="M49" i="52"/>
  <c r="R176" i="30"/>
  <c r="E245" i="30"/>
  <c r="E17" i="30"/>
  <c r="J35" i="29"/>
  <c r="J61" i="29" s="1"/>
  <c r="J59" i="29"/>
  <c r="R16" i="29"/>
  <c r="O264" i="30"/>
  <c r="O267" i="30"/>
  <c r="W252" i="30"/>
  <c r="W187" i="52" s="1"/>
  <c r="W257" i="30"/>
  <c r="H248" i="29"/>
  <c r="H17" i="30"/>
  <c r="K189" i="29"/>
  <c r="K190" i="29" s="1"/>
  <c r="H245" i="30"/>
  <c r="E292" i="39"/>
  <c r="I35" i="52"/>
  <c r="I110" i="52"/>
  <c r="V62" i="39"/>
  <c r="V72" i="39"/>
  <c r="V24" i="39"/>
  <c r="V55" i="39"/>
  <c r="V64" i="39"/>
  <c r="V75" i="39"/>
  <c r="V78" i="39"/>
  <c r="V61" i="39"/>
  <c r="V69" i="39"/>
  <c r="V68" i="39"/>
  <c r="V79" i="39"/>
  <c r="V59" i="39"/>
  <c r="V60" i="39"/>
  <c r="V53" i="39"/>
  <c r="F7" i="37"/>
  <c r="O13" i="39"/>
  <c r="P318" i="39"/>
  <c r="S96" i="39"/>
  <c r="S234" i="39"/>
  <c r="S19" i="39" s="1"/>
  <c r="H52" i="39"/>
  <c r="J242" i="39"/>
  <c r="P82" i="38"/>
  <c r="P97" i="38"/>
  <c r="P108" i="38" s="1"/>
  <c r="L253" i="38"/>
  <c r="L260" i="38"/>
  <c r="L264" i="38" s="1"/>
  <c r="L269" i="38" s="1"/>
  <c r="H45" i="39"/>
  <c r="O170" i="38"/>
  <c r="O3" i="38" s="1"/>
  <c r="P95" i="38"/>
  <c r="P41" i="39" s="1"/>
  <c r="Q97" i="38"/>
  <c r="Q82" i="38"/>
  <c r="T130" i="38"/>
  <c r="T129" i="38" s="1"/>
  <c r="S129" i="38"/>
  <c r="X5" i="32"/>
  <c r="Y6" i="32"/>
  <c r="I54" i="30"/>
  <c r="I59" i="30"/>
  <c r="I51" i="30"/>
  <c r="I60" i="30"/>
  <c r="I52" i="30"/>
  <c r="I56" i="30"/>
  <c r="I67" i="30"/>
  <c r="E49" i="52"/>
  <c r="M47" i="52"/>
  <c r="G172" i="29"/>
  <c r="M189" i="29"/>
  <c r="M190" i="29" s="1"/>
  <c r="I248" i="29"/>
  <c r="P54" i="29"/>
  <c r="J99" i="52"/>
  <c r="J104" i="52"/>
  <c r="F291" i="39"/>
  <c r="I105" i="52"/>
  <c r="I100" i="52"/>
  <c r="M115" i="52"/>
  <c r="M120" i="52"/>
  <c r="M35" i="29" l="1"/>
  <c r="M61" i="29" s="1"/>
  <c r="K45" i="38"/>
  <c r="T226" i="29"/>
  <c r="O103" i="85"/>
  <c r="BD103" i="85"/>
  <c r="AW103" i="85"/>
  <c r="R18" i="52"/>
  <c r="J189" i="16"/>
  <c r="S231" i="39"/>
  <c r="S16" i="39" s="1"/>
  <c r="S95" i="39"/>
  <c r="L321" i="39"/>
  <c r="L322" i="39" s="1"/>
  <c r="S239" i="39"/>
  <c r="S26" i="39" s="1"/>
  <c r="V9" i="37" s="1"/>
  <c r="S233" i="39"/>
  <c r="S18" i="39" s="1"/>
  <c r="S18" i="38" s="1"/>
  <c r="W238" i="16"/>
  <c r="W246" i="16" s="1"/>
  <c r="W257" i="16" s="1"/>
  <c r="N113" i="52"/>
  <c r="O189" i="16"/>
  <c r="T11" i="29"/>
  <c r="S232" i="39"/>
  <c r="S17" i="39" s="1"/>
  <c r="M21" i="30"/>
  <c r="Q8" i="28" s="1"/>
  <c r="AS103" i="85"/>
  <c r="N107" i="39"/>
  <c r="T191" i="39"/>
  <c r="T198" i="39" s="1"/>
  <c r="T126" i="39"/>
  <c r="T133" i="39" s="1"/>
  <c r="H288" i="39"/>
  <c r="P194" i="39"/>
  <c r="H287" i="39"/>
  <c r="H290" i="39" s="1"/>
  <c r="I6" i="39"/>
  <c r="I5" i="39" s="1"/>
  <c r="J149" i="39"/>
  <c r="J150" i="39" s="1"/>
  <c r="J143" i="39"/>
  <c r="S218" i="39"/>
  <c r="S225" i="39" s="1"/>
  <c r="S136" i="39"/>
  <c r="V292" i="39"/>
  <c r="K143" i="39"/>
  <c r="T218" i="39"/>
  <c r="T225" i="39" s="1"/>
  <c r="T136" i="39"/>
  <c r="T216" i="39"/>
  <c r="T223" i="39" s="1"/>
  <c r="T134" i="39"/>
  <c r="T95" i="39"/>
  <c r="T237" i="39"/>
  <c r="T22" i="39" s="1"/>
  <c r="T22" i="38" s="1"/>
  <c r="T231" i="39"/>
  <c r="T16" i="39" s="1"/>
  <c r="T236" i="39"/>
  <c r="T21" i="39" s="1"/>
  <c r="T21" i="38" s="1"/>
  <c r="T233" i="39"/>
  <c r="T18" i="39" s="1"/>
  <c r="T67" i="52"/>
  <c r="T72" i="52" s="1"/>
  <c r="T238" i="39"/>
  <c r="T120" i="39" s="1"/>
  <c r="T23" i="39" s="1"/>
  <c r="T232" i="39"/>
  <c r="T17" i="39" s="1"/>
  <c r="T17" i="38" s="1"/>
  <c r="T304" i="39"/>
  <c r="T280" i="39" s="1"/>
  <c r="S216" i="39"/>
  <c r="S223" i="39" s="1"/>
  <c r="S134" i="39"/>
  <c r="L65" i="39"/>
  <c r="O7" i="37"/>
  <c r="O57" i="39"/>
  <c r="R7" i="37"/>
  <c r="S16" i="37"/>
  <c r="S21" i="37" s="1"/>
  <c r="P52" i="39"/>
  <c r="S7" i="37"/>
  <c r="N24" i="39"/>
  <c r="Q8" i="37" s="1"/>
  <c r="Q7" i="37"/>
  <c r="E120" i="15"/>
  <c r="F120" i="15" s="1"/>
  <c r="G120" i="15" s="1"/>
  <c r="R313" i="39"/>
  <c r="K57" i="39"/>
  <c r="N7" i="37"/>
  <c r="N36" i="37" s="1"/>
  <c r="S191" i="39"/>
  <c r="S184" i="39" s="1"/>
  <c r="S141" i="39" s="1"/>
  <c r="S147" i="39" s="1"/>
  <c r="S126" i="39"/>
  <c r="S133" i="39" s="1"/>
  <c r="E129" i="52"/>
  <c r="F213" i="30"/>
  <c r="F287" i="39"/>
  <c r="G213" i="30"/>
  <c r="E198" i="16"/>
  <c r="F201" i="16"/>
  <c r="F203" i="16"/>
  <c r="F134" i="52"/>
  <c r="F133" i="52"/>
  <c r="M189" i="16"/>
  <c r="T233" i="3"/>
  <c r="AJ103" i="85"/>
  <c r="E189" i="16"/>
  <c r="M252" i="30"/>
  <c r="M187" i="52" s="1"/>
  <c r="M202" i="52" s="1"/>
  <c r="G203" i="16"/>
  <c r="Q209" i="29"/>
  <c r="AH103" i="85"/>
  <c r="H113" i="16"/>
  <c r="H114" i="16" s="1"/>
  <c r="G8" i="14"/>
  <c r="G38" i="14" s="1"/>
  <c r="E45" i="13" s="1"/>
  <c r="H235" i="16"/>
  <c r="H189" i="52" s="1"/>
  <c r="S174" i="29"/>
  <c r="S176" i="29" s="1"/>
  <c r="T174" i="29" s="1"/>
  <c r="T176" i="29" s="1"/>
  <c r="T118" i="29" s="1"/>
  <c r="J113" i="52"/>
  <c r="I252" i="30"/>
  <c r="I187" i="52" s="1"/>
  <c r="I214" i="52" s="1"/>
  <c r="I219" i="52" s="1"/>
  <c r="H189" i="16"/>
  <c r="AA103" i="85"/>
  <c r="W60" i="16"/>
  <c r="AD103" i="85"/>
  <c r="R183" i="3"/>
  <c r="S183" i="3" s="1"/>
  <c r="T183" i="3" s="1"/>
  <c r="R233" i="3"/>
  <c r="S226" i="29"/>
  <c r="S233" i="3"/>
  <c r="T18" i="16"/>
  <c r="T18" i="3" s="1"/>
  <c r="Y219" i="3"/>
  <c r="N184" i="16"/>
  <c r="V235" i="16"/>
  <c r="R226" i="29"/>
  <c r="V17" i="28" s="1"/>
  <c r="R163" i="29"/>
  <c r="S163" i="29" s="1"/>
  <c r="T163" i="29" s="1"/>
  <c r="K149" i="39"/>
  <c r="K151" i="39" s="1"/>
  <c r="I321" i="39"/>
  <c r="I323" i="39" s="1"/>
  <c r="Q149" i="39"/>
  <c r="Q150" i="39" s="1"/>
  <c r="G38" i="29"/>
  <c r="G37" i="29"/>
  <c r="O38" i="29"/>
  <c r="O37" i="29"/>
  <c r="H5" i="3"/>
  <c r="T18" i="52"/>
  <c r="T43" i="14"/>
  <c r="N50" i="13" s="1"/>
  <c r="I6" i="16"/>
  <c r="I137" i="16" s="1"/>
  <c r="I138" i="16" s="1"/>
  <c r="BA103" i="85"/>
  <c r="AL103" i="85"/>
  <c r="W103" i="85"/>
  <c r="BH103" i="85"/>
  <c r="BL103" i="85"/>
  <c r="BE103" i="85"/>
  <c r="AP103" i="85"/>
  <c r="AI103" i="85"/>
  <c r="H5" i="16"/>
  <c r="BI103" i="85"/>
  <c r="AT103" i="85"/>
  <c r="AE103" i="85"/>
  <c r="H103" i="85"/>
  <c r="BT103" i="85"/>
  <c r="BM103" i="85"/>
  <c r="AX103" i="85"/>
  <c r="AQ103" i="85"/>
  <c r="E103" i="85"/>
  <c r="BQ103" i="85"/>
  <c r="BB103" i="85"/>
  <c r="AM103" i="85"/>
  <c r="P103" i="85"/>
  <c r="I103" i="85"/>
  <c r="BU103" i="85"/>
  <c r="BF103" i="85"/>
  <c r="AY103" i="85"/>
  <c r="I148" i="39"/>
  <c r="M103" i="85"/>
  <c r="AZ103" i="85"/>
  <c r="BJ103" i="85"/>
  <c r="AU103" i="85"/>
  <c r="X103" i="85"/>
  <c r="R103" i="85"/>
  <c r="T103" i="85"/>
  <c r="BN103" i="85"/>
  <c r="BG103" i="85"/>
  <c r="G235" i="16"/>
  <c r="G189" i="52" s="1"/>
  <c r="G204" i="52" s="1"/>
  <c r="H137" i="16"/>
  <c r="H138" i="16" s="1"/>
  <c r="U103" i="85"/>
  <c r="G103" i="85"/>
  <c r="BR103" i="85"/>
  <c r="BC103" i="85"/>
  <c r="AF103" i="85"/>
  <c r="Y103" i="85"/>
  <c r="J103" i="85"/>
  <c r="AB103" i="85"/>
  <c r="BO103" i="85"/>
  <c r="H199" i="16"/>
  <c r="H203" i="16" s="1"/>
  <c r="Q38" i="29"/>
  <c r="Q61" i="29"/>
  <c r="Q64" i="29" s="1"/>
  <c r="AC103" i="85"/>
  <c r="N103" i="85"/>
  <c r="AR103" i="85"/>
  <c r="BK103" i="85"/>
  <c r="AN103" i="85"/>
  <c r="AG103" i="85"/>
  <c r="Q103" i="85"/>
  <c r="K103" i="85"/>
  <c r="L103" i="85"/>
  <c r="AK103" i="85"/>
  <c r="V103" i="85"/>
  <c r="F103" i="85"/>
  <c r="BS103" i="85"/>
  <c r="AV103" i="85"/>
  <c r="AO103" i="85"/>
  <c r="Z103" i="85"/>
  <c r="S103" i="85"/>
  <c r="BP103" i="85"/>
  <c r="N98" i="52"/>
  <c r="L113" i="52"/>
  <c r="J180" i="52"/>
  <c r="T39" i="14"/>
  <c r="N46" i="13" s="1"/>
  <c r="T37" i="14"/>
  <c r="N44" i="13" s="1"/>
  <c r="N180" i="52"/>
  <c r="E62" i="39"/>
  <c r="P118" i="52"/>
  <c r="E53" i="39"/>
  <c r="S172" i="16"/>
  <c r="S11" i="16" s="1"/>
  <c r="S187" i="16"/>
  <c r="N61" i="39"/>
  <c r="N58" i="39"/>
  <c r="N65" i="39"/>
  <c r="N69" i="39"/>
  <c r="N55" i="39"/>
  <c r="P113" i="52"/>
  <c r="Q181" i="30"/>
  <c r="L118" i="52"/>
  <c r="R11" i="29"/>
  <c r="Z6" i="39"/>
  <c r="Z5" i="39" s="1"/>
  <c r="W292" i="39"/>
  <c r="O34" i="52"/>
  <c r="G292" i="39"/>
  <c r="Y287" i="39"/>
  <c r="Y292" i="39" s="1"/>
  <c r="S11" i="30"/>
  <c r="S16" i="52" s="1"/>
  <c r="P103" i="52"/>
  <c r="L98" i="52"/>
  <c r="P98" i="52"/>
  <c r="N118" i="52"/>
  <c r="N33" i="52"/>
  <c r="M98" i="52"/>
  <c r="M118" i="52"/>
  <c r="M103" i="52"/>
  <c r="N232" i="30"/>
  <c r="N238" i="30" s="1"/>
  <c r="I103" i="52"/>
  <c r="I98" i="52"/>
  <c r="I149" i="39"/>
  <c r="O219" i="16"/>
  <c r="T227" i="16"/>
  <c r="T16" i="16" s="1"/>
  <c r="T267" i="16"/>
  <c r="R227" i="16"/>
  <c r="R16" i="16" s="1"/>
  <c r="R16" i="3" s="1"/>
  <c r="R267" i="16"/>
  <c r="S227" i="16"/>
  <c r="S16" i="16" s="1"/>
  <c r="S267" i="16"/>
  <c r="E264" i="16"/>
  <c r="I269" i="16" s="1"/>
  <c r="M267" i="16"/>
  <c r="J34" i="52"/>
  <c r="N119" i="52"/>
  <c r="R140" i="39"/>
  <c r="R146" i="39" s="1"/>
  <c r="G64" i="39"/>
  <c r="G75" i="39"/>
  <c r="E83" i="39"/>
  <c r="G79" i="39"/>
  <c r="E80" i="39"/>
  <c r="E79" i="39"/>
  <c r="E68" i="39"/>
  <c r="E60" i="39"/>
  <c r="E63" i="39"/>
  <c r="E75" i="39"/>
  <c r="E64" i="39"/>
  <c r="N236" i="30"/>
  <c r="K103" i="52"/>
  <c r="P181" i="30"/>
  <c r="R87" i="16"/>
  <c r="R93" i="16" s="1"/>
  <c r="E163" i="15"/>
  <c r="F163" i="15" s="1"/>
  <c r="G163" i="15" s="1"/>
  <c r="R226" i="30"/>
  <c r="G78" i="15"/>
  <c r="H78" i="15" s="1"/>
  <c r="I78" i="15" s="1"/>
  <c r="T71" i="52"/>
  <c r="S78" i="52"/>
  <c r="H5" i="29"/>
  <c r="I181" i="30"/>
  <c r="M321" i="39"/>
  <c r="M322" i="39" s="1"/>
  <c r="I29" i="36"/>
  <c r="H29" i="36"/>
  <c r="R144" i="52"/>
  <c r="R156" i="52" s="1"/>
  <c r="O181" i="30"/>
  <c r="M143" i="39"/>
  <c r="T110" i="30"/>
  <c r="L181" i="30"/>
  <c r="M149" i="39"/>
  <c r="M151" i="39" s="1"/>
  <c r="J181" i="30"/>
  <c r="K181" i="30"/>
  <c r="R110" i="30"/>
  <c r="R46" i="52" s="1"/>
  <c r="S143" i="52"/>
  <c r="S155" i="52" s="1"/>
  <c r="P232" i="30"/>
  <c r="P238" i="30" s="1"/>
  <c r="S236" i="39"/>
  <c r="S21" i="39" s="1"/>
  <c r="S21" i="38" s="1"/>
  <c r="S237" i="39"/>
  <c r="S22" i="39" s="1"/>
  <c r="S22" i="38" s="1"/>
  <c r="S100" i="39"/>
  <c r="S11" i="39" s="1"/>
  <c r="T96" i="39"/>
  <c r="T239" i="39"/>
  <c r="T26" i="39" s="1"/>
  <c r="T26" i="38" s="1"/>
  <c r="T97" i="39"/>
  <c r="T235" i="39"/>
  <c r="T20" i="39" s="1"/>
  <c r="T20" i="38" s="1"/>
  <c r="T240" i="39"/>
  <c r="T27" i="39" s="1"/>
  <c r="T27" i="38" s="1"/>
  <c r="T100" i="39"/>
  <c r="T11" i="39" s="1"/>
  <c r="T177" i="39"/>
  <c r="T140" i="39" s="1"/>
  <c r="T146" i="39" s="1"/>
  <c r="S235" i="39"/>
  <c r="S20" i="39" s="1"/>
  <c r="S20" i="38" s="1"/>
  <c r="R198" i="39"/>
  <c r="Q143" i="39"/>
  <c r="P34" i="52"/>
  <c r="S169" i="39"/>
  <c r="S168" i="39"/>
  <c r="S170" i="39"/>
  <c r="T168" i="39"/>
  <c r="T170" i="39"/>
  <c r="T169" i="39"/>
  <c r="AF308" i="39"/>
  <c r="AG308" i="39"/>
  <c r="P72" i="39"/>
  <c r="S217" i="39"/>
  <c r="S224" i="39" s="1"/>
  <c r="S253" i="39"/>
  <c r="S238" i="39" s="1"/>
  <c r="S120" i="39" s="1"/>
  <c r="S23" i="39" s="1"/>
  <c r="R17" i="52"/>
  <c r="R72" i="52"/>
  <c r="N114" i="52"/>
  <c r="N34" i="52"/>
  <c r="L34" i="52"/>
  <c r="T128" i="16"/>
  <c r="T88" i="16" s="1"/>
  <c r="T94" i="16" s="1"/>
  <c r="Y5" i="39"/>
  <c r="E69" i="39"/>
  <c r="E55" i="39"/>
  <c r="R44" i="37"/>
  <c r="L51" i="36" s="1"/>
  <c r="N60" i="39"/>
  <c r="E59" i="39"/>
  <c r="E72" i="39"/>
  <c r="E65" i="39"/>
  <c r="N59" i="39"/>
  <c r="N75" i="39"/>
  <c r="E52" i="39"/>
  <c r="T143" i="52"/>
  <c r="T155" i="52" s="1"/>
  <c r="N53" i="39"/>
  <c r="N57" i="39"/>
  <c r="E24" i="39"/>
  <c r="E66" i="39" s="1"/>
  <c r="N52" i="39"/>
  <c r="N63" i="39"/>
  <c r="E54" i="39"/>
  <c r="E61" i="39"/>
  <c r="N83" i="39"/>
  <c r="N78" i="39"/>
  <c r="N72" i="39"/>
  <c r="N64" i="39"/>
  <c r="E78" i="39"/>
  <c r="N79" i="39"/>
  <c r="N62" i="39"/>
  <c r="E57" i="39"/>
  <c r="N54" i="39"/>
  <c r="N80" i="39"/>
  <c r="N68" i="39"/>
  <c r="J96" i="16"/>
  <c r="J98" i="16" s="1"/>
  <c r="W134" i="52"/>
  <c r="T155" i="16"/>
  <c r="T162" i="16" s="1"/>
  <c r="S26" i="41"/>
  <c r="S77" i="41" s="1"/>
  <c r="S103" i="41" s="1"/>
  <c r="K34" i="52"/>
  <c r="O202" i="52"/>
  <c r="O224" i="52" s="1"/>
  <c r="K114" i="52"/>
  <c r="I201" i="38"/>
  <c r="Z6" i="3"/>
  <c r="L182" i="52"/>
  <c r="F8" i="14"/>
  <c r="V60" i="16"/>
  <c r="Y226" i="3"/>
  <c r="Y220" i="3"/>
  <c r="Y248" i="3"/>
  <c r="Y223" i="3"/>
  <c r="Y235" i="3"/>
  <c r="Y5" i="3"/>
  <c r="Y222" i="3"/>
  <c r="Y218" i="3"/>
  <c r="Y251" i="3"/>
  <c r="Y221" i="3"/>
  <c r="Y240" i="3"/>
  <c r="Y244" i="3"/>
  <c r="I20" i="14" s="1"/>
  <c r="Y228" i="3"/>
  <c r="Y243" i="3"/>
  <c r="Y239" i="3"/>
  <c r="Y233" i="3"/>
  <c r="Y190" i="3" s="1"/>
  <c r="K115" i="52"/>
  <c r="Y246" i="3"/>
  <c r="I19" i="14" s="1"/>
  <c r="Y229" i="3"/>
  <c r="Y238" i="3"/>
  <c r="Y230" i="3"/>
  <c r="Y247" i="3"/>
  <c r="Y225" i="3"/>
  <c r="Y237" i="3"/>
  <c r="Y224" i="3"/>
  <c r="Y227" i="3"/>
  <c r="Y217" i="3"/>
  <c r="Y236" i="3"/>
  <c r="N189" i="52"/>
  <c r="N204" i="52" s="1"/>
  <c r="N226" i="52" s="1"/>
  <c r="N187" i="52"/>
  <c r="N192" i="52" s="1"/>
  <c r="S43" i="14"/>
  <c r="M50" i="13" s="1"/>
  <c r="J321" i="39"/>
  <c r="J323" i="39" s="1"/>
  <c r="Q321" i="39"/>
  <c r="Q322" i="39" s="1"/>
  <c r="Q188" i="52"/>
  <c r="Q203" i="52" s="1"/>
  <c r="Q225" i="52" s="1"/>
  <c r="W243" i="39"/>
  <c r="V243" i="39"/>
  <c r="P321" i="39"/>
  <c r="P322" i="39" s="1"/>
  <c r="P58" i="39"/>
  <c r="G60" i="39"/>
  <c r="T44" i="37"/>
  <c r="N51" i="36" s="1"/>
  <c r="G61" i="39"/>
  <c r="G59" i="39"/>
  <c r="G24" i="39"/>
  <c r="G28" i="39" s="1"/>
  <c r="P75" i="39"/>
  <c r="G52" i="39"/>
  <c r="G55" i="39"/>
  <c r="G54" i="39"/>
  <c r="P63" i="39"/>
  <c r="G57" i="39"/>
  <c r="G63" i="39"/>
  <c r="P61" i="39"/>
  <c r="P54" i="39"/>
  <c r="G72" i="39"/>
  <c r="P69" i="39"/>
  <c r="G58" i="39"/>
  <c r="G65" i="39"/>
  <c r="G62" i="39"/>
  <c r="G53" i="39"/>
  <c r="G78" i="39"/>
  <c r="G69" i="39"/>
  <c r="N321" i="39"/>
  <c r="N322" i="39" s="1"/>
  <c r="G83" i="39"/>
  <c r="G68" i="39"/>
  <c r="F79" i="39"/>
  <c r="F62" i="39"/>
  <c r="G188" i="52"/>
  <c r="G203" i="52" s="1"/>
  <c r="G225" i="52" s="1"/>
  <c r="F65" i="39"/>
  <c r="K100" i="52"/>
  <c r="L100" i="52"/>
  <c r="P105" i="52"/>
  <c r="O100" i="52"/>
  <c r="P182" i="52"/>
  <c r="R233" i="16"/>
  <c r="R24" i="16" s="1"/>
  <c r="R24" i="3" s="1"/>
  <c r="V82" i="38"/>
  <c r="F24" i="39"/>
  <c r="F28" i="39" s="1"/>
  <c r="Y5" i="30"/>
  <c r="P100" i="52"/>
  <c r="G25" i="30"/>
  <c r="P62" i="39"/>
  <c r="Q243" i="39"/>
  <c r="P53" i="39"/>
  <c r="M25" i="30"/>
  <c r="T36" i="28"/>
  <c r="N43" i="27" s="1"/>
  <c r="O182" i="52"/>
  <c r="P80" i="39"/>
  <c r="Q83" i="39"/>
  <c r="P65" i="39"/>
  <c r="P64" i="39"/>
  <c r="P60" i="39"/>
  <c r="V57" i="30"/>
  <c r="M57" i="30"/>
  <c r="J90" i="16"/>
  <c r="P57" i="39"/>
  <c r="P55" i="39"/>
  <c r="P68" i="39"/>
  <c r="W188" i="52"/>
  <c r="W203" i="52" s="1"/>
  <c r="W225" i="52" s="1"/>
  <c r="O113" i="52"/>
  <c r="M34" i="52"/>
  <c r="F78" i="39"/>
  <c r="P24" i="39"/>
  <c r="P59" i="39"/>
  <c r="P120" i="52"/>
  <c r="M184" i="16"/>
  <c r="L115" i="52"/>
  <c r="Q184" i="16"/>
  <c r="T38" i="14"/>
  <c r="N45" i="13" s="1"/>
  <c r="O105" i="52"/>
  <c r="P219" i="16"/>
  <c r="L184" i="16"/>
  <c r="N90" i="16"/>
  <c r="N96" i="16"/>
  <c r="N97" i="16" s="1"/>
  <c r="P60" i="16"/>
  <c r="P28" i="16"/>
  <c r="S36" i="14"/>
  <c r="M43" i="13" s="1"/>
  <c r="J184" i="16"/>
  <c r="S44" i="14"/>
  <c r="M51" i="13" s="1"/>
  <c r="S38" i="14"/>
  <c r="M45" i="13" s="1"/>
  <c r="P184" i="16"/>
  <c r="O184" i="16"/>
  <c r="K184" i="16"/>
  <c r="I184" i="16"/>
  <c r="S84" i="16"/>
  <c r="S103" i="16" s="1"/>
  <c r="T84" i="16"/>
  <c r="T102" i="16" s="1"/>
  <c r="T60" i="52" s="1"/>
  <c r="P115" i="52"/>
  <c r="T158" i="16"/>
  <c r="T165" i="16" s="1"/>
  <c r="L222" i="16"/>
  <c r="L219" i="16"/>
  <c r="K215" i="16"/>
  <c r="K221" i="16" s="1"/>
  <c r="M96" i="16"/>
  <c r="M98" i="16" s="1"/>
  <c r="M90" i="16"/>
  <c r="I215" i="16"/>
  <c r="I221" i="16" s="1"/>
  <c r="F235" i="16"/>
  <c r="K236" i="16"/>
  <c r="K216" i="52"/>
  <c r="K221" i="52" s="1"/>
  <c r="F60" i="16"/>
  <c r="I60" i="16"/>
  <c r="S152" i="52"/>
  <c r="M28" i="16"/>
  <c r="Q11" i="14" s="1"/>
  <c r="K182" i="52"/>
  <c r="N100" i="52"/>
  <c r="H60" i="16"/>
  <c r="K96" i="16"/>
  <c r="K97" i="16" s="1"/>
  <c r="L90" i="16"/>
  <c r="K28" i="16"/>
  <c r="O11" i="14" s="1"/>
  <c r="K60" i="16"/>
  <c r="L96" i="16"/>
  <c r="L98" i="16" s="1"/>
  <c r="P79" i="39"/>
  <c r="V253" i="38"/>
  <c r="V255" i="38" s="1"/>
  <c r="W254" i="38" s="1"/>
  <c r="W255" i="3"/>
  <c r="W4" i="3" s="1"/>
  <c r="N60" i="16"/>
  <c r="O28" i="16"/>
  <c r="V89" i="3"/>
  <c r="V96" i="3" s="1"/>
  <c r="O60" i="16"/>
  <c r="P78" i="39"/>
  <c r="N28" i="16"/>
  <c r="R11" i="14" s="1"/>
  <c r="M114" i="52"/>
  <c r="M119" i="52"/>
  <c r="Q34" i="52"/>
  <c r="X249" i="29"/>
  <c r="F249" i="29"/>
  <c r="F250" i="29" s="1"/>
  <c r="F252" i="29" s="1"/>
  <c r="F4" i="29" s="1"/>
  <c r="I34" i="52"/>
  <c r="F82" i="38"/>
  <c r="F97" i="38"/>
  <c r="F108" i="38" s="1"/>
  <c r="Q46" i="38"/>
  <c r="S152" i="38"/>
  <c r="T152" i="38" s="1"/>
  <c r="V203" i="16"/>
  <c r="O149" i="39"/>
  <c r="O150" i="39" s="1"/>
  <c r="K320" i="39"/>
  <c r="K321" i="39"/>
  <c r="H54" i="29"/>
  <c r="R98" i="39"/>
  <c r="R12" i="39" s="1"/>
  <c r="R13" i="39" s="1"/>
  <c r="U7" i="37" s="1"/>
  <c r="M236" i="16"/>
  <c r="F83" i="39"/>
  <c r="F52" i="39"/>
  <c r="F72" i="39"/>
  <c r="Z6" i="30"/>
  <c r="AA6" i="30" s="1"/>
  <c r="J25" i="30"/>
  <c r="J61" i="30" s="1"/>
  <c r="F69" i="39"/>
  <c r="I90" i="16"/>
  <c r="S93" i="30"/>
  <c r="F60" i="39"/>
  <c r="Y213" i="30"/>
  <c r="J46" i="38"/>
  <c r="O321" i="39"/>
  <c r="O323" i="39" s="1"/>
  <c r="R22" i="52"/>
  <c r="P149" i="39"/>
  <c r="P143" i="39"/>
  <c r="P148" i="39"/>
  <c r="F68" i="39"/>
  <c r="F75" i="39"/>
  <c r="Y214" i="30"/>
  <c r="X203" i="16"/>
  <c r="T13" i="14"/>
  <c r="T44" i="14" s="1"/>
  <c r="N51" i="13" s="1"/>
  <c r="L148" i="39"/>
  <c r="L150" i="39" s="1"/>
  <c r="L143" i="39"/>
  <c r="F58" i="39"/>
  <c r="F55" i="39"/>
  <c r="Y129" i="30"/>
  <c r="P13" i="14"/>
  <c r="S45" i="14" s="1"/>
  <c r="M52" i="13" s="1"/>
  <c r="J28" i="16"/>
  <c r="Q37" i="29"/>
  <c r="Q208" i="29"/>
  <c r="F59" i="39"/>
  <c r="I119" i="52"/>
  <c r="I114" i="52"/>
  <c r="Q119" i="52"/>
  <c r="Q114" i="52"/>
  <c r="O118" i="52"/>
  <c r="I216" i="52"/>
  <c r="I221" i="52" s="1"/>
  <c r="K119" i="52"/>
  <c r="N243" i="39"/>
  <c r="F257" i="39"/>
  <c r="V259" i="38"/>
  <c r="V264" i="38" s="1"/>
  <c r="V269" i="38" s="1"/>
  <c r="V110" i="38"/>
  <c r="V112" i="38" s="1"/>
  <c r="F13" i="37" s="1"/>
  <c r="O188" i="52"/>
  <c r="O203" i="52" s="1"/>
  <c r="O257" i="39"/>
  <c r="G257" i="39"/>
  <c r="O268" i="39"/>
  <c r="F243" i="39"/>
  <c r="K54" i="39"/>
  <c r="H243" i="39"/>
  <c r="K268" i="39"/>
  <c r="Q108" i="38"/>
  <c r="E243" i="39"/>
  <c r="I243" i="39"/>
  <c r="N45" i="38"/>
  <c r="N46" i="38"/>
  <c r="N82" i="38"/>
  <c r="N97" i="38"/>
  <c r="N108" i="38" s="1"/>
  <c r="P201" i="38"/>
  <c r="P119" i="52"/>
  <c r="M201" i="38"/>
  <c r="I52" i="39"/>
  <c r="W43" i="38"/>
  <c r="W71" i="38"/>
  <c r="Q80" i="39"/>
  <c r="Q246" i="16"/>
  <c r="I96" i="16"/>
  <c r="I98" i="16" s="1"/>
  <c r="O216" i="52"/>
  <c r="O221" i="52" s="1"/>
  <c r="J60" i="16"/>
  <c r="N8" i="14"/>
  <c r="Q78" i="52"/>
  <c r="Q73" i="52"/>
  <c r="R152" i="52"/>
  <c r="R157" i="52"/>
  <c r="R78" i="52"/>
  <c r="R73" i="52"/>
  <c r="T43" i="28"/>
  <c r="N50" i="27" s="1"/>
  <c r="T38" i="28"/>
  <c r="N45" i="27" s="1"/>
  <c r="P253" i="30"/>
  <c r="I202" i="52"/>
  <c r="I224" i="52" s="1"/>
  <c r="I105" i="30"/>
  <c r="I107" i="30" s="1"/>
  <c r="I99" i="30"/>
  <c r="T39" i="28"/>
  <c r="N46" i="27" s="1"/>
  <c r="J118" i="52"/>
  <c r="J105" i="30"/>
  <c r="J106" i="30" s="1"/>
  <c r="J99" i="30"/>
  <c r="P57" i="30"/>
  <c r="U43" i="28"/>
  <c r="O50" i="27" s="1"/>
  <c r="F8" i="28"/>
  <c r="U37" i="28"/>
  <c r="O44" i="27" s="1"/>
  <c r="G8" i="28"/>
  <c r="G38" i="28" s="1"/>
  <c r="E45" i="27" s="1"/>
  <c r="W25" i="30"/>
  <c r="G39" i="28"/>
  <c r="E46" i="27" s="1"/>
  <c r="G43" i="28"/>
  <c r="E50" i="27" s="1"/>
  <c r="G44" i="28"/>
  <c r="E51" i="27" s="1"/>
  <c r="G36" i="28"/>
  <c r="J103" i="52"/>
  <c r="O103" i="52"/>
  <c r="R16" i="52"/>
  <c r="R143" i="52"/>
  <c r="R155" i="52" s="1"/>
  <c r="T16" i="52"/>
  <c r="P25" i="30"/>
  <c r="O25" i="30"/>
  <c r="O57" i="30"/>
  <c r="O275" i="30"/>
  <c r="S267" i="30"/>
  <c r="S231" i="30"/>
  <c r="S237" i="30" s="1"/>
  <c r="Q164" i="30"/>
  <c r="Q178" i="30"/>
  <c r="Q197" i="30"/>
  <c r="S197" i="30" s="1"/>
  <c r="Q198" i="30"/>
  <c r="S198" i="30" s="1"/>
  <c r="T198" i="30" s="1"/>
  <c r="T194" i="30" s="1"/>
  <c r="Q25" i="30"/>
  <c r="Q57" i="30"/>
  <c r="U8" i="28"/>
  <c r="U38" i="28" s="1"/>
  <c r="O45" i="27" s="1"/>
  <c r="X218" i="30"/>
  <c r="U39" i="28"/>
  <c r="O46" i="27" s="1"/>
  <c r="Q111" i="30"/>
  <c r="Q48" i="52" s="1"/>
  <c r="S71" i="52"/>
  <c r="R111" i="30"/>
  <c r="R112" i="30"/>
  <c r="R47" i="52" s="1"/>
  <c r="R10" i="30"/>
  <c r="R10" i="29"/>
  <c r="R178" i="30"/>
  <c r="R113" i="30"/>
  <c r="R164" i="30"/>
  <c r="T96" i="30"/>
  <c r="T102" i="30" s="1"/>
  <c r="R23" i="29"/>
  <c r="Q264" i="30"/>
  <c r="J57" i="30"/>
  <c r="G253" i="30"/>
  <c r="O253" i="30"/>
  <c r="O236" i="30"/>
  <c r="O192" i="52"/>
  <c r="O197" i="52"/>
  <c r="F57" i="30"/>
  <c r="I232" i="30"/>
  <c r="S38" i="28"/>
  <c r="M45" i="27" s="1"/>
  <c r="P204" i="52"/>
  <c r="P226" i="52" s="1"/>
  <c r="N236" i="16"/>
  <c r="N219" i="16"/>
  <c r="N215" i="16"/>
  <c r="P236" i="16"/>
  <c r="K226" i="52"/>
  <c r="O236" i="16"/>
  <c r="G60" i="16"/>
  <c r="K90" i="16"/>
  <c r="O143" i="39"/>
  <c r="M127" i="52"/>
  <c r="M213" i="16"/>
  <c r="M219" i="16" s="1"/>
  <c r="X231" i="3"/>
  <c r="X59" i="3" s="1"/>
  <c r="P257" i="39"/>
  <c r="P188" i="52"/>
  <c r="J232" i="30"/>
  <c r="J238" i="30" s="1"/>
  <c r="J189" i="52"/>
  <c r="J236" i="16"/>
  <c r="M172" i="52"/>
  <c r="M177" i="52"/>
  <c r="M167" i="52"/>
  <c r="T152" i="52"/>
  <c r="T157" i="52"/>
  <c r="E175" i="52"/>
  <c r="M170" i="52"/>
  <c r="I165" i="52"/>
  <c r="M165" i="52"/>
  <c r="I170" i="52"/>
  <c r="N25" i="30"/>
  <c r="T78" i="52"/>
  <c r="T73" i="52"/>
  <c r="X60" i="3"/>
  <c r="X190" i="3"/>
  <c r="H17" i="14"/>
  <c r="U36" i="14"/>
  <c r="O43" i="13" s="1"/>
  <c r="U39" i="14"/>
  <c r="O46" i="13" s="1"/>
  <c r="F38" i="3"/>
  <c r="F89" i="3"/>
  <c r="F96" i="3" s="1"/>
  <c r="O251" i="16"/>
  <c r="O246" i="16"/>
  <c r="L76" i="3"/>
  <c r="L35" i="3"/>
  <c r="R76" i="52"/>
  <c r="R71" i="52"/>
  <c r="Q96" i="30"/>
  <c r="Q102" i="30" s="1"/>
  <c r="Q231" i="30"/>
  <c r="Q237" i="30" s="1"/>
  <c r="W127" i="52"/>
  <c r="W201" i="16"/>
  <c r="P95" i="16"/>
  <c r="P90" i="16"/>
  <c r="M13" i="39"/>
  <c r="P7" i="37" s="1"/>
  <c r="P36" i="37" s="1"/>
  <c r="R36" i="28"/>
  <c r="L43" i="27" s="1"/>
  <c r="R39" i="28"/>
  <c r="L46" i="27" s="1"/>
  <c r="K7" i="28"/>
  <c r="K36" i="28" s="1"/>
  <c r="I43" i="27" s="1"/>
  <c r="R96" i="30"/>
  <c r="R102" i="30" s="1"/>
  <c r="R231" i="30"/>
  <c r="R237" i="30" s="1"/>
  <c r="R43" i="28"/>
  <c r="L50" i="27" s="1"/>
  <c r="K46" i="28"/>
  <c r="I53" i="27" s="1"/>
  <c r="J120" i="52"/>
  <c r="N57" i="30"/>
  <c r="W236" i="16"/>
  <c r="W253" i="30"/>
  <c r="U43" i="14"/>
  <c r="O50" i="13" s="1"/>
  <c r="S36" i="28"/>
  <c r="S44" i="28"/>
  <c r="M51" i="27" s="1"/>
  <c r="X234" i="3"/>
  <c r="X241" i="3" s="1"/>
  <c r="V134" i="52"/>
  <c r="V135" i="52"/>
  <c r="N38" i="3"/>
  <c r="N89" i="3"/>
  <c r="N96" i="3" s="1"/>
  <c r="F27" i="28"/>
  <c r="J177" i="52"/>
  <c r="J172" i="52"/>
  <c r="J167" i="52"/>
  <c r="O90" i="16"/>
  <c r="O95" i="16"/>
  <c r="O96" i="16"/>
  <c r="K99" i="30"/>
  <c r="M232" i="30"/>
  <c r="M238" i="30" s="1"/>
  <c r="N148" i="39"/>
  <c r="N143" i="39"/>
  <c r="N149" i="39"/>
  <c r="M216" i="52"/>
  <c r="M221" i="52" s="1"/>
  <c r="P96" i="16"/>
  <c r="H201" i="38"/>
  <c r="N201" i="38"/>
  <c r="L232" i="30"/>
  <c r="L238" i="30" s="1"/>
  <c r="G36" i="14"/>
  <c r="E43" i="13" s="1"/>
  <c r="G39" i="14"/>
  <c r="E46" i="13" s="1"/>
  <c r="G43" i="14"/>
  <c r="E50" i="13" s="1"/>
  <c r="G44" i="14"/>
  <c r="E51" i="13" s="1"/>
  <c r="I35" i="3"/>
  <c r="I76" i="3"/>
  <c r="O226" i="52"/>
  <c r="O120" i="52"/>
  <c r="O115" i="52"/>
  <c r="O103" i="30"/>
  <c r="O99" i="30"/>
  <c r="O105" i="30"/>
  <c r="H257" i="39"/>
  <c r="H188" i="52"/>
  <c r="S43" i="28"/>
  <c r="M50" i="27" s="1"/>
  <c r="K120" i="52"/>
  <c r="J213" i="16"/>
  <c r="J215" i="16" s="1"/>
  <c r="J221" i="16" s="1"/>
  <c r="J127" i="52"/>
  <c r="I153" i="29"/>
  <c r="I3" i="29" s="1"/>
  <c r="R39" i="14"/>
  <c r="L46" i="13" s="1"/>
  <c r="R43" i="14"/>
  <c r="L50" i="13" s="1"/>
  <c r="R44" i="14"/>
  <c r="L51" i="13" s="1"/>
  <c r="R36" i="14"/>
  <c r="L43" i="13" s="1"/>
  <c r="K7" i="14"/>
  <c r="M60" i="16"/>
  <c r="R38" i="14"/>
  <c r="L45" i="13" s="1"/>
  <c r="K105" i="30"/>
  <c r="K106" i="30" s="1"/>
  <c r="W202" i="16"/>
  <c r="O222" i="16"/>
  <c r="P222" i="16"/>
  <c r="F253" i="30"/>
  <c r="K24" i="28"/>
  <c r="K55" i="28" s="1"/>
  <c r="I62" i="27" s="1"/>
  <c r="U55" i="28"/>
  <c r="O62" i="27" s="1"/>
  <c r="X245" i="3"/>
  <c r="X249" i="3" s="1"/>
  <c r="H19" i="14"/>
  <c r="Q71" i="52"/>
  <c r="Q76" i="52"/>
  <c r="O114" i="52"/>
  <c r="O119" i="52"/>
  <c r="T217" i="39"/>
  <c r="T224" i="39" s="1"/>
  <c r="F80" i="39"/>
  <c r="F53" i="39"/>
  <c r="F64" i="39"/>
  <c r="F61" i="39"/>
  <c r="F57" i="39"/>
  <c r="R44" i="28"/>
  <c r="L51" i="27" s="1"/>
  <c r="Q143" i="52"/>
  <c r="I236" i="16"/>
  <c r="P103" i="3"/>
  <c r="P112" i="3" s="1"/>
  <c r="P41" i="3"/>
  <c r="P40" i="3"/>
  <c r="P48" i="3"/>
  <c r="P57" i="3" s="1"/>
  <c r="F54" i="39"/>
  <c r="P243" i="39"/>
  <c r="R196" i="3"/>
  <c r="R127" i="3" s="1"/>
  <c r="O54" i="39"/>
  <c r="H41" i="3"/>
  <c r="H48" i="3"/>
  <c r="H57" i="3" s="1"/>
  <c r="H42" i="16" s="1"/>
  <c r="H40" i="3"/>
  <c r="H103" i="3"/>
  <c r="H112" i="3" s="1"/>
  <c r="H35" i="29"/>
  <c r="H61" i="29" s="1"/>
  <c r="H59" i="29"/>
  <c r="E53" i="30"/>
  <c r="E21" i="30"/>
  <c r="Y5" i="38"/>
  <c r="Z6" i="38"/>
  <c r="Q113" i="30"/>
  <c r="L264" i="30"/>
  <c r="H28" i="39"/>
  <c r="H66" i="39"/>
  <c r="N103" i="30"/>
  <c r="N105" i="30"/>
  <c r="N99" i="30"/>
  <c r="V189" i="52"/>
  <c r="V236" i="16"/>
  <c r="R257" i="30"/>
  <c r="F264" i="30"/>
  <c r="Q110" i="30"/>
  <c r="L187" i="52"/>
  <c r="L253" i="30"/>
  <c r="V31" i="16"/>
  <c r="V64" i="16"/>
  <c r="F11" i="14"/>
  <c r="E28" i="16"/>
  <c r="E60" i="16"/>
  <c r="I150" i="16"/>
  <c r="M150" i="16"/>
  <c r="Z5" i="52"/>
  <c r="AA6" i="52"/>
  <c r="Z130" i="52"/>
  <c r="Z129" i="52"/>
  <c r="Z147" i="52"/>
  <c r="P64" i="29"/>
  <c r="P38" i="29"/>
  <c r="P37" i="29"/>
  <c r="I64" i="29"/>
  <c r="I37" i="29"/>
  <c r="I38" i="29"/>
  <c r="G82" i="38"/>
  <c r="G97" i="38"/>
  <c r="G108" i="38" s="1"/>
  <c r="I118" i="52"/>
  <c r="I113" i="52"/>
  <c r="I6" i="52"/>
  <c r="H147" i="52"/>
  <c r="H5" i="52"/>
  <c r="H130" i="52"/>
  <c r="H129" i="52"/>
  <c r="K55" i="39"/>
  <c r="K64" i="39"/>
  <c r="K75" i="39"/>
  <c r="K24" i="39"/>
  <c r="N8" i="37" s="1"/>
  <c r="K58" i="39"/>
  <c r="K78" i="39"/>
  <c r="K59" i="39"/>
  <c r="K68" i="39"/>
  <c r="K79" i="39"/>
  <c r="K60" i="39"/>
  <c r="K69" i="39"/>
  <c r="K63" i="39"/>
  <c r="K62" i="39"/>
  <c r="K61" i="39"/>
  <c r="K72" i="39"/>
  <c r="O36" i="37"/>
  <c r="K80" i="39"/>
  <c r="K53" i="39"/>
  <c r="K83" i="39"/>
  <c r="K65" i="39"/>
  <c r="F141" i="16"/>
  <c r="F124" i="16"/>
  <c r="G254" i="38"/>
  <c r="G255" i="38" s="1"/>
  <c r="F257" i="38"/>
  <c r="F4" i="38" s="1"/>
  <c r="H218" i="30"/>
  <c r="H217" i="30"/>
  <c r="S17" i="38"/>
  <c r="T10" i="30"/>
  <c r="T10" i="29"/>
  <c r="T178" i="30"/>
  <c r="T164" i="30"/>
  <c r="T202" i="30" s="1"/>
  <c r="T113" i="30"/>
  <c r="T112" i="30"/>
  <c r="F203" i="52"/>
  <c r="F225" i="52" s="1"/>
  <c r="F215" i="52"/>
  <c r="F220" i="52" s="1"/>
  <c r="L38" i="29"/>
  <c r="L64" i="29"/>
  <c r="L37" i="29"/>
  <c r="I25" i="30"/>
  <c r="I57" i="30"/>
  <c r="E252" i="30"/>
  <c r="E187" i="52" s="1"/>
  <c r="E257" i="30"/>
  <c r="M268" i="30" s="1"/>
  <c r="P83" i="39"/>
  <c r="J257" i="39"/>
  <c r="J188" i="52"/>
  <c r="H53" i="30"/>
  <c r="H21" i="30"/>
  <c r="Y5" i="16"/>
  <c r="Z6" i="16"/>
  <c r="Y113" i="16"/>
  <c r="Y198" i="16"/>
  <c r="Y199" i="16"/>
  <c r="Y137" i="16"/>
  <c r="Z6" i="41"/>
  <c r="Y5" i="41"/>
  <c r="F202" i="52"/>
  <c r="F224" i="52" s="1"/>
  <c r="F214" i="52"/>
  <c r="F219" i="52" s="1"/>
  <c r="Y5" i="4"/>
  <c r="Z6" i="4"/>
  <c r="K53" i="30"/>
  <c r="K21" i="30"/>
  <c r="O8" i="28" s="1"/>
  <c r="P153" i="29"/>
  <c r="P3" i="29" s="1"/>
  <c r="K27" i="28"/>
  <c r="X227" i="29"/>
  <c r="X237" i="29" s="1"/>
  <c r="X100" i="29"/>
  <c r="H17" i="28"/>
  <c r="X216" i="29"/>
  <c r="X224" i="29" s="1"/>
  <c r="X99" i="29" s="1"/>
  <c r="M257" i="39"/>
  <c r="M188" i="52"/>
  <c r="H246" i="16"/>
  <c r="P257" i="16" s="1"/>
  <c r="L249" i="16"/>
  <c r="P249" i="16"/>
  <c r="E141" i="16"/>
  <c r="Q148" i="16" s="1"/>
  <c r="E124" i="16"/>
  <c r="K237" i="30"/>
  <c r="K233" i="30"/>
  <c r="K232" i="30" s="1"/>
  <c r="G160" i="52"/>
  <c r="O237" i="30"/>
  <c r="O233" i="30"/>
  <c r="O232" i="30" s="1"/>
  <c r="G45" i="38"/>
  <c r="G46" i="38"/>
  <c r="N264" i="30"/>
  <c r="N268" i="30"/>
  <c r="J6" i="29"/>
  <c r="I5" i="29"/>
  <c r="Q6" i="32"/>
  <c r="M5" i="32"/>
  <c r="N5" i="32"/>
  <c r="O5" i="32"/>
  <c r="P5" i="32"/>
  <c r="K52" i="39"/>
  <c r="N253" i="30"/>
  <c r="R190" i="29"/>
  <c r="R38" i="28"/>
  <c r="L45" i="27" s="1"/>
  <c r="V28" i="39"/>
  <c r="V66" i="39"/>
  <c r="F8" i="37"/>
  <c r="S27" i="38"/>
  <c r="I24" i="39"/>
  <c r="I58" i="39"/>
  <c r="I59" i="39"/>
  <c r="I79" i="39"/>
  <c r="I60" i="39"/>
  <c r="I61" i="39"/>
  <c r="I55" i="39"/>
  <c r="I64" i="39"/>
  <c r="I63" i="39"/>
  <c r="I75" i="39"/>
  <c r="I57" i="39"/>
  <c r="I83" i="39"/>
  <c r="I72" i="39"/>
  <c r="I54" i="39"/>
  <c r="I65" i="39"/>
  <c r="I69" i="39"/>
  <c r="I68" i="39"/>
  <c r="I62" i="39"/>
  <c r="I53" i="39"/>
  <c r="I78" i="39"/>
  <c r="E35" i="3"/>
  <c r="M264" i="30"/>
  <c r="F61" i="30"/>
  <c r="F28" i="30"/>
  <c r="I5" i="3"/>
  <c r="J6" i="3"/>
  <c r="T111" i="30"/>
  <c r="J243" i="39"/>
  <c r="V224" i="52"/>
  <c r="G48" i="3"/>
  <c r="G57" i="3" s="1"/>
  <c r="G42" i="16" s="1"/>
  <c r="G40" i="3"/>
  <c r="G41" i="3"/>
  <c r="G103" i="3"/>
  <c r="G112" i="3" s="1"/>
  <c r="L119" i="52"/>
  <c r="L114" i="52"/>
  <c r="M113" i="52"/>
  <c r="N37" i="29"/>
  <c r="N38" i="29"/>
  <c r="N64" i="29"/>
  <c r="V28" i="30"/>
  <c r="V61" i="30"/>
  <c r="F11" i="28"/>
  <c r="M5" i="4"/>
  <c r="N5" i="4"/>
  <c r="O5" i="4"/>
  <c r="P5" i="4"/>
  <c r="Q6" i="4"/>
  <c r="O24" i="39"/>
  <c r="R8" i="37" s="1"/>
  <c r="O60" i="39"/>
  <c r="O69" i="39"/>
  <c r="O62" i="39"/>
  <c r="O72" i="39"/>
  <c r="O63" i="39"/>
  <c r="O55" i="39"/>
  <c r="O75" i="39"/>
  <c r="O59" i="39"/>
  <c r="O68" i="39"/>
  <c r="O58" i="39"/>
  <c r="O78" i="39"/>
  <c r="O64" i="39"/>
  <c r="O83" i="39"/>
  <c r="O79" i="39"/>
  <c r="O65" i="39"/>
  <c r="O53" i="39"/>
  <c r="O80" i="39"/>
  <c r="O61" i="39"/>
  <c r="E59" i="29"/>
  <c r="E35" i="29"/>
  <c r="E61" i="29" s="1"/>
  <c r="S220" i="29"/>
  <c r="T125" i="29"/>
  <c r="T220" i="29" s="1"/>
  <c r="K113" i="52"/>
  <c r="K118" i="52"/>
  <c r="T234" i="39"/>
  <c r="T19" i="39" s="1"/>
  <c r="V40" i="3"/>
  <c r="V41" i="3"/>
  <c r="V103" i="3"/>
  <c r="V112" i="3" s="1"/>
  <c r="V48" i="3"/>
  <c r="V57" i="3" s="1"/>
  <c r="V42" i="16" s="1"/>
  <c r="P202" i="52"/>
  <c r="P214" i="52"/>
  <c r="P219" i="52" s="1"/>
  <c r="S19" i="38"/>
  <c r="W268" i="30"/>
  <c r="W264" i="30"/>
  <c r="W275" i="30" s="1"/>
  <c r="W204" i="52"/>
  <c r="W226" i="52" s="1"/>
  <c r="W216" i="52"/>
  <c r="W221" i="52" s="1"/>
  <c r="J253" i="30"/>
  <c r="N115" i="52"/>
  <c r="N120" i="52"/>
  <c r="B7" i="61"/>
  <c r="A6" i="61"/>
  <c r="I45" i="38"/>
  <c r="I46" i="38"/>
  <c r="T194" i="3"/>
  <c r="T199" i="3" s="1"/>
  <c r="F37" i="29"/>
  <c r="F38" i="29"/>
  <c r="F64" i="29"/>
  <c r="L57" i="30"/>
  <c r="L25" i="30"/>
  <c r="M5" i="41"/>
  <c r="N5" i="41"/>
  <c r="O5" i="41"/>
  <c r="Q6" i="41"/>
  <c r="P5" i="41"/>
  <c r="I31" i="16"/>
  <c r="I64" i="16"/>
  <c r="E238" i="16"/>
  <c r="Q249" i="16" s="1"/>
  <c r="E235" i="16"/>
  <c r="V214" i="52"/>
  <c r="V219" i="52" s="1"/>
  <c r="K252" i="30"/>
  <c r="K187" i="52" s="1"/>
  <c r="K257" i="30"/>
  <c r="W24" i="39"/>
  <c r="W61" i="39"/>
  <c r="W62" i="39"/>
  <c r="W72" i="39"/>
  <c r="W55" i="39"/>
  <c r="W75" i="39"/>
  <c r="W69" i="39"/>
  <c r="W59" i="39"/>
  <c r="W58" i="39"/>
  <c r="W68" i="39"/>
  <c r="W79" i="39"/>
  <c r="W78" i="39"/>
  <c r="W52" i="39"/>
  <c r="G7" i="37"/>
  <c r="W57" i="39"/>
  <c r="W83" i="39"/>
  <c r="W65" i="39"/>
  <c r="W80" i="39"/>
  <c r="W63" i="39"/>
  <c r="W54" i="39"/>
  <c r="W64" i="39"/>
  <c r="W60" i="39"/>
  <c r="K40" i="3"/>
  <c r="K41" i="3"/>
  <c r="K48" i="3"/>
  <c r="K57" i="3" s="1"/>
  <c r="K103" i="3"/>
  <c r="K112" i="3" s="1"/>
  <c r="V37" i="29"/>
  <c r="V38" i="29"/>
  <c r="V64" i="29"/>
  <c r="G138" i="52"/>
  <c r="G140" i="52"/>
  <c r="V216" i="30"/>
  <c r="V217" i="30"/>
  <c r="V125" i="52"/>
  <c r="S17" i="29"/>
  <c r="S313" i="39"/>
  <c r="S319" i="39" s="1"/>
  <c r="S140" i="39"/>
  <c r="S146" i="39" s="1"/>
  <c r="O41" i="3"/>
  <c r="O48" i="3"/>
  <c r="O57" i="3" s="1"/>
  <c r="O40" i="3"/>
  <c r="O103" i="3"/>
  <c r="O112" i="3" s="1"/>
  <c r="L55" i="39"/>
  <c r="L64" i="39"/>
  <c r="L75" i="39"/>
  <c r="L24" i="39"/>
  <c r="O8" i="37" s="1"/>
  <c r="L78" i="39"/>
  <c r="L68" i="39"/>
  <c r="L79" i="39"/>
  <c r="L62" i="39"/>
  <c r="L72" i="39"/>
  <c r="L61" i="39"/>
  <c r="L53" i="39"/>
  <c r="L60" i="39"/>
  <c r="L69" i="39"/>
  <c r="L63" i="39"/>
  <c r="L59" i="39"/>
  <c r="L52" i="39"/>
  <c r="L83" i="39"/>
  <c r="L58" i="39"/>
  <c r="L80" i="39"/>
  <c r="Y213" i="29"/>
  <c r="Y215" i="29"/>
  <c r="Y228" i="29"/>
  <c r="Y229" i="29"/>
  <c r="Y230" i="29"/>
  <c r="Y231" i="29"/>
  <c r="Y232" i="29"/>
  <c r="Y233" i="29"/>
  <c r="Y234" i="29"/>
  <c r="Y235" i="29"/>
  <c r="Y236" i="29"/>
  <c r="Y240" i="29"/>
  <c r="I20" i="28" s="1"/>
  <c r="Y217" i="29"/>
  <c r="Y5" i="29"/>
  <c r="Y210" i="29"/>
  <c r="Y220" i="29"/>
  <c r="Z6" i="29"/>
  <c r="Y208" i="29"/>
  <c r="Y212" i="29"/>
  <c r="Y214" i="29"/>
  <c r="Y218" i="29"/>
  <c r="Y222" i="29"/>
  <c r="Y223" i="29"/>
  <c r="Y211" i="29"/>
  <c r="Y221" i="29"/>
  <c r="Y209" i="29"/>
  <c r="Y219" i="29"/>
  <c r="Y226" i="29"/>
  <c r="Y243" i="29"/>
  <c r="Y239" i="29"/>
  <c r="Y245" i="29"/>
  <c r="Y242" i="29"/>
  <c r="Y241" i="29"/>
  <c r="Y244" i="29"/>
  <c r="I19" i="28" s="1"/>
  <c r="I268" i="39"/>
  <c r="N257" i="39"/>
  <c r="N188" i="52"/>
  <c r="L28" i="16"/>
  <c r="L60" i="16"/>
  <c r="P264" i="30"/>
  <c r="J268" i="30"/>
  <c r="J264" i="30"/>
  <c r="M71" i="38"/>
  <c r="M43" i="38"/>
  <c r="L57" i="39"/>
  <c r="K59" i="29"/>
  <c r="K35" i="29"/>
  <c r="K61" i="29" s="1"/>
  <c r="K257" i="39"/>
  <c r="K188" i="52"/>
  <c r="K243" i="39"/>
  <c r="J197" i="52"/>
  <c r="J192" i="52"/>
  <c r="J202" i="52"/>
  <c r="J214" i="52"/>
  <c r="J219" i="52" s="1"/>
  <c r="Y5" i="32"/>
  <c r="Z6" i="32"/>
  <c r="J114" i="52"/>
  <c r="J119" i="52"/>
  <c r="S22" i="52"/>
  <c r="S98" i="39"/>
  <c r="I115" i="52"/>
  <c r="I226" i="52"/>
  <c r="I120" i="52"/>
  <c r="W202" i="52"/>
  <c r="W224" i="52" s="1"/>
  <c r="W214" i="52"/>
  <c r="W219" i="52" s="1"/>
  <c r="J37" i="29"/>
  <c r="J38" i="29"/>
  <c r="J64" i="29"/>
  <c r="E71" i="38"/>
  <c r="E43" i="38"/>
  <c r="M40" i="3"/>
  <c r="M48" i="3"/>
  <c r="M57" i="3" s="1"/>
  <c r="M103" i="3"/>
  <c r="M112" i="3" s="1"/>
  <c r="M41" i="3"/>
  <c r="H31" i="16"/>
  <c r="H64" i="16"/>
  <c r="W31" i="16"/>
  <c r="W64" i="16"/>
  <c r="G11" i="14"/>
  <c r="M104" i="30"/>
  <c r="M99" i="30"/>
  <c r="M105" i="30"/>
  <c r="S72" i="52"/>
  <c r="S77" i="52"/>
  <c r="Q112" i="30"/>
  <c r="I97" i="38"/>
  <c r="I108" i="38" s="1"/>
  <c r="I82" i="38"/>
  <c r="AK249" i="29"/>
  <c r="AJ250" i="29"/>
  <c r="AJ252" i="29" s="1"/>
  <c r="H5" i="38"/>
  <c r="I6" i="38"/>
  <c r="O249" i="16"/>
  <c r="G246" i="16"/>
  <c r="K257" i="16" s="1"/>
  <c r="K249" i="16"/>
  <c r="Q52" i="39"/>
  <c r="M37" i="29"/>
  <c r="M38" i="29"/>
  <c r="M64" i="29"/>
  <c r="H18" i="28"/>
  <c r="X43" i="29"/>
  <c r="V257" i="39"/>
  <c r="V188" i="52"/>
  <c r="W42" i="16"/>
  <c r="M236" i="30"/>
  <c r="F31" i="16"/>
  <c r="F64" i="16"/>
  <c r="G135" i="52"/>
  <c r="G133" i="52"/>
  <c r="W37" i="29"/>
  <c r="W38" i="29"/>
  <c r="W64" i="29"/>
  <c r="L105" i="30"/>
  <c r="L107" i="30" s="1"/>
  <c r="E252" i="3"/>
  <c r="E253" i="3" s="1"/>
  <c r="AG252" i="3"/>
  <c r="S195" i="3"/>
  <c r="I5" i="30"/>
  <c r="I213" i="30"/>
  <c r="I216" i="30" s="1"/>
  <c r="I129" i="30"/>
  <c r="I130" i="30" s="1"/>
  <c r="I214" i="30"/>
  <c r="J6" i="30"/>
  <c r="I155" i="30"/>
  <c r="I156" i="30" s="1"/>
  <c r="O52" i="39"/>
  <c r="H252" i="30"/>
  <c r="H187" i="52" s="1"/>
  <c r="H202" i="52" s="1"/>
  <c r="H257" i="30"/>
  <c r="L268" i="30" s="1"/>
  <c r="E54" i="29"/>
  <c r="T18" i="38"/>
  <c r="G31" i="16"/>
  <c r="G64" i="16"/>
  <c r="L253" i="39"/>
  <c r="L268" i="39" s="1"/>
  <c r="L242" i="39"/>
  <c r="S308" i="39"/>
  <c r="S144" i="52"/>
  <c r="S279" i="39"/>
  <c r="S283" i="39" s="1"/>
  <c r="P99" i="30"/>
  <c r="P105" i="30"/>
  <c r="P104" i="30"/>
  <c r="Q58" i="39"/>
  <c r="Q59" i="39"/>
  <c r="Q79" i="39"/>
  <c r="Q60" i="39"/>
  <c r="Q61" i="39"/>
  <c r="Q75" i="39"/>
  <c r="Q24" i="39"/>
  <c r="T8" i="37" s="1"/>
  <c r="Q55" i="39"/>
  <c r="Q63" i="39"/>
  <c r="Q64" i="39"/>
  <c r="Q65" i="39"/>
  <c r="Q72" i="39"/>
  <c r="Q69" i="39"/>
  <c r="Q68" i="39"/>
  <c r="Q62" i="39"/>
  <c r="Q54" i="39"/>
  <c r="Q53" i="39"/>
  <c r="Q78" i="39"/>
  <c r="Q57" i="39"/>
  <c r="I257" i="39"/>
  <c r="I188" i="52"/>
  <c r="F246" i="16"/>
  <c r="N257" i="16" s="1"/>
  <c r="N249" i="16"/>
  <c r="J249" i="16"/>
  <c r="N149" i="16"/>
  <c r="J149" i="16"/>
  <c r="R142" i="16"/>
  <c r="R81" i="16" s="1"/>
  <c r="L165" i="52"/>
  <c r="H175" i="52"/>
  <c r="P170" i="52"/>
  <c r="P165" i="52"/>
  <c r="L170" i="52"/>
  <c r="E257" i="39"/>
  <c r="Q272" i="39" s="1"/>
  <c r="E188" i="52"/>
  <c r="J66" i="39"/>
  <c r="J28" i="39"/>
  <c r="U38" i="14"/>
  <c r="O45" i="13" s="1"/>
  <c r="L54" i="39"/>
  <c r="V253" i="30"/>
  <c r="L99" i="30"/>
  <c r="I287" i="39" l="1"/>
  <c r="I290" i="39" s="1"/>
  <c r="I288" i="39"/>
  <c r="J6" i="39"/>
  <c r="H236" i="16"/>
  <c r="L323" i="39"/>
  <c r="S215" i="39"/>
  <c r="S222" i="39" s="1"/>
  <c r="S130" i="39"/>
  <c r="S154" i="39" s="1"/>
  <c r="S52" i="52" s="1"/>
  <c r="S118" i="29"/>
  <c r="S26" i="38"/>
  <c r="H292" i="39"/>
  <c r="M214" i="52"/>
  <c r="M219" i="52" s="1"/>
  <c r="M192" i="52"/>
  <c r="I322" i="39"/>
  <c r="T184" i="39"/>
  <c r="T141" i="39" s="1"/>
  <c r="T147" i="39" s="1"/>
  <c r="I253" i="30"/>
  <c r="I113" i="16"/>
  <c r="I114" i="16" s="1"/>
  <c r="T279" i="39"/>
  <c r="T283" i="39" s="1"/>
  <c r="T58" i="38" s="1"/>
  <c r="T78" i="38" s="1"/>
  <c r="T104" i="38" s="1"/>
  <c r="S198" i="39"/>
  <c r="M253" i="30"/>
  <c r="H291" i="39"/>
  <c r="W249" i="16"/>
  <c r="T215" i="39"/>
  <c r="T222" i="39" s="1"/>
  <c r="I199" i="16"/>
  <c r="I202" i="16" s="1"/>
  <c r="T144" i="52"/>
  <c r="T156" i="52" s="1"/>
  <c r="T130" i="39"/>
  <c r="T154" i="39" s="1"/>
  <c r="T52" i="52" s="1"/>
  <c r="R238" i="16"/>
  <c r="R249" i="16" s="1"/>
  <c r="O223" i="16"/>
  <c r="J151" i="39"/>
  <c r="T308" i="39"/>
  <c r="T77" i="52"/>
  <c r="N28" i="39"/>
  <c r="Q11" i="37" s="1"/>
  <c r="N66" i="39"/>
  <c r="K150" i="39"/>
  <c r="R319" i="39"/>
  <c r="R314" i="39"/>
  <c r="R320" i="39" s="1"/>
  <c r="P66" i="39"/>
  <c r="S8" i="37"/>
  <c r="S38" i="37" s="1"/>
  <c r="M45" i="36" s="1"/>
  <c r="E135" i="52"/>
  <c r="E133" i="52"/>
  <c r="E134" i="52"/>
  <c r="F216" i="30"/>
  <c r="F218" i="30"/>
  <c r="F290" i="39"/>
  <c r="F292" i="39"/>
  <c r="E201" i="16"/>
  <c r="E203" i="16"/>
  <c r="G216" i="30"/>
  <c r="G218" i="30"/>
  <c r="Q151" i="39"/>
  <c r="Z288" i="39"/>
  <c r="Z287" i="39"/>
  <c r="AA6" i="39"/>
  <c r="AA5" i="39" s="1"/>
  <c r="R58" i="38"/>
  <c r="S17" i="52"/>
  <c r="I198" i="16"/>
  <c r="I201" i="16" s="1"/>
  <c r="I5" i="16"/>
  <c r="J6" i="16"/>
  <c r="J199" i="16" s="1"/>
  <c r="R151" i="52"/>
  <c r="M269" i="16"/>
  <c r="Z214" i="30"/>
  <c r="P223" i="16"/>
  <c r="Z233" i="3"/>
  <c r="J17" i="14" s="1"/>
  <c r="T238" i="16"/>
  <c r="T249" i="16" s="1"/>
  <c r="I151" i="39"/>
  <c r="K199" i="52"/>
  <c r="O199" i="52"/>
  <c r="G236" i="16"/>
  <c r="Z247" i="3"/>
  <c r="Z240" i="3"/>
  <c r="Z235" i="3"/>
  <c r="Z230" i="3"/>
  <c r="Z227" i="3"/>
  <c r="H202" i="16"/>
  <c r="G216" i="52"/>
  <c r="G221" i="52" s="1"/>
  <c r="AA6" i="3"/>
  <c r="Z221" i="3"/>
  <c r="K194" i="52"/>
  <c r="I150" i="39"/>
  <c r="P323" i="39"/>
  <c r="Z223" i="3"/>
  <c r="O194" i="52"/>
  <c r="Z238" i="3"/>
  <c r="Z243" i="3"/>
  <c r="Z244" i="3"/>
  <c r="J20" i="14" s="1"/>
  <c r="T36" i="37"/>
  <c r="T37" i="37" s="1"/>
  <c r="N44" i="36" s="1"/>
  <c r="T39" i="37"/>
  <c r="N46" i="36" s="1"/>
  <c r="T43" i="37"/>
  <c r="N50" i="36" s="1"/>
  <c r="S11" i="3"/>
  <c r="S18" i="52"/>
  <c r="G249" i="29"/>
  <c r="G250" i="29" s="1"/>
  <c r="N239" i="30"/>
  <c r="N241" i="30" s="1"/>
  <c r="S167" i="29"/>
  <c r="R167" i="29"/>
  <c r="J322" i="39"/>
  <c r="Q171" i="30"/>
  <c r="Q98" i="30" s="1"/>
  <c r="Q99" i="30" s="1"/>
  <c r="Q202" i="30"/>
  <c r="Q203" i="30" s="1"/>
  <c r="R171" i="30"/>
  <c r="R98" i="30" s="1"/>
  <c r="R104" i="30" s="1"/>
  <c r="R202" i="30"/>
  <c r="R203" i="30" s="1"/>
  <c r="T203" i="30"/>
  <c r="N197" i="52"/>
  <c r="S150" i="52"/>
  <c r="Q215" i="52"/>
  <c r="Q220" i="52" s="1"/>
  <c r="E28" i="39"/>
  <c r="Z129" i="30"/>
  <c r="Z155" i="30"/>
  <c r="Z213" i="30"/>
  <c r="Z5" i="30"/>
  <c r="M323" i="39"/>
  <c r="R124" i="16"/>
  <c r="R131" i="16" s="1"/>
  <c r="R135" i="16" s="1"/>
  <c r="R128" i="16" s="1"/>
  <c r="R88" i="16" s="1"/>
  <c r="R94" i="16" s="1"/>
  <c r="S238" i="16"/>
  <c r="S249" i="16" s="1"/>
  <c r="S12" i="38"/>
  <c r="T17" i="52"/>
  <c r="O272" i="39"/>
  <c r="J97" i="16"/>
  <c r="T46" i="52"/>
  <c r="T171" i="30"/>
  <c r="T98" i="30" s="1"/>
  <c r="S111" i="30"/>
  <c r="S48" i="52" s="1"/>
  <c r="M150" i="39"/>
  <c r="T150" i="52"/>
  <c r="P239" i="30"/>
  <c r="P240" i="30" s="1"/>
  <c r="T12" i="38"/>
  <c r="T22" i="52"/>
  <c r="R130" i="39"/>
  <c r="R137" i="39" s="1"/>
  <c r="T98" i="39"/>
  <c r="T11" i="38" s="1"/>
  <c r="T313" i="39"/>
  <c r="T319" i="39" s="1"/>
  <c r="R141" i="39"/>
  <c r="R147" i="39" s="1"/>
  <c r="F66" i="39"/>
  <c r="Q323" i="39"/>
  <c r="R36" i="37"/>
  <c r="R37" i="37" s="1"/>
  <c r="L44" i="36" s="1"/>
  <c r="R39" i="37"/>
  <c r="L46" i="36" s="1"/>
  <c r="R43" i="37"/>
  <c r="L50" i="36" s="1"/>
  <c r="G215" i="52"/>
  <c r="G220" i="52" s="1"/>
  <c r="T180" i="16"/>
  <c r="T12" i="16" s="1"/>
  <c r="T12" i="3" s="1"/>
  <c r="Z224" i="3"/>
  <c r="Z229" i="3"/>
  <c r="Z225" i="3"/>
  <c r="Z237" i="3"/>
  <c r="Z248" i="3"/>
  <c r="Z217" i="3"/>
  <c r="Z236" i="3"/>
  <c r="Z226" i="3"/>
  <c r="O207" i="52"/>
  <c r="Z220" i="3"/>
  <c r="Z246" i="3"/>
  <c r="J19" i="14" s="1"/>
  <c r="Z219" i="3"/>
  <c r="Z5" i="3"/>
  <c r="Z228" i="3"/>
  <c r="Z218" i="3"/>
  <c r="Z251" i="3"/>
  <c r="P28" i="39"/>
  <c r="S11" i="37" s="1"/>
  <c r="Z222" i="3"/>
  <c r="Z239" i="3"/>
  <c r="S113" i="30"/>
  <c r="Y245" i="3"/>
  <c r="Y249" i="3" s="1"/>
  <c r="T38" i="37"/>
  <c r="N45" i="36" s="1"/>
  <c r="T26" i="41"/>
  <c r="T77" i="41" s="1"/>
  <c r="T103" i="41" s="1"/>
  <c r="M31" i="16"/>
  <c r="Q10" i="14" s="1"/>
  <c r="T37" i="28"/>
  <c r="N44" i="27" s="1"/>
  <c r="S37" i="14"/>
  <c r="M44" i="13" s="1"/>
  <c r="I17" i="14"/>
  <c r="Y60" i="3"/>
  <c r="Y234" i="3"/>
  <c r="Y241" i="3" s="1"/>
  <c r="N216" i="52"/>
  <c r="N221" i="52" s="1"/>
  <c r="Y231" i="3"/>
  <c r="Y59" i="3" s="1"/>
  <c r="M61" i="30"/>
  <c r="M28" i="30"/>
  <c r="Q10" i="28" s="1"/>
  <c r="Q11" i="28"/>
  <c r="R45" i="14"/>
  <c r="L52" i="13" s="1"/>
  <c r="P31" i="16"/>
  <c r="T10" i="14" s="1"/>
  <c r="T40" i="14" s="1"/>
  <c r="N47" i="13" s="1"/>
  <c r="N214" i="52"/>
  <c r="N219" i="52" s="1"/>
  <c r="N202" i="52"/>
  <c r="N207" i="52" s="1"/>
  <c r="L224" i="16"/>
  <c r="G66" i="39"/>
  <c r="N323" i="39"/>
  <c r="O198" i="52"/>
  <c r="K42" i="16"/>
  <c r="P64" i="16"/>
  <c r="O42" i="16"/>
  <c r="P42" i="16"/>
  <c r="I106" i="30"/>
  <c r="W215" i="52"/>
  <c r="W220" i="52" s="1"/>
  <c r="S110" i="30"/>
  <c r="S46" i="52" s="1"/>
  <c r="V257" i="38"/>
  <c r="V4" i="38" s="1"/>
  <c r="S164" i="30"/>
  <c r="N98" i="16"/>
  <c r="S10" i="30"/>
  <c r="S11" i="52" s="1"/>
  <c r="S10" i="29"/>
  <c r="G61" i="30"/>
  <c r="S178" i="30"/>
  <c r="O151" i="39"/>
  <c r="G28" i="30"/>
  <c r="G33" i="30" s="1"/>
  <c r="I222" i="16"/>
  <c r="I223" i="16" s="1"/>
  <c r="T11" i="14"/>
  <c r="T42" i="14" s="1"/>
  <c r="N49" i="13" s="1"/>
  <c r="S104" i="16"/>
  <c r="S61" i="52" s="1"/>
  <c r="S102" i="16"/>
  <c r="S180" i="16"/>
  <c r="S12" i="16" s="1"/>
  <c r="S12" i="3" s="1"/>
  <c r="S159" i="16"/>
  <c r="S166" i="16" s="1"/>
  <c r="S145" i="16"/>
  <c r="S188" i="16" s="1"/>
  <c r="S189" i="16" s="1"/>
  <c r="S10" i="16"/>
  <c r="S13" i="52" s="1"/>
  <c r="S101" i="16"/>
  <c r="T104" i="16"/>
  <c r="T159" i="16"/>
  <c r="T166" i="16" s="1"/>
  <c r="M97" i="16"/>
  <c r="T103" i="16"/>
  <c r="T59" i="52" s="1"/>
  <c r="T145" i="16"/>
  <c r="T188" i="16" s="1"/>
  <c r="T189" i="16" s="1"/>
  <c r="L223" i="16"/>
  <c r="T101" i="16"/>
  <c r="T10" i="16"/>
  <c r="K222" i="16"/>
  <c r="K223" i="16" s="1"/>
  <c r="F189" i="52"/>
  <c r="F204" i="52" s="1"/>
  <c r="K31" i="16"/>
  <c r="O10" i="14" s="1"/>
  <c r="M42" i="16"/>
  <c r="P224" i="16"/>
  <c r="M64" i="16"/>
  <c r="K64" i="16"/>
  <c r="F236" i="16"/>
  <c r="I97" i="16"/>
  <c r="N31" i="16"/>
  <c r="R10" i="14" s="1"/>
  <c r="S59" i="52"/>
  <c r="J64" i="16"/>
  <c r="J42" i="16"/>
  <c r="O64" i="16"/>
  <c r="O31" i="16"/>
  <c r="S11" i="14"/>
  <c r="S42" i="14" s="1"/>
  <c r="M49" i="13" s="1"/>
  <c r="J31" i="16"/>
  <c r="J36" i="16" s="1"/>
  <c r="K98" i="16"/>
  <c r="N64" i="16"/>
  <c r="N11" i="14"/>
  <c r="L97" i="16"/>
  <c r="S193" i="30"/>
  <c r="N272" i="39"/>
  <c r="J272" i="39"/>
  <c r="S112" i="30"/>
  <c r="S47" i="52" s="1"/>
  <c r="L151" i="39"/>
  <c r="N275" i="30"/>
  <c r="K39" i="28"/>
  <c r="I46" i="27" s="1"/>
  <c r="J28" i="30"/>
  <c r="N10" i="28" s="1"/>
  <c r="K323" i="39"/>
  <c r="O97" i="16"/>
  <c r="Y218" i="30"/>
  <c r="O257" i="16"/>
  <c r="N150" i="39"/>
  <c r="T45" i="14"/>
  <c r="N52" i="13" s="1"/>
  <c r="J257" i="16"/>
  <c r="K322" i="39"/>
  <c r="P150" i="39"/>
  <c r="P151" i="39"/>
  <c r="N11" i="28"/>
  <c r="G11" i="28"/>
  <c r="G41" i="28" s="1"/>
  <c r="E48" i="27" s="1"/>
  <c r="J107" i="30"/>
  <c r="L257" i="16"/>
  <c r="W28" i="30"/>
  <c r="W33" i="30" s="1"/>
  <c r="P11" i="14"/>
  <c r="R50" i="14" s="1"/>
  <c r="L57" i="13" s="1"/>
  <c r="P11" i="28"/>
  <c r="W61" i="30"/>
  <c r="S194" i="30"/>
  <c r="S60" i="3"/>
  <c r="T11" i="28"/>
  <c r="T41" i="28" s="1"/>
  <c r="N48" i="27" s="1"/>
  <c r="O322" i="39"/>
  <c r="K272" i="39"/>
  <c r="O215" i="52"/>
  <c r="O220" i="52" s="1"/>
  <c r="O193" i="52"/>
  <c r="W97" i="38"/>
  <c r="W108" i="38" s="1"/>
  <c r="W82" i="38"/>
  <c r="W214" i="38"/>
  <c r="W231" i="38" s="1"/>
  <c r="W45" i="38"/>
  <c r="W46" i="38"/>
  <c r="P272" i="39"/>
  <c r="P97" i="16"/>
  <c r="O28" i="30"/>
  <c r="S10" i="28" s="1"/>
  <c r="P61" i="30"/>
  <c r="P28" i="30"/>
  <c r="T10" i="28" s="1"/>
  <c r="T40" i="28" s="1"/>
  <c r="N47" i="27" s="1"/>
  <c r="P107" i="30"/>
  <c r="K8" i="28"/>
  <c r="K38" i="28" s="1"/>
  <c r="I45" i="27" s="1"/>
  <c r="R11" i="52"/>
  <c r="R93" i="52" s="1"/>
  <c r="R150" i="52"/>
  <c r="O61" i="30"/>
  <c r="H214" i="52"/>
  <c r="H219" i="52" s="1"/>
  <c r="S11" i="28"/>
  <c r="S42" i="28" s="1"/>
  <c r="M49" i="27" s="1"/>
  <c r="G37" i="28"/>
  <c r="E44" i="27" s="1"/>
  <c r="E43" i="27"/>
  <c r="R49" i="52"/>
  <c r="J275" i="30"/>
  <c r="T197" i="30"/>
  <c r="T193" i="30" s="1"/>
  <c r="T12" i="30" s="1"/>
  <c r="Q268" i="30"/>
  <c r="R48" i="52"/>
  <c r="R193" i="30"/>
  <c r="R194" i="30"/>
  <c r="M106" i="30"/>
  <c r="P106" i="30"/>
  <c r="R11" i="28"/>
  <c r="Q28" i="30"/>
  <c r="U11" i="28"/>
  <c r="U41" i="28" s="1"/>
  <c r="O48" i="27" s="1"/>
  <c r="Q61" i="30"/>
  <c r="K37" i="28"/>
  <c r="I44" i="27" s="1"/>
  <c r="K43" i="28"/>
  <c r="I50" i="27" s="1"/>
  <c r="L239" i="30"/>
  <c r="L241" i="30" s="1"/>
  <c r="M197" i="52"/>
  <c r="R37" i="28"/>
  <c r="L44" i="27" s="1"/>
  <c r="E253" i="30"/>
  <c r="I238" i="30"/>
  <c r="I239" i="30"/>
  <c r="O224" i="16"/>
  <c r="R37" i="14"/>
  <c r="L44" i="13" s="1"/>
  <c r="N221" i="16"/>
  <c r="N222" i="16"/>
  <c r="M69" i="39"/>
  <c r="Q36" i="37"/>
  <c r="M75" i="39"/>
  <c r="M63" i="39"/>
  <c r="M65" i="39"/>
  <c r="M80" i="39"/>
  <c r="M24" i="39"/>
  <c r="P8" i="37" s="1"/>
  <c r="M59" i="39"/>
  <c r="M64" i="39"/>
  <c r="M83" i="39"/>
  <c r="M78" i="39"/>
  <c r="M57" i="39"/>
  <c r="M79" i="39"/>
  <c r="M52" i="39"/>
  <c r="M61" i="39"/>
  <c r="M53" i="39"/>
  <c r="M68" i="39"/>
  <c r="M62" i="39"/>
  <c r="M55" i="39"/>
  <c r="M72" i="39"/>
  <c r="M60" i="39"/>
  <c r="M58" i="39"/>
  <c r="L38" i="3"/>
  <c r="L89" i="3"/>
  <c r="L96" i="3" s="1"/>
  <c r="P193" i="52"/>
  <c r="P198" i="52"/>
  <c r="P203" i="52"/>
  <c r="P215" i="52"/>
  <c r="P220" i="52" s="1"/>
  <c r="N61" i="30"/>
  <c r="M182" i="52"/>
  <c r="M226" i="52"/>
  <c r="K43" i="14"/>
  <c r="I50" i="13" s="1"/>
  <c r="K39" i="14"/>
  <c r="I46" i="13" s="1"/>
  <c r="K36" i="14"/>
  <c r="I43" i="13" s="1"/>
  <c r="J219" i="16"/>
  <c r="J222" i="16"/>
  <c r="G37" i="14"/>
  <c r="E44" i="13" s="1"/>
  <c r="P98" i="16"/>
  <c r="M43" i="27"/>
  <c r="S37" i="28"/>
  <c r="M44" i="27" s="1"/>
  <c r="X61" i="3"/>
  <c r="H13" i="14" s="1"/>
  <c r="M239" i="30"/>
  <c r="M240" i="30" s="1"/>
  <c r="N28" i="30"/>
  <c r="R10" i="28" s="1"/>
  <c r="O107" i="30"/>
  <c r="O106" i="30"/>
  <c r="L106" i="30"/>
  <c r="Q155" i="52"/>
  <c r="Q150" i="52"/>
  <c r="N40" i="3"/>
  <c r="N103" i="3"/>
  <c r="N112" i="3" s="1"/>
  <c r="N41" i="3"/>
  <c r="N48" i="3"/>
  <c r="N57" i="3" s="1"/>
  <c r="N42" i="16" s="1"/>
  <c r="W135" i="52"/>
  <c r="W140" i="52"/>
  <c r="M215" i="16"/>
  <c r="U37" i="14"/>
  <c r="O44" i="13" s="1"/>
  <c r="O98" i="16"/>
  <c r="J204" i="52"/>
  <c r="J226" i="52" s="1"/>
  <c r="J216" i="52"/>
  <c r="J221" i="52" s="1"/>
  <c r="H203" i="52"/>
  <c r="H225" i="52" s="1"/>
  <c r="H215" i="52"/>
  <c r="H220" i="52" s="1"/>
  <c r="F40" i="3"/>
  <c r="F41" i="3"/>
  <c r="F48" i="3"/>
  <c r="F57" i="3" s="1"/>
  <c r="F42" i="16" s="1"/>
  <c r="F103" i="3"/>
  <c r="F112" i="3" s="1"/>
  <c r="I180" i="52"/>
  <c r="M180" i="52"/>
  <c r="K8" i="14"/>
  <c r="K38" i="14" s="1"/>
  <c r="I45" i="13" s="1"/>
  <c r="I38" i="3"/>
  <c r="I89" i="3"/>
  <c r="I96" i="3" s="1"/>
  <c r="N151" i="39"/>
  <c r="J182" i="52"/>
  <c r="J239" i="30"/>
  <c r="M54" i="39"/>
  <c r="K107" i="30"/>
  <c r="S196" i="3"/>
  <c r="S127" i="3" s="1"/>
  <c r="Z209" i="29"/>
  <c r="Z219" i="29"/>
  <c r="Z226" i="29"/>
  <c r="Z213" i="29"/>
  <c r="Z215" i="29"/>
  <c r="Z228" i="29"/>
  <c r="Z229" i="29"/>
  <c r="Z230" i="29"/>
  <c r="Z231" i="29"/>
  <c r="Z232" i="29"/>
  <c r="Z217" i="29"/>
  <c r="Z239" i="29"/>
  <c r="Z241" i="29"/>
  <c r="Z242" i="29"/>
  <c r="Z243" i="29"/>
  <c r="Z244" i="29"/>
  <c r="J19" i="28" s="1"/>
  <c r="Z245" i="29"/>
  <c r="AA6" i="29"/>
  <c r="Z208" i="29"/>
  <c r="Z212" i="29"/>
  <c r="Z214" i="29"/>
  <c r="Z218" i="29"/>
  <c r="Z222" i="29"/>
  <c r="Z223" i="29"/>
  <c r="Z211" i="29"/>
  <c r="Z221" i="29"/>
  <c r="Z235" i="29"/>
  <c r="Z240" i="29"/>
  <c r="J20" i="28" s="1"/>
  <c r="Z5" i="29"/>
  <c r="Z210" i="29"/>
  <c r="Z234" i="29"/>
  <c r="Z220" i="29"/>
  <c r="Z233" i="29"/>
  <c r="Z236" i="29"/>
  <c r="Q135" i="16"/>
  <c r="V31" i="39"/>
  <c r="V70" i="39"/>
  <c r="F11" i="37"/>
  <c r="O170" i="52"/>
  <c r="O165" i="52"/>
  <c r="G175" i="52"/>
  <c r="K170" i="52"/>
  <c r="K165" i="52"/>
  <c r="G214" i="52"/>
  <c r="G219" i="52" s="1"/>
  <c r="M148" i="16"/>
  <c r="I148" i="16"/>
  <c r="J203" i="52"/>
  <c r="J193" i="52"/>
  <c r="J198" i="52"/>
  <c r="J215" i="52"/>
  <c r="J220" i="52" s="1"/>
  <c r="E264" i="30"/>
  <c r="I275" i="30" s="1"/>
  <c r="I268" i="30"/>
  <c r="I217" i="30"/>
  <c r="I218" i="30"/>
  <c r="M249" i="16"/>
  <c r="I249" i="16"/>
  <c r="E246" i="16"/>
  <c r="Z5" i="16"/>
  <c r="AA6" i="16"/>
  <c r="Z137" i="16"/>
  <c r="Z113" i="16"/>
  <c r="Z198" i="16"/>
  <c r="Z199" i="16"/>
  <c r="Q157" i="16"/>
  <c r="Q164" i="16" s="1"/>
  <c r="L192" i="52"/>
  <c r="L202" i="52"/>
  <c r="L197" i="52"/>
  <c r="L214" i="52"/>
  <c r="L219" i="52" s="1"/>
  <c r="S16" i="38"/>
  <c r="Y43" i="29"/>
  <c r="I18" i="28"/>
  <c r="G39" i="37"/>
  <c r="E46" i="36" s="1"/>
  <c r="G43" i="37"/>
  <c r="E50" i="36" s="1"/>
  <c r="G36" i="37"/>
  <c r="E37" i="29"/>
  <c r="E38" i="29"/>
  <c r="Q193" i="52"/>
  <c r="E203" i="52"/>
  <c r="Q198" i="52"/>
  <c r="E215" i="52"/>
  <c r="E220" i="52" s="1"/>
  <c r="H264" i="30"/>
  <c r="L275" i="30" s="1"/>
  <c r="T257" i="30"/>
  <c r="AL249" i="29"/>
  <c r="AK250" i="29"/>
  <c r="AK252" i="29" s="1"/>
  <c r="Z5" i="32"/>
  <c r="AA6" i="32"/>
  <c r="Q60" i="3"/>
  <c r="L64" i="16"/>
  <c r="L31" i="16"/>
  <c r="P10" i="14" s="1"/>
  <c r="I17" i="28"/>
  <c r="Y100" i="29"/>
  <c r="Y227" i="29"/>
  <c r="Y237" i="29" s="1"/>
  <c r="L28" i="39"/>
  <c r="O11" i="37" s="1"/>
  <c r="L66" i="39"/>
  <c r="H253" i="30"/>
  <c r="M224" i="52"/>
  <c r="S36" i="37"/>
  <c r="S39" i="37"/>
  <c r="M46" i="36" s="1"/>
  <c r="S43" i="37"/>
  <c r="M50" i="36" s="1"/>
  <c r="S44" i="37"/>
  <c r="M51" i="36" s="1"/>
  <c r="R6" i="4"/>
  <c r="Q5" i="4"/>
  <c r="V33" i="30"/>
  <c r="V64" i="30"/>
  <c r="F10" i="28"/>
  <c r="K6" i="29"/>
  <c r="J5" i="29"/>
  <c r="K238" i="30"/>
  <c r="K239" i="30"/>
  <c r="E202" i="52"/>
  <c r="I197" i="52"/>
  <c r="E214" i="52"/>
  <c r="E219" i="52" s="1"/>
  <c r="I192" i="52"/>
  <c r="H64" i="29"/>
  <c r="H38" i="29"/>
  <c r="H37" i="29"/>
  <c r="G31" i="39"/>
  <c r="G70" i="39"/>
  <c r="AA6" i="4"/>
  <c r="Z5" i="4"/>
  <c r="U39" i="37"/>
  <c r="O46" i="36" s="1"/>
  <c r="U36" i="37"/>
  <c r="U43" i="37"/>
  <c r="O50" i="36" s="1"/>
  <c r="G36" i="16"/>
  <c r="G67" i="16"/>
  <c r="N198" i="52"/>
  <c r="N203" i="52"/>
  <c r="N193" i="52"/>
  <c r="N215" i="52"/>
  <c r="N220" i="52" s="1"/>
  <c r="T16" i="3"/>
  <c r="L199" i="52"/>
  <c r="H204" i="52"/>
  <c r="L194" i="52"/>
  <c r="H216" i="52"/>
  <c r="H221" i="52" s="1"/>
  <c r="P194" i="52"/>
  <c r="P199" i="52"/>
  <c r="T11" i="52"/>
  <c r="R38" i="37"/>
  <c r="L45" i="36" s="1"/>
  <c r="S16" i="3"/>
  <c r="V36" i="16"/>
  <c r="V67" i="16"/>
  <c r="F10" i="14"/>
  <c r="Q46" i="52"/>
  <c r="N106" i="30"/>
  <c r="N107" i="30"/>
  <c r="Q49" i="52"/>
  <c r="I193" i="52"/>
  <c r="I203" i="52"/>
  <c r="I198" i="52"/>
  <c r="I215" i="52"/>
  <c r="I220" i="52" s="1"/>
  <c r="R42" i="14"/>
  <c r="L49" i="13" s="1"/>
  <c r="R41" i="14"/>
  <c r="L48" i="13" s="1"/>
  <c r="T195" i="3"/>
  <c r="T196" i="3" s="1"/>
  <c r="T127" i="3" s="1"/>
  <c r="R100" i="29"/>
  <c r="I5" i="38"/>
  <c r="J6" i="38"/>
  <c r="Q47" i="52"/>
  <c r="F31" i="39"/>
  <c r="F70" i="39"/>
  <c r="K198" i="52"/>
  <c r="K203" i="52"/>
  <c r="K193" i="52"/>
  <c r="K215" i="52"/>
  <c r="K220" i="52" s="1"/>
  <c r="S92" i="39"/>
  <c r="S205" i="39"/>
  <c r="S212" i="39" s="1"/>
  <c r="S142" i="39" s="1"/>
  <c r="S219" i="39"/>
  <c r="S226" i="39" s="1"/>
  <c r="S156" i="39"/>
  <c r="S157" i="39"/>
  <c r="S155" i="39"/>
  <c r="K268" i="30"/>
  <c r="K264" i="30"/>
  <c r="K275" i="30" s="1"/>
  <c r="I36" i="16"/>
  <c r="I67" i="16"/>
  <c r="P207" i="52"/>
  <c r="P224" i="52"/>
  <c r="T19" i="38"/>
  <c r="K7" i="37"/>
  <c r="K253" i="30"/>
  <c r="T48" i="52"/>
  <c r="M198" i="52"/>
  <c r="M203" i="52"/>
  <c r="M193" i="52"/>
  <c r="M215" i="52"/>
  <c r="M220" i="52" s="1"/>
  <c r="R141" i="16"/>
  <c r="N148" i="16"/>
  <c r="J148" i="16"/>
  <c r="AA5" i="52"/>
  <c r="AB6" i="52"/>
  <c r="AA129" i="52"/>
  <c r="Q21" i="52"/>
  <c r="J5" i="39"/>
  <c r="K6" i="39"/>
  <c r="J287" i="39"/>
  <c r="J290" i="39" s="1"/>
  <c r="J288" i="39"/>
  <c r="Q11" i="52"/>
  <c r="H36" i="16"/>
  <c r="H67" i="16"/>
  <c r="R156" i="16"/>
  <c r="R163" i="16" s="1"/>
  <c r="J5" i="3"/>
  <c r="K6" i="3"/>
  <c r="I66" i="39"/>
  <c r="I28" i="39"/>
  <c r="Q100" i="29"/>
  <c r="I272" i="39"/>
  <c r="S300" i="39"/>
  <c r="S58" i="38"/>
  <c r="S78" i="38" s="1"/>
  <c r="S104" i="38" s="1"/>
  <c r="V203" i="52"/>
  <c r="V225" i="52" s="1"/>
  <c r="V215" i="52"/>
  <c r="V220" i="52" s="1"/>
  <c r="G41" i="14"/>
  <c r="E48" i="13" s="1"/>
  <c r="G51" i="14"/>
  <c r="E58" i="13" s="1"/>
  <c r="G53" i="14"/>
  <c r="E60" i="13" s="1"/>
  <c r="G42" i="14"/>
  <c r="E49" i="13" s="1"/>
  <c r="G49" i="14"/>
  <c r="E56" i="13" s="1"/>
  <c r="G50" i="14"/>
  <c r="E57" i="13" s="1"/>
  <c r="E45" i="38"/>
  <c r="E46" i="38"/>
  <c r="S12" i="39"/>
  <c r="S11" i="38"/>
  <c r="K192" i="52"/>
  <c r="K202" i="52"/>
  <c r="K197" i="52"/>
  <c r="K214" i="52"/>
  <c r="K219" i="52" s="1"/>
  <c r="P192" i="52"/>
  <c r="R23" i="32"/>
  <c r="S190" i="29"/>
  <c r="M272" i="39"/>
  <c r="Y203" i="16"/>
  <c r="I28" i="30"/>
  <c r="I61" i="30"/>
  <c r="H133" i="52"/>
  <c r="H135" i="52"/>
  <c r="H134" i="52"/>
  <c r="J6" i="52"/>
  <c r="I5" i="52"/>
  <c r="I130" i="52"/>
  <c r="I147" i="52"/>
  <c r="I129" i="52"/>
  <c r="S201" i="38"/>
  <c r="R245" i="30"/>
  <c r="H31" i="39"/>
  <c r="H70" i="39"/>
  <c r="K25" i="30"/>
  <c r="K57" i="30"/>
  <c r="S156" i="52"/>
  <c r="S151" i="52"/>
  <c r="W28" i="39"/>
  <c r="W66" i="39"/>
  <c r="G8" i="37"/>
  <c r="G38" i="37" s="1"/>
  <c r="E45" i="36" s="1"/>
  <c r="G226" i="52"/>
  <c r="O209" i="52"/>
  <c r="K209" i="52"/>
  <c r="L61" i="30"/>
  <c r="L28" i="30"/>
  <c r="P10" i="28" s="1"/>
  <c r="B8" i="61"/>
  <c r="A7" i="61"/>
  <c r="P197" i="52"/>
  <c r="O28" i="39"/>
  <c r="R11" i="37" s="1"/>
  <c r="O66" i="39"/>
  <c r="O208" i="52"/>
  <c r="O225" i="52"/>
  <c r="F64" i="30"/>
  <c r="F33" i="30"/>
  <c r="E76" i="3"/>
  <c r="O238" i="30"/>
  <c r="O239" i="30"/>
  <c r="I292" i="39"/>
  <c r="I291" i="39"/>
  <c r="T100" i="29"/>
  <c r="T47" i="52"/>
  <c r="M107" i="30"/>
  <c r="H138" i="52"/>
  <c r="H140" i="52"/>
  <c r="H139" i="52"/>
  <c r="Q5" i="32"/>
  <c r="R6" i="32"/>
  <c r="G252" i="29"/>
  <c r="G4" i="29" s="1"/>
  <c r="H249" i="29"/>
  <c r="H250" i="29" s="1"/>
  <c r="L180" i="52"/>
  <c r="P180" i="52"/>
  <c r="H224" i="52"/>
  <c r="L257" i="39"/>
  <c r="L272" i="39" s="1"/>
  <c r="L188" i="52"/>
  <c r="L243" i="39"/>
  <c r="J31" i="39"/>
  <c r="J70" i="39"/>
  <c r="AH252" i="3"/>
  <c r="AG253" i="3"/>
  <c r="AG255" i="3" s="1"/>
  <c r="F67" i="16"/>
  <c r="F36" i="16"/>
  <c r="E82" i="38"/>
  <c r="E97" i="38"/>
  <c r="E108" i="38" s="1"/>
  <c r="H254" i="38"/>
  <c r="H255" i="38" s="1"/>
  <c r="G257" i="38"/>
  <c r="G4" i="38" s="1"/>
  <c r="K64" i="29"/>
  <c r="K37" i="29"/>
  <c r="K38" i="29"/>
  <c r="M45" i="38"/>
  <c r="M46" i="38"/>
  <c r="Q66" i="39"/>
  <c r="Q28" i="39"/>
  <c r="T11" i="37" s="1"/>
  <c r="J5" i="30"/>
  <c r="J213" i="30"/>
  <c r="J216" i="30" s="1"/>
  <c r="J129" i="30"/>
  <c r="J130" i="30" s="1"/>
  <c r="J214" i="30"/>
  <c r="J155" i="30"/>
  <c r="J156" i="30" s="1"/>
  <c r="K6" i="30"/>
  <c r="F252" i="3"/>
  <c r="F253" i="3" s="1"/>
  <c r="E255" i="3"/>
  <c r="E4" i="3" s="1"/>
  <c r="W36" i="16"/>
  <c r="W67" i="16"/>
  <c r="G10" i="14"/>
  <c r="J207" i="52"/>
  <c r="J224" i="52"/>
  <c r="M82" i="38"/>
  <c r="M97" i="38"/>
  <c r="M108" i="38" s="1"/>
  <c r="P268" i="30"/>
  <c r="Y216" i="29"/>
  <c r="Y224" i="29" s="1"/>
  <c r="Y99" i="29" s="1"/>
  <c r="T16" i="38"/>
  <c r="V138" i="52"/>
  <c r="V133" i="52"/>
  <c r="E189" i="52"/>
  <c r="E236" i="16"/>
  <c r="R6" i="41"/>
  <c r="R5" i="41" s="1"/>
  <c r="Q5" i="41"/>
  <c r="X101" i="29"/>
  <c r="H13" i="28" s="1"/>
  <c r="E38" i="3"/>
  <c r="E89" i="3"/>
  <c r="S100" i="29"/>
  <c r="AB6" i="30"/>
  <c r="AA213" i="30"/>
  <c r="AA5" i="30"/>
  <c r="Z5" i="41"/>
  <c r="AA6" i="41"/>
  <c r="T167" i="29"/>
  <c r="H25" i="30"/>
  <c r="H57" i="30"/>
  <c r="T49" i="52"/>
  <c r="K28" i="39"/>
  <c r="N11" i="37" s="1"/>
  <c r="K66" i="39"/>
  <c r="E31" i="16"/>
  <c r="E64" i="16"/>
  <c r="V204" i="52"/>
  <c r="V226" i="52" s="1"/>
  <c r="V216" i="52"/>
  <c r="V221" i="52" s="1"/>
  <c r="Z5" i="38"/>
  <c r="AA6" i="38"/>
  <c r="E57" i="30"/>
  <c r="E25" i="30"/>
  <c r="J137" i="16" l="1"/>
  <c r="J138" i="16" s="1"/>
  <c r="J198" i="16"/>
  <c r="J201" i="16" s="1"/>
  <c r="J113" i="16"/>
  <c r="J114" i="16" s="1"/>
  <c r="K6" i="16"/>
  <c r="J5" i="16"/>
  <c r="S137" i="39"/>
  <c r="T157" i="39"/>
  <c r="T137" i="39"/>
  <c r="T300" i="39"/>
  <c r="T155" i="39"/>
  <c r="T156" i="39"/>
  <c r="T53" i="52" s="1"/>
  <c r="T92" i="39"/>
  <c r="T12" i="52" s="1"/>
  <c r="T151" i="52"/>
  <c r="T205" i="39"/>
  <c r="T212" i="39" s="1"/>
  <c r="T142" i="39" s="1"/>
  <c r="T219" i="39"/>
  <c r="T226" i="39" s="1"/>
  <c r="Z60" i="3"/>
  <c r="N31" i="39"/>
  <c r="Q10" i="37" s="1"/>
  <c r="N70" i="39"/>
  <c r="L43" i="36"/>
  <c r="AA287" i="39"/>
  <c r="R321" i="39"/>
  <c r="R322" i="39" s="1"/>
  <c r="AB6" i="39"/>
  <c r="AB5" i="39" s="1"/>
  <c r="R219" i="39"/>
  <c r="R226" i="39" s="1"/>
  <c r="R205" i="39"/>
  <c r="Z292" i="39"/>
  <c r="I203" i="16"/>
  <c r="R78" i="38"/>
  <c r="R60" i="38"/>
  <c r="Z218" i="30"/>
  <c r="M67" i="16"/>
  <c r="AA5" i="3"/>
  <c r="AA218" i="3"/>
  <c r="Q104" i="30"/>
  <c r="Z190" i="3"/>
  <c r="V17" i="14"/>
  <c r="AB226" i="29"/>
  <c r="N43" i="36"/>
  <c r="AB6" i="3"/>
  <c r="AB5" i="3" s="1"/>
  <c r="R60" i="3"/>
  <c r="E31" i="39"/>
  <c r="E73" i="39" s="1"/>
  <c r="N240" i="30"/>
  <c r="G49" i="28"/>
  <c r="E56" i="27" s="1"/>
  <c r="E70" i="39"/>
  <c r="R99" i="30"/>
  <c r="R105" i="30"/>
  <c r="R107" i="30" s="1"/>
  <c r="Q105" i="30"/>
  <c r="S171" i="30"/>
  <c r="S98" i="30" s="1"/>
  <c r="S202" i="30"/>
  <c r="S203" i="30" s="1"/>
  <c r="G51" i="28"/>
  <c r="E58" i="27" s="1"/>
  <c r="G50" i="28"/>
  <c r="E57" i="27" s="1"/>
  <c r="G42" i="28"/>
  <c r="E49" i="27" s="1"/>
  <c r="G53" i="28"/>
  <c r="E60" i="27" s="1"/>
  <c r="R80" i="16"/>
  <c r="R84" i="16" s="1"/>
  <c r="T99" i="30"/>
  <c r="T105" i="30"/>
  <c r="T104" i="30"/>
  <c r="Z245" i="3"/>
  <c r="Z249" i="3" s="1"/>
  <c r="S49" i="52"/>
  <c r="Z231" i="3"/>
  <c r="Z59" i="3" s="1"/>
  <c r="Z234" i="3"/>
  <c r="Z241" i="3" s="1"/>
  <c r="P241" i="30"/>
  <c r="P64" i="30"/>
  <c r="R154" i="39"/>
  <c r="R52" i="52" s="1"/>
  <c r="R155" i="39"/>
  <c r="R12" i="52"/>
  <c r="R27" i="52" s="1"/>
  <c r="R101" i="39"/>
  <c r="R105" i="39" s="1"/>
  <c r="R156" i="39"/>
  <c r="R53" i="52" s="1"/>
  <c r="R157" i="39"/>
  <c r="R55" i="52" s="1"/>
  <c r="T12" i="39"/>
  <c r="T41" i="37"/>
  <c r="N48" i="36" s="1"/>
  <c r="P70" i="39"/>
  <c r="P31" i="39"/>
  <c r="T13" i="16"/>
  <c r="T51" i="16" s="1"/>
  <c r="T23" i="52"/>
  <c r="T61" i="52"/>
  <c r="T152" i="16"/>
  <c r="T89" i="16" s="1"/>
  <c r="T95" i="16" s="1"/>
  <c r="S152" i="16"/>
  <c r="S89" i="16" s="1"/>
  <c r="S95" i="16" s="1"/>
  <c r="J64" i="30"/>
  <c r="M36" i="16"/>
  <c r="M40" i="16" s="1"/>
  <c r="R46" i="32"/>
  <c r="R16" i="32" s="1"/>
  <c r="S12" i="29"/>
  <c r="S13" i="29" s="1"/>
  <c r="S172" i="29" s="1"/>
  <c r="M64" i="30"/>
  <c r="R49" i="14"/>
  <c r="L56" i="13" s="1"/>
  <c r="S23" i="52"/>
  <c r="S28" i="52" s="1"/>
  <c r="M33" i="30"/>
  <c r="M69" i="30" s="1"/>
  <c r="G10" i="28"/>
  <c r="G52" i="28" s="1"/>
  <c r="E59" i="27" s="1"/>
  <c r="T42" i="28"/>
  <c r="N49" i="27" s="1"/>
  <c r="W64" i="30"/>
  <c r="N224" i="52"/>
  <c r="Y61" i="3"/>
  <c r="I13" i="14" s="1"/>
  <c r="R241" i="3"/>
  <c r="J33" i="30"/>
  <c r="J36" i="30" s="1"/>
  <c r="R20" i="4"/>
  <c r="R75" i="4" s="1"/>
  <c r="R103" i="4" s="1"/>
  <c r="P67" i="16"/>
  <c r="P36" i="16"/>
  <c r="P72" i="16" s="1"/>
  <c r="S241" i="3"/>
  <c r="G64" i="30"/>
  <c r="R80" i="32"/>
  <c r="R109" i="32" s="1"/>
  <c r="J194" i="52"/>
  <c r="S13" i="16"/>
  <c r="I146" i="15" s="1"/>
  <c r="T41" i="14"/>
  <c r="N48" i="13" s="1"/>
  <c r="O33" i="30"/>
  <c r="O39" i="30" s="1"/>
  <c r="S12" i="30"/>
  <c r="S21" i="52" s="1"/>
  <c r="S26" i="52" s="1"/>
  <c r="N36" i="16"/>
  <c r="N43" i="16" s="1"/>
  <c r="K67" i="16"/>
  <c r="I224" i="16"/>
  <c r="S10" i="3"/>
  <c r="S13" i="3" s="1"/>
  <c r="S60" i="52"/>
  <c r="T10" i="3"/>
  <c r="T13" i="3" s="1"/>
  <c r="S58" i="52"/>
  <c r="T13" i="52"/>
  <c r="K36" i="16"/>
  <c r="O34" i="14" s="1" a="1"/>
  <c r="O34" i="14" s="1"/>
  <c r="K224" i="16"/>
  <c r="T58" i="52"/>
  <c r="N209" i="52"/>
  <c r="F226" i="52"/>
  <c r="J199" i="52"/>
  <c r="J209" i="52"/>
  <c r="F216" i="52"/>
  <c r="F221" i="52" s="1"/>
  <c r="N194" i="52"/>
  <c r="N199" i="52"/>
  <c r="N67" i="16"/>
  <c r="S53" i="14"/>
  <c r="M60" i="13" s="1"/>
  <c r="S41" i="14"/>
  <c r="M48" i="13" s="1"/>
  <c r="N10" i="14"/>
  <c r="J67" i="16"/>
  <c r="S10" i="14"/>
  <c r="S40" i="14" s="1"/>
  <c r="M47" i="13" s="1"/>
  <c r="O36" i="16"/>
  <c r="O67" i="16"/>
  <c r="J72" i="16"/>
  <c r="J43" i="16"/>
  <c r="S49" i="14"/>
  <c r="M56" i="13" s="1"/>
  <c r="R40" i="4"/>
  <c r="R13" i="4"/>
  <c r="R68" i="4" s="1"/>
  <c r="R96" i="4" s="1"/>
  <c r="N223" i="16"/>
  <c r="P33" i="30"/>
  <c r="P39" i="30" s="1"/>
  <c r="J39" i="16"/>
  <c r="J40" i="16"/>
  <c r="J75" i="16" s="1"/>
  <c r="R27" i="32"/>
  <c r="R84" i="32" s="1"/>
  <c r="R113" i="32" s="1"/>
  <c r="S41" i="28"/>
  <c r="M48" i="27" s="1"/>
  <c r="R21" i="41"/>
  <c r="R29" i="4"/>
  <c r="R84" i="4" s="1"/>
  <c r="R112" i="4" s="1"/>
  <c r="R25" i="4"/>
  <c r="R80" i="4" s="1"/>
  <c r="R108" i="4" s="1"/>
  <c r="R21" i="4"/>
  <c r="R76" i="4" s="1"/>
  <c r="R104" i="4" s="1"/>
  <c r="M257" i="16"/>
  <c r="I257" i="16"/>
  <c r="T241" i="3"/>
  <c r="T60" i="3"/>
  <c r="Q257" i="16"/>
  <c r="O11" i="28"/>
  <c r="R41" i="4"/>
  <c r="R24" i="4"/>
  <c r="R79" i="4" s="1"/>
  <c r="R107" i="4" s="1"/>
  <c r="W259" i="38"/>
  <c r="W264" i="38" s="1"/>
  <c r="W269" i="38" s="1"/>
  <c r="W253" i="38"/>
  <c r="W255" i="38" s="1"/>
  <c r="W110" i="38"/>
  <c r="W112" i="38" s="1"/>
  <c r="G13" i="37" s="1"/>
  <c r="N34" i="14" a="1"/>
  <c r="N34" i="14" s="1"/>
  <c r="Q128" i="16"/>
  <c r="Q88" i="16" s="1"/>
  <c r="Q94" i="16" s="1"/>
  <c r="O64" i="30"/>
  <c r="U42" i="28"/>
  <c r="O49" i="27" s="1"/>
  <c r="T21" i="52"/>
  <c r="T26" i="52" s="1"/>
  <c r="T12" i="29"/>
  <c r="T13" i="29" s="1"/>
  <c r="T172" i="29" s="1"/>
  <c r="K11" i="28"/>
  <c r="K50" i="28" s="1"/>
  <c r="I57" i="27" s="1"/>
  <c r="Q275" i="30"/>
  <c r="M241" i="30"/>
  <c r="M275" i="30"/>
  <c r="U50" i="28"/>
  <c r="O57" i="27" s="1"/>
  <c r="P275" i="30"/>
  <c r="R12" i="30"/>
  <c r="N33" i="30"/>
  <c r="R42" i="28"/>
  <c r="L49" i="27" s="1"/>
  <c r="R41" i="28"/>
  <c r="L48" i="27" s="1"/>
  <c r="U53" i="28"/>
  <c r="O60" i="27" s="1"/>
  <c r="U51" i="28"/>
  <c r="O58" i="27" s="1"/>
  <c r="U49" i="28"/>
  <c r="O56" i="27" s="1"/>
  <c r="R12" i="29"/>
  <c r="R13" i="29" s="1"/>
  <c r="R172" i="29" s="1"/>
  <c r="U10" i="28"/>
  <c r="U40" i="28" s="1"/>
  <c r="O47" i="27" s="1"/>
  <c r="Q64" i="30"/>
  <c r="N64" i="30"/>
  <c r="I241" i="30"/>
  <c r="I240" i="30"/>
  <c r="Y101" i="29"/>
  <c r="I13" i="28" s="1"/>
  <c r="Z216" i="29"/>
  <c r="Z224" i="29" s="1"/>
  <c r="Z99" i="29" s="1"/>
  <c r="L240" i="30"/>
  <c r="R51" i="14"/>
  <c r="L58" i="13" s="1"/>
  <c r="R53" i="14"/>
  <c r="L60" i="13" s="1"/>
  <c r="N224" i="16"/>
  <c r="M66" i="39"/>
  <c r="M28" i="39"/>
  <c r="P11" i="37" s="1"/>
  <c r="L40" i="3"/>
  <c r="L48" i="3"/>
  <c r="L57" i="3" s="1"/>
  <c r="L42" i="16" s="1"/>
  <c r="L41" i="3"/>
  <c r="L103" i="3"/>
  <c r="L112" i="3" s="1"/>
  <c r="J240" i="30"/>
  <c r="J241" i="30"/>
  <c r="R19" i="32"/>
  <c r="R76" i="32" s="1"/>
  <c r="R105" i="32" s="1"/>
  <c r="R31" i="4"/>
  <c r="R86" i="4" s="1"/>
  <c r="R114" i="4" s="1"/>
  <c r="J224" i="16"/>
  <c r="J223" i="16"/>
  <c r="R24" i="32"/>
  <c r="K37" i="14"/>
  <c r="I44" i="13" s="1"/>
  <c r="R12" i="32"/>
  <c r="R69" i="32" s="1"/>
  <c r="R98" i="32" s="1"/>
  <c r="P208" i="52"/>
  <c r="P225" i="52"/>
  <c r="R29" i="32"/>
  <c r="R86" i="32" s="1"/>
  <c r="R115" i="32" s="1"/>
  <c r="O241" i="30"/>
  <c r="R30" i="4"/>
  <c r="R85" i="4" s="1"/>
  <c r="R113" i="4" s="1"/>
  <c r="M221" i="16"/>
  <c r="M222" i="16"/>
  <c r="R21" i="32"/>
  <c r="R18" i="4"/>
  <c r="R73" i="4" s="1"/>
  <c r="R101" i="4" s="1"/>
  <c r="I40" i="3"/>
  <c r="I103" i="3"/>
  <c r="I112" i="3" s="1"/>
  <c r="I41" i="3"/>
  <c r="I48" i="3"/>
  <c r="I57" i="3" s="1"/>
  <c r="I42" i="16" s="1"/>
  <c r="Q84" i="16"/>
  <c r="Q155" i="16"/>
  <c r="Q162" i="16" s="1"/>
  <c r="S95" i="52"/>
  <c r="R187" i="3"/>
  <c r="T49" i="28"/>
  <c r="N56" i="27" s="1"/>
  <c r="T51" i="28"/>
  <c r="N58" i="27" s="1"/>
  <c r="T53" i="28"/>
  <c r="N60" i="27" s="1"/>
  <c r="T50" i="28"/>
  <c r="N57" i="27" s="1"/>
  <c r="E36" i="16"/>
  <c r="E67" i="16"/>
  <c r="Q31" i="39"/>
  <c r="T10" i="37" s="1"/>
  <c r="Q70" i="39"/>
  <c r="L33" i="30"/>
  <c r="L64" i="30"/>
  <c r="T93" i="52"/>
  <c r="G34" i="39"/>
  <c r="G73" i="39"/>
  <c r="S40" i="28"/>
  <c r="M47" i="27" s="1"/>
  <c r="AA5" i="32"/>
  <c r="AB6" i="32"/>
  <c r="L207" i="52"/>
  <c r="L224" i="52"/>
  <c r="I249" i="29"/>
  <c r="I250" i="29" s="1"/>
  <c r="H252" i="29"/>
  <c r="H4" i="29" s="1"/>
  <c r="R26" i="32"/>
  <c r="R83" i="32" s="1"/>
  <c r="R112" i="32" s="1"/>
  <c r="R61" i="32"/>
  <c r="R31" i="32" s="1"/>
  <c r="R28" i="32"/>
  <c r="R85" i="32" s="1"/>
  <c r="R114" i="32" s="1"/>
  <c r="H34" i="39"/>
  <c r="H73" i="39"/>
  <c r="I31" i="39"/>
  <c r="I70" i="39"/>
  <c r="Q26" i="52"/>
  <c r="Q93" i="52"/>
  <c r="K36" i="37"/>
  <c r="K39" i="37"/>
  <c r="I46" i="36" s="1"/>
  <c r="K43" i="37"/>
  <c r="I50" i="36" s="1"/>
  <c r="S148" i="39"/>
  <c r="S143" i="39"/>
  <c r="S149" i="39"/>
  <c r="T13" i="30"/>
  <c r="M56" i="15" s="1"/>
  <c r="T54" i="52"/>
  <c r="N225" i="52"/>
  <c r="N208" i="52"/>
  <c r="I207" i="52"/>
  <c r="E224" i="52"/>
  <c r="E64" i="29"/>
  <c r="W37" i="30"/>
  <c r="W69" i="30"/>
  <c r="W36" i="30"/>
  <c r="G34" i="28" s="1"/>
  <c r="W39" i="30"/>
  <c r="K5" i="16"/>
  <c r="L6" i="16"/>
  <c r="K198" i="16"/>
  <c r="K201" i="16" s="1"/>
  <c r="K199" i="16"/>
  <c r="K113" i="16"/>
  <c r="K114" i="16" s="1"/>
  <c r="K137" i="16"/>
  <c r="K138" i="16" s="1"/>
  <c r="O180" i="52"/>
  <c r="K180" i="52"/>
  <c r="G224" i="52"/>
  <c r="Z43" i="29"/>
  <c r="J18" i="28"/>
  <c r="T201" i="38"/>
  <c r="J5" i="52"/>
  <c r="K6" i="52"/>
  <c r="J129" i="52"/>
  <c r="J130" i="52"/>
  <c r="J147" i="52"/>
  <c r="J291" i="39"/>
  <c r="J292" i="39"/>
  <c r="I40" i="16"/>
  <c r="I72" i="16"/>
  <c r="I39" i="16"/>
  <c r="I43" i="16"/>
  <c r="U37" i="37"/>
  <c r="O44" i="36" s="1"/>
  <c r="O43" i="36"/>
  <c r="V69" i="30"/>
  <c r="V37" i="30"/>
  <c r="V36" i="30"/>
  <c r="F34" i="28" s="1"/>
  <c r="V39" i="30"/>
  <c r="R40" i="28"/>
  <c r="L47" i="27" s="1"/>
  <c r="E96" i="3"/>
  <c r="S6" i="41"/>
  <c r="S42" i="41" s="1"/>
  <c r="G252" i="3"/>
  <c r="G253" i="3" s="1"/>
  <c r="F255" i="3"/>
  <c r="F4" i="3" s="1"/>
  <c r="R14" i="32"/>
  <c r="R71" i="32" s="1"/>
  <c r="R100" i="32" s="1"/>
  <c r="R11" i="32"/>
  <c r="R68" i="32" s="1"/>
  <c r="R97" i="32" s="1"/>
  <c r="R20" i="32"/>
  <c r="R77" i="32" s="1"/>
  <c r="R106" i="32" s="1"/>
  <c r="W70" i="39"/>
  <c r="W31" i="39"/>
  <c r="G11" i="37"/>
  <c r="K5" i="39"/>
  <c r="L6" i="39"/>
  <c r="K287" i="39"/>
  <c r="K290" i="39" s="1"/>
  <c r="K288" i="39"/>
  <c r="S10" i="39"/>
  <c r="S101" i="39"/>
  <c r="S105" i="39" s="1"/>
  <c r="S107" i="39" s="1"/>
  <c r="S10" i="38"/>
  <c r="S13" i="38" s="1"/>
  <c r="S12" i="52"/>
  <c r="T55" i="52"/>
  <c r="S93" i="52"/>
  <c r="K241" i="30"/>
  <c r="S6" i="4"/>
  <c r="R5" i="4"/>
  <c r="R17" i="4"/>
  <c r="R72" i="4" s="1"/>
  <c r="R100" i="4" s="1"/>
  <c r="E43" i="36"/>
  <c r="G37" i="37"/>
  <c r="E44" i="36" s="1"/>
  <c r="S50" i="14"/>
  <c r="M57" i="13" s="1"/>
  <c r="AA5" i="16"/>
  <c r="AB6" i="16"/>
  <c r="AA198" i="16"/>
  <c r="J208" i="52"/>
  <c r="J225" i="52"/>
  <c r="AA5" i="38"/>
  <c r="AB6" i="38"/>
  <c r="K61" i="30"/>
  <c r="K28" i="30"/>
  <c r="O10" i="28" s="1"/>
  <c r="H28" i="30"/>
  <c r="H61" i="30"/>
  <c r="E40" i="3"/>
  <c r="E41" i="3"/>
  <c r="E103" i="3"/>
  <c r="E48" i="3"/>
  <c r="R25" i="32"/>
  <c r="AA5" i="4"/>
  <c r="AB6" i="4"/>
  <c r="AB54" i="4" s="1"/>
  <c r="S24" i="29"/>
  <c r="S251" i="30" s="1"/>
  <c r="S209" i="29"/>
  <c r="S27" i="30"/>
  <c r="O240" i="30"/>
  <c r="E121" i="15"/>
  <c r="F121" i="15" s="1"/>
  <c r="G121" i="15" s="1"/>
  <c r="R13" i="38"/>
  <c r="AI252" i="3"/>
  <c r="AH253" i="3"/>
  <c r="AH255" i="3" s="1"/>
  <c r="Q172" i="29"/>
  <c r="R15" i="32"/>
  <c r="AA5" i="41"/>
  <c r="AB6" i="41"/>
  <c r="AB42" i="41" s="1"/>
  <c r="R30" i="32"/>
  <c r="R87" i="32" s="1"/>
  <c r="R116" i="32" s="1"/>
  <c r="R48" i="32"/>
  <c r="R18" i="32" s="1"/>
  <c r="O70" i="39"/>
  <c r="O31" i="39"/>
  <c r="R10" i="37" s="1"/>
  <c r="S23" i="32"/>
  <c r="R20" i="41"/>
  <c r="E204" i="52"/>
  <c r="E216" i="52"/>
  <c r="E221" i="52" s="1"/>
  <c r="I199" i="52"/>
  <c r="I194" i="52"/>
  <c r="M199" i="52"/>
  <c r="M194" i="52"/>
  <c r="F40" i="16"/>
  <c r="F72" i="16"/>
  <c r="F39" i="16"/>
  <c r="F43" i="16"/>
  <c r="J34" i="39"/>
  <c r="J73" i="39"/>
  <c r="L198" i="52"/>
  <c r="L203" i="52"/>
  <c r="L193" i="52"/>
  <c r="L215" i="52"/>
  <c r="L220" i="52" s="1"/>
  <c r="R13" i="32"/>
  <c r="R22" i="32"/>
  <c r="R79" i="32" s="1"/>
  <c r="R108" i="32" s="1"/>
  <c r="V40" i="16"/>
  <c r="V72" i="16"/>
  <c r="V39" i="16"/>
  <c r="F34" i="14" s="1"/>
  <c r="V43" i="16"/>
  <c r="K5" i="29"/>
  <c r="L6" i="29"/>
  <c r="R28" i="4"/>
  <c r="R19" i="4"/>
  <c r="R16" i="4"/>
  <c r="M207" i="52"/>
  <c r="L31" i="39"/>
  <c r="O10" i="37" s="1"/>
  <c r="L70" i="39"/>
  <c r="T245" i="30"/>
  <c r="AA5" i="29"/>
  <c r="AB6" i="29"/>
  <c r="K31" i="39"/>
  <c r="N10" i="37" s="1"/>
  <c r="K70" i="39"/>
  <c r="W40" i="16"/>
  <c r="W72" i="16"/>
  <c r="W39" i="16"/>
  <c r="G34" i="14" s="1"/>
  <c r="G47" i="14" s="1"/>
  <c r="E54" i="13" s="1"/>
  <c r="W43" i="16"/>
  <c r="H257" i="38"/>
  <c r="H4" i="38" s="1"/>
  <c r="I254" i="38"/>
  <c r="I255" i="38" s="1"/>
  <c r="R5" i="32"/>
  <c r="S6" i="32"/>
  <c r="S61" i="32" s="1"/>
  <c r="E28" i="30"/>
  <c r="E61" i="30"/>
  <c r="K5" i="30"/>
  <c r="K213" i="30"/>
  <c r="K216" i="30" s="1"/>
  <c r="L6" i="30"/>
  <c r="K155" i="30"/>
  <c r="K156" i="30" s="1"/>
  <c r="K129" i="30"/>
  <c r="K130" i="30" s="1"/>
  <c r="K214" i="30"/>
  <c r="AC6" i="30"/>
  <c r="AB213" i="30"/>
  <c r="AB220" i="30" s="1"/>
  <c r="AB5" i="30"/>
  <c r="J217" i="30"/>
  <c r="J218" i="30"/>
  <c r="R47" i="32"/>
  <c r="R17" i="32" s="1"/>
  <c r="R32" i="32"/>
  <c r="F37" i="30"/>
  <c r="F69" i="30"/>
  <c r="F36" i="30"/>
  <c r="F39" i="30"/>
  <c r="B9" i="61"/>
  <c r="A8" i="61"/>
  <c r="K5" i="3"/>
  <c r="L6" i="3"/>
  <c r="R41" i="37"/>
  <c r="L48" i="36" s="1"/>
  <c r="R42" i="37"/>
  <c r="L49" i="36" s="1"/>
  <c r="M208" i="52"/>
  <c r="M225" i="52"/>
  <c r="S54" i="52"/>
  <c r="T101" i="39"/>
  <c r="T105" i="39" s="1"/>
  <c r="T107" i="39" s="1"/>
  <c r="T10" i="38"/>
  <c r="T13" i="38" s="1"/>
  <c r="G40" i="16"/>
  <c r="G72" i="16"/>
  <c r="G39" i="16"/>
  <c r="G43" i="16"/>
  <c r="T51" i="14"/>
  <c r="N58" i="13" s="1"/>
  <c r="T53" i="14"/>
  <c r="N60" i="13" s="1"/>
  <c r="T49" i="14"/>
  <c r="N56" i="13" s="1"/>
  <c r="T50" i="14"/>
  <c r="N57" i="13" s="1"/>
  <c r="S51" i="14"/>
  <c r="M58" i="13" s="1"/>
  <c r="V73" i="39"/>
  <c r="V34" i="39"/>
  <c r="F10" i="37"/>
  <c r="Z227" i="29"/>
  <c r="Z237" i="29" s="1"/>
  <c r="Z100" i="29"/>
  <c r="J17" i="28"/>
  <c r="K240" i="30"/>
  <c r="G40" i="14"/>
  <c r="E47" i="13" s="1"/>
  <c r="G52" i="14"/>
  <c r="E59" i="13" s="1"/>
  <c r="R40" i="14"/>
  <c r="L47" i="13" s="1"/>
  <c r="R17" i="30"/>
  <c r="I138" i="52"/>
  <c r="I139" i="52"/>
  <c r="I140" i="52"/>
  <c r="K207" i="52"/>
  <c r="K224" i="52"/>
  <c r="R27" i="30"/>
  <c r="R24" i="29"/>
  <c r="R251" i="30" s="1"/>
  <c r="R209" i="29"/>
  <c r="R98" i="52"/>
  <c r="R103" i="52"/>
  <c r="AB5" i="52"/>
  <c r="AC6" i="52"/>
  <c r="AB129" i="52"/>
  <c r="S55" i="52"/>
  <c r="F34" i="39"/>
  <c r="F73" i="39"/>
  <c r="I208" i="52"/>
  <c r="I225" i="52"/>
  <c r="M43" i="36"/>
  <c r="S37" i="37"/>
  <c r="M44" i="36" s="1"/>
  <c r="L36" i="16"/>
  <c r="L67" i="16"/>
  <c r="Z203" i="16"/>
  <c r="J203" i="16"/>
  <c r="J202" i="16"/>
  <c r="I133" i="52"/>
  <c r="I134" i="52"/>
  <c r="I135" i="52"/>
  <c r="I64" i="30"/>
  <c r="I33" i="30"/>
  <c r="T190" i="29"/>
  <c r="H40" i="16"/>
  <c r="H72" i="16"/>
  <c r="H39" i="16"/>
  <c r="H43" i="16"/>
  <c r="S53" i="52"/>
  <c r="K208" i="52"/>
  <c r="K225" i="52"/>
  <c r="K6" i="38"/>
  <c r="J5" i="38"/>
  <c r="G37" i="30"/>
  <c r="G69" i="30"/>
  <c r="G36" i="30"/>
  <c r="G39" i="30"/>
  <c r="L209" i="52"/>
  <c r="H226" i="52"/>
  <c r="P209" i="52"/>
  <c r="AL250" i="29"/>
  <c r="AL252" i="29" s="1"/>
  <c r="AM249" i="29"/>
  <c r="AM250" i="29" s="1"/>
  <c r="Q208" i="52"/>
  <c r="E225" i="52"/>
  <c r="T10" i="39" l="1"/>
  <c r="N34" i="39"/>
  <c r="N73" i="39"/>
  <c r="Z61" i="3"/>
  <c r="J13" i="14" s="1"/>
  <c r="R212" i="39"/>
  <c r="R142" i="39" s="1"/>
  <c r="R148" i="39" s="1"/>
  <c r="E12" i="120"/>
  <c r="F12" i="120" s="1"/>
  <c r="G12" i="120" s="1"/>
  <c r="E34" i="39"/>
  <c r="E76" i="39" s="1"/>
  <c r="R187" i="38"/>
  <c r="R188" i="38"/>
  <c r="R207" i="38"/>
  <c r="R198" i="38"/>
  <c r="R201" i="38" s="1"/>
  <c r="R205" i="38"/>
  <c r="R206" i="38"/>
  <c r="R204" i="38"/>
  <c r="E7" i="120"/>
  <c r="F7" i="120" s="1"/>
  <c r="G7" i="120" s="1"/>
  <c r="R107" i="39"/>
  <c r="AB287" i="39"/>
  <c r="AB294" i="39" s="1"/>
  <c r="AC6" i="39"/>
  <c r="AD6" i="39" s="1"/>
  <c r="AD5" i="39" s="1"/>
  <c r="R323" i="39"/>
  <c r="R93" i="38"/>
  <c r="R106" i="38" s="1"/>
  <c r="R86" i="38"/>
  <c r="R99" i="38" s="1"/>
  <c r="R94" i="38"/>
  <c r="R107" i="38" s="1"/>
  <c r="R92" i="38"/>
  <c r="R105" i="38" s="1"/>
  <c r="R87" i="38"/>
  <c r="R100" i="38" s="1"/>
  <c r="R85" i="38"/>
  <c r="R88" i="38"/>
  <c r="R101" i="38" s="1"/>
  <c r="R89" i="38"/>
  <c r="R102" i="38" s="1"/>
  <c r="R90" i="38"/>
  <c r="R103" i="38" s="1"/>
  <c r="R91" i="38"/>
  <c r="R104" i="38" s="1"/>
  <c r="P34" i="39"/>
  <c r="P76" i="39" s="1"/>
  <c r="S10" i="37"/>
  <c r="M36" i="30"/>
  <c r="T40" i="37"/>
  <c r="N47" i="36" s="1"/>
  <c r="Q106" i="30"/>
  <c r="M43" i="16"/>
  <c r="AC6" i="3"/>
  <c r="AC5" i="3" s="1"/>
  <c r="AB100" i="29"/>
  <c r="M17" i="28"/>
  <c r="R155" i="16"/>
  <c r="R162" i="16" s="1"/>
  <c r="AB61" i="32"/>
  <c r="Q107" i="30"/>
  <c r="R106" i="30"/>
  <c r="T210" i="29"/>
  <c r="R124" i="29"/>
  <c r="J69" i="30"/>
  <c r="G47" i="28"/>
  <c r="E54" i="27" s="1"/>
  <c r="P73" i="39"/>
  <c r="T42" i="37"/>
  <c r="N49" i="36" s="1"/>
  <c r="M39" i="30"/>
  <c r="M37" i="30"/>
  <c r="M40" i="30" s="1"/>
  <c r="K10" i="28"/>
  <c r="K40" i="28" s="1"/>
  <c r="I47" i="27" s="1"/>
  <c r="M39" i="16"/>
  <c r="M72" i="16"/>
  <c r="S192" i="3"/>
  <c r="T107" i="30"/>
  <c r="T106" i="30"/>
  <c r="S48" i="32"/>
  <c r="S18" i="32" s="1"/>
  <c r="S75" i="32" s="1"/>
  <c r="S104" i="32" s="1"/>
  <c r="S46" i="32"/>
  <c r="S16" i="32" s="1"/>
  <c r="S73" i="32" s="1"/>
  <c r="S102" i="32" s="1"/>
  <c r="S47" i="32"/>
  <c r="S104" i="30"/>
  <c r="S99" i="30"/>
  <c r="S105" i="30"/>
  <c r="N56" i="15"/>
  <c r="M26" i="15"/>
  <c r="T180" i="30"/>
  <c r="T181" i="30" s="1"/>
  <c r="R252" i="30"/>
  <c r="R263" i="30"/>
  <c r="S252" i="30"/>
  <c r="S187" i="52" s="1"/>
  <c r="S192" i="52" s="1"/>
  <c r="S263" i="30"/>
  <c r="S13" i="30"/>
  <c r="I56" i="15" s="1"/>
  <c r="J37" i="30"/>
  <c r="J72" i="30" s="1"/>
  <c r="G40" i="28"/>
  <c r="E47" i="27" s="1"/>
  <c r="R54" i="52"/>
  <c r="R94" i="52"/>
  <c r="R104" i="52" s="1"/>
  <c r="T149" i="39"/>
  <c r="T148" i="39"/>
  <c r="T143" i="39"/>
  <c r="T54" i="16"/>
  <c r="T56" i="16"/>
  <c r="T28" i="52"/>
  <c r="T35" i="52" s="1"/>
  <c r="T58" i="16"/>
  <c r="T183" i="16"/>
  <c r="T184" i="16" s="1"/>
  <c r="T55" i="16"/>
  <c r="T63" i="16"/>
  <c r="M146" i="15"/>
  <c r="T59" i="16"/>
  <c r="T48" i="16"/>
  <c r="T62" i="16"/>
  <c r="T70" i="16"/>
  <c r="T50" i="16"/>
  <c r="T49" i="16"/>
  <c r="S96" i="16"/>
  <c r="S97" i="16" s="1"/>
  <c r="T96" i="16"/>
  <c r="T97" i="16" s="1"/>
  <c r="T90" i="16"/>
  <c r="S90" i="16"/>
  <c r="S210" i="29"/>
  <c r="S15" i="41"/>
  <c r="O36" i="30"/>
  <c r="P36" i="30"/>
  <c r="P37" i="30"/>
  <c r="P72" i="30" s="1"/>
  <c r="O69" i="30"/>
  <c r="O37" i="30"/>
  <c r="O40" i="30" s="1"/>
  <c r="P39" i="16"/>
  <c r="P43" i="16"/>
  <c r="P40" i="16"/>
  <c r="P75" i="16" s="1"/>
  <c r="J39" i="30"/>
  <c r="U52" i="28"/>
  <c r="O59" i="27" s="1"/>
  <c r="P69" i="30"/>
  <c r="S20" i="4"/>
  <c r="S75" i="4" s="1"/>
  <c r="S103" i="4" s="1"/>
  <c r="S11" i="41"/>
  <c r="S62" i="41" s="1"/>
  <c r="S88" i="41" s="1"/>
  <c r="S59" i="16"/>
  <c r="S50" i="16"/>
  <c r="S56" i="16"/>
  <c r="S58" i="16"/>
  <c r="S70" i="16"/>
  <c r="T95" i="52"/>
  <c r="T100" i="52" s="1"/>
  <c r="S49" i="16"/>
  <c r="S63" i="16"/>
  <c r="S54" i="16"/>
  <c r="S62" i="16"/>
  <c r="S51" i="16"/>
  <c r="S48" i="16"/>
  <c r="S55" i="16"/>
  <c r="S80" i="32"/>
  <c r="S109" i="32" s="1"/>
  <c r="N72" i="16"/>
  <c r="N39" i="16"/>
  <c r="N40" i="16"/>
  <c r="N75" i="16" s="1"/>
  <c r="T34" i="14" a="1"/>
  <c r="T34" i="14" s="1"/>
  <c r="T47" i="14" s="1"/>
  <c r="N54" i="13" s="1"/>
  <c r="S183" i="16"/>
  <c r="S184" i="16" s="1"/>
  <c r="K49" i="28"/>
  <c r="I56" i="27" s="1"/>
  <c r="T34" i="28"/>
  <c r="T47" i="28" s="1"/>
  <c r="N54" i="27" s="1"/>
  <c r="K72" i="16"/>
  <c r="K40" i="16"/>
  <c r="K44" i="16" s="1"/>
  <c r="K43" i="16"/>
  <c r="K39" i="16"/>
  <c r="S34" i="14" a="1"/>
  <c r="S34" i="14" s="1"/>
  <c r="S48" i="14" s="1"/>
  <c r="M55" i="13" s="1"/>
  <c r="J44" i="16"/>
  <c r="O43" i="16"/>
  <c r="O40" i="16"/>
  <c r="O72" i="16"/>
  <c r="O39" i="16"/>
  <c r="R101" i="16"/>
  <c r="E43" i="16"/>
  <c r="R52" i="39"/>
  <c r="E103" i="15"/>
  <c r="S13" i="4"/>
  <c r="S68" i="4" s="1"/>
  <c r="S96" i="4" s="1"/>
  <c r="N69" i="30"/>
  <c r="N37" i="30"/>
  <c r="N72" i="30" s="1"/>
  <c r="S28" i="41"/>
  <c r="S79" i="41" s="1"/>
  <c r="S105" i="41" s="1"/>
  <c r="S43" i="41"/>
  <c r="S16" i="41" s="1"/>
  <c r="S67" i="41" s="1"/>
  <c r="S93" i="41" s="1"/>
  <c r="T46" i="30"/>
  <c r="T44" i="30"/>
  <c r="S25" i="32"/>
  <c r="S82" i="32" s="1"/>
  <c r="S111" i="32" s="1"/>
  <c r="S21" i="41"/>
  <c r="S72" i="41" s="1"/>
  <c r="S98" i="41" s="1"/>
  <c r="S32" i="32"/>
  <c r="S89" i="32" s="1"/>
  <c r="S118" i="32" s="1"/>
  <c r="S21" i="32"/>
  <c r="S78" i="32" s="1"/>
  <c r="S107" i="32" s="1"/>
  <c r="S128" i="38"/>
  <c r="T128" i="38"/>
  <c r="G45" i="37"/>
  <c r="E52" i="36" s="1"/>
  <c r="G44" i="37"/>
  <c r="E51" i="36" s="1"/>
  <c r="W257" i="38"/>
  <c r="W4" i="38" s="1"/>
  <c r="X254" i="38"/>
  <c r="Q101" i="16"/>
  <c r="Q58" i="52" s="1"/>
  <c r="Q145" i="16"/>
  <c r="Q181" i="16"/>
  <c r="R34" i="14" a="1"/>
  <c r="R34" i="14" s="1"/>
  <c r="R48" i="14" s="1"/>
  <c r="L55" i="13" s="1"/>
  <c r="Q34" i="14" a="1"/>
  <c r="Q34" i="14" s="1"/>
  <c r="P34" i="14" a="1"/>
  <c r="P34" i="14" s="1"/>
  <c r="N39" i="30"/>
  <c r="N36" i="30"/>
  <c r="K42" i="28"/>
  <c r="I49" i="27" s="1"/>
  <c r="S34" i="28"/>
  <c r="T49" i="30"/>
  <c r="T47" i="30"/>
  <c r="K41" i="28"/>
  <c r="I48" i="27" s="1"/>
  <c r="R21" i="52"/>
  <c r="R26" i="52" s="1"/>
  <c r="R108" i="52" s="1"/>
  <c r="R113" i="52" s="1"/>
  <c r="K53" i="28"/>
  <c r="I60" i="27" s="1"/>
  <c r="K51" i="28"/>
  <c r="I58" i="27" s="1"/>
  <c r="T48" i="30"/>
  <c r="T108" i="29"/>
  <c r="S124" i="29"/>
  <c r="S120" i="29"/>
  <c r="T142" i="29"/>
  <c r="T124" i="29"/>
  <c r="R13" i="30"/>
  <c r="E56" i="15" s="1"/>
  <c r="S108" i="29"/>
  <c r="R120" i="29"/>
  <c r="T120" i="29"/>
  <c r="S142" i="29"/>
  <c r="R142" i="29"/>
  <c r="R223" i="29" s="1"/>
  <c r="R108" i="29"/>
  <c r="V29" i="28" s="1"/>
  <c r="R210" i="29"/>
  <c r="R146" i="29" s="1"/>
  <c r="G48" i="28"/>
  <c r="E55" i="27" s="1"/>
  <c r="G48" i="14"/>
  <c r="E55" i="13" s="1"/>
  <c r="M224" i="16"/>
  <c r="S26" i="32"/>
  <c r="S83" i="32" s="1"/>
  <c r="S112" i="32" s="1"/>
  <c r="S29" i="32"/>
  <c r="S86" i="32" s="1"/>
  <c r="S115" i="32" s="1"/>
  <c r="S19" i="32"/>
  <c r="S76" i="32" s="1"/>
  <c r="S105" i="32" s="1"/>
  <c r="S19" i="4"/>
  <c r="S74" i="4" s="1"/>
  <c r="S102" i="4" s="1"/>
  <c r="S25" i="4"/>
  <c r="S80" i="4" s="1"/>
  <c r="S108" i="4" s="1"/>
  <c r="S21" i="4"/>
  <c r="S76" i="4" s="1"/>
  <c r="S104" i="4" s="1"/>
  <c r="S24" i="41"/>
  <c r="S75" i="41" s="1"/>
  <c r="S101" i="41" s="1"/>
  <c r="S28" i="4"/>
  <c r="S16" i="4"/>
  <c r="S71" i="4" s="1"/>
  <c r="S99" i="4" s="1"/>
  <c r="AB47" i="32"/>
  <c r="S24" i="32"/>
  <c r="S81" i="32" s="1"/>
  <c r="S110" i="32" s="1"/>
  <c r="S20" i="32"/>
  <c r="S77" i="32" s="1"/>
  <c r="S106" i="32" s="1"/>
  <c r="S41" i="41"/>
  <c r="S14" i="41" s="1"/>
  <c r="M223" i="16"/>
  <c r="S12" i="32"/>
  <c r="S69" i="32" s="1"/>
  <c r="S98" i="32" s="1"/>
  <c r="S11" i="32"/>
  <c r="S68" i="32" s="1"/>
  <c r="S97" i="32" s="1"/>
  <c r="S30" i="4"/>
  <c r="S85" i="4" s="1"/>
  <c r="S113" i="4" s="1"/>
  <c r="S30" i="32"/>
  <c r="Z101" i="29"/>
  <c r="J13" i="28" s="1"/>
  <c r="S18" i="4"/>
  <c r="S29" i="41"/>
  <c r="S80" i="41" s="1"/>
  <c r="S106" i="41" s="1"/>
  <c r="M70" i="39"/>
  <c r="M31" i="39"/>
  <c r="P10" i="37" s="1"/>
  <c r="T53" i="37"/>
  <c r="N60" i="36" s="1"/>
  <c r="S24" i="4"/>
  <c r="S79" i="4" s="1"/>
  <c r="S107" i="4" s="1"/>
  <c r="S22" i="32"/>
  <c r="S79" i="32" s="1"/>
  <c r="S108" i="32" s="1"/>
  <c r="S29" i="4"/>
  <c r="S84" i="4" s="1"/>
  <c r="S112" i="4" s="1"/>
  <c r="R82" i="32"/>
  <c r="R111" i="32" s="1"/>
  <c r="R74" i="32"/>
  <c r="R103" i="32" s="1"/>
  <c r="R71" i="4"/>
  <c r="R99" i="4" s="1"/>
  <c r="R74" i="4"/>
  <c r="R102" i="4" s="1"/>
  <c r="R75" i="32"/>
  <c r="R104" i="32" s="1"/>
  <c r="R83" i="4"/>
  <c r="R111" i="4" s="1"/>
  <c r="R89" i="32"/>
  <c r="R118" i="32" s="1"/>
  <c r="R70" i="32"/>
  <c r="R99" i="32" s="1"/>
  <c r="R72" i="32"/>
  <c r="R101" i="32" s="1"/>
  <c r="T52" i="14"/>
  <c r="N59" i="13" s="1"/>
  <c r="K5" i="52"/>
  <c r="L6" i="52"/>
  <c r="K129" i="52"/>
  <c r="K130" i="52"/>
  <c r="K147" i="52"/>
  <c r="S52" i="14"/>
  <c r="M59" i="13" s="1"/>
  <c r="K37" i="37"/>
  <c r="I44" i="36" s="1"/>
  <c r="I43" i="36"/>
  <c r="H39" i="39"/>
  <c r="H76" i="39"/>
  <c r="H46" i="39"/>
  <c r="G39" i="39"/>
  <c r="G76" i="39"/>
  <c r="G46" i="39"/>
  <c r="T98" i="52"/>
  <c r="T103" i="52"/>
  <c r="L69" i="30"/>
  <c r="L37" i="30"/>
  <c r="L36" i="30"/>
  <c r="L39" i="30"/>
  <c r="Q34" i="39"/>
  <c r="Q73" i="39"/>
  <c r="AM252" i="29"/>
  <c r="AN249" i="29"/>
  <c r="H75" i="16"/>
  <c r="H44" i="16"/>
  <c r="I37" i="30"/>
  <c r="I69" i="30"/>
  <c r="I36" i="30"/>
  <c r="I39" i="30"/>
  <c r="F39" i="39"/>
  <c r="F76" i="39"/>
  <c r="F46" i="39"/>
  <c r="R10" i="16"/>
  <c r="R180" i="16"/>
  <c r="R12" i="16" s="1"/>
  <c r="R159" i="16"/>
  <c r="R166" i="16" s="1"/>
  <c r="R145" i="16"/>
  <c r="R104" i="16"/>
  <c r="R103" i="16"/>
  <c r="R102" i="16"/>
  <c r="T187" i="38"/>
  <c r="W201" i="38"/>
  <c r="T183" i="38"/>
  <c r="E33" i="30"/>
  <c r="E64" i="30"/>
  <c r="S13" i="32"/>
  <c r="V75" i="16"/>
  <c r="V44" i="16"/>
  <c r="S42" i="37"/>
  <c r="M49" i="36" s="1"/>
  <c r="S41" i="37"/>
  <c r="M48" i="36" s="1"/>
  <c r="AB5" i="41"/>
  <c r="AC6" i="41"/>
  <c r="AC42" i="41" s="1"/>
  <c r="AB5" i="38"/>
  <c r="AC6" i="38"/>
  <c r="S17" i="4"/>
  <c r="S72" i="4" s="1"/>
  <c r="S100" i="4" s="1"/>
  <c r="S13" i="39"/>
  <c r="S25" i="41"/>
  <c r="S76" i="41" s="1"/>
  <c r="S102" i="41" s="1"/>
  <c r="Q98" i="52"/>
  <c r="Q103" i="52"/>
  <c r="T108" i="52"/>
  <c r="T33" i="52"/>
  <c r="R25" i="3"/>
  <c r="R219" i="3"/>
  <c r="Q159" i="16"/>
  <c r="Q166" i="16" s="1"/>
  <c r="Q104" i="16"/>
  <c r="Q102" i="16"/>
  <c r="Q103" i="16"/>
  <c r="R109" i="52"/>
  <c r="R34" i="52"/>
  <c r="K34" i="39"/>
  <c r="K73" i="39"/>
  <c r="O73" i="39"/>
  <c r="O34" i="39"/>
  <c r="P39" i="39"/>
  <c r="P46" i="39"/>
  <c r="T32" i="30"/>
  <c r="T79" i="30" s="1"/>
  <c r="T76" i="30" s="1"/>
  <c r="T31" i="29" s="1"/>
  <c r="T60" i="30"/>
  <c r="T56" i="30"/>
  <c r="T55" i="30"/>
  <c r="T54" i="30"/>
  <c r="T59" i="30"/>
  <c r="T52" i="30"/>
  <c r="Q33" i="52"/>
  <c r="Q108" i="52"/>
  <c r="R81" i="32"/>
  <c r="R110" i="32" s="1"/>
  <c r="AB5" i="32"/>
  <c r="AC6" i="32"/>
  <c r="E40" i="16"/>
  <c r="E75" i="16" s="1"/>
  <c r="E72" i="16"/>
  <c r="E39" i="16"/>
  <c r="S100" i="52"/>
  <c r="S105" i="52"/>
  <c r="L40" i="16"/>
  <c r="L72" i="16"/>
  <c r="L43" i="16"/>
  <c r="L39" i="16"/>
  <c r="V39" i="39"/>
  <c r="V76" i="39"/>
  <c r="V46" i="39"/>
  <c r="G75" i="16"/>
  <c r="G44" i="16"/>
  <c r="T13" i="39"/>
  <c r="M103" i="15" s="1"/>
  <c r="R63" i="32"/>
  <c r="R129" i="32" s="1"/>
  <c r="AB125" i="52"/>
  <c r="AB133" i="52" s="1"/>
  <c r="W75" i="16"/>
  <c r="W44" i="16"/>
  <c r="AB5" i="29"/>
  <c r="AC6" i="29"/>
  <c r="R88" i="32"/>
  <c r="R117" i="32" s="1"/>
  <c r="L208" i="52"/>
  <c r="L225" i="52"/>
  <c r="R184" i="3"/>
  <c r="M75" i="16"/>
  <c r="M44" i="16"/>
  <c r="S49" i="28"/>
  <c r="M56" i="27" s="1"/>
  <c r="S50" i="28"/>
  <c r="M57" i="27" s="1"/>
  <c r="S51" i="28"/>
  <c r="M58" i="27" s="1"/>
  <c r="S53" i="28"/>
  <c r="M60" i="27" s="1"/>
  <c r="R50" i="28"/>
  <c r="L57" i="27" s="1"/>
  <c r="R51" i="28"/>
  <c r="L58" i="27" s="1"/>
  <c r="R49" i="28"/>
  <c r="L56" i="27" s="1"/>
  <c r="R53" i="28"/>
  <c r="L60" i="27" s="1"/>
  <c r="G42" i="37"/>
  <c r="E49" i="36" s="1"/>
  <c r="G50" i="37"/>
  <c r="E57" i="36" s="1"/>
  <c r="G53" i="37"/>
  <c r="E60" i="36" s="1"/>
  <c r="G51" i="37"/>
  <c r="E58" i="36" s="1"/>
  <c r="G41" i="37"/>
  <c r="E48" i="36" s="1"/>
  <c r="G49" i="37"/>
  <c r="E56" i="36" s="1"/>
  <c r="S5" i="41"/>
  <c r="T6" i="41"/>
  <c r="AC5" i="39"/>
  <c r="W72" i="30"/>
  <c r="W40" i="30"/>
  <c r="S110" i="52"/>
  <c r="S35" i="52"/>
  <c r="N39" i="39"/>
  <c r="N76" i="39"/>
  <c r="N46" i="39"/>
  <c r="Q187" i="52"/>
  <c r="T27" i="52"/>
  <c r="T94" i="52"/>
  <c r="E112" i="3"/>
  <c r="R17" i="29"/>
  <c r="R52" i="14"/>
  <c r="L59" i="13" s="1"/>
  <c r="G72" i="30"/>
  <c r="G40" i="30"/>
  <c r="L6" i="38"/>
  <c r="K5" i="38"/>
  <c r="R164" i="29"/>
  <c r="F72" i="30"/>
  <c r="F40" i="30"/>
  <c r="AC5" i="30"/>
  <c r="AD6" i="30"/>
  <c r="AD5" i="30" s="1"/>
  <c r="AC213" i="30"/>
  <c r="K218" i="30"/>
  <c r="K217" i="30"/>
  <c r="S5" i="32"/>
  <c r="T6" i="32"/>
  <c r="T48" i="32" s="1"/>
  <c r="S17" i="32"/>
  <c r="F75" i="16"/>
  <c r="F44" i="16"/>
  <c r="I209" i="52"/>
  <c r="E226" i="52"/>
  <c r="M209" i="52"/>
  <c r="Q53" i="3"/>
  <c r="X252" i="3"/>
  <c r="X253" i="3" s="1"/>
  <c r="AI253" i="3"/>
  <c r="AB5" i="4"/>
  <c r="AC6" i="4"/>
  <c r="K33" i="30"/>
  <c r="R34" i="28" s="1"/>
  <c r="K64" i="30"/>
  <c r="S31" i="4"/>
  <c r="K291" i="39"/>
  <c r="K292" i="39"/>
  <c r="W73" i="39"/>
  <c r="W34" i="39"/>
  <c r="G10" i="37"/>
  <c r="S20" i="41"/>
  <c r="S71" i="41" s="1"/>
  <c r="S97" i="41" s="1"/>
  <c r="K203" i="16"/>
  <c r="K202" i="16"/>
  <c r="S150" i="39"/>
  <c r="S151" i="39"/>
  <c r="I34" i="39"/>
  <c r="I73" i="39"/>
  <c r="AC5" i="52"/>
  <c r="AD6" i="52"/>
  <c r="AD5" i="52" s="1"/>
  <c r="AC129" i="52"/>
  <c r="AD129" i="52" s="1"/>
  <c r="R73" i="32"/>
  <c r="R102" i="32" s="1"/>
  <c r="T192" i="3"/>
  <c r="S14" i="32"/>
  <c r="S71" i="32" s="1"/>
  <c r="S100" i="32" s="1"/>
  <c r="S31" i="32"/>
  <c r="S28" i="32"/>
  <c r="S15" i="32"/>
  <c r="L73" i="39"/>
  <c r="L34" i="39"/>
  <c r="R10" i="32"/>
  <c r="T23" i="32"/>
  <c r="S118" i="38"/>
  <c r="V29" i="37" s="1"/>
  <c r="S160" i="38"/>
  <c r="S122" i="38"/>
  <c r="S138" i="38"/>
  <c r="T160" i="38"/>
  <c r="T118" i="38"/>
  <c r="T122" i="38"/>
  <c r="T138" i="38"/>
  <c r="H64" i="30"/>
  <c r="H33" i="30"/>
  <c r="S5" i="4"/>
  <c r="T6" i="4"/>
  <c r="H252" i="3"/>
  <c r="H253" i="3" s="1"/>
  <c r="G255" i="3"/>
  <c r="G4" i="3" s="1"/>
  <c r="S19" i="41"/>
  <c r="J138" i="52"/>
  <c r="J140" i="52"/>
  <c r="J139" i="52"/>
  <c r="R40" i="37"/>
  <c r="L47" i="36" s="1"/>
  <c r="T27" i="30"/>
  <c r="T63" i="30" s="1"/>
  <c r="T24" i="29"/>
  <c r="T251" i="30" s="1"/>
  <c r="T209" i="29"/>
  <c r="J254" i="38"/>
  <c r="J255" i="38" s="1"/>
  <c r="I257" i="38"/>
  <c r="I4" i="38" s="1"/>
  <c r="T17" i="30"/>
  <c r="S33" i="52"/>
  <c r="S108" i="52"/>
  <c r="S27" i="52"/>
  <c r="S94" i="52"/>
  <c r="M6" i="39"/>
  <c r="L5" i="39"/>
  <c r="L287" i="39"/>
  <c r="L290" i="39" s="1"/>
  <c r="L288" i="39"/>
  <c r="I75" i="16"/>
  <c r="I44" i="16"/>
  <c r="J133" i="52"/>
  <c r="J135" i="52"/>
  <c r="J134" i="52"/>
  <c r="L5" i="16"/>
  <c r="M6" i="16"/>
  <c r="L113" i="16"/>
  <c r="L114" i="16" s="1"/>
  <c r="L198" i="16"/>
  <c r="L201" i="16" s="1"/>
  <c r="L199" i="16"/>
  <c r="L137" i="16"/>
  <c r="L138" i="16" s="1"/>
  <c r="T52" i="28"/>
  <c r="N59" i="27" s="1"/>
  <c r="L5" i="3"/>
  <c r="M6" i="3"/>
  <c r="B10" i="61"/>
  <c r="A9" i="61"/>
  <c r="L5" i="30"/>
  <c r="L155" i="30"/>
  <c r="L156" i="30" s="1"/>
  <c r="L129" i="30"/>
  <c r="L130" i="30" s="1"/>
  <c r="L214" i="30"/>
  <c r="M6" i="30"/>
  <c r="L213" i="30"/>
  <c r="L216" i="30" s="1"/>
  <c r="L5" i="29"/>
  <c r="M6" i="29"/>
  <c r="S27" i="32"/>
  <c r="S84" i="32" s="1"/>
  <c r="S113" i="32" s="1"/>
  <c r="J76" i="39"/>
  <c r="J39" i="39"/>
  <c r="J46" i="39"/>
  <c r="R79" i="39"/>
  <c r="R80" i="39"/>
  <c r="R55" i="39"/>
  <c r="R64" i="39"/>
  <c r="R60" i="39"/>
  <c r="R63" i="39"/>
  <c r="R53" i="39"/>
  <c r="R61" i="39"/>
  <c r="R59" i="39"/>
  <c r="R69" i="39"/>
  <c r="R68" i="39"/>
  <c r="R62" i="39"/>
  <c r="R54" i="39"/>
  <c r="R58" i="39"/>
  <c r="E57" i="3"/>
  <c r="E42" i="16" s="1"/>
  <c r="R78" i="32"/>
  <c r="R107" i="32" s="1"/>
  <c r="AB5" i="16"/>
  <c r="AC6" i="16"/>
  <c r="AB198" i="16"/>
  <c r="AB205" i="16" s="1"/>
  <c r="S98" i="52"/>
  <c r="S103" i="52"/>
  <c r="S183" i="38"/>
  <c r="S187" i="38"/>
  <c r="V72" i="30"/>
  <c r="V40" i="30"/>
  <c r="I252" i="29"/>
  <c r="I4" i="29" s="1"/>
  <c r="J249" i="29"/>
  <c r="J250" i="29" s="1"/>
  <c r="S187" i="3"/>
  <c r="AC287" i="39" l="1"/>
  <c r="R149" i="39"/>
  <c r="R151" i="39" s="1"/>
  <c r="R143" i="39"/>
  <c r="E39" i="39"/>
  <c r="E46" i="39"/>
  <c r="R95" i="38"/>
  <c r="R98" i="38"/>
  <c r="I103" i="15"/>
  <c r="V7" i="37"/>
  <c r="V36" i="37" s="1"/>
  <c r="AD6" i="3"/>
  <c r="AD5" i="3" s="1"/>
  <c r="AC61" i="32"/>
  <c r="R152" i="16"/>
  <c r="R89" i="16" s="1"/>
  <c r="R90" i="16" s="1"/>
  <c r="R188" i="16"/>
  <c r="R189" i="16" s="1"/>
  <c r="Q152" i="16"/>
  <c r="Q89" i="16" s="1"/>
  <c r="Q95" i="16" s="1"/>
  <c r="Q188" i="16"/>
  <c r="O72" i="30"/>
  <c r="M72" i="30"/>
  <c r="K52" i="28"/>
  <c r="I59" i="27" s="1"/>
  <c r="T110" i="52"/>
  <c r="T115" i="52" s="1"/>
  <c r="R187" i="52"/>
  <c r="R202" i="52" s="1"/>
  <c r="R207" i="52" s="1"/>
  <c r="G72" i="15"/>
  <c r="H72" i="15" s="1"/>
  <c r="I72" i="15" s="1"/>
  <c r="S197" i="52"/>
  <c r="S202" i="52"/>
  <c r="S207" i="52" s="1"/>
  <c r="T47" i="32"/>
  <c r="T17" i="32" s="1"/>
  <c r="T46" i="32"/>
  <c r="T16" i="32" s="1"/>
  <c r="AA16" i="32" s="1"/>
  <c r="AC54" i="4"/>
  <c r="T61" i="32"/>
  <c r="T31" i="32" s="1"/>
  <c r="AA31" i="32" s="1"/>
  <c r="S106" i="30"/>
  <c r="S107" i="30"/>
  <c r="S47" i="30"/>
  <c r="F56" i="15"/>
  <c r="S49" i="30"/>
  <c r="S48" i="30"/>
  <c r="S63" i="30"/>
  <c r="S55" i="30"/>
  <c r="S52" i="30"/>
  <c r="J56" i="15"/>
  <c r="S46" i="30"/>
  <c r="O56" i="15"/>
  <c r="N40" i="30"/>
  <c r="S56" i="30"/>
  <c r="S180" i="30"/>
  <c r="S181" i="30" s="1"/>
  <c r="R180" i="30"/>
  <c r="R181" i="30" s="1"/>
  <c r="S274" i="30"/>
  <c r="S264" i="30"/>
  <c r="S275" i="30" s="1"/>
  <c r="J40" i="30"/>
  <c r="R274" i="30"/>
  <c r="R264" i="30"/>
  <c r="T252" i="30"/>
  <c r="T187" i="52" s="1"/>
  <c r="T192" i="52" s="1"/>
  <c r="T263" i="30"/>
  <c r="S53" i="30"/>
  <c r="S54" i="30"/>
  <c r="I26" i="15"/>
  <c r="S60" i="30"/>
  <c r="S59" i="30"/>
  <c r="S44" i="30"/>
  <c r="S32" i="30"/>
  <c r="S79" i="30" s="1"/>
  <c r="S76" i="30" s="1"/>
  <c r="S31" i="29" s="1"/>
  <c r="E26" i="15"/>
  <c r="S146" i="29"/>
  <c r="T146" i="29" s="1"/>
  <c r="R99" i="52"/>
  <c r="T151" i="39"/>
  <c r="T150" i="39"/>
  <c r="S98" i="16"/>
  <c r="T98" i="16"/>
  <c r="AB57" i="41"/>
  <c r="P40" i="30"/>
  <c r="T42" i="41"/>
  <c r="T15" i="41" s="1"/>
  <c r="S10" i="41"/>
  <c r="T10" i="41" s="1"/>
  <c r="T61" i="41" s="1"/>
  <c r="S57" i="41"/>
  <c r="S117" i="41" s="1"/>
  <c r="S66" i="41"/>
  <c r="S92" i="41" s="1"/>
  <c r="T20" i="4"/>
  <c r="T75" i="4" s="1"/>
  <c r="T103" i="4" s="1"/>
  <c r="P44" i="16"/>
  <c r="T105" i="52"/>
  <c r="R67" i="32"/>
  <c r="R96" i="32" s="1"/>
  <c r="R155" i="29"/>
  <c r="S65" i="41"/>
  <c r="S91" i="41" s="1"/>
  <c r="S147" i="38"/>
  <c r="T48" i="28"/>
  <c r="N55" i="27" s="1"/>
  <c r="T80" i="32"/>
  <c r="T109" i="32" s="1"/>
  <c r="N44" i="16"/>
  <c r="K75" i="16"/>
  <c r="R58" i="52"/>
  <c r="O75" i="16"/>
  <c r="O44" i="16"/>
  <c r="T24" i="41"/>
  <c r="T75" i="41" s="1"/>
  <c r="T101" i="41" s="1"/>
  <c r="T20" i="41"/>
  <c r="AA20" i="41" s="1"/>
  <c r="R46" i="30"/>
  <c r="R44" i="30"/>
  <c r="G81" i="15" s="1"/>
  <c r="H81" i="15" s="1"/>
  <c r="I81" i="15" s="1"/>
  <c r="T41" i="41"/>
  <c r="T14" i="41" s="1"/>
  <c r="T12" i="32"/>
  <c r="T69" i="32" s="1"/>
  <c r="T98" i="32" s="1"/>
  <c r="T225" i="38"/>
  <c r="S225" i="38"/>
  <c r="T227" i="38"/>
  <c r="S49" i="37"/>
  <c r="M56" i="36" s="1"/>
  <c r="S53" i="37"/>
  <c r="M60" i="36" s="1"/>
  <c r="S50" i="37"/>
  <c r="M57" i="36" s="1"/>
  <c r="R50" i="37"/>
  <c r="L57" i="36" s="1"/>
  <c r="T50" i="37"/>
  <c r="N57" i="36" s="1"/>
  <c r="R53" i="37"/>
  <c r="L60" i="36" s="1"/>
  <c r="R51" i="37"/>
  <c r="L58" i="36" s="1"/>
  <c r="T51" i="37"/>
  <c r="N58" i="36" s="1"/>
  <c r="R49" i="37"/>
  <c r="L56" i="36" s="1"/>
  <c r="T49" i="37"/>
  <c r="N56" i="36" s="1"/>
  <c r="S51" i="37"/>
  <c r="M58" i="36" s="1"/>
  <c r="R33" i="52"/>
  <c r="R49" i="30"/>
  <c r="R47" i="30"/>
  <c r="R48" i="30"/>
  <c r="T217" i="29"/>
  <c r="T223" i="29"/>
  <c r="R53" i="30"/>
  <c r="R118" i="52"/>
  <c r="R56" i="30"/>
  <c r="R59" i="30"/>
  <c r="R60" i="30"/>
  <c r="R52" i="30"/>
  <c r="S223" i="29"/>
  <c r="R54" i="30"/>
  <c r="V7" i="28"/>
  <c r="R55" i="30"/>
  <c r="R63" i="30"/>
  <c r="R32" i="30"/>
  <c r="R79" i="30" s="1"/>
  <c r="R76" i="30" s="1"/>
  <c r="R31" i="29" s="1"/>
  <c r="S217" i="29"/>
  <c r="R217" i="29"/>
  <c r="O34" i="28"/>
  <c r="N34" i="28"/>
  <c r="Q34" i="28"/>
  <c r="P34" i="28"/>
  <c r="R47" i="14"/>
  <c r="L54" i="13" s="1"/>
  <c r="S47" i="14"/>
  <c r="M54" i="13" s="1"/>
  <c r="T32" i="32"/>
  <c r="T18" i="32"/>
  <c r="AA18" i="32" s="1"/>
  <c r="AA35" i="32"/>
  <c r="AB35" i="32" s="1"/>
  <c r="AC35" i="32" s="1"/>
  <c r="AD35" i="32" s="1"/>
  <c r="T24" i="4"/>
  <c r="T30" i="32"/>
  <c r="AA30" i="32" s="1"/>
  <c r="T27" i="32"/>
  <c r="AA27" i="32" s="1"/>
  <c r="T48" i="14"/>
  <c r="N55" i="13" s="1"/>
  <c r="T52" i="37"/>
  <c r="N59" i="36" s="1"/>
  <c r="M73" i="39"/>
  <c r="M34" i="39"/>
  <c r="T30" i="4"/>
  <c r="T85" i="4" s="1"/>
  <c r="T113" i="4" s="1"/>
  <c r="T224" i="38"/>
  <c r="T22" i="32"/>
  <c r="T15" i="32"/>
  <c r="E44" i="16"/>
  <c r="T29" i="41"/>
  <c r="T80" i="41" s="1"/>
  <c r="T106" i="41" s="1"/>
  <c r="T29" i="4"/>
  <c r="AA29" i="4" s="1"/>
  <c r="T29" i="32"/>
  <c r="T86" i="32" s="1"/>
  <c r="T115" i="32" s="1"/>
  <c r="T14" i="32"/>
  <c r="T13" i="32"/>
  <c r="AA13" i="32" s="1"/>
  <c r="AB13" i="32" s="1"/>
  <c r="S72" i="32"/>
  <c r="S101" i="32" s="1"/>
  <c r="S74" i="32"/>
  <c r="S103" i="32" s="1"/>
  <c r="T28" i="32"/>
  <c r="AA28" i="32" s="1"/>
  <c r="S85" i="32"/>
  <c r="S114" i="32" s="1"/>
  <c r="S88" i="32"/>
  <c r="S117" i="32" s="1"/>
  <c r="S86" i="4"/>
  <c r="S114" i="4" s="1"/>
  <c r="S70" i="32"/>
  <c r="S99" i="32" s="1"/>
  <c r="AC5" i="29"/>
  <c r="AD6" i="29"/>
  <c r="AD5" i="29" s="1"/>
  <c r="Q113" i="52"/>
  <c r="Q118" i="52"/>
  <c r="P43" i="39"/>
  <c r="P81" i="39"/>
  <c r="P47" i="39"/>
  <c r="P42" i="39"/>
  <c r="O39" i="39"/>
  <c r="O76" i="39"/>
  <c r="O46" i="39"/>
  <c r="T235" i="38"/>
  <c r="T233" i="38" s="1"/>
  <c r="T181" i="38"/>
  <c r="K140" i="52"/>
  <c r="K138" i="52"/>
  <c r="K139" i="52"/>
  <c r="S25" i="3"/>
  <c r="S219" i="3"/>
  <c r="AB127" i="52"/>
  <c r="AB135" i="52" s="1"/>
  <c r="S70" i="41"/>
  <c r="S96" i="41" s="1"/>
  <c r="T16" i="4"/>
  <c r="T21" i="4"/>
  <c r="T76" i="4" s="1"/>
  <c r="T104" i="4" s="1"/>
  <c r="S222" i="38"/>
  <c r="K69" i="30"/>
  <c r="K37" i="30"/>
  <c r="K36" i="30"/>
  <c r="K39" i="30"/>
  <c r="R48" i="28"/>
  <c r="L55" i="27" s="1"/>
  <c r="T24" i="32"/>
  <c r="AA24" i="32" s="1"/>
  <c r="T19" i="32"/>
  <c r="R165" i="29"/>
  <c r="R115" i="29" s="1"/>
  <c r="V31" i="28" s="1"/>
  <c r="S164" i="29"/>
  <c r="T28" i="41"/>
  <c r="T79" i="41" s="1"/>
  <c r="T105" i="41" s="1"/>
  <c r="T11" i="41"/>
  <c r="T62" i="41" s="1"/>
  <c r="T88" i="41" s="1"/>
  <c r="S184" i="3"/>
  <c r="R185" i="3"/>
  <c r="R126" i="3" s="1"/>
  <c r="V31" i="14" s="1"/>
  <c r="R59" i="52"/>
  <c r="K135" i="52"/>
  <c r="K133" i="52"/>
  <c r="K134" i="52"/>
  <c r="T187" i="3"/>
  <c r="M5" i="29"/>
  <c r="N6" i="29"/>
  <c r="L292" i="39"/>
  <c r="L291" i="39"/>
  <c r="Q197" i="52"/>
  <c r="Q192" i="52"/>
  <c r="Q202" i="52"/>
  <c r="Q207" i="52" s="1"/>
  <c r="S120" i="52"/>
  <c r="S115" i="52"/>
  <c r="T55" i="39"/>
  <c r="T79" i="39"/>
  <c r="T80" i="39"/>
  <c r="T68" i="39"/>
  <c r="T62" i="39"/>
  <c r="T69" i="39"/>
  <c r="T59" i="39"/>
  <c r="T63" i="39"/>
  <c r="T60" i="39"/>
  <c r="T65" i="39"/>
  <c r="T53" i="39"/>
  <c r="T64" i="39"/>
  <c r="T58" i="39"/>
  <c r="T61" i="39"/>
  <c r="T54" i="39"/>
  <c r="Q13" i="52"/>
  <c r="S55" i="39"/>
  <c r="S79" i="39"/>
  <c r="S80" i="39"/>
  <c r="S62" i="39"/>
  <c r="S69" i="39"/>
  <c r="S64" i="39"/>
  <c r="S61" i="39"/>
  <c r="S59" i="39"/>
  <c r="S68" i="39"/>
  <c r="S63" i="39"/>
  <c r="S65" i="39"/>
  <c r="S60" i="39"/>
  <c r="S53" i="39"/>
  <c r="S58" i="39"/>
  <c r="S54" i="39"/>
  <c r="AC5" i="41"/>
  <c r="AD6" i="41"/>
  <c r="R60" i="52"/>
  <c r="J252" i="29"/>
  <c r="J4" i="29" s="1"/>
  <c r="K249" i="29"/>
  <c r="K250" i="29" s="1"/>
  <c r="AD6" i="16"/>
  <c r="AD5" i="16" s="1"/>
  <c r="AC5" i="16"/>
  <c r="AC198" i="16"/>
  <c r="S113" i="52"/>
  <c r="S118" i="52"/>
  <c r="T31" i="4"/>
  <c r="T13" i="4"/>
  <c r="T68" i="4" s="1"/>
  <c r="T96" i="4" s="1"/>
  <c r="T222" i="38"/>
  <c r="L39" i="39"/>
  <c r="L76" i="39"/>
  <c r="L46" i="39"/>
  <c r="AC5" i="4"/>
  <c r="AD6" i="4"/>
  <c r="AD54" i="4" s="1"/>
  <c r="T5" i="32"/>
  <c r="AA53" i="32" s="1"/>
  <c r="AA23" i="32"/>
  <c r="T25" i="41"/>
  <c r="V81" i="39"/>
  <c r="V43" i="39"/>
  <c r="V47" i="39"/>
  <c r="V42" i="39"/>
  <c r="F34" i="37" s="1"/>
  <c r="R114" i="52"/>
  <c r="R119" i="52"/>
  <c r="Q59" i="52"/>
  <c r="E69" i="30"/>
  <c r="E37" i="30"/>
  <c r="E36" i="30"/>
  <c r="E39" i="30"/>
  <c r="R61" i="52"/>
  <c r="Q76" i="39"/>
  <c r="Q39" i="39"/>
  <c r="Q46" i="39"/>
  <c r="L5" i="52"/>
  <c r="M6" i="52"/>
  <c r="L129" i="52"/>
  <c r="L130" i="52"/>
  <c r="L147" i="52"/>
  <c r="B11" i="61"/>
  <c r="A10" i="61"/>
  <c r="M5" i="39"/>
  <c r="N6" i="39"/>
  <c r="M287" i="39"/>
  <c r="M290" i="39" s="1"/>
  <c r="M288" i="39"/>
  <c r="I252" i="3"/>
  <c r="I253" i="3" s="1"/>
  <c r="H255" i="3"/>
  <c r="H4" i="3" s="1"/>
  <c r="AD287" i="39"/>
  <c r="T5" i="41"/>
  <c r="AA53" i="41" s="1"/>
  <c r="AA32" i="41"/>
  <c r="AB32" i="41" s="1"/>
  <c r="AA26" i="41"/>
  <c r="AC5" i="32"/>
  <c r="AD6" i="32"/>
  <c r="AD61" i="32" s="1"/>
  <c r="K76" i="39"/>
  <c r="K39" i="39"/>
  <c r="K46" i="39"/>
  <c r="Q60" i="52"/>
  <c r="R30" i="16"/>
  <c r="R234" i="16"/>
  <c r="R53" i="3"/>
  <c r="J43" i="39"/>
  <c r="J81" i="39"/>
  <c r="J42" i="39"/>
  <c r="J47" i="39"/>
  <c r="H37" i="30"/>
  <c r="H69" i="30"/>
  <c r="H36" i="30"/>
  <c r="H39" i="30"/>
  <c r="E81" i="39"/>
  <c r="E43" i="39"/>
  <c r="E42" i="39"/>
  <c r="E47" i="39"/>
  <c r="S235" i="38"/>
  <c r="S233" i="38" s="1"/>
  <c r="V17" i="37" s="1"/>
  <c r="S181" i="38"/>
  <c r="T5" i="4"/>
  <c r="AA49" i="4" s="1"/>
  <c r="AA34" i="4"/>
  <c r="AB34" i="4" s="1"/>
  <c r="AC34" i="4" s="1"/>
  <c r="AD34" i="4" s="1"/>
  <c r="R181" i="38"/>
  <c r="M155" i="30"/>
  <c r="M156" i="30" s="1"/>
  <c r="M5" i="30"/>
  <c r="M213" i="30"/>
  <c r="M216" i="30" s="1"/>
  <c r="M129" i="30"/>
  <c r="M130" i="30" s="1"/>
  <c r="M214" i="30"/>
  <c r="N6" i="30"/>
  <c r="Y5" i="77" s="1"/>
  <c r="L203" i="16"/>
  <c r="L202" i="16"/>
  <c r="T19" i="4"/>
  <c r="AA19" i="4" s="1"/>
  <c r="T28" i="4"/>
  <c r="AA28" i="4" s="1"/>
  <c r="S227" i="38"/>
  <c r="S73" i="4"/>
  <c r="S101" i="4" s="1"/>
  <c r="AI255" i="3"/>
  <c r="AJ252" i="3"/>
  <c r="T11" i="32"/>
  <c r="AA11" i="32" s="1"/>
  <c r="T20" i="32"/>
  <c r="AA20" i="32" s="1"/>
  <c r="T26" i="32"/>
  <c r="T83" i="32" s="1"/>
  <c r="T112" i="32" s="1"/>
  <c r="AC220" i="30"/>
  <c r="AD213" i="30"/>
  <c r="AD220" i="30" s="1"/>
  <c r="L5" i="38"/>
  <c r="M6" i="38"/>
  <c r="N43" i="39"/>
  <c r="N81" i="39"/>
  <c r="N42" i="39"/>
  <c r="N47" i="39"/>
  <c r="T21" i="41"/>
  <c r="T72" i="41" s="1"/>
  <c r="T98" i="41" s="1"/>
  <c r="L75" i="16"/>
  <c r="L44" i="16"/>
  <c r="Q61" i="52"/>
  <c r="I72" i="30"/>
  <c r="I40" i="30"/>
  <c r="L218" i="30"/>
  <c r="L217" i="30"/>
  <c r="S10" i="32"/>
  <c r="S155" i="29" s="1"/>
  <c r="AC47" i="32"/>
  <c r="R12" i="3"/>
  <c r="R23" i="52"/>
  <c r="F43" i="39"/>
  <c r="F81" i="39"/>
  <c r="F42" i="39"/>
  <c r="F47" i="39"/>
  <c r="H43" i="39"/>
  <c r="H81" i="39"/>
  <c r="H42" i="39"/>
  <c r="H47" i="39"/>
  <c r="K254" i="38"/>
  <c r="K255" i="38" s="1"/>
  <c r="J257" i="38"/>
  <c r="J4" i="38" s="1"/>
  <c r="S224" i="38"/>
  <c r="G40" i="37"/>
  <c r="E47" i="36" s="1"/>
  <c r="G52" i="37"/>
  <c r="E59" i="36" s="1"/>
  <c r="M5" i="3"/>
  <c r="N6" i="3"/>
  <c r="S104" i="52"/>
  <c r="S99" i="52"/>
  <c r="T53" i="30"/>
  <c r="T17" i="29"/>
  <c r="T25" i="4"/>
  <c r="T80" i="4" s="1"/>
  <c r="T108" i="4" s="1"/>
  <c r="I76" i="39"/>
  <c r="I39" i="39"/>
  <c r="I46" i="39"/>
  <c r="W39" i="39"/>
  <c r="W76" i="39"/>
  <c r="W46" i="39"/>
  <c r="T104" i="52"/>
  <c r="T99" i="52"/>
  <c r="T19" i="41"/>
  <c r="AA19" i="41" s="1"/>
  <c r="R13" i="16"/>
  <c r="R10" i="3"/>
  <c r="R13" i="52"/>
  <c r="AO249" i="29"/>
  <c r="AN250" i="29"/>
  <c r="AN252" i="29" s="1"/>
  <c r="L72" i="30"/>
  <c r="L40" i="30"/>
  <c r="G43" i="39"/>
  <c r="G81" i="39"/>
  <c r="G42" i="39"/>
  <c r="G47" i="39"/>
  <c r="M5" i="16"/>
  <c r="N6" i="16"/>
  <c r="M137" i="16"/>
  <c r="M138" i="16" s="1"/>
  <c r="M198" i="16"/>
  <c r="M201" i="16" s="1"/>
  <c r="M113" i="16"/>
  <c r="M114" i="16" s="1"/>
  <c r="M199" i="16"/>
  <c r="S109" i="52"/>
  <c r="S34" i="52"/>
  <c r="S87" i="32"/>
  <c r="S116" i="32" s="1"/>
  <c r="T18" i="4"/>
  <c r="S47" i="28"/>
  <c r="M54" i="27" s="1"/>
  <c r="S48" i="28"/>
  <c r="M55" i="27" s="1"/>
  <c r="S52" i="28"/>
  <c r="M59" i="27" s="1"/>
  <c r="R47" i="28"/>
  <c r="L54" i="27" s="1"/>
  <c r="R52" i="28"/>
  <c r="L59" i="27" s="1"/>
  <c r="T25" i="32"/>
  <c r="T34" i="52"/>
  <c r="T109" i="52"/>
  <c r="T43" i="41"/>
  <c r="T16" i="41" s="1"/>
  <c r="T67" i="41" s="1"/>
  <c r="T93" i="41" s="1"/>
  <c r="T52" i="39"/>
  <c r="AC42" i="32"/>
  <c r="S40" i="37"/>
  <c r="M47" i="36" s="1"/>
  <c r="Q23" i="52"/>
  <c r="T113" i="52"/>
  <c r="T118" i="52"/>
  <c r="S52" i="39"/>
  <c r="AC5" i="38"/>
  <c r="AD6" i="38"/>
  <c r="AD5" i="38" s="1"/>
  <c r="S63" i="32"/>
  <c r="S129" i="32" s="1"/>
  <c r="S83" i="4"/>
  <c r="S111" i="4" s="1"/>
  <c r="V39" i="37" l="1"/>
  <c r="P46" i="36" s="1"/>
  <c r="R150" i="39"/>
  <c r="R96" i="16"/>
  <c r="R95" i="16"/>
  <c r="N34" i="37"/>
  <c r="T34" i="37"/>
  <c r="O34" i="37"/>
  <c r="Q96" i="16"/>
  <c r="AA52" i="32"/>
  <c r="AA42" i="41"/>
  <c r="Q90" i="16"/>
  <c r="W29" i="36"/>
  <c r="T120" i="52"/>
  <c r="R192" i="52"/>
  <c r="R275" i="30"/>
  <c r="G76" i="15"/>
  <c r="H76" i="15" s="1"/>
  <c r="I76" i="15" s="1"/>
  <c r="R197" i="52"/>
  <c r="T197" i="52"/>
  <c r="T202" i="52"/>
  <c r="T207" i="52" s="1"/>
  <c r="AA13" i="4"/>
  <c r="AB13" i="4" s="1"/>
  <c r="AB68" i="4" s="1"/>
  <c r="AB96" i="4" s="1"/>
  <c r="K56" i="15"/>
  <c r="G56" i="15"/>
  <c r="AC57" i="41"/>
  <c r="W30" i="36" s="1"/>
  <c r="T274" i="30"/>
  <c r="T264" i="30"/>
  <c r="T275" i="30" s="1"/>
  <c r="AA15" i="41"/>
  <c r="T66" i="41"/>
  <c r="T92" i="41" s="1"/>
  <c r="T57" i="41"/>
  <c r="T117" i="41" s="1"/>
  <c r="S61" i="41"/>
  <c r="S87" i="41" s="1"/>
  <c r="AD42" i="41"/>
  <c r="AA20" i="4"/>
  <c r="AB20" i="4" s="1"/>
  <c r="AB75" i="4" s="1"/>
  <c r="AB103" i="4" s="1"/>
  <c r="AB117" i="41"/>
  <c r="T65" i="41"/>
  <c r="T91" i="41" s="1"/>
  <c r="T147" i="38"/>
  <c r="AA39" i="4"/>
  <c r="AA28" i="41"/>
  <c r="AB28" i="41" s="1"/>
  <c r="AA30" i="4"/>
  <c r="AB30" i="4" s="1"/>
  <c r="AB85" i="4" s="1"/>
  <c r="AB113" i="4" s="1"/>
  <c r="AA21" i="4"/>
  <c r="AB21" i="4" s="1"/>
  <c r="AB76" i="4" s="1"/>
  <c r="AB104" i="4" s="1"/>
  <c r="AA59" i="4"/>
  <c r="E146" i="15"/>
  <c r="R183" i="16"/>
  <c r="AA51" i="32"/>
  <c r="AA59" i="32"/>
  <c r="T21" i="32"/>
  <c r="AA21" i="32" s="1"/>
  <c r="AB21" i="32" s="1"/>
  <c r="AB78" i="32" s="1"/>
  <c r="AB107" i="32" s="1"/>
  <c r="AA42" i="32"/>
  <c r="T71" i="4"/>
  <c r="T99" i="4" s="1"/>
  <c r="AA16" i="4"/>
  <c r="AB16" i="4" s="1"/>
  <c r="AA58" i="4"/>
  <c r="AA46" i="4"/>
  <c r="AA29" i="41"/>
  <c r="AB29" i="41" s="1"/>
  <c r="AB80" i="41" s="1"/>
  <c r="T73" i="32"/>
  <c r="T102" i="32" s="1"/>
  <c r="AA47" i="41"/>
  <c r="AA12" i="32"/>
  <c r="AB42" i="32" s="1"/>
  <c r="AB63" i="32" s="1"/>
  <c r="AA43" i="32"/>
  <c r="AA48" i="32"/>
  <c r="AA54" i="32"/>
  <c r="AA37" i="41"/>
  <c r="AA57" i="32"/>
  <c r="AA41" i="41"/>
  <c r="AA24" i="41"/>
  <c r="AB24" i="41" s="1"/>
  <c r="AA55" i="41"/>
  <c r="T74" i="4"/>
  <c r="T102" i="4" s="1"/>
  <c r="AA14" i="41"/>
  <c r="AB14" i="41" s="1"/>
  <c r="AA29" i="32"/>
  <c r="AB29" i="32" s="1"/>
  <c r="AA25" i="41"/>
  <c r="AB25" i="41" s="1"/>
  <c r="T76" i="41"/>
  <c r="T102" i="41" s="1"/>
  <c r="S52" i="37"/>
  <c r="M59" i="36" s="1"/>
  <c r="R52" i="37"/>
  <c r="L59" i="36" s="1"/>
  <c r="R50" i="16"/>
  <c r="V7" i="14"/>
  <c r="R13" i="3"/>
  <c r="V43" i="28"/>
  <c r="P50" i="27" s="1"/>
  <c r="V36" i="28"/>
  <c r="V39" i="28"/>
  <c r="P46" i="27" s="1"/>
  <c r="AB211" i="29"/>
  <c r="AA22" i="32"/>
  <c r="AB22" i="32" s="1"/>
  <c r="T79" i="32"/>
  <c r="T108" i="32" s="1"/>
  <c r="AA47" i="32"/>
  <c r="AC63" i="32"/>
  <c r="W30" i="27" s="1"/>
  <c r="T71" i="32"/>
  <c r="T100" i="32" s="1"/>
  <c r="AA14" i="32"/>
  <c r="AB14" i="32" s="1"/>
  <c r="AB71" i="32" s="1"/>
  <c r="AB100" i="32" s="1"/>
  <c r="T76" i="32"/>
  <c r="T105" i="32" s="1"/>
  <c r="AA19" i="32"/>
  <c r="AB19" i="32" s="1"/>
  <c r="T89" i="32"/>
  <c r="T118" i="32" s="1"/>
  <c r="AA32" i="32"/>
  <c r="AB32" i="32" s="1"/>
  <c r="AB89" i="32" s="1"/>
  <c r="AB118" i="32" s="1"/>
  <c r="T72" i="32"/>
  <c r="T101" i="32" s="1"/>
  <c r="AA15" i="32"/>
  <c r="AB15" i="32" s="1"/>
  <c r="T79" i="4"/>
  <c r="T107" i="4" s="1"/>
  <c r="AA24" i="4"/>
  <c r="AB24" i="4" s="1"/>
  <c r="T87" i="32"/>
  <c r="T116" i="32" s="1"/>
  <c r="T68" i="32"/>
  <c r="T97" i="32" s="1"/>
  <c r="T71" i="41"/>
  <c r="T97" i="41" s="1"/>
  <c r="AA42" i="4"/>
  <c r="AA60" i="4"/>
  <c r="AA52" i="41"/>
  <c r="M39" i="39"/>
  <c r="S34" i="37" s="1"/>
  <c r="M76" i="39"/>
  <c r="M46" i="39"/>
  <c r="T75" i="32"/>
  <c r="T104" i="32" s="1"/>
  <c r="AA48" i="4"/>
  <c r="AB29" i="4"/>
  <c r="AB84" i="4" s="1"/>
  <c r="AB24" i="32"/>
  <c r="AA17" i="32"/>
  <c r="T74" i="32"/>
  <c r="T103" i="32" s="1"/>
  <c r="AB31" i="32"/>
  <c r="AB88" i="32" s="1"/>
  <c r="AB117" i="32" s="1"/>
  <c r="T86" i="4"/>
  <c r="T114" i="4" s="1"/>
  <c r="AA31" i="4"/>
  <c r="AB20" i="41"/>
  <c r="AB28" i="4"/>
  <c r="AB19" i="4"/>
  <c r="AB74" i="4" s="1"/>
  <c r="AB102" i="4" s="1"/>
  <c r="AA25" i="32"/>
  <c r="T82" i="32"/>
  <c r="T111" i="32" s="1"/>
  <c r="AB30" i="32"/>
  <c r="AB11" i="32"/>
  <c r="AB68" i="32" s="1"/>
  <c r="AB97" i="32" s="1"/>
  <c r="T73" i="4"/>
  <c r="T101" i="4" s="1"/>
  <c r="AA18" i="4"/>
  <c r="AB20" i="32"/>
  <c r="AB77" i="32" s="1"/>
  <c r="AB106" i="32" s="1"/>
  <c r="AB19" i="41"/>
  <c r="AB70" i="41" s="1"/>
  <c r="AB96" i="41" s="1"/>
  <c r="M203" i="16"/>
  <c r="M202" i="16"/>
  <c r="R48" i="16"/>
  <c r="T10" i="32"/>
  <c r="T81" i="32"/>
  <c r="T110" i="32" s="1"/>
  <c r="T84" i="32"/>
  <c r="T113" i="32" s="1"/>
  <c r="AB222" i="3"/>
  <c r="S111" i="38"/>
  <c r="S241" i="38"/>
  <c r="S260" i="38" s="1"/>
  <c r="T87" i="41"/>
  <c r="AA16" i="41"/>
  <c r="M292" i="39"/>
  <c r="M291" i="39"/>
  <c r="L140" i="52"/>
  <c r="L138" i="52"/>
  <c r="L139" i="52"/>
  <c r="E72" i="30"/>
  <c r="E40" i="30"/>
  <c r="AA55" i="32"/>
  <c r="AA49" i="32"/>
  <c r="AA62" i="32"/>
  <c r="AA46" i="32"/>
  <c r="AA60" i="32"/>
  <c r="AA58" i="32"/>
  <c r="AA56" i="32"/>
  <c r="AA61" i="32"/>
  <c r="L43" i="39"/>
  <c r="L81" i="39"/>
  <c r="L42" i="39"/>
  <c r="L47" i="39"/>
  <c r="AA40" i="4"/>
  <c r="AC205" i="16"/>
  <c r="AD198" i="16"/>
  <c r="AD205" i="16" s="1"/>
  <c r="AD5" i="41"/>
  <c r="Q95" i="52"/>
  <c r="N5" i="29"/>
  <c r="O6" i="29"/>
  <c r="T77" i="32"/>
  <c r="T106" i="32" s="1"/>
  <c r="K72" i="30"/>
  <c r="K40" i="30"/>
  <c r="T83" i="4"/>
  <c r="T111" i="4" s="1"/>
  <c r="T70" i="32"/>
  <c r="T99" i="32" s="1"/>
  <c r="T88" i="32"/>
  <c r="T117" i="32" s="1"/>
  <c r="K43" i="39"/>
  <c r="K81" i="39"/>
  <c r="K42" i="39"/>
  <c r="K47" i="39"/>
  <c r="Q43" i="39"/>
  <c r="Q81" i="39"/>
  <c r="Q42" i="39"/>
  <c r="Q47" i="39"/>
  <c r="AO250" i="29"/>
  <c r="AO252" i="29" s="1"/>
  <c r="AP249" i="29"/>
  <c r="O6" i="3"/>
  <c r="N5" i="3"/>
  <c r="N155" i="30"/>
  <c r="N156" i="30" s="1"/>
  <c r="N213" i="30"/>
  <c r="N216" i="30" s="1"/>
  <c r="N129" i="30"/>
  <c r="N130" i="30" s="1"/>
  <c r="N214" i="30"/>
  <c r="O6" i="30"/>
  <c r="Z5" i="77" s="1"/>
  <c r="N5" i="30"/>
  <c r="S174" i="38"/>
  <c r="R186" i="38"/>
  <c r="R245" i="16"/>
  <c r="AB26" i="41"/>
  <c r="AB77" i="41" s="1"/>
  <c r="AB103" i="41" s="1"/>
  <c r="AA43" i="41"/>
  <c r="AA56" i="41"/>
  <c r="AA48" i="41"/>
  <c r="O6" i="39"/>
  <c r="N5" i="39"/>
  <c r="N288" i="39"/>
  <c r="N287" i="39"/>
  <c r="N290" i="39" s="1"/>
  <c r="AA46" i="41"/>
  <c r="AD55" i="4"/>
  <c r="AA53" i="4"/>
  <c r="T70" i="41"/>
  <c r="T96" i="41" s="1"/>
  <c r="O43" i="39"/>
  <c r="O81" i="39"/>
  <c r="O42" i="39"/>
  <c r="O47" i="39"/>
  <c r="AA51" i="41"/>
  <c r="AA41" i="4"/>
  <c r="L133" i="52"/>
  <c r="L135" i="52"/>
  <c r="L134" i="52"/>
  <c r="W43" i="39"/>
  <c r="W81" i="39"/>
  <c r="W42" i="39"/>
  <c r="G34" i="37" s="1"/>
  <c r="W47" i="39"/>
  <c r="L254" i="38"/>
  <c r="L255" i="38" s="1"/>
  <c r="K257" i="38"/>
  <c r="K4" i="38" s="1"/>
  <c r="N84" i="39"/>
  <c r="N48" i="39"/>
  <c r="M218" i="30"/>
  <c r="M217" i="30"/>
  <c r="R241" i="38"/>
  <c r="R260" i="38" s="1"/>
  <c r="R111" i="38"/>
  <c r="V43" i="37"/>
  <c r="P50" i="36" s="1"/>
  <c r="R66" i="16"/>
  <c r="AD5" i="32"/>
  <c r="AA11" i="41"/>
  <c r="AA21" i="41"/>
  <c r="T25" i="3"/>
  <c r="T219" i="3"/>
  <c r="T63" i="32"/>
  <c r="T129" i="32" s="1"/>
  <c r="T84" i="4"/>
  <c r="T112" i="4" s="1"/>
  <c r="S114" i="52"/>
  <c r="S119" i="52"/>
  <c r="N5" i="16"/>
  <c r="O6" i="16"/>
  <c r="N113" i="16"/>
  <c r="N114" i="16" s="1"/>
  <c r="N199" i="16"/>
  <c r="N137" i="16"/>
  <c r="N138" i="16" s="1"/>
  <c r="N198" i="16"/>
  <c r="N201" i="16" s="1"/>
  <c r="T17" i="4"/>
  <c r="AA38" i="41"/>
  <c r="AD125" i="52"/>
  <c r="AD133" i="52" s="1"/>
  <c r="AK252" i="3"/>
  <c r="AJ253" i="3"/>
  <c r="AJ255" i="3" s="1"/>
  <c r="R98" i="16"/>
  <c r="R97" i="16"/>
  <c r="AC32" i="41"/>
  <c r="AD32" i="41" s="1"/>
  <c r="AB220" i="38"/>
  <c r="M5" i="52"/>
  <c r="M129" i="52"/>
  <c r="M130" i="52"/>
  <c r="N6" i="52"/>
  <c r="M147" i="52"/>
  <c r="AA26" i="32"/>
  <c r="T184" i="3"/>
  <c r="T185" i="3" s="1"/>
  <c r="T126" i="3" s="1"/>
  <c r="S185" i="3"/>
  <c r="S126" i="3" s="1"/>
  <c r="AB16" i="32"/>
  <c r="M5" i="38"/>
  <c r="N6" i="38"/>
  <c r="AC125" i="52"/>
  <c r="AC133" i="52" s="1"/>
  <c r="E84" i="39"/>
  <c r="E48" i="39"/>
  <c r="J84" i="39"/>
  <c r="J48" i="39"/>
  <c r="AD47" i="32"/>
  <c r="AB23" i="32"/>
  <c r="K252" i="29"/>
  <c r="K4" i="29" s="1"/>
  <c r="L249" i="29"/>
  <c r="L250" i="29" s="1"/>
  <c r="T85" i="32"/>
  <c r="T114" i="32" s="1"/>
  <c r="AA45" i="32"/>
  <c r="R51" i="16"/>
  <c r="R63" i="16"/>
  <c r="R70" i="16"/>
  <c r="R62" i="16"/>
  <c r="R55" i="16"/>
  <c r="R59" i="16"/>
  <c r="R58" i="16"/>
  <c r="R49" i="16"/>
  <c r="R56" i="16"/>
  <c r="R54" i="16"/>
  <c r="AB27" i="32"/>
  <c r="V37" i="37"/>
  <c r="P44" i="36" s="1"/>
  <c r="P43" i="36"/>
  <c r="G84" i="39"/>
  <c r="G48" i="39"/>
  <c r="R28" i="52"/>
  <c r="R95" i="52"/>
  <c r="F84" i="39"/>
  <c r="F48" i="39"/>
  <c r="AA54" i="4"/>
  <c r="AA57" i="4"/>
  <c r="AA50" i="4"/>
  <c r="AA45" i="4"/>
  <c r="AA47" i="4"/>
  <c r="H72" i="30"/>
  <c r="H40" i="30"/>
  <c r="AD211" i="29"/>
  <c r="AC211" i="29"/>
  <c r="J252" i="3"/>
  <c r="J253" i="3" s="1"/>
  <c r="I255" i="3"/>
  <c r="I4" i="3" s="1"/>
  <c r="AA44" i="32"/>
  <c r="T186" i="38"/>
  <c r="P84" i="39"/>
  <c r="P48" i="39"/>
  <c r="AB28" i="32"/>
  <c r="AB85" i="32" s="1"/>
  <c r="AB114" i="32" s="1"/>
  <c r="V84" i="39"/>
  <c r="V48" i="39"/>
  <c r="T119" i="52"/>
  <c r="T114" i="52"/>
  <c r="Q98" i="16"/>
  <c r="Q97" i="16"/>
  <c r="I43" i="39"/>
  <c r="I81" i="39"/>
  <c r="I42" i="39"/>
  <c r="I47" i="39"/>
  <c r="AB18" i="32"/>
  <c r="AB75" i="32" s="1"/>
  <c r="H84" i="39"/>
  <c r="H48" i="39"/>
  <c r="S67" i="32"/>
  <c r="AA25" i="4"/>
  <c r="S186" i="38"/>
  <c r="AD42" i="32"/>
  <c r="AA10" i="41"/>
  <c r="B12" i="61"/>
  <c r="A11" i="61"/>
  <c r="AD5" i="4"/>
  <c r="AA50" i="32"/>
  <c r="S165" i="29"/>
  <c r="S115" i="29" s="1"/>
  <c r="T164" i="29"/>
  <c r="T165" i="29" s="1"/>
  <c r="T115" i="29" s="1"/>
  <c r="S30" i="16"/>
  <c r="S66" i="16" s="1"/>
  <c r="S234" i="16"/>
  <c r="S53" i="3"/>
  <c r="T111" i="38"/>
  <c r="T241" i="38"/>
  <c r="T260" i="38" s="1"/>
  <c r="P34" i="37" l="1"/>
  <c r="R34" i="37"/>
  <c r="R47" i="37" s="1"/>
  <c r="L54" i="36" s="1"/>
  <c r="Q34" i="37"/>
  <c r="AB112" i="4"/>
  <c r="AB104" i="32"/>
  <c r="AB106" i="41"/>
  <c r="W29" i="27"/>
  <c r="R121" i="3"/>
  <c r="V29" i="14" s="1"/>
  <c r="T155" i="29"/>
  <c r="AA57" i="41"/>
  <c r="AB15" i="41"/>
  <c r="S121" i="3"/>
  <c r="T78" i="32"/>
  <c r="T107" i="32" s="1"/>
  <c r="T121" i="3"/>
  <c r="R192" i="3"/>
  <c r="S123" i="3"/>
  <c r="T123" i="3"/>
  <c r="P43" i="27"/>
  <c r="V37" i="28"/>
  <c r="P44" i="27" s="1"/>
  <c r="AC129" i="32"/>
  <c r="R123" i="3"/>
  <c r="AB79" i="4"/>
  <c r="AB107" i="4" s="1"/>
  <c r="Q192" i="3"/>
  <c r="M81" i="39"/>
  <c r="M43" i="39"/>
  <c r="M47" i="39"/>
  <c r="M42" i="39"/>
  <c r="S48" i="37"/>
  <c r="M55" i="36" s="1"/>
  <c r="AC16" i="4"/>
  <c r="AC71" i="4" s="1"/>
  <c r="AC99" i="4" s="1"/>
  <c r="I84" i="39"/>
  <c r="I48" i="39"/>
  <c r="AC29" i="41"/>
  <c r="AC80" i="41" s="1"/>
  <c r="AC106" i="41" s="1"/>
  <c r="AB129" i="32"/>
  <c r="AC23" i="32"/>
  <c r="N5" i="38"/>
  <c r="O6" i="38"/>
  <c r="AL252" i="3"/>
  <c r="AK253" i="3"/>
  <c r="AK255" i="3" s="1"/>
  <c r="AC21" i="4"/>
  <c r="AC76" i="4" s="1"/>
  <c r="AC104" i="4" s="1"/>
  <c r="N218" i="30"/>
  <c r="N217" i="30"/>
  <c r="AC24" i="4"/>
  <c r="AC79" i="4" s="1"/>
  <c r="AC107" i="4" s="1"/>
  <c r="AB16" i="41"/>
  <c r="AC30" i="32"/>
  <c r="AC87" i="32" s="1"/>
  <c r="AC116" i="32" s="1"/>
  <c r="AC25" i="41"/>
  <c r="AC76" i="41" s="1"/>
  <c r="AC102" i="41" s="1"/>
  <c r="AC24" i="32"/>
  <c r="AC13" i="32"/>
  <c r="AC70" i="32" s="1"/>
  <c r="AC99" i="32" s="1"/>
  <c r="P6" i="30"/>
  <c r="AA5" i="77" s="1"/>
  <c r="O5" i="30"/>
  <c r="O213" i="30"/>
  <c r="O216" i="30" s="1"/>
  <c r="O129" i="30"/>
  <c r="O130" i="30" s="1"/>
  <c r="O214" i="30"/>
  <c r="O155" i="30"/>
  <c r="O156" i="30" s="1"/>
  <c r="AB17" i="32"/>
  <c r="AB74" i="32" s="1"/>
  <c r="AB103" i="32" s="1"/>
  <c r="S178" i="38"/>
  <c r="S96" i="32"/>
  <c r="AC117" i="41"/>
  <c r="T174" i="38"/>
  <c r="AB12" i="32"/>
  <c r="AB80" i="32"/>
  <c r="AB109" i="32" s="1"/>
  <c r="O6" i="52"/>
  <c r="N129" i="52"/>
  <c r="N130" i="52"/>
  <c r="N147" i="52"/>
  <c r="N5" i="52"/>
  <c r="N203" i="16"/>
  <c r="N202" i="16"/>
  <c r="W84" i="39"/>
  <c r="W48" i="39"/>
  <c r="Q84" i="39"/>
  <c r="Q48" i="39"/>
  <c r="P6" i="29"/>
  <c r="O5" i="29"/>
  <c r="AC20" i="32"/>
  <c r="AC77" i="32" s="1"/>
  <c r="AC106" i="32" s="1"/>
  <c r="AB87" i="32"/>
  <c r="AB116" i="32" s="1"/>
  <c r="AB76" i="41"/>
  <c r="AB102" i="41" s="1"/>
  <c r="AB81" i="32"/>
  <c r="AB110" i="32" s="1"/>
  <c r="AB70" i="32"/>
  <c r="AB99" i="32" s="1"/>
  <c r="AC18" i="32"/>
  <c r="AB25" i="4"/>
  <c r="AB80" i="4" s="1"/>
  <c r="AB108" i="4" s="1"/>
  <c r="AC28" i="32"/>
  <c r="AC85" i="32" s="1"/>
  <c r="AC114" i="32" s="1"/>
  <c r="R105" i="52"/>
  <c r="R100" i="52"/>
  <c r="M249" i="29"/>
  <c r="M250" i="29" s="1"/>
  <c r="L252" i="29"/>
  <c r="L4" i="29" s="1"/>
  <c r="AC21" i="32"/>
  <c r="AC78" i="32" s="1"/>
  <c r="AC107" i="32" s="1"/>
  <c r="M139" i="52"/>
  <c r="M140" i="52"/>
  <c r="M138" i="52"/>
  <c r="AB21" i="41"/>
  <c r="O5" i="3"/>
  <c r="P6" i="3"/>
  <c r="AA63" i="32"/>
  <c r="AC20" i="4"/>
  <c r="AB18" i="4"/>
  <c r="AB73" i="4" s="1"/>
  <c r="AB101" i="4" s="1"/>
  <c r="AC31" i="32"/>
  <c r="AD220" i="38"/>
  <c r="AC220" i="38"/>
  <c r="AB31" i="4"/>
  <c r="AB86" i="4" s="1"/>
  <c r="AB114" i="4" s="1"/>
  <c r="AC30" i="4"/>
  <c r="AC85" i="4" s="1"/>
  <c r="AC113" i="4" s="1"/>
  <c r="R35" i="52"/>
  <c r="R110" i="52"/>
  <c r="M134" i="52"/>
  <c r="M135" i="52"/>
  <c r="M133" i="52"/>
  <c r="O5" i="16"/>
  <c r="P6" i="16"/>
  <c r="O113" i="16"/>
  <c r="O114" i="16" s="1"/>
  <c r="O198" i="16"/>
  <c r="O201" i="16" s="1"/>
  <c r="O199" i="16"/>
  <c r="O137" i="16"/>
  <c r="O138" i="16" s="1"/>
  <c r="AC29" i="32"/>
  <c r="AB11" i="41"/>
  <c r="O84" i="39"/>
  <c r="O48" i="39"/>
  <c r="AC22" i="32"/>
  <c r="AC79" i="32" s="1"/>
  <c r="AC108" i="32" s="1"/>
  <c r="AC14" i="41"/>
  <c r="AD41" i="41" s="1"/>
  <c r="R256" i="16"/>
  <c r="AD127" i="52"/>
  <c r="AD135" i="52" s="1"/>
  <c r="AC24" i="41"/>
  <c r="AC75" i="41" s="1"/>
  <c r="AC101" i="41" s="1"/>
  <c r="AB25" i="32"/>
  <c r="AC29" i="4"/>
  <c r="AC84" i="4" s="1"/>
  <c r="AC112" i="4" s="1"/>
  <c r="P6" i="39"/>
  <c r="O5" i="39"/>
  <c r="O288" i="39"/>
  <c r="O287" i="39"/>
  <c r="O290" i="39" s="1"/>
  <c r="AC28" i="4"/>
  <c r="AC83" i="4" s="1"/>
  <c r="AC111" i="4" s="1"/>
  <c r="S245" i="16"/>
  <c r="AC19" i="32"/>
  <c r="AC76" i="32" s="1"/>
  <c r="AC105" i="32" s="1"/>
  <c r="AC16" i="32"/>
  <c r="AC73" i="32" s="1"/>
  <c r="AC102" i="32" s="1"/>
  <c r="AA17" i="4"/>
  <c r="T72" i="4"/>
  <c r="T100" i="4" s="1"/>
  <c r="AB86" i="32"/>
  <c r="AB79" i="32"/>
  <c r="AB108" i="32" s="1"/>
  <c r="AB65" i="41"/>
  <c r="Q105" i="52"/>
  <c r="Q100" i="52"/>
  <c r="AC127" i="52"/>
  <c r="AC135" i="52" s="1"/>
  <c r="AD222" i="3"/>
  <c r="AC222" i="3"/>
  <c r="AA10" i="32"/>
  <c r="AB75" i="41"/>
  <c r="AB101" i="41" s="1"/>
  <c r="AC20" i="41"/>
  <c r="AC71" i="41" s="1"/>
  <c r="AC97" i="41" s="1"/>
  <c r="G47" i="37"/>
  <c r="E54" i="36" s="1"/>
  <c r="G48" i="37"/>
  <c r="E55" i="36" s="1"/>
  <c r="AC28" i="41"/>
  <c r="AC79" i="41" s="1"/>
  <c r="AC105" i="41" s="1"/>
  <c r="AC32" i="32"/>
  <c r="AC89" i="32" s="1"/>
  <c r="AC118" i="32" s="1"/>
  <c r="AB10" i="41"/>
  <c r="AB61" i="41" s="1"/>
  <c r="AC15" i="32"/>
  <c r="AC72" i="32" s="1"/>
  <c r="AC101" i="32" s="1"/>
  <c r="AB76" i="32"/>
  <c r="AB105" i="32" s="1"/>
  <c r="AC27" i="32"/>
  <c r="AC84" i="32" s="1"/>
  <c r="AC113" i="32" s="1"/>
  <c r="AB73" i="32"/>
  <c r="AB102" i="32" s="1"/>
  <c r="L257" i="38"/>
  <c r="L4" i="38" s="1"/>
  <c r="M254" i="38"/>
  <c r="M255" i="38" s="1"/>
  <c r="N291" i="39"/>
  <c r="N292" i="39"/>
  <c r="AQ249" i="29"/>
  <c r="AQ250" i="29" s="1"/>
  <c r="AP250" i="29"/>
  <c r="AP252" i="29" s="1"/>
  <c r="T67" i="32"/>
  <c r="AC19" i="4"/>
  <c r="AC74" i="4" s="1"/>
  <c r="AC102" i="4" s="1"/>
  <c r="AB71" i="41"/>
  <c r="AB97" i="41" s="1"/>
  <c r="L84" i="39"/>
  <c r="L48" i="39"/>
  <c r="AC19" i="41"/>
  <c r="AC70" i="41" s="1"/>
  <c r="AC96" i="41" s="1"/>
  <c r="B13" i="61"/>
  <c r="A12" i="61"/>
  <c r="AB72" i="32"/>
  <c r="AB101" i="32" s="1"/>
  <c r="K252" i="3"/>
  <c r="K253" i="3" s="1"/>
  <c r="J255" i="3"/>
  <c r="J4" i="3" s="1"/>
  <c r="AB84" i="32"/>
  <c r="AB113" i="32" s="1"/>
  <c r="AB26" i="32"/>
  <c r="AB83" i="32" s="1"/>
  <c r="AB112" i="32" s="1"/>
  <c r="AB71" i="4"/>
  <c r="AB99" i="4" s="1"/>
  <c r="T30" i="16"/>
  <c r="T66" i="16" s="1"/>
  <c r="T234" i="16"/>
  <c r="T53" i="3"/>
  <c r="AC14" i="32"/>
  <c r="AC71" i="32" s="1"/>
  <c r="AC100" i="32" s="1"/>
  <c r="AC13" i="4"/>
  <c r="AC26" i="41"/>
  <c r="K84" i="39"/>
  <c r="K48" i="39"/>
  <c r="AB79" i="41"/>
  <c r="AB105" i="41" s="1"/>
  <c r="AC11" i="32"/>
  <c r="AB83" i="4"/>
  <c r="AB111" i="4" s="1"/>
  <c r="R48" i="37" l="1"/>
  <c r="L55" i="36" s="1"/>
  <c r="R208" i="77"/>
  <c r="R220" i="77"/>
  <c r="R196" i="77"/>
  <c r="S20" i="27"/>
  <c r="Q208" i="77"/>
  <c r="Q220" i="77"/>
  <c r="Q196" i="77"/>
  <c r="W20" i="36"/>
  <c r="V20" i="36"/>
  <c r="U20" i="36"/>
  <c r="T20" i="36"/>
  <c r="S20" i="36"/>
  <c r="U20" i="27"/>
  <c r="T20" i="27"/>
  <c r="W20" i="27"/>
  <c r="V20" i="27"/>
  <c r="R178" i="77"/>
  <c r="Q178" i="77"/>
  <c r="AB91" i="41"/>
  <c r="AB115" i="32"/>
  <c r="W28" i="36"/>
  <c r="W28" i="27"/>
  <c r="S224" i="3"/>
  <c r="AC15" i="41"/>
  <c r="AD15" i="41" s="1"/>
  <c r="AD66" i="41" s="1"/>
  <c r="AD92" i="41" s="1"/>
  <c r="AB66" i="41"/>
  <c r="AB92" i="41" s="1"/>
  <c r="AD57" i="41"/>
  <c r="AB147" i="38"/>
  <c r="AC65" i="41"/>
  <c r="AC91" i="41" s="1"/>
  <c r="AC80" i="32"/>
  <c r="AC109" i="32" s="1"/>
  <c r="T224" i="3"/>
  <c r="S47" i="37"/>
  <c r="M54" i="36" s="1"/>
  <c r="AQ252" i="29"/>
  <c r="AR249" i="29"/>
  <c r="AR250" i="29" s="1"/>
  <c r="AR252" i="29" s="1"/>
  <c r="R224" i="3"/>
  <c r="T48" i="37"/>
  <c r="N55" i="36" s="1"/>
  <c r="T47" i="37"/>
  <c r="N54" i="36" s="1"/>
  <c r="M84" i="39"/>
  <c r="M48" i="39"/>
  <c r="AB87" i="41"/>
  <c r="AD26" i="41"/>
  <c r="AD77" i="41" s="1"/>
  <c r="AD103" i="41" s="1"/>
  <c r="AD29" i="32"/>
  <c r="AD86" i="32" s="1"/>
  <c r="AD115" i="32" s="1"/>
  <c r="AD20" i="4"/>
  <c r="AD75" i="4" s="1"/>
  <c r="AD103" i="4" s="1"/>
  <c r="AC77" i="41"/>
  <c r="AC103" i="41" s="1"/>
  <c r="B14" i="61"/>
  <c r="A13" i="61"/>
  <c r="AD62" i="32"/>
  <c r="AD32" i="32" s="1"/>
  <c r="AD89" i="32" s="1"/>
  <c r="AD118" i="32" s="1"/>
  <c r="P5" i="39"/>
  <c r="Q6" i="39"/>
  <c r="P287" i="39"/>
  <c r="P290" i="39" s="1"/>
  <c r="P288" i="39"/>
  <c r="AC86" i="32"/>
  <c r="AC115" i="32" s="1"/>
  <c r="AD30" i="4"/>
  <c r="AD85" i="4" s="1"/>
  <c r="AD113" i="4" s="1"/>
  <c r="N135" i="52"/>
  <c r="N133" i="52"/>
  <c r="N134" i="52"/>
  <c r="AM252" i="3"/>
  <c r="AL253" i="3"/>
  <c r="AL255" i="3" s="1"/>
  <c r="AD19" i="32"/>
  <c r="AD76" i="32" s="1"/>
  <c r="AD105" i="32" s="1"/>
  <c r="N138" i="52"/>
  <c r="N139" i="52"/>
  <c r="N140" i="52"/>
  <c r="S28" i="38"/>
  <c r="S30" i="39" s="1"/>
  <c r="S216" i="38"/>
  <c r="AD25" i="41"/>
  <c r="AD76" i="41" s="1"/>
  <c r="AD102" i="41" s="1"/>
  <c r="AC26" i="32"/>
  <c r="AC83" i="32" s="1"/>
  <c r="AC112" i="32" s="1"/>
  <c r="L252" i="3"/>
  <c r="L253" i="3" s="1"/>
  <c r="K255" i="3"/>
  <c r="K4" i="3" s="1"/>
  <c r="AD19" i="41"/>
  <c r="AD70" i="41" s="1"/>
  <c r="AD96" i="41" s="1"/>
  <c r="AD15" i="32"/>
  <c r="AD72" i="32" s="1"/>
  <c r="AD101" i="32" s="1"/>
  <c r="AD20" i="41"/>
  <c r="AD71" i="41" s="1"/>
  <c r="AD97" i="41" s="1"/>
  <c r="AD16" i="32"/>
  <c r="AD73" i="32" s="1"/>
  <c r="AD102" i="32" s="1"/>
  <c r="AD21" i="32"/>
  <c r="AD78" i="32" s="1"/>
  <c r="AD107" i="32" s="1"/>
  <c r="AD20" i="32"/>
  <c r="AD77" i="32" s="1"/>
  <c r="AD106" i="32" s="1"/>
  <c r="AC17" i="32"/>
  <c r="AC74" i="32" s="1"/>
  <c r="AC103" i="32" s="1"/>
  <c r="AD13" i="4"/>
  <c r="AD68" i="4" s="1"/>
  <c r="AD96" i="4" s="1"/>
  <c r="AD31" i="32"/>
  <c r="AD88" i="32" s="1"/>
  <c r="AD117" i="32" s="1"/>
  <c r="AD14" i="32"/>
  <c r="AD71" i="32" s="1"/>
  <c r="AD100" i="32" s="1"/>
  <c r="AD28" i="41"/>
  <c r="AD79" i="41" s="1"/>
  <c r="AD105" i="41" s="1"/>
  <c r="S256" i="16"/>
  <c r="O203" i="16"/>
  <c r="O202" i="16"/>
  <c r="AC25" i="4"/>
  <c r="AC80" i="4" s="1"/>
  <c r="AC108" i="4" s="1"/>
  <c r="AC12" i="32"/>
  <c r="AB69" i="32"/>
  <c r="AB98" i="32" s="1"/>
  <c r="P5" i="30"/>
  <c r="Q6" i="30"/>
  <c r="AB5" i="77" s="1"/>
  <c r="P129" i="30"/>
  <c r="P130" i="30" s="1"/>
  <c r="P214" i="30"/>
  <c r="P155" i="30"/>
  <c r="P156" i="30" s="1"/>
  <c r="P213" i="30"/>
  <c r="P216" i="30" s="1"/>
  <c r="AD60" i="32"/>
  <c r="AD30" i="32" s="1"/>
  <c r="AD87" i="32" s="1"/>
  <c r="AD116" i="32" s="1"/>
  <c r="AD21" i="4"/>
  <c r="AD76" i="4" s="1"/>
  <c r="AD104" i="4" s="1"/>
  <c r="AD16" i="4"/>
  <c r="AD71" i="4" s="1"/>
  <c r="AD99" i="4" s="1"/>
  <c r="AD24" i="41"/>
  <c r="AD75" i="41" s="1"/>
  <c r="AD101" i="41" s="1"/>
  <c r="AD28" i="32"/>
  <c r="AD85" i="32" s="1"/>
  <c r="AD114" i="32" s="1"/>
  <c r="AD19" i="4"/>
  <c r="AD74" i="4" s="1"/>
  <c r="AD102" i="4" s="1"/>
  <c r="AD29" i="4"/>
  <c r="AD84" i="4" s="1"/>
  <c r="AD112" i="4" s="1"/>
  <c r="AC11" i="41"/>
  <c r="AC62" i="41" s="1"/>
  <c r="AC88" i="41" s="1"/>
  <c r="AC31" i="4"/>
  <c r="AC86" i="4" s="1"/>
  <c r="AC114" i="4" s="1"/>
  <c r="AC18" i="4"/>
  <c r="AC73" i="4" s="1"/>
  <c r="AC101" i="4" s="1"/>
  <c r="AD18" i="32"/>
  <c r="AD75" i="32" s="1"/>
  <c r="AD104" i="32" s="1"/>
  <c r="P5" i="29"/>
  <c r="Q6" i="29"/>
  <c r="O5" i="52"/>
  <c r="O147" i="52"/>
  <c r="O129" i="52"/>
  <c r="O130" i="52"/>
  <c r="P6" i="52"/>
  <c r="AD43" i="32"/>
  <c r="AD13" i="32" s="1"/>
  <c r="AD70" i="32" s="1"/>
  <c r="AD99" i="32" s="1"/>
  <c r="AB10" i="32"/>
  <c r="AB155" i="29" s="1"/>
  <c r="AD28" i="4"/>
  <c r="AD83" i="4" s="1"/>
  <c r="AD111" i="4" s="1"/>
  <c r="AC25" i="32"/>
  <c r="AD14" i="41"/>
  <c r="AB62" i="41"/>
  <c r="AB88" i="41" s="1"/>
  <c r="R115" i="52"/>
  <c r="R120" i="52"/>
  <c r="M252" i="29"/>
  <c r="M4" i="29" s="1"/>
  <c r="N249" i="29"/>
  <c r="N250" i="29" s="1"/>
  <c r="AC75" i="32"/>
  <c r="AC104" i="32" s="1"/>
  <c r="R216" i="38"/>
  <c r="O5" i="38"/>
  <c r="P6" i="38"/>
  <c r="T245" i="16"/>
  <c r="N254" i="38"/>
  <c r="N255" i="38" s="1"/>
  <c r="M257" i="38"/>
  <c r="M4" i="38" s="1"/>
  <c r="AC10" i="41"/>
  <c r="AB17" i="4"/>
  <c r="AB72" i="4" s="1"/>
  <c r="AB82" i="32"/>
  <c r="AB111" i="32" s="1"/>
  <c r="P5" i="16"/>
  <c r="Q6" i="16"/>
  <c r="P113" i="16"/>
  <c r="P114" i="16" s="1"/>
  <c r="P198" i="16"/>
  <c r="P201" i="16" s="1"/>
  <c r="P199" i="16"/>
  <c r="P137" i="16"/>
  <c r="P138" i="16" s="1"/>
  <c r="AC21" i="41"/>
  <c r="AC72" i="41" s="1"/>
  <c r="AC98" i="41" s="1"/>
  <c r="AD24" i="32"/>
  <c r="AD81" i="32" s="1"/>
  <c r="AD110" i="32" s="1"/>
  <c r="AC16" i="41"/>
  <c r="AC67" i="41" s="1"/>
  <c r="AC93" i="41" s="1"/>
  <c r="AD24" i="4"/>
  <c r="AD79" i="4" s="1"/>
  <c r="AD107" i="4" s="1"/>
  <c r="AD11" i="32"/>
  <c r="AD68" i="32" s="1"/>
  <c r="AD97" i="32" s="1"/>
  <c r="AC68" i="32"/>
  <c r="AC97" i="32" s="1"/>
  <c r="AC68" i="4"/>
  <c r="AC96" i="4" s="1"/>
  <c r="T96" i="32"/>
  <c r="AD27" i="32"/>
  <c r="AD84" i="32" s="1"/>
  <c r="AD113" i="32" s="1"/>
  <c r="O292" i="39"/>
  <c r="O291" i="39"/>
  <c r="AD22" i="32"/>
  <c r="AD79" i="32" s="1"/>
  <c r="AD108" i="32" s="1"/>
  <c r="AC88" i="32"/>
  <c r="AC117" i="32" s="1"/>
  <c r="AC75" i="4"/>
  <c r="AC103" i="4" s="1"/>
  <c r="Q6" i="3"/>
  <c r="P5" i="3"/>
  <c r="AB72" i="41"/>
  <c r="AB98" i="41" s="1"/>
  <c r="T178" i="38"/>
  <c r="O218" i="30"/>
  <c r="O217" i="30"/>
  <c r="AC81" i="32"/>
  <c r="AC110" i="32" s="1"/>
  <c r="AB67" i="41"/>
  <c r="AB93" i="41" s="1"/>
  <c r="AD23" i="32"/>
  <c r="AD29" i="41"/>
  <c r="AD80" i="41" s="1"/>
  <c r="AD106" i="41" s="1"/>
  <c r="AB100" i="4" l="1"/>
  <c r="AD117" i="41"/>
  <c r="W31" i="36"/>
  <c r="AC66" i="41"/>
  <c r="AC92" i="41" s="1"/>
  <c r="AD65" i="41"/>
  <c r="AD91" i="41" s="1"/>
  <c r="AC147" i="38"/>
  <c r="AD80" i="32"/>
  <c r="AD109" i="32" s="1"/>
  <c r="Q5" i="3"/>
  <c r="R6" i="3"/>
  <c r="AD16" i="41"/>
  <c r="AD67" i="41" s="1"/>
  <c r="AD93" i="41" s="1"/>
  <c r="R6" i="16"/>
  <c r="Q5" i="16"/>
  <c r="Q198" i="16"/>
  <c r="T256" i="16"/>
  <c r="R72" i="39"/>
  <c r="O135" i="52"/>
  <c r="O133" i="52"/>
  <c r="O134" i="52"/>
  <c r="AD11" i="41"/>
  <c r="AD62" i="41" s="1"/>
  <c r="AD88" i="41" s="1"/>
  <c r="P218" i="30"/>
  <c r="P217" i="30"/>
  <c r="AD26" i="32"/>
  <c r="AD83" i="32" s="1"/>
  <c r="AD112" i="32" s="1"/>
  <c r="Q5" i="39"/>
  <c r="R6" i="39"/>
  <c r="R5" i="39" s="1"/>
  <c r="Q287" i="39"/>
  <c r="Q290" i="39" s="1"/>
  <c r="AC10" i="32"/>
  <c r="AD10" i="41"/>
  <c r="AD61" i="41" s="1"/>
  <c r="T28" i="38"/>
  <c r="T30" i="39" s="1"/>
  <c r="T216" i="38"/>
  <c r="AD21" i="41"/>
  <c r="AD72" i="41" s="1"/>
  <c r="AD98" i="41" s="1"/>
  <c r="AB67" i="32"/>
  <c r="Q213" i="30"/>
  <c r="R6" i="30"/>
  <c r="Q5" i="30"/>
  <c r="AM253" i="3"/>
  <c r="Y252" i="3"/>
  <c r="Y253" i="3" s="1"/>
  <c r="O254" i="38"/>
  <c r="O255" i="38" s="1"/>
  <c r="N257" i="38"/>
  <c r="N4" i="38" s="1"/>
  <c r="O249" i="29"/>
  <c r="O250" i="29" s="1"/>
  <c r="N252" i="29"/>
  <c r="N4" i="29" s="1"/>
  <c r="AC17" i="4"/>
  <c r="AC72" i="4" s="1"/>
  <c r="AC100" i="4" s="1"/>
  <c r="AD25" i="32"/>
  <c r="AD82" i="32" s="1"/>
  <c r="AD111" i="32" s="1"/>
  <c r="Q6" i="52"/>
  <c r="P147" i="52"/>
  <c r="P5" i="52"/>
  <c r="P130" i="52"/>
  <c r="P129" i="52"/>
  <c r="AD18" i="4"/>
  <c r="AD73" i="4" s="1"/>
  <c r="AD101" i="4" s="1"/>
  <c r="P203" i="16"/>
  <c r="P202" i="16"/>
  <c r="AC82" i="32"/>
  <c r="AC111" i="32" s="1"/>
  <c r="O138" i="52"/>
  <c r="O140" i="52"/>
  <c r="O139" i="52"/>
  <c r="R6" i="29"/>
  <c r="Q5" i="29"/>
  <c r="AD12" i="32"/>
  <c r="AD69" i="32" s="1"/>
  <c r="AD98" i="32" s="1"/>
  <c r="B15" i="61"/>
  <c r="A14" i="61"/>
  <c r="P5" i="38"/>
  <c r="Q6" i="38"/>
  <c r="AD31" i="4"/>
  <c r="AD86" i="4" s="1"/>
  <c r="AD114" i="4" s="1"/>
  <c r="AC69" i="32"/>
  <c r="AC98" i="32" s="1"/>
  <c r="AD17" i="32"/>
  <c r="AD74" i="32" s="1"/>
  <c r="AD103" i="32" s="1"/>
  <c r="S175" i="38"/>
  <c r="S176" i="38" s="1"/>
  <c r="S126" i="38" s="1"/>
  <c r="V31" i="37" s="1"/>
  <c r="P292" i="39"/>
  <c r="P291" i="39"/>
  <c r="AC61" i="41"/>
  <c r="AD25" i="4"/>
  <c r="AD80" i="4" s="1"/>
  <c r="AD108" i="4" s="1"/>
  <c r="M252" i="3"/>
  <c r="M253" i="3" s="1"/>
  <c r="L255" i="3"/>
  <c r="L4" i="3" s="1"/>
  <c r="S72" i="39"/>
  <c r="S241" i="39"/>
  <c r="AC67" i="32" l="1"/>
  <c r="AC96" i="32" s="1"/>
  <c r="AC155" i="29"/>
  <c r="AD147" i="38"/>
  <c r="N252" i="3"/>
  <c r="N253" i="3" s="1"/>
  <c r="M255" i="3"/>
  <c r="M4" i="3" s="1"/>
  <c r="R6" i="38"/>
  <c r="Q5" i="38"/>
  <c r="S6" i="29"/>
  <c r="R5" i="29"/>
  <c r="P254" i="38"/>
  <c r="P255" i="38" s="1"/>
  <c r="O257" i="38"/>
  <c r="O4" i="38" s="1"/>
  <c r="AD17" i="4"/>
  <c r="AD72" i="4" s="1"/>
  <c r="AD100" i="4" s="1"/>
  <c r="AD40" i="32"/>
  <c r="AD63" i="32" s="1"/>
  <c r="W31" i="27" s="1"/>
  <c r="R5" i="16"/>
  <c r="S6" i="16"/>
  <c r="R198" i="16"/>
  <c r="R205" i="16" s="1"/>
  <c r="E167" i="15" s="1"/>
  <c r="F167" i="15" s="1"/>
  <c r="G167" i="15" s="1"/>
  <c r="B16" i="61"/>
  <c r="A15" i="61"/>
  <c r="O252" i="29"/>
  <c r="O4" i="29" s="1"/>
  <c r="P249" i="29"/>
  <c r="P250" i="29" s="1"/>
  <c r="Q249" i="29" s="1"/>
  <c r="R213" i="30"/>
  <c r="R220" i="30" s="1"/>
  <c r="S6" i="30"/>
  <c r="R5" i="30"/>
  <c r="T72" i="39"/>
  <c r="T241" i="39"/>
  <c r="S256" i="39"/>
  <c r="S242" i="39"/>
  <c r="S188" i="52" s="1"/>
  <c r="P133" i="52"/>
  <c r="P135" i="52"/>
  <c r="P134" i="52"/>
  <c r="R6" i="52"/>
  <c r="Q5" i="52"/>
  <c r="Q129" i="52"/>
  <c r="Q134" i="52" s="1"/>
  <c r="AN252" i="3"/>
  <c r="AM255" i="3"/>
  <c r="T175" i="38"/>
  <c r="T176" i="38" s="1"/>
  <c r="T126" i="38" s="1"/>
  <c r="AC87" i="41"/>
  <c r="P138" i="52"/>
  <c r="P140" i="52"/>
  <c r="P139" i="52"/>
  <c r="AD87" i="41"/>
  <c r="S6" i="39"/>
  <c r="R287" i="39"/>
  <c r="R290" i="39" s="1"/>
  <c r="AB96" i="32"/>
  <c r="R5" i="3"/>
  <c r="S6" i="3"/>
  <c r="G79" i="15" l="1"/>
  <c r="H79" i="15" s="1"/>
  <c r="I79" i="15" s="1"/>
  <c r="Q250" i="29"/>
  <c r="Q252" i="29" s="1"/>
  <c r="AD10" i="32"/>
  <c r="T6" i="3"/>
  <c r="S5" i="3"/>
  <c r="R5" i="52"/>
  <c r="S6" i="52"/>
  <c r="R129" i="52"/>
  <c r="R211" i="30"/>
  <c r="R230" i="30"/>
  <c r="R125" i="52"/>
  <c r="Q233" i="30"/>
  <c r="Q160" i="52"/>
  <c r="AD129" i="32"/>
  <c r="P252" i="29"/>
  <c r="P4" i="29" s="1"/>
  <c r="S5" i="29"/>
  <c r="T6" i="29"/>
  <c r="AA139" i="29" s="1"/>
  <c r="AB139" i="29" s="1"/>
  <c r="AC139" i="29" s="1"/>
  <c r="AD139" i="29" s="1"/>
  <c r="S6" i="38"/>
  <c r="R5" i="38"/>
  <c r="Q216" i="16"/>
  <c r="Q162" i="52"/>
  <c r="S198" i="52"/>
  <c r="S203" i="52"/>
  <c r="S208" i="52" s="1"/>
  <c r="S193" i="52"/>
  <c r="AO252" i="3"/>
  <c r="AN253" i="3"/>
  <c r="AN255" i="3" s="1"/>
  <c r="S271" i="39"/>
  <c r="S257" i="39"/>
  <c r="S272" i="39" s="1"/>
  <c r="T256" i="39"/>
  <c r="T271" i="39" s="1"/>
  <c r="T242" i="39"/>
  <c r="T188" i="52" s="1"/>
  <c r="B17" i="61"/>
  <c r="A16" i="61"/>
  <c r="Q254" i="38"/>
  <c r="Q255" i="38" s="1"/>
  <c r="P257" i="38"/>
  <c r="P4" i="38" s="1"/>
  <c r="S5" i="39"/>
  <c r="T6" i="39"/>
  <c r="N55" i="77" s="1"/>
  <c r="S287" i="39"/>
  <c r="S294" i="39" s="1"/>
  <c r="R213" i="16"/>
  <c r="R196" i="16"/>
  <c r="R127" i="52"/>
  <c r="S213" i="30"/>
  <c r="S220" i="30" s="1"/>
  <c r="S5" i="30"/>
  <c r="T6" i="30"/>
  <c r="M11" i="77" s="1"/>
  <c r="T6" i="16"/>
  <c r="O55" i="77" s="1"/>
  <c r="S5" i="16"/>
  <c r="S198" i="16"/>
  <c r="S205" i="16" s="1"/>
  <c r="O252" i="3"/>
  <c r="O253" i="3" s="1"/>
  <c r="N255" i="3"/>
  <c r="N4" i="3" s="1"/>
  <c r="AA153" i="3" l="1"/>
  <c r="AB153" i="3" s="1"/>
  <c r="AC153" i="3" s="1"/>
  <c r="AD153" i="3" s="1"/>
  <c r="X180" i="3"/>
  <c r="X191" i="3" s="1"/>
  <c r="Y180" i="3"/>
  <c r="X181" i="3"/>
  <c r="X182" i="3"/>
  <c r="Y182" i="3"/>
  <c r="Y181" i="3"/>
  <c r="Z182" i="3"/>
  <c r="Z181" i="3"/>
  <c r="Z180" i="3"/>
  <c r="O12" i="77"/>
  <c r="G75" i="15"/>
  <c r="H75" i="15" s="1"/>
  <c r="I75" i="15" s="1"/>
  <c r="G73" i="15"/>
  <c r="H73" i="15" s="1"/>
  <c r="I73" i="15" s="1"/>
  <c r="N29" i="77"/>
  <c r="N109" i="77" s="1"/>
  <c r="O145" i="77"/>
  <c r="O28" i="77"/>
  <c r="M30" i="77"/>
  <c r="M56" i="77"/>
  <c r="M29" i="77"/>
  <c r="M12" i="77"/>
  <c r="M54" i="77"/>
  <c r="M75" i="77"/>
  <c r="M138" i="77"/>
  <c r="M76" i="77"/>
  <c r="M142" i="77"/>
  <c r="M53" i="77"/>
  <c r="M145" i="77"/>
  <c r="O138" i="77"/>
  <c r="M77" i="77"/>
  <c r="N77" i="77"/>
  <c r="N75" i="77"/>
  <c r="O27" i="77"/>
  <c r="M46" i="77"/>
  <c r="N54" i="77"/>
  <c r="N76" i="77"/>
  <c r="O56" i="77"/>
  <c r="M27" i="77"/>
  <c r="X176" i="3"/>
  <c r="X175" i="3"/>
  <c r="G172" i="77" s="1"/>
  <c r="AA175" i="3"/>
  <c r="S172" i="77" s="1"/>
  <c r="Z175" i="3"/>
  <c r="K172" i="77" s="1"/>
  <c r="Y176" i="3"/>
  <c r="Y175" i="3"/>
  <c r="Z176" i="3"/>
  <c r="N78" i="77"/>
  <c r="M78" i="77"/>
  <c r="O142" i="77"/>
  <c r="O147" i="77" s="1"/>
  <c r="O75" i="77"/>
  <c r="O30" i="77"/>
  <c r="O53" i="77"/>
  <c r="O78" i="77"/>
  <c r="M28" i="77"/>
  <c r="O54" i="77"/>
  <c r="M13" i="77"/>
  <c r="O77" i="77"/>
  <c r="N53" i="77"/>
  <c r="N30" i="77"/>
  <c r="N28" i="77"/>
  <c r="N138" i="77"/>
  <c r="N56" i="77"/>
  <c r="N142" i="77"/>
  <c r="N145" i="77"/>
  <c r="N27" i="77"/>
  <c r="O76" i="77"/>
  <c r="O29" i="77"/>
  <c r="M55" i="77"/>
  <c r="X183" i="29"/>
  <c r="Z183" i="29"/>
  <c r="Y183" i="29"/>
  <c r="M172" i="77"/>
  <c r="M166" i="77"/>
  <c r="M167" i="77"/>
  <c r="M161" i="77"/>
  <c r="M163" i="77"/>
  <c r="M171" i="77"/>
  <c r="M168" i="77"/>
  <c r="O161" i="77"/>
  <c r="O171" i="77"/>
  <c r="O167" i="77"/>
  <c r="O168" i="77"/>
  <c r="O166" i="77"/>
  <c r="O163" i="77"/>
  <c r="O172" i="77"/>
  <c r="AD67" i="32"/>
  <c r="AD96" i="32" s="1"/>
  <c r="AD155" i="29"/>
  <c r="AA146" i="29"/>
  <c r="X155" i="29"/>
  <c r="E172" i="77" s="1"/>
  <c r="X156" i="29"/>
  <c r="Y156" i="29"/>
  <c r="AA155" i="29"/>
  <c r="Q172" i="77" s="1"/>
  <c r="Y155" i="29"/>
  <c r="Z155" i="29"/>
  <c r="I172" i="77" s="1"/>
  <c r="Z156" i="29"/>
  <c r="O13" i="77"/>
  <c r="O11" i="77"/>
  <c r="N11" i="77"/>
  <c r="N46" i="77"/>
  <c r="N13" i="77"/>
  <c r="N12" i="77"/>
  <c r="AA135" i="29"/>
  <c r="AB135" i="29" s="1"/>
  <c r="AC135" i="29" s="1"/>
  <c r="AD135" i="29" s="1"/>
  <c r="R133" i="52"/>
  <c r="R135" i="52"/>
  <c r="AA111" i="29"/>
  <c r="AB111" i="29" s="1"/>
  <c r="AC111" i="29" s="1"/>
  <c r="AD111" i="29" s="1"/>
  <c r="S211" i="30"/>
  <c r="S230" i="30"/>
  <c r="S125" i="52"/>
  <c r="S277" i="39"/>
  <c r="S298" i="39"/>
  <c r="S312" i="39"/>
  <c r="T198" i="52"/>
  <c r="T203" i="52"/>
  <c r="T208" i="52" s="1"/>
  <c r="T193" i="52"/>
  <c r="T5" i="16"/>
  <c r="AA229" i="16" s="1"/>
  <c r="T198" i="16"/>
  <c r="T205" i="16" s="1"/>
  <c r="AA262" i="16"/>
  <c r="AA268" i="16" s="1"/>
  <c r="T5" i="39"/>
  <c r="T287" i="39"/>
  <c r="T294" i="39" s="1"/>
  <c r="T257" i="39"/>
  <c r="T272" i="39" s="1"/>
  <c r="R236" i="30"/>
  <c r="S5" i="52"/>
  <c r="T6" i="52"/>
  <c r="S129" i="52"/>
  <c r="R281" i="39"/>
  <c r="R161" i="52"/>
  <c r="Q172" i="52"/>
  <c r="Q177" i="52"/>
  <c r="Q167" i="52"/>
  <c r="T6" i="38"/>
  <c r="N163" i="77" s="1"/>
  <c r="S5" i="38"/>
  <c r="R15" i="30"/>
  <c r="R233" i="30"/>
  <c r="R232" i="30" s="1"/>
  <c r="R238" i="30" s="1"/>
  <c r="R160" i="52"/>
  <c r="Q170" i="52"/>
  <c r="Q165" i="52"/>
  <c r="Q175" i="52"/>
  <c r="Q214" i="52"/>
  <c r="Q219" i="52" s="1"/>
  <c r="T5" i="3"/>
  <c r="X126" i="3"/>
  <c r="Z118" i="3"/>
  <c r="Y164" i="3"/>
  <c r="X131" i="3"/>
  <c r="X122" i="3"/>
  <c r="H30" i="14" s="1"/>
  <c r="Y184" i="3"/>
  <c r="X148" i="3"/>
  <c r="Y116" i="3"/>
  <c r="X139" i="3"/>
  <c r="Y151" i="3"/>
  <c r="X160" i="3"/>
  <c r="X161" i="3"/>
  <c r="Z145" i="3"/>
  <c r="Y152" i="3"/>
  <c r="Y126" i="3"/>
  <c r="I31" i="14" s="1"/>
  <c r="Y139" i="3"/>
  <c r="X120" i="3"/>
  <c r="G163" i="77" s="1"/>
  <c r="Y157" i="3"/>
  <c r="X128" i="3"/>
  <c r="X121" i="3"/>
  <c r="H29" i="14" s="1"/>
  <c r="Z131" i="3"/>
  <c r="Y150" i="3"/>
  <c r="Z147" i="3"/>
  <c r="Z136" i="3"/>
  <c r="Y131" i="3"/>
  <c r="Z157" i="3"/>
  <c r="Y133" i="3"/>
  <c r="X130" i="3"/>
  <c r="Y183" i="3"/>
  <c r="Z120" i="3"/>
  <c r="K163" i="77" s="1"/>
  <c r="X145" i="3"/>
  <c r="Z122" i="3"/>
  <c r="J30" i="14" s="1"/>
  <c r="Z151" i="3"/>
  <c r="Y127" i="3"/>
  <c r="Y144" i="3"/>
  <c r="I23" i="14" s="1"/>
  <c r="Y128" i="3"/>
  <c r="Z152" i="3"/>
  <c r="Z168" i="3"/>
  <c r="Z126" i="3"/>
  <c r="Z141" i="3"/>
  <c r="X144" i="3"/>
  <c r="X141" i="3"/>
  <c r="Y146" i="3"/>
  <c r="Y148" i="3"/>
  <c r="AA158" i="3"/>
  <c r="AB158" i="3" s="1"/>
  <c r="AC158" i="3" s="1"/>
  <c r="AD158" i="3" s="1"/>
  <c r="Z160" i="3"/>
  <c r="Y160" i="3"/>
  <c r="Y140" i="3"/>
  <c r="Y141" i="3"/>
  <c r="Z137" i="3"/>
  <c r="K167" i="77" s="1"/>
  <c r="Z139" i="3"/>
  <c r="Z149" i="3"/>
  <c r="Y120" i="3"/>
  <c r="X158" i="3"/>
  <c r="Y166" i="3"/>
  <c r="X150" i="3"/>
  <c r="Y159" i="3"/>
  <c r="Y155" i="3"/>
  <c r="Z194" i="3"/>
  <c r="X152" i="3"/>
  <c r="Y119" i="3"/>
  <c r="X154" i="3"/>
  <c r="Z150" i="3"/>
  <c r="X146" i="3"/>
  <c r="Z164" i="3"/>
  <c r="AA118" i="3"/>
  <c r="Z167" i="3"/>
  <c r="Y118" i="3"/>
  <c r="Y137" i="3"/>
  <c r="Y130" i="3"/>
  <c r="Z116" i="3"/>
  <c r="K161" i="77" s="1"/>
  <c r="X194" i="3"/>
  <c r="Z159" i="3"/>
  <c r="Y145" i="3"/>
  <c r="X155" i="3"/>
  <c r="X168" i="3"/>
  <c r="Z144" i="3"/>
  <c r="AA150" i="3"/>
  <c r="AB150" i="3" s="1"/>
  <c r="AC150" i="3" s="1"/>
  <c r="AD150" i="3" s="1"/>
  <c r="Y132" i="3"/>
  <c r="Z161" i="3"/>
  <c r="Y154" i="3"/>
  <c r="X140" i="3"/>
  <c r="X137" i="3"/>
  <c r="X136" i="3"/>
  <c r="Z130" i="3"/>
  <c r="Z148" i="3"/>
  <c r="Z183" i="3"/>
  <c r="Z127" i="3"/>
  <c r="Z195" i="3"/>
  <c r="Y165" i="3"/>
  <c r="Z121" i="3"/>
  <c r="J29" i="14" s="1"/>
  <c r="X184" i="3"/>
  <c r="Z119" i="3"/>
  <c r="Y158" i="3"/>
  <c r="Z158" i="3"/>
  <c r="X133" i="3"/>
  <c r="X183" i="3"/>
  <c r="X157" i="3"/>
  <c r="Y194" i="3"/>
  <c r="Z165" i="3"/>
  <c r="Y195" i="3"/>
  <c r="AA139" i="3"/>
  <c r="Z128" i="3"/>
  <c r="Y123" i="3"/>
  <c r="X159" i="3"/>
  <c r="X118" i="3"/>
  <c r="AA195" i="3"/>
  <c r="Z184" i="3"/>
  <c r="Z155" i="3"/>
  <c r="Y168" i="3"/>
  <c r="Z166" i="3"/>
  <c r="X116" i="3"/>
  <c r="G161" i="77" s="1"/>
  <c r="Y167" i="3"/>
  <c r="X147" i="3"/>
  <c r="X164" i="3"/>
  <c r="Z123" i="3"/>
  <c r="X167" i="3"/>
  <c r="Y122" i="3"/>
  <c r="I30" i="14" s="1"/>
  <c r="X166" i="3"/>
  <c r="Y121" i="3"/>
  <c r="I29" i="14" s="1"/>
  <c r="AA164" i="3"/>
  <c r="AA126" i="3"/>
  <c r="AA161" i="3"/>
  <c r="AB161" i="3" s="1"/>
  <c r="AC161" i="3" s="1"/>
  <c r="AD161" i="3" s="1"/>
  <c r="AA168" i="3"/>
  <c r="AB168" i="3" s="1"/>
  <c r="AC168" i="3" s="1"/>
  <c r="AD168" i="3" s="1"/>
  <c r="X151" i="3"/>
  <c r="Y147" i="3"/>
  <c r="Y149" i="3"/>
  <c r="AA148" i="3"/>
  <c r="AA147" i="3"/>
  <c r="AB147" i="3" s="1"/>
  <c r="AC147" i="3" s="1"/>
  <c r="AD147" i="3" s="1"/>
  <c r="AA141" i="3"/>
  <c r="X127" i="3"/>
  <c r="X119" i="3"/>
  <c r="AA183" i="3"/>
  <c r="AB183" i="3" s="1"/>
  <c r="AC183" i="3" s="1"/>
  <c r="AD183" i="3" s="1"/>
  <c r="AA123" i="3"/>
  <c r="X149" i="3"/>
  <c r="X132" i="3"/>
  <c r="AA132" i="3"/>
  <c r="AB132" i="3" s="1"/>
  <c r="AC132" i="3" s="1"/>
  <c r="AD132" i="3" s="1"/>
  <c r="AA130" i="3"/>
  <c r="Z140" i="3"/>
  <c r="Y161" i="3"/>
  <c r="AA165" i="3"/>
  <c r="AB165" i="3" s="1"/>
  <c r="AC165" i="3" s="1"/>
  <c r="AD165" i="3" s="1"/>
  <c r="Y136" i="3"/>
  <c r="X195" i="3"/>
  <c r="X198" i="3" s="1"/>
  <c r="X199" i="3" s="1"/>
  <c r="X123" i="3"/>
  <c r="AA157" i="3"/>
  <c r="AA159" i="3"/>
  <c r="AB159" i="3" s="1"/>
  <c r="AC159" i="3" s="1"/>
  <c r="AD159" i="3" s="1"/>
  <c r="AA119" i="3"/>
  <c r="AB119" i="3" s="1"/>
  <c r="AC119" i="3" s="1"/>
  <c r="AD119" i="3" s="1"/>
  <c r="Z133" i="3"/>
  <c r="X165" i="3"/>
  <c r="AB155" i="3"/>
  <c r="AC155" i="3" s="1"/>
  <c r="AD155" i="3" s="1"/>
  <c r="AA160" i="3"/>
  <c r="AB160" i="3" s="1"/>
  <c r="AC160" i="3" s="1"/>
  <c r="AD160" i="3" s="1"/>
  <c r="Z154" i="3"/>
  <c r="AA140" i="3"/>
  <c r="AB140" i="3" s="1"/>
  <c r="AC140" i="3" s="1"/>
  <c r="AD140" i="3" s="1"/>
  <c r="AA151" i="3"/>
  <c r="AA133" i="3"/>
  <c r="AB133" i="3" s="1"/>
  <c r="AC133" i="3" s="1"/>
  <c r="AD133" i="3" s="1"/>
  <c r="Z132" i="3"/>
  <c r="AA120" i="3"/>
  <c r="Z146" i="3"/>
  <c r="AA121" i="3"/>
  <c r="AA145" i="3"/>
  <c r="AA137" i="3"/>
  <c r="S167" i="77" s="1"/>
  <c r="AA166" i="3"/>
  <c r="AB166" i="3" s="1"/>
  <c r="AC166" i="3" s="1"/>
  <c r="AD166" i="3" s="1"/>
  <c r="AA131" i="3"/>
  <c r="AB131" i="3" s="1"/>
  <c r="AC131" i="3" s="1"/>
  <c r="AD131" i="3" s="1"/>
  <c r="AA152" i="3"/>
  <c r="AA149" i="3"/>
  <c r="AA127" i="3"/>
  <c r="AA184" i="3"/>
  <c r="AA146" i="3"/>
  <c r="AA194" i="3"/>
  <c r="P252" i="3"/>
  <c r="P253" i="3" s="1"/>
  <c r="Q252" i="3" s="1"/>
  <c r="Q253" i="3" s="1"/>
  <c r="Q255" i="3" s="1"/>
  <c r="O255" i="3"/>
  <c r="O4" i="3" s="1"/>
  <c r="T5" i="30"/>
  <c r="T213" i="30"/>
  <c r="T220" i="30" s="1"/>
  <c r="Y280" i="30"/>
  <c r="X280" i="30"/>
  <c r="AA280" i="30"/>
  <c r="Z280" i="30"/>
  <c r="R15" i="16"/>
  <c r="R216" i="16"/>
  <c r="R215" i="16" s="1"/>
  <c r="R221" i="16" s="1"/>
  <c r="R162" i="52"/>
  <c r="Q257" i="38"/>
  <c r="Q4" i="38" s="1"/>
  <c r="R254" i="38"/>
  <c r="AP252" i="3"/>
  <c r="AO253" i="3"/>
  <c r="AO255" i="3" s="1"/>
  <c r="S213" i="16"/>
  <c r="S196" i="16"/>
  <c r="S127" i="52"/>
  <c r="R219" i="16"/>
  <c r="B18" i="61"/>
  <c r="A17" i="61"/>
  <c r="T5" i="29"/>
  <c r="Z161" i="29"/>
  <c r="Z119" i="29"/>
  <c r="Z126" i="29"/>
  <c r="Z147" i="29"/>
  <c r="Y115" i="29"/>
  <c r="I31" i="28" s="1"/>
  <c r="X134" i="29"/>
  <c r="Y162" i="29"/>
  <c r="Y120" i="29"/>
  <c r="X125" i="29"/>
  <c r="Z115" i="29"/>
  <c r="X126" i="29"/>
  <c r="Y109" i="29"/>
  <c r="I30" i="28" s="1"/>
  <c r="Z129" i="29"/>
  <c r="I171" i="77" s="1"/>
  <c r="Z123" i="29"/>
  <c r="X105" i="29"/>
  <c r="E161" i="77" s="1"/>
  <c r="X110" i="29"/>
  <c r="X129" i="29"/>
  <c r="E171" i="77" s="1"/>
  <c r="Y105" i="29"/>
  <c r="X109" i="29"/>
  <c r="H30" i="28" s="1"/>
  <c r="X124" i="29"/>
  <c r="Y141" i="29"/>
  <c r="Y134" i="29"/>
  <c r="Y116" i="29"/>
  <c r="Y123" i="29"/>
  <c r="X146" i="29"/>
  <c r="Y148" i="29"/>
  <c r="X120" i="29"/>
  <c r="Y142" i="29"/>
  <c r="Y161" i="29"/>
  <c r="X130" i="29"/>
  <c r="X161" i="29"/>
  <c r="Z133" i="29"/>
  <c r="Z106" i="29"/>
  <c r="X135" i="29"/>
  <c r="X115" i="29"/>
  <c r="X118" i="29"/>
  <c r="Y176" i="29"/>
  <c r="X162" i="29"/>
  <c r="X131" i="29"/>
  <c r="Z141" i="29"/>
  <c r="Z164" i="29"/>
  <c r="X176" i="29"/>
  <c r="Y140" i="29"/>
  <c r="X136" i="29"/>
  <c r="X164" i="29"/>
  <c r="X138" i="29"/>
  <c r="X111" i="29"/>
  <c r="Y138" i="29"/>
  <c r="Y117" i="29"/>
  <c r="Z116" i="29"/>
  <c r="Y126" i="29"/>
  <c r="Z125" i="29"/>
  <c r="I167" i="77" s="1"/>
  <c r="Y135" i="29"/>
  <c r="X123" i="29"/>
  <c r="Y147" i="29"/>
  <c r="Y146" i="29"/>
  <c r="Y133" i="29"/>
  <c r="X116" i="29"/>
  <c r="Y107" i="29"/>
  <c r="Z118" i="29"/>
  <c r="X107" i="29"/>
  <c r="Y130" i="29"/>
  <c r="Y111" i="29"/>
  <c r="Y160" i="29"/>
  <c r="X108" i="29"/>
  <c r="H29" i="28" s="1"/>
  <c r="X148" i="29"/>
  <c r="X133" i="29"/>
  <c r="Y131" i="29"/>
  <c r="X132" i="29"/>
  <c r="Y112" i="29"/>
  <c r="X141" i="29"/>
  <c r="X142" i="29"/>
  <c r="Z132" i="29"/>
  <c r="Z130" i="29"/>
  <c r="Z109" i="29"/>
  <c r="J30" i="28" s="1"/>
  <c r="Y136" i="29"/>
  <c r="Y137" i="29"/>
  <c r="X140" i="29"/>
  <c r="Y124" i="29"/>
  <c r="X117" i="29"/>
  <c r="Z145" i="29"/>
  <c r="Y164" i="29"/>
  <c r="Z124" i="29"/>
  <c r="X160" i="29"/>
  <c r="X145" i="29"/>
  <c r="X137" i="29"/>
  <c r="X112" i="29"/>
  <c r="E163" i="77" s="1"/>
  <c r="Y129" i="29"/>
  <c r="Z140" i="29"/>
  <c r="Y125" i="29"/>
  <c r="X119" i="29"/>
  <c r="X147" i="29"/>
  <c r="Y145" i="29"/>
  <c r="X106" i="29"/>
  <c r="Y106" i="29"/>
  <c r="Y119" i="29"/>
  <c r="Z135" i="29"/>
  <c r="Z142" i="29"/>
  <c r="Z136" i="29"/>
  <c r="AA147" i="29"/>
  <c r="AB147" i="29" s="1"/>
  <c r="AC147" i="29" s="1"/>
  <c r="AD147" i="29" s="1"/>
  <c r="Z146" i="29"/>
  <c r="AA140" i="29"/>
  <c r="AA108" i="29"/>
  <c r="Z117" i="29"/>
  <c r="AA116" i="29"/>
  <c r="AB116" i="29" s="1"/>
  <c r="AC116" i="29" s="1"/>
  <c r="AD116" i="29" s="1"/>
  <c r="Z134" i="29"/>
  <c r="Y110" i="29"/>
  <c r="Z131" i="29"/>
  <c r="Y108" i="29"/>
  <c r="I29" i="28" s="1"/>
  <c r="Z111" i="29"/>
  <c r="Z162" i="29"/>
  <c r="Z138" i="29"/>
  <c r="AA126" i="29"/>
  <c r="AB126" i="29" s="1"/>
  <c r="AC126" i="29" s="1"/>
  <c r="AD126" i="29" s="1"/>
  <c r="Z160" i="29"/>
  <c r="Z148" i="29"/>
  <c r="AA132" i="29"/>
  <c r="AB132" i="29" s="1"/>
  <c r="AC132" i="29" s="1"/>
  <c r="AD132" i="29" s="1"/>
  <c r="AA138" i="29"/>
  <c r="AB138" i="29" s="1"/>
  <c r="AC138" i="29" s="1"/>
  <c r="AD138" i="29" s="1"/>
  <c r="AA176" i="29"/>
  <c r="AB174" i="29" s="1"/>
  <c r="AB176" i="29" s="1"/>
  <c r="Z120" i="29"/>
  <c r="AA117" i="29"/>
  <c r="AB117" i="29" s="1"/>
  <c r="AC117" i="29" s="1"/>
  <c r="AD117" i="29" s="1"/>
  <c r="AA115" i="29"/>
  <c r="Y132" i="29"/>
  <c r="AA120" i="29"/>
  <c r="Z110" i="29"/>
  <c r="AA124" i="29"/>
  <c r="Z112" i="29"/>
  <c r="I163" i="77" s="1"/>
  <c r="AA163" i="29"/>
  <c r="AB163" i="29" s="1"/>
  <c r="AA142" i="29"/>
  <c r="AA107" i="29"/>
  <c r="AB107" i="29" s="1"/>
  <c r="AA118" i="29"/>
  <c r="Z108" i="29"/>
  <c r="J29" i="28" s="1"/>
  <c r="AA106" i="29"/>
  <c r="AB106" i="29" s="1"/>
  <c r="AC106" i="29" s="1"/>
  <c r="AD106" i="29" s="1"/>
  <c r="Z107" i="29"/>
  <c r="Z137" i="29"/>
  <c r="AA112" i="29"/>
  <c r="AA145" i="29"/>
  <c r="AA164" i="29"/>
  <c r="Z176" i="29"/>
  <c r="Z105" i="29"/>
  <c r="I161" i="77" s="1"/>
  <c r="Y118" i="29"/>
  <c r="AA141" i="29"/>
  <c r="AA125" i="29"/>
  <c r="Q167" i="77" s="1"/>
  <c r="AA233" i="3" l="1"/>
  <c r="AA190" i="3"/>
  <c r="AA191" i="3"/>
  <c r="X170" i="29"/>
  <c r="Y170" i="29"/>
  <c r="AA171" i="29"/>
  <c r="Z170" i="29"/>
  <c r="AA170" i="29"/>
  <c r="AB139" i="3"/>
  <c r="AA138" i="3"/>
  <c r="Z138" i="3"/>
  <c r="Z142" i="3" s="1"/>
  <c r="X138" i="3"/>
  <c r="X142" i="3" s="1"/>
  <c r="Y138" i="3"/>
  <c r="Y142" i="3" s="1"/>
  <c r="O125" i="77"/>
  <c r="Y61" i="29"/>
  <c r="X62" i="29"/>
  <c r="Y62" i="29"/>
  <c r="X52" i="29"/>
  <c r="Y56" i="29"/>
  <c r="X49" i="29"/>
  <c r="X53" i="29"/>
  <c r="X47" i="29"/>
  <c r="X50" i="29"/>
  <c r="X63" i="29"/>
  <c r="X58" i="29"/>
  <c r="Z47" i="29"/>
  <c r="Y47" i="29"/>
  <c r="Y50" i="29"/>
  <c r="Y58" i="29"/>
  <c r="X57" i="29"/>
  <c r="X56" i="29"/>
  <c r="Y49" i="29"/>
  <c r="Y53" i="29"/>
  <c r="Y57" i="29"/>
  <c r="Z61" i="29"/>
  <c r="Z57" i="29"/>
  <c r="Z62" i="29"/>
  <c r="AA58" i="29"/>
  <c r="AA62" i="29"/>
  <c r="Z52" i="29"/>
  <c r="Z58" i="29"/>
  <c r="Z49" i="29"/>
  <c r="Y63" i="29"/>
  <c r="X61" i="29"/>
  <c r="AA52" i="29"/>
  <c r="AA49" i="29"/>
  <c r="AA63" i="29"/>
  <c r="Z53" i="29"/>
  <c r="AA57" i="29"/>
  <c r="Y52" i="29"/>
  <c r="Z63" i="29"/>
  <c r="AA50" i="29"/>
  <c r="Z50" i="29"/>
  <c r="AA53" i="29"/>
  <c r="Z56" i="29"/>
  <c r="Z139" i="29"/>
  <c r="Y139" i="29"/>
  <c r="X139" i="29"/>
  <c r="O108" i="77"/>
  <c r="O124" i="77"/>
  <c r="M14" i="77"/>
  <c r="N93" i="77"/>
  <c r="M91" i="77"/>
  <c r="M79" i="77"/>
  <c r="M124" i="77"/>
  <c r="M108" i="77"/>
  <c r="N92" i="77"/>
  <c r="M93" i="77"/>
  <c r="N94" i="77"/>
  <c r="N166" i="77"/>
  <c r="O110" i="77"/>
  <c r="O126" i="77"/>
  <c r="N147" i="77"/>
  <c r="N172" i="77"/>
  <c r="N124" i="77"/>
  <c r="N108" i="77"/>
  <c r="N125" i="77"/>
  <c r="M109" i="77"/>
  <c r="M125" i="77"/>
  <c r="AA147" i="38"/>
  <c r="R172" i="77" s="1"/>
  <c r="N168" i="77"/>
  <c r="N167" i="77"/>
  <c r="M123" i="77"/>
  <c r="M31" i="77"/>
  <c r="M44" i="77" s="1"/>
  <c r="M107" i="77"/>
  <c r="O109" i="77"/>
  <c r="N110" i="77"/>
  <c r="N126" i="77"/>
  <c r="N161" i="77"/>
  <c r="O123" i="77"/>
  <c r="O31" i="77"/>
  <c r="O41" i="77" s="1"/>
  <c r="O107" i="77"/>
  <c r="M57" i="77"/>
  <c r="M70" i="77" s="1"/>
  <c r="O92" i="77"/>
  <c r="N57" i="77"/>
  <c r="N67" i="77" s="1"/>
  <c r="O94" i="77"/>
  <c r="N79" i="77"/>
  <c r="N91" i="77"/>
  <c r="M147" i="77"/>
  <c r="M126" i="77"/>
  <c r="M110" i="77"/>
  <c r="O79" i="77"/>
  <c r="O91" i="77"/>
  <c r="N123" i="77"/>
  <c r="N31" i="77"/>
  <c r="N44" i="77" s="1"/>
  <c r="N107" i="77"/>
  <c r="O93" i="77"/>
  <c r="O57" i="77"/>
  <c r="O67" i="77" s="1"/>
  <c r="M94" i="77"/>
  <c r="M92" i="77"/>
  <c r="N171" i="77"/>
  <c r="Z153" i="3"/>
  <c r="Y153" i="3"/>
  <c r="M175" i="77"/>
  <c r="M174" i="77"/>
  <c r="X197" i="29"/>
  <c r="E167" i="77"/>
  <c r="AB112" i="29"/>
  <c r="AC112" i="29" s="1"/>
  <c r="AD112" i="29" s="1"/>
  <c r="M176" i="77"/>
  <c r="AB140" i="29"/>
  <c r="AC140" i="29" s="1"/>
  <c r="AD140" i="29" s="1"/>
  <c r="X153" i="3"/>
  <c r="O176" i="77"/>
  <c r="AB120" i="3"/>
  <c r="AC120" i="3" s="1"/>
  <c r="S163" i="77"/>
  <c r="J23" i="14"/>
  <c r="J46" i="14" s="1"/>
  <c r="H53" i="13" s="1"/>
  <c r="K171" i="77"/>
  <c r="K183" i="77" s="1"/>
  <c r="O175" i="77"/>
  <c r="X212" i="3"/>
  <c r="G167" i="77"/>
  <c r="AB157" i="3"/>
  <c r="AA156" i="3"/>
  <c r="L31" i="14"/>
  <c r="S166" i="77"/>
  <c r="S175" i="77" s="1"/>
  <c r="X156" i="3"/>
  <c r="Z156" i="3"/>
  <c r="Y156" i="3"/>
  <c r="J31" i="14"/>
  <c r="J32" i="14" s="1"/>
  <c r="K166" i="77"/>
  <c r="K175" i="77" s="1"/>
  <c r="O174" i="77"/>
  <c r="J31" i="28"/>
  <c r="J32" i="28" s="1"/>
  <c r="I166" i="77"/>
  <c r="I175" i="77" s="1"/>
  <c r="L31" i="28"/>
  <c r="Q166" i="77"/>
  <c r="Q175" i="77" s="1"/>
  <c r="E181" i="77"/>
  <c r="I183" i="77"/>
  <c r="E183" i="77"/>
  <c r="G164" i="77"/>
  <c r="K164" i="77"/>
  <c r="H23" i="14"/>
  <c r="H45" i="14" s="1"/>
  <c r="F52" i="13" s="1"/>
  <c r="G171" i="77"/>
  <c r="G183" i="77" s="1"/>
  <c r="H31" i="14"/>
  <c r="H32" i="14" s="1"/>
  <c r="G166" i="77"/>
  <c r="G175" i="77" s="1"/>
  <c r="H31" i="28"/>
  <c r="H32" i="28" s="1"/>
  <c r="E166" i="77"/>
  <c r="E175" i="77" s="1"/>
  <c r="I164" i="77"/>
  <c r="E164" i="77"/>
  <c r="AA233" i="16"/>
  <c r="X25" i="16"/>
  <c r="Y25" i="16"/>
  <c r="AA25" i="16"/>
  <c r="Z25" i="16"/>
  <c r="O14" i="77"/>
  <c r="N14" i="77"/>
  <c r="S135" i="52"/>
  <c r="X146" i="38"/>
  <c r="F171" i="77" s="1"/>
  <c r="Z146" i="38"/>
  <c r="J171" i="77" s="1"/>
  <c r="Y146" i="38"/>
  <c r="X163" i="29"/>
  <c r="X165" i="29" s="1"/>
  <c r="Z197" i="29"/>
  <c r="Y149" i="29"/>
  <c r="I25" i="28" s="1"/>
  <c r="Y185" i="3"/>
  <c r="Y212" i="3"/>
  <c r="Z149" i="29"/>
  <c r="J25" i="28" s="1"/>
  <c r="Y163" i="29"/>
  <c r="Y165" i="29" s="1"/>
  <c r="Z129" i="3"/>
  <c r="Z285" i="30"/>
  <c r="I32" i="28"/>
  <c r="Y196" i="3"/>
  <c r="Z196" i="3"/>
  <c r="Z117" i="3"/>
  <c r="Z124" i="3" s="1"/>
  <c r="Z198" i="3"/>
  <c r="Z199" i="3" s="1"/>
  <c r="H23" i="28"/>
  <c r="AB125" i="29"/>
  <c r="AA197" i="29"/>
  <c r="Y197" i="29"/>
  <c r="Y178" i="29"/>
  <c r="X178" i="29"/>
  <c r="Y202" i="29"/>
  <c r="Y113" i="29"/>
  <c r="Y121" i="29" s="1"/>
  <c r="I26" i="28"/>
  <c r="Y285" i="30"/>
  <c r="AA185" i="3"/>
  <c r="Y198" i="3"/>
  <c r="Y199" i="3" s="1"/>
  <c r="Y129" i="3"/>
  <c r="R170" i="52"/>
  <c r="R165" i="52"/>
  <c r="R175" i="52"/>
  <c r="R214" i="52"/>
  <c r="R219" i="52" s="1"/>
  <c r="R239" i="30"/>
  <c r="R240" i="30" s="1"/>
  <c r="T213" i="16"/>
  <c r="T196" i="16"/>
  <c r="AA196" i="16" s="1"/>
  <c r="T127" i="52"/>
  <c r="Z202" i="29"/>
  <c r="Z113" i="29"/>
  <c r="Z121" i="29" s="1"/>
  <c r="J26" i="28"/>
  <c r="I23" i="28"/>
  <c r="Y127" i="29"/>
  <c r="X10" i="29"/>
  <c r="X29" i="29"/>
  <c r="X31" i="29"/>
  <c r="X15" i="29"/>
  <c r="X24" i="29"/>
  <c r="X25" i="29"/>
  <c r="X26" i="29"/>
  <c r="X23" i="29"/>
  <c r="Y23" i="29"/>
  <c r="Y31" i="29"/>
  <c r="Y19" i="29"/>
  <c r="X20" i="29"/>
  <c r="X11" i="29"/>
  <c r="X12" i="29"/>
  <c r="Y12" i="29"/>
  <c r="Y16" i="29"/>
  <c r="X16" i="29"/>
  <c r="X18" i="29"/>
  <c r="X30" i="29"/>
  <c r="AA226" i="29"/>
  <c r="Z12" i="29"/>
  <c r="Z24" i="29"/>
  <c r="Z17" i="29"/>
  <c r="Y17" i="29"/>
  <c r="Y26" i="29"/>
  <c r="Y15" i="29"/>
  <c r="Z18" i="29"/>
  <c r="Y30" i="29"/>
  <c r="X246" i="29"/>
  <c r="X248" i="29" s="1"/>
  <c r="X250" i="29" s="1"/>
  <c r="Y249" i="29" s="1"/>
  <c r="X19" i="29"/>
  <c r="X17" i="29"/>
  <c r="Z10" i="29"/>
  <c r="Z29" i="29"/>
  <c r="Z203" i="29" s="1"/>
  <c r="Y246" i="29"/>
  <c r="Y248" i="29" s="1"/>
  <c r="Z26" i="29"/>
  <c r="Z20" i="29"/>
  <c r="Y25" i="29"/>
  <c r="X34" i="29"/>
  <c r="Y11" i="29"/>
  <c r="Y29" i="29"/>
  <c r="Y203" i="29" s="1"/>
  <c r="Z16" i="29"/>
  <c r="Y20" i="29"/>
  <c r="Y34" i="29"/>
  <c r="Y10" i="29"/>
  <c r="Y24" i="29"/>
  <c r="AA223" i="29"/>
  <c r="AA244" i="29"/>
  <c r="L19" i="28" s="1"/>
  <c r="AA229" i="29"/>
  <c r="Z30" i="29"/>
  <c r="AA24" i="29"/>
  <c r="AA25" i="29"/>
  <c r="AA11" i="29"/>
  <c r="Z25" i="29"/>
  <c r="AA12" i="29"/>
  <c r="Z15" i="29"/>
  <c r="Z11" i="29"/>
  <c r="Z19" i="29"/>
  <c r="AA222" i="29"/>
  <c r="AA236" i="29"/>
  <c r="Z51" i="29"/>
  <c r="AA231" i="29"/>
  <c r="Z34" i="29"/>
  <c r="AA245" i="29"/>
  <c r="AA241" i="29"/>
  <c r="AA217" i="29"/>
  <c r="AA221" i="29"/>
  <c r="Z23" i="29"/>
  <c r="AA31" i="29"/>
  <c r="Z246" i="29"/>
  <c r="Z248" i="29" s="1"/>
  <c r="Y51" i="29"/>
  <c r="AA242" i="29"/>
  <c r="AA233" i="29"/>
  <c r="AA17" i="29"/>
  <c r="AA10" i="29"/>
  <c r="AA220" i="29"/>
  <c r="AA19" i="29"/>
  <c r="Z31" i="29"/>
  <c r="AA20" i="29"/>
  <c r="Y18" i="29"/>
  <c r="AA26" i="29"/>
  <c r="AA228" i="29"/>
  <c r="AA234" i="29"/>
  <c r="AA235" i="29"/>
  <c r="AA230" i="29"/>
  <c r="AA16" i="29"/>
  <c r="S219" i="16"/>
  <c r="R172" i="52"/>
  <c r="R177" i="52"/>
  <c r="R167" i="52"/>
  <c r="X117" i="30"/>
  <c r="E53" i="77" s="1"/>
  <c r="M60" i="77" s="1"/>
  <c r="X78" i="30"/>
  <c r="X91" i="30"/>
  <c r="E29" i="77" s="1"/>
  <c r="M36" i="77" s="1"/>
  <c r="X76" i="30"/>
  <c r="X193" i="30"/>
  <c r="X27" i="30"/>
  <c r="X92" i="30"/>
  <c r="E30" i="77" s="1"/>
  <c r="M37" i="77" s="1"/>
  <c r="X18" i="30"/>
  <c r="X32" i="30"/>
  <c r="X249" i="30"/>
  <c r="X152" i="30"/>
  <c r="E78" i="77" s="1"/>
  <c r="X82" i="30"/>
  <c r="X68" i="29"/>
  <c r="X11" i="30"/>
  <c r="E12" i="77" s="1"/>
  <c r="X17" i="30"/>
  <c r="X35" i="30"/>
  <c r="X119" i="30"/>
  <c r="Y92" i="30"/>
  <c r="Y23" i="30"/>
  <c r="X247" i="30"/>
  <c r="X222" i="30"/>
  <c r="E145" i="77" s="1"/>
  <c r="X24" i="30"/>
  <c r="X19" i="30"/>
  <c r="X94" i="29"/>
  <c r="X10" i="30"/>
  <c r="E11" i="77" s="1"/>
  <c r="X71" i="29"/>
  <c r="X194" i="30"/>
  <c r="X77" i="30"/>
  <c r="Y152" i="30"/>
  <c r="X73" i="29"/>
  <c r="Y249" i="30"/>
  <c r="X69" i="29"/>
  <c r="Y17" i="30"/>
  <c r="Y73" i="29"/>
  <c r="X245" i="30"/>
  <c r="Y279" i="30"/>
  <c r="Y282" i="30" s="1"/>
  <c r="Y244" i="30"/>
  <c r="Y120" i="30"/>
  <c r="Y72" i="29"/>
  <c r="X30" i="30"/>
  <c r="X248" i="30"/>
  <c r="X89" i="30"/>
  <c r="E27" i="77" s="1"/>
  <c r="X20" i="30"/>
  <c r="X74" i="29"/>
  <c r="X279" i="30"/>
  <c r="X282" i="30" s="1"/>
  <c r="X12" i="30"/>
  <c r="E13" i="77" s="1"/>
  <c r="X78" i="29"/>
  <c r="Y248" i="30"/>
  <c r="Y119" i="30"/>
  <c r="Y74" i="29"/>
  <c r="X118" i="30"/>
  <c r="E54" i="77" s="1"/>
  <c r="X186" i="30"/>
  <c r="X250" i="30"/>
  <c r="X31" i="30"/>
  <c r="X86" i="29"/>
  <c r="X72" i="29"/>
  <c r="X16" i="30"/>
  <c r="X120" i="30"/>
  <c r="E56" i="77" s="1"/>
  <c r="X70" i="29"/>
  <c r="X244" i="30"/>
  <c r="X185" i="30"/>
  <c r="X23" i="30"/>
  <c r="Y211" i="30"/>
  <c r="X87" i="29"/>
  <c r="Y78" i="29"/>
  <c r="X90" i="30"/>
  <c r="E28" i="77" s="1"/>
  <c r="M35" i="77" s="1"/>
  <c r="X81" i="30"/>
  <c r="Y117" i="30"/>
  <c r="X211" i="30"/>
  <c r="Y76" i="29"/>
  <c r="X246" i="30"/>
  <c r="X75" i="29"/>
  <c r="X150" i="30"/>
  <c r="E76" i="77" s="1"/>
  <c r="M83" i="77" s="1"/>
  <c r="Y68" i="29"/>
  <c r="X95" i="29"/>
  <c r="X251" i="30"/>
  <c r="Y12" i="30"/>
  <c r="X83" i="29"/>
  <c r="Y81" i="30"/>
  <c r="X77" i="29"/>
  <c r="Y35" i="30"/>
  <c r="Z77" i="30"/>
  <c r="Y90" i="30"/>
  <c r="Z35" i="30"/>
  <c r="Z87" i="29"/>
  <c r="Z23" i="30"/>
  <c r="Y246" i="30"/>
  <c r="Z76" i="29"/>
  <c r="Z244" i="30"/>
  <c r="Z117" i="30"/>
  <c r="I53" i="77" s="1"/>
  <c r="Z118" i="30"/>
  <c r="I54" i="77" s="1"/>
  <c r="Z92" i="30"/>
  <c r="I30" i="77" s="1"/>
  <c r="Z20" i="30"/>
  <c r="Z71" i="29"/>
  <c r="Y78" i="30"/>
  <c r="Z68" i="29"/>
  <c r="Z83" i="29"/>
  <c r="Z31" i="30"/>
  <c r="Z151" i="30"/>
  <c r="I77" i="77" s="1"/>
  <c r="Z73" i="29"/>
  <c r="Y150" i="30"/>
  <c r="Y91" i="30"/>
  <c r="Y24" i="30"/>
  <c r="Y95" i="29"/>
  <c r="Z193" i="30"/>
  <c r="Y69" i="29"/>
  <c r="Y185" i="30"/>
  <c r="Z82" i="30"/>
  <c r="Y15" i="30"/>
  <c r="Y222" i="30"/>
  <c r="Y32" i="30"/>
  <c r="Z119" i="30"/>
  <c r="Y194" i="30"/>
  <c r="Y94" i="29"/>
  <c r="Y87" i="29"/>
  <c r="X84" i="29"/>
  <c r="Y30" i="30"/>
  <c r="Y71" i="29"/>
  <c r="Y193" i="30"/>
  <c r="Y83" i="29"/>
  <c r="Y82" i="29"/>
  <c r="Y250" i="30"/>
  <c r="Y27" i="30"/>
  <c r="Y118" i="30"/>
  <c r="X76" i="29"/>
  <c r="Y149" i="30"/>
  <c r="X151" i="30"/>
  <c r="E77" i="77" s="1"/>
  <c r="X85" i="29"/>
  <c r="X79" i="29"/>
  <c r="Z27" i="30"/>
  <c r="Y245" i="30"/>
  <c r="Y11" i="30"/>
  <c r="X15" i="30"/>
  <c r="Z81" i="30"/>
  <c r="Y18" i="30"/>
  <c r="Y85" i="29"/>
  <c r="Y76" i="30"/>
  <c r="Y79" i="29"/>
  <c r="Y10" i="30"/>
  <c r="Y20" i="30"/>
  <c r="Y186" i="30"/>
  <c r="Y247" i="30"/>
  <c r="Z251" i="30"/>
  <c r="Y86" i="29"/>
  <c r="Y82" i="30"/>
  <c r="Z211" i="30"/>
  <c r="Y77" i="29"/>
  <c r="Y251" i="30"/>
  <c r="Y77" i="30"/>
  <c r="Y151" i="30"/>
  <c r="Y16" i="30"/>
  <c r="X82" i="29"/>
  <c r="X149" i="30"/>
  <c r="E75" i="77" s="1"/>
  <c r="M82" i="77" s="1"/>
  <c r="Z194" i="30"/>
  <c r="Z246" i="30"/>
  <c r="AA186" i="30"/>
  <c r="Z249" i="30"/>
  <c r="Z245" i="30"/>
  <c r="AA120" i="30"/>
  <c r="Q56" i="77" s="1"/>
  <c r="Z75" i="29"/>
  <c r="AA73" i="29"/>
  <c r="AA16" i="30"/>
  <c r="Y31" i="30"/>
  <c r="Z222" i="30"/>
  <c r="I145" i="77" s="1"/>
  <c r="Z150" i="30"/>
  <c r="I76" i="77" s="1"/>
  <c r="Z250" i="30"/>
  <c r="Z19" i="30"/>
  <c r="Z185" i="30"/>
  <c r="Y84" i="29"/>
  <c r="Z78" i="30"/>
  <c r="Z76" i="30"/>
  <c r="Z84" i="29"/>
  <c r="Y19" i="30"/>
  <c r="Z248" i="30"/>
  <c r="Z86" i="29"/>
  <c r="Z16" i="30"/>
  <c r="Z78" i="29"/>
  <c r="Z120" i="30"/>
  <c r="I56" i="77" s="1"/>
  <c r="AA279" i="30"/>
  <c r="AA282" i="30" s="1"/>
  <c r="Z149" i="30"/>
  <c r="I75" i="77" s="1"/>
  <c r="Z69" i="29"/>
  <c r="Z77" i="29"/>
  <c r="Z279" i="30"/>
  <c r="Z282" i="30" s="1"/>
  <c r="Z18" i="30"/>
  <c r="Z90" i="30"/>
  <c r="I28" i="77" s="1"/>
  <c r="Z85" i="29"/>
  <c r="Y75" i="29"/>
  <c r="Z186" i="30"/>
  <c r="Z30" i="30"/>
  <c r="Z10" i="30"/>
  <c r="I11" i="77" s="1"/>
  <c r="Z95" i="29"/>
  <c r="Z89" i="30"/>
  <c r="I27" i="77" s="1"/>
  <c r="Z15" i="30"/>
  <c r="Z247" i="30"/>
  <c r="AA11" i="30"/>
  <c r="Q12" i="77" s="1"/>
  <c r="Z11" i="30"/>
  <c r="I12" i="77" s="1"/>
  <c r="Z82" i="29"/>
  <c r="Z152" i="30"/>
  <c r="I78" i="77" s="1"/>
  <c r="Z12" i="30"/>
  <c r="I13" i="77" s="1"/>
  <c r="Y89" i="30"/>
  <c r="Z79" i="29"/>
  <c r="Z72" i="29"/>
  <c r="Z32" i="30"/>
  <c r="Z74" i="29"/>
  <c r="Z70" i="29"/>
  <c r="Z24" i="30"/>
  <c r="AA24" i="30"/>
  <c r="Y70" i="29"/>
  <c r="AA193" i="30"/>
  <c r="Z91" i="30"/>
  <c r="I29" i="77" s="1"/>
  <c r="Z94" i="29"/>
  <c r="AA23" i="30"/>
  <c r="Z17" i="30"/>
  <c r="AA85" i="29"/>
  <c r="AA70" i="29"/>
  <c r="AA20" i="30"/>
  <c r="AA78" i="30"/>
  <c r="AA94" i="29"/>
  <c r="AA71" i="29"/>
  <c r="AA95" i="29"/>
  <c r="AA92" i="30"/>
  <c r="Q30" i="77" s="1"/>
  <c r="AA118" i="30"/>
  <c r="Q54" i="77" s="1"/>
  <c r="AA90" i="30"/>
  <c r="Q28" i="77" s="1"/>
  <c r="AA151" i="30"/>
  <c r="Q77" i="77" s="1"/>
  <c r="AA194" i="30"/>
  <c r="AA247" i="30"/>
  <c r="AA19" i="30"/>
  <c r="AA74" i="29"/>
  <c r="AA27" i="30"/>
  <c r="AA83" i="29"/>
  <c r="AA68" i="29"/>
  <c r="AA248" i="30"/>
  <c r="AA75" i="29"/>
  <c r="AA249" i="30"/>
  <c r="AA149" i="30"/>
  <c r="Q75" i="77" s="1"/>
  <c r="AA12" i="30"/>
  <c r="Q13" i="77" s="1"/>
  <c r="AA244" i="30"/>
  <c r="AA251" i="30"/>
  <c r="AA84" i="29"/>
  <c r="AA119" i="30"/>
  <c r="AA87" i="29"/>
  <c r="AA17" i="30"/>
  <c r="AA79" i="29"/>
  <c r="AA185" i="30"/>
  <c r="AA117" i="30"/>
  <c r="Q53" i="77" s="1"/>
  <c r="AA86" i="29"/>
  <c r="AA69" i="29"/>
  <c r="AA150" i="30"/>
  <c r="Q76" i="77" s="1"/>
  <c r="AA78" i="29"/>
  <c r="AA246" i="30"/>
  <c r="AA76" i="29"/>
  <c r="AA77" i="30"/>
  <c r="AA89" i="30"/>
  <c r="Q27" i="77" s="1"/>
  <c r="AA91" i="30"/>
  <c r="Q29" i="77" s="1"/>
  <c r="AA72" i="29"/>
  <c r="AA77" i="29"/>
  <c r="AA245" i="30"/>
  <c r="AA82" i="30"/>
  <c r="AA82" i="29"/>
  <c r="AA152" i="30"/>
  <c r="Q78" i="77" s="1"/>
  <c r="AA250" i="30"/>
  <c r="AA18" i="30"/>
  <c r="AA222" i="30"/>
  <c r="Q145" i="77" s="1"/>
  <c r="AA10" i="30"/>
  <c r="Q11" i="77" s="1"/>
  <c r="X169" i="3"/>
  <c r="H25" i="14" s="1"/>
  <c r="AA198" i="3"/>
  <c r="AA199" i="3" s="1"/>
  <c r="Y117" i="3"/>
  <c r="Y124" i="3" s="1"/>
  <c r="X129" i="3"/>
  <c r="R51" i="30"/>
  <c r="R15" i="29"/>
  <c r="R47" i="29" s="1"/>
  <c r="R21" i="30"/>
  <c r="V8" i="28" s="1"/>
  <c r="V38" i="28" s="1"/>
  <c r="P45" i="27" s="1"/>
  <c r="Q182" i="52"/>
  <c r="S15" i="16"/>
  <c r="S216" i="16"/>
  <c r="S215" i="16" s="1"/>
  <c r="S221" i="16" s="1"/>
  <c r="S162" i="52"/>
  <c r="AA178" i="29"/>
  <c r="X202" i="29"/>
  <c r="X113" i="29"/>
  <c r="X121" i="29" s="1"/>
  <c r="H26" i="28"/>
  <c r="L29" i="14"/>
  <c r="AB130" i="3"/>
  <c r="AB141" i="3"/>
  <c r="AC141" i="3" s="1"/>
  <c r="AD141" i="3" s="1"/>
  <c r="X117" i="3"/>
  <c r="X124" i="3" s="1"/>
  <c r="I46" i="14"/>
  <c r="G53" i="13" s="1"/>
  <c r="I45" i="14"/>
  <c r="G52" i="13" s="1"/>
  <c r="Y169" i="3"/>
  <c r="I25" i="14" s="1"/>
  <c r="I54" i="14" s="1"/>
  <c r="G61" i="13" s="1"/>
  <c r="T277" i="39"/>
  <c r="AA277" i="39" s="1"/>
  <c r="R142" i="77" s="1"/>
  <c r="T298" i="39"/>
  <c r="T312" i="39"/>
  <c r="AA23" i="29"/>
  <c r="S315" i="39"/>
  <c r="S314" i="39" s="1"/>
  <c r="S320" i="39" s="1"/>
  <c r="S281" i="39"/>
  <c r="S161" i="52"/>
  <c r="T211" i="30"/>
  <c r="T230" i="30"/>
  <c r="T125" i="52"/>
  <c r="AC107" i="29"/>
  <c r="X127" i="29"/>
  <c r="Z127" i="29"/>
  <c r="R53" i="16"/>
  <c r="R15" i="3"/>
  <c r="P255" i="3"/>
  <c r="P4" i="3" s="1"/>
  <c r="AB164" i="3"/>
  <c r="X185" i="3"/>
  <c r="AA117" i="3"/>
  <c r="AB118" i="3"/>
  <c r="Z212" i="3"/>
  <c r="R176" i="52"/>
  <c r="R166" i="52"/>
  <c r="R171" i="52"/>
  <c r="T5" i="52"/>
  <c r="T129" i="52"/>
  <c r="X235" i="39"/>
  <c r="X38" i="39"/>
  <c r="Y232" i="39"/>
  <c r="Y26" i="39"/>
  <c r="X33" i="39"/>
  <c r="Y23" i="39"/>
  <c r="Y95" i="39"/>
  <c r="Y19" i="39"/>
  <c r="Y94" i="39"/>
  <c r="X36" i="39"/>
  <c r="X100" i="39"/>
  <c r="X279" i="39"/>
  <c r="Y240" i="39"/>
  <c r="Y119" i="39"/>
  <c r="X26" i="39"/>
  <c r="X127" i="39"/>
  <c r="F28" i="77" s="1"/>
  <c r="N35" i="77" s="1"/>
  <c r="X231" i="39"/>
  <c r="Y234" i="39"/>
  <c r="X104" i="39"/>
  <c r="Y239" i="39"/>
  <c r="X233" i="39"/>
  <c r="Y279" i="39"/>
  <c r="X280" i="39"/>
  <c r="X23" i="39"/>
  <c r="X236" i="39"/>
  <c r="X94" i="39"/>
  <c r="Y189" i="39"/>
  <c r="Y233" i="39"/>
  <c r="X189" i="39"/>
  <c r="F77" i="77" s="1"/>
  <c r="N84" i="77" s="1"/>
  <c r="X17" i="39"/>
  <c r="Y11" i="39"/>
  <c r="Y90" i="39"/>
  <c r="X284" i="39"/>
  <c r="X241" i="39"/>
  <c r="Y15" i="39"/>
  <c r="Y126" i="39"/>
  <c r="Y12" i="39"/>
  <c r="Y188" i="39"/>
  <c r="X117" i="39"/>
  <c r="X27" i="39"/>
  <c r="Z190" i="39"/>
  <c r="J78" i="77" s="1"/>
  <c r="Y118" i="39"/>
  <c r="Y16" i="39"/>
  <c r="X63" i="38"/>
  <c r="Z38" i="39"/>
  <c r="X163" i="39"/>
  <c r="Z23" i="39"/>
  <c r="Y231" i="39"/>
  <c r="Z234" i="39"/>
  <c r="X30" i="39"/>
  <c r="Y91" i="39"/>
  <c r="Y237" i="39"/>
  <c r="X277" i="39"/>
  <c r="F142" i="77" s="1"/>
  <c r="X97" i="39"/>
  <c r="X188" i="39"/>
  <c r="F76" i="77" s="1"/>
  <c r="X278" i="39"/>
  <c r="X16" i="39"/>
  <c r="X91" i="39"/>
  <c r="X126" i="39"/>
  <c r="F27" i="77" s="1"/>
  <c r="X128" i="39"/>
  <c r="F29" i="77" s="1"/>
  <c r="Y30" i="39"/>
  <c r="Y21" i="39"/>
  <c r="X190" i="39"/>
  <c r="F78" i="77" s="1"/>
  <c r="X37" i="39"/>
  <c r="X10" i="39"/>
  <c r="F11" i="77" s="1"/>
  <c r="X161" i="39"/>
  <c r="Z97" i="39"/>
  <c r="Y283" i="39"/>
  <c r="X304" i="39"/>
  <c r="X306" i="39" s="1"/>
  <c r="X232" i="39"/>
  <c r="X129" i="39"/>
  <c r="F30" i="77" s="1"/>
  <c r="X240" i="39"/>
  <c r="Z236" i="39"/>
  <c r="Y117" i="39"/>
  <c r="X90" i="39"/>
  <c r="Z189" i="39"/>
  <c r="J77" i="77" s="1"/>
  <c r="Y238" i="39"/>
  <c r="Y22" i="39"/>
  <c r="X187" i="39"/>
  <c r="F75" i="77" s="1"/>
  <c r="X15" i="39"/>
  <c r="X41" i="39"/>
  <c r="X88" i="39"/>
  <c r="Y97" i="39"/>
  <c r="X95" i="39"/>
  <c r="Y161" i="39"/>
  <c r="Y103" i="39"/>
  <c r="Z12" i="39"/>
  <c r="J13" i="77" s="1"/>
  <c r="X96" i="39"/>
  <c r="X119" i="39"/>
  <c r="X103" i="39"/>
  <c r="X239" i="39"/>
  <c r="X327" i="39"/>
  <c r="X283" i="39"/>
  <c r="X21" i="39"/>
  <c r="Y17" i="39"/>
  <c r="X89" i="39"/>
  <c r="X118" i="39"/>
  <c r="X237" i="39"/>
  <c r="X22" i="39"/>
  <c r="Y41" i="39"/>
  <c r="X62" i="38"/>
  <c r="Y96" i="39"/>
  <c r="X20" i="39"/>
  <c r="Y236" i="39"/>
  <c r="X19" i="39"/>
  <c r="X18" i="39"/>
  <c r="Y187" i="39"/>
  <c r="X11" i="39"/>
  <c r="F12" i="77" s="1"/>
  <c r="N23" i="77" s="1"/>
  <c r="X238" i="39"/>
  <c r="Y33" i="39"/>
  <c r="Z15" i="39"/>
  <c r="Z327" i="39"/>
  <c r="Z30" i="39"/>
  <c r="Z128" i="39"/>
  <c r="Z240" i="39"/>
  <c r="AA283" i="39"/>
  <c r="Z278" i="39"/>
  <c r="Z163" i="39"/>
  <c r="Z16" i="39"/>
  <c r="Z126" i="39"/>
  <c r="Z33" i="39"/>
  <c r="X12" i="39"/>
  <c r="F13" i="77" s="1"/>
  <c r="N24" i="77" s="1"/>
  <c r="Z10" i="39"/>
  <c r="J11" i="77" s="1"/>
  <c r="X160" i="39"/>
  <c r="Z88" i="39"/>
  <c r="Z127" i="39"/>
  <c r="X234" i="39"/>
  <c r="Y37" i="39"/>
  <c r="Z37" i="39"/>
  <c r="Z18" i="39"/>
  <c r="X162" i="39"/>
  <c r="Y89" i="39"/>
  <c r="Y88" i="39"/>
  <c r="Z235" i="39"/>
  <c r="Z304" i="39"/>
  <c r="Z161" i="39"/>
  <c r="AA231" i="39"/>
  <c r="Y190" i="39"/>
  <c r="Z160" i="39"/>
  <c r="Y104" i="39"/>
  <c r="Y128" i="39"/>
  <c r="Z104" i="39"/>
  <c r="Z283" i="39"/>
  <c r="Z241" i="39"/>
  <c r="Y304" i="39"/>
  <c r="AA189" i="39"/>
  <c r="R77" i="77" s="1"/>
  <c r="Z95" i="39"/>
  <c r="Y162" i="39"/>
  <c r="AA278" i="39"/>
  <c r="Y18" i="39"/>
  <c r="Y38" i="39"/>
  <c r="AA18" i="39"/>
  <c r="Y27" i="39"/>
  <c r="Y280" i="39"/>
  <c r="Y278" i="39"/>
  <c r="Z36" i="39"/>
  <c r="AA280" i="39"/>
  <c r="Z231" i="39"/>
  <c r="Z100" i="39"/>
  <c r="Y277" i="39"/>
  <c r="Y284" i="39"/>
  <c r="Y129" i="39"/>
  <c r="Z89" i="39"/>
  <c r="Z162" i="39"/>
  <c r="Y127" i="39"/>
  <c r="Z277" i="39"/>
  <c r="J142" i="77" s="1"/>
  <c r="Z233" i="39"/>
  <c r="Y10" i="39"/>
  <c r="Z11" i="39"/>
  <c r="J12" i="77" s="1"/>
  <c r="Z41" i="39"/>
  <c r="Z91" i="39"/>
  <c r="Z96" i="39"/>
  <c r="Y36" i="39"/>
  <c r="Y327" i="39"/>
  <c r="Z22" i="39"/>
  <c r="Z187" i="39"/>
  <c r="J75" i="77" s="1"/>
  <c r="AA187" i="39"/>
  <c r="R75" i="77" s="1"/>
  <c r="AA190" i="39"/>
  <c r="R78" i="77" s="1"/>
  <c r="AA19" i="39"/>
  <c r="AA26" i="39"/>
  <c r="AA95" i="39"/>
  <c r="Z232" i="39"/>
  <c r="Z17" i="39"/>
  <c r="Z239" i="39"/>
  <c r="Z188" i="39"/>
  <c r="J76" i="77" s="1"/>
  <c r="Z118" i="39"/>
  <c r="AA118" i="39"/>
  <c r="AA21" i="39"/>
  <c r="AA104" i="39"/>
  <c r="AA234" i="39"/>
  <c r="Z27" i="39"/>
  <c r="Z238" i="39"/>
  <c r="Z117" i="39"/>
  <c r="Y160" i="39"/>
  <c r="Z279" i="39"/>
  <c r="Y100" i="39"/>
  <c r="Z20" i="39"/>
  <c r="Z19" i="39"/>
  <c r="Z280" i="39"/>
  <c r="AA37" i="39"/>
  <c r="AA129" i="39"/>
  <c r="Z237" i="39"/>
  <c r="Z90" i="39"/>
  <c r="Y241" i="39"/>
  <c r="Y235" i="39"/>
  <c r="AA279" i="39"/>
  <c r="Y20" i="39"/>
  <c r="Z26" i="39"/>
  <c r="Z21" i="39"/>
  <c r="Z94" i="39"/>
  <c r="Y163" i="39"/>
  <c r="Z103" i="39"/>
  <c r="AA161" i="39"/>
  <c r="Z119" i="39"/>
  <c r="Z129" i="39"/>
  <c r="Z284" i="39"/>
  <c r="AA235" i="39"/>
  <c r="AA96" i="39"/>
  <c r="AA27" i="39"/>
  <c r="AA160" i="39"/>
  <c r="AA17" i="39"/>
  <c r="AA241" i="39"/>
  <c r="AA233" i="39"/>
  <c r="AA10" i="39"/>
  <c r="R11" i="77" s="1"/>
  <c r="AA38" i="39"/>
  <c r="AA232" i="39"/>
  <c r="AA240" i="39"/>
  <c r="AA103" i="39"/>
  <c r="AA236" i="39"/>
  <c r="AA163" i="39"/>
  <c r="AA127" i="39"/>
  <c r="AA128" i="39"/>
  <c r="AA12" i="39"/>
  <c r="R13" i="77" s="1"/>
  <c r="AA239" i="39"/>
  <c r="AA126" i="39"/>
  <c r="AA30" i="39"/>
  <c r="AA92" i="39"/>
  <c r="AA22" i="39"/>
  <c r="AA94" i="39"/>
  <c r="AB94" i="39" s="1"/>
  <c r="AC94" i="39" s="1"/>
  <c r="AD94" i="39" s="1"/>
  <c r="AA100" i="39"/>
  <c r="AA162" i="39"/>
  <c r="AA237" i="39"/>
  <c r="AA97" i="39"/>
  <c r="AA20" i="39"/>
  <c r="AA11" i="39"/>
  <c r="R12" i="77" s="1"/>
  <c r="AA304" i="39"/>
  <c r="AA16" i="39"/>
  <c r="AA243" i="29"/>
  <c r="S133" i="52"/>
  <c r="X149" i="29"/>
  <c r="H25" i="28" s="1"/>
  <c r="Z178" i="29"/>
  <c r="J23" i="28"/>
  <c r="B19" i="61"/>
  <c r="A18" i="61"/>
  <c r="I32" i="14"/>
  <c r="X140" i="4"/>
  <c r="H26" i="14"/>
  <c r="X255" i="3"/>
  <c r="X4" i="3" s="1"/>
  <c r="Z169" i="3"/>
  <c r="J25" i="14" s="1"/>
  <c r="AA18" i="29"/>
  <c r="S236" i="30"/>
  <c r="AB137" i="3"/>
  <c r="AC137" i="3" s="1"/>
  <c r="AD137" i="3" s="1"/>
  <c r="AA212" i="3"/>
  <c r="Q180" i="52"/>
  <c r="Q224" i="52"/>
  <c r="X15" i="16"/>
  <c r="X173" i="16"/>
  <c r="X177" i="16" s="1"/>
  <c r="X110" i="16"/>
  <c r="X18" i="16"/>
  <c r="Y231" i="16"/>
  <c r="X34" i="16"/>
  <c r="X133" i="16"/>
  <c r="G77" i="77" s="1"/>
  <c r="O84" i="77" s="1"/>
  <c r="X132" i="16"/>
  <c r="G76" i="77" s="1"/>
  <c r="O83" i="77" s="1"/>
  <c r="X227" i="16"/>
  <c r="X134" i="16"/>
  <c r="G78" i="77" s="1"/>
  <c r="Y133" i="16"/>
  <c r="Y80" i="16"/>
  <c r="X21" i="16"/>
  <c r="X80" i="16"/>
  <c r="G27" i="77" s="1"/>
  <c r="O34" i="77" s="1"/>
  <c r="X30" i="16"/>
  <c r="X16" i="16"/>
  <c r="X234" i="16"/>
  <c r="Y81" i="16"/>
  <c r="Y27" i="16"/>
  <c r="Y227" i="16"/>
  <c r="X11" i="16"/>
  <c r="Z227" i="16"/>
  <c r="X207" i="16"/>
  <c r="G145" i="77" s="1"/>
  <c r="X81" i="16"/>
  <c r="G28" i="77" s="1"/>
  <c r="X83" i="16"/>
  <c r="G30" i="77" s="1"/>
  <c r="X33" i="16"/>
  <c r="Y196" i="16"/>
  <c r="X82" i="16"/>
  <c r="G29" i="77" s="1"/>
  <c r="X108" i="16"/>
  <c r="G54" i="77" s="1"/>
  <c r="O61" i="77" s="1"/>
  <c r="X231" i="16"/>
  <c r="X10" i="16"/>
  <c r="G11" i="77" s="1"/>
  <c r="X230" i="16"/>
  <c r="X232" i="16"/>
  <c r="X131" i="16"/>
  <c r="G75" i="77" s="1"/>
  <c r="O82" i="77" s="1"/>
  <c r="Y21" i="16"/>
  <c r="Y35" i="16"/>
  <c r="X109" i="16"/>
  <c r="G55" i="77" s="1"/>
  <c r="Y134" i="16"/>
  <c r="X107" i="16"/>
  <c r="G53" i="77" s="1"/>
  <c r="O60" i="77" s="1"/>
  <c r="Y273" i="16"/>
  <c r="Z11" i="16"/>
  <c r="K12" i="77" s="1"/>
  <c r="X261" i="16"/>
  <c r="X274" i="16"/>
  <c r="Y107" i="16"/>
  <c r="Y83" i="16"/>
  <c r="Y229" i="16"/>
  <c r="Z10" i="16"/>
  <c r="K11" i="77" s="1"/>
  <c r="Y132" i="16"/>
  <c r="Y15" i="16"/>
  <c r="X17" i="16"/>
  <c r="Z231" i="16"/>
  <c r="Y26" i="16"/>
  <c r="Y18" i="16"/>
  <c r="Z207" i="16"/>
  <c r="K145" i="77" s="1"/>
  <c r="Y30" i="16"/>
  <c r="X196" i="16"/>
  <c r="X35" i="16"/>
  <c r="X27" i="16"/>
  <c r="Z83" i="16"/>
  <c r="K30" i="77" s="1"/>
  <c r="Z35" i="16"/>
  <c r="Y207" i="16"/>
  <c r="X12" i="16"/>
  <c r="G13" i="77" s="1"/>
  <c r="O24" i="77" s="1"/>
  <c r="X26" i="16"/>
  <c r="Y230" i="16"/>
  <c r="Y24" i="16"/>
  <c r="X233" i="16"/>
  <c r="Y19" i="16"/>
  <c r="X24" i="16"/>
  <c r="Z273" i="16"/>
  <c r="Y131" i="16"/>
  <c r="Y20" i="16"/>
  <c r="Y109" i="16"/>
  <c r="Y33" i="16"/>
  <c r="Y232" i="16"/>
  <c r="X273" i="16"/>
  <c r="Z131" i="16"/>
  <c r="K75" i="77" s="1"/>
  <c r="Y82" i="16"/>
  <c r="X19" i="16"/>
  <c r="Y17" i="16"/>
  <c r="Z27" i="16"/>
  <c r="Z261" i="16"/>
  <c r="Y16" i="16"/>
  <c r="Z18" i="16"/>
  <c r="AA232" i="16"/>
  <c r="Z107" i="16"/>
  <c r="K53" i="77" s="1"/>
  <c r="Z16" i="16"/>
  <c r="Z274" i="16"/>
  <c r="Y12" i="16"/>
  <c r="Y173" i="16"/>
  <c r="Z81" i="16"/>
  <c r="K28" i="77" s="1"/>
  <c r="Y38" i="16"/>
  <c r="Z82" i="16"/>
  <c r="K29" i="77" s="1"/>
  <c r="Z230" i="16"/>
  <c r="Y110" i="16"/>
  <c r="Z20" i="16"/>
  <c r="Y108" i="16"/>
  <c r="Y234" i="16"/>
  <c r="Z26" i="16"/>
  <c r="Z132" i="16"/>
  <c r="K76" i="77" s="1"/>
  <c r="X228" i="16"/>
  <c r="X229" i="16"/>
  <c r="X38" i="16"/>
  <c r="Y11" i="16"/>
  <c r="AA18" i="16"/>
  <c r="Z19" i="16"/>
  <c r="X20" i="16"/>
  <c r="Z173" i="16"/>
  <c r="Y228" i="16"/>
  <c r="Y261" i="16"/>
  <c r="Z110" i="16"/>
  <c r="K56" i="77" s="1"/>
  <c r="Z232" i="16"/>
  <c r="AA109" i="16"/>
  <c r="S55" i="77" s="1"/>
  <c r="AA207" i="16"/>
  <c r="Z229" i="16"/>
  <c r="Z38" i="16"/>
  <c r="AA21" i="16"/>
  <c r="Z12" i="16"/>
  <c r="K13" i="77" s="1"/>
  <c r="Z21" i="16"/>
  <c r="Z34" i="16"/>
  <c r="AA228" i="16"/>
  <c r="AA10" i="16"/>
  <c r="S11" i="77" s="1"/>
  <c r="AA134" i="16"/>
  <c r="S78" i="77" s="1"/>
  <c r="AA234" i="16"/>
  <c r="Y34" i="16"/>
  <c r="AA30" i="16"/>
  <c r="AA34" i="16"/>
  <c r="Y10" i="16"/>
  <c r="AA17" i="16"/>
  <c r="Z196" i="16"/>
  <c r="Z33" i="16"/>
  <c r="AA108" i="16"/>
  <c r="S54" i="77" s="1"/>
  <c r="AA20" i="16"/>
  <c r="AA24" i="16"/>
  <c r="Z80" i="16"/>
  <c r="K27" i="77" s="1"/>
  <c r="Z234" i="16"/>
  <c r="AA81" i="16"/>
  <c r="S28" i="77" s="1"/>
  <c r="AA80" i="16"/>
  <c r="S27" i="77" s="1"/>
  <c r="AA132" i="16"/>
  <c r="S76" i="77" s="1"/>
  <c r="AA83" i="16"/>
  <c r="S30" i="77" s="1"/>
  <c r="AA107" i="16"/>
  <c r="S53" i="77" s="1"/>
  <c r="Z30" i="16"/>
  <c r="AA82" i="16"/>
  <c r="S29" i="77" s="1"/>
  <c r="Z228" i="16"/>
  <c r="Z134" i="16"/>
  <c r="K78" i="77" s="1"/>
  <c r="Z24" i="16"/>
  <c r="Z109" i="16"/>
  <c r="K55" i="77" s="1"/>
  <c r="AA131" i="16"/>
  <c r="S75" i="77" s="1"/>
  <c r="AA231" i="16"/>
  <c r="Z15" i="16"/>
  <c r="Z108" i="16"/>
  <c r="K54" i="77" s="1"/>
  <c r="Y274" i="16"/>
  <c r="Z17" i="16"/>
  <c r="Y233" i="16"/>
  <c r="AA133" i="16"/>
  <c r="S77" i="77" s="1"/>
  <c r="AA173" i="16"/>
  <c r="Z233" i="16"/>
  <c r="AA12" i="16"/>
  <c r="S13" i="77" s="1"/>
  <c r="AA110" i="16"/>
  <c r="S56" i="77" s="1"/>
  <c r="Z133" i="16"/>
  <c r="K77" i="77" s="1"/>
  <c r="AB145" i="29"/>
  <c r="R222" i="16"/>
  <c r="R224" i="16" s="1"/>
  <c r="AA285" i="30"/>
  <c r="AB154" i="3"/>
  <c r="X196" i="3"/>
  <c r="Y140" i="4"/>
  <c r="I26" i="14"/>
  <c r="I24" i="14" s="1"/>
  <c r="Y255" i="3"/>
  <c r="Y4" i="3" s="1"/>
  <c r="Y109" i="3"/>
  <c r="X53" i="3"/>
  <c r="Y90" i="3"/>
  <c r="X104" i="3"/>
  <c r="Y16" i="3"/>
  <c r="X105" i="3"/>
  <c r="Y24" i="3"/>
  <c r="X90" i="3"/>
  <c r="Y31" i="3"/>
  <c r="X34" i="3"/>
  <c r="X79" i="3" s="1"/>
  <c r="Y55" i="3"/>
  <c r="X55" i="3"/>
  <c r="Y21" i="3"/>
  <c r="X74" i="3"/>
  <c r="Y92" i="3"/>
  <c r="Y81" i="3" s="1"/>
  <c r="X21" i="3"/>
  <c r="X52" i="3"/>
  <c r="Y75" i="3"/>
  <c r="X111" i="3"/>
  <c r="X100" i="3" s="1"/>
  <c r="X51" i="3"/>
  <c r="Z66" i="3"/>
  <c r="X108" i="3"/>
  <c r="Y37" i="3"/>
  <c r="X26" i="3"/>
  <c r="X110" i="3"/>
  <c r="X99" i="3" s="1"/>
  <c r="Y103" i="3"/>
  <c r="X95" i="3"/>
  <c r="X86" i="3" s="1"/>
  <c r="Z26" i="3"/>
  <c r="Z91" i="3"/>
  <c r="Y71" i="3"/>
  <c r="X66" i="3"/>
  <c r="X106" i="3"/>
  <c r="X71" i="3"/>
  <c r="Y32" i="3"/>
  <c r="Y141" i="4" s="1"/>
  <c r="X37" i="3"/>
  <c r="X19" i="3"/>
  <c r="X50" i="3"/>
  <c r="Y93" i="3"/>
  <c r="Y80" i="3" s="1"/>
  <c r="Z93" i="3"/>
  <c r="Z80" i="3" s="1"/>
  <c r="X70" i="3"/>
  <c r="Y10" i="3"/>
  <c r="Y105" i="3"/>
  <c r="X16" i="3"/>
  <c r="X24" i="3"/>
  <c r="Y15" i="3"/>
  <c r="Y56" i="3"/>
  <c r="X49" i="3"/>
  <c r="Y110" i="3"/>
  <c r="Y99" i="3" s="1"/>
  <c r="X27" i="3"/>
  <c r="Z20" i="3"/>
  <c r="Y107" i="3"/>
  <c r="Y18" i="3"/>
  <c r="X56" i="3"/>
  <c r="Y50" i="3"/>
  <c r="X33" i="3"/>
  <c r="Z109" i="3"/>
  <c r="Z108" i="3"/>
  <c r="X17" i="3"/>
  <c r="X69" i="3"/>
  <c r="X54" i="3"/>
  <c r="Y94" i="3"/>
  <c r="Y82" i="3" s="1"/>
  <c r="Y95" i="3"/>
  <c r="Y86" i="3" s="1"/>
  <c r="X12" i="3"/>
  <c r="X180" i="16" s="1"/>
  <c r="X25" i="3"/>
  <c r="X187" i="3" s="1"/>
  <c r="X188" i="3" s="1"/>
  <c r="X91" i="3"/>
  <c r="Y30" i="3"/>
  <c r="Y85" i="3" s="1"/>
  <c r="Y34" i="3"/>
  <c r="Y79" i="3" s="1"/>
  <c r="X94" i="3"/>
  <c r="X82" i="3" s="1"/>
  <c r="X15" i="3"/>
  <c r="Y11" i="3"/>
  <c r="Y172" i="16" s="1"/>
  <c r="Z94" i="3"/>
  <c r="Z82" i="3" s="1"/>
  <c r="Y26" i="3"/>
  <c r="X109" i="3"/>
  <c r="Y25" i="3"/>
  <c r="Y104" i="3"/>
  <c r="Z32" i="3"/>
  <c r="Z141" i="4" s="1"/>
  <c r="Y89" i="3"/>
  <c r="Y52" i="3"/>
  <c r="X18" i="3"/>
  <c r="Y48" i="3"/>
  <c r="X31" i="3"/>
  <c r="Y111" i="3"/>
  <c r="Y100" i="3" s="1"/>
  <c r="Z106" i="3"/>
  <c r="Z71" i="3"/>
  <c r="Z33" i="3"/>
  <c r="Z21" i="3"/>
  <c r="X107" i="3"/>
  <c r="X20" i="3"/>
  <c r="AA27" i="3"/>
  <c r="X93" i="3"/>
  <c r="X80" i="3" s="1"/>
  <c r="Y74" i="3"/>
  <c r="X89" i="3"/>
  <c r="Z30" i="3"/>
  <c r="Z85" i="3" s="1"/>
  <c r="Y70" i="3"/>
  <c r="X11" i="3"/>
  <c r="X172" i="16" s="1"/>
  <c r="Z55" i="3"/>
  <c r="Y19" i="3"/>
  <c r="Z70" i="3"/>
  <c r="X10" i="3"/>
  <c r="Y17" i="3"/>
  <c r="X32" i="3"/>
  <c r="X141" i="4" s="1"/>
  <c r="X75" i="3"/>
  <c r="Z95" i="3"/>
  <c r="Z86" i="3" s="1"/>
  <c r="Z75" i="3"/>
  <c r="AA12" i="3"/>
  <c r="AA180" i="16" s="1"/>
  <c r="Z27" i="3"/>
  <c r="AA106" i="3"/>
  <c r="Y12" i="3"/>
  <c r="Y180" i="16" s="1"/>
  <c r="Y27" i="3"/>
  <c r="Y91" i="3"/>
  <c r="Z48" i="3"/>
  <c r="Y54" i="3"/>
  <c r="Z104" i="3"/>
  <c r="Z92" i="3"/>
  <c r="Z81" i="3" s="1"/>
  <c r="AA107" i="3"/>
  <c r="Y49" i="3"/>
  <c r="Z53" i="3"/>
  <c r="Z34" i="3"/>
  <c r="Z79" i="3" s="1"/>
  <c r="AA247" i="3"/>
  <c r="AA52" i="3"/>
  <c r="AA94" i="3"/>
  <c r="AA82" i="3" s="1"/>
  <c r="Z90" i="3"/>
  <c r="Z110" i="3"/>
  <c r="Z99" i="3" s="1"/>
  <c r="Z74" i="3"/>
  <c r="AA227" i="3"/>
  <c r="Z50" i="3"/>
  <c r="Z103" i="3"/>
  <c r="AA31" i="3"/>
  <c r="Z16" i="3"/>
  <c r="Z54" i="3"/>
  <c r="Y66" i="3"/>
  <c r="Z52" i="3"/>
  <c r="AA16" i="3"/>
  <c r="Z49" i="3"/>
  <c r="AA92" i="3"/>
  <c r="AA81" i="3" s="1"/>
  <c r="AA104" i="3"/>
  <c r="AA10" i="3"/>
  <c r="AA111" i="3"/>
  <c r="AA100" i="3" s="1"/>
  <c r="Z24" i="3"/>
  <c r="Y106" i="3"/>
  <c r="AA50" i="3"/>
  <c r="Y20" i="3"/>
  <c r="Z19" i="3"/>
  <c r="AA55" i="3"/>
  <c r="X103" i="3"/>
  <c r="Z111" i="3"/>
  <c r="Z100" i="3" s="1"/>
  <c r="Z89" i="3"/>
  <c r="AA109" i="3"/>
  <c r="Y53" i="3"/>
  <c r="AA108" i="3"/>
  <c r="X92" i="3"/>
  <c r="X81" i="3" s="1"/>
  <c r="Z17" i="3"/>
  <c r="Y51" i="3"/>
  <c r="AA43" i="3"/>
  <c r="AB43" i="3" s="1"/>
  <c r="AC43" i="3" s="1"/>
  <c r="AD43" i="3" s="1"/>
  <c r="AA17" i="3"/>
  <c r="Z11" i="3"/>
  <c r="Z172" i="16" s="1"/>
  <c r="Y69" i="3"/>
  <c r="AA229" i="3"/>
  <c r="Z31" i="3"/>
  <c r="Y108" i="3"/>
  <c r="AA238" i="3"/>
  <c r="Z37" i="3"/>
  <c r="AA75" i="3"/>
  <c r="AA239" i="3"/>
  <c r="Z51" i="3"/>
  <c r="Z15" i="3"/>
  <c r="X30" i="3"/>
  <c r="X85" i="3" s="1"/>
  <c r="Y33" i="3"/>
  <c r="AA34" i="3"/>
  <c r="AA79" i="3" s="1"/>
  <c r="AA18" i="3"/>
  <c r="AA91" i="3"/>
  <c r="AA54" i="3"/>
  <c r="Z105" i="3"/>
  <c r="AA90" i="3"/>
  <c r="Z107" i="3"/>
  <c r="AA11" i="3"/>
  <c r="AA53" i="3"/>
  <c r="AA246" i="3"/>
  <c r="X48" i="3"/>
  <c r="AA224" i="3"/>
  <c r="AA20" i="3"/>
  <c r="Z10" i="3"/>
  <c r="AA25" i="3"/>
  <c r="Z25" i="3"/>
  <c r="AA237" i="3"/>
  <c r="Z56" i="3"/>
  <c r="AA240" i="3"/>
  <c r="AA24" i="3"/>
  <c r="AA21" i="3"/>
  <c r="AA56" i="3"/>
  <c r="AA236" i="3"/>
  <c r="AA33" i="3"/>
  <c r="AA105" i="3"/>
  <c r="AA93" i="3"/>
  <c r="AA80" i="3" s="1"/>
  <c r="AA44" i="3"/>
  <c r="AB44" i="3" s="1"/>
  <c r="AC44" i="3" s="1"/>
  <c r="AD44" i="3" s="1"/>
  <c r="AA95" i="3"/>
  <c r="AA86" i="3" s="1"/>
  <c r="AA235" i="3"/>
  <c r="Z69" i="3"/>
  <c r="AA66" i="3"/>
  <c r="AA230" i="3"/>
  <c r="AA248" i="3"/>
  <c r="AA69" i="3"/>
  <c r="AA110" i="3"/>
  <c r="AA99" i="3" s="1"/>
  <c r="Z12" i="3"/>
  <c r="Z180" i="16" s="1"/>
  <c r="Z18" i="3"/>
  <c r="AA226" i="3"/>
  <c r="Q65" i="3"/>
  <c r="Q70" i="3"/>
  <c r="S15" i="30"/>
  <c r="S233" i="30"/>
  <c r="S232" i="30" s="1"/>
  <c r="S238" i="30" s="1"/>
  <c r="S160" i="52"/>
  <c r="AC174" i="29"/>
  <c r="AC176" i="29" s="1"/>
  <c r="AB118" i="29"/>
  <c r="S318" i="39"/>
  <c r="L29" i="28"/>
  <c r="Z163" i="29"/>
  <c r="Z165" i="29" s="1"/>
  <c r="AA165" i="29"/>
  <c r="AQ252" i="3"/>
  <c r="AP253" i="3"/>
  <c r="AP255" i="3" s="1"/>
  <c r="AD280" i="30"/>
  <c r="AB280" i="30"/>
  <c r="AC280" i="30"/>
  <c r="AB194" i="3"/>
  <c r="AB199" i="3" s="1"/>
  <c r="AA196" i="3"/>
  <c r="Z185" i="3"/>
  <c r="Z140" i="4"/>
  <c r="J26" i="14"/>
  <c r="T5" i="38"/>
  <c r="Y153" i="38"/>
  <c r="Y137" i="38"/>
  <c r="Y138" i="38"/>
  <c r="X122" i="38"/>
  <c r="X134" i="38"/>
  <c r="Y133" i="38"/>
  <c r="X160" i="38"/>
  <c r="Y131" i="38"/>
  <c r="AA118" i="38"/>
  <c r="X117" i="38"/>
  <c r="X137" i="38"/>
  <c r="Y120" i="38"/>
  <c r="X131" i="38"/>
  <c r="X153" i="38"/>
  <c r="X145" i="38"/>
  <c r="Y157" i="38"/>
  <c r="X175" i="38"/>
  <c r="X166" i="38"/>
  <c r="Y159" i="38"/>
  <c r="X156" i="38"/>
  <c r="X139" i="38"/>
  <c r="X158" i="38"/>
  <c r="X140" i="38"/>
  <c r="X147" i="38"/>
  <c r="F172" i="77" s="1"/>
  <c r="X157" i="38"/>
  <c r="X164" i="38"/>
  <c r="Y130" i="38"/>
  <c r="Y164" i="38"/>
  <c r="Y126" i="38"/>
  <c r="Y175" i="38"/>
  <c r="Y132" i="38"/>
  <c r="Y151" i="38"/>
  <c r="Y166" i="38"/>
  <c r="Y156" i="38"/>
  <c r="X130" i="38"/>
  <c r="Y118" i="38"/>
  <c r="I29" i="37" s="1"/>
  <c r="X154" i="38"/>
  <c r="Y144" i="38"/>
  <c r="Y140" i="38"/>
  <c r="Z157" i="38"/>
  <c r="X150" i="38"/>
  <c r="X121" i="38"/>
  <c r="Y121" i="38"/>
  <c r="X126" i="38"/>
  <c r="F166" i="77" s="1"/>
  <c r="Y160" i="38"/>
  <c r="X165" i="38"/>
  <c r="X159" i="38"/>
  <c r="X144" i="38"/>
  <c r="X163" i="38"/>
  <c r="X138" i="38"/>
  <c r="Y117" i="38"/>
  <c r="Y191" i="38"/>
  <c r="Y128" i="38"/>
  <c r="Y123" i="38"/>
  <c r="X191" i="38"/>
  <c r="AA134" i="38"/>
  <c r="AB134" i="38" s="1"/>
  <c r="AC134" i="38" s="1"/>
  <c r="AD134" i="38" s="1"/>
  <c r="Y163" i="38"/>
  <c r="Y158" i="38"/>
  <c r="Z164" i="38"/>
  <c r="Y127" i="38"/>
  <c r="Y192" i="38" s="1"/>
  <c r="X151" i="38"/>
  <c r="X118" i="38"/>
  <c r="H29" i="37" s="1"/>
  <c r="Y139" i="38"/>
  <c r="Y122" i="38"/>
  <c r="X123" i="38"/>
  <c r="F163" i="77" s="1"/>
  <c r="Y145" i="38"/>
  <c r="Y116" i="38"/>
  <c r="Y150" i="38"/>
  <c r="AA153" i="38"/>
  <c r="Z133" i="38"/>
  <c r="X128" i="38"/>
  <c r="Y154" i="38"/>
  <c r="AA120" i="38"/>
  <c r="X132" i="38"/>
  <c r="X116" i="38"/>
  <c r="F161" i="77" s="1"/>
  <c r="X127" i="38"/>
  <c r="X192" i="38" s="1"/>
  <c r="AA160" i="38"/>
  <c r="AA143" i="38"/>
  <c r="AB143" i="38" s="1"/>
  <c r="AC143" i="38" s="1"/>
  <c r="AD143" i="38" s="1"/>
  <c r="X120" i="38"/>
  <c r="X133" i="38"/>
  <c r="Y165" i="38"/>
  <c r="Y147" i="38"/>
  <c r="Z140" i="38"/>
  <c r="Z150" i="38"/>
  <c r="Z118" i="38"/>
  <c r="J29" i="37" s="1"/>
  <c r="AA150" i="38"/>
  <c r="AA48" i="38"/>
  <c r="AA122" i="38"/>
  <c r="AA163" i="38"/>
  <c r="Z151" i="38"/>
  <c r="AA159" i="38"/>
  <c r="AB159" i="38" s="1"/>
  <c r="AC159" i="38" s="1"/>
  <c r="AD159" i="38" s="1"/>
  <c r="Z158" i="38"/>
  <c r="AA128" i="38"/>
  <c r="Z154" i="38"/>
  <c r="AA152" i="38"/>
  <c r="R167" i="77" s="1"/>
  <c r="Z144" i="38"/>
  <c r="AA155" i="38"/>
  <c r="Z175" i="38"/>
  <c r="Z160" i="38"/>
  <c r="Z163" i="38"/>
  <c r="Z121" i="38"/>
  <c r="Y134" i="38"/>
  <c r="Z147" i="38"/>
  <c r="J172" i="77" s="1"/>
  <c r="Z191" i="38"/>
  <c r="AA138" i="38"/>
  <c r="Z130" i="38"/>
  <c r="AA191" i="38"/>
  <c r="Z137" i="38"/>
  <c r="AA130" i="38"/>
  <c r="AA158" i="38"/>
  <c r="AB158" i="38" s="1"/>
  <c r="AC158" i="38" s="1"/>
  <c r="AD158" i="38" s="1"/>
  <c r="AA157" i="38"/>
  <c r="AA166" i="38"/>
  <c r="AB166" i="38" s="1"/>
  <c r="AC166" i="38" s="1"/>
  <c r="AD166" i="38" s="1"/>
  <c r="AA149" i="38"/>
  <c r="AB149" i="38" s="1"/>
  <c r="AC149" i="38" s="1"/>
  <c r="AD149" i="38" s="1"/>
  <c r="AA175" i="38"/>
  <c r="Z117" i="38"/>
  <c r="Z120" i="38"/>
  <c r="Z139" i="38"/>
  <c r="AA156" i="38"/>
  <c r="Z126" i="38"/>
  <c r="J166" i="77" s="1"/>
  <c r="Z166" i="38"/>
  <c r="Z132" i="38"/>
  <c r="AA49" i="38"/>
  <c r="AA151" i="38"/>
  <c r="Z128" i="38"/>
  <c r="AA126" i="38"/>
  <c r="R166" i="77" s="1"/>
  <c r="AA139" i="38"/>
  <c r="AB139" i="38" s="1"/>
  <c r="AC139" i="38" s="1"/>
  <c r="AD139" i="38" s="1"/>
  <c r="AA117" i="38"/>
  <c r="AB117" i="38" s="1"/>
  <c r="Z153" i="38"/>
  <c r="Z159" i="38"/>
  <c r="AA165" i="38"/>
  <c r="AB165" i="38" s="1"/>
  <c r="AC165" i="38" s="1"/>
  <c r="AD165" i="38" s="1"/>
  <c r="AA123" i="38"/>
  <c r="R163" i="77" s="1"/>
  <c r="Z122" i="38"/>
  <c r="AA154" i="38"/>
  <c r="Z165" i="38"/>
  <c r="Z134" i="38"/>
  <c r="Z123" i="38"/>
  <c r="J163" i="77" s="1"/>
  <c r="Z131" i="38"/>
  <c r="Z127" i="38"/>
  <c r="Z192" i="38" s="1"/>
  <c r="Z145" i="38"/>
  <c r="Z156" i="38"/>
  <c r="Z138" i="38"/>
  <c r="Z116" i="38"/>
  <c r="J161" i="77" s="1"/>
  <c r="AA121" i="38"/>
  <c r="AA133" i="38"/>
  <c r="AB133" i="38" s="1"/>
  <c r="AC133" i="38" s="1"/>
  <c r="AD133" i="38" s="1"/>
  <c r="AA131" i="38"/>
  <c r="AB131" i="38" s="1"/>
  <c r="AC131" i="38" s="1"/>
  <c r="AD131" i="38" s="1"/>
  <c r="AA140" i="38"/>
  <c r="AB140" i="38" s="1"/>
  <c r="AC140" i="38" s="1"/>
  <c r="AD140" i="38" s="1"/>
  <c r="AA132" i="38"/>
  <c r="AB132" i="38" s="1"/>
  <c r="AC132" i="38" s="1"/>
  <c r="AD132" i="38" s="1"/>
  <c r="I22" i="77" l="1"/>
  <c r="V11" i="13"/>
  <c r="S11" i="13"/>
  <c r="T11" i="13"/>
  <c r="W11" i="13"/>
  <c r="U11" i="13"/>
  <c r="V19" i="13"/>
  <c r="U19" i="13"/>
  <c r="S19" i="13"/>
  <c r="T19" i="13"/>
  <c r="W19" i="13"/>
  <c r="J27" i="77"/>
  <c r="J123" i="77" s="1"/>
  <c r="Z133" i="39"/>
  <c r="R27" i="77"/>
  <c r="R34" i="77" s="1"/>
  <c r="AA133" i="39"/>
  <c r="J30" i="77"/>
  <c r="J126" i="77" s="1"/>
  <c r="Z136" i="39"/>
  <c r="R30" i="77"/>
  <c r="AA136" i="39"/>
  <c r="R29" i="77"/>
  <c r="R125" i="77" s="1"/>
  <c r="AA135" i="39"/>
  <c r="J29" i="77"/>
  <c r="J36" i="77" s="1"/>
  <c r="Z135" i="39"/>
  <c r="R28" i="77"/>
  <c r="R35" i="77" s="1"/>
  <c r="AA134" i="39"/>
  <c r="J28" i="77"/>
  <c r="J35" i="77" s="1"/>
  <c r="Z134" i="39"/>
  <c r="Q79" i="77"/>
  <c r="M19" i="77"/>
  <c r="N48" i="77"/>
  <c r="AC170" i="29"/>
  <c r="AD170" i="29"/>
  <c r="AD226" i="29" s="1"/>
  <c r="AD100" i="29" s="1"/>
  <c r="S207" i="77"/>
  <c r="S219" i="77"/>
  <c r="S195" i="77"/>
  <c r="G56" i="77"/>
  <c r="G94" i="77" s="1"/>
  <c r="O101" i="77" s="1"/>
  <c r="AB110" i="16"/>
  <c r="W56" i="77" s="1"/>
  <c r="AC139" i="3"/>
  <c r="AB138" i="3"/>
  <c r="R122" i="3"/>
  <c r="V30" i="14" s="1"/>
  <c r="V32" i="14" s="1"/>
  <c r="Z205" i="3"/>
  <c r="X205" i="3"/>
  <c r="Y205" i="3"/>
  <c r="Y162" i="3"/>
  <c r="K168" i="77"/>
  <c r="K176" i="77" s="1"/>
  <c r="Z213" i="3"/>
  <c r="S168" i="77"/>
  <c r="AA213" i="3"/>
  <c r="G168" i="77"/>
  <c r="G176" i="77" s="1"/>
  <c r="X213" i="3"/>
  <c r="Y213" i="3"/>
  <c r="Y98" i="3"/>
  <c r="Y101" i="3" s="1"/>
  <c r="J54" i="14"/>
  <c r="H61" i="13" s="1"/>
  <c r="H24" i="14"/>
  <c r="H55" i="14" s="1"/>
  <c r="F62" i="13" s="1"/>
  <c r="X98" i="3"/>
  <c r="Z98" i="3"/>
  <c r="Z101" i="3" s="1"/>
  <c r="J24" i="14"/>
  <c r="J55" i="14" s="1"/>
  <c r="H62" i="13" s="1"/>
  <c r="AB155" i="38"/>
  <c r="AC155" i="38" s="1"/>
  <c r="AD155" i="38" s="1"/>
  <c r="R123" i="29"/>
  <c r="R109" i="29"/>
  <c r="R21" i="29"/>
  <c r="R27" i="29" s="1"/>
  <c r="Q189" i="77"/>
  <c r="Q213" i="77"/>
  <c r="Q201" i="77"/>
  <c r="S321" i="39"/>
  <c r="S323" i="39" s="1"/>
  <c r="S145" i="77"/>
  <c r="Z264" i="16"/>
  <c r="Z267" i="16"/>
  <c r="X264" i="16"/>
  <c r="AB264" i="16" s="1"/>
  <c r="AB261" i="16" s="1"/>
  <c r="X267" i="16"/>
  <c r="Y264" i="16"/>
  <c r="Y267" i="16"/>
  <c r="R175" i="77"/>
  <c r="G12" i="77"/>
  <c r="O23" i="77" s="1"/>
  <c r="Q67" i="3"/>
  <c r="Q74" i="3"/>
  <c r="Q76" i="3" s="1"/>
  <c r="J45" i="14"/>
  <c r="H52" i="13" s="1"/>
  <c r="H54" i="14"/>
  <c r="F61" i="13" s="1"/>
  <c r="I55" i="77"/>
  <c r="I93" i="77" s="1"/>
  <c r="Q55" i="77"/>
  <c r="Q109" i="77" s="1"/>
  <c r="Y135" i="30"/>
  <c r="E55" i="77"/>
  <c r="E93" i="77" s="1"/>
  <c r="M100" i="77" s="1"/>
  <c r="Z300" i="39"/>
  <c r="J53" i="77"/>
  <c r="J91" i="77" s="1"/>
  <c r="F55" i="77"/>
  <c r="N62" i="77" s="1"/>
  <c r="F54" i="77"/>
  <c r="N61" i="77" s="1"/>
  <c r="R55" i="77"/>
  <c r="R93" i="77" s="1"/>
  <c r="J55" i="77"/>
  <c r="J93" i="77" s="1"/>
  <c r="J54" i="77"/>
  <c r="F53" i="77"/>
  <c r="N60" i="77" s="1"/>
  <c r="Y176" i="39"/>
  <c r="R53" i="77"/>
  <c r="R54" i="77"/>
  <c r="F56" i="77"/>
  <c r="N63" i="77" s="1"/>
  <c r="Y301" i="39"/>
  <c r="X300" i="39"/>
  <c r="R145" i="77"/>
  <c r="R189" i="77" s="1"/>
  <c r="J145" i="77"/>
  <c r="J147" i="77" s="1"/>
  <c r="F145" i="77"/>
  <c r="F147" i="77" s="1"/>
  <c r="N153" i="77" s="1"/>
  <c r="M43" i="77"/>
  <c r="M143" i="77"/>
  <c r="M48" i="77"/>
  <c r="M18" i="77"/>
  <c r="M17" i="77"/>
  <c r="N174" i="77"/>
  <c r="N41" i="77"/>
  <c r="O139" i="77"/>
  <c r="Z155" i="38"/>
  <c r="AA210" i="38" s="1"/>
  <c r="N85" i="77"/>
  <c r="M41" i="77"/>
  <c r="N176" i="77"/>
  <c r="M42" i="77"/>
  <c r="K57" i="77"/>
  <c r="K69" i="77" s="1"/>
  <c r="K60" i="77"/>
  <c r="Q124" i="77"/>
  <c r="Q35" i="77"/>
  <c r="Q108" i="77"/>
  <c r="S84" i="77"/>
  <c r="S93" i="77"/>
  <c r="K62" i="77"/>
  <c r="S126" i="77"/>
  <c r="S110" i="77"/>
  <c r="S37" i="77"/>
  <c r="S61" i="77"/>
  <c r="K92" i="77"/>
  <c r="K83" i="77"/>
  <c r="K126" i="77"/>
  <c r="K37" i="77"/>
  <c r="K110" i="77"/>
  <c r="AA176" i="39"/>
  <c r="R56" i="77"/>
  <c r="J37" i="77"/>
  <c r="F124" i="77"/>
  <c r="N131" i="77" s="1"/>
  <c r="Q82" i="77"/>
  <c r="Q91" i="77"/>
  <c r="Q37" i="77"/>
  <c r="Q110" i="77"/>
  <c r="Q126" i="77"/>
  <c r="I123" i="77"/>
  <c r="I31" i="77"/>
  <c r="I107" i="77"/>
  <c r="I34" i="77"/>
  <c r="I61" i="77"/>
  <c r="N95" i="77"/>
  <c r="O68" i="77"/>
  <c r="M127" i="77"/>
  <c r="M111" i="77"/>
  <c r="N175" i="77"/>
  <c r="N68" i="77"/>
  <c r="M68" i="77"/>
  <c r="F164" i="77"/>
  <c r="I110" i="77"/>
  <c r="I37" i="77"/>
  <c r="I126" i="77"/>
  <c r="S83" i="77"/>
  <c r="S92" i="77"/>
  <c r="S94" i="77"/>
  <c r="S85" i="77"/>
  <c r="K124" i="77"/>
  <c r="K108" i="77"/>
  <c r="K35" i="77"/>
  <c r="G91" i="77"/>
  <c r="O98" i="77" s="1"/>
  <c r="G79" i="77"/>
  <c r="O86" i="77" s="1"/>
  <c r="F126" i="77"/>
  <c r="N133" i="77" s="1"/>
  <c r="E91" i="77"/>
  <c r="M98" i="77" s="1"/>
  <c r="E79" i="77"/>
  <c r="M86" i="77" s="1"/>
  <c r="I60" i="77"/>
  <c r="E94" i="77"/>
  <c r="M101" i="77" s="1"/>
  <c r="N37" i="77"/>
  <c r="M61" i="77"/>
  <c r="O70" i="77"/>
  <c r="O62" i="77"/>
  <c r="K36" i="77"/>
  <c r="K125" i="77"/>
  <c r="K109" i="77"/>
  <c r="G109" i="77"/>
  <c r="O116" i="77" s="1"/>
  <c r="G125" i="77"/>
  <c r="O132" i="77" s="1"/>
  <c r="I108" i="77"/>
  <c r="I124" i="77"/>
  <c r="I35" i="77"/>
  <c r="K84" i="77"/>
  <c r="K93" i="77"/>
  <c r="K94" i="77"/>
  <c r="K85" i="77"/>
  <c r="S123" i="77"/>
  <c r="S31" i="77"/>
  <c r="S44" i="77" s="1"/>
  <c r="S107" i="77"/>
  <c r="S34" i="77"/>
  <c r="G126" i="77"/>
  <c r="O133" i="77" s="1"/>
  <c r="Z176" i="39"/>
  <c r="J56" i="77"/>
  <c r="Q83" i="77"/>
  <c r="Q92" i="77"/>
  <c r="I94" i="77"/>
  <c r="I85" i="77"/>
  <c r="E108" i="77"/>
  <c r="M115" i="77" s="1"/>
  <c r="E124" i="77"/>
  <c r="M131" i="77" s="1"/>
  <c r="E123" i="77"/>
  <c r="M130" i="77" s="1"/>
  <c r="E31" i="77"/>
  <c r="E41" i="77" s="1"/>
  <c r="E107" i="77"/>
  <c r="M114" i="77" s="1"/>
  <c r="M139" i="77"/>
  <c r="O127" i="77"/>
  <c r="O111" i="77"/>
  <c r="O42" i="77"/>
  <c r="O43" i="77"/>
  <c r="M34" i="77"/>
  <c r="O44" i="77"/>
  <c r="N70" i="77"/>
  <c r="R84" i="77"/>
  <c r="S60" i="77"/>
  <c r="S57" i="77"/>
  <c r="S68" i="77" s="1"/>
  <c r="R168" i="77"/>
  <c r="S124" i="77"/>
  <c r="S35" i="77"/>
  <c r="S108" i="77"/>
  <c r="S62" i="77"/>
  <c r="G108" i="77"/>
  <c r="O115" i="77" s="1"/>
  <c r="G124" i="77"/>
  <c r="O131" i="77" s="1"/>
  <c r="O35" i="77"/>
  <c r="G92" i="77"/>
  <c r="O99" i="77" s="1"/>
  <c r="Q125" i="77"/>
  <c r="Q36" i="77"/>
  <c r="Q63" i="77"/>
  <c r="E92" i="77"/>
  <c r="M99" i="77" s="1"/>
  <c r="M85" i="77"/>
  <c r="N127" i="77"/>
  <c r="N111" i="77"/>
  <c r="N43" i="77"/>
  <c r="O85" i="77"/>
  <c r="O36" i="77"/>
  <c r="N139" i="77"/>
  <c r="M84" i="77"/>
  <c r="M146" i="77"/>
  <c r="M149" i="77"/>
  <c r="S82" i="77"/>
  <c r="S79" i="77"/>
  <c r="S91" i="77"/>
  <c r="J83" i="77"/>
  <c r="J85" i="77"/>
  <c r="Q61" i="77"/>
  <c r="I63" i="77"/>
  <c r="J164" i="77"/>
  <c r="K61" i="77"/>
  <c r="G93" i="77"/>
  <c r="O100" i="77" s="1"/>
  <c r="J84" i="77"/>
  <c r="F125" i="77"/>
  <c r="N132" i="77" s="1"/>
  <c r="N36" i="77"/>
  <c r="I79" i="77"/>
  <c r="I82" i="77"/>
  <c r="I91" i="77"/>
  <c r="E125" i="77"/>
  <c r="M132" i="77" s="1"/>
  <c r="M63" i="77"/>
  <c r="N42" i="77"/>
  <c r="M69" i="77"/>
  <c r="M95" i="77"/>
  <c r="R85" i="77"/>
  <c r="O95" i="77"/>
  <c r="K82" i="77"/>
  <c r="K79" i="77"/>
  <c r="K91" i="77"/>
  <c r="R37" i="77"/>
  <c r="R126" i="77"/>
  <c r="I84" i="77"/>
  <c r="S109" i="77"/>
  <c r="S36" i="77"/>
  <c r="S125" i="77"/>
  <c r="K31" i="77"/>
  <c r="K123" i="77"/>
  <c r="K34" i="77"/>
  <c r="K107" i="77"/>
  <c r="G123" i="77"/>
  <c r="O130" i="77" s="1"/>
  <c r="G31" i="77"/>
  <c r="G43" i="77" s="1"/>
  <c r="G107" i="77"/>
  <c r="O114" i="77" s="1"/>
  <c r="Q85" i="77"/>
  <c r="Q94" i="77"/>
  <c r="Q34" i="77"/>
  <c r="Q31" i="77"/>
  <c r="Q44" i="77" s="1"/>
  <c r="Q107" i="77"/>
  <c r="Q123" i="77"/>
  <c r="Q60" i="77"/>
  <c r="Q84" i="77"/>
  <c r="I125" i="77"/>
  <c r="I36" i="77"/>
  <c r="I92" i="77"/>
  <c r="I83" i="77"/>
  <c r="E110" i="77"/>
  <c r="M117" i="77" s="1"/>
  <c r="E126" i="77"/>
  <c r="M133" i="77" s="1"/>
  <c r="O146" i="77"/>
  <c r="O149" i="77"/>
  <c r="O69" i="77"/>
  <c r="N146" i="77"/>
  <c r="N149" i="77"/>
  <c r="N69" i="77"/>
  <c r="M67" i="77"/>
  <c r="O37" i="77"/>
  <c r="N83" i="77"/>
  <c r="Z134" i="3"/>
  <c r="J27" i="14" s="1"/>
  <c r="K174" i="77"/>
  <c r="Z162" i="3"/>
  <c r="X162" i="3"/>
  <c r="AC157" i="3"/>
  <c r="AB156" i="3"/>
  <c r="I174" i="77"/>
  <c r="S142" i="77"/>
  <c r="K142" i="77"/>
  <c r="K147" i="77" s="1"/>
  <c r="I142" i="77"/>
  <c r="I147" i="77" s="1"/>
  <c r="F175" i="77"/>
  <c r="J79" i="77"/>
  <c r="J82" i="77"/>
  <c r="J175" i="77"/>
  <c r="F79" i="77"/>
  <c r="N86" i="77" s="1"/>
  <c r="N82" i="77"/>
  <c r="R82" i="77"/>
  <c r="F123" i="77"/>
  <c r="N130" i="77" s="1"/>
  <c r="F31" i="77"/>
  <c r="N34" i="77"/>
  <c r="J183" i="77"/>
  <c r="J174" i="77"/>
  <c r="F181" i="77"/>
  <c r="F174" i="77"/>
  <c r="F183" i="77"/>
  <c r="G181" i="77"/>
  <c r="E174" i="77"/>
  <c r="G174" i="77"/>
  <c r="H46" i="14"/>
  <c r="F53" i="13" s="1"/>
  <c r="G142" i="77"/>
  <c r="G147" i="77" s="1"/>
  <c r="Q23" i="77"/>
  <c r="E14" i="77"/>
  <c r="E18" i="77" s="1"/>
  <c r="M22" i="77"/>
  <c r="M24" i="77"/>
  <c r="M23" i="77"/>
  <c r="Q24" i="77"/>
  <c r="E142" i="77"/>
  <c r="E147" i="77" s="1"/>
  <c r="I23" i="77"/>
  <c r="Q22" i="77"/>
  <c r="Q14" i="77"/>
  <c r="I24" i="77"/>
  <c r="I14" i="77"/>
  <c r="N17" i="77"/>
  <c r="N143" i="77"/>
  <c r="O18" i="77"/>
  <c r="O143" i="77"/>
  <c r="K22" i="77"/>
  <c r="S22" i="77"/>
  <c r="J23" i="77"/>
  <c r="R23" i="77"/>
  <c r="R22" i="77"/>
  <c r="S24" i="77"/>
  <c r="K24" i="77"/>
  <c r="J22" i="77"/>
  <c r="R24" i="77"/>
  <c r="O22" i="77"/>
  <c r="N22" i="77"/>
  <c r="J24" i="77"/>
  <c r="O19" i="77"/>
  <c r="O17" i="77"/>
  <c r="K14" i="77"/>
  <c r="J14" i="77"/>
  <c r="R14" i="77"/>
  <c r="W11" i="36"/>
  <c r="V11" i="36"/>
  <c r="U11" i="36"/>
  <c r="T11" i="36"/>
  <c r="S11" i="36"/>
  <c r="F14" i="77"/>
  <c r="N21" i="77" s="1"/>
  <c r="N19" i="77"/>
  <c r="N18" i="77"/>
  <c r="AB69" i="3"/>
  <c r="Y134" i="3"/>
  <c r="I27" i="14" s="1"/>
  <c r="AA120" i="16"/>
  <c r="X143" i="30"/>
  <c r="AA175" i="39"/>
  <c r="Y175" i="39"/>
  <c r="AA135" i="30"/>
  <c r="Z174" i="16"/>
  <c r="Z187" i="16" s="1"/>
  <c r="AA144" i="30"/>
  <c r="X87" i="3"/>
  <c r="Z120" i="16"/>
  <c r="Y120" i="16"/>
  <c r="Z135" i="30"/>
  <c r="X167" i="29"/>
  <c r="X168" i="29" s="1"/>
  <c r="X134" i="3"/>
  <c r="H27" i="14" s="1"/>
  <c r="Z98" i="39"/>
  <c r="X119" i="38"/>
  <c r="X124" i="38" s="1"/>
  <c r="Y167" i="29"/>
  <c r="Y168" i="29" s="1"/>
  <c r="Y297" i="39"/>
  <c r="Z297" i="39"/>
  <c r="Z295" i="39"/>
  <c r="Z296" i="39"/>
  <c r="Z301" i="39"/>
  <c r="X92" i="39"/>
  <c r="AA229" i="38"/>
  <c r="AA228" i="38"/>
  <c r="AA224" i="38"/>
  <c r="AA225" i="38"/>
  <c r="AA230" i="38"/>
  <c r="AA222" i="38"/>
  <c r="AA227" i="38"/>
  <c r="Y120" i="39"/>
  <c r="Y155" i="38"/>
  <c r="Z149" i="38"/>
  <c r="Z152" i="38"/>
  <c r="Z126" i="16"/>
  <c r="Y177" i="16"/>
  <c r="X174" i="16"/>
  <c r="X205" i="16"/>
  <c r="AA125" i="16"/>
  <c r="AA136" i="30"/>
  <c r="Z136" i="30"/>
  <c r="R241" i="30"/>
  <c r="Z134" i="30"/>
  <c r="Y143" i="30"/>
  <c r="AA134" i="30"/>
  <c r="Y187" i="30"/>
  <c r="X64" i="29"/>
  <c r="Y48" i="29"/>
  <c r="Y54" i="29" s="1"/>
  <c r="Z286" i="30"/>
  <c r="Y13" i="30"/>
  <c r="Z83" i="30"/>
  <c r="X51" i="29"/>
  <c r="AA286" i="30"/>
  <c r="Y83" i="30"/>
  <c r="X252" i="29"/>
  <c r="X4" i="29" s="1"/>
  <c r="Y250" i="29"/>
  <c r="Z249" i="29" s="1"/>
  <c r="Z250" i="29" s="1"/>
  <c r="Z13" i="29"/>
  <c r="Y76" i="3"/>
  <c r="AA187" i="3"/>
  <c r="X142" i="4"/>
  <c r="Z187" i="3"/>
  <c r="Z188" i="3" s="1"/>
  <c r="X101" i="3"/>
  <c r="Y118" i="16"/>
  <c r="Z118" i="16"/>
  <c r="AA118" i="16"/>
  <c r="Z119" i="16"/>
  <c r="AA119" i="16"/>
  <c r="Y119" i="16"/>
  <c r="I55" i="14"/>
  <c r="G62" i="13" s="1"/>
  <c r="X96" i="3"/>
  <c r="Y275" i="16"/>
  <c r="R223" i="16"/>
  <c r="Z76" i="3"/>
  <c r="Z87" i="3"/>
  <c r="X127" i="16"/>
  <c r="Y295" i="39"/>
  <c r="X187" i="30"/>
  <c r="Y144" i="30"/>
  <c r="X125" i="16"/>
  <c r="AA174" i="39"/>
  <c r="AA296" i="39"/>
  <c r="X83" i="30"/>
  <c r="Z129" i="38"/>
  <c r="Y149" i="38"/>
  <c r="X155" i="38"/>
  <c r="Y119" i="38"/>
  <c r="I30" i="37" s="1"/>
  <c r="AA13" i="3"/>
  <c r="Y87" i="3"/>
  <c r="Z275" i="16"/>
  <c r="X126" i="16"/>
  <c r="Z174" i="39"/>
  <c r="AA187" i="30"/>
  <c r="Z187" i="30"/>
  <c r="Z167" i="38"/>
  <c r="J25" i="37" s="1"/>
  <c r="X120" i="39"/>
  <c r="X297" i="39"/>
  <c r="Z119" i="38"/>
  <c r="J30" i="37" s="1"/>
  <c r="S239" i="30"/>
  <c r="S240" i="30" s="1"/>
  <c r="AA297" i="39"/>
  <c r="AA295" i="39"/>
  <c r="Y174" i="39"/>
  <c r="Z142" i="30"/>
  <c r="Y142" i="30"/>
  <c r="S222" i="16"/>
  <c r="S223" i="16" s="1"/>
  <c r="X13" i="29"/>
  <c r="Y174" i="16"/>
  <c r="Y187" i="16" s="1"/>
  <c r="Z120" i="39"/>
  <c r="AA13" i="29"/>
  <c r="Y141" i="38"/>
  <c r="X148" i="38"/>
  <c r="H23" i="37"/>
  <c r="AD120" i="3"/>
  <c r="Z124" i="16"/>
  <c r="Z135" i="16"/>
  <c r="Y235" i="16"/>
  <c r="AA204" i="39"/>
  <c r="AA218" i="39"/>
  <c r="AA226" i="30"/>
  <c r="U11" i="27"/>
  <c r="T11" i="27"/>
  <c r="V11" i="27"/>
  <c r="W11" i="27"/>
  <c r="S11" i="27"/>
  <c r="AA143" i="52"/>
  <c r="X163" i="30"/>
  <c r="X177" i="30"/>
  <c r="I24" i="28"/>
  <c r="I55" i="28" s="1"/>
  <c r="G62" i="27" s="1"/>
  <c r="I54" i="28"/>
  <c r="G61" i="27" s="1"/>
  <c r="I46" i="28"/>
  <c r="G53" i="27" s="1"/>
  <c r="I45" i="28"/>
  <c r="G52" i="27" s="1"/>
  <c r="J26" i="37"/>
  <c r="Y143" i="38"/>
  <c r="X152" i="38"/>
  <c r="L29" i="37"/>
  <c r="Y152" i="38"/>
  <c r="AQ253" i="3"/>
  <c r="Z252" i="3"/>
  <c r="Z253" i="3" s="1"/>
  <c r="X76" i="3"/>
  <c r="Z127" i="16"/>
  <c r="AA111" i="16"/>
  <c r="AA240" i="16" s="1"/>
  <c r="AA117" i="16"/>
  <c r="Z177" i="16"/>
  <c r="Z125" i="16"/>
  <c r="I16" i="14"/>
  <c r="Z144" i="16"/>
  <c r="Z158" i="16"/>
  <c r="X275" i="16"/>
  <c r="Y216" i="16"/>
  <c r="Y205" i="16"/>
  <c r="Y126" i="16"/>
  <c r="AC110" i="16"/>
  <c r="AD110" i="16"/>
  <c r="X120" i="16"/>
  <c r="Z181" i="39"/>
  <c r="Z195" i="39"/>
  <c r="AA197" i="39"/>
  <c r="AA183" i="39"/>
  <c r="J16" i="37"/>
  <c r="J15" i="37"/>
  <c r="Y217" i="39"/>
  <c r="Y203" i="39"/>
  <c r="Y92" i="39"/>
  <c r="Z202" i="39"/>
  <c r="Z216" i="39"/>
  <c r="AB163" i="39"/>
  <c r="X176" i="39"/>
  <c r="AC163" i="39"/>
  <c r="AD163" i="39"/>
  <c r="Y181" i="39"/>
  <c r="Y195" i="39"/>
  <c r="Y296" i="39"/>
  <c r="R181" i="52"/>
  <c r="R70" i="3"/>
  <c r="AA162" i="30"/>
  <c r="AA176" i="30"/>
  <c r="AA142" i="30"/>
  <c r="AA177" i="30"/>
  <c r="AA163" i="30"/>
  <c r="Z226" i="30"/>
  <c r="Z143" i="52"/>
  <c r="AB186" i="30"/>
  <c r="AA190" i="30"/>
  <c r="AA81" i="52"/>
  <c r="Y96" i="29"/>
  <c r="H9" i="28"/>
  <c r="H15" i="28"/>
  <c r="Y136" i="30"/>
  <c r="AB117" i="30"/>
  <c r="U53" i="77" s="1"/>
  <c r="X133" i="30"/>
  <c r="AC117" i="30"/>
  <c r="AD117" i="30"/>
  <c r="X121" i="30"/>
  <c r="Z189" i="29"/>
  <c r="Z188" i="29"/>
  <c r="Y188" i="29"/>
  <c r="Y189" i="29"/>
  <c r="X204" i="39"/>
  <c r="X218" i="39"/>
  <c r="H9" i="37"/>
  <c r="S15" i="38"/>
  <c r="AC117" i="38"/>
  <c r="H26" i="37"/>
  <c r="Y190" i="38"/>
  <c r="Y194" i="38"/>
  <c r="Y176" i="38"/>
  <c r="Y174" i="38" s="1"/>
  <c r="I31" i="37"/>
  <c r="X73" i="38"/>
  <c r="X215" i="38"/>
  <c r="X15" i="38"/>
  <c r="X29" i="38"/>
  <c r="X35" i="38"/>
  <c r="Y80" i="38"/>
  <c r="X93" i="38"/>
  <c r="X17" i="38"/>
  <c r="X87" i="38"/>
  <c r="X77" i="38"/>
  <c r="X39" i="38"/>
  <c r="Y58" i="38"/>
  <c r="Y42" i="38"/>
  <c r="X234" i="38"/>
  <c r="X16" i="38"/>
  <c r="X89" i="38"/>
  <c r="Y11" i="38"/>
  <c r="X178" i="38"/>
  <c r="X76" i="38"/>
  <c r="X53" i="38"/>
  <c r="X34" i="38"/>
  <c r="Y77" i="38"/>
  <c r="X20" i="38"/>
  <c r="X37" i="38"/>
  <c r="X80" i="38"/>
  <c r="X248" i="38"/>
  <c r="Y39" i="38"/>
  <c r="X31" i="38"/>
  <c r="Y57" i="38"/>
  <c r="X249" i="38"/>
  <c r="X85" i="38"/>
  <c r="Y86" i="38"/>
  <c r="Y78" i="38"/>
  <c r="X23" i="38"/>
  <c r="Y62" i="38"/>
  <c r="Y91" i="38"/>
  <c r="Y63" i="38"/>
  <c r="X19" i="38"/>
  <c r="X237" i="38"/>
  <c r="Y35" i="38"/>
  <c r="Y29" i="38"/>
  <c r="Y56" i="38"/>
  <c r="X59" i="38"/>
  <c r="Y234" i="38"/>
  <c r="X18" i="38"/>
  <c r="X22" i="38"/>
  <c r="Y12" i="38"/>
  <c r="X235" i="38"/>
  <c r="X183" i="38" s="1"/>
  <c r="Y21" i="38"/>
  <c r="X57" i="38"/>
  <c r="Z236" i="38"/>
  <c r="Y72" i="38"/>
  <c r="X27" i="38"/>
  <c r="X72" i="38"/>
  <c r="Z240" i="38"/>
  <c r="Z262" i="38" s="1"/>
  <c r="Y74" i="38"/>
  <c r="Z235" i="38"/>
  <c r="Z183" i="38" s="1"/>
  <c r="Z244" i="38"/>
  <c r="Y236" i="38"/>
  <c r="X81" i="38"/>
  <c r="X78" i="38"/>
  <c r="X94" i="38"/>
  <c r="X92" i="38"/>
  <c r="X54" i="38"/>
  <c r="Y55" i="38"/>
  <c r="Y54" i="38"/>
  <c r="X26" i="38"/>
  <c r="X246" i="38"/>
  <c r="H18" i="37" s="1"/>
  <c r="X240" i="38"/>
  <c r="X262" i="38" s="1"/>
  <c r="Z234" i="38"/>
  <c r="Y34" i="38"/>
  <c r="Y94" i="38"/>
  <c r="X239" i="38"/>
  <c r="Y92" i="38"/>
  <c r="Z10" i="38"/>
  <c r="Y178" i="38"/>
  <c r="Y245" i="38"/>
  <c r="I19" i="37" s="1"/>
  <c r="X86" i="38"/>
  <c r="Y239" i="38"/>
  <c r="Y243" i="38"/>
  <c r="Y20" i="38"/>
  <c r="Y247" i="38"/>
  <c r="Y31" i="38"/>
  <c r="X55" i="38"/>
  <c r="X38" i="38"/>
  <c r="X224" i="38"/>
  <c r="X221" i="38" s="1"/>
  <c r="Y19" i="38"/>
  <c r="Y250" i="38"/>
  <c r="Y36" i="38"/>
  <c r="Y66" i="38" s="1"/>
  <c r="Z17" i="38"/>
  <c r="X250" i="38"/>
  <c r="AA235" i="38"/>
  <c r="Y53" i="38"/>
  <c r="X79" i="38"/>
  <c r="Y38" i="38"/>
  <c r="Y235" i="38"/>
  <c r="Y183" i="38" s="1"/>
  <c r="Z90" i="38"/>
  <c r="Y10" i="38"/>
  <c r="Y240" i="38"/>
  <c r="Y262" i="38" s="1"/>
  <c r="Y59" i="38"/>
  <c r="X30" i="38"/>
  <c r="Z178" i="38"/>
  <c r="Y237" i="38"/>
  <c r="X247" i="38"/>
  <c r="X28" i="38"/>
  <c r="Y249" i="38"/>
  <c r="Y75" i="38"/>
  <c r="Z238" i="38"/>
  <c r="X75" i="38"/>
  <c r="Y244" i="38"/>
  <c r="Y30" i="38"/>
  <c r="X236" i="38"/>
  <c r="X12" i="38"/>
  <c r="X91" i="38"/>
  <c r="Y90" i="38"/>
  <c r="X56" i="38"/>
  <c r="Y93" i="38"/>
  <c r="X58" i="38"/>
  <c r="X36" i="38"/>
  <c r="X66" i="38" s="1"/>
  <c r="X238" i="38"/>
  <c r="X244" i="38"/>
  <c r="X243" i="38"/>
  <c r="Y18" i="38"/>
  <c r="Y248" i="38"/>
  <c r="Y26" i="38"/>
  <c r="Z86" i="38"/>
  <c r="Z94" i="38"/>
  <c r="X11" i="38"/>
  <c r="Y23" i="38"/>
  <c r="X21" i="38"/>
  <c r="Y246" i="38"/>
  <c r="I18" i="37" s="1"/>
  <c r="Y79" i="38"/>
  <c r="Y89" i="38"/>
  <c r="X245" i="38"/>
  <c r="H19" i="37" s="1"/>
  <c r="X88" i="38"/>
  <c r="X90" i="38"/>
  <c r="Z27" i="38"/>
  <c r="Z81" i="38"/>
  <c r="Y22" i="38"/>
  <c r="X74" i="38"/>
  <c r="Y81" i="38"/>
  <c r="Y15" i="38"/>
  <c r="Z92" i="38"/>
  <c r="Z80" i="38"/>
  <c r="Z38" i="38"/>
  <c r="Y27" i="38"/>
  <c r="Y73" i="38"/>
  <c r="X10" i="38"/>
  <c r="X42" i="38"/>
  <c r="Y17" i="38"/>
  <c r="Z28" i="38"/>
  <c r="Z249" i="38"/>
  <c r="Z73" i="38"/>
  <c r="Y37" i="38"/>
  <c r="AA80" i="38"/>
  <c r="AA87" i="38"/>
  <c r="Y88" i="38"/>
  <c r="Z237" i="38"/>
  <c r="Z91" i="38"/>
  <c r="Z30" i="38"/>
  <c r="Z93" i="38"/>
  <c r="Z57" i="38"/>
  <c r="AA93" i="38"/>
  <c r="Z62" i="38"/>
  <c r="Z75" i="38"/>
  <c r="AA18" i="38"/>
  <c r="Z250" i="38"/>
  <c r="Z56" i="38"/>
  <c r="Y238" i="38"/>
  <c r="Z29" i="38"/>
  <c r="Z23" i="38"/>
  <c r="Z15" i="38"/>
  <c r="Z79" i="38"/>
  <c r="Z87" i="38"/>
  <c r="Y85" i="38"/>
  <c r="AA89" i="38"/>
  <c r="Z34" i="38"/>
  <c r="Y87" i="38"/>
  <c r="Z35" i="38"/>
  <c r="Z246" i="38"/>
  <c r="J18" i="37" s="1"/>
  <c r="Z89" i="38"/>
  <c r="Z31" i="38"/>
  <c r="Z19" i="38"/>
  <c r="Z85" i="38"/>
  <c r="AA58" i="38"/>
  <c r="AA55" i="38"/>
  <c r="Z247" i="38"/>
  <c r="Z239" i="38"/>
  <c r="Z26" i="38"/>
  <c r="Z88" i="38"/>
  <c r="Z248" i="38"/>
  <c r="Z245" i="38"/>
  <c r="J19" i="37" s="1"/>
  <c r="Y28" i="38"/>
  <c r="Z18" i="38"/>
  <c r="Z55" i="38"/>
  <c r="Y16" i="38"/>
  <c r="AA38" i="38"/>
  <c r="Z59" i="38"/>
  <c r="Z11" i="38"/>
  <c r="Z12" i="38"/>
  <c r="AA94" i="38"/>
  <c r="Z37" i="38"/>
  <c r="Z16" i="38"/>
  <c r="AA248" i="38"/>
  <c r="AA234" i="38"/>
  <c r="AA73" i="38"/>
  <c r="Z39" i="38"/>
  <c r="Z63" i="38"/>
  <c r="Z36" i="38"/>
  <c r="Z66" i="38" s="1"/>
  <c r="AA88" i="38"/>
  <c r="AA237" i="38"/>
  <c r="AA246" i="38"/>
  <c r="L18" i="37" s="1"/>
  <c r="AA30" i="38"/>
  <c r="Z42" i="38"/>
  <c r="Z72" i="38"/>
  <c r="Z76" i="38"/>
  <c r="AA90" i="38"/>
  <c r="AA81" i="38"/>
  <c r="AA74" i="38"/>
  <c r="Z74" i="38"/>
  <c r="AA79" i="38"/>
  <c r="Z78" i="38"/>
  <c r="Z77" i="38"/>
  <c r="AA28" i="38"/>
  <c r="Y76" i="38"/>
  <c r="Z20" i="38"/>
  <c r="Z21" i="38"/>
  <c r="Z54" i="38"/>
  <c r="AA35" i="38"/>
  <c r="Z58" i="38"/>
  <c r="Z243" i="38"/>
  <c r="Z53" i="38"/>
  <c r="Z22" i="38"/>
  <c r="AA92" i="38"/>
  <c r="AA240" i="38"/>
  <c r="AA262" i="38" s="1"/>
  <c r="AA56" i="38"/>
  <c r="AA86" i="38"/>
  <c r="AA22" i="38"/>
  <c r="AA178" i="38"/>
  <c r="AA11" i="38"/>
  <c r="AA247" i="38"/>
  <c r="AA245" i="38"/>
  <c r="L19" i="37" s="1"/>
  <c r="AA37" i="38"/>
  <c r="AA17" i="38"/>
  <c r="AA12" i="38"/>
  <c r="AA75" i="38"/>
  <c r="AA16" i="38"/>
  <c r="AA78" i="38"/>
  <c r="AA249" i="38"/>
  <c r="AA59" i="38"/>
  <c r="AA20" i="38"/>
  <c r="AA36" i="38"/>
  <c r="AA66" i="38" s="1"/>
  <c r="AA54" i="38"/>
  <c r="AA85" i="38"/>
  <c r="AA21" i="38"/>
  <c r="AA76" i="38"/>
  <c r="AA239" i="38"/>
  <c r="AA10" i="38"/>
  <c r="AA77" i="38"/>
  <c r="AA250" i="38"/>
  <c r="AA238" i="38"/>
  <c r="AA91" i="38"/>
  <c r="AA19" i="38"/>
  <c r="AA31" i="38"/>
  <c r="AB31" i="38" s="1"/>
  <c r="AA72" i="38"/>
  <c r="AA236" i="38"/>
  <c r="AA39" i="38"/>
  <c r="AA27" i="38"/>
  <c r="AA57" i="38"/>
  <c r="AA26" i="38"/>
  <c r="AD174" i="29"/>
  <c r="AD176" i="29" s="1"/>
  <c r="AD118" i="29" s="1"/>
  <c r="AC118" i="29"/>
  <c r="X57" i="3"/>
  <c r="Y96" i="3"/>
  <c r="X65" i="3"/>
  <c r="X67" i="3" s="1"/>
  <c r="X72" i="3" s="1"/>
  <c r="X204" i="3"/>
  <c r="Y65" i="3"/>
  <c r="Y67" i="3" s="1"/>
  <c r="Y72" i="3" s="1"/>
  <c r="Y204" i="3"/>
  <c r="AC154" i="3"/>
  <c r="AA144" i="16"/>
  <c r="AA158" i="16"/>
  <c r="Y13" i="16"/>
  <c r="Z142" i="16"/>
  <c r="Z156" i="16"/>
  <c r="X124" i="16"/>
  <c r="X135" i="16"/>
  <c r="H15" i="14"/>
  <c r="Y142" i="16"/>
  <c r="Y156" i="16"/>
  <c r="AA173" i="39"/>
  <c r="AA164" i="39"/>
  <c r="AG309" i="39" s="1"/>
  <c r="AA180" i="39"/>
  <c r="AA194" i="39"/>
  <c r="Z92" i="39"/>
  <c r="X308" i="39"/>
  <c r="X144" i="52"/>
  <c r="X294" i="39"/>
  <c r="X281" i="39"/>
  <c r="X285" i="39" s="1"/>
  <c r="X302" i="39" s="1"/>
  <c r="X126" i="52" s="1"/>
  <c r="X161" i="52"/>
  <c r="X196" i="39"/>
  <c r="X182" i="39"/>
  <c r="Z161" i="30"/>
  <c r="Z175" i="30"/>
  <c r="Z79" i="30"/>
  <c r="I15" i="28"/>
  <c r="Y190" i="30"/>
  <c r="Y81" i="52"/>
  <c r="Y88" i="29"/>
  <c r="Z143" i="30"/>
  <c r="Z163" i="30"/>
  <c r="Z177" i="30"/>
  <c r="J16" i="28"/>
  <c r="X220" i="30"/>
  <c r="X160" i="52"/>
  <c r="AD282" i="30"/>
  <c r="AD279" i="30" s="1"/>
  <c r="AD244" i="30" s="1"/>
  <c r="AC282" i="30"/>
  <c r="AC279" i="30" s="1"/>
  <c r="AC244" i="30" s="1"/>
  <c r="AB282" i="30"/>
  <c r="AB279" i="30" s="1"/>
  <c r="AB244" i="30" s="1"/>
  <c r="Y252" i="30"/>
  <c r="Y187" i="52" s="1"/>
  <c r="X226" i="30"/>
  <c r="X143" i="52"/>
  <c r="X80" i="29"/>
  <c r="Y204" i="29"/>
  <c r="Z204" i="29"/>
  <c r="J27" i="28"/>
  <c r="AB187" i="3"/>
  <c r="Z84" i="16"/>
  <c r="Z141" i="16"/>
  <c r="Z155" i="16"/>
  <c r="Y117" i="16"/>
  <c r="Y111" i="16"/>
  <c r="Y238" i="16" s="1"/>
  <c r="X197" i="39"/>
  <c r="X183" i="39"/>
  <c r="X176" i="38"/>
  <c r="X174" i="38" s="1"/>
  <c r="H31" i="37"/>
  <c r="S165" i="52"/>
  <c r="S175" i="52"/>
  <c r="S170" i="52"/>
  <c r="S214" i="52"/>
  <c r="S219" i="52" s="1"/>
  <c r="AA245" i="3"/>
  <c r="L19" i="14"/>
  <c r="Z96" i="3"/>
  <c r="Z142" i="4"/>
  <c r="I15" i="14"/>
  <c r="X144" i="16"/>
  <c r="X158" i="16"/>
  <c r="X164" i="16" s="1"/>
  <c r="X235" i="16"/>
  <c r="G138" i="77" s="1"/>
  <c r="Z180" i="39"/>
  <c r="Z191" i="39"/>
  <c r="Z194" i="39"/>
  <c r="Y13" i="39"/>
  <c r="Y62" i="39" s="1"/>
  <c r="Y204" i="39"/>
  <c r="Y218" i="39"/>
  <c r="Z173" i="39"/>
  <c r="Z164" i="39"/>
  <c r="Z110" i="39" s="1"/>
  <c r="AB160" i="39"/>
  <c r="AC160" i="39"/>
  <c r="X164" i="39"/>
  <c r="X249" i="39" s="1"/>
  <c r="AD160" i="39"/>
  <c r="X173" i="39"/>
  <c r="AA300" i="39"/>
  <c r="I16" i="37"/>
  <c r="Z182" i="39"/>
  <c r="Z196" i="39"/>
  <c r="Y300" i="39"/>
  <c r="X217" i="39"/>
  <c r="X203" i="39"/>
  <c r="Y215" i="39"/>
  <c r="Y130" i="39"/>
  <c r="Y155" i="39" s="1"/>
  <c r="Y201" i="39"/>
  <c r="X296" i="39"/>
  <c r="AB296" i="39" s="1"/>
  <c r="I9" i="37"/>
  <c r="AC164" i="3"/>
  <c r="AD107" i="29"/>
  <c r="T318" i="39"/>
  <c r="AA93" i="30"/>
  <c r="AA113" i="30" s="1"/>
  <c r="AA160" i="30"/>
  <c r="AA174" i="30"/>
  <c r="Y174" i="30"/>
  <c r="Y93" i="30"/>
  <c r="Y111" i="30" s="1"/>
  <c r="Y160" i="30"/>
  <c r="Z174" i="30"/>
  <c r="Z93" i="30"/>
  <c r="Z111" i="30" s="1"/>
  <c r="Z160" i="30"/>
  <c r="Z48" i="29"/>
  <c r="Z54" i="29" s="1"/>
  <c r="Y175" i="30"/>
  <c r="Y161" i="30"/>
  <c r="Y133" i="30"/>
  <c r="Y121" i="30"/>
  <c r="X252" i="30"/>
  <c r="E138" i="77" s="1"/>
  <c r="X190" i="30"/>
  <c r="X81" i="52"/>
  <c r="Y286" i="30"/>
  <c r="X48" i="29"/>
  <c r="R180" i="52"/>
  <c r="R224" i="52"/>
  <c r="Z205" i="16"/>
  <c r="Z216" i="16"/>
  <c r="Y84" i="16"/>
  <c r="Y141" i="16"/>
  <c r="Y155" i="16"/>
  <c r="AA201" i="39"/>
  <c r="AA215" i="39"/>
  <c r="AA130" i="39"/>
  <c r="X191" i="39"/>
  <c r="X194" i="39"/>
  <c r="X180" i="39"/>
  <c r="AC130" i="3"/>
  <c r="Z190" i="38"/>
  <c r="Z194" i="38"/>
  <c r="I26" i="37"/>
  <c r="AA176" i="38"/>
  <c r="AA174" i="38" s="1"/>
  <c r="L31" i="37"/>
  <c r="Z143" i="38"/>
  <c r="X129" i="38"/>
  <c r="Y129" i="38"/>
  <c r="X141" i="38"/>
  <c r="AB195" i="3"/>
  <c r="AB196" i="3" s="1"/>
  <c r="AB127" i="3" s="1"/>
  <c r="AC194" i="3"/>
  <c r="AC199" i="3" s="1"/>
  <c r="AA83" i="3"/>
  <c r="Z112" i="3"/>
  <c r="X13" i="3"/>
  <c r="Y83" i="3"/>
  <c r="AC145" i="29"/>
  <c r="AB173" i="16"/>
  <c r="AA177" i="16"/>
  <c r="Y125" i="16"/>
  <c r="X142" i="16"/>
  <c r="X156" i="16"/>
  <c r="X165" i="16" s="1"/>
  <c r="B20" i="61"/>
  <c r="A19" i="61"/>
  <c r="AA98" i="39"/>
  <c r="AA101" i="39" s="1"/>
  <c r="AA105" i="39" s="1"/>
  <c r="AA203" i="39"/>
  <c r="AA217" i="39"/>
  <c r="AA13" i="39"/>
  <c r="AA52" i="39" s="1"/>
  <c r="AA182" i="39"/>
  <c r="AA196" i="39"/>
  <c r="Y197" i="39"/>
  <c r="Y183" i="39"/>
  <c r="AD162" i="39"/>
  <c r="X175" i="39"/>
  <c r="AC162" i="39"/>
  <c r="AB162" i="39"/>
  <c r="Z13" i="39"/>
  <c r="Z52" i="39" s="1"/>
  <c r="Y191" i="39"/>
  <c r="Y194" i="39"/>
  <c r="Y180" i="39"/>
  <c r="X130" i="39"/>
  <c r="X157" i="39" s="1"/>
  <c r="X201" i="39"/>
  <c r="X215" i="39"/>
  <c r="Y182" i="39"/>
  <c r="Y196" i="39"/>
  <c r="T133" i="52"/>
  <c r="AA88" i="29"/>
  <c r="AA121" i="30"/>
  <c r="AA133" i="30"/>
  <c r="AA48" i="29"/>
  <c r="AA96" i="29"/>
  <c r="L9" i="28"/>
  <c r="X141" i="30"/>
  <c r="X153" i="30"/>
  <c r="Z220" i="30"/>
  <c r="Z233" i="30"/>
  <c r="Z160" i="52"/>
  <c r="Y141" i="30"/>
  <c r="Y153" i="30"/>
  <c r="J15" i="28"/>
  <c r="Z121" i="30"/>
  <c r="Z133" i="30"/>
  <c r="AC118" i="30"/>
  <c r="AD118" i="30"/>
  <c r="X134" i="30"/>
  <c r="AB118" i="30"/>
  <c r="U54" i="77" s="1"/>
  <c r="I9" i="28"/>
  <c r="X144" i="30"/>
  <c r="X181" i="39"/>
  <c r="X195" i="39"/>
  <c r="Z162" i="30"/>
  <c r="Z176" i="30"/>
  <c r="AB152" i="38"/>
  <c r="AC152" i="38" s="1"/>
  <c r="AD152" i="38" s="1"/>
  <c r="Y167" i="38"/>
  <c r="I25" i="37" s="1"/>
  <c r="X167" i="38"/>
  <c r="H25" i="37" s="1"/>
  <c r="S51" i="30"/>
  <c r="S15" i="29"/>
  <c r="S21" i="30"/>
  <c r="Z13" i="3"/>
  <c r="X112" i="3"/>
  <c r="Y187" i="3"/>
  <c r="Y188" i="3" s="1"/>
  <c r="Y142" i="4"/>
  <c r="Y112" i="3"/>
  <c r="X83" i="3"/>
  <c r="AA126" i="16"/>
  <c r="AA84" i="16"/>
  <c r="AA141" i="16"/>
  <c r="AA155" i="16"/>
  <c r="J15" i="14"/>
  <c r="Z13" i="16"/>
  <c r="AB107" i="16"/>
  <c r="W53" i="77" s="1"/>
  <c r="AC107" i="16"/>
  <c r="X111" i="16"/>
  <c r="X239" i="16" s="1"/>
  <c r="AD107" i="16"/>
  <c r="X117" i="16"/>
  <c r="X13" i="16"/>
  <c r="AA308" i="39"/>
  <c r="AA144" i="52"/>
  <c r="AA216" i="39"/>
  <c r="Z294" i="39"/>
  <c r="Z281" i="39"/>
  <c r="Z285" i="39" s="1"/>
  <c r="Z302" i="39" s="1"/>
  <c r="Z126" i="52" s="1"/>
  <c r="Z315" i="39"/>
  <c r="Z161" i="52"/>
  <c r="Y294" i="39"/>
  <c r="Y281" i="39"/>
  <c r="Y285" i="39" s="1"/>
  <c r="Y302" i="39" s="1"/>
  <c r="Y126" i="52" s="1"/>
  <c r="Y315" i="39"/>
  <c r="Y161" i="52"/>
  <c r="Y308" i="39"/>
  <c r="Y144" i="52"/>
  <c r="Z203" i="39"/>
  <c r="Z217" i="39"/>
  <c r="AB161" i="39"/>
  <c r="AC161" i="39"/>
  <c r="AD161" i="39"/>
  <c r="X174" i="39"/>
  <c r="X98" i="39"/>
  <c r="H15" i="37"/>
  <c r="X66" i="52"/>
  <c r="Z23" i="52"/>
  <c r="X145" i="52"/>
  <c r="X16" i="52"/>
  <c r="Z66" i="52"/>
  <c r="X11" i="52"/>
  <c r="X23" i="52"/>
  <c r="X67" i="52"/>
  <c r="X82" i="52"/>
  <c r="X22" i="52"/>
  <c r="X162" i="52"/>
  <c r="X18" i="52"/>
  <c r="X13" i="52"/>
  <c r="X68" i="52"/>
  <c r="X17" i="52"/>
  <c r="Z12" i="52"/>
  <c r="X21" i="52"/>
  <c r="X12" i="52"/>
  <c r="Z17" i="52"/>
  <c r="Z16" i="52"/>
  <c r="Y21" i="52"/>
  <c r="Y17" i="52"/>
  <c r="Y11" i="52"/>
  <c r="Y189" i="52"/>
  <c r="X189" i="52"/>
  <c r="Y12" i="52"/>
  <c r="Y162" i="52"/>
  <c r="Y22" i="52"/>
  <c r="Z13" i="52"/>
  <c r="Y18" i="52"/>
  <c r="Y82" i="52"/>
  <c r="Z21" i="52"/>
  <c r="Z18" i="52"/>
  <c r="Y23" i="52"/>
  <c r="Y13" i="52"/>
  <c r="Y67" i="52"/>
  <c r="Z68" i="52"/>
  <c r="Y66" i="52"/>
  <c r="Y145" i="52"/>
  <c r="Z82" i="52"/>
  <c r="Z189" i="52"/>
  <c r="Z145" i="52"/>
  <c r="Y16" i="52"/>
  <c r="Y68" i="52"/>
  <c r="Z162" i="52"/>
  <c r="Z11" i="52"/>
  <c r="AA17" i="52"/>
  <c r="AA21" i="52"/>
  <c r="AA13" i="52"/>
  <c r="Z22" i="52"/>
  <c r="Z67" i="52"/>
  <c r="AA66" i="52"/>
  <c r="AA16" i="52"/>
  <c r="AA11" i="52"/>
  <c r="AA22" i="52"/>
  <c r="AA23" i="52"/>
  <c r="AA145" i="52"/>
  <c r="AA12" i="52"/>
  <c r="AA67" i="52"/>
  <c r="AA68" i="52"/>
  <c r="AA82" i="52"/>
  <c r="T236" i="30"/>
  <c r="T281" i="39"/>
  <c r="T315" i="39"/>
  <c r="T314" i="39" s="1"/>
  <c r="T320" i="39" s="1"/>
  <c r="T161" i="52"/>
  <c r="S172" i="52"/>
  <c r="S177" i="52"/>
  <c r="S167" i="52"/>
  <c r="R25" i="30"/>
  <c r="E57" i="15" s="1"/>
  <c r="R57" i="30"/>
  <c r="AA252" i="30"/>
  <c r="Q138" i="77" s="1"/>
  <c r="AA80" i="29"/>
  <c r="Z144" i="30"/>
  <c r="Z13" i="30"/>
  <c r="X88" i="29"/>
  <c r="Y226" i="30"/>
  <c r="Y143" i="52"/>
  <c r="Z252" i="30"/>
  <c r="Z64" i="29"/>
  <c r="Y80" i="29"/>
  <c r="X175" i="30"/>
  <c r="X161" i="30"/>
  <c r="AB120" i="30"/>
  <c r="AC120" i="30"/>
  <c r="X136" i="30"/>
  <c r="AD120" i="30"/>
  <c r="X174" i="30"/>
  <c r="X93" i="30"/>
  <c r="X111" i="30" s="1"/>
  <c r="X160" i="30"/>
  <c r="Y163" i="30"/>
  <c r="Y177" i="30"/>
  <c r="AA43" i="29"/>
  <c r="L18" i="28"/>
  <c r="Z167" i="29"/>
  <c r="Z168" i="29" s="1"/>
  <c r="T135" i="52"/>
  <c r="H24" i="28"/>
  <c r="H55" i="28" s="1"/>
  <c r="F62" i="27" s="1"/>
  <c r="H54" i="28"/>
  <c r="F61" i="27" s="1"/>
  <c r="H46" i="28"/>
  <c r="F53" i="27" s="1"/>
  <c r="H45" i="28"/>
  <c r="F52" i="27" s="1"/>
  <c r="X157" i="16"/>
  <c r="X163" i="16" s="1"/>
  <c r="X143" i="16"/>
  <c r="J9" i="37"/>
  <c r="J9" i="28"/>
  <c r="Y220" i="30"/>
  <c r="Y233" i="30"/>
  <c r="Y160" i="52"/>
  <c r="AB163" i="38"/>
  <c r="AB123" i="38"/>
  <c r="AA129" i="38"/>
  <c r="AB130" i="38"/>
  <c r="Z141" i="38"/>
  <c r="X143" i="38"/>
  <c r="X149" i="38"/>
  <c r="AA234" i="3"/>
  <c r="AA241" i="3" s="1"/>
  <c r="Z83" i="3"/>
  <c r="Y13" i="3"/>
  <c r="AA124" i="16"/>
  <c r="AA135" i="16"/>
  <c r="AA142" i="16"/>
  <c r="AA156" i="16"/>
  <c r="H16" i="14"/>
  <c r="Y135" i="16"/>
  <c r="Y124" i="16"/>
  <c r="Y127" i="16"/>
  <c r="Z235" i="16"/>
  <c r="K138" i="77" s="1"/>
  <c r="X84" i="16"/>
  <c r="X141" i="16"/>
  <c r="X155" i="16"/>
  <c r="X162" i="16" s="1"/>
  <c r="J24" i="28"/>
  <c r="J55" i="28" s="1"/>
  <c r="H62" i="27" s="1"/>
  <c r="J54" i="28"/>
  <c r="H61" i="27" s="1"/>
  <c r="J46" i="28"/>
  <c r="H53" i="27" s="1"/>
  <c r="J45" i="28"/>
  <c r="H52" i="27" s="1"/>
  <c r="I15" i="37"/>
  <c r="Y202" i="39"/>
  <c r="Y216" i="39"/>
  <c r="H16" i="37"/>
  <c r="X13" i="39"/>
  <c r="X54" i="39" s="1"/>
  <c r="Z197" i="39"/>
  <c r="Z183" i="39"/>
  <c r="X301" i="39"/>
  <c r="X242" i="39"/>
  <c r="F138" i="77" s="1"/>
  <c r="Y98" i="39"/>
  <c r="T15" i="30"/>
  <c r="T233" i="30"/>
  <c r="T232" i="30" s="1"/>
  <c r="T238" i="30" s="1"/>
  <c r="T160" i="52"/>
  <c r="R51" i="29"/>
  <c r="AA143" i="30"/>
  <c r="Z88" i="29"/>
  <c r="Y64" i="29"/>
  <c r="Z80" i="29"/>
  <c r="I16" i="28"/>
  <c r="X142" i="30"/>
  <c r="X13" i="30"/>
  <c r="AD119" i="30"/>
  <c r="X135" i="30"/>
  <c r="AB119" i="30"/>
  <c r="AC119" i="30"/>
  <c r="X79" i="30"/>
  <c r="R182" i="52"/>
  <c r="AA167" i="29"/>
  <c r="AA168" i="29" s="1"/>
  <c r="AB168" i="29" s="1"/>
  <c r="AC168" i="29" s="1"/>
  <c r="AD168" i="29" s="1"/>
  <c r="Y13" i="29"/>
  <c r="Y21" i="29" s="1"/>
  <c r="Y27" i="29" s="1"/>
  <c r="T15" i="16"/>
  <c r="T216" i="16"/>
  <c r="T215" i="16" s="1"/>
  <c r="T221" i="16" s="1"/>
  <c r="T162" i="52"/>
  <c r="AA205" i="16"/>
  <c r="AA216" i="16"/>
  <c r="Z143" i="16"/>
  <c r="Z157" i="16"/>
  <c r="Z204" i="39"/>
  <c r="Z218" i="39"/>
  <c r="AA294" i="39"/>
  <c r="AA281" i="39"/>
  <c r="AA315" i="39"/>
  <c r="AA161" i="52"/>
  <c r="Z176" i="38"/>
  <c r="Z174" i="38" s="1"/>
  <c r="J31" i="37"/>
  <c r="Z148" i="38"/>
  <c r="J23" i="37"/>
  <c r="AA194" i="38"/>
  <c r="AB191" i="38"/>
  <c r="AC191" i="38" s="1"/>
  <c r="AD191" i="38" s="1"/>
  <c r="X190" i="38"/>
  <c r="X194" i="38"/>
  <c r="AA60" i="3"/>
  <c r="L17" i="14"/>
  <c r="Z65" i="3"/>
  <c r="Z67" i="3" s="1"/>
  <c r="Z72" i="3" s="1"/>
  <c r="Z204" i="3"/>
  <c r="Z57" i="3"/>
  <c r="Y57" i="3"/>
  <c r="AA143" i="16"/>
  <c r="AA157" i="16"/>
  <c r="AA127" i="16"/>
  <c r="J16" i="14"/>
  <c r="Z117" i="16"/>
  <c r="Z111" i="16"/>
  <c r="Z241" i="16" s="1"/>
  <c r="Y143" i="16"/>
  <c r="Y157" i="16"/>
  <c r="Y144" i="16"/>
  <c r="Y158" i="16"/>
  <c r="AB109" i="16"/>
  <c r="W55" i="77" s="1"/>
  <c r="AC109" i="16"/>
  <c r="AD109" i="16"/>
  <c r="X119" i="16"/>
  <c r="AB108" i="16"/>
  <c r="W54" i="77" s="1"/>
  <c r="AC108" i="16"/>
  <c r="AD108" i="16"/>
  <c r="X118" i="16"/>
  <c r="Y164" i="39"/>
  <c r="Y250" i="39" s="1"/>
  <c r="Y173" i="39"/>
  <c r="L9" i="37"/>
  <c r="Z175" i="39"/>
  <c r="Z242" i="39"/>
  <c r="J138" i="77" s="1"/>
  <c r="Z308" i="39"/>
  <c r="Z144" i="52"/>
  <c r="Z215" i="39"/>
  <c r="Z201" i="39"/>
  <c r="Z130" i="39"/>
  <c r="X295" i="39"/>
  <c r="Y242" i="39"/>
  <c r="X216" i="39"/>
  <c r="X202" i="39"/>
  <c r="AB117" i="3"/>
  <c r="AC118" i="3"/>
  <c r="S171" i="52"/>
  <c r="S176" i="52"/>
  <c r="S166" i="52"/>
  <c r="S215" i="52"/>
  <c r="S220" i="52" s="1"/>
  <c r="H27" i="28"/>
  <c r="S53" i="16"/>
  <c r="S15" i="3"/>
  <c r="S122" i="3" s="1"/>
  <c r="AA13" i="30"/>
  <c r="E42" i="15" s="1"/>
  <c r="F42" i="15" s="1"/>
  <c r="G42" i="15" s="1"/>
  <c r="AA211" i="30"/>
  <c r="AA141" i="30"/>
  <c r="AA153" i="30"/>
  <c r="AA161" i="30"/>
  <c r="AA175" i="30"/>
  <c r="Z96" i="29"/>
  <c r="Z190" i="30"/>
  <c r="Z81" i="52"/>
  <c r="Z153" i="30"/>
  <c r="Z141" i="30"/>
  <c r="Y79" i="30"/>
  <c r="Y134" i="30"/>
  <c r="Y162" i="30"/>
  <c r="Y176" i="30"/>
  <c r="X96" i="29"/>
  <c r="H16" i="28"/>
  <c r="X176" i="30"/>
  <c r="X162" i="30"/>
  <c r="AA100" i="29"/>
  <c r="L17" i="28"/>
  <c r="X188" i="29"/>
  <c r="X189" i="29"/>
  <c r="T219" i="16"/>
  <c r="I27" i="28"/>
  <c r="AC125" i="29"/>
  <c r="AB220" i="29"/>
  <c r="R36" i="77" l="1"/>
  <c r="J108" i="77"/>
  <c r="R31" i="77"/>
  <c r="R41" i="77" s="1"/>
  <c r="Q21" i="77"/>
  <c r="O63" i="77"/>
  <c r="J34" i="77"/>
  <c r="X269" i="16"/>
  <c r="R123" i="77"/>
  <c r="U12" i="13"/>
  <c r="W12" i="13"/>
  <c r="R107" i="77"/>
  <c r="T12" i="13"/>
  <c r="J125" i="77"/>
  <c r="S12" i="13"/>
  <c r="V12" i="13"/>
  <c r="G57" i="77"/>
  <c r="G146" i="77" s="1"/>
  <c r="S63" i="77"/>
  <c r="I57" i="77"/>
  <c r="I70" i="77" s="1"/>
  <c r="K63" i="77"/>
  <c r="G110" i="77"/>
  <c r="O117" i="77" s="1"/>
  <c r="I21" i="77"/>
  <c r="Z154" i="39"/>
  <c r="Z52" i="52" s="1"/>
  <c r="Z137" i="39"/>
  <c r="AA154" i="39"/>
  <c r="AA137" i="39"/>
  <c r="J124" i="77"/>
  <c r="J31" i="77"/>
  <c r="J41" i="77" s="1"/>
  <c r="R225" i="3"/>
  <c r="R21" i="77"/>
  <c r="J21" i="77"/>
  <c r="M21" i="77"/>
  <c r="R195" i="77"/>
  <c r="R207" i="77"/>
  <c r="R219" i="77"/>
  <c r="AC226" i="29"/>
  <c r="AC100" i="29" s="1"/>
  <c r="AC163" i="29"/>
  <c r="AD163" i="29" s="1"/>
  <c r="AA203" i="3"/>
  <c r="AA192" i="3"/>
  <c r="AA183" i="38"/>
  <c r="U19" i="36"/>
  <c r="T19" i="36"/>
  <c r="S19" i="36"/>
  <c r="V19" i="36"/>
  <c r="W19" i="36"/>
  <c r="AD139" i="3"/>
  <c r="AD138" i="3" s="1"/>
  <c r="AC138" i="3"/>
  <c r="S21" i="29"/>
  <c r="S27" i="29" s="1"/>
  <c r="S47" i="29"/>
  <c r="S12" i="27"/>
  <c r="S322" i="39"/>
  <c r="W12" i="27"/>
  <c r="S12" i="36"/>
  <c r="V12" i="27"/>
  <c r="T12" i="36"/>
  <c r="T12" i="27"/>
  <c r="U12" i="36"/>
  <c r="Y200" i="38" a="1"/>
  <c r="Y200" i="38" s="1"/>
  <c r="U12" i="27"/>
  <c r="V12" i="36"/>
  <c r="W12" i="36"/>
  <c r="Z269" i="16"/>
  <c r="AD264" i="16"/>
  <c r="AD261" i="16" s="1"/>
  <c r="AD227" i="16" s="1"/>
  <c r="AD16" i="16" s="1"/>
  <c r="AC264" i="16"/>
  <c r="AC261" i="16" s="1"/>
  <c r="AC227" i="16" s="1"/>
  <c r="AC16" i="16" s="1"/>
  <c r="Y269" i="16"/>
  <c r="F168" i="77"/>
  <c r="X210" i="38"/>
  <c r="J168" i="77"/>
  <c r="Z210" i="38"/>
  <c r="Z199" i="38" a="1"/>
  <c r="Z199" i="38" s="1"/>
  <c r="Y210" i="38"/>
  <c r="X199" i="38" a="1"/>
  <c r="X199" i="38" s="1"/>
  <c r="Z84" i="38"/>
  <c r="Z95" i="38" s="1"/>
  <c r="Y199" i="38" a="1"/>
  <c r="Y199" i="38" s="1"/>
  <c r="X200" i="38" a="1"/>
  <c r="X200" i="38" s="1"/>
  <c r="X84" i="38"/>
  <c r="Y84" i="38"/>
  <c r="Y95" i="38" s="1"/>
  <c r="Z200" i="38" a="1"/>
  <c r="Z200" i="38" s="1"/>
  <c r="R219" i="29"/>
  <c r="R127" i="29"/>
  <c r="AA200" i="29"/>
  <c r="X200" i="29"/>
  <c r="X21" i="29"/>
  <c r="X27" i="29" s="1"/>
  <c r="X32" i="29" s="1"/>
  <c r="Z194" i="29"/>
  <c r="Z21" i="29"/>
  <c r="Z27" i="29" s="1"/>
  <c r="Z32" i="29" s="1"/>
  <c r="S147" i="77"/>
  <c r="S153" i="77" s="1"/>
  <c r="H30" i="37"/>
  <c r="H32" i="37" s="1"/>
  <c r="R213" i="77"/>
  <c r="R201" i="77"/>
  <c r="S213" i="77"/>
  <c r="S201" i="77"/>
  <c r="S189" i="77"/>
  <c r="X178" i="16"/>
  <c r="X187" i="16"/>
  <c r="Z201" i="30"/>
  <c r="Y201" i="30"/>
  <c r="AB187" i="30"/>
  <c r="AB185" i="30" s="1"/>
  <c r="AA201" i="30"/>
  <c r="X191" i="30"/>
  <c r="X201" i="30"/>
  <c r="X206" i="16"/>
  <c r="AC213" i="16"/>
  <c r="AC219" i="16" s="1"/>
  <c r="AA188" i="3"/>
  <c r="AA219" i="3"/>
  <c r="K101" i="77"/>
  <c r="AB227" i="16"/>
  <c r="AB16" i="16" s="1"/>
  <c r="AB267" i="16"/>
  <c r="G14" i="77"/>
  <c r="K23" i="77"/>
  <c r="F57" i="15"/>
  <c r="E62" i="15"/>
  <c r="F62" i="15" s="1"/>
  <c r="G62" i="15" s="1"/>
  <c r="AA46" i="30"/>
  <c r="AA180" i="30"/>
  <c r="X48" i="30"/>
  <c r="X180" i="30"/>
  <c r="Y46" i="30"/>
  <c r="Y180" i="30"/>
  <c r="Z48" i="30"/>
  <c r="Z180" i="30"/>
  <c r="M62" i="77"/>
  <c r="Q62" i="77"/>
  <c r="Y261" i="30"/>
  <c r="Y124" i="30"/>
  <c r="Y125" i="30"/>
  <c r="Y127" i="30"/>
  <c r="AA124" i="30"/>
  <c r="AA125" i="30"/>
  <c r="AA127" i="30"/>
  <c r="Q93" i="77"/>
  <c r="Q100" i="77" s="1"/>
  <c r="Y126" i="30"/>
  <c r="E57" i="77"/>
  <c r="E68" i="77" s="1"/>
  <c r="Q57" i="77"/>
  <c r="Q139" i="77" s="1"/>
  <c r="E109" i="77"/>
  <c r="M116" i="77" s="1"/>
  <c r="I62" i="77"/>
  <c r="AA126" i="30"/>
  <c r="U55" i="77"/>
  <c r="U62" i="77" s="1"/>
  <c r="X258" i="30"/>
  <c r="AD258" i="30" s="1"/>
  <c r="X124" i="30"/>
  <c r="X125" i="30"/>
  <c r="X127" i="30"/>
  <c r="X126" i="30"/>
  <c r="Z262" i="30"/>
  <c r="Z124" i="30"/>
  <c r="Z125" i="30"/>
  <c r="Z127" i="30"/>
  <c r="I109" i="77"/>
  <c r="Z126" i="30"/>
  <c r="K139" i="77"/>
  <c r="E43" i="77"/>
  <c r="I132" i="77"/>
  <c r="S116" i="77"/>
  <c r="J107" i="77"/>
  <c r="J63" i="77"/>
  <c r="F110" i="77"/>
  <c r="N117" i="77" s="1"/>
  <c r="R108" i="77"/>
  <c r="R109" i="77"/>
  <c r="R63" i="77"/>
  <c r="F94" i="77"/>
  <c r="N101" i="77" s="1"/>
  <c r="F91" i="77"/>
  <c r="N98" i="77" s="1"/>
  <c r="R91" i="77"/>
  <c r="F107" i="77"/>
  <c r="N114" i="77" s="1"/>
  <c r="R60" i="77"/>
  <c r="J60" i="77"/>
  <c r="R94" i="77"/>
  <c r="J61" i="77"/>
  <c r="F92" i="77"/>
  <c r="N99" i="77" s="1"/>
  <c r="F108" i="77"/>
  <c r="N115" i="77" s="1"/>
  <c r="F109" i="77"/>
  <c r="N116" i="77" s="1"/>
  <c r="Z168" i="39"/>
  <c r="J62" i="77"/>
  <c r="F93" i="77"/>
  <c r="N100" i="77" s="1"/>
  <c r="AA168" i="39"/>
  <c r="X168" i="39"/>
  <c r="Z170" i="39"/>
  <c r="Y169" i="39"/>
  <c r="F57" i="77"/>
  <c r="F69" i="77" s="1"/>
  <c r="J92" i="77"/>
  <c r="R61" i="77"/>
  <c r="J109" i="77"/>
  <c r="AA167" i="39"/>
  <c r="AA170" i="39"/>
  <c r="Y167" i="39"/>
  <c r="V55" i="77"/>
  <c r="V62" i="77" s="1"/>
  <c r="R62" i="77"/>
  <c r="Z169" i="39"/>
  <c r="X169" i="39"/>
  <c r="R57" i="77"/>
  <c r="R67" i="77" s="1"/>
  <c r="Y168" i="39"/>
  <c r="Y170" i="39"/>
  <c r="V56" i="77"/>
  <c r="V63" i="77" s="1"/>
  <c r="X170" i="39"/>
  <c r="AA169" i="39"/>
  <c r="Z167" i="39"/>
  <c r="V54" i="77"/>
  <c r="V61" i="77" s="1"/>
  <c r="V53" i="77"/>
  <c r="V60" i="77" s="1"/>
  <c r="X167" i="39"/>
  <c r="Z225" i="39"/>
  <c r="AF309" i="39"/>
  <c r="AG310" i="39" s="1"/>
  <c r="R147" i="77"/>
  <c r="R153" i="77" s="1"/>
  <c r="K149" i="77"/>
  <c r="G149" i="77"/>
  <c r="O154" i="77" s="1"/>
  <c r="K68" i="77"/>
  <c r="S149" i="77"/>
  <c r="K70" i="77"/>
  <c r="G139" i="77"/>
  <c r="O152" i="77"/>
  <c r="K98" i="77"/>
  <c r="Q130" i="77"/>
  <c r="S101" i="77"/>
  <c r="I100" i="77"/>
  <c r="S98" i="77"/>
  <c r="K67" i="77"/>
  <c r="S43" i="77"/>
  <c r="R110" i="77"/>
  <c r="I99" i="77"/>
  <c r="I98" i="77"/>
  <c r="E42" i="77"/>
  <c r="J131" i="77"/>
  <c r="K116" i="77"/>
  <c r="E44" i="77"/>
  <c r="Q101" i="77"/>
  <c r="G67" i="77"/>
  <c r="J57" i="77"/>
  <c r="J67" i="77" s="1"/>
  <c r="J94" i="77"/>
  <c r="S42" i="77"/>
  <c r="I101" i="77"/>
  <c r="K130" i="77"/>
  <c r="G68" i="77"/>
  <c r="G69" i="77"/>
  <c r="Q43" i="77"/>
  <c r="S133" i="77"/>
  <c r="Q131" i="77"/>
  <c r="S67" i="77"/>
  <c r="I69" i="77"/>
  <c r="K133" i="77"/>
  <c r="J153" i="77"/>
  <c r="J110" i="77"/>
  <c r="K114" i="77"/>
  <c r="S99" i="77"/>
  <c r="I114" i="77"/>
  <c r="S70" i="77"/>
  <c r="I67" i="77"/>
  <c r="G95" i="77"/>
  <c r="O102" i="77" s="1"/>
  <c r="I38" i="77"/>
  <c r="I111" i="77"/>
  <c r="I127" i="77"/>
  <c r="Q86" i="77"/>
  <c r="Z256" i="39"/>
  <c r="AB152" i="30"/>
  <c r="U78" i="77" s="1"/>
  <c r="U85" i="77" s="1"/>
  <c r="U56" i="77"/>
  <c r="X209" i="38"/>
  <c r="F167" i="77"/>
  <c r="I43" i="77"/>
  <c r="R133" i="77"/>
  <c r="I86" i="77"/>
  <c r="I95" i="77"/>
  <c r="S69" i="77"/>
  <c r="E127" i="77"/>
  <c r="M134" i="77" s="1"/>
  <c r="K100" i="77"/>
  <c r="I130" i="77"/>
  <c r="K99" i="77"/>
  <c r="AA260" i="30"/>
  <c r="O64" i="77"/>
  <c r="Q41" i="77"/>
  <c r="G41" i="77"/>
  <c r="G127" i="77"/>
  <c r="O134" i="77" s="1"/>
  <c r="G111" i="77"/>
  <c r="O118" i="77" s="1"/>
  <c r="K111" i="77"/>
  <c r="K38" i="77"/>
  <c r="K127" i="77"/>
  <c r="Q132" i="77"/>
  <c r="O38" i="77"/>
  <c r="S41" i="77"/>
  <c r="K43" i="77"/>
  <c r="K42" i="77"/>
  <c r="S100" i="77"/>
  <c r="J132" i="77"/>
  <c r="J167" i="77"/>
  <c r="Q99" i="77"/>
  <c r="I42" i="77"/>
  <c r="I44" i="77"/>
  <c r="Q133" i="77"/>
  <c r="G70" i="77"/>
  <c r="U61" i="77"/>
  <c r="Q114" i="77"/>
  <c r="S132" i="77"/>
  <c r="S115" i="77"/>
  <c r="S146" i="77"/>
  <c r="S152" i="77" s="1"/>
  <c r="S64" i="77"/>
  <c r="G44" i="77"/>
  <c r="S114" i="77"/>
  <c r="K132" i="77"/>
  <c r="K115" i="77"/>
  <c r="I133" i="77"/>
  <c r="M38" i="77"/>
  <c r="Q117" i="77"/>
  <c r="K44" i="77"/>
  <c r="S86" i="77"/>
  <c r="S95" i="77"/>
  <c r="W61" i="77"/>
  <c r="W57" i="77"/>
  <c r="W67" i="77" s="1"/>
  <c r="W60" i="77"/>
  <c r="Q127" i="77"/>
  <c r="Q38" i="77"/>
  <c r="K95" i="77"/>
  <c r="K86" i="77"/>
  <c r="S127" i="77"/>
  <c r="S38" i="77"/>
  <c r="S111" i="77"/>
  <c r="I131" i="77"/>
  <c r="K131" i="77"/>
  <c r="I41" i="77"/>
  <c r="Q42" i="77"/>
  <c r="W62" i="77"/>
  <c r="U60" i="77"/>
  <c r="W63" i="77"/>
  <c r="AD152" i="30"/>
  <c r="K41" i="77"/>
  <c r="R132" i="77"/>
  <c r="G42" i="77"/>
  <c r="S131" i="77"/>
  <c r="S130" i="77"/>
  <c r="I115" i="77"/>
  <c r="I117" i="77"/>
  <c r="Q98" i="77"/>
  <c r="J133" i="77"/>
  <c r="Q115" i="77"/>
  <c r="K64" i="77"/>
  <c r="K146" i="77"/>
  <c r="K152" i="77" s="1"/>
  <c r="J86" i="77"/>
  <c r="AA172" i="29"/>
  <c r="Q215" i="77"/>
  <c r="Z187" i="52"/>
  <c r="Z202" i="52" s="1"/>
  <c r="I138" i="77"/>
  <c r="I139" i="77" s="1"/>
  <c r="AD157" i="3"/>
  <c r="AD156" i="3" s="1"/>
  <c r="AC156" i="3"/>
  <c r="Q142" i="77"/>
  <c r="Q147" i="77" s="1"/>
  <c r="Q153" i="77" s="1"/>
  <c r="F43" i="77"/>
  <c r="F42" i="77"/>
  <c r="F127" i="77"/>
  <c r="N134" i="77" s="1"/>
  <c r="F44" i="77"/>
  <c r="N38" i="77"/>
  <c r="J130" i="77"/>
  <c r="R38" i="77"/>
  <c r="R43" i="77"/>
  <c r="R44" i="77"/>
  <c r="R42" i="77"/>
  <c r="R130" i="77"/>
  <c r="F41" i="77"/>
  <c r="Q191" i="77"/>
  <c r="Q203" i="77"/>
  <c r="I153" i="77"/>
  <c r="M153" i="77"/>
  <c r="K153" i="77"/>
  <c r="O153" i="77"/>
  <c r="I143" i="77"/>
  <c r="R17" i="77"/>
  <c r="R143" i="77"/>
  <c r="Q18" i="77"/>
  <c r="AC69" i="3"/>
  <c r="AB25" i="16"/>
  <c r="Y90" i="29"/>
  <c r="E19" i="77"/>
  <c r="I18" i="77"/>
  <c r="E17" i="77"/>
  <c r="I17" i="77"/>
  <c r="I19" i="77"/>
  <c r="X187" i="52"/>
  <c r="Y192" i="52" s="1"/>
  <c r="Q19" i="77"/>
  <c r="Q17" i="77"/>
  <c r="E143" i="77"/>
  <c r="F19" i="77"/>
  <c r="F143" i="77"/>
  <c r="J19" i="77"/>
  <c r="J143" i="77"/>
  <c r="K18" i="77"/>
  <c r="K143" i="77"/>
  <c r="J18" i="77"/>
  <c r="K17" i="77"/>
  <c r="AA244" i="16"/>
  <c r="K19" i="77"/>
  <c r="R18" i="77"/>
  <c r="Z222" i="39"/>
  <c r="F17" i="77"/>
  <c r="J17" i="77"/>
  <c r="F18" i="77"/>
  <c r="R19" i="77"/>
  <c r="X101" i="39"/>
  <c r="X105" i="39" s="1"/>
  <c r="AA107" i="39" s="1"/>
  <c r="Z101" i="39"/>
  <c r="Z105" i="39" s="1"/>
  <c r="AA256" i="39"/>
  <c r="AA114" i="39"/>
  <c r="AA110" i="39"/>
  <c r="X252" i="39"/>
  <c r="AC252" i="39" s="1"/>
  <c r="AA155" i="39"/>
  <c r="AA54" i="52" s="1"/>
  <c r="AA251" i="39"/>
  <c r="Y21" i="30"/>
  <c r="Y25" i="30" s="1"/>
  <c r="Z178" i="16"/>
  <c r="X201" i="16"/>
  <c r="Z70" i="16"/>
  <c r="Z183" i="16"/>
  <c r="Y74" i="16"/>
  <c r="Y183" i="16"/>
  <c r="X54" i="16"/>
  <c r="X183" i="16"/>
  <c r="AD134" i="16"/>
  <c r="X103" i="16"/>
  <c r="X59" i="52" s="1"/>
  <c r="Z104" i="16"/>
  <c r="Z61" i="52" s="1"/>
  <c r="AA104" i="16"/>
  <c r="AA61" i="52" s="1"/>
  <c r="Y101" i="16"/>
  <c r="Y58" i="52" s="1"/>
  <c r="AD213" i="16"/>
  <c r="AD219" i="16" s="1"/>
  <c r="Y164" i="16"/>
  <c r="AA246" i="39"/>
  <c r="Z124" i="38"/>
  <c r="Z135" i="38" s="1"/>
  <c r="J27" i="37" s="1"/>
  <c r="AA111" i="39"/>
  <c r="AA156" i="39"/>
  <c r="AA53" i="52" s="1"/>
  <c r="V11" i="28"/>
  <c r="E27" i="15"/>
  <c r="Z224" i="39"/>
  <c r="Y246" i="39"/>
  <c r="Y251" i="39"/>
  <c r="Z211" i="39"/>
  <c r="Y211" i="39"/>
  <c r="AA165" i="16"/>
  <c r="Z210" i="39"/>
  <c r="AA210" i="39"/>
  <c r="Z98" i="38"/>
  <c r="Z63" i="39"/>
  <c r="AA149" i="16"/>
  <c r="Z208" i="39"/>
  <c r="Z79" i="39"/>
  <c r="Y48" i="30"/>
  <c r="Z111" i="39"/>
  <c r="Z114" i="39"/>
  <c r="Z112" i="39"/>
  <c r="X155" i="39"/>
  <c r="Z249" i="39"/>
  <c r="Z264" i="39" s="1"/>
  <c r="Y223" i="39"/>
  <c r="Z247" i="39"/>
  <c r="Z181" i="16"/>
  <c r="Y209" i="39"/>
  <c r="AA250" i="39"/>
  <c r="Z250" i="39"/>
  <c r="AQ255" i="3"/>
  <c r="AR252" i="3"/>
  <c r="AR253" i="3" s="1"/>
  <c r="AR255" i="3" s="1"/>
  <c r="Z252" i="39"/>
  <c r="Z251" i="39"/>
  <c r="AA248" i="39"/>
  <c r="Z255" i="39"/>
  <c r="S224" i="16"/>
  <c r="Z246" i="39"/>
  <c r="Z248" i="39"/>
  <c r="Y79" i="39"/>
  <c r="AA68" i="39"/>
  <c r="J32" i="37"/>
  <c r="Y105" i="38"/>
  <c r="I32" i="37"/>
  <c r="AA209" i="38"/>
  <c r="Y124" i="38"/>
  <c r="Y135" i="38" s="1"/>
  <c r="AA62" i="39"/>
  <c r="Z65" i="39"/>
  <c r="Z75" i="39"/>
  <c r="AA63" i="39"/>
  <c r="X100" i="38"/>
  <c r="AA103" i="38"/>
  <c r="Z103" i="38"/>
  <c r="Z161" i="38"/>
  <c r="Z168" i="38" s="1"/>
  <c r="AA53" i="39"/>
  <c r="Z72" i="39"/>
  <c r="AA64" i="39"/>
  <c r="Y58" i="39"/>
  <c r="AA100" i="38"/>
  <c r="Z261" i="38"/>
  <c r="Z60" i="39"/>
  <c r="Y68" i="39"/>
  <c r="AA72" i="39"/>
  <c r="Z68" i="39"/>
  <c r="Z105" i="38"/>
  <c r="Y60" i="38"/>
  <c r="Y45" i="39" s="1"/>
  <c r="X104" i="38"/>
  <c r="Z57" i="39"/>
  <c r="X105" i="38"/>
  <c r="X98" i="38"/>
  <c r="X61" i="39"/>
  <c r="X79" i="39"/>
  <c r="AA243" i="16"/>
  <c r="AB213" i="16"/>
  <c r="AB219" i="16" s="1"/>
  <c r="X127" i="52"/>
  <c r="X140" i="52" s="1"/>
  <c r="X202" i="16"/>
  <c r="AA242" i="16"/>
  <c r="AA245" i="16"/>
  <c r="AA128" i="16"/>
  <c r="AC133" i="16"/>
  <c r="AA103" i="16"/>
  <c r="AA59" i="52" s="1"/>
  <c r="Z103" i="16"/>
  <c r="Z59" i="52" s="1"/>
  <c r="AA102" i="16"/>
  <c r="Y49" i="16"/>
  <c r="AC134" i="16"/>
  <c r="Z193" i="29"/>
  <c r="Y47" i="30"/>
  <c r="X47" i="30"/>
  <c r="Z46" i="30"/>
  <c r="X46" i="30"/>
  <c r="X257" i="30"/>
  <c r="AC257" i="30" s="1"/>
  <c r="AA49" i="30"/>
  <c r="Y63" i="30"/>
  <c r="Y49" i="30"/>
  <c r="AA47" i="30"/>
  <c r="AA189" i="30" s="1"/>
  <c r="X55" i="30"/>
  <c r="X49" i="30"/>
  <c r="Z52" i="30"/>
  <c r="Z49" i="30"/>
  <c r="AA48" i="30"/>
  <c r="X260" i="30"/>
  <c r="AD260" i="30" s="1"/>
  <c r="Z47" i="30"/>
  <c r="X54" i="29"/>
  <c r="X253" i="30" s="1"/>
  <c r="AA256" i="30"/>
  <c r="Z191" i="30"/>
  <c r="X256" i="30"/>
  <c r="X267" i="30" s="1"/>
  <c r="X261" i="30"/>
  <c r="AD261" i="30" s="1"/>
  <c r="X259" i="30"/>
  <c r="AD259" i="30" s="1"/>
  <c r="X263" i="30"/>
  <c r="X274" i="30" s="1"/>
  <c r="Z260" i="30"/>
  <c r="X262" i="30"/>
  <c r="AA187" i="29"/>
  <c r="AB187" i="29" s="1"/>
  <c r="Y257" i="30"/>
  <c r="AA145" i="30"/>
  <c r="AA258" i="30"/>
  <c r="AA194" i="29"/>
  <c r="AB194" i="29" s="1"/>
  <c r="AC194" i="29" s="1"/>
  <c r="AA257" i="30"/>
  <c r="Y260" i="30"/>
  <c r="Y258" i="30"/>
  <c r="AA198" i="30"/>
  <c r="AB198" i="30" s="1"/>
  <c r="AC198" i="30" s="1"/>
  <c r="AD198" i="30" s="1"/>
  <c r="Y60" i="30"/>
  <c r="Y52" i="30"/>
  <c r="R218" i="29"/>
  <c r="V30" i="28"/>
  <c r="V32" i="28" s="1"/>
  <c r="AA170" i="30"/>
  <c r="AA168" i="30"/>
  <c r="Z200" i="29"/>
  <c r="Z112" i="30"/>
  <c r="Z47" i="52" s="1"/>
  <c r="X112" i="30"/>
  <c r="Y55" i="30"/>
  <c r="AA111" i="30"/>
  <c r="Y53" i="30"/>
  <c r="Y66" i="30"/>
  <c r="X197" i="30"/>
  <c r="Z256" i="30"/>
  <c r="AA110" i="30"/>
  <c r="Y59" i="30"/>
  <c r="Z198" i="30"/>
  <c r="Y54" i="30"/>
  <c r="Y71" i="30"/>
  <c r="Y68" i="30"/>
  <c r="Y67" i="30"/>
  <c r="Z263" i="30"/>
  <c r="Z257" i="30"/>
  <c r="Y51" i="30"/>
  <c r="I7" i="28"/>
  <c r="I39" i="28" s="1"/>
  <c r="G46" i="27" s="1"/>
  <c r="Y178" i="16"/>
  <c r="Y104" i="16"/>
  <c r="S241" i="30"/>
  <c r="Y56" i="30"/>
  <c r="AA53" i="30"/>
  <c r="AA90" i="29"/>
  <c r="Z63" i="30"/>
  <c r="X54" i="30"/>
  <c r="AA191" i="30"/>
  <c r="Y191" i="30"/>
  <c r="Z90" i="29"/>
  <c r="Z195" i="29"/>
  <c r="Z187" i="29"/>
  <c r="Z190" i="29" s="1"/>
  <c r="X71" i="30"/>
  <c r="Z172" i="29"/>
  <c r="Y252" i="29"/>
  <c r="Y4" i="29" s="1"/>
  <c r="Y253" i="30"/>
  <c r="Z253" i="30"/>
  <c r="Y236" i="16"/>
  <c r="AA209" i="3"/>
  <c r="AA210" i="3"/>
  <c r="Y151" i="16"/>
  <c r="AD132" i="16"/>
  <c r="X242" i="16"/>
  <c r="X253" i="16" s="1"/>
  <c r="X204" i="52"/>
  <c r="AB134" i="16"/>
  <c r="W78" i="77" s="1"/>
  <c r="AB132" i="16"/>
  <c r="W76" i="77" s="1"/>
  <c r="Y244" i="16"/>
  <c r="Y242" i="16"/>
  <c r="X240" i="16"/>
  <c r="Z236" i="16"/>
  <c r="Z54" i="16"/>
  <c r="Y103" i="16"/>
  <c r="Y59" i="52" s="1"/>
  <c r="Z55" i="16"/>
  <c r="Z74" i="16"/>
  <c r="Z48" i="16"/>
  <c r="Y50" i="16"/>
  <c r="Y66" i="16"/>
  <c r="Y58" i="16"/>
  <c r="Y56" i="16"/>
  <c r="Y55" i="16"/>
  <c r="Y62" i="16"/>
  <c r="Y70" i="16"/>
  <c r="Y69" i="16"/>
  <c r="X53" i="16"/>
  <c r="X74" i="16"/>
  <c r="Z58" i="16"/>
  <c r="X70" i="16"/>
  <c r="X50" i="16"/>
  <c r="X62" i="16"/>
  <c r="X59" i="16"/>
  <c r="Z50" i="16"/>
  <c r="X49" i="16"/>
  <c r="X66" i="16"/>
  <c r="X101" i="16"/>
  <c r="X58" i="52" s="1"/>
  <c r="X57" i="16"/>
  <c r="X48" i="16"/>
  <c r="I21" i="14"/>
  <c r="X194" i="29"/>
  <c r="X193" i="29"/>
  <c r="Y112" i="30"/>
  <c r="Y163" i="16"/>
  <c r="X251" i="39"/>
  <c r="AD133" i="16"/>
  <c r="Y57" i="39"/>
  <c r="Z59" i="16"/>
  <c r="AA208" i="39"/>
  <c r="X172" i="29"/>
  <c r="Z102" i="16"/>
  <c r="Y261" i="38"/>
  <c r="Y245" i="16"/>
  <c r="Z100" i="38"/>
  <c r="X253" i="39"/>
  <c r="X268" i="39" s="1"/>
  <c r="X66" i="30"/>
  <c r="Y61" i="39"/>
  <c r="X255" i="39"/>
  <c r="AD255" i="39" s="1"/>
  <c r="Z163" i="16"/>
  <c r="Y113" i="30"/>
  <c r="Y49" i="52" s="1"/>
  <c r="X256" i="39"/>
  <c r="X271" i="39" s="1"/>
  <c r="J21" i="28"/>
  <c r="AA224" i="39"/>
  <c r="Y208" i="39"/>
  <c r="X110" i="39"/>
  <c r="Z57" i="16"/>
  <c r="X187" i="29"/>
  <c r="X190" i="29" s="1"/>
  <c r="Z113" i="30"/>
  <c r="Z49" i="52" s="1"/>
  <c r="Y54" i="39"/>
  <c r="AA98" i="38"/>
  <c r="AA13" i="38"/>
  <c r="AA198" i="38" s="1"/>
  <c r="AA261" i="38"/>
  <c r="X52" i="30"/>
  <c r="X111" i="39"/>
  <c r="Y60" i="39"/>
  <c r="Z245" i="16"/>
  <c r="X195" i="29"/>
  <c r="R54" i="29"/>
  <c r="R253" i="30" s="1"/>
  <c r="X250" i="39"/>
  <c r="Y265" i="39" s="1"/>
  <c r="Y78" i="39"/>
  <c r="X53" i="30"/>
  <c r="Y59" i="39"/>
  <c r="Y170" i="30"/>
  <c r="Z71" i="16"/>
  <c r="Y99" i="38"/>
  <c r="AA193" i="29"/>
  <c r="AB193" i="29" s="1"/>
  <c r="AC193" i="29" s="1"/>
  <c r="AD193" i="29" s="1"/>
  <c r="AA195" i="29"/>
  <c r="AB195" i="29" s="1"/>
  <c r="AC195" i="29" s="1"/>
  <c r="AD195" i="29" s="1"/>
  <c r="AA99" i="38"/>
  <c r="X68" i="30"/>
  <c r="T222" i="16"/>
  <c r="T223" i="16" s="1"/>
  <c r="X58" i="39"/>
  <c r="Y239" i="16"/>
  <c r="Y250" i="16" s="1"/>
  <c r="X114" i="39"/>
  <c r="X154" i="39"/>
  <c r="X52" i="52" s="1"/>
  <c r="Y69" i="39"/>
  <c r="Y83" i="39"/>
  <c r="Z254" i="39"/>
  <c r="Z49" i="16"/>
  <c r="Z170" i="30"/>
  <c r="Y54" i="16"/>
  <c r="AA102" i="38"/>
  <c r="Y102" i="38"/>
  <c r="AA239" i="16"/>
  <c r="AA163" i="16"/>
  <c r="X246" i="39"/>
  <c r="Y80" i="39"/>
  <c r="Z62" i="16"/>
  <c r="Y241" i="16"/>
  <c r="Z110" i="30"/>
  <c r="Z46" i="52" s="1"/>
  <c r="AA249" i="39"/>
  <c r="AA264" i="39" s="1"/>
  <c r="Y53" i="16"/>
  <c r="Z101" i="16"/>
  <c r="Z58" i="52" s="1"/>
  <c r="Y48" i="16"/>
  <c r="Z60" i="38"/>
  <c r="Z45" i="39" s="1"/>
  <c r="AA150" i="16"/>
  <c r="Y240" i="16"/>
  <c r="X254" i="39"/>
  <c r="X269" i="39" s="1"/>
  <c r="Y225" i="39"/>
  <c r="AA249" i="29"/>
  <c r="Z252" i="29"/>
  <c r="Z4" i="29" s="1"/>
  <c r="X55" i="52"/>
  <c r="Z48" i="52"/>
  <c r="X48" i="52"/>
  <c r="AB239" i="16"/>
  <c r="X250" i="16"/>
  <c r="AC239" i="16"/>
  <c r="AD239" i="16"/>
  <c r="Y48" i="52"/>
  <c r="AB249" i="39"/>
  <c r="AC249" i="39"/>
  <c r="AD249" i="39"/>
  <c r="X264" i="39"/>
  <c r="AA49" i="52"/>
  <c r="AB149" i="30"/>
  <c r="U75" i="77" s="1"/>
  <c r="U9" i="27"/>
  <c r="L7" i="28"/>
  <c r="L36" i="28" s="1"/>
  <c r="T9" i="27"/>
  <c r="S9" i="27"/>
  <c r="V9" i="27"/>
  <c r="W9" i="27"/>
  <c r="E12" i="15"/>
  <c r="S181" i="52"/>
  <c r="S225" i="52"/>
  <c r="Z156" i="30"/>
  <c r="Z145" i="30"/>
  <c r="AA63" i="30"/>
  <c r="S70" i="3"/>
  <c r="X65" i="39"/>
  <c r="Z114" i="16"/>
  <c r="Z121" i="16"/>
  <c r="Z87" i="16" s="1"/>
  <c r="Z93" i="16" s="1"/>
  <c r="Z214" i="16"/>
  <c r="Z220" i="16" s="1"/>
  <c r="Z209" i="16"/>
  <c r="Z66" i="30"/>
  <c r="X83" i="39"/>
  <c r="AC123" i="38"/>
  <c r="X110" i="30"/>
  <c r="AB161" i="30"/>
  <c r="AD161" i="30"/>
  <c r="AC161" i="30"/>
  <c r="Y155" i="52"/>
  <c r="Y150" i="52"/>
  <c r="T171" i="52"/>
  <c r="T176" i="52"/>
  <c r="T166" i="52"/>
  <c r="T215" i="52"/>
  <c r="T220" i="52" s="1"/>
  <c r="AA77" i="52"/>
  <c r="AA72" i="52"/>
  <c r="Z78" i="52"/>
  <c r="Z73" i="52"/>
  <c r="Y26" i="52"/>
  <c r="Y93" i="52"/>
  <c r="X177" i="52"/>
  <c r="X72" i="39"/>
  <c r="Z156" i="39"/>
  <c r="Z139" i="52"/>
  <c r="Z134" i="52"/>
  <c r="AA223" i="39"/>
  <c r="X22" i="16"/>
  <c r="X51" i="16"/>
  <c r="H7" i="14"/>
  <c r="Z69" i="16"/>
  <c r="Y156" i="30"/>
  <c r="Y145" i="30"/>
  <c r="Z217" i="30"/>
  <c r="Z230" i="30"/>
  <c r="Z216" i="30"/>
  <c r="Z125" i="52"/>
  <c r="AA259" i="30"/>
  <c r="AB103" i="39"/>
  <c r="AB118" i="39"/>
  <c r="AB57" i="38"/>
  <c r="B21" i="61"/>
  <c r="A20" i="61"/>
  <c r="X241" i="16"/>
  <c r="Z252" i="16" s="1"/>
  <c r="AD145" i="29"/>
  <c r="AD130" i="3"/>
  <c r="X184" i="39"/>
  <c r="X198" i="39"/>
  <c r="Y168" i="30"/>
  <c r="Z167" i="30"/>
  <c r="AA60" i="30"/>
  <c r="AA263" i="30"/>
  <c r="AC296" i="39"/>
  <c r="AB298" i="39"/>
  <c r="AB203" i="39"/>
  <c r="AC203" i="39"/>
  <c r="AD203" i="39"/>
  <c r="X210" i="39"/>
  <c r="AB164" i="39"/>
  <c r="AB170" i="39" s="1"/>
  <c r="Y24" i="39"/>
  <c r="Y55" i="39"/>
  <c r="I7" i="37"/>
  <c r="I36" i="37" s="1"/>
  <c r="AA80" i="39"/>
  <c r="S180" i="52"/>
  <c r="S224" i="52"/>
  <c r="AA61" i="39"/>
  <c r="Y202" i="52"/>
  <c r="Z71" i="30"/>
  <c r="AB189" i="39"/>
  <c r="V77" i="77" s="1"/>
  <c r="AC189" i="39"/>
  <c r="AD189" i="39"/>
  <c r="X128" i="16"/>
  <c r="X138" i="16"/>
  <c r="X244" i="16"/>
  <c r="AA164" i="16"/>
  <c r="Z104" i="38"/>
  <c r="Z99" i="38"/>
  <c r="Z107" i="38"/>
  <c r="Z68" i="38"/>
  <c r="X251" i="38"/>
  <c r="H20" i="37"/>
  <c r="Y13" i="38"/>
  <c r="Y198" i="38" s="1"/>
  <c r="X179" i="38"/>
  <c r="X103" i="38"/>
  <c r="X135" i="38"/>
  <c r="X60" i="30"/>
  <c r="Y262" i="30"/>
  <c r="AA197" i="30"/>
  <c r="AB197" i="30" s="1"/>
  <c r="AC197" i="30" s="1"/>
  <c r="AD197" i="30" s="1"/>
  <c r="AA112" i="30"/>
  <c r="Y65" i="39"/>
  <c r="Z223" i="39"/>
  <c r="Z78" i="39"/>
  <c r="AA252" i="39"/>
  <c r="Z151" i="16"/>
  <c r="Z85" i="52"/>
  <c r="Z89" i="52"/>
  <c r="X69" i="39"/>
  <c r="Y305" i="39"/>
  <c r="Y177" i="39"/>
  <c r="AA290" i="39"/>
  <c r="AA298" i="39"/>
  <c r="AA312" i="39"/>
  <c r="AA201" i="16"/>
  <c r="AA213" i="16"/>
  <c r="AA127" i="52"/>
  <c r="AA135" i="52" s="1"/>
  <c r="X21" i="30"/>
  <c r="H7" i="28"/>
  <c r="H39" i="28" s="1"/>
  <c r="F46" i="27" s="1"/>
  <c r="Y54" i="52"/>
  <c r="Y22" i="3"/>
  <c r="Y203" i="3"/>
  <c r="Y192" i="3"/>
  <c r="Y209" i="3"/>
  <c r="Y210" i="3"/>
  <c r="AB129" i="38"/>
  <c r="AC130" i="38"/>
  <c r="Z59" i="30"/>
  <c r="AB160" i="30"/>
  <c r="AC160" i="30"/>
  <c r="AD160" i="30"/>
  <c r="S182" i="52"/>
  <c r="AA76" i="52"/>
  <c r="AA71" i="52"/>
  <c r="Z204" i="52"/>
  <c r="Z199" i="52"/>
  <c r="Z194" i="52"/>
  <c r="Y77" i="52"/>
  <c r="Y72" i="52"/>
  <c r="X28" i="52"/>
  <c r="X95" i="52"/>
  <c r="AA60" i="39"/>
  <c r="Z290" i="39"/>
  <c r="AD294" i="39" s="1"/>
  <c r="Z298" i="39"/>
  <c r="Z291" i="39"/>
  <c r="Z312" i="39"/>
  <c r="AA162" i="16"/>
  <c r="S25" i="30"/>
  <c r="S57" i="30"/>
  <c r="Y148" i="38"/>
  <c r="I23" i="37"/>
  <c r="I46" i="37" s="1"/>
  <c r="G53" i="36" s="1"/>
  <c r="X156" i="30"/>
  <c r="X145" i="30"/>
  <c r="AA58" i="39"/>
  <c r="Z63" i="16"/>
  <c r="Y145" i="16"/>
  <c r="Y188" i="16" s="1"/>
  <c r="Y189" i="16" s="1"/>
  <c r="Y159" i="16"/>
  <c r="Z178" i="30"/>
  <c r="Z164" i="30"/>
  <c r="Z202" i="30" s="1"/>
  <c r="Z53" i="30"/>
  <c r="AD164" i="3"/>
  <c r="Y254" i="39"/>
  <c r="X156" i="39"/>
  <c r="Z305" i="39"/>
  <c r="Z177" i="39"/>
  <c r="AB144" i="16"/>
  <c r="AC144" i="16"/>
  <c r="X151" i="16"/>
  <c r="AD144" i="16"/>
  <c r="Y259" i="30"/>
  <c r="Y114" i="16"/>
  <c r="Y121" i="16"/>
  <c r="Y87" i="16" s="1"/>
  <c r="Y93" i="16" s="1"/>
  <c r="Y209" i="16"/>
  <c r="Y214" i="16"/>
  <c r="Y220" i="16" s="1"/>
  <c r="Y85" i="52"/>
  <c r="Y89" i="52"/>
  <c r="Z168" i="30"/>
  <c r="AB131" i="16"/>
  <c r="W75" i="77" s="1"/>
  <c r="AC131" i="16"/>
  <c r="AD131" i="16"/>
  <c r="Y243" i="16"/>
  <c r="AA151" i="16"/>
  <c r="AA105" i="38"/>
  <c r="Y104" i="38"/>
  <c r="X67" i="38"/>
  <c r="X106" i="38"/>
  <c r="X99" i="38"/>
  <c r="X68" i="39"/>
  <c r="Z66" i="16"/>
  <c r="Y263" i="30"/>
  <c r="AA54" i="30"/>
  <c r="X112" i="39"/>
  <c r="Z209" i="39"/>
  <c r="Y63" i="16"/>
  <c r="Z240" i="16"/>
  <c r="X56" i="16"/>
  <c r="Y257" i="39"/>
  <c r="Y188" i="52"/>
  <c r="T165" i="52"/>
  <c r="T175" i="52"/>
  <c r="T170" i="52"/>
  <c r="T214" i="52"/>
  <c r="T219" i="52" s="1"/>
  <c r="AC163" i="38"/>
  <c r="X150" i="16"/>
  <c r="AB143" i="16"/>
  <c r="AC143" i="16"/>
  <c r="AD143" i="16"/>
  <c r="X164" i="30"/>
  <c r="X202" i="30" s="1"/>
  <c r="X178" i="30"/>
  <c r="S13" i="27"/>
  <c r="V13" i="27"/>
  <c r="W13" i="27"/>
  <c r="U13" i="27"/>
  <c r="T13" i="27"/>
  <c r="AA187" i="52"/>
  <c r="T15" i="38"/>
  <c r="AA93" i="52"/>
  <c r="AA26" i="52"/>
  <c r="Z177" i="52"/>
  <c r="Z172" i="52"/>
  <c r="Z167" i="52"/>
  <c r="Z86" i="52"/>
  <c r="Z90" i="52"/>
  <c r="Y172" i="52"/>
  <c r="Y177" i="52"/>
  <c r="Y167" i="52"/>
  <c r="X27" i="52"/>
  <c r="X94" i="52"/>
  <c r="X80" i="39"/>
  <c r="Y171" i="52"/>
  <c r="Y166" i="52"/>
  <c r="Y176" i="52"/>
  <c r="AD111" i="16"/>
  <c r="AA148" i="16"/>
  <c r="S51" i="29"/>
  <c r="S123" i="29"/>
  <c r="S109" i="29"/>
  <c r="Z169" i="30"/>
  <c r="X51" i="30"/>
  <c r="Y112" i="39"/>
  <c r="Z24" i="39"/>
  <c r="Z55" i="39"/>
  <c r="J7" i="37"/>
  <c r="J36" i="37" s="1"/>
  <c r="AA55" i="39"/>
  <c r="L7" i="37"/>
  <c r="L36" i="37" s="1"/>
  <c r="T9" i="36"/>
  <c r="U9" i="36"/>
  <c r="V9" i="36"/>
  <c r="W9" i="36"/>
  <c r="S9" i="36"/>
  <c r="E89" i="15"/>
  <c r="X161" i="38"/>
  <c r="X168" i="38" s="1"/>
  <c r="AA219" i="39"/>
  <c r="AA55" i="30"/>
  <c r="Y248" i="39"/>
  <c r="X53" i="39"/>
  <c r="Z184" i="39"/>
  <c r="Z198" i="39"/>
  <c r="X104" i="16"/>
  <c r="Z51" i="30"/>
  <c r="Y253" i="39"/>
  <c r="Z69" i="39"/>
  <c r="Z67" i="38"/>
  <c r="Z106" i="38"/>
  <c r="I20" i="37"/>
  <c r="Y251" i="38"/>
  <c r="Y100" i="38"/>
  <c r="AD117" i="38"/>
  <c r="H21" i="28"/>
  <c r="AA85" i="52"/>
  <c r="AA89" i="52"/>
  <c r="X59" i="39"/>
  <c r="Y63" i="39"/>
  <c r="Z155" i="39"/>
  <c r="Z253" i="39"/>
  <c r="Y202" i="16"/>
  <c r="Y213" i="16"/>
  <c r="Y201" i="16"/>
  <c r="Y127" i="52"/>
  <c r="Y57" i="16"/>
  <c r="AA56" i="30"/>
  <c r="Y53" i="39"/>
  <c r="Z128" i="16"/>
  <c r="Z138" i="16"/>
  <c r="AB141" i="16"/>
  <c r="AC141" i="16"/>
  <c r="AD141" i="16"/>
  <c r="X148" i="16"/>
  <c r="AA94" i="52"/>
  <c r="AA27" i="52"/>
  <c r="Z72" i="52"/>
  <c r="Z77" i="52"/>
  <c r="Z26" i="52"/>
  <c r="Z93" i="52"/>
  <c r="Y78" i="52"/>
  <c r="Y73" i="52"/>
  <c r="Y157" i="52"/>
  <c r="Y152" i="52"/>
  <c r="Y86" i="52"/>
  <c r="Y90" i="52"/>
  <c r="X26" i="52"/>
  <c r="X93" i="52"/>
  <c r="X114" i="16"/>
  <c r="X121" i="16"/>
  <c r="X209" i="16"/>
  <c r="AA145" i="16"/>
  <c r="AA188" i="16" s="1"/>
  <c r="AA159" i="16"/>
  <c r="AB167" i="29"/>
  <c r="X198" i="30"/>
  <c r="Z137" i="30"/>
  <c r="Z223" i="30"/>
  <c r="Z130" i="30"/>
  <c r="AC132" i="16"/>
  <c r="X22" i="3"/>
  <c r="X203" i="3"/>
  <c r="X192" i="3"/>
  <c r="X210" i="3"/>
  <c r="X209" i="3"/>
  <c r="AA52" i="52"/>
  <c r="AA167" i="30"/>
  <c r="X243" i="16"/>
  <c r="Z258" i="30"/>
  <c r="Z80" i="39"/>
  <c r="Y165" i="16"/>
  <c r="Z165" i="16"/>
  <c r="Z244" i="16"/>
  <c r="AC31" i="38"/>
  <c r="AB54" i="38"/>
  <c r="AB75" i="38"/>
  <c r="AB101" i="38" s="1"/>
  <c r="X261" i="38"/>
  <c r="AB204" i="39"/>
  <c r="X211" i="39"/>
  <c r="AC204" i="39"/>
  <c r="AD204" i="39"/>
  <c r="X137" i="30"/>
  <c r="X223" i="30"/>
  <c r="X227" i="30" s="1"/>
  <c r="X130" i="30"/>
  <c r="X67" i="30"/>
  <c r="X247" i="39"/>
  <c r="Y101" i="39"/>
  <c r="Y105" i="39" s="1"/>
  <c r="AA79" i="39"/>
  <c r="Z56" i="16"/>
  <c r="Z255" i="3"/>
  <c r="Z4" i="3" s="1"/>
  <c r="AA252" i="3"/>
  <c r="AA155" i="52"/>
  <c r="AA150" i="52"/>
  <c r="Z54" i="39"/>
  <c r="AC162" i="30"/>
  <c r="AD162" i="30"/>
  <c r="AB162" i="30"/>
  <c r="T172" i="52"/>
  <c r="T177" i="52"/>
  <c r="T167" i="52"/>
  <c r="AA162" i="52"/>
  <c r="Z157" i="39"/>
  <c r="AB151" i="30"/>
  <c r="U77" i="77" s="1"/>
  <c r="T51" i="30"/>
  <c r="T15" i="29"/>
  <c r="T21" i="30"/>
  <c r="AA15" i="30"/>
  <c r="AA51" i="30" s="1"/>
  <c r="X24" i="39"/>
  <c r="X55" i="39"/>
  <c r="H7" i="37"/>
  <c r="H36" i="37" s="1"/>
  <c r="Z21" i="30"/>
  <c r="J7" i="28"/>
  <c r="J39" i="28" s="1"/>
  <c r="H46" i="27" s="1"/>
  <c r="T239" i="30"/>
  <c r="T241" i="30" s="1"/>
  <c r="Y95" i="52"/>
  <c r="Y28" i="52"/>
  <c r="Y199" i="52"/>
  <c r="Y204" i="52"/>
  <c r="Y194" i="52"/>
  <c r="X78" i="39"/>
  <c r="Y139" i="52"/>
  <c r="Y134" i="52"/>
  <c r="Y114" i="39"/>
  <c r="AA156" i="52"/>
  <c r="AA151" i="52"/>
  <c r="AC111" i="16"/>
  <c r="AC121" i="16" s="1"/>
  <c r="AA101" i="16"/>
  <c r="Z60" i="30"/>
  <c r="AA223" i="30"/>
  <c r="AA137" i="30"/>
  <c r="X64" i="39"/>
  <c r="Z243" i="16"/>
  <c r="AA222" i="39"/>
  <c r="Z201" i="16"/>
  <c r="Z202" i="16"/>
  <c r="Z213" i="16"/>
  <c r="Z127" i="52"/>
  <c r="Y167" i="30"/>
  <c r="AA164" i="30"/>
  <c r="AA202" i="30" s="1"/>
  <c r="AA178" i="30"/>
  <c r="Y205" i="39"/>
  <c r="Y219" i="39"/>
  <c r="Y110" i="39"/>
  <c r="Z162" i="16"/>
  <c r="X90" i="29"/>
  <c r="I21" i="28"/>
  <c r="X176" i="52"/>
  <c r="AA177" i="39"/>
  <c r="AA305" i="39"/>
  <c r="Y149" i="16"/>
  <c r="Z149" i="16"/>
  <c r="AA233" i="38"/>
  <c r="AA182" i="38"/>
  <c r="Z101" i="38"/>
  <c r="Z179" i="38"/>
  <c r="Z182" i="38"/>
  <c r="Z233" i="38"/>
  <c r="Y103" i="38"/>
  <c r="X182" i="38"/>
  <c r="X233" i="38"/>
  <c r="Y67" i="38"/>
  <c r="Y106" i="38"/>
  <c r="Z261" i="30"/>
  <c r="AD121" i="30"/>
  <c r="AC186" i="30"/>
  <c r="AB81" i="52"/>
  <c r="AA261" i="30"/>
  <c r="Y64" i="39"/>
  <c r="Y210" i="39"/>
  <c r="Z83" i="39"/>
  <c r="Y59" i="16"/>
  <c r="AA225" i="39"/>
  <c r="X52" i="39"/>
  <c r="X145" i="16"/>
  <c r="X159" i="16"/>
  <c r="X166" i="16" s="1"/>
  <c r="Y170" i="52"/>
  <c r="Y165" i="52"/>
  <c r="Y175" i="52"/>
  <c r="AA86" i="52"/>
  <c r="AA90" i="52"/>
  <c r="AA152" i="52"/>
  <c r="AA157" i="52"/>
  <c r="Z152" i="52"/>
  <c r="Z157" i="52"/>
  <c r="Z95" i="52"/>
  <c r="Z28" i="52"/>
  <c r="Y27" i="52"/>
  <c r="Y94" i="52"/>
  <c r="Z76" i="52"/>
  <c r="Z71" i="52"/>
  <c r="Y249" i="39"/>
  <c r="Y264" i="39" s="1"/>
  <c r="Y291" i="39"/>
  <c r="Y312" i="39"/>
  <c r="Y290" i="39"/>
  <c r="AC294" i="39" s="1"/>
  <c r="Y298" i="39"/>
  <c r="Y256" i="39"/>
  <c r="AB133" i="16"/>
  <c r="W77" i="77" s="1"/>
  <c r="AB111" i="16"/>
  <c r="Z239" i="16"/>
  <c r="Z250" i="16" s="1"/>
  <c r="AA181" i="16"/>
  <c r="X56" i="30"/>
  <c r="Z67" i="30"/>
  <c r="Z64" i="39"/>
  <c r="X181" i="16"/>
  <c r="Y137" i="30"/>
  <c r="Y223" i="30"/>
  <c r="Y130" i="30"/>
  <c r="Y164" i="30"/>
  <c r="Y202" i="30" s="1"/>
  <c r="Y178" i="30"/>
  <c r="Y154" i="39"/>
  <c r="AD164" i="39"/>
  <c r="AB190" i="39"/>
  <c r="V78" i="77" s="1"/>
  <c r="AD190" i="39"/>
  <c r="AC183" i="39"/>
  <c r="AC190" i="39" s="1"/>
  <c r="Z148" i="16"/>
  <c r="AC187" i="3"/>
  <c r="X175" i="52"/>
  <c r="AA262" i="30"/>
  <c r="X75" i="39"/>
  <c r="X134" i="52"/>
  <c r="X139" i="52"/>
  <c r="Z53" i="39"/>
  <c r="Y102" i="16"/>
  <c r="X236" i="16"/>
  <c r="AA104" i="38"/>
  <c r="AA68" i="38"/>
  <c r="AA107" i="38"/>
  <c r="J46" i="37"/>
  <c r="H53" i="36" s="1"/>
  <c r="X95" i="38"/>
  <c r="Y107" i="38"/>
  <c r="Y68" i="38"/>
  <c r="X101" i="38"/>
  <c r="Z68" i="30"/>
  <c r="AC121" i="30"/>
  <c r="X59" i="30"/>
  <c r="Z155" i="52"/>
  <c r="Z150" i="52"/>
  <c r="AB150" i="30"/>
  <c r="U76" i="77" s="1"/>
  <c r="X63" i="39"/>
  <c r="Y156" i="39"/>
  <c r="AA121" i="16"/>
  <c r="AA87" i="16" s="1"/>
  <c r="AA93" i="16" s="1"/>
  <c r="AA209" i="16"/>
  <c r="AA214" i="16"/>
  <c r="AA220" i="16" s="1"/>
  <c r="AA211" i="39"/>
  <c r="Y161" i="38"/>
  <c r="Y168" i="38" s="1"/>
  <c r="Z257" i="39"/>
  <c r="Z188" i="52"/>
  <c r="AC117" i="3"/>
  <c r="AD118" i="3"/>
  <c r="AD117" i="3" s="1"/>
  <c r="AA220" i="30"/>
  <c r="AA233" i="30"/>
  <c r="AA160" i="52"/>
  <c r="AD16" i="30"/>
  <c r="Y169" i="30"/>
  <c r="Y150" i="16"/>
  <c r="J54" i="37"/>
  <c r="H61" i="36" s="1"/>
  <c r="J24" i="37"/>
  <c r="AA176" i="52"/>
  <c r="AA171" i="52"/>
  <c r="AA166" i="52"/>
  <c r="Z150" i="16"/>
  <c r="Z55" i="30"/>
  <c r="R61" i="30"/>
  <c r="R28" i="30"/>
  <c r="E58" i="15" s="1"/>
  <c r="AA78" i="52"/>
  <c r="AA73" i="52"/>
  <c r="AA95" i="52"/>
  <c r="Y71" i="52"/>
  <c r="Y76" i="52"/>
  <c r="Z171" i="52"/>
  <c r="Z166" i="52"/>
  <c r="Z176" i="52"/>
  <c r="AC16" i="30"/>
  <c r="AB188" i="39"/>
  <c r="V76" i="77" s="1"/>
  <c r="AC188" i="39"/>
  <c r="AD188" i="39"/>
  <c r="Z170" i="52"/>
  <c r="Z165" i="52"/>
  <c r="Z175" i="52"/>
  <c r="AA59" i="30"/>
  <c r="X208" i="39"/>
  <c r="AB201" i="39"/>
  <c r="AC201" i="39"/>
  <c r="AD201" i="39"/>
  <c r="Z59" i="39"/>
  <c r="AC142" i="16"/>
  <c r="AD142" i="16"/>
  <c r="X149" i="16"/>
  <c r="AB142" i="16"/>
  <c r="AB187" i="39"/>
  <c r="V75" i="77" s="1"/>
  <c r="AC187" i="39"/>
  <c r="AD187" i="39"/>
  <c r="Y162" i="16"/>
  <c r="X63" i="30"/>
  <c r="AA52" i="30"/>
  <c r="Y110" i="30"/>
  <c r="Y222" i="39"/>
  <c r="X177" i="39"/>
  <c r="X305" i="39"/>
  <c r="Y157" i="39"/>
  <c r="Z61" i="39"/>
  <c r="X238" i="16"/>
  <c r="X71" i="16"/>
  <c r="AB25" i="3"/>
  <c r="AB219" i="3"/>
  <c r="AB184" i="3"/>
  <c r="X216" i="30"/>
  <c r="X217" i="30"/>
  <c r="X125" i="52"/>
  <c r="AB230" i="30"/>
  <c r="AC230" i="30"/>
  <c r="AD230" i="30"/>
  <c r="Z197" i="30"/>
  <c r="Y255" i="39"/>
  <c r="X291" i="39"/>
  <c r="X298" i="39"/>
  <c r="X290" i="39"/>
  <c r="AB312" i="39"/>
  <c r="AA247" i="39"/>
  <c r="H21" i="14"/>
  <c r="X55" i="16"/>
  <c r="X58" i="16"/>
  <c r="Y51" i="16"/>
  <c r="Y22" i="16"/>
  <c r="I7" i="14"/>
  <c r="AD154" i="3"/>
  <c r="AA179" i="38"/>
  <c r="Z251" i="38"/>
  <c r="J20" i="37"/>
  <c r="AA67" i="38"/>
  <c r="AA106" i="38"/>
  <c r="X13" i="38"/>
  <c r="Y179" i="38"/>
  <c r="H46" i="37"/>
  <c r="F53" i="36" s="1"/>
  <c r="X107" i="38"/>
  <c r="X68" i="38"/>
  <c r="Y98" i="38"/>
  <c r="Y182" i="38"/>
  <c r="Y233" i="38"/>
  <c r="X60" i="38"/>
  <c r="AA59" i="39"/>
  <c r="Z56" i="30"/>
  <c r="Y111" i="39"/>
  <c r="Y224" i="39"/>
  <c r="AA255" i="39"/>
  <c r="Z242" i="16"/>
  <c r="Y209" i="38"/>
  <c r="Z209" i="38"/>
  <c r="X113" i="30"/>
  <c r="AA157" i="39"/>
  <c r="Z205" i="39"/>
  <c r="Z219" i="39"/>
  <c r="T53" i="16"/>
  <c r="T15" i="3"/>
  <c r="AA15" i="16"/>
  <c r="X257" i="39"/>
  <c r="X272" i="39" s="1"/>
  <c r="X188" i="52"/>
  <c r="X203" i="52" s="1"/>
  <c r="Y138" i="16"/>
  <c r="Y128" i="16"/>
  <c r="X209" i="39"/>
  <c r="AB202" i="39"/>
  <c r="AC202" i="39"/>
  <c r="AD202" i="39"/>
  <c r="AD125" i="29"/>
  <c r="AD220" i="29" s="1"/>
  <c r="AC220" i="29"/>
  <c r="X57" i="39"/>
  <c r="Z156" i="52"/>
  <c r="Z151" i="52"/>
  <c r="Y32" i="29"/>
  <c r="Y187" i="29"/>
  <c r="Y190" i="29" s="1"/>
  <c r="Y200" i="29"/>
  <c r="Y172" i="29"/>
  <c r="Y195" i="29"/>
  <c r="Y193" i="29"/>
  <c r="Y194" i="29"/>
  <c r="Z238" i="16"/>
  <c r="AB16" i="30"/>
  <c r="Y216" i="30"/>
  <c r="Y217" i="30"/>
  <c r="Y230" i="30"/>
  <c r="Y125" i="52"/>
  <c r="Z94" i="52"/>
  <c r="Z27" i="52"/>
  <c r="X60" i="39"/>
  <c r="Y156" i="52"/>
  <c r="Y151" i="52"/>
  <c r="Z51" i="16"/>
  <c r="Z22" i="16"/>
  <c r="J7" i="14"/>
  <c r="J21" i="14"/>
  <c r="Z22" i="3"/>
  <c r="Z203" i="3"/>
  <c r="Z192" i="3"/>
  <c r="Z209" i="3"/>
  <c r="Z210" i="3"/>
  <c r="X62" i="39"/>
  <c r="Y197" i="30"/>
  <c r="Y247" i="39"/>
  <c r="X205" i="39"/>
  <c r="X212" i="39" s="1"/>
  <c r="X219" i="39"/>
  <c r="Y184" i="39"/>
  <c r="Y198" i="39"/>
  <c r="Z62" i="39"/>
  <c r="X102" i="16"/>
  <c r="AC173" i="16"/>
  <c r="AB82" i="52"/>
  <c r="AC195" i="3"/>
  <c r="AD194" i="3"/>
  <c r="AD199" i="3" s="1"/>
  <c r="Y148" i="16"/>
  <c r="Z54" i="30"/>
  <c r="T321" i="39"/>
  <c r="T322" i="39" s="1"/>
  <c r="Y252" i="39"/>
  <c r="AC164" i="39"/>
  <c r="AC169" i="39" s="1"/>
  <c r="Y52" i="39"/>
  <c r="AA69" i="39"/>
  <c r="X245" i="16"/>
  <c r="X256" i="16" s="1"/>
  <c r="Z53" i="16"/>
  <c r="Z58" i="39"/>
  <c r="Z145" i="16"/>
  <c r="Z188" i="16" s="1"/>
  <c r="Z189" i="16" s="1"/>
  <c r="Z159" i="16"/>
  <c r="Y256" i="30"/>
  <c r="Y198" i="30"/>
  <c r="X248" i="39"/>
  <c r="Y72" i="39"/>
  <c r="AA54" i="39"/>
  <c r="X69" i="16"/>
  <c r="X63" i="16"/>
  <c r="Y181" i="16"/>
  <c r="AA101" i="38"/>
  <c r="Z102" i="38"/>
  <c r="Y101" i="38"/>
  <c r="Z13" i="38"/>
  <c r="X102" i="38"/>
  <c r="Y71" i="16"/>
  <c r="AB121" i="30"/>
  <c r="Z259" i="30"/>
  <c r="AA169" i="30"/>
  <c r="Y75" i="39"/>
  <c r="AA254" i="39"/>
  <c r="Z164" i="16"/>
  <c r="AB163" i="30"/>
  <c r="AC163" i="30"/>
  <c r="AD163" i="30"/>
  <c r="AA112" i="39"/>
  <c r="H24" i="37"/>
  <c r="H54" i="37"/>
  <c r="F61" i="36" s="1"/>
  <c r="S117" i="77" l="1"/>
  <c r="I149" i="77"/>
  <c r="I68" i="77"/>
  <c r="K117" i="77"/>
  <c r="I146" i="77"/>
  <c r="J43" i="77"/>
  <c r="J38" i="77"/>
  <c r="J127" i="77"/>
  <c r="J134" i="77" s="1"/>
  <c r="J44" i="77"/>
  <c r="J42" i="77"/>
  <c r="Z107" i="39"/>
  <c r="AC167" i="29"/>
  <c r="AC27" i="30" s="1"/>
  <c r="X267" i="39"/>
  <c r="G17" i="77"/>
  <c r="O21" i="77"/>
  <c r="K21" i="77"/>
  <c r="S14" i="27"/>
  <c r="S15" i="27" s="1"/>
  <c r="AD240" i="16"/>
  <c r="AD229" i="16" s="1"/>
  <c r="AD18" i="16" s="1"/>
  <c r="AD18" i="3" s="1"/>
  <c r="AB240" i="16"/>
  <c r="AB229" i="16" s="1"/>
  <c r="AB18" i="16" s="1"/>
  <c r="AB18" i="3" s="1"/>
  <c r="AC240" i="16"/>
  <c r="AC229" i="16" s="1"/>
  <c r="AC18" i="16" s="1"/>
  <c r="AC129" i="39"/>
  <c r="AC136" i="39" s="1"/>
  <c r="T21" i="29"/>
  <c r="T27" i="29" s="1"/>
  <c r="T47" i="29"/>
  <c r="AA47" i="29" s="1"/>
  <c r="R216" i="29"/>
  <c r="X152" i="16"/>
  <c r="X188" i="16"/>
  <c r="X189" i="16" s="1"/>
  <c r="AD267" i="16"/>
  <c r="T122" i="3"/>
  <c r="AA122" i="3" s="1"/>
  <c r="L30" i="14" s="1"/>
  <c r="L32" i="14" s="1"/>
  <c r="AD238" i="16"/>
  <c r="AD249" i="16" s="1"/>
  <c r="AC267" i="16"/>
  <c r="F176" i="77"/>
  <c r="J176" i="77"/>
  <c r="Z205" i="38"/>
  <c r="Z198" i="38"/>
  <c r="X205" i="38"/>
  <c r="X198" i="38"/>
  <c r="Z203" i="30"/>
  <c r="Y203" i="30"/>
  <c r="X203" i="30"/>
  <c r="AA203" i="30"/>
  <c r="AC187" i="30"/>
  <c r="AC185" i="30" s="1"/>
  <c r="AB201" i="30"/>
  <c r="G143" i="77"/>
  <c r="G19" i="77"/>
  <c r="G18" i="77"/>
  <c r="AA181" i="30"/>
  <c r="Z181" i="30"/>
  <c r="Y181" i="30"/>
  <c r="I27" i="15"/>
  <c r="I32" i="15" s="1"/>
  <c r="I57" i="15"/>
  <c r="F58" i="15"/>
  <c r="E63" i="15"/>
  <c r="F63" i="15" s="1"/>
  <c r="G63" i="15" s="1"/>
  <c r="G57" i="15"/>
  <c r="AC126" i="30"/>
  <c r="AD126" i="30"/>
  <c r="Q116" i="77"/>
  <c r="AC152" i="30"/>
  <c r="AC92" i="30" s="1"/>
  <c r="AC177" i="30" s="1"/>
  <c r="I116" i="77"/>
  <c r="Q67" i="77"/>
  <c r="Q68" i="77"/>
  <c r="Q149" i="77"/>
  <c r="Q146" i="77"/>
  <c r="Q70" i="77"/>
  <c r="E95" i="77"/>
  <c r="M102" i="77" s="1"/>
  <c r="Q69" i="77"/>
  <c r="Q111" i="77"/>
  <c r="Q95" i="77"/>
  <c r="Q134" i="77"/>
  <c r="E146" i="77"/>
  <c r="M152" i="77" s="1"/>
  <c r="E149" i="77"/>
  <c r="M154" i="77" s="1"/>
  <c r="I64" i="77"/>
  <c r="X202" i="52"/>
  <c r="Z207" i="52" s="1"/>
  <c r="Z192" i="52"/>
  <c r="M64" i="77"/>
  <c r="E70" i="77"/>
  <c r="E69" i="77"/>
  <c r="E111" i="77"/>
  <c r="M118" i="77" s="1"/>
  <c r="Z269" i="30"/>
  <c r="AC258" i="30"/>
  <c r="AC246" i="30" s="1"/>
  <c r="AC18" i="30" s="1"/>
  <c r="Y269" i="30"/>
  <c r="E67" i="77"/>
  <c r="Y197" i="52"/>
  <c r="E139" i="77"/>
  <c r="U57" i="77"/>
  <c r="U64" i="77" s="1"/>
  <c r="Q64" i="77"/>
  <c r="AB258" i="30"/>
  <c r="AB246" i="30" s="1"/>
  <c r="AB18" i="30" s="1"/>
  <c r="AA269" i="30"/>
  <c r="AC256" i="30"/>
  <c r="AC267" i="30" s="1"/>
  <c r="AC124" i="30"/>
  <c r="AC125" i="30"/>
  <c r="AC127" i="30"/>
  <c r="X269" i="30"/>
  <c r="AD256" i="30"/>
  <c r="AD267" i="30" s="1"/>
  <c r="AD124" i="30"/>
  <c r="AD127" i="30"/>
  <c r="AD125" i="30"/>
  <c r="AB256" i="30"/>
  <c r="AB267" i="30" s="1"/>
  <c r="AB124" i="30"/>
  <c r="AB125" i="30"/>
  <c r="AB127" i="30"/>
  <c r="Z273" i="30"/>
  <c r="AB126" i="30"/>
  <c r="E32" i="15"/>
  <c r="Z197" i="52"/>
  <c r="AD168" i="39"/>
  <c r="AD177" i="39"/>
  <c r="J101" i="77"/>
  <c r="J117" i="77"/>
  <c r="R117" i="77"/>
  <c r="J98" i="77"/>
  <c r="R116" i="77"/>
  <c r="R98" i="77"/>
  <c r="R101" i="77"/>
  <c r="J116" i="77"/>
  <c r="R115" i="77"/>
  <c r="J114" i="77"/>
  <c r="R114" i="77"/>
  <c r="J115" i="77"/>
  <c r="J99" i="77"/>
  <c r="V57" i="77"/>
  <c r="V67" i="77" s="1"/>
  <c r="F70" i="77"/>
  <c r="F111" i="77"/>
  <c r="N118" i="77" s="1"/>
  <c r="F67" i="77"/>
  <c r="F95" i="77"/>
  <c r="N102" i="77" s="1"/>
  <c r="J100" i="77"/>
  <c r="R100" i="77"/>
  <c r="R70" i="77"/>
  <c r="F68" i="77"/>
  <c r="R146" i="77"/>
  <c r="F149" i="77"/>
  <c r="N154" i="77" s="1"/>
  <c r="R69" i="77"/>
  <c r="R64" i="77"/>
  <c r="F146" i="77"/>
  <c r="N152" i="77" s="1"/>
  <c r="R149" i="77"/>
  <c r="N64" i="77"/>
  <c r="F139" i="77"/>
  <c r="R68" i="77"/>
  <c r="R111" i="77"/>
  <c r="AD169" i="39"/>
  <c r="AC167" i="39"/>
  <c r="AC170" i="39"/>
  <c r="AC168" i="39"/>
  <c r="AD167" i="39"/>
  <c r="AB169" i="39"/>
  <c r="AD170" i="39"/>
  <c r="AB168" i="39"/>
  <c r="AB167" i="39"/>
  <c r="AC111" i="39"/>
  <c r="AC96" i="39" s="1"/>
  <c r="AC95" i="39"/>
  <c r="AB252" i="39"/>
  <c r="AB237" i="39" s="1"/>
  <c r="AB22" i="39" s="1"/>
  <c r="AB22" i="38" s="1"/>
  <c r="J64" i="77"/>
  <c r="J146" i="77"/>
  <c r="J69" i="77"/>
  <c r="J149" i="77"/>
  <c r="J111" i="77"/>
  <c r="J95" i="77"/>
  <c r="J70" i="77"/>
  <c r="J139" i="77"/>
  <c r="J68" i="77"/>
  <c r="Z64" i="38"/>
  <c r="Z243" i="39" s="1"/>
  <c r="S102" i="77"/>
  <c r="AB238" i="16"/>
  <c r="AB249" i="16" s="1"/>
  <c r="AB121" i="16"/>
  <c r="AB87" i="16" s="1"/>
  <c r="AB93" i="16" s="1"/>
  <c r="AC238" i="16"/>
  <c r="AC249" i="16" s="1"/>
  <c r="K154" i="77"/>
  <c r="S154" i="77"/>
  <c r="S118" i="77"/>
  <c r="K102" i="77"/>
  <c r="K134" i="77"/>
  <c r="U94" i="77"/>
  <c r="U101" i="77" s="1"/>
  <c r="AB259" i="30"/>
  <c r="AB247" i="30" s="1"/>
  <c r="AB19" i="30" s="1"/>
  <c r="AD252" i="39"/>
  <c r="AD237" i="39" s="1"/>
  <c r="AD22" i="39" s="1"/>
  <c r="AD22" i="38" s="1"/>
  <c r="W84" i="77"/>
  <c r="W93" i="77"/>
  <c r="W100" i="77" s="1"/>
  <c r="W68" i="77"/>
  <c r="V92" i="77"/>
  <c r="V99" i="77" s="1"/>
  <c r="V83" i="77"/>
  <c r="V94" i="77"/>
  <c r="V101" i="77" s="1"/>
  <c r="V85" i="77"/>
  <c r="AA267" i="39"/>
  <c r="V93" i="77"/>
  <c r="V100" i="77" s="1"/>
  <c r="V84" i="77"/>
  <c r="W69" i="77"/>
  <c r="K118" i="77"/>
  <c r="W92" i="77"/>
  <c r="W99" i="77" s="1"/>
  <c r="W83" i="77"/>
  <c r="I134" i="77"/>
  <c r="W94" i="77"/>
  <c r="W101" i="77" s="1"/>
  <c r="W85" i="77"/>
  <c r="Y267" i="39"/>
  <c r="Y266" i="39"/>
  <c r="Z267" i="39"/>
  <c r="W70" i="77"/>
  <c r="W64" i="77"/>
  <c r="X270" i="30"/>
  <c r="AB92" i="30"/>
  <c r="U30" i="77" s="1"/>
  <c r="U126" i="77" s="1"/>
  <c r="U133" i="77" s="1"/>
  <c r="W82" i="77"/>
  <c r="W79" i="77"/>
  <c r="W91" i="77"/>
  <c r="W98" i="77" s="1"/>
  <c r="Y270" i="30"/>
  <c r="Z261" i="39"/>
  <c r="S134" i="77"/>
  <c r="U63" i="77"/>
  <c r="AA270" i="30"/>
  <c r="AC259" i="30"/>
  <c r="AC247" i="30" s="1"/>
  <c r="AC19" i="30" s="1"/>
  <c r="AC19" i="29" s="1"/>
  <c r="Z270" i="30"/>
  <c r="Q143" i="77"/>
  <c r="I8" i="28"/>
  <c r="I38" i="28" s="1"/>
  <c r="G45" i="27" s="1"/>
  <c r="Y57" i="30"/>
  <c r="V41" i="28"/>
  <c r="P48" i="27" s="1"/>
  <c r="V82" i="77"/>
  <c r="V79" i="77"/>
  <c r="V91" i="77"/>
  <c r="V98" i="77" s="1"/>
  <c r="U92" i="77"/>
  <c r="U99" i="77" s="1"/>
  <c r="U83" i="77"/>
  <c r="U84" i="77"/>
  <c r="U93" i="77"/>
  <c r="U100" i="77" s="1"/>
  <c r="U82" i="77"/>
  <c r="U91" i="77"/>
  <c r="U98" i="77" s="1"/>
  <c r="U79" i="77"/>
  <c r="AD69" i="3"/>
  <c r="AD25" i="16" s="1"/>
  <c r="AC25" i="16"/>
  <c r="Y270" i="39"/>
  <c r="J55" i="37"/>
  <c r="H62" i="36" s="1"/>
  <c r="V14" i="27"/>
  <c r="V15" i="27" s="1"/>
  <c r="U14" i="27"/>
  <c r="U15" i="27" s="1"/>
  <c r="T14" i="27"/>
  <c r="T15" i="27" s="1"/>
  <c r="W14" i="27"/>
  <c r="W15" i="27" s="1"/>
  <c r="X54" i="52"/>
  <c r="Y271" i="39"/>
  <c r="V42" i="28"/>
  <c r="P49" i="27" s="1"/>
  <c r="H55" i="37"/>
  <c r="F62" i="36" s="1"/>
  <c r="Z184" i="16"/>
  <c r="AA254" i="16"/>
  <c r="Y184" i="16"/>
  <c r="Z170" i="38"/>
  <c r="Z3" i="38" s="1"/>
  <c r="V10" i="28"/>
  <c r="V52" i="28" s="1"/>
  <c r="P59" i="27" s="1"/>
  <c r="E28" i="15"/>
  <c r="AB100" i="39"/>
  <c r="AB11" i="39" s="1"/>
  <c r="V12" i="77" s="1"/>
  <c r="V23" i="77" s="1"/>
  <c r="Z268" i="30"/>
  <c r="Y64" i="38"/>
  <c r="Y243" i="39" s="1"/>
  <c r="AA88" i="16"/>
  <c r="AA94" i="16" s="1"/>
  <c r="AB257" i="30"/>
  <c r="AB245" i="30" s="1"/>
  <c r="X268" i="30"/>
  <c r="AD257" i="30"/>
  <c r="AD245" i="30" s="1"/>
  <c r="AC261" i="30"/>
  <c r="AC249" i="30" s="1"/>
  <c r="AC23" i="30" s="1"/>
  <c r="Z262" i="39"/>
  <c r="AB95" i="39"/>
  <c r="AB83" i="16"/>
  <c r="Y61" i="52"/>
  <c r="AB96" i="39"/>
  <c r="Z263" i="39"/>
  <c r="Y187" i="38"/>
  <c r="Z69" i="38"/>
  <c r="AB260" i="30"/>
  <c r="AB248" i="30" s="1"/>
  <c r="AB20" i="30" s="1"/>
  <c r="Y268" i="30"/>
  <c r="AA270" i="39"/>
  <c r="AC255" i="39"/>
  <c r="AC240" i="39" s="1"/>
  <c r="AC27" i="39" s="1"/>
  <c r="AB255" i="39"/>
  <c r="AB240" i="39" s="1"/>
  <c r="AB27" i="39" s="1"/>
  <c r="X270" i="39"/>
  <c r="Z270" i="39"/>
  <c r="X135" i="52"/>
  <c r="Y188" i="38"/>
  <c r="Y205" i="38"/>
  <c r="AA207" i="38"/>
  <c r="AD207" i="38" s="1"/>
  <c r="AA205" i="38"/>
  <c r="AB205" i="38" s="1"/>
  <c r="L39" i="37"/>
  <c r="J46" i="36" s="1"/>
  <c r="I39" i="37"/>
  <c r="G46" i="36" s="1"/>
  <c r="AB250" i="39"/>
  <c r="AB235" i="39" s="1"/>
  <c r="AB20" i="39" s="1"/>
  <c r="AB20" i="38" s="1"/>
  <c r="J39" i="37"/>
  <c r="H46" i="36" s="1"/>
  <c r="AA187" i="38"/>
  <c r="AC250" i="39"/>
  <c r="AC235" i="39" s="1"/>
  <c r="AC20" i="39" s="1"/>
  <c r="AD253" i="39"/>
  <c r="AD238" i="39" s="1"/>
  <c r="AD120" i="39" s="1"/>
  <c r="AD23" i="39" s="1"/>
  <c r="Y268" i="39"/>
  <c r="Z265" i="39"/>
  <c r="AC253" i="39"/>
  <c r="AC238" i="39" s="1"/>
  <c r="AC120" i="39" s="1"/>
  <c r="AC23" i="39" s="1"/>
  <c r="Z268" i="39"/>
  <c r="AB253" i="39"/>
  <c r="AB238" i="39" s="1"/>
  <c r="AB120" i="39" s="1"/>
  <c r="AB23" i="39" s="1"/>
  <c r="AA265" i="39"/>
  <c r="X265" i="39"/>
  <c r="AA261" i="39"/>
  <c r="X261" i="39"/>
  <c r="AC246" i="39"/>
  <c r="AC231" i="39" s="1"/>
  <c r="AB246" i="39"/>
  <c r="AB231" i="39" s="1"/>
  <c r="Y262" i="39"/>
  <c r="AD246" i="39"/>
  <c r="AD231" i="39" s="1"/>
  <c r="AD250" i="39"/>
  <c r="AD235" i="39" s="1"/>
  <c r="AD20" i="39" s="1"/>
  <c r="Z269" i="39"/>
  <c r="AA262" i="39"/>
  <c r="Y69" i="38"/>
  <c r="AA271" i="39"/>
  <c r="Z271" i="39"/>
  <c r="AA251" i="16"/>
  <c r="Z60" i="52"/>
  <c r="Z251" i="16"/>
  <c r="X251" i="16"/>
  <c r="AA60" i="52"/>
  <c r="AC83" i="16"/>
  <c r="AC158" i="16" s="1"/>
  <c r="AB261" i="30"/>
  <c r="AB249" i="30" s="1"/>
  <c r="AB23" i="30" s="1"/>
  <c r="Z272" i="30"/>
  <c r="X272" i="30"/>
  <c r="AA267" i="30"/>
  <c r="AC260" i="30"/>
  <c r="AC248" i="30" s="1"/>
  <c r="AC20" i="30" s="1"/>
  <c r="Z271" i="30"/>
  <c r="AA274" i="30"/>
  <c r="AA271" i="30"/>
  <c r="X271" i="30"/>
  <c r="Y271" i="30"/>
  <c r="AA46" i="52"/>
  <c r="AA268" i="30"/>
  <c r="Y274" i="30"/>
  <c r="Z274" i="30"/>
  <c r="X47" i="52"/>
  <c r="Y47" i="52"/>
  <c r="Y272" i="30"/>
  <c r="AA272" i="30"/>
  <c r="AA97" i="30"/>
  <c r="AA103" i="30" s="1"/>
  <c r="X273" i="30"/>
  <c r="Z267" i="30"/>
  <c r="X264" i="30"/>
  <c r="X275" i="30" s="1"/>
  <c r="Y273" i="30"/>
  <c r="AD262" i="30"/>
  <c r="AC262" i="30"/>
  <c r="AC250" i="30" s="1"/>
  <c r="AC24" i="30" s="1"/>
  <c r="AA273" i="30"/>
  <c r="AB262" i="30"/>
  <c r="I44" i="28"/>
  <c r="G51" i="27" s="1"/>
  <c r="I43" i="28"/>
  <c r="G50" i="27" s="1"/>
  <c r="I36" i="28"/>
  <c r="G43" i="27" s="1"/>
  <c r="AA48" i="52"/>
  <c r="Z35" i="29"/>
  <c r="Z38" i="29" s="1"/>
  <c r="L39" i="28"/>
  <c r="J46" i="27" s="1"/>
  <c r="AB89" i="30"/>
  <c r="AD247" i="30"/>
  <c r="AD19" i="30" s="1"/>
  <c r="AD19" i="29" s="1"/>
  <c r="AD92" i="30"/>
  <c r="AB242" i="16"/>
  <c r="AB231" i="16" s="1"/>
  <c r="AB20" i="16" s="1"/>
  <c r="X35" i="29"/>
  <c r="X37" i="29" s="1"/>
  <c r="S54" i="29"/>
  <c r="S253" i="30" s="1"/>
  <c r="Z59" i="29"/>
  <c r="Z180" i="52"/>
  <c r="Z253" i="16"/>
  <c r="AC242" i="16"/>
  <c r="AC231" i="16" s="1"/>
  <c r="AC20" i="16" s="1"/>
  <c r="AA253" i="16"/>
  <c r="Z255" i="16"/>
  <c r="AD242" i="16"/>
  <c r="AD231" i="16" s="1"/>
  <c r="AD20" i="16" s="1"/>
  <c r="Y253" i="16"/>
  <c r="Y251" i="16"/>
  <c r="Y88" i="16"/>
  <c r="Y94" i="16" s="1"/>
  <c r="AB82" i="16"/>
  <c r="Z88" i="16"/>
  <c r="Z94" i="16" s="1"/>
  <c r="Y209" i="52"/>
  <c r="Z209" i="52"/>
  <c r="Z254" i="16"/>
  <c r="AD83" i="16"/>
  <c r="AD158" i="16" s="1"/>
  <c r="AD164" i="16" s="1"/>
  <c r="Z152" i="16"/>
  <c r="Z89" i="16" s="1"/>
  <c r="Z95" i="16" s="1"/>
  <c r="AC82" i="16"/>
  <c r="AC157" i="16" s="1"/>
  <c r="AA204" i="38"/>
  <c r="AB204" i="38" s="1"/>
  <c r="AC204" i="38" s="1"/>
  <c r="L43" i="28"/>
  <c r="J50" i="27" s="1"/>
  <c r="Z266" i="39"/>
  <c r="AC254" i="39"/>
  <c r="AC239" i="39" s="1"/>
  <c r="AC26" i="39" s="1"/>
  <c r="AD254" i="39"/>
  <c r="AD239" i="39" s="1"/>
  <c r="AD26" i="39" s="1"/>
  <c r="Y141" i="39"/>
  <c r="Y147" i="39" s="1"/>
  <c r="AC251" i="39"/>
  <c r="AC236" i="39" s="1"/>
  <c r="AC21" i="39" s="1"/>
  <c r="AA181" i="52"/>
  <c r="AA171" i="30"/>
  <c r="AA98" i="30" s="1"/>
  <c r="AA104" i="30" s="1"/>
  <c r="AB254" i="39"/>
  <c r="AB239" i="39" s="1"/>
  <c r="AB26" i="39" s="1"/>
  <c r="AB26" i="38" s="1"/>
  <c r="Y272" i="39"/>
  <c r="Y261" i="39"/>
  <c r="Y269" i="39"/>
  <c r="AA188" i="38"/>
  <c r="Z181" i="52"/>
  <c r="AD251" i="39"/>
  <c r="AD236" i="39" s="1"/>
  <c r="AD21" i="39" s="1"/>
  <c r="AD21" i="38" s="1"/>
  <c r="Y171" i="30"/>
  <c r="Y98" i="30" s="1"/>
  <c r="Y104" i="30" s="1"/>
  <c r="AA250" i="16"/>
  <c r="Z171" i="30"/>
  <c r="Z98" i="30" s="1"/>
  <c r="Z104" i="30" s="1"/>
  <c r="AB251" i="39"/>
  <c r="AB236" i="39" s="1"/>
  <c r="AB21" i="39" s="1"/>
  <c r="AB21" i="38" s="1"/>
  <c r="Z182" i="52"/>
  <c r="Y254" i="16"/>
  <c r="Y252" i="16"/>
  <c r="X266" i="39"/>
  <c r="Y227" i="30"/>
  <c r="Z141" i="39"/>
  <c r="Z147" i="39" s="1"/>
  <c r="AA266" i="39"/>
  <c r="X69" i="38"/>
  <c r="AA210" i="16"/>
  <c r="AA269" i="39"/>
  <c r="T224" i="16"/>
  <c r="AA69" i="38"/>
  <c r="AA206" i="38"/>
  <c r="AB206" i="38" s="1"/>
  <c r="AC206" i="38" s="1"/>
  <c r="Y226" i="39"/>
  <c r="Y182" i="52"/>
  <c r="AD129" i="39"/>
  <c r="AD197" i="39"/>
  <c r="AB194" i="39"/>
  <c r="AB126" i="39"/>
  <c r="AB191" i="39"/>
  <c r="AC195" i="39"/>
  <c r="AC127" i="39"/>
  <c r="AC134" i="39" s="1"/>
  <c r="AB197" i="39"/>
  <c r="AB129" i="39"/>
  <c r="AB195" i="39"/>
  <c r="AB127" i="39"/>
  <c r="AC196" i="3"/>
  <c r="AC127" i="3" s="1"/>
  <c r="AD195" i="39"/>
  <c r="AD127" i="39"/>
  <c r="AD134" i="39" s="1"/>
  <c r="X45" i="39"/>
  <c r="X64" i="38"/>
  <c r="X243" i="39" s="1"/>
  <c r="T51" i="29"/>
  <c r="AA51" i="29" s="1"/>
  <c r="AA15" i="29"/>
  <c r="AA21" i="29" s="1"/>
  <c r="AA27" i="29" s="1"/>
  <c r="X109" i="52"/>
  <c r="X225" i="52" s="1"/>
  <c r="X215" i="52"/>
  <c r="X220" i="52" s="1"/>
  <c r="AA197" i="52"/>
  <c r="AA192" i="52"/>
  <c r="AA202" i="52"/>
  <c r="AC129" i="38"/>
  <c r="AD130" i="38"/>
  <c r="AD129" i="38" s="1"/>
  <c r="AA318" i="39"/>
  <c r="AB244" i="16"/>
  <c r="AB233" i="16" s="1"/>
  <c r="AB24" i="16" s="1"/>
  <c r="AB24" i="3" s="1"/>
  <c r="AC244" i="16"/>
  <c r="AC233" i="16" s="1"/>
  <c r="AC24" i="16" s="1"/>
  <c r="AC24" i="3" s="1"/>
  <c r="X255" i="16"/>
  <c r="AD244" i="16"/>
  <c r="AD233" i="16" s="1"/>
  <c r="AD24" i="16" s="1"/>
  <c r="B22" i="61"/>
  <c r="A21" i="61"/>
  <c r="Y103" i="52"/>
  <c r="Y98" i="52"/>
  <c r="AA215" i="16"/>
  <c r="AA221" i="16" s="1"/>
  <c r="AC149" i="30"/>
  <c r="AC89" i="30" s="1"/>
  <c r="AD149" i="30"/>
  <c r="AD89" i="30" s="1"/>
  <c r="AD194" i="39"/>
  <c r="AD126" i="39"/>
  <c r="AD133" i="39" s="1"/>
  <c r="AD191" i="39"/>
  <c r="Y100" i="52"/>
  <c r="Y105" i="52"/>
  <c r="Z25" i="30"/>
  <c r="Z57" i="30"/>
  <c r="J8" i="28"/>
  <c r="J38" i="28" s="1"/>
  <c r="H45" i="27" s="1"/>
  <c r="T182" i="52"/>
  <c r="Y267" i="30"/>
  <c r="Y264" i="30"/>
  <c r="AC194" i="39"/>
  <c r="AC126" i="39"/>
  <c r="AC133" i="39" s="1"/>
  <c r="AC191" i="39"/>
  <c r="J39" i="14"/>
  <c r="H46" i="13" s="1"/>
  <c r="J36" i="14"/>
  <c r="H43" i="13" s="1"/>
  <c r="J43" i="14"/>
  <c r="H50" i="13" s="1"/>
  <c r="J44" i="14"/>
  <c r="H51" i="13" s="1"/>
  <c r="AA55" i="52"/>
  <c r="Y181" i="38"/>
  <c r="Y186" i="38" s="1"/>
  <c r="Y111" i="38"/>
  <c r="Y241" i="38"/>
  <c r="Y260" i="38" s="1"/>
  <c r="I17" i="37"/>
  <c r="X24" i="38"/>
  <c r="X206" i="38"/>
  <c r="X207" i="38"/>
  <c r="X204" i="38"/>
  <c r="Y28" i="16"/>
  <c r="Y60" i="16"/>
  <c r="I8" i="14"/>
  <c r="I38" i="14" s="1"/>
  <c r="G45" i="13" s="1"/>
  <c r="X133" i="52"/>
  <c r="X138" i="52"/>
  <c r="AD128" i="39"/>
  <c r="AD135" i="39" s="1"/>
  <c r="AD196" i="39"/>
  <c r="Z264" i="30"/>
  <c r="Y52" i="52"/>
  <c r="AB214" i="16"/>
  <c r="AB68" i="52"/>
  <c r="Z105" i="52"/>
  <c r="Z100" i="52"/>
  <c r="AD186" i="30"/>
  <c r="AC81" i="52"/>
  <c r="X187" i="38"/>
  <c r="X59" i="29"/>
  <c r="Y212" i="39"/>
  <c r="Y142" i="39" s="1"/>
  <c r="Z140" i="52"/>
  <c r="Z135" i="52"/>
  <c r="AA227" i="30"/>
  <c r="X28" i="39"/>
  <c r="X66" i="39"/>
  <c r="H8" i="37"/>
  <c r="H38" i="37" s="1"/>
  <c r="F45" i="36" s="1"/>
  <c r="Y256" i="16"/>
  <c r="L37" i="37"/>
  <c r="J44" i="36" s="1"/>
  <c r="J43" i="36"/>
  <c r="AB97" i="39"/>
  <c r="AC112" i="39"/>
  <c r="AD80" i="16"/>
  <c r="AD155" i="16" s="1"/>
  <c r="AD135" i="16"/>
  <c r="AD128" i="16" s="1"/>
  <c r="AD88" i="16" s="1"/>
  <c r="AD94" i="16" s="1"/>
  <c r="Y210" i="16"/>
  <c r="Z140" i="39"/>
  <c r="Z146" i="39" s="1"/>
  <c r="Z313" i="39"/>
  <c r="I37" i="37"/>
  <c r="G44" i="36" s="1"/>
  <c r="G43" i="36"/>
  <c r="AC100" i="39"/>
  <c r="AD100" i="39"/>
  <c r="Y33" i="52"/>
  <c r="Y108" i="52"/>
  <c r="Y214" i="52"/>
  <c r="Y219" i="52" s="1"/>
  <c r="Z97" i="30"/>
  <c r="Z103" i="30" s="1"/>
  <c r="AA21" i="30"/>
  <c r="AB153" i="30"/>
  <c r="AB145" i="30" s="1"/>
  <c r="AB97" i="30" s="1"/>
  <c r="AB103" i="30" s="1"/>
  <c r="AD234" i="39"/>
  <c r="AD19" i="39" s="1"/>
  <c r="AB228" i="16"/>
  <c r="AC25" i="3"/>
  <c r="AC219" i="3"/>
  <c r="Z110" i="52"/>
  <c r="Z216" i="52"/>
  <c r="Z221" i="52" s="1"/>
  <c r="AD469" i="60"/>
  <c r="AD470" i="60" s="1"/>
  <c r="Z35" i="52"/>
  <c r="AB89" i="52"/>
  <c r="AB85" i="52"/>
  <c r="AA96" i="30"/>
  <c r="AA102" i="30" s="1"/>
  <c r="AA231" i="30"/>
  <c r="AA237" i="30" s="1"/>
  <c r="Z24" i="38"/>
  <c r="Z207" i="38"/>
  <c r="Z206" i="38"/>
  <c r="Z204" i="38"/>
  <c r="Z166" i="16"/>
  <c r="AC177" i="39"/>
  <c r="AC67" i="52"/>
  <c r="Z28" i="16"/>
  <c r="Z60" i="16"/>
  <c r="J8" i="14"/>
  <c r="J38" i="14" s="1"/>
  <c r="H45" i="13" s="1"/>
  <c r="Y35" i="29"/>
  <c r="Y59" i="29"/>
  <c r="AC197" i="39"/>
  <c r="X249" i="16"/>
  <c r="X246" i="16"/>
  <c r="X257" i="16" s="1"/>
  <c r="AC137" i="30"/>
  <c r="AC66" i="52"/>
  <c r="Y170" i="38"/>
  <c r="Y3" i="38" s="1"/>
  <c r="I27" i="37"/>
  <c r="AB11" i="29"/>
  <c r="AB11" i="30"/>
  <c r="U12" i="77" s="1"/>
  <c r="Z219" i="16"/>
  <c r="AB91" i="30"/>
  <c r="U29" i="77" s="1"/>
  <c r="AC81" i="16"/>
  <c r="AC156" i="16" s="1"/>
  <c r="AA166" i="16"/>
  <c r="X61" i="52"/>
  <c r="AD81" i="16"/>
  <c r="AD156" i="16" s="1"/>
  <c r="S218" i="29"/>
  <c r="Z188" i="38"/>
  <c r="AC80" i="16"/>
  <c r="AC155" i="16" s="1"/>
  <c r="AC135" i="16"/>
  <c r="AC128" i="16" s="1"/>
  <c r="AC88" i="16" s="1"/>
  <c r="AC94" i="16" s="1"/>
  <c r="Z309" i="39"/>
  <c r="Y166" i="16"/>
  <c r="AA264" i="30"/>
  <c r="H36" i="28"/>
  <c r="H43" i="28"/>
  <c r="F50" i="27" s="1"/>
  <c r="H44" i="28"/>
  <c r="F51" i="27" s="1"/>
  <c r="AB241" i="16"/>
  <c r="AB230" i="16" s="1"/>
  <c r="AB19" i="16" s="1"/>
  <c r="X252" i="16"/>
  <c r="AC241" i="16"/>
  <c r="AC230" i="16" s="1"/>
  <c r="AC19" i="16" s="1"/>
  <c r="AD241" i="16"/>
  <c r="AD230" i="16" s="1"/>
  <c r="AD19" i="16" s="1"/>
  <c r="Z138" i="52"/>
  <c r="Z133" i="52"/>
  <c r="Z53" i="52"/>
  <c r="AB90" i="30"/>
  <c r="U28" i="77" s="1"/>
  <c r="AC234" i="39"/>
  <c r="AC19" i="39" s="1"/>
  <c r="AA255" i="16"/>
  <c r="AB90" i="52"/>
  <c r="AB86" i="52"/>
  <c r="AB16" i="29"/>
  <c r="X49" i="52"/>
  <c r="AC237" i="39"/>
  <c r="AC22" i="39" s="1"/>
  <c r="Z111" i="38"/>
  <c r="Z181" i="38"/>
  <c r="Z186" i="38" s="1"/>
  <c r="Z241" i="38"/>
  <c r="Z260" i="38" s="1"/>
  <c r="J17" i="37"/>
  <c r="AA256" i="16"/>
  <c r="AD151" i="30"/>
  <c r="AD91" i="30" s="1"/>
  <c r="AC151" i="30"/>
  <c r="AC91" i="30" s="1"/>
  <c r="AB128" i="39"/>
  <c r="AB196" i="39"/>
  <c r="AA152" i="16"/>
  <c r="AA89" i="16" s="1"/>
  <c r="AA34" i="52"/>
  <c r="AA109" i="52"/>
  <c r="Z54" i="52"/>
  <c r="T123" i="29"/>
  <c r="AD121" i="16"/>
  <c r="AD87" i="16" s="1"/>
  <c r="AD93" i="16" s="1"/>
  <c r="AD214" i="16"/>
  <c r="AD68" i="52"/>
  <c r="AA33" i="52"/>
  <c r="AA214" i="52"/>
  <c r="AA219" i="52" s="1"/>
  <c r="AA108" i="52"/>
  <c r="AD194" i="29"/>
  <c r="AB80" i="16"/>
  <c r="AB135" i="16"/>
  <c r="AB128" i="16" s="1"/>
  <c r="AB88" i="16" s="1"/>
  <c r="AB94" i="16" s="1"/>
  <c r="X53" i="52"/>
  <c r="Y152" i="16"/>
  <c r="Y89" i="16" s="1"/>
  <c r="Z318" i="39"/>
  <c r="X110" i="52"/>
  <c r="X226" i="52" s="1"/>
  <c r="X216" i="52"/>
  <c r="X221" i="52" s="1"/>
  <c r="H39" i="37"/>
  <c r="F46" i="36" s="1"/>
  <c r="Y66" i="39"/>
  <c r="Y28" i="39"/>
  <c r="I8" i="37"/>
  <c r="I38" i="37" s="1"/>
  <c r="G45" i="36" s="1"/>
  <c r="H44" i="14"/>
  <c r="F51" i="13" s="1"/>
  <c r="H36" i="14"/>
  <c r="F43" i="13" s="1"/>
  <c r="H43" i="14"/>
  <c r="F50" i="13" s="1"/>
  <c r="H39" i="14"/>
  <c r="F46" i="13" s="1"/>
  <c r="X46" i="52"/>
  <c r="Z210" i="16"/>
  <c r="S225" i="3"/>
  <c r="AD248" i="30"/>
  <c r="AD20" i="30" s="1"/>
  <c r="AB234" i="39"/>
  <c r="AB19" i="39" s="1"/>
  <c r="AD195" i="3"/>
  <c r="AD196" i="3" s="1"/>
  <c r="AD127" i="3" s="1"/>
  <c r="AD173" i="16"/>
  <c r="AC82" i="52"/>
  <c r="Z34" i="52"/>
  <c r="Z215" i="52"/>
  <c r="Z220" i="52" s="1"/>
  <c r="Z109" i="52"/>
  <c r="AC469" i="60"/>
  <c r="AC470" i="60" s="1"/>
  <c r="T70" i="3"/>
  <c r="AA70" i="3" s="1"/>
  <c r="Z226" i="39"/>
  <c r="AC184" i="3"/>
  <c r="AB185" i="3"/>
  <c r="AB126" i="3" s="1"/>
  <c r="M31" i="14" s="1"/>
  <c r="Y55" i="52"/>
  <c r="AD16" i="29"/>
  <c r="Y28" i="30"/>
  <c r="Y61" i="30"/>
  <c r="I11" i="28"/>
  <c r="Y180" i="52"/>
  <c r="AD137" i="30"/>
  <c r="AD66" i="52"/>
  <c r="Z187" i="38"/>
  <c r="AB16" i="3"/>
  <c r="Z55" i="52"/>
  <c r="Y215" i="16"/>
  <c r="Y221" i="16" s="1"/>
  <c r="AC16" i="3"/>
  <c r="Z227" i="30"/>
  <c r="AD209" i="16"/>
  <c r="AD207" i="16" s="1"/>
  <c r="X210" i="16"/>
  <c r="AB209" i="16"/>
  <c r="AB207" i="16" s="1"/>
  <c r="W145" i="77" s="1"/>
  <c r="W146" i="77" s="1"/>
  <c r="W152" i="77" s="1"/>
  <c r="AC209" i="16"/>
  <c r="AC207" i="16" s="1"/>
  <c r="X214" i="52"/>
  <c r="X219" i="52" s="1"/>
  <c r="X108" i="52"/>
  <c r="AA99" i="52"/>
  <c r="AA104" i="52"/>
  <c r="S219" i="29"/>
  <c r="S127" i="29"/>
  <c r="AA98" i="52"/>
  <c r="AA103" i="52"/>
  <c r="AD163" i="38"/>
  <c r="I24" i="37"/>
  <c r="I55" i="37" s="1"/>
  <c r="G62" i="36" s="1"/>
  <c r="I54" i="37"/>
  <c r="G61" i="36" s="1"/>
  <c r="X57" i="30"/>
  <c r="X25" i="30"/>
  <c r="H8" i="28"/>
  <c r="H38" i="28" s="1"/>
  <c r="F45" i="27" s="1"/>
  <c r="X170" i="38"/>
  <c r="X3" i="38" s="1"/>
  <c r="H27" i="37"/>
  <c r="AD296" i="39"/>
  <c r="AD298" i="39" s="1"/>
  <c r="Z236" i="30"/>
  <c r="T181" i="52"/>
  <c r="T225" i="52"/>
  <c r="AA15" i="3"/>
  <c r="AD240" i="39"/>
  <c r="AD27" i="39" s="1"/>
  <c r="I39" i="14"/>
  <c r="G46" i="13" s="1"/>
  <c r="I36" i="14"/>
  <c r="G43" i="13" s="1"/>
  <c r="I43" i="14"/>
  <c r="G50" i="13" s="1"/>
  <c r="I44" i="14"/>
  <c r="G51" i="13" s="1"/>
  <c r="X181" i="38"/>
  <c r="X186" i="38" s="1"/>
  <c r="X241" i="38"/>
  <c r="X260" i="38" s="1"/>
  <c r="H17" i="37"/>
  <c r="X111" i="38"/>
  <c r="AC87" i="16"/>
  <c r="AC93" i="16" s="1"/>
  <c r="AC214" i="16"/>
  <c r="AC68" i="52"/>
  <c r="AA263" i="39"/>
  <c r="Z99" i="52"/>
  <c r="Z104" i="52"/>
  <c r="Z212" i="39"/>
  <c r="Z142" i="39" s="1"/>
  <c r="AB305" i="39"/>
  <c r="AB304" i="39" s="1"/>
  <c r="V145" i="77" s="1"/>
  <c r="AC305" i="39"/>
  <c r="AF305" i="39" s="1"/>
  <c r="AD305" i="39"/>
  <c r="AD304" i="39" s="1"/>
  <c r="AD280" i="39" s="1"/>
  <c r="X309" i="39"/>
  <c r="Y46" i="52"/>
  <c r="AA100" i="52"/>
  <c r="AA105" i="52"/>
  <c r="AA170" i="52"/>
  <c r="AA165" i="52"/>
  <c r="AA175" i="52"/>
  <c r="AA180" i="52" s="1"/>
  <c r="Z198" i="52"/>
  <c r="Z193" i="52"/>
  <c r="Z203" i="52"/>
  <c r="Z208" i="52" s="1"/>
  <c r="AD249" i="30"/>
  <c r="AD23" i="30" s="1"/>
  <c r="AA167" i="52"/>
  <c r="AA177" i="52"/>
  <c r="AA182" i="52" s="1"/>
  <c r="AA172" i="52"/>
  <c r="Z215" i="16"/>
  <c r="Z221" i="16" s="1"/>
  <c r="X28" i="3"/>
  <c r="X35" i="3" s="1"/>
  <c r="X38" i="3" s="1"/>
  <c r="X206" i="3"/>
  <c r="Z96" i="30"/>
  <c r="Z102" i="30" s="1"/>
  <c r="Z231" i="30"/>
  <c r="Z103" i="52"/>
  <c r="Z98" i="52"/>
  <c r="T240" i="30"/>
  <c r="Y140" i="52"/>
  <c r="Y135" i="52"/>
  <c r="X188" i="38"/>
  <c r="AA226" i="39"/>
  <c r="J37" i="37"/>
  <c r="H44" i="36" s="1"/>
  <c r="H43" i="36"/>
  <c r="T109" i="29"/>
  <c r="AA109" i="29" s="1"/>
  <c r="L30" i="28" s="1"/>
  <c r="L32" i="28" s="1"/>
  <c r="Z256" i="16"/>
  <c r="Y140" i="39"/>
  <c r="Y146" i="39" s="1"/>
  <c r="Y313" i="39"/>
  <c r="AB177" i="39"/>
  <c r="AB67" i="52"/>
  <c r="T323" i="39"/>
  <c r="AC103" i="39"/>
  <c r="AC57" i="38"/>
  <c r="AC118" i="39"/>
  <c r="X28" i="16"/>
  <c r="X60" i="16"/>
  <c r="H8" i="14"/>
  <c r="H38" i="14" s="1"/>
  <c r="F45" i="13" s="1"/>
  <c r="AD246" i="30"/>
  <c r="AD18" i="30" s="1"/>
  <c r="AB236" i="30"/>
  <c r="AA241" i="38"/>
  <c r="AA260" i="38" s="1"/>
  <c r="AA111" i="38"/>
  <c r="AA181" i="38"/>
  <c r="AA186" i="38" s="1"/>
  <c r="L17" i="37"/>
  <c r="L43" i="37" s="1"/>
  <c r="J50" i="36" s="1"/>
  <c r="X60" i="52"/>
  <c r="Z28" i="3"/>
  <c r="Z35" i="3" s="1"/>
  <c r="Z38" i="3" s="1"/>
  <c r="Z206" i="3"/>
  <c r="Y133" i="52"/>
  <c r="Y138" i="52"/>
  <c r="AD236" i="30"/>
  <c r="AB30" i="16"/>
  <c r="AB234" i="16"/>
  <c r="AB245" i="16" s="1"/>
  <c r="AB256" i="16" s="1"/>
  <c r="AB53" i="3"/>
  <c r="AC16" i="29"/>
  <c r="Z272" i="39"/>
  <c r="AD142" i="30"/>
  <c r="AD150" i="30" s="1"/>
  <c r="AD90" i="30" s="1"/>
  <c r="AC150" i="30"/>
  <c r="AC90" i="30" s="1"/>
  <c r="Y60" i="52"/>
  <c r="Y96" i="30"/>
  <c r="Y102" i="30" s="1"/>
  <c r="Y231" i="30"/>
  <c r="Y237" i="30" s="1"/>
  <c r="AC312" i="39"/>
  <c r="AC298" i="39"/>
  <c r="Y99" i="52"/>
  <c r="Y104" i="52"/>
  <c r="AA309" i="39"/>
  <c r="AC128" i="39"/>
  <c r="AC135" i="39" s="1"/>
  <c r="AC196" i="39"/>
  <c r="AC245" i="30"/>
  <c r="J36" i="28"/>
  <c r="L37" i="28" s="1"/>
  <c r="J44" i="27" s="1"/>
  <c r="J44" i="28"/>
  <c r="H51" i="27" s="1"/>
  <c r="J43" i="28"/>
  <c r="H50" i="27" s="1"/>
  <c r="Z33" i="52"/>
  <c r="Z108" i="52"/>
  <c r="AB469" i="60"/>
  <c r="AB470" i="60" s="1"/>
  <c r="Z214" i="52"/>
  <c r="Z219" i="52" s="1"/>
  <c r="Y263" i="39"/>
  <c r="AD167" i="29"/>
  <c r="AA15" i="38"/>
  <c r="AD312" i="39"/>
  <c r="Y28" i="3"/>
  <c r="Y35" i="3" s="1"/>
  <c r="Y38" i="3" s="1"/>
  <c r="Y206" i="3"/>
  <c r="AA219" i="16"/>
  <c r="Y309" i="39"/>
  <c r="Y97" i="30"/>
  <c r="Y103" i="30" s="1"/>
  <c r="J43" i="27"/>
  <c r="Y246" i="16"/>
  <c r="AD228" i="16"/>
  <c r="AB137" i="30"/>
  <c r="AB66" i="52"/>
  <c r="AC248" i="39"/>
  <c r="AC233" i="39" s="1"/>
  <c r="AC18" i="39" s="1"/>
  <c r="AD248" i="39"/>
  <c r="AD233" i="39" s="1"/>
  <c r="AD18" i="39" s="1"/>
  <c r="X263" i="39"/>
  <c r="AB248" i="39"/>
  <c r="AB233" i="39" s="1"/>
  <c r="AB18" i="39" s="1"/>
  <c r="Y236" i="30"/>
  <c r="Z249" i="16"/>
  <c r="Z246" i="16"/>
  <c r="AB318" i="39"/>
  <c r="AC236" i="30"/>
  <c r="R64" i="30"/>
  <c r="AA216" i="30"/>
  <c r="AA230" i="30"/>
  <c r="AA125" i="52"/>
  <c r="AA133" i="52" s="1"/>
  <c r="Y53" i="52"/>
  <c r="AD187" i="3"/>
  <c r="AD67" i="52"/>
  <c r="Y318" i="39"/>
  <c r="Y109" i="52"/>
  <c r="Y215" i="52"/>
  <c r="Y220" i="52" s="1"/>
  <c r="Y34" i="52"/>
  <c r="Y255" i="16"/>
  <c r="AA313" i="39"/>
  <c r="AA140" i="39"/>
  <c r="AA146" i="39" s="1"/>
  <c r="AA58" i="52"/>
  <c r="Y35" i="52"/>
  <c r="Y216" i="52"/>
  <c r="Y221" i="52" s="1"/>
  <c r="Y110" i="52"/>
  <c r="H37" i="37"/>
  <c r="F44" i="36" s="1"/>
  <c r="F43" i="36"/>
  <c r="T57" i="30"/>
  <c r="T25" i="30"/>
  <c r="X262" i="39"/>
  <c r="AB247" i="39"/>
  <c r="AB232" i="39" s="1"/>
  <c r="AB17" i="39" s="1"/>
  <c r="AD247" i="39"/>
  <c r="AD232" i="39" s="1"/>
  <c r="AD17" i="39" s="1"/>
  <c r="AC247" i="39"/>
  <c r="AC232" i="39" s="1"/>
  <c r="AC17" i="39" s="1"/>
  <c r="AC54" i="38"/>
  <c r="AC75" i="38"/>
  <c r="AC101" i="38" s="1"/>
  <c r="AD31" i="38"/>
  <c r="AB243" i="16"/>
  <c r="X254" i="16"/>
  <c r="AC243" i="16"/>
  <c r="AC232" i="16" s="1"/>
  <c r="AC21" i="16" s="1"/>
  <c r="AD243" i="16"/>
  <c r="AD232" i="16" s="1"/>
  <c r="AD21" i="16" s="1"/>
  <c r="AB27" i="30"/>
  <c r="AB209" i="29"/>
  <c r="AB24" i="29"/>
  <c r="AB251" i="30" s="1"/>
  <c r="AB263" i="30" s="1"/>
  <c r="AB274" i="30" s="1"/>
  <c r="AB164" i="29"/>
  <c r="AB165" i="29" s="1"/>
  <c r="AB115" i="29" s="1"/>
  <c r="M31" i="28" s="1"/>
  <c r="AD82" i="16"/>
  <c r="AD157" i="16" s="1"/>
  <c r="Y219" i="16"/>
  <c r="AD16" i="3"/>
  <c r="AC187" i="29"/>
  <c r="Z66" i="39"/>
  <c r="Z28" i="39"/>
  <c r="J8" i="37"/>
  <c r="J38" i="37" s="1"/>
  <c r="H45" i="36" s="1"/>
  <c r="AC24" i="29"/>
  <c r="AC251" i="30" s="1"/>
  <c r="AC263" i="30" s="1"/>
  <c r="AC274" i="30" s="1"/>
  <c r="Y181" i="52"/>
  <c r="T180" i="52"/>
  <c r="T224" i="52"/>
  <c r="Y198" i="52"/>
  <c r="Y193" i="52"/>
  <c r="Y203" i="52"/>
  <c r="Y208" i="52" s="1"/>
  <c r="AB81" i="16"/>
  <c r="S61" i="30"/>
  <c r="S28" i="30"/>
  <c r="AA47" i="52"/>
  <c r="Y24" i="38"/>
  <c r="Y206" i="38"/>
  <c r="Y207" i="38"/>
  <c r="Y204" i="38"/>
  <c r="AD123" i="38"/>
  <c r="Y249" i="16"/>
  <c r="AC228" i="16"/>
  <c r="AC209" i="29" l="1"/>
  <c r="V27" i="77"/>
  <c r="V34" i="77" s="1"/>
  <c r="AB133" i="39"/>
  <c r="V30" i="77"/>
  <c r="AB136" i="39"/>
  <c r="AD218" i="39"/>
  <c r="AD225" i="39" s="1"/>
  <c r="AD136" i="39"/>
  <c r="V29" i="77"/>
  <c r="V109" i="77" s="1"/>
  <c r="V116" i="77" s="1"/>
  <c r="AB135" i="39"/>
  <c r="V28" i="77"/>
  <c r="V108" i="77" s="1"/>
  <c r="V115" i="77" s="1"/>
  <c r="AB134" i="39"/>
  <c r="T225" i="3"/>
  <c r="W30" i="77"/>
  <c r="W126" i="77" s="1"/>
  <c r="W133" i="77" s="1"/>
  <c r="AB158" i="16"/>
  <c r="W29" i="77"/>
  <c r="W36" i="77" s="1"/>
  <c r="AB157" i="16"/>
  <c r="W28" i="77"/>
  <c r="W108" i="77" s="1"/>
  <c r="W115" i="77" s="1"/>
  <c r="AB156" i="16"/>
  <c r="W27" i="77"/>
  <c r="AB155" i="16"/>
  <c r="AD187" i="30"/>
  <c r="AC201" i="30"/>
  <c r="V146" i="77"/>
  <c r="V152" i="77" s="1"/>
  <c r="M27" i="15"/>
  <c r="M32" i="15" s="1"/>
  <c r="M57" i="15"/>
  <c r="J57" i="15"/>
  <c r="I62" i="15"/>
  <c r="J62" i="15" s="1"/>
  <c r="K62" i="15" s="1"/>
  <c r="I28" i="15"/>
  <c r="I33" i="15" s="1"/>
  <c r="I58" i="15"/>
  <c r="G58" i="15"/>
  <c r="U70" i="77"/>
  <c r="Q154" i="77"/>
  <c r="I154" i="77"/>
  <c r="X224" i="52"/>
  <c r="Y207" i="52"/>
  <c r="AB177" i="30"/>
  <c r="AA207" i="52"/>
  <c r="I102" i="77"/>
  <c r="I152" i="77"/>
  <c r="Q102" i="77"/>
  <c r="I118" i="77"/>
  <c r="U68" i="77"/>
  <c r="Q152" i="77"/>
  <c r="Q118" i="77"/>
  <c r="U69" i="77"/>
  <c r="U67" i="77"/>
  <c r="E33" i="15"/>
  <c r="V69" i="77"/>
  <c r="V70" i="77"/>
  <c r="AD111" i="39"/>
  <c r="AD96" i="39" s="1"/>
  <c r="V68" i="77"/>
  <c r="V64" i="77"/>
  <c r="R118" i="77"/>
  <c r="J118" i="77"/>
  <c r="R154" i="77"/>
  <c r="J154" i="77"/>
  <c r="J102" i="77"/>
  <c r="J152" i="77"/>
  <c r="AD110" i="39"/>
  <c r="AD95" i="39" s="1"/>
  <c r="R152" i="77"/>
  <c r="AB17" i="52"/>
  <c r="U37" i="77"/>
  <c r="W37" i="77"/>
  <c r="W110" i="77"/>
  <c r="W117" i="77" s="1"/>
  <c r="U110" i="77"/>
  <c r="U117" i="77" s="1"/>
  <c r="W86" i="77"/>
  <c r="W95" i="77"/>
  <c r="W102" i="77" s="1"/>
  <c r="V126" i="77"/>
  <c r="V133" i="77" s="1"/>
  <c r="V37" i="77"/>
  <c r="V110" i="77"/>
  <c r="V117" i="77" s="1"/>
  <c r="AD24" i="3"/>
  <c r="K46" i="77"/>
  <c r="K48" i="77" s="1"/>
  <c r="V40" i="28"/>
  <c r="P47" i="27" s="1"/>
  <c r="I46" i="77"/>
  <c r="I48" i="77" s="1"/>
  <c r="J46" i="77"/>
  <c r="J48" i="77" s="1"/>
  <c r="V107" i="77"/>
  <c r="V114" i="77" s="1"/>
  <c r="V95" i="77"/>
  <c r="V102" i="77" s="1"/>
  <c r="V86" i="77"/>
  <c r="U124" i="77"/>
  <c r="U131" i="77" s="1"/>
  <c r="U108" i="77"/>
  <c r="U115" i="77" s="1"/>
  <c r="U35" i="77"/>
  <c r="U36" i="77"/>
  <c r="U109" i="77"/>
  <c r="U116" i="77" s="1"/>
  <c r="U125" i="77"/>
  <c r="U132" i="77" s="1"/>
  <c r="U86" i="77"/>
  <c r="U95" i="77"/>
  <c r="U102" i="77" s="1"/>
  <c r="AB174" i="30"/>
  <c r="U27" i="77"/>
  <c r="U23" i="77"/>
  <c r="E46" i="77"/>
  <c r="G46" i="77"/>
  <c r="F46" i="77"/>
  <c r="AB232" i="16"/>
  <c r="AB21" i="16" s="1"/>
  <c r="AB21" i="3" s="1"/>
  <c r="AB98" i="39"/>
  <c r="AB12" i="39" s="1"/>
  <c r="V13" i="77" s="1"/>
  <c r="V24" i="77" s="1"/>
  <c r="AB22" i="52"/>
  <c r="AB264" i="30"/>
  <c r="AB275" i="30" s="1"/>
  <c r="AC205" i="38"/>
  <c r="M9" i="37"/>
  <c r="Y257" i="16"/>
  <c r="Z257" i="16"/>
  <c r="Z90" i="16"/>
  <c r="Z96" i="16"/>
  <c r="Z97" i="16" s="1"/>
  <c r="AB250" i="30"/>
  <c r="AB24" i="30" s="1"/>
  <c r="AB26" i="29" s="1"/>
  <c r="AC264" i="30"/>
  <c r="AC275" i="30" s="1"/>
  <c r="AD250" i="30"/>
  <c r="AD24" i="30" s="1"/>
  <c r="AD26" i="29" s="1"/>
  <c r="Y275" i="30"/>
  <c r="AB16" i="52"/>
  <c r="AA105" i="30"/>
  <c r="AA106" i="30" s="1"/>
  <c r="AA275" i="30"/>
  <c r="Z275" i="30"/>
  <c r="AD177" i="30"/>
  <c r="I37" i="28"/>
  <c r="G44" i="27" s="1"/>
  <c r="Z37" i="29"/>
  <c r="AB93" i="30"/>
  <c r="AB113" i="30" s="1"/>
  <c r="AA232" i="30"/>
  <c r="AA238" i="30" s="1"/>
  <c r="Y99" i="30"/>
  <c r="X38" i="29"/>
  <c r="Y222" i="16"/>
  <c r="Y223" i="16" s="1"/>
  <c r="Z222" i="16"/>
  <c r="Z224" i="16" s="1"/>
  <c r="AA222" i="16"/>
  <c r="AA223" i="16" s="1"/>
  <c r="AA99" i="30"/>
  <c r="AC164" i="29"/>
  <c r="AC165" i="29" s="1"/>
  <c r="AC115" i="29" s="1"/>
  <c r="AB145" i="52"/>
  <c r="AB196" i="16"/>
  <c r="AD175" i="30"/>
  <c r="AB20" i="3"/>
  <c r="AD21" i="3"/>
  <c r="AC21" i="3"/>
  <c r="AB18" i="38"/>
  <c r="Y32" i="38"/>
  <c r="Y40" i="38" s="1"/>
  <c r="AB17" i="38"/>
  <c r="AD72" i="52"/>
  <c r="AD77" i="52"/>
  <c r="AA236" i="30"/>
  <c r="AC17" i="30"/>
  <c r="AC252" i="30"/>
  <c r="AC187" i="52" s="1"/>
  <c r="AB20" i="29"/>
  <c r="AC93" i="30"/>
  <c r="AC112" i="30" s="1"/>
  <c r="AC174" i="30"/>
  <c r="AD26" i="38"/>
  <c r="AC220" i="16"/>
  <c r="AD27" i="38"/>
  <c r="AD174" i="30"/>
  <c r="AD93" i="30"/>
  <c r="AD112" i="30" s="1"/>
  <c r="AC90" i="52"/>
  <c r="AC86" i="52"/>
  <c r="AB19" i="38"/>
  <c r="M9" i="28"/>
  <c r="AB23" i="29"/>
  <c r="Y105" i="30"/>
  <c r="Y107" i="30" s="1"/>
  <c r="AC22" i="38"/>
  <c r="AB19" i="3"/>
  <c r="AC218" i="39"/>
  <c r="AC225" i="39" s="1"/>
  <c r="X70" i="39"/>
  <c r="X31" i="39"/>
  <c r="H11" i="37"/>
  <c r="Y31" i="16"/>
  <c r="Y64" i="16"/>
  <c r="I11" i="14"/>
  <c r="Y42" i="16"/>
  <c r="AB198" i="39"/>
  <c r="AB184" i="39"/>
  <c r="AB141" i="39" s="1"/>
  <c r="AB147" i="39" s="1"/>
  <c r="AD18" i="38"/>
  <c r="AD318" i="39"/>
  <c r="AD82" i="52"/>
  <c r="Z32" i="38"/>
  <c r="Z40" i="38" s="1"/>
  <c r="AD11" i="39"/>
  <c r="AD17" i="52"/>
  <c r="AC89" i="52"/>
  <c r="AC85" i="52"/>
  <c r="AB12" i="38"/>
  <c r="Z31" i="39"/>
  <c r="Z70" i="39"/>
  <c r="J11" i="37"/>
  <c r="T61" i="30"/>
  <c r="T28" i="30"/>
  <c r="AD313" i="39"/>
  <c r="AD319" i="39" s="1"/>
  <c r="AD140" i="39"/>
  <c r="AD146" i="39" s="1"/>
  <c r="AC18" i="38"/>
  <c r="AC217" i="39"/>
  <c r="AC224" i="39" s="1"/>
  <c r="AC318" i="39"/>
  <c r="X31" i="16"/>
  <c r="X64" i="16"/>
  <c r="H11" i="14"/>
  <c r="X42" i="16"/>
  <c r="AB77" i="52"/>
  <c r="AB72" i="52"/>
  <c r="X40" i="3"/>
  <c r="X41" i="3"/>
  <c r="AD17" i="30"/>
  <c r="I37" i="14"/>
  <c r="G44" i="13" s="1"/>
  <c r="AC20" i="3"/>
  <c r="AD279" i="39"/>
  <c r="AD283" i="39" s="1"/>
  <c r="AC16" i="39"/>
  <c r="AD20" i="29"/>
  <c r="AD145" i="52"/>
  <c r="AD196" i="16"/>
  <c r="AA114" i="52"/>
  <c r="AA119" i="52"/>
  <c r="AD176" i="30"/>
  <c r="AC84" i="16"/>
  <c r="AC159" i="16" s="1"/>
  <c r="AC76" i="52"/>
  <c r="AC71" i="52"/>
  <c r="AC77" i="52"/>
  <c r="AC72" i="52"/>
  <c r="AC11" i="39"/>
  <c r="AC17" i="52"/>
  <c r="AD84" i="16"/>
  <c r="AD159" i="16" s="1"/>
  <c r="AD81" i="52"/>
  <c r="AB73" i="52"/>
  <c r="AB78" i="52"/>
  <c r="Z105" i="30"/>
  <c r="Z107" i="30" s="1"/>
  <c r="AC26" i="38"/>
  <c r="AA204" i="3"/>
  <c r="AB18" i="29"/>
  <c r="AB130" i="39"/>
  <c r="AB215" i="39"/>
  <c r="AB222" i="39" s="1"/>
  <c r="AC17" i="16"/>
  <c r="AD54" i="38"/>
  <c r="AD75" i="38"/>
  <c r="AD101" i="38" s="1"/>
  <c r="Y119" i="52"/>
  <c r="Y114" i="52"/>
  <c r="Y225" i="52"/>
  <c r="AB71" i="52"/>
  <c r="AB76" i="52"/>
  <c r="AD277" i="39"/>
  <c r="AD27" i="30"/>
  <c r="AD24" i="29"/>
  <c r="AD251" i="30" s="1"/>
  <c r="AD263" i="30" s="1"/>
  <c r="AD274" i="30" s="1"/>
  <c r="AD209" i="29"/>
  <c r="AB27" i="38"/>
  <c r="AB308" i="39"/>
  <c r="AB144" i="52"/>
  <c r="AB277" i="39"/>
  <c r="AB280" i="39"/>
  <c r="AB279" i="39"/>
  <c r="AB283" i="39" s="1"/>
  <c r="AC26" i="29"/>
  <c r="H43" i="37"/>
  <c r="F50" i="36" s="1"/>
  <c r="H21" i="37"/>
  <c r="AD76" i="52"/>
  <c r="AD71" i="52"/>
  <c r="AD184" i="3"/>
  <c r="AD185" i="3" s="1"/>
  <c r="AD126" i="3" s="1"/>
  <c r="AC185" i="3"/>
  <c r="AC126" i="3" s="1"/>
  <c r="Y70" i="39"/>
  <c r="Y31" i="39"/>
  <c r="I11" i="37"/>
  <c r="AD220" i="16"/>
  <c r="AC19" i="38"/>
  <c r="H37" i="28"/>
  <c r="F44" i="27" s="1"/>
  <c r="F43" i="27"/>
  <c r="AC96" i="30"/>
  <c r="AC102" i="30" s="1"/>
  <c r="AC231" i="30"/>
  <c r="AC304" i="39"/>
  <c r="AC97" i="39"/>
  <c r="AC22" i="52" s="1"/>
  <c r="AD112" i="39"/>
  <c r="AD97" i="39" s="1"/>
  <c r="AB223" i="30"/>
  <c r="AB222" i="30" s="1"/>
  <c r="U145" i="77" s="1"/>
  <c r="U146" i="77" s="1"/>
  <c r="U152" i="77" s="1"/>
  <c r="AC11" i="30"/>
  <c r="AC11" i="29"/>
  <c r="AD217" i="39"/>
  <c r="AD224" i="39" s="1"/>
  <c r="J37" i="14"/>
  <c r="H44" i="13" s="1"/>
  <c r="AD184" i="39"/>
  <c r="AD141" i="39" s="1"/>
  <c r="AD147" i="39" s="1"/>
  <c r="AD198" i="39"/>
  <c r="Z99" i="30"/>
  <c r="AB84" i="16"/>
  <c r="AB159" i="16" s="1"/>
  <c r="AB17" i="30"/>
  <c r="T54" i="29"/>
  <c r="T253" i="30" s="1"/>
  <c r="AA54" i="29"/>
  <c r="AA253" i="30" s="1"/>
  <c r="S64" i="30"/>
  <c r="AD25" i="3"/>
  <c r="AD219" i="3"/>
  <c r="Y41" i="3"/>
  <c r="Y40" i="3"/>
  <c r="AB140" i="39"/>
  <c r="AB146" i="39" s="1"/>
  <c r="AB313" i="39"/>
  <c r="AD96" i="30"/>
  <c r="AD102" i="30" s="1"/>
  <c r="AD231" i="30"/>
  <c r="AD179" i="38"/>
  <c r="Z114" i="52"/>
  <c r="Z119" i="52"/>
  <c r="Z225" i="52"/>
  <c r="AC20" i="38"/>
  <c r="J43" i="37"/>
  <c r="H50" i="36" s="1"/>
  <c r="J21" i="37"/>
  <c r="AC18" i="29"/>
  <c r="AB176" i="30"/>
  <c r="Y38" i="29"/>
  <c r="Y37" i="29"/>
  <c r="AC313" i="39"/>
  <c r="AC319" i="39" s="1"/>
  <c r="AC140" i="39"/>
  <c r="AC146" i="39" s="1"/>
  <c r="AC30" i="16"/>
  <c r="AC234" i="16"/>
  <c r="AC245" i="16" s="1"/>
  <c r="AC256" i="16" s="1"/>
  <c r="AC53" i="3"/>
  <c r="AB220" i="16"/>
  <c r="X32" i="38"/>
  <c r="X40" i="38" s="1"/>
  <c r="AD130" i="39"/>
  <c r="AD215" i="39"/>
  <c r="AD222" i="39" s="1"/>
  <c r="AB218" i="39"/>
  <c r="AB225" i="39" s="1"/>
  <c r="AD17" i="16"/>
  <c r="Z148" i="39"/>
  <c r="Z143" i="39"/>
  <c r="Z149" i="39"/>
  <c r="AD78" i="52"/>
  <c r="AD73" i="52"/>
  <c r="Z31" i="16"/>
  <c r="Z64" i="16"/>
  <c r="J11" i="14"/>
  <c r="Z42" i="16"/>
  <c r="AC175" i="30"/>
  <c r="AA319" i="39"/>
  <c r="AA314" i="39"/>
  <c r="AA320" i="39" s="1"/>
  <c r="AD204" i="38"/>
  <c r="AB231" i="30"/>
  <c r="AB96" i="30"/>
  <c r="AB102" i="30" s="1"/>
  <c r="AC18" i="3"/>
  <c r="Z40" i="3"/>
  <c r="Z41" i="3"/>
  <c r="Y319" i="39"/>
  <c r="Y314" i="39"/>
  <c r="AC20" i="29"/>
  <c r="AC27" i="38"/>
  <c r="Y90" i="16"/>
  <c r="Y96" i="16"/>
  <c r="Y95" i="16"/>
  <c r="AA118" i="52"/>
  <c r="AA113" i="52"/>
  <c r="AA224" i="52"/>
  <c r="T127" i="29"/>
  <c r="T219" i="29"/>
  <c r="AA219" i="29" s="1"/>
  <c r="AA123" i="29"/>
  <c r="AA127" i="29" s="1"/>
  <c r="AA95" i="16"/>
  <c r="AA90" i="16"/>
  <c r="AA96" i="16"/>
  <c r="AD16" i="39"/>
  <c r="AB19" i="29"/>
  <c r="AD19" i="3"/>
  <c r="AD20" i="38"/>
  <c r="AC23" i="29"/>
  <c r="AD206" i="38"/>
  <c r="AC198" i="39"/>
  <c r="AC184" i="39"/>
  <c r="AC141" i="39" s="1"/>
  <c r="AC147" i="39" s="1"/>
  <c r="Z120" i="52"/>
  <c r="Z115" i="52"/>
  <c r="Z226" i="52"/>
  <c r="AC17" i="38"/>
  <c r="Z118" i="52"/>
  <c r="Z113" i="52"/>
  <c r="Z224" i="52"/>
  <c r="Z237" i="30"/>
  <c r="Z232" i="30"/>
  <c r="Z238" i="30" s="1"/>
  <c r="AC21" i="38"/>
  <c r="AC73" i="52"/>
  <c r="AC78" i="52"/>
  <c r="X28" i="30"/>
  <c r="X61" i="30"/>
  <c r="H11" i="28"/>
  <c r="AA225" i="3"/>
  <c r="H37" i="14"/>
  <c r="F44" i="13" s="1"/>
  <c r="AC19" i="3"/>
  <c r="S216" i="29"/>
  <c r="AB17" i="16"/>
  <c r="Z319" i="39"/>
  <c r="Z314" i="39"/>
  <c r="Y148" i="39"/>
  <c r="Y143" i="39"/>
  <c r="Y149" i="39"/>
  <c r="AB198" i="38"/>
  <c r="AC130" i="39"/>
  <c r="AC215" i="39"/>
  <c r="AC222" i="39" s="1"/>
  <c r="AD153" i="30"/>
  <c r="AD145" i="30" s="1"/>
  <c r="AD97" i="30" s="1"/>
  <c r="AD103" i="30" s="1"/>
  <c r="B23" i="61"/>
  <c r="A22" i="61"/>
  <c r="AA188" i="29"/>
  <c r="AB216" i="39"/>
  <c r="AB223" i="39" s="1"/>
  <c r="AC216" i="39"/>
  <c r="AC223" i="39" s="1"/>
  <c r="AD308" i="39"/>
  <c r="AD144" i="52"/>
  <c r="AD23" i="29"/>
  <c r="Y64" i="30"/>
  <c r="Y33" i="30"/>
  <c r="I10" i="28"/>
  <c r="AA25" i="30"/>
  <c r="AA57" i="30"/>
  <c r="L8" i="28"/>
  <c r="L38" i="28" s="1"/>
  <c r="J45" i="27" s="1"/>
  <c r="I43" i="37"/>
  <c r="G50" i="36" s="1"/>
  <c r="I21" i="37"/>
  <c r="AD187" i="29"/>
  <c r="Y120" i="52"/>
  <c r="Y115" i="52"/>
  <c r="Y226" i="52"/>
  <c r="AD17" i="38"/>
  <c r="J37" i="28"/>
  <c r="H44" i="27" s="1"/>
  <c r="H43" i="27"/>
  <c r="AD18" i="29"/>
  <c r="AD20" i="3"/>
  <c r="AD103" i="39"/>
  <c r="AD118" i="39"/>
  <c r="AD57" i="38"/>
  <c r="AB16" i="39"/>
  <c r="AC145" i="52"/>
  <c r="AC196" i="16"/>
  <c r="AC176" i="30"/>
  <c r="I41" i="28"/>
  <c r="G48" i="27" s="1"/>
  <c r="I49" i="28"/>
  <c r="G56" i="27" s="1"/>
  <c r="I51" i="28"/>
  <c r="G58" i="27" s="1"/>
  <c r="I53" i="28"/>
  <c r="G60" i="27" s="1"/>
  <c r="I42" i="28"/>
  <c r="G49" i="27" s="1"/>
  <c r="I50" i="28"/>
  <c r="G57" i="27" s="1"/>
  <c r="AB217" i="39"/>
  <c r="AB224" i="39" s="1"/>
  <c r="AB175" i="30"/>
  <c r="T218" i="29"/>
  <c r="AD19" i="38"/>
  <c r="Y113" i="52"/>
  <c r="Y118" i="52"/>
  <c r="Y224" i="52"/>
  <c r="Z28" i="30"/>
  <c r="Z61" i="30"/>
  <c r="J11" i="28"/>
  <c r="AC153" i="30"/>
  <c r="AC145" i="30" s="1"/>
  <c r="AC97" i="30" s="1"/>
  <c r="AC103" i="30" s="1"/>
  <c r="AD216" i="39"/>
  <c r="AD223" i="39" s="1"/>
  <c r="Y232" i="30"/>
  <c r="Y238" i="30" s="1"/>
  <c r="V123" i="77" l="1"/>
  <c r="V130" i="77" s="1"/>
  <c r="V124" i="77"/>
  <c r="V131" i="77" s="1"/>
  <c r="W125" i="77"/>
  <c r="W132" i="77" s="1"/>
  <c r="V35" i="77"/>
  <c r="AD154" i="39"/>
  <c r="AD52" i="52" s="1"/>
  <c r="AD137" i="39"/>
  <c r="AC157" i="39"/>
  <c r="AC55" i="52" s="1"/>
  <c r="AC137" i="39"/>
  <c r="V36" i="77"/>
  <c r="AB154" i="39"/>
  <c r="AB52" i="52" s="1"/>
  <c r="AB137" i="39"/>
  <c r="V125" i="77"/>
  <c r="V132" i="77" s="1"/>
  <c r="V31" i="77"/>
  <c r="V41" i="77" s="1"/>
  <c r="W109" i="77"/>
  <c r="W116" i="77" s="1"/>
  <c r="W35" i="77"/>
  <c r="W31" i="77"/>
  <c r="W42" i="77" s="1"/>
  <c r="W124" i="77"/>
  <c r="W131" i="77" s="1"/>
  <c r="W123" i="77"/>
  <c r="W130" i="77" s="1"/>
  <c r="W107" i="77"/>
  <c r="W114" i="77" s="1"/>
  <c r="W34" i="77"/>
  <c r="AD201" i="30"/>
  <c r="AD185" i="30"/>
  <c r="AD11" i="30" s="1"/>
  <c r="J58" i="15"/>
  <c r="I63" i="15"/>
  <c r="J63" i="15" s="1"/>
  <c r="K63" i="15" s="1"/>
  <c r="K57" i="15"/>
  <c r="M28" i="15"/>
  <c r="M33" i="15" s="1"/>
  <c r="M58" i="15"/>
  <c r="N57" i="15"/>
  <c r="M62" i="15"/>
  <c r="N62" i="15" s="1"/>
  <c r="O62" i="15" s="1"/>
  <c r="Q46" i="77"/>
  <c r="Q48" i="77" s="1"/>
  <c r="E43" i="15"/>
  <c r="AD264" i="30"/>
  <c r="AD275" i="30" s="1"/>
  <c r="AA107" i="30"/>
  <c r="AD22" i="52"/>
  <c r="AB156" i="39"/>
  <c r="AB11" i="38"/>
  <c r="W142" i="77"/>
  <c r="W147" i="77" s="1"/>
  <c r="W153" i="77" s="1"/>
  <c r="W149" i="77"/>
  <c r="W154" i="77" s="1"/>
  <c r="AB235" i="16"/>
  <c r="AB189" i="52" s="1"/>
  <c r="V142" i="77"/>
  <c r="V147" i="77" s="1"/>
  <c r="V153" i="77" s="1"/>
  <c r="V149" i="77"/>
  <c r="V154" i="77" s="1"/>
  <c r="U34" i="77"/>
  <c r="U123" i="77"/>
  <c r="U130" i="77" s="1"/>
  <c r="U31" i="77"/>
  <c r="U107" i="77"/>
  <c r="U114" i="77" s="1"/>
  <c r="E48" i="77"/>
  <c r="F48" i="77"/>
  <c r="G48" i="77"/>
  <c r="AD98" i="39"/>
  <c r="AD12" i="39" s="1"/>
  <c r="AA321" i="39"/>
  <c r="AA322" i="39" s="1"/>
  <c r="AC98" i="39"/>
  <c r="AC11" i="38" s="1"/>
  <c r="AB157" i="39"/>
  <c r="AD252" i="30"/>
  <c r="AD187" i="52" s="1"/>
  <c r="AD197" i="52" s="1"/>
  <c r="AD101" i="16"/>
  <c r="AD58" i="52" s="1"/>
  <c r="AC101" i="16"/>
  <c r="Z151" i="39"/>
  <c r="AB252" i="30"/>
  <c r="Y151" i="39"/>
  <c r="AD205" i="38"/>
  <c r="Y201" i="38"/>
  <c r="Z201" i="38"/>
  <c r="Z98" i="16"/>
  <c r="Z223" i="16"/>
  <c r="AC16" i="52"/>
  <c r="AB111" i="30"/>
  <c r="AB48" i="52" s="1"/>
  <c r="AB112" i="30"/>
  <c r="AB193" i="30"/>
  <c r="AB164" i="30"/>
  <c r="AB178" i="30"/>
  <c r="AB194" i="30"/>
  <c r="AB10" i="29"/>
  <c r="AB110" i="30"/>
  <c r="AB10" i="30"/>
  <c r="U11" i="77" s="1"/>
  <c r="Z106" i="30"/>
  <c r="AC111" i="30"/>
  <c r="AC48" i="52" s="1"/>
  <c r="AC193" i="30"/>
  <c r="AA239" i="30"/>
  <c r="AA240" i="30" s="1"/>
  <c r="Y106" i="30"/>
  <c r="AC110" i="30"/>
  <c r="AB49" i="52"/>
  <c r="AD102" i="16"/>
  <c r="AD60" i="52" s="1"/>
  <c r="AA189" i="29"/>
  <c r="AB189" i="29" s="1"/>
  <c r="AC189" i="29" s="1"/>
  <c r="AD164" i="29"/>
  <c r="AD165" i="29" s="1"/>
  <c r="AD115" i="29" s="1"/>
  <c r="Y224" i="16"/>
  <c r="AA224" i="16"/>
  <c r="AD157" i="39"/>
  <c r="AD55" i="52" s="1"/>
  <c r="X201" i="38"/>
  <c r="AD155" i="39"/>
  <c r="AD54" i="52" s="1"/>
  <c r="AD193" i="30"/>
  <c r="AC155" i="39"/>
  <c r="AC54" i="52" s="1"/>
  <c r="AD156" i="39"/>
  <c r="AD194" i="30"/>
  <c r="AD111" i="30"/>
  <c r="AD48" i="52" s="1"/>
  <c r="AD47" i="52"/>
  <c r="X33" i="30"/>
  <c r="X64" i="30"/>
  <c r="H10" i="28"/>
  <c r="AD157" i="52"/>
  <c r="AD152" i="52"/>
  <c r="AB16" i="38"/>
  <c r="Z150" i="39"/>
  <c r="AD237" i="30"/>
  <c r="J42" i="28"/>
  <c r="H49" i="27" s="1"/>
  <c r="J50" i="28"/>
  <c r="H57" i="27" s="1"/>
  <c r="J51" i="28"/>
  <c r="H58" i="27" s="1"/>
  <c r="J53" i="28"/>
  <c r="H60" i="27" s="1"/>
  <c r="J41" i="28"/>
  <c r="H48" i="27" s="1"/>
  <c r="J49" i="28"/>
  <c r="H56" i="27" s="1"/>
  <c r="AB155" i="39"/>
  <c r="AB17" i="3"/>
  <c r="H41" i="28"/>
  <c r="F48" i="27" s="1"/>
  <c r="H49" i="28"/>
  <c r="F56" i="27" s="1"/>
  <c r="H51" i="28"/>
  <c r="F58" i="27" s="1"/>
  <c r="H53" i="28"/>
  <c r="F60" i="27" s="1"/>
  <c r="H42" i="28"/>
  <c r="F49" i="27" s="1"/>
  <c r="H50" i="28"/>
  <c r="F57" i="27" s="1"/>
  <c r="B24" i="61"/>
  <c r="A23" i="61"/>
  <c r="AD219" i="39"/>
  <c r="AD226" i="39" s="1"/>
  <c r="AD92" i="39"/>
  <c r="AD205" i="39"/>
  <c r="AB17" i="29"/>
  <c r="AB226" i="30"/>
  <c r="AB143" i="52"/>
  <c r="AB211" i="30"/>
  <c r="AC237" i="30"/>
  <c r="AB281" i="39"/>
  <c r="AB315" i="39"/>
  <c r="AB314" i="39" s="1"/>
  <c r="AB320" i="39" s="1"/>
  <c r="AB161" i="52"/>
  <c r="AC235" i="16"/>
  <c r="AC189" i="52" s="1"/>
  <c r="AC12" i="38"/>
  <c r="AD15" i="16"/>
  <c r="AD216" i="16"/>
  <c r="AD215" i="16" s="1"/>
  <c r="AD162" i="52"/>
  <c r="Z34" i="39"/>
  <c r="Z73" i="39"/>
  <c r="J10" i="37"/>
  <c r="AC178" i="30"/>
  <c r="AC10" i="30"/>
  <c r="AC164" i="30"/>
  <c r="AC10" i="29"/>
  <c r="AC113" i="30"/>
  <c r="AC194" i="30"/>
  <c r="AC17" i="29"/>
  <c r="AB188" i="29"/>
  <c r="AC10" i="16"/>
  <c r="AC180" i="16"/>
  <c r="AC12" i="16" s="1"/>
  <c r="AC145" i="16"/>
  <c r="AC166" i="16"/>
  <c r="AC103" i="16"/>
  <c r="AC104" i="16"/>
  <c r="Z71" i="38"/>
  <c r="Z43" i="38"/>
  <c r="AB319" i="39"/>
  <c r="AB10" i="16"/>
  <c r="W11" i="77" s="1"/>
  <c r="W22" i="77" s="1"/>
  <c r="AB145" i="16"/>
  <c r="AB166" i="16"/>
  <c r="AB180" i="16"/>
  <c r="AB12" i="16" s="1"/>
  <c r="W13" i="77" s="1"/>
  <c r="W24" i="77" s="1"/>
  <c r="AB103" i="16"/>
  <c r="AB104" i="16"/>
  <c r="AD89" i="52"/>
  <c r="AD85" i="52"/>
  <c r="AC16" i="38"/>
  <c r="H41" i="14"/>
  <c r="F48" i="13" s="1"/>
  <c r="H51" i="14"/>
  <c r="F58" i="13" s="1"/>
  <c r="H53" i="14"/>
  <c r="F60" i="13" s="1"/>
  <c r="H42" i="14"/>
  <c r="F49" i="13" s="1"/>
  <c r="H49" i="14"/>
  <c r="F56" i="13" s="1"/>
  <c r="H50" i="14"/>
  <c r="F57" i="13" s="1"/>
  <c r="AD86" i="52"/>
  <c r="AD90" i="52"/>
  <c r="I42" i="14"/>
  <c r="G49" i="13" s="1"/>
  <c r="I50" i="14"/>
  <c r="G57" i="13" s="1"/>
  <c r="I41" i="14"/>
  <c r="G48" i="13" s="1"/>
  <c r="I51" i="14"/>
  <c r="G58" i="13" s="1"/>
  <c r="I53" i="14"/>
  <c r="G60" i="13" s="1"/>
  <c r="I49" i="14"/>
  <c r="G56" i="13" s="1"/>
  <c r="T216" i="29"/>
  <c r="AA218" i="29"/>
  <c r="AA216" i="29" s="1"/>
  <c r="AD103" i="16"/>
  <c r="AA61" i="30"/>
  <c r="AA28" i="30"/>
  <c r="E44" i="15" s="1"/>
  <c r="L11" i="28"/>
  <c r="E13" i="15"/>
  <c r="AC154" i="39"/>
  <c r="Y150" i="39"/>
  <c r="AD16" i="38"/>
  <c r="AD30" i="16"/>
  <c r="AD234" i="16"/>
  <c r="AD53" i="3"/>
  <c r="AB101" i="16"/>
  <c r="AC102" i="16"/>
  <c r="AD300" i="39"/>
  <c r="AD58" i="38"/>
  <c r="AD78" i="38" s="1"/>
  <c r="AD104" i="38" s="1"/>
  <c r="AD17" i="29"/>
  <c r="AC156" i="39"/>
  <c r="Y320" i="39"/>
  <c r="Y321" i="39"/>
  <c r="I40" i="28"/>
  <c r="G47" i="27" s="1"/>
  <c r="I52" i="28"/>
  <c r="G59" i="27" s="1"/>
  <c r="AD156" i="52"/>
  <c r="AD151" i="52"/>
  <c r="Z320" i="39"/>
  <c r="Z321" i="39"/>
  <c r="AB237" i="30"/>
  <c r="J50" i="14"/>
  <c r="H57" i="13" s="1"/>
  <c r="J41" i="14"/>
  <c r="H48" i="13" s="1"/>
  <c r="J51" i="14"/>
  <c r="H58" i="13" s="1"/>
  <c r="J53" i="14"/>
  <c r="H60" i="13" s="1"/>
  <c r="J42" i="14"/>
  <c r="H49" i="13" s="1"/>
  <c r="J49" i="14"/>
  <c r="H56" i="13" s="1"/>
  <c r="X43" i="38"/>
  <c r="X71" i="38"/>
  <c r="X36" i="16"/>
  <c r="X67" i="16"/>
  <c r="H10" i="14"/>
  <c r="Y36" i="16"/>
  <c r="Y67" i="16"/>
  <c r="I10" i="14"/>
  <c r="AD178" i="30"/>
  <c r="AD10" i="30"/>
  <c r="AD164" i="30"/>
  <c r="AD10" i="29"/>
  <c r="AD113" i="30"/>
  <c r="AB15" i="16"/>
  <c r="AB216" i="16"/>
  <c r="AB215" i="16" s="1"/>
  <c r="AB162" i="52"/>
  <c r="AB157" i="52"/>
  <c r="AB152" i="52"/>
  <c r="AD223" i="30"/>
  <c r="AD222" i="30" s="1"/>
  <c r="AC223" i="30"/>
  <c r="AC222" i="30" s="1"/>
  <c r="AB151" i="52"/>
  <c r="AB156" i="52"/>
  <c r="AC17" i="3"/>
  <c r="T64" i="30"/>
  <c r="AC15" i="16"/>
  <c r="AC216" i="16"/>
  <c r="AC215" i="16" s="1"/>
  <c r="AC162" i="52"/>
  <c r="Y37" i="30"/>
  <c r="Y69" i="30"/>
  <c r="Y36" i="30"/>
  <c r="I34" i="28" s="1"/>
  <c r="I47" i="28" s="1"/>
  <c r="G54" i="27" s="1"/>
  <c r="AC219" i="39"/>
  <c r="AC226" i="39" s="1"/>
  <c r="AC92" i="39"/>
  <c r="AC205" i="39"/>
  <c r="Y98" i="16"/>
  <c r="Y97" i="16"/>
  <c r="AC157" i="52"/>
  <c r="AC152" i="52"/>
  <c r="AC198" i="38"/>
  <c r="AA97" i="16"/>
  <c r="AA98" i="16"/>
  <c r="Z36" i="16"/>
  <c r="Z67" i="16"/>
  <c r="J10" i="14"/>
  <c r="AC308" i="39"/>
  <c r="AC144" i="52"/>
  <c r="AC280" i="39"/>
  <c r="AC279" i="39"/>
  <c r="AC283" i="39" s="1"/>
  <c r="AC277" i="39"/>
  <c r="I41" i="37"/>
  <c r="G48" i="36" s="1"/>
  <c r="I49" i="37"/>
  <c r="G56" i="36" s="1"/>
  <c r="I51" i="37"/>
  <c r="G58" i="36" s="1"/>
  <c r="I53" i="37"/>
  <c r="G60" i="36" s="1"/>
  <c r="I42" i="37"/>
  <c r="G49" i="36" s="1"/>
  <c r="I50" i="37"/>
  <c r="G57" i="36" s="1"/>
  <c r="AB300" i="39"/>
  <c r="AB58" i="38"/>
  <c r="AB78" i="38" s="1"/>
  <c r="AB104" i="38" s="1"/>
  <c r="AD281" i="39"/>
  <c r="AD315" i="39"/>
  <c r="AD314" i="39" s="1"/>
  <c r="AD320" i="39" s="1"/>
  <c r="AD161" i="52"/>
  <c r="J42" i="37"/>
  <c r="H49" i="36" s="1"/>
  <c r="J50" i="37"/>
  <c r="H57" i="36" s="1"/>
  <c r="J41" i="37"/>
  <c r="H48" i="36" s="1"/>
  <c r="J49" i="37"/>
  <c r="H56" i="36" s="1"/>
  <c r="J51" i="37"/>
  <c r="H58" i="36" s="1"/>
  <c r="J53" i="37"/>
  <c r="H60" i="36" s="1"/>
  <c r="AD12" i="38"/>
  <c r="H41" i="37"/>
  <c r="F48" i="36" s="1"/>
  <c r="H49" i="37"/>
  <c r="F56" i="36" s="1"/>
  <c r="H51" i="37"/>
  <c r="F58" i="36" s="1"/>
  <c r="H53" i="37"/>
  <c r="F60" i="36" s="1"/>
  <c r="H42" i="37"/>
  <c r="F49" i="36" s="1"/>
  <c r="H50" i="37"/>
  <c r="F57" i="36" s="1"/>
  <c r="AD110" i="30"/>
  <c r="Y239" i="30"/>
  <c r="Y240" i="30" s="1"/>
  <c r="AB102" i="16"/>
  <c r="Z64" i="30"/>
  <c r="Z33" i="30"/>
  <c r="J10" i="28"/>
  <c r="AC47" i="52"/>
  <c r="Y71" i="38"/>
  <c r="Y43" i="38"/>
  <c r="AD17" i="3"/>
  <c r="AB92" i="39"/>
  <c r="AB205" i="39"/>
  <c r="AB212" i="39" s="1"/>
  <c r="AB142" i="39" s="1"/>
  <c r="AB219" i="39"/>
  <c r="AB226" i="39" s="1"/>
  <c r="AD10" i="16"/>
  <c r="AD180" i="16"/>
  <c r="AD12" i="16" s="1"/>
  <c r="AD145" i="16"/>
  <c r="AD166" i="16"/>
  <c r="AD104" i="16"/>
  <c r="Y39" i="30"/>
  <c r="Y34" i="39"/>
  <c r="Y73" i="39"/>
  <c r="I10" i="37"/>
  <c r="X73" i="39"/>
  <c r="X34" i="39"/>
  <c r="H10" i="37"/>
  <c r="AC202" i="52"/>
  <c r="AC207" i="52" s="1"/>
  <c r="AC197" i="52"/>
  <c r="AC192" i="52"/>
  <c r="Z239" i="30"/>
  <c r="Z241" i="30" s="1"/>
  <c r="W111" i="77" l="1"/>
  <c r="W118" i="77" s="1"/>
  <c r="W41" i="77"/>
  <c r="W44" i="77"/>
  <c r="W43" i="77"/>
  <c r="W127" i="77"/>
  <c r="W134" i="77" s="1"/>
  <c r="W38" i="77"/>
  <c r="V38" i="77"/>
  <c r="V111" i="77"/>
  <c r="V118" i="77" s="1"/>
  <c r="V42" i="77"/>
  <c r="V43" i="77"/>
  <c r="V44" i="77"/>
  <c r="V127" i="77"/>
  <c r="V134" i="77" s="1"/>
  <c r="AD152" i="16"/>
  <c r="AD89" i="16" s="1"/>
  <c r="AD188" i="16"/>
  <c r="AB152" i="16"/>
  <c r="AB89" i="16" s="1"/>
  <c r="AB96" i="16" s="1"/>
  <c r="AB188" i="16"/>
  <c r="AC152" i="16"/>
  <c r="AC89" i="16" s="1"/>
  <c r="AC96" i="16" s="1"/>
  <c r="AC188" i="16"/>
  <c r="Q194" i="77"/>
  <c r="Q218" i="77"/>
  <c r="Q206" i="77"/>
  <c r="AD171" i="30"/>
  <c r="AD98" i="30" s="1"/>
  <c r="AD104" i="30" s="1"/>
  <c r="AD202" i="30"/>
  <c r="AD203" i="30" s="1"/>
  <c r="AC171" i="30"/>
  <c r="AC98" i="30" s="1"/>
  <c r="AC202" i="30"/>
  <c r="AC203" i="30" s="1"/>
  <c r="AB171" i="30"/>
  <c r="AB98" i="30" s="1"/>
  <c r="AB99" i="30" s="1"/>
  <c r="AB202" i="30"/>
  <c r="AB203" i="30" s="1"/>
  <c r="AD11" i="29"/>
  <c r="E18" i="15"/>
  <c r="K58" i="15"/>
  <c r="O57" i="15"/>
  <c r="N58" i="15"/>
  <c r="M63" i="15"/>
  <c r="N63" i="15" s="1"/>
  <c r="O63" i="15" s="1"/>
  <c r="F44" i="15"/>
  <c r="G44" i="15" s="1"/>
  <c r="E49" i="15"/>
  <c r="F49" i="15" s="1"/>
  <c r="G49" i="15" s="1"/>
  <c r="F43" i="15"/>
  <c r="G43" i="15" s="1"/>
  <c r="E48" i="15"/>
  <c r="F48" i="15" s="1"/>
  <c r="G48" i="15" s="1"/>
  <c r="AD212" i="39"/>
  <c r="AD142" i="39" s="1"/>
  <c r="AC212" i="39"/>
  <c r="AC142" i="39" s="1"/>
  <c r="AB55" i="52"/>
  <c r="AB53" i="52"/>
  <c r="AD11" i="38"/>
  <c r="AC12" i="39"/>
  <c r="AA323" i="39"/>
  <c r="AB194" i="52"/>
  <c r="AB199" i="52"/>
  <c r="W138" i="77"/>
  <c r="W139" i="77" s="1"/>
  <c r="AB204" i="52"/>
  <c r="AB209" i="52" s="1"/>
  <c r="AD202" i="52"/>
  <c r="AD207" i="52" s="1"/>
  <c r="AB187" i="52"/>
  <c r="AB192" i="52" s="1"/>
  <c r="U138" i="77"/>
  <c r="U139" i="77" s="1"/>
  <c r="AD192" i="52"/>
  <c r="U142" i="77"/>
  <c r="U147" i="77" s="1"/>
  <c r="U153" i="77" s="1"/>
  <c r="U149" i="77"/>
  <c r="U154" i="77" s="1"/>
  <c r="U41" i="77"/>
  <c r="U44" i="77"/>
  <c r="U43" i="77"/>
  <c r="U42" i="77"/>
  <c r="U127" i="77"/>
  <c r="U134" i="77" s="1"/>
  <c r="U111" i="77"/>
  <c r="U118" i="77" s="1"/>
  <c r="U38" i="77"/>
  <c r="U22" i="77"/>
  <c r="AC58" i="52"/>
  <c r="Z323" i="39"/>
  <c r="AD53" i="52"/>
  <c r="AB11" i="52"/>
  <c r="AB93" i="52" s="1"/>
  <c r="AD16" i="52"/>
  <c r="AB47" i="52"/>
  <c r="AB12" i="30"/>
  <c r="U13" i="77" s="1"/>
  <c r="AC12" i="29"/>
  <c r="AC13" i="29" s="1"/>
  <c r="AC172" i="29" s="1"/>
  <c r="AB12" i="29"/>
  <c r="AB13" i="29" s="1"/>
  <c r="AB172" i="29" s="1"/>
  <c r="AA241" i="30"/>
  <c r="AA190" i="29"/>
  <c r="AB46" i="52"/>
  <c r="AC12" i="30"/>
  <c r="AC46" i="52"/>
  <c r="AD12" i="29"/>
  <c r="AD12" i="30"/>
  <c r="Z322" i="39"/>
  <c r="I48" i="28"/>
  <c r="G55" i="27" s="1"/>
  <c r="Y72" i="30"/>
  <c r="Y40" i="30"/>
  <c r="Y322" i="39"/>
  <c r="Y323" i="39"/>
  <c r="AB176" i="52"/>
  <c r="AB181" i="52" s="1"/>
  <c r="AB171" i="52"/>
  <c r="AB166" i="52"/>
  <c r="AD12" i="3"/>
  <c r="AD23" i="52"/>
  <c r="Y45" i="38"/>
  <c r="Y46" i="38"/>
  <c r="Y214" i="38"/>
  <c r="Y231" i="38" s="1"/>
  <c r="AD166" i="52"/>
  <c r="AD176" i="52"/>
  <c r="AD181" i="52" s="1"/>
  <c r="AD171" i="52"/>
  <c r="AD226" i="30"/>
  <c r="AD143" i="52"/>
  <c r="AD211" i="30"/>
  <c r="Y39" i="39"/>
  <c r="Y76" i="39"/>
  <c r="Y46" i="39"/>
  <c r="Q149" i="29"/>
  <c r="U25" i="28" s="1"/>
  <c r="AC10" i="39"/>
  <c r="AC101" i="39"/>
  <c r="AC105" i="39" s="1"/>
  <c r="AC107" i="39" s="1"/>
  <c r="AC12" i="52"/>
  <c r="X40" i="16"/>
  <c r="X72" i="16"/>
  <c r="X43" i="16"/>
  <c r="X39" i="16"/>
  <c r="H34" i="14" s="1"/>
  <c r="H48" i="14" s="1"/>
  <c r="F55" i="13" s="1"/>
  <c r="AB10" i="39"/>
  <c r="V11" i="77" s="1"/>
  <c r="V22" i="77" s="1"/>
  <c r="AB101" i="39"/>
  <c r="AB105" i="39" s="1"/>
  <c r="AB107" i="39" s="1"/>
  <c r="AB12" i="52"/>
  <c r="AC58" i="38"/>
  <c r="AC78" i="38" s="1"/>
  <c r="AC104" i="38" s="1"/>
  <c r="AC300" i="39"/>
  <c r="AD61" i="52"/>
  <c r="AD189" i="29"/>
  <c r="AD245" i="16"/>
  <c r="AD235" i="16"/>
  <c r="AD189" i="52" s="1"/>
  <c r="AA64" i="30"/>
  <c r="L10" i="28"/>
  <c r="E14" i="15"/>
  <c r="AB61" i="52"/>
  <c r="Z214" i="38"/>
  <c r="Z231" i="38" s="1"/>
  <c r="Z45" i="38"/>
  <c r="Z46" i="38"/>
  <c r="AC11" i="52"/>
  <c r="AC199" i="52"/>
  <c r="AC194" i="52"/>
  <c r="AC204" i="52"/>
  <c r="AC209" i="52" s="1"/>
  <c r="J40" i="28"/>
  <c r="H47" i="27" s="1"/>
  <c r="J52" i="28"/>
  <c r="H59" i="27" s="1"/>
  <c r="AC151" i="52"/>
  <c r="AC156" i="52"/>
  <c r="Y40" i="16"/>
  <c r="Y72" i="16"/>
  <c r="Y39" i="16"/>
  <c r="I34" i="14" s="1"/>
  <c r="I48" i="14" s="1"/>
  <c r="G55" i="13" s="1"/>
  <c r="Y43" i="16"/>
  <c r="B25" i="61"/>
  <c r="A24" i="61"/>
  <c r="J40" i="14"/>
  <c r="H47" i="13" s="1"/>
  <c r="J52" i="14"/>
  <c r="H59" i="13" s="1"/>
  <c r="AC172" i="52"/>
  <c r="AC167" i="52"/>
  <c r="AC177" i="52"/>
  <c r="AC182" i="52" s="1"/>
  <c r="AC226" i="30"/>
  <c r="AC143" i="52"/>
  <c r="AC211" i="30"/>
  <c r="AB167" i="52"/>
  <c r="AB177" i="52"/>
  <c r="AB182" i="52" s="1"/>
  <c r="AB172" i="52"/>
  <c r="H40" i="14"/>
  <c r="F47" i="13" s="1"/>
  <c r="H52" i="14"/>
  <c r="F59" i="13" s="1"/>
  <c r="X45" i="38"/>
  <c r="X46" i="38"/>
  <c r="X214" i="38"/>
  <c r="X231" i="38" s="1"/>
  <c r="AD59" i="52"/>
  <c r="AB12" i="3"/>
  <c r="AB23" i="52"/>
  <c r="AC61" i="52"/>
  <c r="J40" i="37"/>
  <c r="H47" i="36" s="1"/>
  <c r="J52" i="37"/>
  <c r="H59" i="36" s="1"/>
  <c r="AD172" i="52"/>
  <c r="AD167" i="52"/>
  <c r="AD177" i="52"/>
  <c r="AD182" i="52" s="1"/>
  <c r="Z240" i="30"/>
  <c r="AC53" i="52"/>
  <c r="AC60" i="52"/>
  <c r="AC59" i="52"/>
  <c r="AD221" i="16"/>
  <c r="AD222" i="16"/>
  <c r="AB15" i="38"/>
  <c r="Z76" i="39"/>
  <c r="Z39" i="39"/>
  <c r="Z46" i="39"/>
  <c r="AD15" i="3"/>
  <c r="AD10" i="39"/>
  <c r="AD101" i="39"/>
  <c r="AD105" i="39" s="1"/>
  <c r="AD107" i="39" s="1"/>
  <c r="AD12" i="52"/>
  <c r="AD49" i="52"/>
  <c r="Z97" i="38"/>
  <c r="Z108" i="38" s="1"/>
  <c r="Z82" i="38"/>
  <c r="X37" i="30"/>
  <c r="X69" i="30"/>
  <c r="X36" i="30"/>
  <c r="H34" i="28" s="1"/>
  <c r="H47" i="28" s="1"/>
  <c r="F54" i="27" s="1"/>
  <c r="X39" i="30"/>
  <c r="AD95" i="16"/>
  <c r="AD90" i="16"/>
  <c r="AD96" i="16"/>
  <c r="Z37" i="30"/>
  <c r="Z69" i="30"/>
  <c r="Z36" i="30"/>
  <c r="J34" i="28" s="1"/>
  <c r="J48" i="28" s="1"/>
  <c r="H55" i="27" s="1"/>
  <c r="Z39" i="30"/>
  <c r="AC221" i="16"/>
  <c r="AC222" i="16"/>
  <c r="AB221" i="16"/>
  <c r="AB222" i="16"/>
  <c r="AD10" i="3"/>
  <c r="AD13" i="52"/>
  <c r="AB60" i="52"/>
  <c r="AC15" i="3"/>
  <c r="AB15" i="3"/>
  <c r="AD15" i="38"/>
  <c r="AD198" i="38"/>
  <c r="Y241" i="30"/>
  <c r="AB58" i="52"/>
  <c r="AC52" i="52"/>
  <c r="W18" i="27"/>
  <c r="S18" i="27"/>
  <c r="T18" i="27"/>
  <c r="V18" i="27"/>
  <c r="U18" i="27"/>
  <c r="AB10" i="3"/>
  <c r="AB13" i="52"/>
  <c r="AC90" i="16"/>
  <c r="AC188" i="29"/>
  <c r="AB190" i="29"/>
  <c r="AC49" i="52"/>
  <c r="X82" i="38"/>
  <c r="X97" i="38"/>
  <c r="X108" i="38" s="1"/>
  <c r="AB59" i="52"/>
  <c r="I52" i="37"/>
  <c r="G59" i="36" s="1"/>
  <c r="I40" i="37"/>
  <c r="G47" i="36" s="1"/>
  <c r="H40" i="37"/>
  <c r="F47" i="36" s="1"/>
  <c r="H52" i="37"/>
  <c r="F59" i="36" s="1"/>
  <c r="AD321" i="39"/>
  <c r="AD322" i="39" s="1"/>
  <c r="AB143" i="39"/>
  <c r="AB149" i="39"/>
  <c r="AB148" i="39"/>
  <c r="AC281" i="39"/>
  <c r="AC315" i="39"/>
  <c r="AC314" i="39" s="1"/>
  <c r="AC161" i="52"/>
  <c r="AB321" i="39"/>
  <c r="AB322" i="39" s="1"/>
  <c r="AC12" i="3"/>
  <c r="AC23" i="52"/>
  <c r="AB233" i="30"/>
  <c r="AB232" i="30" s="1"/>
  <c r="AB15" i="30"/>
  <c r="AB160" i="52"/>
  <c r="AD99" i="30"/>
  <c r="X39" i="39"/>
  <c r="X76" i="39"/>
  <c r="X46" i="39"/>
  <c r="Y82" i="38"/>
  <c r="Y97" i="38"/>
  <c r="Y108" i="38" s="1"/>
  <c r="Z40" i="16"/>
  <c r="Z72" i="16"/>
  <c r="Z39" i="16"/>
  <c r="J34" i="14" s="1"/>
  <c r="J48" i="14" s="1"/>
  <c r="H55" i="13" s="1"/>
  <c r="Z43" i="16"/>
  <c r="AD11" i="52"/>
  <c r="AD46" i="52"/>
  <c r="I40" i="14"/>
  <c r="G47" i="13" s="1"/>
  <c r="I52" i="14"/>
  <c r="G59" i="13" s="1"/>
  <c r="L42" i="28"/>
  <c r="J49" i="27" s="1"/>
  <c r="L41" i="28"/>
  <c r="J48" i="27" s="1"/>
  <c r="E36" i="27" s="1"/>
  <c r="AC10" i="3"/>
  <c r="AC13" i="52"/>
  <c r="AB155" i="52"/>
  <c r="AB150" i="52"/>
  <c r="AB54" i="52"/>
  <c r="H52" i="28"/>
  <c r="F59" i="27" s="1"/>
  <c r="H40" i="28"/>
  <c r="F47" i="27" s="1"/>
  <c r="AB90" i="16" l="1"/>
  <c r="AB95" i="16"/>
  <c r="AB105" i="30"/>
  <c r="AC95" i="16"/>
  <c r="AC97" i="16" s="1"/>
  <c r="AB104" i="30"/>
  <c r="AD13" i="29"/>
  <c r="AD172" i="29" s="1"/>
  <c r="AC136" i="3"/>
  <c r="AC142" i="3" s="1"/>
  <c r="AC122" i="3"/>
  <c r="AD136" i="3"/>
  <c r="AD142" i="3" s="1"/>
  <c r="AD122" i="3"/>
  <c r="AB136" i="3"/>
  <c r="AB142" i="3" s="1"/>
  <c r="AB122" i="3"/>
  <c r="M30" i="14" s="1"/>
  <c r="AD105" i="30"/>
  <c r="AD107" i="30" s="1"/>
  <c r="E19" i="15"/>
  <c r="AC105" i="30"/>
  <c r="AC104" i="30"/>
  <c r="AC99" i="30"/>
  <c r="O58" i="15"/>
  <c r="K31" i="27"/>
  <c r="N31" i="27" s="1"/>
  <c r="K33" i="27"/>
  <c r="N33" i="27" s="1"/>
  <c r="AD148" i="39"/>
  <c r="AD149" i="39"/>
  <c r="AD143" i="39"/>
  <c r="AC148" i="39"/>
  <c r="AC149" i="39"/>
  <c r="AC143" i="39"/>
  <c r="AB202" i="52"/>
  <c r="AB207" i="52" s="1"/>
  <c r="AB197" i="52"/>
  <c r="U24" i="77"/>
  <c r="U14" i="77"/>
  <c r="U21" i="77" s="1"/>
  <c r="V14" i="77"/>
  <c r="V21" i="77" s="1"/>
  <c r="K25" i="28"/>
  <c r="K54" i="28" s="1"/>
  <c r="I61" i="27" s="1"/>
  <c r="U54" i="28"/>
  <c r="O61" i="27" s="1"/>
  <c r="AB21" i="52"/>
  <c r="AB26" i="52" s="1"/>
  <c r="AB33" i="52" s="1"/>
  <c r="AC21" i="52"/>
  <c r="AC26" i="52" s="1"/>
  <c r="AD21" i="52"/>
  <c r="AD26" i="52" s="1"/>
  <c r="AB108" i="29"/>
  <c r="M29" i="28" s="1"/>
  <c r="AB120" i="29"/>
  <c r="AB142" i="29"/>
  <c r="AB223" i="29" s="1"/>
  <c r="AB124" i="29"/>
  <c r="AB210" i="29"/>
  <c r="AB146" i="29" s="1"/>
  <c r="AB13" i="30"/>
  <c r="I42" i="15" s="1"/>
  <c r="AC13" i="30"/>
  <c r="M42" i="15" s="1"/>
  <c r="AD13" i="30"/>
  <c r="Q42" i="15" s="1"/>
  <c r="H48" i="28"/>
  <c r="F55" i="27" s="1"/>
  <c r="H47" i="14"/>
  <c r="F54" i="13" s="1"/>
  <c r="J47" i="14"/>
  <c r="H54" i="13" s="1"/>
  <c r="I47" i="14"/>
  <c r="G54" i="13" s="1"/>
  <c r="Z47" i="39"/>
  <c r="Y47" i="39"/>
  <c r="Y110" i="38"/>
  <c r="Y112" i="38" s="1"/>
  <c r="I13" i="37" s="1"/>
  <c r="Y259" i="38"/>
  <c r="Y264" i="38" s="1"/>
  <c r="Y269" i="38" s="1"/>
  <c r="Y253" i="38"/>
  <c r="X43" i="39"/>
  <c r="X84" i="39" s="1"/>
  <c r="X81" i="39"/>
  <c r="X42" i="39"/>
  <c r="H34" i="37" s="1"/>
  <c r="AB150" i="39"/>
  <c r="AB151" i="39"/>
  <c r="AD188" i="29"/>
  <c r="AC190" i="29"/>
  <c r="AC155" i="52"/>
  <c r="AC150" i="52"/>
  <c r="Y75" i="16"/>
  <c r="Y44" i="16"/>
  <c r="AB323" i="39"/>
  <c r="AD93" i="52"/>
  <c r="AC320" i="39"/>
  <c r="AC321" i="39"/>
  <c r="L40" i="28"/>
  <c r="J47" i="27" s="1"/>
  <c r="Q99" i="29"/>
  <c r="Q101" i="29" s="1"/>
  <c r="U13" i="28" s="1"/>
  <c r="AD233" i="30"/>
  <c r="AD232" i="30" s="1"/>
  <c r="AD15" i="30"/>
  <c r="AD160" i="52"/>
  <c r="AC223" i="16"/>
  <c r="AC224" i="16"/>
  <c r="AB238" i="30"/>
  <c r="AB239" i="30"/>
  <c r="X47" i="39"/>
  <c r="AB70" i="3"/>
  <c r="AD13" i="39"/>
  <c r="AD52" i="39" s="1"/>
  <c r="AD10" i="38"/>
  <c r="AD13" i="38" s="1"/>
  <c r="AD118" i="38" s="1"/>
  <c r="AB98" i="16"/>
  <c r="AB97" i="16"/>
  <c r="AD199" i="52"/>
  <c r="AD194" i="52"/>
  <c r="AD204" i="52"/>
  <c r="AD209" i="52" s="1"/>
  <c r="AD70" i="3"/>
  <c r="AD223" i="16"/>
  <c r="AD224" i="16"/>
  <c r="Z110" i="38"/>
  <c r="Z112" i="38" s="1"/>
  <c r="J13" i="37" s="1"/>
  <c r="Z253" i="38"/>
  <c r="Z259" i="38"/>
  <c r="Z264" i="38" s="1"/>
  <c r="Z269" i="38" s="1"/>
  <c r="AD256" i="16"/>
  <c r="AB94" i="52"/>
  <c r="AB27" i="52"/>
  <c r="X75" i="16"/>
  <c r="X44" i="16"/>
  <c r="AC15" i="38"/>
  <c r="AD97" i="16"/>
  <c r="AD98" i="16"/>
  <c r="AD150" i="52"/>
  <c r="AD155" i="52"/>
  <c r="AB15" i="29"/>
  <c r="Z75" i="16"/>
  <c r="Z44" i="16"/>
  <c r="AC210" i="29"/>
  <c r="AC142" i="29"/>
  <c r="AC120" i="29"/>
  <c r="AC124" i="29"/>
  <c r="AC108" i="29"/>
  <c r="AB98" i="52"/>
  <c r="AB103" i="52"/>
  <c r="AC70" i="3"/>
  <c r="X72" i="30"/>
  <c r="X40" i="30"/>
  <c r="AD142" i="29"/>
  <c r="AD124" i="29"/>
  <c r="AD108" i="29"/>
  <c r="J47" i="28"/>
  <c r="H54" i="27" s="1"/>
  <c r="AC27" i="52"/>
  <c r="AC94" i="52"/>
  <c r="AD27" i="52"/>
  <c r="AD94" i="52"/>
  <c r="Z72" i="30"/>
  <c r="Z40" i="30"/>
  <c r="X110" i="38"/>
  <c r="X112" i="38" s="1"/>
  <c r="H13" i="37" s="1"/>
  <c r="X259" i="38"/>
  <c r="X264" i="38" s="1"/>
  <c r="X269" i="38" s="1"/>
  <c r="X253" i="38"/>
  <c r="X255" i="38" s="1"/>
  <c r="B26" i="61"/>
  <c r="A25" i="61"/>
  <c r="AC93" i="52"/>
  <c r="AB13" i="39"/>
  <c r="AB52" i="39" s="1"/>
  <c r="AB10" i="38"/>
  <c r="AB13" i="38" s="1"/>
  <c r="AB175" i="52"/>
  <c r="AB180" i="52" s="1"/>
  <c r="AB170" i="52"/>
  <c r="AB165" i="52"/>
  <c r="AD95" i="52"/>
  <c r="AC15" i="30"/>
  <c r="AC233" i="30"/>
  <c r="AC232" i="30" s="1"/>
  <c r="AC160" i="52"/>
  <c r="AC95" i="52"/>
  <c r="AC166" i="52"/>
  <c r="AC176" i="52"/>
  <c r="AC181" i="52" s="1"/>
  <c r="AC171" i="52"/>
  <c r="AB95" i="52"/>
  <c r="AB223" i="16"/>
  <c r="AB224" i="16"/>
  <c r="Z43" i="39"/>
  <c r="Z84" i="39" s="1"/>
  <c r="Z81" i="39"/>
  <c r="Z42" i="39"/>
  <c r="J34" i="37" s="1"/>
  <c r="AD323" i="39"/>
  <c r="AC13" i="39"/>
  <c r="AC52" i="39" s="1"/>
  <c r="AC10" i="38"/>
  <c r="AC13" i="38" s="1"/>
  <c r="Y43" i="39"/>
  <c r="Y84" i="39" s="1"/>
  <c r="Y81" i="39"/>
  <c r="Y42" i="39"/>
  <c r="I34" i="37" s="1"/>
  <c r="AD210" i="29" l="1"/>
  <c r="AD120" i="29"/>
  <c r="AB107" i="30"/>
  <c r="AC98" i="16"/>
  <c r="AB106" i="30"/>
  <c r="AB21" i="29"/>
  <c r="AB27" i="29" s="1"/>
  <c r="AB47" i="29"/>
  <c r="AD106" i="30"/>
  <c r="AC107" i="30"/>
  <c r="AC106" i="30"/>
  <c r="R42" i="15"/>
  <c r="N42" i="15"/>
  <c r="J42" i="15"/>
  <c r="AC46" i="30"/>
  <c r="AC180" i="30"/>
  <c r="AC181" i="30" s="1"/>
  <c r="AD46" i="30"/>
  <c r="AD180" i="30"/>
  <c r="AD181" i="30" s="1"/>
  <c r="AB46" i="30"/>
  <c r="AB180" i="30"/>
  <c r="AB181" i="30" s="1"/>
  <c r="AD150" i="39"/>
  <c r="AD151" i="39"/>
  <c r="AC150" i="39"/>
  <c r="AC151" i="39"/>
  <c r="U18" i="77"/>
  <c r="U143" i="77"/>
  <c r="U17" i="77"/>
  <c r="U19" i="77"/>
  <c r="V17" i="77"/>
  <c r="V143" i="77"/>
  <c r="V19" i="77"/>
  <c r="V18" i="77"/>
  <c r="AB128" i="38"/>
  <c r="AC128" i="38"/>
  <c r="AD128" i="38"/>
  <c r="K13" i="28"/>
  <c r="U45" i="28"/>
  <c r="O52" i="27" s="1"/>
  <c r="U44" i="28"/>
  <c r="O51" i="27" s="1"/>
  <c r="AB108" i="52"/>
  <c r="AB118" i="52" s="1"/>
  <c r="AD48" i="30"/>
  <c r="AC63" i="30"/>
  <c r="AC49" i="30"/>
  <c r="AC47" i="30"/>
  <c r="AC189" i="30" s="1"/>
  <c r="AB214" i="52"/>
  <c r="AB219" i="52" s="1"/>
  <c r="AB49" i="30"/>
  <c r="AB47" i="30"/>
  <c r="AB189" i="30" s="1"/>
  <c r="AC48" i="30"/>
  <c r="AD49" i="30"/>
  <c r="AD47" i="30"/>
  <c r="AD189" i="30" s="1"/>
  <c r="AB48" i="30"/>
  <c r="AC223" i="29"/>
  <c r="AB217" i="29"/>
  <c r="AB59" i="30"/>
  <c r="I12" i="15"/>
  <c r="AB60" i="30"/>
  <c r="M7" i="28"/>
  <c r="M43" i="28" s="1"/>
  <c r="K50" i="27" s="1"/>
  <c r="AB56" i="30"/>
  <c r="AB51" i="30"/>
  <c r="AB63" i="30"/>
  <c r="AB32" i="30"/>
  <c r="AB79" i="30" s="1"/>
  <c r="AB76" i="30" s="1"/>
  <c r="AB31" i="29" s="1"/>
  <c r="AB21" i="30"/>
  <c r="AB25" i="30" s="1"/>
  <c r="AB54" i="30"/>
  <c r="AB55" i="30"/>
  <c r="AB52" i="30"/>
  <c r="AB53" i="30"/>
  <c r="AC21" i="30"/>
  <c r="AC25" i="30" s="1"/>
  <c r="M43" i="15" s="1"/>
  <c r="AD63" i="30"/>
  <c r="AD52" i="30"/>
  <c r="AC217" i="29"/>
  <c r="AC146" i="29"/>
  <c r="AD146" i="29" s="1"/>
  <c r="AC60" i="30"/>
  <c r="AC52" i="30"/>
  <c r="AC32" i="30"/>
  <c r="AC79" i="30" s="1"/>
  <c r="AC76" i="30" s="1"/>
  <c r="AC31" i="29" s="1"/>
  <c r="AC55" i="30"/>
  <c r="AC56" i="30"/>
  <c r="M12" i="15"/>
  <c r="AC53" i="30"/>
  <c r="AC59" i="30"/>
  <c r="AC54" i="30"/>
  <c r="AD59" i="30"/>
  <c r="AD56" i="30"/>
  <c r="AD60" i="30"/>
  <c r="AD32" i="30"/>
  <c r="AD79" i="30" s="1"/>
  <c r="AD76" i="30" s="1"/>
  <c r="AD31" i="29" s="1"/>
  <c r="AD54" i="30"/>
  <c r="AD55" i="30"/>
  <c r="AD21" i="30"/>
  <c r="AD25" i="30" s="1"/>
  <c r="Q43" i="15" s="1"/>
  <c r="AD53" i="30"/>
  <c r="Y48" i="39"/>
  <c r="Z48" i="39"/>
  <c r="AC108" i="52"/>
  <c r="AC33" i="52"/>
  <c r="AC214" i="52"/>
  <c r="AC219" i="52" s="1"/>
  <c r="AB51" i="29"/>
  <c r="AB123" i="29"/>
  <c r="AB109" i="29"/>
  <c r="AC55" i="39"/>
  <c r="AC79" i="39"/>
  <c r="AC80" i="39"/>
  <c r="M89" i="15"/>
  <c r="AC65" i="39"/>
  <c r="AC68" i="39"/>
  <c r="AC61" i="39"/>
  <c r="AC59" i="39"/>
  <c r="AC64" i="39"/>
  <c r="AC69" i="39"/>
  <c r="AC63" i="39"/>
  <c r="AC62" i="39"/>
  <c r="AC60" i="39"/>
  <c r="AC58" i="39"/>
  <c r="AC53" i="39"/>
  <c r="AC54" i="39"/>
  <c r="AC105" i="52"/>
  <c r="AC100" i="52"/>
  <c r="AC98" i="52"/>
  <c r="AC103" i="52"/>
  <c r="AD187" i="38"/>
  <c r="AD183" i="38"/>
  <c r="AD160" i="38"/>
  <c r="AD138" i="38"/>
  <c r="AD122" i="38"/>
  <c r="J44" i="37"/>
  <c r="H51" i="36" s="1"/>
  <c r="J45" i="37"/>
  <c r="H52" i="36" s="1"/>
  <c r="AB240" i="30"/>
  <c r="AB241" i="30"/>
  <c r="AC323" i="39"/>
  <c r="AC322" i="39"/>
  <c r="I47" i="37"/>
  <c r="G54" i="36" s="1"/>
  <c r="I48" i="37"/>
  <c r="G55" i="36" s="1"/>
  <c r="AB100" i="52"/>
  <c r="AB105" i="52"/>
  <c r="AC51" i="30"/>
  <c r="AC15" i="29"/>
  <c r="AB183" i="38"/>
  <c r="AB187" i="38"/>
  <c r="AB160" i="38"/>
  <c r="AB227" i="38" s="1"/>
  <c r="AB138" i="38"/>
  <c r="AB122" i="38"/>
  <c r="AB118" i="38"/>
  <c r="Y254" i="38"/>
  <c r="Y255" i="38" s="1"/>
  <c r="X257" i="38"/>
  <c r="X4" i="38" s="1"/>
  <c r="AD99" i="52"/>
  <c r="AD104" i="52"/>
  <c r="AD223" i="29"/>
  <c r="AD51" i="30"/>
  <c r="AD15" i="29"/>
  <c r="AD103" i="52"/>
  <c r="AD98" i="52"/>
  <c r="AD190" i="29"/>
  <c r="J48" i="37"/>
  <c r="H55" i="36" s="1"/>
  <c r="J47" i="37"/>
  <c r="H54" i="36" s="1"/>
  <c r="B27" i="61"/>
  <c r="A26" i="61"/>
  <c r="AD55" i="39"/>
  <c r="AD80" i="39"/>
  <c r="AD79" i="39"/>
  <c r="AD64" i="39"/>
  <c r="AD63" i="39"/>
  <c r="AD68" i="39"/>
  <c r="AD62" i="39"/>
  <c r="AD59" i="39"/>
  <c r="AD65" i="39"/>
  <c r="AD69" i="39"/>
  <c r="AD61" i="39"/>
  <c r="AD60" i="39"/>
  <c r="AD58" i="39"/>
  <c r="AD53" i="39"/>
  <c r="AD54" i="39"/>
  <c r="AD175" i="52"/>
  <c r="AD180" i="52" s="1"/>
  <c r="AD170" i="52"/>
  <c r="AD165" i="52"/>
  <c r="AD34" i="52"/>
  <c r="AD109" i="52"/>
  <c r="AB109" i="52"/>
  <c r="AB34" i="52"/>
  <c r="AD238" i="30"/>
  <c r="AD239" i="30"/>
  <c r="AD33" i="52"/>
  <c r="AD108" i="52"/>
  <c r="AD214" i="52"/>
  <c r="AD219" i="52" s="1"/>
  <c r="I45" i="37"/>
  <c r="G52" i="36" s="1"/>
  <c r="I44" i="37"/>
  <c r="G51" i="36" s="1"/>
  <c r="AC175" i="52"/>
  <c r="AC180" i="52" s="1"/>
  <c r="AC170" i="52"/>
  <c r="AC165" i="52"/>
  <c r="AC238" i="30"/>
  <c r="AC239" i="30"/>
  <c r="AD105" i="52"/>
  <c r="AD100" i="52"/>
  <c r="AB55" i="39"/>
  <c r="AB79" i="39"/>
  <c r="AB80" i="39"/>
  <c r="M7" i="37"/>
  <c r="I89" i="15"/>
  <c r="AB64" i="39"/>
  <c r="AB62" i="39"/>
  <c r="AB68" i="39"/>
  <c r="AB65" i="39"/>
  <c r="AB63" i="39"/>
  <c r="AB61" i="39"/>
  <c r="AB69" i="39"/>
  <c r="AB59" i="39"/>
  <c r="AB60" i="39"/>
  <c r="AB53" i="39"/>
  <c r="AB58" i="39"/>
  <c r="AB54" i="39"/>
  <c r="H45" i="37"/>
  <c r="F52" i="36" s="1"/>
  <c r="H44" i="37"/>
  <c r="F51" i="36" s="1"/>
  <c r="AC99" i="52"/>
  <c r="AC104" i="52"/>
  <c r="AB99" i="52"/>
  <c r="AB104" i="52"/>
  <c r="AC34" i="52"/>
  <c r="AC109" i="52"/>
  <c r="AD217" i="29"/>
  <c r="X48" i="39"/>
  <c r="AC187" i="38"/>
  <c r="AC183" i="38"/>
  <c r="AC160" i="38"/>
  <c r="AC122" i="38"/>
  <c r="AC138" i="38"/>
  <c r="AC118" i="38"/>
  <c r="AD222" i="38" s="1"/>
  <c r="H47" i="37"/>
  <c r="F54" i="36" s="1"/>
  <c r="H48" i="37"/>
  <c r="F55" i="36" s="1"/>
  <c r="AC21" i="29" l="1"/>
  <c r="AC27" i="29" s="1"/>
  <c r="AC47" i="29"/>
  <c r="AD21" i="29"/>
  <c r="AD27" i="29" s="1"/>
  <c r="AD47" i="29"/>
  <c r="S42" i="15"/>
  <c r="O42" i="15"/>
  <c r="K42" i="15"/>
  <c r="N43" i="15"/>
  <c r="M48" i="15"/>
  <c r="N48" i="15" s="1"/>
  <c r="O48" i="15" s="1"/>
  <c r="R43" i="15"/>
  <c r="Q48" i="15"/>
  <c r="R48" i="15" s="1"/>
  <c r="S48" i="15" s="1"/>
  <c r="U46" i="77"/>
  <c r="I43" i="15"/>
  <c r="AD225" i="38"/>
  <c r="AB224" i="52"/>
  <c r="AB113" i="52"/>
  <c r="AC225" i="38"/>
  <c r="AB225" i="38"/>
  <c r="AD227" i="38"/>
  <c r="K45" i="28"/>
  <c r="I52" i="27" s="1"/>
  <c r="K44" i="28"/>
  <c r="I51" i="27" s="1"/>
  <c r="M39" i="28"/>
  <c r="K46" i="27" s="1"/>
  <c r="M36" i="28"/>
  <c r="M37" i="28" s="1"/>
  <c r="K44" i="27" s="1"/>
  <c r="M8" i="28"/>
  <c r="M38" i="28" s="1"/>
  <c r="K45" i="27" s="1"/>
  <c r="AB57" i="30"/>
  <c r="AC57" i="30"/>
  <c r="AD57" i="30"/>
  <c r="AB54" i="29"/>
  <c r="AB253" i="30" s="1"/>
  <c r="Z254" i="38"/>
  <c r="Z255" i="38" s="1"/>
  <c r="Y257" i="38"/>
  <c r="Y4" i="38" s="1"/>
  <c r="AB114" i="52"/>
  <c r="AB119" i="52"/>
  <c r="AD224" i="38"/>
  <c r="AC222" i="38"/>
  <c r="M29" i="37"/>
  <c r="AB222" i="38"/>
  <c r="AC224" i="52"/>
  <c r="AC113" i="52"/>
  <c r="AC118" i="52"/>
  <c r="AB61" i="30"/>
  <c r="AB28" i="30"/>
  <c r="I44" i="15" s="1"/>
  <c r="M11" i="28"/>
  <c r="I13" i="15"/>
  <c r="AC224" i="38"/>
  <c r="AB224" i="38"/>
  <c r="M30" i="28"/>
  <c r="M32" i="28" s="1"/>
  <c r="AB218" i="29"/>
  <c r="AD51" i="29"/>
  <c r="AD123" i="29"/>
  <c r="AC241" i="30"/>
  <c r="AC240" i="30"/>
  <c r="AD241" i="30"/>
  <c r="AD240" i="30"/>
  <c r="AC51" i="29"/>
  <c r="AC123" i="29"/>
  <c r="AC109" i="29"/>
  <c r="AC218" i="29" s="1"/>
  <c r="AC227" i="38"/>
  <c r="AC181" i="38"/>
  <c r="AC235" i="38"/>
  <c r="AC233" i="38" s="1"/>
  <c r="AD109" i="29"/>
  <c r="AB219" i="29"/>
  <c r="AB127" i="29"/>
  <c r="AC61" i="30"/>
  <c r="AC28" i="30"/>
  <c r="M44" i="15" s="1"/>
  <c r="M13" i="15"/>
  <c r="AD114" i="52"/>
  <c r="AD119" i="52"/>
  <c r="B28" i="61"/>
  <c r="A27" i="61"/>
  <c r="M36" i="37"/>
  <c r="M39" i="37"/>
  <c r="K46" i="36" s="1"/>
  <c r="AB181" i="38"/>
  <c r="AB235" i="38"/>
  <c r="AB233" i="38" s="1"/>
  <c r="AD181" i="38"/>
  <c r="AD235" i="38"/>
  <c r="AD233" i="38" s="1"/>
  <c r="AD224" i="52"/>
  <c r="AD113" i="52"/>
  <c r="AD118" i="52"/>
  <c r="AC114" i="52"/>
  <c r="AC119" i="52"/>
  <c r="AD28" i="30"/>
  <c r="Q44" i="15" s="1"/>
  <c r="AD61" i="30"/>
  <c r="I18" i="15" l="1"/>
  <c r="M18" i="15"/>
  <c r="S43" i="15"/>
  <c r="O43" i="15"/>
  <c r="U48" i="77"/>
  <c r="N44" i="15"/>
  <c r="M49" i="15"/>
  <c r="N49" i="15" s="1"/>
  <c r="O49" i="15" s="1"/>
  <c r="J43" i="15"/>
  <c r="I48" i="15"/>
  <c r="J48" i="15" s="1"/>
  <c r="K48" i="15" s="1"/>
  <c r="Q49" i="15"/>
  <c r="R49" i="15" s="1"/>
  <c r="S49" i="15" s="1"/>
  <c r="R44" i="15"/>
  <c r="J44" i="15"/>
  <c r="I49" i="15"/>
  <c r="J49" i="15" s="1"/>
  <c r="K49" i="15" s="1"/>
  <c r="K43" i="27"/>
  <c r="AB111" i="38"/>
  <c r="AB241" i="38"/>
  <c r="AB260" i="38" s="1"/>
  <c r="M17" i="37"/>
  <c r="M43" i="37" s="1"/>
  <c r="K50" i="36" s="1"/>
  <c r="AC186" i="38"/>
  <c r="AC127" i="29"/>
  <c r="AC219" i="29"/>
  <c r="AD219" i="29"/>
  <c r="AD127" i="29"/>
  <c r="AC64" i="30"/>
  <c r="M14" i="15"/>
  <c r="AB64" i="30"/>
  <c r="M10" i="28"/>
  <c r="I14" i="15"/>
  <c r="AB174" i="38"/>
  <c r="AC174" i="38" s="1"/>
  <c r="AD174" i="38" s="1"/>
  <c r="AB186" i="38"/>
  <c r="AC54" i="29"/>
  <c r="AC253" i="30" s="1"/>
  <c r="AD54" i="29"/>
  <c r="AD253" i="30" s="1"/>
  <c r="B29" i="61"/>
  <c r="A28" i="61"/>
  <c r="AD64" i="30"/>
  <c r="AD111" i="38"/>
  <c r="AD241" i="38"/>
  <c r="AD260" i="38" s="1"/>
  <c r="K43" i="36"/>
  <c r="M37" i="37"/>
  <c r="K44" i="36" s="1"/>
  <c r="AD186" i="38"/>
  <c r="AC111" i="38"/>
  <c r="AC241" i="38"/>
  <c r="AC260" i="38" s="1"/>
  <c r="AD218" i="29"/>
  <c r="M42" i="28"/>
  <c r="K49" i="27" s="1"/>
  <c r="M41" i="28"/>
  <c r="K48" i="27" s="1"/>
  <c r="AA254" i="38"/>
  <c r="Z257" i="38"/>
  <c r="Z4" i="38" s="1"/>
  <c r="I19" i="15" l="1"/>
  <c r="M19" i="15"/>
  <c r="S44" i="15"/>
  <c r="O44" i="15"/>
  <c r="K44" i="15"/>
  <c r="K43" i="15"/>
  <c r="AD178" i="38"/>
  <c r="B30" i="61"/>
  <c r="A29" i="61"/>
  <c r="AB178" i="38"/>
  <c r="M40" i="28"/>
  <c r="K47" i="27" s="1"/>
  <c r="AC178" i="38"/>
  <c r="Q34" i="32"/>
  <c r="R138" i="32"/>
  <c r="B31" i="61" l="1"/>
  <c r="A30" i="61"/>
  <c r="AC28" i="38"/>
  <c r="AC30" i="39" s="1"/>
  <c r="AC216" i="38"/>
  <c r="Q151" i="29"/>
  <c r="AB28" i="38"/>
  <c r="AB30" i="39" s="1"/>
  <c r="AB216" i="38"/>
  <c r="AB175" i="38"/>
  <c r="AB176" i="38" s="1"/>
  <c r="AB126" i="38" s="1"/>
  <c r="M31" i="37" s="1"/>
  <c r="AD28" i="38"/>
  <c r="AD30" i="39" s="1"/>
  <c r="AD216" i="38"/>
  <c r="AC72" i="39" l="1"/>
  <c r="AC241" i="39"/>
  <c r="AB241" i="39"/>
  <c r="AB72" i="39"/>
  <c r="AD72" i="39"/>
  <c r="AD241" i="39"/>
  <c r="AC175" i="38"/>
  <c r="B32" i="61"/>
  <c r="A31" i="61"/>
  <c r="AD256" i="39" l="1"/>
  <c r="AD271" i="39" s="1"/>
  <c r="AD242" i="39"/>
  <c r="AD188" i="52" s="1"/>
  <c r="B33" i="61"/>
  <c r="A32" i="61"/>
  <c r="AB256" i="39"/>
  <c r="AB242" i="39"/>
  <c r="AC256" i="39"/>
  <c r="AC271" i="39" s="1"/>
  <c r="AC242" i="39"/>
  <c r="AC188" i="52" s="1"/>
  <c r="AC176" i="38"/>
  <c r="AC126" i="38" s="1"/>
  <c r="AD175" i="38"/>
  <c r="AD176" i="38" s="1"/>
  <c r="AD126" i="38" s="1"/>
  <c r="R249" i="29"/>
  <c r="AB188" i="52" l="1"/>
  <c r="AB198" i="52" s="1"/>
  <c r="V138" i="77"/>
  <c r="V139" i="77" s="1"/>
  <c r="AC257" i="39"/>
  <c r="AC272" i="39" s="1"/>
  <c r="AB271" i="39"/>
  <c r="AB257" i="39"/>
  <c r="AB272" i="39" s="1"/>
  <c r="B34" i="61"/>
  <c r="A33" i="61"/>
  <c r="AD193" i="52"/>
  <c r="AD203" i="52"/>
  <c r="AD198" i="52"/>
  <c r="AD215" i="52"/>
  <c r="AD220" i="52" s="1"/>
  <c r="Q4" i="29"/>
  <c r="AC193" i="52"/>
  <c r="AC203" i="52"/>
  <c r="AC198" i="52"/>
  <c r="AC215" i="52"/>
  <c r="AC220" i="52" s="1"/>
  <c r="AD257" i="39"/>
  <c r="AD272" i="39" s="1"/>
  <c r="AB203" i="52" l="1"/>
  <c r="AB208" i="52" s="1"/>
  <c r="AB215" i="52"/>
  <c r="AB220" i="52" s="1"/>
  <c r="AB193" i="52"/>
  <c r="AC208" i="52"/>
  <c r="AC225" i="52"/>
  <c r="AD208" i="52"/>
  <c r="AD225" i="52"/>
  <c r="B35" i="61"/>
  <c r="A34" i="61"/>
  <c r="Q153" i="29"/>
  <c r="Q3" i="29" s="1"/>
  <c r="AB225" i="52" l="1"/>
  <c r="B36" i="61"/>
  <c r="A35" i="61"/>
  <c r="B37" i="61" l="1"/>
  <c r="A36" i="61"/>
  <c r="B38" i="61" l="1"/>
  <c r="A37" i="61"/>
  <c r="B39" i="61" l="1"/>
  <c r="A38" i="61"/>
  <c r="B40" i="61" l="1"/>
  <c r="A39" i="61"/>
  <c r="B41" i="61" l="1"/>
  <c r="A40" i="61"/>
  <c r="B42" i="61" l="1"/>
  <c r="A41" i="61"/>
  <c r="B43" i="61" l="1"/>
  <c r="A42" i="61"/>
  <c r="B44" i="61" l="1"/>
  <c r="A43" i="61"/>
  <c r="B45" i="61" l="1"/>
  <c r="A44" i="61"/>
  <c r="B46" i="61" l="1"/>
  <c r="A45" i="61"/>
  <c r="B47" i="61" l="1"/>
  <c r="A46" i="61"/>
  <c r="B48" i="61" l="1"/>
  <c r="A47" i="61"/>
  <c r="B49" i="61" l="1"/>
  <c r="A48" i="61"/>
  <c r="B50" i="61" l="1"/>
  <c r="A49" i="61"/>
  <c r="B51" i="61" l="1"/>
  <c r="A50" i="61"/>
  <c r="B52" i="61" l="1"/>
  <c r="A51" i="61"/>
  <c r="B53" i="61" l="1"/>
  <c r="A52" i="61"/>
  <c r="B54" i="61" l="1"/>
  <c r="A53" i="61"/>
  <c r="B55" i="61" l="1"/>
  <c r="A54" i="61"/>
  <c r="B56" i="61" l="1"/>
  <c r="A55" i="61"/>
  <c r="B57" i="61" l="1"/>
  <c r="A56" i="61"/>
  <c r="B58" i="61" l="1"/>
  <c r="A57" i="61"/>
  <c r="B59" i="61" l="1"/>
  <c r="A58" i="61"/>
  <c r="B60" i="61" l="1"/>
  <c r="A59" i="61"/>
  <c r="B61" i="61" l="1"/>
  <c r="A60" i="61"/>
  <c r="B62" i="61" l="1"/>
  <c r="A61" i="61"/>
  <c r="B63" i="61" l="1"/>
  <c r="A62" i="61"/>
  <c r="B64" i="61" l="1"/>
  <c r="A63" i="61"/>
  <c r="B65" i="61" l="1"/>
  <c r="A64" i="61"/>
  <c r="B66" i="61" l="1"/>
  <c r="A65" i="61"/>
  <c r="B67" i="61" l="1"/>
  <c r="A66" i="61"/>
  <c r="B68" i="61" l="1"/>
  <c r="A67" i="61"/>
  <c r="B69" i="61" l="1"/>
  <c r="A68" i="61"/>
  <c r="B70" i="61" l="1"/>
  <c r="A69" i="61"/>
  <c r="B71" i="61" l="1"/>
  <c r="A70" i="61"/>
  <c r="B72" i="61" l="1"/>
  <c r="A71" i="61"/>
  <c r="B73" i="61" l="1"/>
  <c r="A72" i="61"/>
  <c r="B74" i="61" l="1"/>
  <c r="A73" i="61"/>
  <c r="B75" i="61" l="1"/>
  <c r="A74" i="61"/>
  <c r="B76" i="61" l="1"/>
  <c r="A75" i="61"/>
  <c r="B77" i="61" l="1"/>
  <c r="A76" i="61"/>
  <c r="X232" i="60" l="1"/>
  <c r="X231" i="60"/>
  <c r="W232" i="60"/>
  <c r="Y232" i="60"/>
  <c r="Y231" i="60"/>
  <c r="W231" i="60"/>
  <c r="A77" i="61"/>
  <c r="F30" i="52"/>
  <c r="E30" i="52"/>
  <c r="G30" i="52"/>
  <c r="H30" i="52"/>
  <c r="I30" i="52"/>
  <c r="J30" i="52"/>
  <c r="M30" i="52"/>
  <c r="K30" i="52"/>
  <c r="L30" i="52"/>
  <c r="N30" i="52"/>
  <c r="O30" i="52"/>
  <c r="Q30" i="52"/>
  <c r="P30" i="52"/>
  <c r="R30" i="52"/>
  <c r="S30" i="52"/>
  <c r="T30" i="52"/>
  <c r="AC464" i="60" l="1"/>
  <c r="AC466" i="60" s="1"/>
  <c r="AD464" i="60"/>
  <c r="AD466" i="60" s="1"/>
  <c r="AE464" i="60"/>
  <c r="AE466" i="60" s="1"/>
  <c r="L29" i="52"/>
  <c r="L38" i="52"/>
  <c r="L40" i="52"/>
  <c r="L39" i="52"/>
  <c r="J29" i="52"/>
  <c r="J38" i="52"/>
  <c r="J40" i="52"/>
  <c r="J39" i="52"/>
  <c r="E29" i="52"/>
  <c r="E39" i="52"/>
  <c r="E40" i="52"/>
  <c r="E38" i="52"/>
  <c r="X30" i="52"/>
  <c r="F29" i="52"/>
  <c r="F38" i="52"/>
  <c r="F39" i="52"/>
  <c r="F40" i="52"/>
  <c r="Q39" i="52"/>
  <c r="Q38" i="52"/>
  <c r="I38" i="52"/>
  <c r="I29" i="52"/>
  <c r="I39" i="52"/>
  <c r="I40" i="52"/>
  <c r="Y30" i="52"/>
  <c r="K29" i="52"/>
  <c r="K39" i="52"/>
  <c r="K40" i="52"/>
  <c r="K38" i="52"/>
  <c r="H29" i="52"/>
  <c r="H39" i="52"/>
  <c r="H38" i="52"/>
  <c r="H40" i="52"/>
  <c r="P39" i="52"/>
  <c r="P40" i="52"/>
  <c r="P38" i="52"/>
  <c r="O40" i="52"/>
  <c r="O29" i="52"/>
  <c r="O39" i="52"/>
  <c r="O38" i="52"/>
  <c r="M29" i="52"/>
  <c r="M38" i="52"/>
  <c r="M39" i="52"/>
  <c r="M40" i="52"/>
  <c r="Z30" i="52"/>
  <c r="T40" i="52"/>
  <c r="T38" i="52"/>
  <c r="T39" i="52"/>
  <c r="AA30" i="52"/>
  <c r="S38" i="52"/>
  <c r="S40" i="52"/>
  <c r="S39" i="52"/>
  <c r="N29" i="52"/>
  <c r="N39" i="52"/>
  <c r="N38" i="52"/>
  <c r="N40" i="52"/>
  <c r="G40" i="52"/>
  <c r="G29" i="52"/>
  <c r="G38" i="52"/>
  <c r="G39" i="52"/>
  <c r="R38" i="52"/>
  <c r="R39" i="52"/>
  <c r="R40" i="52"/>
  <c r="V30" i="52"/>
  <c r="W30" i="52"/>
  <c r="AB30" i="52"/>
  <c r="AC30" i="52"/>
  <c r="AD30" i="52"/>
  <c r="J41" i="52" l="1"/>
  <c r="T41" i="52"/>
  <c r="P41" i="52"/>
  <c r="G41" i="52"/>
  <c r="H41" i="52"/>
  <c r="N41" i="52"/>
  <c r="L41" i="52"/>
  <c r="AC38" i="52"/>
  <c r="AC39" i="52"/>
  <c r="M41" i="52"/>
  <c r="Y29" i="52"/>
  <c r="Y38" i="52"/>
  <c r="Y39" i="52"/>
  <c r="Y40" i="52"/>
  <c r="AD39" i="52"/>
  <c r="AD38" i="52"/>
  <c r="AA38" i="52"/>
  <c r="AA39" i="52"/>
  <c r="AB38" i="52"/>
  <c r="AB39" i="52"/>
  <c r="F41" i="52"/>
  <c r="W29" i="52"/>
  <c r="W40" i="52"/>
  <c r="W39" i="52"/>
  <c r="W38" i="52"/>
  <c r="X29" i="52"/>
  <c r="X38" i="52"/>
  <c r="X39" i="52"/>
  <c r="X40" i="52"/>
  <c r="V29" i="52"/>
  <c r="V40" i="52"/>
  <c r="V39" i="52"/>
  <c r="V38" i="52"/>
  <c r="Z29" i="52"/>
  <c r="Z38" i="52"/>
  <c r="Z39" i="52"/>
  <c r="Z40" i="52"/>
  <c r="O41" i="52"/>
  <c r="K41" i="52"/>
  <c r="I41" i="52"/>
  <c r="E41" i="52"/>
  <c r="R41" i="52"/>
  <c r="S41" i="52"/>
  <c r="W41" i="52" l="1"/>
  <c r="Z41" i="52"/>
  <c r="X41" i="52"/>
  <c r="V41" i="52"/>
  <c r="Y41" i="52"/>
  <c r="Q48" i="3" l="1"/>
  <c r="Q49" i="3"/>
  <c r="Q51" i="3"/>
  <c r="Q57" i="3" l="1"/>
  <c r="Q59" i="3"/>
  <c r="Q61" i="3" s="1"/>
  <c r="U13" i="14" s="1"/>
  <c r="U45" i="14" l="1"/>
  <c r="O52" i="13" s="1"/>
  <c r="K13" i="14"/>
  <c r="U44" i="14"/>
  <c r="O51" i="13" s="1"/>
  <c r="K45" i="14" l="1"/>
  <c r="I52" i="13" s="1"/>
  <c r="K44" i="14"/>
  <c r="I51" i="13" s="1"/>
  <c r="R134" i="4" l="1"/>
  <c r="Q33" i="4"/>
  <c r="Q4" i="3" l="1"/>
  <c r="R252" i="3"/>
  <c r="R122" i="4" s="1"/>
  <c r="Q71" i="3" l="1"/>
  <c r="Q18" i="52"/>
  <c r="Q28" i="52" s="1"/>
  <c r="V39" i="14"/>
  <c r="P46" i="13" s="1"/>
  <c r="AA11" i="16"/>
  <c r="AA16" i="16"/>
  <c r="Q48" i="16"/>
  <c r="Q49" i="16"/>
  <c r="Q50" i="16"/>
  <c r="Q51" i="16"/>
  <c r="Q53" i="16"/>
  <c r="Q54" i="16"/>
  <c r="Q55" i="16"/>
  <c r="Q56" i="16"/>
  <c r="Q57" i="16"/>
  <c r="Q58" i="16"/>
  <c r="Q59" i="16"/>
  <c r="Q60" i="16"/>
  <c r="Q62" i="16"/>
  <c r="Q66" i="16"/>
  <c r="Q70" i="16"/>
  <c r="Q71" i="16"/>
  <c r="Q172" i="16"/>
  <c r="Q174" i="16" s="1"/>
  <c r="Q261" i="16"/>
  <c r="AA172" i="16" l="1"/>
  <c r="AA174" i="16" s="1"/>
  <c r="AB174" i="16" s="1"/>
  <c r="Q178" i="16"/>
  <c r="Q187" i="16"/>
  <c r="Q189" i="16" s="1"/>
  <c r="Q264" i="16"/>
  <c r="Q269" i="16" s="1"/>
  <c r="Q267" i="16"/>
  <c r="AA18" i="52"/>
  <c r="AA28" i="52" s="1"/>
  <c r="AA40" i="52" s="1"/>
  <c r="AA41" i="52" s="1"/>
  <c r="AA13" i="16"/>
  <c r="S12" i="77"/>
  <c r="AA261" i="16"/>
  <c r="Q35" i="52"/>
  <c r="Q40" i="52"/>
  <c r="Q41" i="52" s="1"/>
  <c r="Q110" i="52"/>
  <c r="V36" i="14"/>
  <c r="P43" i="13" s="1"/>
  <c r="Q72" i="3"/>
  <c r="Q236" i="16" s="1"/>
  <c r="V43" i="14"/>
  <c r="P50" i="13" s="1"/>
  <c r="AA227" i="16"/>
  <c r="S9" i="13" l="1"/>
  <c r="W9" i="13"/>
  <c r="V9" i="13"/>
  <c r="U9" i="13"/>
  <c r="T9" i="13"/>
  <c r="AA183" i="16"/>
  <c r="AA184" i="16" s="1"/>
  <c r="AA187" i="16"/>
  <c r="AA189" i="16" s="1"/>
  <c r="AA178" i="16"/>
  <c r="AB172" i="16"/>
  <c r="AB11" i="16" s="1"/>
  <c r="W12" i="77" s="1"/>
  <c r="W23" i="77" s="1"/>
  <c r="AB187" i="16"/>
  <c r="AB189" i="16" s="1"/>
  <c r="AA264" i="16"/>
  <c r="AA269" i="16" s="1"/>
  <c r="AA267" i="16"/>
  <c r="AA66" i="16"/>
  <c r="AA50" i="16"/>
  <c r="L7" i="14"/>
  <c r="L36" i="14" s="1"/>
  <c r="J43" i="13" s="1"/>
  <c r="AA51" i="16"/>
  <c r="AA59" i="16"/>
  <c r="AA62" i="16"/>
  <c r="AA53" i="16"/>
  <c r="AA55" i="16"/>
  <c r="E132" i="15"/>
  <c r="AA49" i="16"/>
  <c r="AA54" i="16"/>
  <c r="AA56" i="16"/>
  <c r="AA58" i="16"/>
  <c r="AA70" i="16"/>
  <c r="AA48" i="16"/>
  <c r="AA35" i="52"/>
  <c r="AA110" i="52"/>
  <c r="AA115" i="52" s="1"/>
  <c r="S14" i="77"/>
  <c r="S21" i="77" s="1"/>
  <c r="S23" i="77"/>
  <c r="AC174" i="16"/>
  <c r="V37" i="14"/>
  <c r="P44" i="13" s="1"/>
  <c r="Q120" i="52"/>
  <c r="Q115" i="52"/>
  <c r="AA238" i="16"/>
  <c r="Q189" i="52"/>
  <c r="S17" i="77" l="1"/>
  <c r="AB11" i="3"/>
  <c r="AB13" i="3" s="1"/>
  <c r="AB123" i="3" s="1"/>
  <c r="AB13" i="16"/>
  <c r="I132" i="15" s="1"/>
  <c r="AB18" i="52"/>
  <c r="AB28" i="52" s="1"/>
  <c r="AB216" i="52" s="1"/>
  <c r="AB221" i="52" s="1"/>
  <c r="W14" i="77"/>
  <c r="AC172" i="16"/>
  <c r="AC11" i="16" s="1"/>
  <c r="AC13" i="16" s="1"/>
  <c r="AC187" i="16"/>
  <c r="AC189" i="16" s="1"/>
  <c r="L43" i="14"/>
  <c r="J50" i="13" s="1"/>
  <c r="L39" i="14"/>
  <c r="J46" i="13" s="1"/>
  <c r="AA120" i="52"/>
  <c r="S18" i="77"/>
  <c r="S19" i="77"/>
  <c r="S143" i="77"/>
  <c r="AD174" i="16"/>
  <c r="AD187" i="16" s="1"/>
  <c r="L37" i="14"/>
  <c r="J44" i="13" s="1"/>
  <c r="AA249" i="16"/>
  <c r="Q194" i="52"/>
  <c r="Q216" i="52"/>
  <c r="Q221" i="52" s="1"/>
  <c r="Q199" i="52"/>
  <c r="Q204" i="52"/>
  <c r="AB54" i="16" l="1"/>
  <c r="W19" i="77"/>
  <c r="W21" i="77"/>
  <c r="AB49" i="16"/>
  <c r="AB183" i="16"/>
  <c r="AB184" i="16" s="1"/>
  <c r="AB35" i="52"/>
  <c r="AB55" i="16"/>
  <c r="AB58" i="16"/>
  <c r="AB62" i="16"/>
  <c r="AB59" i="16"/>
  <c r="AB110" i="52"/>
  <c r="AB115" i="52" s="1"/>
  <c r="AB51" i="16"/>
  <c r="AB50" i="16"/>
  <c r="AB121" i="3"/>
  <c r="M29" i="14" s="1"/>
  <c r="M32" i="14" s="1"/>
  <c r="M7" i="14"/>
  <c r="M43" i="14" s="1"/>
  <c r="K50" i="13" s="1"/>
  <c r="AB22" i="3"/>
  <c r="AB40" i="52"/>
  <c r="AB41" i="52" s="1"/>
  <c r="AB53" i="16"/>
  <c r="AB63" i="16"/>
  <c r="AB22" i="16"/>
  <c r="AB60" i="16" s="1"/>
  <c r="AB66" i="16"/>
  <c r="AB273" i="16"/>
  <c r="AB274" i="16" s="1"/>
  <c r="AB26" i="16" s="1"/>
  <c r="AB26" i="3" s="1"/>
  <c r="AB71" i="3" s="1"/>
  <c r="AB56" i="16"/>
  <c r="AB57" i="16"/>
  <c r="AB70" i="16"/>
  <c r="AB48" i="16"/>
  <c r="AB192" i="3"/>
  <c r="AC18" i="52"/>
  <c r="AC28" i="52" s="1"/>
  <c r="AC35" i="52" s="1"/>
  <c r="W143" i="77"/>
  <c r="AC11" i="3"/>
  <c r="AC13" i="3" s="1"/>
  <c r="AC123" i="3" s="1"/>
  <c r="W18" i="77"/>
  <c r="W17" i="77"/>
  <c r="AD172" i="16"/>
  <c r="AD11" i="16" s="1"/>
  <c r="AD13" i="16" s="1"/>
  <c r="AD183" i="16" s="1"/>
  <c r="AD184" i="16" s="1"/>
  <c r="AD189" i="16"/>
  <c r="AC183" i="16"/>
  <c r="AC184" i="16" s="1"/>
  <c r="Q226" i="52"/>
  <c r="Q209" i="52"/>
  <c r="AB225" i="3"/>
  <c r="M132" i="15"/>
  <c r="AC53" i="16"/>
  <c r="AC62" i="16"/>
  <c r="AC22" i="16"/>
  <c r="AC58" i="16"/>
  <c r="AC55" i="16"/>
  <c r="AC51" i="16"/>
  <c r="AC48" i="16"/>
  <c r="AC57" i="16"/>
  <c r="AC273" i="16"/>
  <c r="AC274" i="16" s="1"/>
  <c r="AC26" i="16" s="1"/>
  <c r="AC26" i="3" s="1"/>
  <c r="AC54" i="16"/>
  <c r="AC63" i="16"/>
  <c r="AC50" i="16"/>
  <c r="AC59" i="16"/>
  <c r="AC70" i="16"/>
  <c r="AC56" i="16"/>
  <c r="AC66" i="16"/>
  <c r="M36" i="14"/>
  <c r="K43" i="13" s="1"/>
  <c r="M39" i="14"/>
  <c r="K46" i="13" s="1"/>
  <c r="AC49" i="16"/>
  <c r="AC110" i="52" l="1"/>
  <c r="AB224" i="3"/>
  <c r="AB120" i="52"/>
  <c r="AB226" i="52"/>
  <c r="M8" i="14"/>
  <c r="M38" i="14" s="1"/>
  <c r="K45" i="13" s="1"/>
  <c r="AB65" i="3"/>
  <c r="AB67" i="3" s="1"/>
  <c r="AB72" i="3" s="1"/>
  <c r="AB236" i="16" s="1"/>
  <c r="AC22" i="3"/>
  <c r="AC28" i="3" s="1"/>
  <c r="AB28" i="3"/>
  <c r="AB28" i="16"/>
  <c r="W46" i="77" s="1"/>
  <c r="W48" i="77" s="1"/>
  <c r="AD53" i="16"/>
  <c r="AD66" i="16"/>
  <c r="AD56" i="16"/>
  <c r="AD48" i="16"/>
  <c r="AC216" i="52"/>
  <c r="AC221" i="52" s="1"/>
  <c r="AC40" i="52"/>
  <c r="AC41" i="52" s="1"/>
  <c r="AC121" i="3"/>
  <c r="AC224" i="3" s="1"/>
  <c r="AC192" i="3"/>
  <c r="AD49" i="16"/>
  <c r="AD70" i="16"/>
  <c r="AD54" i="16"/>
  <c r="AD273" i="16"/>
  <c r="AD274" i="16" s="1"/>
  <c r="AD26" i="16" s="1"/>
  <c r="AD26" i="3" s="1"/>
  <c r="AD65" i="3" s="1"/>
  <c r="AD67" i="3" s="1"/>
  <c r="AD57" i="16"/>
  <c r="AD50" i="16"/>
  <c r="AD51" i="16"/>
  <c r="AD58" i="16"/>
  <c r="AD59" i="16"/>
  <c r="AD22" i="16"/>
  <c r="AD63" i="16"/>
  <c r="AD62" i="16"/>
  <c r="AD18" i="52"/>
  <c r="AD28" i="52" s="1"/>
  <c r="AD40" i="52" s="1"/>
  <c r="AD41" i="52" s="1"/>
  <c r="AD11" i="3"/>
  <c r="AD13" i="3" s="1"/>
  <c r="AD121" i="3" s="1"/>
  <c r="AD55" i="16"/>
  <c r="AD228" i="3"/>
  <c r="AC225" i="3"/>
  <c r="AC28" i="16"/>
  <c r="AC60" i="16"/>
  <c r="AC228" i="3"/>
  <c r="AC65" i="3"/>
  <c r="AC71" i="3"/>
  <c r="AC115" i="52"/>
  <c r="AC226" i="52"/>
  <c r="AC120" i="52"/>
  <c r="M37" i="14"/>
  <c r="K44" i="13" s="1"/>
  <c r="M11" i="14" l="1"/>
  <c r="M41" i="14" s="1"/>
  <c r="K48" i="13" s="1"/>
  <c r="AB64" i="16"/>
  <c r="AB31" i="16"/>
  <c r="M10" i="14" s="1"/>
  <c r="I133" i="15"/>
  <c r="AB74" i="3"/>
  <c r="AB76" i="3" s="1"/>
  <c r="AD224" i="3"/>
  <c r="AD71" i="3"/>
  <c r="AD72" i="3" s="1"/>
  <c r="AD236" i="16" s="1"/>
  <c r="AD110" i="52"/>
  <c r="AD115" i="52" s="1"/>
  <c r="AD28" i="16"/>
  <c r="AD64" i="16" s="1"/>
  <c r="AD60" i="16"/>
  <c r="AD35" i="52"/>
  <c r="AD216" i="52"/>
  <c r="AD221" i="52" s="1"/>
  <c r="AD192" i="3"/>
  <c r="AD123" i="3"/>
  <c r="AD225" i="3" s="1"/>
  <c r="AD22" i="3"/>
  <c r="AD28" i="3" s="1"/>
  <c r="AD74" i="3"/>
  <c r="AD76" i="3" s="1"/>
  <c r="AC67" i="3"/>
  <c r="AC72" i="3" s="1"/>
  <c r="AC236" i="16" s="1"/>
  <c r="AC74" i="3"/>
  <c r="AC76" i="3" s="1"/>
  <c r="AC223" i="3"/>
  <c r="M133" i="15"/>
  <c r="AC64" i="16"/>
  <c r="AC31" i="16"/>
  <c r="M42" i="14" l="1"/>
  <c r="K49" i="13" s="1"/>
  <c r="AD223" i="3"/>
  <c r="I138" i="15"/>
  <c r="AD226" i="52"/>
  <c r="AB67" i="16"/>
  <c r="I134" i="15"/>
  <c r="AD120" i="52"/>
  <c r="AD31" i="16"/>
  <c r="AD67" i="16" s="1"/>
  <c r="M138" i="15"/>
  <c r="M40" i="14"/>
  <c r="K47" i="13" s="1"/>
  <c r="M134" i="15"/>
  <c r="AC67" i="16"/>
  <c r="I139" i="15" l="1"/>
  <c r="M139" i="15"/>
  <c r="Q127" i="52"/>
  <c r="Q135" i="52" s="1"/>
  <c r="Q201" i="16"/>
  <c r="Q213" i="16"/>
  <c r="Q219" i="16" s="1"/>
  <c r="Q215" i="16" l="1"/>
  <c r="Q221" i="16" s="1"/>
  <c r="Q222" i="16" l="1"/>
  <c r="Q223" i="16" s="1"/>
  <c r="Q250" i="16"/>
  <c r="Q251" i="16"/>
  <c r="Q252" i="16"/>
  <c r="Q253" i="16"/>
  <c r="Q254" i="16"/>
  <c r="Q255" i="16"/>
  <c r="Q27" i="16"/>
  <c r="Q63" i="16" s="1"/>
  <c r="AA27" i="16"/>
  <c r="Q33" i="16"/>
  <c r="U15" i="14" s="1"/>
  <c r="Q38" i="16"/>
  <c r="U16" i="14" l="1"/>
  <c r="K16" i="14" s="1"/>
  <c r="K15" i="14"/>
  <c r="Q28" i="16"/>
  <c r="Q224" i="16"/>
  <c r="Q74" i="16"/>
  <c r="Q69" i="16"/>
  <c r="AA63" i="16"/>
  <c r="Q31" i="16" l="1"/>
  <c r="U10" i="14" s="1"/>
  <c r="O46" i="77"/>
  <c r="U21" i="14"/>
  <c r="K21" i="14" s="1"/>
  <c r="U11" i="14"/>
  <c r="Q42" i="16"/>
  <c r="Q64" i="16"/>
  <c r="O48" i="77" l="1"/>
  <c r="Q67" i="16"/>
  <c r="Q36" i="16"/>
  <c r="U34" i="14" s="1" a="1"/>
  <c r="U34" i="14" s="1"/>
  <c r="K34" i="14" s="1"/>
  <c r="U41" i="14"/>
  <c r="O48" i="13" s="1"/>
  <c r="U53" i="14"/>
  <c r="O60" i="13" s="1"/>
  <c r="U49" i="14"/>
  <c r="O56" i="13" s="1"/>
  <c r="U50" i="14"/>
  <c r="O57" i="13" s="1"/>
  <c r="U42" i="14"/>
  <c r="O49" i="13" s="1"/>
  <c r="K11" i="14"/>
  <c r="U51" i="14"/>
  <c r="O58" i="13" s="1"/>
  <c r="U40" i="14"/>
  <c r="O47" i="13" s="1"/>
  <c r="U52" i="14"/>
  <c r="O59" i="13" s="1"/>
  <c r="K10" i="14"/>
  <c r="Q40" i="16" l="1"/>
  <c r="Q44" i="16" s="1"/>
  <c r="Q43" i="16"/>
  <c r="Q72" i="16"/>
  <c r="Q39" i="16"/>
  <c r="U47" i="14"/>
  <c r="O54" i="13" s="1"/>
  <c r="U48" i="14"/>
  <c r="O55" i="13" s="1"/>
  <c r="Q75" i="16"/>
  <c r="K41" i="14"/>
  <c r="I48" i="13" s="1"/>
  <c r="K51" i="14"/>
  <c r="I58" i="13" s="1"/>
  <c r="K42" i="14"/>
  <c r="I49" i="13" s="1"/>
  <c r="K49" i="14"/>
  <c r="I56" i="13" s="1"/>
  <c r="K53" i="14"/>
  <c r="I60" i="13" s="1"/>
  <c r="K50" i="14"/>
  <c r="I57" i="13" s="1"/>
  <c r="K47" i="14"/>
  <c r="I54" i="13" s="1"/>
  <c r="K48" i="14"/>
  <c r="I55" i="13" s="1"/>
  <c r="K52" i="14"/>
  <c r="I59" i="13" s="1"/>
  <c r="K40" i="14"/>
  <c r="I47" i="13" s="1"/>
  <c r="Q32" i="30"/>
  <c r="Q68" i="30" s="1"/>
  <c r="Q35" i="30"/>
  <c r="AA76" i="30"/>
  <c r="AA79" i="30" s="1"/>
  <c r="AA32" i="30" l="1"/>
  <c r="AA68" i="30" s="1"/>
  <c r="Q33" i="30"/>
  <c r="Q69" i="30" s="1"/>
  <c r="U16" i="28"/>
  <c r="Q71" i="30"/>
  <c r="U34" i="28" l="1"/>
  <c r="U47" i="28" s="1"/>
  <c r="O54" i="27" s="1"/>
  <c r="Q37" i="30"/>
  <c r="Q72" i="30" s="1"/>
  <c r="Q36" i="30"/>
  <c r="Q39" i="30"/>
  <c r="U21" i="28"/>
  <c r="K21" i="28" s="1"/>
  <c r="K16" i="28"/>
  <c r="K34" i="28" l="1"/>
  <c r="U48" i="28"/>
  <c r="O55" i="27" s="1"/>
  <c r="Q40" i="30"/>
  <c r="K48" i="28"/>
  <c r="I55" i="27" s="1"/>
  <c r="K47" i="28"/>
  <c r="I54" i="27" s="1"/>
  <c r="Q216" i="30" l="1"/>
  <c r="Q230" i="30"/>
  <c r="Q232" i="30" s="1"/>
  <c r="Q125" i="52"/>
  <c r="Q133" i="52" s="1"/>
  <c r="Q236" i="30" l="1"/>
  <c r="Q238" i="30"/>
  <c r="Q239" i="30"/>
  <c r="Q227" i="30"/>
  <c r="Q241" i="30" l="1"/>
  <c r="Q240" i="30"/>
  <c r="R184" i="16" l="1"/>
  <c r="E164" i="15" s="1"/>
  <c r="F164" i="15" s="1"/>
  <c r="G164" i="15" s="1"/>
  <c r="M164" i="77" l="1"/>
  <c r="N164" i="77"/>
  <c r="O164" i="77"/>
  <c r="E171" i="3"/>
  <c r="E173" i="3" s="1"/>
  <c r="E3" i="3" s="1"/>
  <c r="F171" i="3"/>
  <c r="F173" i="3" s="1"/>
  <c r="F3" i="3" s="1"/>
  <c r="G171" i="3"/>
  <c r="G173" i="3" s="1"/>
  <c r="G3" i="3" s="1"/>
  <c r="H171" i="3"/>
  <c r="H173" i="3" s="1"/>
  <c r="H3" i="3" s="1"/>
  <c r="I171" i="3"/>
  <c r="I173" i="3" s="1"/>
  <c r="I3" i="3" s="1"/>
  <c r="J171" i="3"/>
  <c r="J173" i="3" s="1"/>
  <c r="J3" i="3" s="1"/>
  <c r="K171" i="3"/>
  <c r="K173" i="3" s="1"/>
  <c r="K3" i="3" s="1"/>
  <c r="L171" i="3"/>
  <c r="L173" i="3" s="1"/>
  <c r="L3" i="3" s="1"/>
  <c r="M171" i="3"/>
  <c r="M173" i="3" s="1"/>
  <c r="M3" i="3" s="1"/>
  <c r="N171" i="3"/>
  <c r="N173" i="3" s="1"/>
  <c r="N3" i="3" s="1"/>
  <c r="O171" i="3"/>
  <c r="O173" i="3" s="1"/>
  <c r="O3" i="3" s="1"/>
  <c r="P171" i="3"/>
  <c r="P173" i="3" s="1"/>
  <c r="P3" i="3" s="1"/>
  <c r="Q171" i="3"/>
  <c r="Q173" i="3" s="1"/>
  <c r="Q3" i="3" s="1"/>
  <c r="W171" i="3"/>
  <c r="W173" i="3" s="1"/>
  <c r="W3" i="3" s="1"/>
  <c r="Z171" i="3"/>
  <c r="Z173" i="3" s="1"/>
  <c r="Z3" i="3" s="1"/>
  <c r="V171" i="3"/>
  <c r="V173" i="3" s="1"/>
  <c r="V3" i="3" s="1"/>
  <c r="X171" i="3"/>
  <c r="X173" i="3" s="1"/>
  <c r="X3" i="3" s="1"/>
  <c r="Y171" i="3"/>
  <c r="Y173" i="3" s="1"/>
  <c r="Y3" i="3" s="1"/>
  <c r="I181" i="77"/>
  <c r="J181" i="77"/>
  <c r="K181" i="77"/>
  <c r="V26" i="28"/>
  <c r="AA105" i="29"/>
  <c r="AA202" i="29" s="1"/>
  <c r="R202" i="29"/>
  <c r="S202" i="29"/>
  <c r="T202" i="29"/>
  <c r="T203" i="29" s="1"/>
  <c r="T29" i="29" s="1"/>
  <c r="Q161" i="77" l="1"/>
  <c r="R203" i="29"/>
  <c r="R29" i="29" s="1"/>
  <c r="S203" i="29"/>
  <c r="S29" i="29" s="1"/>
  <c r="T30" i="30"/>
  <c r="L26" i="28"/>
  <c r="S30" i="30" l="1"/>
  <c r="R30" i="30"/>
  <c r="AA29" i="29"/>
  <c r="T66" i="30"/>
  <c r="R66" i="30" l="1"/>
  <c r="AA30" i="30"/>
  <c r="AA203" i="29"/>
  <c r="AA204" i="29" s="1"/>
  <c r="S66" i="30"/>
  <c r="AA66" i="30" l="1"/>
  <c r="M26" i="28"/>
  <c r="AB202" i="29"/>
  <c r="AB203" i="29" s="1"/>
  <c r="AB29" i="29" s="1"/>
  <c r="AC202" i="29"/>
  <c r="AD202" i="29"/>
  <c r="AC203" i="29"/>
  <c r="AC29" i="29" s="1"/>
  <c r="AD203" i="29"/>
  <c r="AD29" i="29" s="1"/>
  <c r="AB30" i="30" l="1"/>
  <c r="AD30" i="30"/>
  <c r="AC30" i="30"/>
  <c r="AC66" i="30" l="1"/>
  <c r="AD66" i="30"/>
  <c r="AB66" i="30"/>
  <c r="AB119" i="39" l="1"/>
  <c r="AB117" i="39" s="1"/>
  <c r="AB23" i="38" s="1"/>
  <c r="AC119" i="39"/>
  <c r="AC117" i="39" s="1"/>
  <c r="AC23" i="38" s="1"/>
  <c r="AD119" i="39"/>
  <c r="AD117" i="39" s="1"/>
  <c r="AD23" i="38" s="1"/>
  <c r="AB285" i="39"/>
  <c r="AB62" i="38" s="1"/>
  <c r="AC285" i="39"/>
  <c r="AC62" i="38" s="1"/>
  <c r="AD285" i="39"/>
  <c r="AB301" i="39"/>
  <c r="AC301" i="39"/>
  <c r="AD301" i="39"/>
  <c r="AB15" i="39" l="1"/>
  <c r="AB302" i="39"/>
  <c r="AB126" i="52" s="1"/>
  <c r="AB134" i="52" s="1"/>
  <c r="AC302" i="39"/>
  <c r="AC126" i="52" s="1"/>
  <c r="AC134" i="52" s="1"/>
  <c r="AD62" i="38"/>
  <c r="AD15" i="39"/>
  <c r="AD302" i="39"/>
  <c r="AD126" i="52" s="1"/>
  <c r="AD134" i="52" s="1"/>
  <c r="AC24" i="38"/>
  <c r="AB24" i="38"/>
  <c r="AD24" i="38"/>
  <c r="AC15" i="39"/>
  <c r="AB57" i="39" l="1"/>
  <c r="AB24" i="39"/>
  <c r="AC24" i="39"/>
  <c r="AC57" i="39"/>
  <c r="AD24" i="39"/>
  <c r="AD57" i="39"/>
  <c r="M8" i="37" l="1"/>
  <c r="M38" i="37" s="1"/>
  <c r="K45" i="36" s="1"/>
  <c r="AB66" i="39"/>
  <c r="AB28" i="39"/>
  <c r="AD28" i="39"/>
  <c r="AD66" i="39"/>
  <c r="AC66" i="39"/>
  <c r="AC28" i="39"/>
  <c r="M11" i="37" l="1"/>
  <c r="AB70" i="39"/>
  <c r="V46" i="77"/>
  <c r="AB31" i="39"/>
  <c r="I90" i="15"/>
  <c r="AD70" i="39"/>
  <c r="AD31" i="39"/>
  <c r="M90" i="15"/>
  <c r="AC70" i="39"/>
  <c r="AC31" i="39"/>
  <c r="I95" i="15" l="1"/>
  <c r="M10" i="37"/>
  <c r="M40" i="37" s="1"/>
  <c r="K47" i="36" s="1"/>
  <c r="AB73" i="39"/>
  <c r="V48" i="77"/>
  <c r="M41" i="37"/>
  <c r="K48" i="36" s="1"/>
  <c r="M42" i="37"/>
  <c r="K49" i="36" s="1"/>
  <c r="AD73" i="39"/>
  <c r="AC73" i="39"/>
  <c r="M95" i="15"/>
  <c r="P56" i="27" l="1"/>
  <c r="P57" i="27"/>
  <c r="V201" i="38" l="1"/>
  <c r="AD119" i="38"/>
  <c r="V143" i="29"/>
  <c r="V151" i="29" s="1"/>
  <c r="V153" i="29" s="1"/>
  <c r="V3" i="29" s="1"/>
  <c r="AB141" i="29" l="1"/>
  <c r="AC141" i="29" l="1"/>
  <c r="AD141" i="29" l="1"/>
  <c r="W143" i="29"/>
  <c r="W151" i="29" s="1"/>
  <c r="W153" i="29" s="1"/>
  <c r="W3" i="29" s="1"/>
  <c r="X143" i="29"/>
  <c r="X151" i="29" s="1"/>
  <c r="X153" i="29" s="1"/>
  <c r="X3" i="29" s="1"/>
  <c r="Y143" i="29"/>
  <c r="Y151" i="29" s="1"/>
  <c r="Y153" i="29" s="1"/>
  <c r="Y3" i="29" s="1"/>
  <c r="Z143" i="29"/>
  <c r="Z151" i="29" s="1"/>
  <c r="Z153" i="29" s="1"/>
  <c r="Z3" i="29" s="1"/>
  <c r="W198" i="29"/>
  <c r="X198" i="29"/>
  <c r="Y198" i="29"/>
  <c r="Z198" i="29"/>
  <c r="AA198" i="29"/>
  <c r="AB221" i="29"/>
  <c r="AB216" i="29" s="1"/>
  <c r="AC221" i="29"/>
  <c r="AC216" i="29" s="1"/>
  <c r="AD221" i="29"/>
  <c r="AD216" i="29" s="1"/>
  <c r="E168" i="77"/>
  <c r="E176" i="77" s="1"/>
  <c r="I168" i="77"/>
  <c r="I176" i="77" s="1"/>
  <c r="Q168" i="77"/>
  <c r="AB162" i="16" l="1"/>
  <c r="AC162" i="16"/>
  <c r="AD162" i="16"/>
  <c r="AB163" i="16"/>
  <c r="AC163" i="16"/>
  <c r="AD163" i="16"/>
  <c r="AB164" i="16"/>
  <c r="AC164" i="16"/>
  <c r="AB165" i="16"/>
  <c r="AC165" i="16"/>
  <c r="AD165" i="16"/>
  <c r="R129" i="3"/>
  <c r="S129" i="3"/>
  <c r="T129" i="3"/>
  <c r="AA129" i="3"/>
  <c r="AB129" i="3"/>
  <c r="AC129" i="3"/>
  <c r="AD129" i="3"/>
  <c r="R241" i="16" l="1"/>
  <c r="S241" i="16"/>
  <c r="S230" i="16" s="1"/>
  <c r="T241" i="16"/>
  <c r="T230" i="16" s="1"/>
  <c r="T235" i="16" l="1"/>
  <c r="T189" i="52" s="1"/>
  <c r="T19" i="16"/>
  <c r="S235" i="16"/>
  <c r="S189" i="52" s="1"/>
  <c r="S19" i="16"/>
  <c r="R230" i="16"/>
  <c r="R246" i="16"/>
  <c r="R257" i="16" s="1"/>
  <c r="E165" i="15" s="1"/>
  <c r="F165" i="15" s="1"/>
  <c r="G165" i="15" s="1"/>
  <c r="T246" i="16"/>
  <c r="T257" i="16" s="1"/>
  <c r="S246" i="16"/>
  <c r="S257" i="16" s="1"/>
  <c r="S22" i="16" l="1"/>
  <c r="S57" i="16"/>
  <c r="S273" i="16"/>
  <c r="S274" i="16" s="1"/>
  <c r="S26" i="16" s="1"/>
  <c r="S26" i="3" s="1"/>
  <c r="S71" i="3" s="1"/>
  <c r="S19" i="3"/>
  <c r="S194" i="52"/>
  <c r="S204" i="52"/>
  <c r="S216" i="52"/>
  <c r="S221" i="52" s="1"/>
  <c r="S199" i="52"/>
  <c r="T19" i="3"/>
  <c r="T22" i="16"/>
  <c r="T57" i="16"/>
  <c r="T273" i="16"/>
  <c r="T274" i="16" s="1"/>
  <c r="T26" i="16" s="1"/>
  <c r="T26" i="3" s="1"/>
  <c r="T71" i="3" s="1"/>
  <c r="R19" i="16"/>
  <c r="AA230" i="16"/>
  <c r="R235" i="16"/>
  <c r="R189" i="52" s="1"/>
  <c r="T194" i="52"/>
  <c r="T204" i="52"/>
  <c r="T216" i="52"/>
  <c r="T221" i="52" s="1"/>
  <c r="T199" i="52"/>
  <c r="R199" i="52" l="1"/>
  <c r="AA189" i="52"/>
  <c r="R194" i="52"/>
  <c r="R204" i="52"/>
  <c r="R216" i="52"/>
  <c r="R221" i="52" s="1"/>
  <c r="S226" i="52"/>
  <c r="S209" i="52"/>
  <c r="AA235" i="16"/>
  <c r="AA241" i="16"/>
  <c r="S65" i="3"/>
  <c r="S22" i="3"/>
  <c r="S28" i="3" s="1"/>
  <c r="T28" i="16"/>
  <c r="T60" i="16"/>
  <c r="R57" i="16"/>
  <c r="R273" i="16"/>
  <c r="R19" i="3"/>
  <c r="AA19" i="16"/>
  <c r="R22" i="16"/>
  <c r="T226" i="52"/>
  <c r="T209" i="52"/>
  <c r="T65" i="3"/>
  <c r="T22" i="3"/>
  <c r="T28" i="3" s="1"/>
  <c r="S28" i="16"/>
  <c r="S60" i="16"/>
  <c r="W13" i="13" l="1"/>
  <c r="V13" i="13"/>
  <c r="U13" i="13"/>
  <c r="S13" i="13"/>
  <c r="T13" i="13"/>
  <c r="S138" i="77"/>
  <c r="R274" i="16"/>
  <c r="AA273" i="16"/>
  <c r="T74" i="3"/>
  <c r="T76" i="3" s="1"/>
  <c r="T67" i="3"/>
  <c r="T72" i="3" s="1"/>
  <c r="T236" i="16" s="1"/>
  <c r="I147" i="15"/>
  <c r="S64" i="16"/>
  <c r="S31" i="16"/>
  <c r="M147" i="15"/>
  <c r="T64" i="16"/>
  <c r="T31" i="16"/>
  <c r="R209" i="52"/>
  <c r="R226" i="52"/>
  <c r="AA19" i="3"/>
  <c r="R22" i="3"/>
  <c r="R136" i="3"/>
  <c r="S136" i="3"/>
  <c r="T136" i="3"/>
  <c r="S74" i="3"/>
  <c r="S76" i="3" s="1"/>
  <c r="S67" i="3"/>
  <c r="S72" i="3" s="1"/>
  <c r="S236" i="16" s="1"/>
  <c r="AA194" i="52"/>
  <c r="AA204" i="52"/>
  <c r="AA216" i="52"/>
  <c r="AA221" i="52" s="1"/>
  <c r="AA199" i="52"/>
  <c r="R60" i="16"/>
  <c r="V8" i="14"/>
  <c r="V38" i="14" s="1"/>
  <c r="P45" i="13" s="1"/>
  <c r="AA22" i="16"/>
  <c r="AA57" i="16"/>
  <c r="AA246" i="16"/>
  <c r="AA257" i="16" s="1"/>
  <c r="AA252" i="16"/>
  <c r="R142" i="3" l="1"/>
  <c r="R228" i="3"/>
  <c r="M152" i="15"/>
  <c r="R26" i="16"/>
  <c r="AA274" i="16"/>
  <c r="AA275" i="16" s="1"/>
  <c r="AA226" i="52"/>
  <c r="AA209" i="52"/>
  <c r="I148" i="15"/>
  <c r="S67" i="16"/>
  <c r="AA22" i="3"/>
  <c r="I152" i="15"/>
  <c r="S228" i="3"/>
  <c r="S223" i="3" s="1"/>
  <c r="S142" i="3"/>
  <c r="L8" i="14"/>
  <c r="L38" i="14" s="1"/>
  <c r="J45" i="13" s="1"/>
  <c r="AA60" i="16"/>
  <c r="AA136" i="3"/>
  <c r="AA205" i="3" s="1"/>
  <c r="AA206" i="3" s="1"/>
  <c r="T228" i="3"/>
  <c r="T223" i="3" s="1"/>
  <c r="T142" i="3"/>
  <c r="M148" i="15"/>
  <c r="T67" i="16"/>
  <c r="S139" i="77"/>
  <c r="R26" i="3" l="1"/>
  <c r="AA26" i="16"/>
  <c r="R28" i="16"/>
  <c r="AB228" i="3"/>
  <c r="AB223" i="3" s="1"/>
  <c r="AA142" i="3"/>
  <c r="I153" i="15"/>
  <c r="R223" i="3"/>
  <c r="AA228" i="3"/>
  <c r="AA223" i="3" s="1"/>
  <c r="M153" i="15"/>
  <c r="S18" i="13" l="1"/>
  <c r="U18" i="13"/>
  <c r="T18" i="13"/>
  <c r="W18" i="13"/>
  <c r="V18" i="13"/>
  <c r="T14" i="13"/>
  <c r="T15" i="13" s="1"/>
  <c r="S14" i="13"/>
  <c r="S15" i="13" s="1"/>
  <c r="U14" i="13"/>
  <c r="U15" i="13" s="1"/>
  <c r="V14" i="13"/>
  <c r="V15" i="13" s="1"/>
  <c r="W14" i="13"/>
  <c r="W15" i="13" s="1"/>
  <c r="E147" i="15"/>
  <c r="R64" i="16"/>
  <c r="V11" i="14"/>
  <c r="R31" i="16"/>
  <c r="S191" i="77"/>
  <c r="AA28" i="16"/>
  <c r="S203" i="77"/>
  <c r="S215" i="77"/>
  <c r="S194" i="77"/>
  <c r="S206" i="77"/>
  <c r="S218" i="77"/>
  <c r="AA26" i="3"/>
  <c r="R71" i="3"/>
  <c r="AA71" i="3" s="1"/>
  <c r="R65" i="3"/>
  <c r="R28" i="3"/>
  <c r="E148" i="15" l="1"/>
  <c r="R67" i="16"/>
  <c r="V10" i="14"/>
  <c r="AA65" i="3"/>
  <c r="AA67" i="3" s="1"/>
  <c r="AA72" i="3" s="1"/>
  <c r="AA236" i="16" s="1"/>
  <c r="AA28" i="3"/>
  <c r="V41" i="14"/>
  <c r="P48" i="13" s="1"/>
  <c r="V42" i="14"/>
  <c r="P49" i="13" s="1"/>
  <c r="E152" i="15"/>
  <c r="R74" i="3"/>
  <c r="R67" i="3"/>
  <c r="R72" i="3" s="1"/>
  <c r="R236" i="16" s="1"/>
  <c r="S46" i="77"/>
  <c r="S48" i="77" s="1"/>
  <c r="E133" i="15"/>
  <c r="L11" i="14"/>
  <c r="AA64" i="16"/>
  <c r="AA31" i="16"/>
  <c r="V52" i="14" l="1"/>
  <c r="P59" i="13" s="1"/>
  <c r="V40" i="14"/>
  <c r="P47" i="13" s="1"/>
  <c r="E138" i="15"/>
  <c r="E153" i="15"/>
  <c r="AA74" i="3"/>
  <c r="AA76" i="3" s="1"/>
  <c r="R76" i="3"/>
  <c r="L42" i="14"/>
  <c r="J49" i="13" s="1"/>
  <c r="L41" i="14"/>
  <c r="J48" i="13" s="1"/>
  <c r="E36" i="13" s="1"/>
  <c r="E134" i="15"/>
  <c r="L10" i="14"/>
  <c r="AA67" i="16"/>
  <c r="K33" i="13" l="1"/>
  <c r="K31" i="13"/>
  <c r="L40" i="14"/>
  <c r="J47" i="13" s="1"/>
  <c r="E139" i="15"/>
  <c r="N31" i="13" l="1"/>
  <c r="N33" i="13"/>
  <c r="AB246" i="16"/>
  <c r="AB257" i="16" s="1"/>
  <c r="AC246" i="16"/>
  <c r="AC257" i="16" s="1"/>
  <c r="AD246" i="16"/>
  <c r="AD257" i="16" s="1"/>
  <c r="U189" i="3"/>
  <c r="L82" i="27" l="1"/>
  <c r="I155" i="27" l="1"/>
  <c r="Q155" i="27"/>
  <c r="J155" i="27"/>
  <c r="R155" i="27"/>
  <c r="K155" i="27"/>
  <c r="S155" i="27"/>
  <c r="D155" i="27"/>
  <c r="L155" i="27"/>
  <c r="T155" i="27"/>
  <c r="E155" i="27"/>
  <c r="M155" i="27"/>
  <c r="U155" i="27"/>
  <c r="P155" i="27"/>
  <c r="V155" i="27"/>
  <c r="W155" i="27"/>
  <c r="F155" i="27"/>
  <c r="X155" i="27"/>
  <c r="G155" i="27"/>
  <c r="H155" i="27"/>
  <c r="O155" i="27"/>
  <c r="N155" i="27"/>
  <c r="R3" i="38" l="1"/>
  <c r="R190" i="38" l="1"/>
  <c r="S190" i="38" s="1"/>
  <c r="S192" i="38" s="1"/>
  <c r="S127" i="38" s="1"/>
  <c r="T190" i="38" l="1"/>
  <c r="T192" i="38" s="1"/>
  <c r="T127" i="38" s="1"/>
  <c r="AA127" i="38" s="1"/>
  <c r="AA192" i="38" s="1"/>
  <c r="AA190" i="38" s="1"/>
  <c r="AB190" i="38" s="1"/>
  <c r="AC190" i="38" l="1"/>
  <c r="AB192" i="38"/>
  <c r="AB127" i="38" s="1"/>
  <c r="AD190" i="38" l="1"/>
  <c r="AD192" i="38" s="1"/>
  <c r="AD127" i="38" s="1"/>
  <c r="AC192" i="38"/>
  <c r="AC127" i="38" s="1"/>
  <c r="R24" i="38"/>
  <c r="R32" i="38" s="1"/>
  <c r="R40" i="38" s="1"/>
  <c r="R71" i="38" s="1"/>
  <c r="R82" i="38" s="1"/>
  <c r="R192" i="77"/>
  <c r="R204" i="77"/>
  <c r="R216" i="77"/>
  <c r="S16" i="36"/>
  <c r="T16" i="36"/>
  <c r="U16" i="36"/>
  <c r="V16" i="36"/>
  <c r="W16" i="36"/>
  <c r="R43" i="38" l="1"/>
  <c r="R45" i="38" s="1"/>
  <c r="R46" i="38"/>
  <c r="R214" i="38"/>
  <c r="R110" i="38"/>
  <c r="R112" i="38" s="1"/>
  <c r="U13" i="37" s="1"/>
  <c r="U45" i="37" l="1"/>
  <c r="O52" i="36" s="1"/>
  <c r="K13" i="37"/>
  <c r="U44" i="37"/>
  <c r="O51" i="36" s="1"/>
  <c r="R253" i="38"/>
  <c r="R255" i="38" s="1"/>
  <c r="S254" i="38" s="1"/>
  <c r="S114" i="41" s="1"/>
  <c r="R259" i="38"/>
  <c r="R264" i="38" s="1"/>
  <c r="R269" i="38" s="1"/>
  <c r="K45" i="37" l="1"/>
  <c r="I52" i="36" s="1"/>
  <c r="K44" i="37"/>
  <c r="I51" i="36" s="1"/>
  <c r="R257" i="38"/>
  <c r="R4" i="38" s="1"/>
  <c r="R75" i="39"/>
  <c r="R78" i="39"/>
  <c r="R97" i="38"/>
  <c r="R108" i="38" s="1"/>
  <c r="R41" i="39"/>
  <c r="R83" i="39" l="1"/>
  <c r="U16" i="37"/>
  <c r="AA188" i="39"/>
  <c r="AA195" i="39" s="1"/>
  <c r="U21" i="37" l="1"/>
  <c r="K21" i="37" s="1"/>
  <c r="K16" i="37"/>
  <c r="R76" i="77"/>
  <c r="AA202" i="39"/>
  <c r="AA209" i="39" s="1"/>
  <c r="AA181" i="39"/>
  <c r="AA191" i="39"/>
  <c r="AA205" i="39" l="1"/>
  <c r="AA212" i="39" s="1"/>
  <c r="AA142" i="39" s="1"/>
  <c r="AA184" i="39"/>
  <c r="AA141" i="39" s="1"/>
  <c r="AA147" i="39" s="1"/>
  <c r="AA198" i="39"/>
  <c r="R124" i="77"/>
  <c r="R131" i="77" s="1"/>
  <c r="R79" i="77"/>
  <c r="R83" i="77"/>
  <c r="R92" i="77"/>
  <c r="R99" i="77" s="1"/>
  <c r="R127" i="77" l="1"/>
  <c r="R134" i="77" s="1"/>
  <c r="R86" i="77"/>
  <c r="R95" i="77"/>
  <c r="R102" i="77" s="1"/>
  <c r="AA143" i="39"/>
  <c r="AA148" i="39"/>
  <c r="AA149" i="39"/>
  <c r="AA150" i="39" l="1"/>
  <c r="AA151" i="39"/>
  <c r="R31" i="41"/>
  <c r="S126" i="41"/>
  <c r="Q30" i="41"/>
  <c r="Q33" i="41" s="1"/>
  <c r="Q34" i="41" s="1"/>
  <c r="D31" i="41"/>
  <c r="V51" i="28"/>
  <c r="P58" i="27" s="1"/>
  <c r="V53" i="28"/>
  <c r="P60" i="27" s="1"/>
  <c r="L52" i="28"/>
  <c r="J59" i="27" s="1"/>
  <c r="L52" i="14"/>
  <c r="J59" i="13" s="1"/>
  <c r="G16" i="120"/>
  <c r="G17" i="120"/>
  <c r="G9" i="36" l="1"/>
  <c r="A1" i="28" l="1"/>
  <c r="L13" i="28"/>
  <c r="M13" i="28"/>
  <c r="V13" i="28"/>
  <c r="L15" i="28"/>
  <c r="M15" i="28"/>
  <c r="V15" i="28"/>
  <c r="L16" i="28"/>
  <c r="M16" i="28"/>
  <c r="V16" i="28"/>
  <c r="L20" i="28"/>
  <c r="M20" i="28"/>
  <c r="V20" i="28"/>
  <c r="L21" i="28"/>
  <c r="M21" i="28"/>
  <c r="V21" i="28"/>
  <c r="L23" i="28"/>
  <c r="M23" i="28"/>
  <c r="V23" i="28"/>
  <c r="L24" i="28"/>
  <c r="M24" i="28"/>
  <c r="V24" i="28"/>
  <c r="L25" i="28"/>
  <c r="M25" i="28"/>
  <c r="V25" i="28"/>
  <c r="L27" i="28"/>
  <c r="M27" i="28"/>
  <c r="V27" i="28"/>
  <c r="L34" i="28"/>
  <c r="V34" i="28"/>
  <c r="L44" i="28"/>
  <c r="M44" i="28"/>
  <c r="V44" i="28"/>
  <c r="L45" i="28"/>
  <c r="M45" i="28"/>
  <c r="V45" i="28"/>
  <c r="L46" i="28"/>
  <c r="M46" i="28"/>
  <c r="V46" i="28"/>
  <c r="L47" i="28"/>
  <c r="M47" i="28"/>
  <c r="V47" i="28"/>
  <c r="L48" i="28"/>
  <c r="M48" i="28"/>
  <c r="V48" i="28"/>
  <c r="L49" i="28"/>
  <c r="M49" i="28"/>
  <c r="L50" i="28"/>
  <c r="M50" i="28"/>
  <c r="L51" i="28"/>
  <c r="M51" i="28"/>
  <c r="M52" i="28"/>
  <c r="L53" i="28"/>
  <c r="M53" i="28"/>
  <c r="L54" i="28"/>
  <c r="M54" i="28"/>
  <c r="V54" i="28"/>
  <c r="L55" i="28"/>
  <c r="M55" i="28"/>
  <c r="V55" i="28"/>
  <c r="C60" i="28"/>
  <c r="C83" i="28"/>
  <c r="A1" i="32"/>
  <c r="Q33" i="32"/>
  <c r="R33" i="32"/>
  <c r="S33" i="32"/>
  <c r="T33" i="32"/>
  <c r="AA33" i="32"/>
  <c r="AB33" i="32"/>
  <c r="AC33" i="32"/>
  <c r="AD33" i="32"/>
  <c r="R34" i="32"/>
  <c r="S34" i="32"/>
  <c r="T34" i="32"/>
  <c r="AA34" i="32"/>
  <c r="AB34" i="32"/>
  <c r="AC34" i="32"/>
  <c r="AD34" i="32"/>
  <c r="Q36" i="32"/>
  <c r="R36" i="32"/>
  <c r="S36" i="32"/>
  <c r="T36" i="32"/>
  <c r="AA36" i="32"/>
  <c r="AB36" i="32"/>
  <c r="AC36" i="32"/>
  <c r="AD36" i="32"/>
  <c r="Q37" i="32"/>
  <c r="R90" i="32"/>
  <c r="S90" i="32"/>
  <c r="T90" i="32"/>
  <c r="AB90" i="32"/>
  <c r="AC90" i="32"/>
  <c r="AD90" i="32"/>
  <c r="R91" i="32"/>
  <c r="S91" i="32"/>
  <c r="T91" i="32"/>
  <c r="AB91" i="32"/>
  <c r="AC91" i="32"/>
  <c r="AD91" i="32"/>
  <c r="R92" i="32"/>
  <c r="S92" i="32"/>
  <c r="T92" i="32"/>
  <c r="AB92" i="32"/>
  <c r="AC92" i="32"/>
  <c r="AD92" i="32"/>
  <c r="R119" i="32"/>
  <c r="S119" i="32"/>
  <c r="T119" i="32"/>
  <c r="AB119" i="32"/>
  <c r="AC119" i="32"/>
  <c r="AD119" i="32"/>
  <c r="R120" i="32"/>
  <c r="S120" i="32"/>
  <c r="T120" i="32"/>
  <c r="AB120" i="32"/>
  <c r="AC120" i="32"/>
  <c r="AD120" i="32"/>
  <c r="R121" i="32"/>
  <c r="S121" i="32"/>
  <c r="T121" i="32"/>
  <c r="AB121" i="32"/>
  <c r="AC121" i="32"/>
  <c r="AD121" i="32"/>
  <c r="R125" i="32"/>
  <c r="S125" i="32"/>
  <c r="T125" i="32"/>
  <c r="AB125" i="32"/>
  <c r="AC125" i="32"/>
  <c r="AD125" i="32"/>
  <c r="S126" i="32"/>
  <c r="T126" i="32"/>
  <c r="AB126" i="32"/>
  <c r="AC126" i="32"/>
  <c r="AD126" i="32"/>
  <c r="R128" i="32"/>
  <c r="S128" i="32"/>
  <c r="T128" i="32"/>
  <c r="AB128" i="32"/>
  <c r="AC128" i="32"/>
  <c r="AD128" i="32"/>
  <c r="R130" i="32"/>
  <c r="S130" i="32"/>
  <c r="T130" i="32"/>
  <c r="AB130" i="32"/>
  <c r="AC130" i="32"/>
  <c r="AD130" i="32"/>
  <c r="R133" i="32"/>
  <c r="S133" i="32"/>
  <c r="T133" i="32"/>
  <c r="AB133" i="32"/>
  <c r="AC133" i="32"/>
  <c r="AD133" i="32"/>
  <c r="R134" i="32"/>
  <c r="S134" i="32"/>
  <c r="T134" i="32"/>
  <c r="AB134" i="32"/>
  <c r="AC134" i="32"/>
  <c r="AD134" i="32"/>
  <c r="Q135" i="32"/>
  <c r="R135" i="32"/>
  <c r="S135" i="32"/>
  <c r="T135" i="32"/>
  <c r="AA135" i="32"/>
  <c r="AB135" i="32"/>
  <c r="AC135" i="32"/>
  <c r="AD135" i="32"/>
  <c r="S138" i="32"/>
  <c r="T138" i="32"/>
  <c r="AB138" i="32"/>
  <c r="AC138" i="32"/>
  <c r="AD138" i="32"/>
  <c r="R139" i="32"/>
  <c r="S139" i="32"/>
  <c r="T139" i="32"/>
  <c r="AB139" i="32"/>
  <c r="AC139" i="32"/>
  <c r="AD139" i="32"/>
  <c r="R140" i="32"/>
  <c r="S140" i="32"/>
  <c r="T140" i="32"/>
  <c r="AB140" i="32"/>
  <c r="AC140" i="32"/>
  <c r="AD140" i="32"/>
  <c r="A1" i="29"/>
  <c r="R3" i="29"/>
  <c r="S3" i="29"/>
  <c r="T3" i="29"/>
  <c r="AA3" i="29"/>
  <c r="AB3" i="29"/>
  <c r="AC3" i="29"/>
  <c r="AD3" i="29"/>
  <c r="R4" i="29"/>
  <c r="S4" i="29"/>
  <c r="T4" i="29"/>
  <c r="AA4" i="29"/>
  <c r="AB4" i="29"/>
  <c r="AC4" i="29"/>
  <c r="AD4" i="29"/>
  <c r="R30" i="29"/>
  <c r="S30" i="29"/>
  <c r="T30" i="29"/>
  <c r="AA30" i="29"/>
  <c r="AB30" i="29"/>
  <c r="AC30" i="29"/>
  <c r="AD30" i="29"/>
  <c r="R32" i="29"/>
  <c r="S32" i="29"/>
  <c r="T32" i="29"/>
  <c r="AA32" i="29"/>
  <c r="AB32" i="29"/>
  <c r="AC32" i="29"/>
  <c r="AD32" i="29"/>
  <c r="R34" i="29"/>
  <c r="S34" i="29"/>
  <c r="T34" i="29"/>
  <c r="AA34" i="29"/>
  <c r="AB34" i="29"/>
  <c r="AC34" i="29"/>
  <c r="AD34" i="29"/>
  <c r="R35" i="29"/>
  <c r="S35" i="29"/>
  <c r="T35" i="29"/>
  <c r="AA35" i="29"/>
  <c r="AB35" i="29"/>
  <c r="AC35" i="29"/>
  <c r="AD35" i="29"/>
  <c r="R37" i="29"/>
  <c r="S37" i="29"/>
  <c r="T37" i="29"/>
  <c r="AA37" i="29"/>
  <c r="AB37" i="29"/>
  <c r="AC37" i="29"/>
  <c r="AD37" i="29"/>
  <c r="R38" i="29"/>
  <c r="S38" i="29"/>
  <c r="T38" i="29"/>
  <c r="AA38" i="29"/>
  <c r="AB38" i="29"/>
  <c r="AC38" i="29"/>
  <c r="AD38" i="29"/>
  <c r="R56" i="29"/>
  <c r="S56" i="29"/>
  <c r="T56" i="29"/>
  <c r="AA56" i="29"/>
  <c r="AB56" i="29"/>
  <c r="AC56" i="29"/>
  <c r="AD56" i="29"/>
  <c r="R59" i="29"/>
  <c r="S59" i="29"/>
  <c r="T59" i="29"/>
  <c r="AA59" i="29"/>
  <c r="AB59" i="29"/>
  <c r="AC59" i="29"/>
  <c r="AD59" i="29"/>
  <c r="R61" i="29"/>
  <c r="S61" i="29"/>
  <c r="T61" i="29"/>
  <c r="AA61" i="29"/>
  <c r="AB61" i="29"/>
  <c r="AC61" i="29"/>
  <c r="AD61" i="29"/>
  <c r="R64" i="29"/>
  <c r="S64" i="29"/>
  <c r="T64" i="29"/>
  <c r="AA64" i="29"/>
  <c r="AB64" i="29"/>
  <c r="AC64" i="29"/>
  <c r="AD64" i="29"/>
  <c r="R99" i="29"/>
  <c r="S99" i="29"/>
  <c r="T99" i="29"/>
  <c r="AA99" i="29"/>
  <c r="AB99" i="29"/>
  <c r="AC99" i="29"/>
  <c r="AD99" i="29"/>
  <c r="R101" i="29"/>
  <c r="S101" i="29"/>
  <c r="T101" i="29"/>
  <c r="AA101" i="29"/>
  <c r="AB101" i="29"/>
  <c r="AC101" i="29"/>
  <c r="AD101" i="29"/>
  <c r="R110" i="29"/>
  <c r="S110" i="29"/>
  <c r="T110" i="29"/>
  <c r="AA110" i="29"/>
  <c r="AB110" i="29"/>
  <c r="AC110" i="29"/>
  <c r="AD110" i="29"/>
  <c r="R113" i="29"/>
  <c r="S113" i="29"/>
  <c r="T113" i="29"/>
  <c r="AA113" i="29"/>
  <c r="AB113" i="29"/>
  <c r="AC113" i="29"/>
  <c r="AD113" i="29"/>
  <c r="R119" i="29"/>
  <c r="S119" i="29"/>
  <c r="T119" i="29"/>
  <c r="AA119" i="29"/>
  <c r="AB119" i="29"/>
  <c r="AC119" i="29"/>
  <c r="AD119" i="29"/>
  <c r="R121" i="29"/>
  <c r="S121" i="29"/>
  <c r="T121" i="29"/>
  <c r="AA121" i="29"/>
  <c r="AB121" i="29"/>
  <c r="AC121" i="29"/>
  <c r="AD121" i="29"/>
  <c r="R129" i="29"/>
  <c r="S129" i="29"/>
  <c r="T129" i="29"/>
  <c r="AA129" i="29"/>
  <c r="AB129" i="29"/>
  <c r="AC129" i="29"/>
  <c r="AD129" i="29"/>
  <c r="R143" i="29"/>
  <c r="S143" i="29"/>
  <c r="T143" i="29"/>
  <c r="AA143" i="29"/>
  <c r="AB143" i="29"/>
  <c r="AC143" i="29"/>
  <c r="AD143" i="29"/>
  <c r="R148" i="29"/>
  <c r="S148" i="29"/>
  <c r="T148" i="29"/>
  <c r="AA148" i="29"/>
  <c r="AB148" i="29"/>
  <c r="AC148" i="29"/>
  <c r="AD148" i="29"/>
  <c r="R149" i="29"/>
  <c r="S149" i="29"/>
  <c r="T149" i="29"/>
  <c r="AA149" i="29"/>
  <c r="AB149" i="29"/>
  <c r="AC149" i="29"/>
  <c r="AD149" i="29"/>
  <c r="R151" i="29"/>
  <c r="S151" i="29"/>
  <c r="T151" i="29"/>
  <c r="AA151" i="29"/>
  <c r="AB151" i="29"/>
  <c r="AC151" i="29"/>
  <c r="AD151" i="29"/>
  <c r="R153" i="29"/>
  <c r="S153" i="29"/>
  <c r="T153" i="29"/>
  <c r="AA153" i="29"/>
  <c r="AB153" i="29"/>
  <c r="AC153" i="29"/>
  <c r="AD153" i="29"/>
  <c r="R156" i="29"/>
  <c r="S156" i="29"/>
  <c r="T156" i="29"/>
  <c r="AA156" i="29"/>
  <c r="AB156" i="29"/>
  <c r="AC156" i="29"/>
  <c r="AD156" i="29"/>
  <c r="S181" i="29"/>
  <c r="T181" i="29"/>
  <c r="AB181" i="29"/>
  <c r="AC181" i="29"/>
  <c r="AD181" i="29"/>
  <c r="R182" i="29"/>
  <c r="S182" i="29"/>
  <c r="T182" i="29"/>
  <c r="AB182" i="29"/>
  <c r="AC182" i="29"/>
  <c r="AD182" i="29"/>
  <c r="R183" i="29"/>
  <c r="S183" i="29"/>
  <c r="T183" i="29"/>
  <c r="AA183" i="29"/>
  <c r="AB183" i="29"/>
  <c r="AC183" i="29"/>
  <c r="AD183" i="29"/>
  <c r="R208" i="29"/>
  <c r="S208" i="29"/>
  <c r="T208" i="29"/>
  <c r="AB208" i="29"/>
  <c r="AC208" i="29"/>
  <c r="AD208" i="29"/>
  <c r="R214" i="29"/>
  <c r="S214" i="29"/>
  <c r="T214" i="29"/>
  <c r="AB214" i="29"/>
  <c r="AC214" i="29"/>
  <c r="AD214" i="29"/>
  <c r="R224" i="29"/>
  <c r="S224" i="29"/>
  <c r="T224" i="29"/>
  <c r="AA224" i="29"/>
  <c r="AB224" i="29"/>
  <c r="AC224" i="29"/>
  <c r="AD224" i="29"/>
  <c r="R227" i="29"/>
  <c r="S227" i="29"/>
  <c r="T227" i="29"/>
  <c r="AA227" i="29"/>
  <c r="AB227" i="29"/>
  <c r="AC227" i="29"/>
  <c r="AD227" i="29"/>
  <c r="R232" i="29"/>
  <c r="S232" i="29"/>
  <c r="T232" i="29"/>
  <c r="AA232" i="29"/>
  <c r="AB232" i="29"/>
  <c r="AC232" i="29"/>
  <c r="AD232" i="29"/>
  <c r="R237" i="29"/>
  <c r="S237" i="29"/>
  <c r="T237" i="29"/>
  <c r="AA237" i="29"/>
  <c r="AB237" i="29"/>
  <c r="AC237" i="29"/>
  <c r="AD237" i="29"/>
  <c r="R239" i="29"/>
  <c r="S239" i="29"/>
  <c r="T239" i="29"/>
  <c r="AA239" i="29"/>
  <c r="AB239" i="29"/>
  <c r="AC239" i="29"/>
  <c r="AD239" i="29"/>
  <c r="R240" i="29"/>
  <c r="S240" i="29"/>
  <c r="T240" i="29"/>
  <c r="AA240" i="29"/>
  <c r="AB240" i="29"/>
  <c r="AC240" i="29"/>
  <c r="AD240" i="29"/>
  <c r="R246" i="29"/>
  <c r="S246" i="29"/>
  <c r="T246" i="29"/>
  <c r="AA246" i="29"/>
  <c r="AB246" i="29"/>
  <c r="AC246" i="29"/>
  <c r="AD246" i="29"/>
  <c r="R248" i="29"/>
  <c r="S248" i="29"/>
  <c r="T248" i="29"/>
  <c r="AA248" i="29"/>
  <c r="AB248" i="29"/>
  <c r="AC248" i="29"/>
  <c r="AD248" i="29"/>
  <c r="S249" i="29"/>
  <c r="T249" i="29"/>
  <c r="AB249" i="29"/>
  <c r="AC249" i="29"/>
  <c r="AD249" i="29"/>
  <c r="R250" i="29"/>
  <c r="S250" i="29"/>
  <c r="T250" i="29"/>
  <c r="AA250" i="29"/>
  <c r="AB250" i="29"/>
  <c r="AC250" i="29"/>
  <c r="AD250" i="29"/>
  <c r="R252" i="29"/>
  <c r="S252" i="29"/>
  <c r="T252" i="29"/>
  <c r="AA252" i="29"/>
  <c r="AB252" i="29"/>
  <c r="AC252" i="29"/>
  <c r="AD252" i="29"/>
  <c r="A1" i="30"/>
  <c r="R31" i="30"/>
  <c r="S31" i="30"/>
  <c r="T31" i="30"/>
  <c r="AA31" i="30"/>
  <c r="AB31" i="30"/>
  <c r="AC31" i="30"/>
  <c r="AD31" i="30"/>
  <c r="R33" i="30"/>
  <c r="S33" i="30"/>
  <c r="T33" i="30"/>
  <c r="AA33" i="30"/>
  <c r="AB33" i="30"/>
  <c r="AC33" i="30"/>
  <c r="AD33" i="30"/>
  <c r="R35" i="30"/>
  <c r="S35" i="30"/>
  <c r="T35" i="30"/>
  <c r="AA35" i="30"/>
  <c r="AB35" i="30"/>
  <c r="AC35" i="30"/>
  <c r="AD35" i="30"/>
  <c r="AA36" i="30"/>
  <c r="R37" i="30"/>
  <c r="S37" i="30"/>
  <c r="T37" i="30"/>
  <c r="AA37" i="30"/>
  <c r="AB37" i="30"/>
  <c r="AC37" i="30"/>
  <c r="AD37" i="30"/>
  <c r="R39" i="30"/>
  <c r="S39" i="30"/>
  <c r="T39" i="30"/>
  <c r="AA39" i="30"/>
  <c r="AB39" i="30"/>
  <c r="AC39" i="30"/>
  <c r="AD39" i="30"/>
  <c r="R40" i="30"/>
  <c r="S40" i="30"/>
  <c r="T40" i="30"/>
  <c r="AA40" i="30"/>
  <c r="AB40" i="30"/>
  <c r="AC40" i="30"/>
  <c r="AD40" i="30"/>
  <c r="R67" i="30"/>
  <c r="S67" i="30"/>
  <c r="T67" i="30"/>
  <c r="AA67" i="30"/>
  <c r="AB67" i="30"/>
  <c r="AC67" i="30"/>
  <c r="AD67" i="30"/>
  <c r="R69" i="30"/>
  <c r="S69" i="30"/>
  <c r="T69" i="30"/>
  <c r="AA69" i="30"/>
  <c r="AB69" i="30"/>
  <c r="AC69" i="30"/>
  <c r="AD69" i="30"/>
  <c r="R71" i="30"/>
  <c r="S71" i="30"/>
  <c r="T71" i="30"/>
  <c r="AA71" i="30"/>
  <c r="AB71" i="30"/>
  <c r="AC71" i="30"/>
  <c r="AD71" i="30"/>
  <c r="R72" i="30"/>
  <c r="S72" i="30"/>
  <c r="T72" i="30"/>
  <c r="AA72" i="30"/>
  <c r="AB72" i="30"/>
  <c r="AC72" i="30"/>
  <c r="AD72" i="30"/>
  <c r="R81" i="30"/>
  <c r="S81" i="30"/>
  <c r="T81" i="30"/>
  <c r="AA81" i="30"/>
  <c r="AB81" i="30"/>
  <c r="AC81" i="30"/>
  <c r="AD81" i="30"/>
  <c r="R83" i="30"/>
  <c r="S83" i="30"/>
  <c r="T83" i="30"/>
  <c r="AA83" i="30"/>
  <c r="AB83" i="30"/>
  <c r="AC83" i="30"/>
  <c r="AD83" i="30"/>
  <c r="D2" i="27"/>
  <c r="W2" i="27"/>
  <c r="I3" i="27"/>
  <c r="M3" i="27"/>
  <c r="W3" i="27"/>
  <c r="I4" i="27"/>
  <c r="M4" i="27"/>
  <c r="W4" i="27"/>
  <c r="I5" i="27"/>
  <c r="M5" i="27"/>
  <c r="W5" i="27"/>
  <c r="E8" i="27"/>
  <c r="F8" i="27"/>
  <c r="G8" i="27"/>
  <c r="H8" i="27"/>
  <c r="I8" i="27"/>
  <c r="J8" i="27"/>
  <c r="E9" i="27"/>
  <c r="F9" i="27"/>
  <c r="H9" i="27"/>
  <c r="I9" i="27"/>
  <c r="J9" i="27"/>
  <c r="N9" i="27"/>
  <c r="O9" i="27"/>
  <c r="N10" i="27"/>
  <c r="O10" i="27"/>
  <c r="S16" i="27"/>
  <c r="T16" i="27"/>
  <c r="U16" i="27"/>
  <c r="V16" i="27"/>
  <c r="W16" i="27"/>
  <c r="S17" i="27"/>
  <c r="T17" i="27"/>
  <c r="U17" i="27"/>
  <c r="V17" i="27"/>
  <c r="W17" i="27"/>
  <c r="S21" i="27"/>
  <c r="T21" i="27"/>
  <c r="U21" i="27"/>
  <c r="V21" i="27"/>
  <c r="W21" i="27"/>
  <c r="S24" i="27"/>
  <c r="T24" i="27"/>
  <c r="U24" i="27"/>
  <c r="V24" i="27"/>
  <c r="W24" i="27"/>
  <c r="E28" i="27"/>
  <c r="F28" i="27"/>
  <c r="G28" i="27"/>
  <c r="H28" i="27"/>
  <c r="I28" i="27"/>
  <c r="J28" i="27"/>
  <c r="K28" i="27"/>
  <c r="L28" i="27" a="1"/>
  <c r="L28" i="27"/>
  <c r="M28" i="27"/>
  <c r="N28" i="27"/>
  <c r="O28" i="27"/>
  <c r="P28" i="27"/>
  <c r="E29" i="27"/>
  <c r="F29" i="27"/>
  <c r="G29" i="27"/>
  <c r="H29" i="27"/>
  <c r="I29" i="27"/>
  <c r="J29" i="27"/>
  <c r="K29" i="27"/>
  <c r="L29" i="27" a="1"/>
  <c r="L29" i="27"/>
  <c r="M29" i="27"/>
  <c r="N29" i="27"/>
  <c r="O29" i="27"/>
  <c r="P29" i="27"/>
  <c r="E30" i="27"/>
  <c r="F30" i="27"/>
  <c r="G30" i="27"/>
  <c r="H30" i="27"/>
  <c r="I30" i="27"/>
  <c r="J30" i="27"/>
  <c r="K30" i="27"/>
  <c r="L30" i="27"/>
  <c r="M30" i="27"/>
  <c r="N30" i="27"/>
  <c r="O30" i="27"/>
  <c r="P30" i="27"/>
  <c r="J31" i="27"/>
  <c r="L31" i="27"/>
  <c r="O31" i="27"/>
  <c r="E32" i="27"/>
  <c r="J32" i="27"/>
  <c r="K32" i="27"/>
  <c r="L32" i="27"/>
  <c r="N32" i="27"/>
  <c r="O32" i="27"/>
  <c r="J33" i="27"/>
  <c r="L33" i="27"/>
  <c r="O33" i="27"/>
  <c r="W33" i="27"/>
  <c r="E34" i="27"/>
  <c r="J34" i="27"/>
  <c r="K34" i="27"/>
  <c r="L34" i="27"/>
  <c r="N34" i="27"/>
  <c r="O34" i="27"/>
  <c r="E35" i="27"/>
  <c r="J35" i="27"/>
  <c r="K35" i="27"/>
  <c r="L35" i="27"/>
  <c r="N35" i="27"/>
  <c r="O35" i="27"/>
  <c r="J51" i="27"/>
  <c r="K51" i="27"/>
  <c r="P51" i="27"/>
  <c r="J52" i="27"/>
  <c r="K52" i="27"/>
  <c r="P52" i="27"/>
  <c r="J53" i="27"/>
  <c r="K53" i="27"/>
  <c r="P53" i="27"/>
  <c r="J54" i="27"/>
  <c r="K54" i="27"/>
  <c r="P54" i="27"/>
  <c r="J55" i="27"/>
  <c r="K55" i="27"/>
  <c r="P55" i="27"/>
  <c r="J56" i="27"/>
  <c r="K56" i="27"/>
  <c r="J57" i="27"/>
  <c r="K57" i="27"/>
  <c r="J58" i="27"/>
  <c r="K58" i="27"/>
  <c r="K59" i="27"/>
  <c r="J60" i="27"/>
  <c r="K60" i="27"/>
  <c r="R60" i="27"/>
  <c r="S60" i="27"/>
  <c r="T60" i="27"/>
  <c r="J61" i="27"/>
  <c r="K61" i="27"/>
  <c r="P61" i="27"/>
  <c r="Q61" i="27"/>
  <c r="R61" i="27"/>
  <c r="S61" i="27"/>
  <c r="T61" i="27"/>
  <c r="U61" i="27"/>
  <c r="J62" i="27"/>
  <c r="K62" i="27"/>
  <c r="P62" i="27"/>
  <c r="R62" i="27"/>
  <c r="S62" i="27"/>
  <c r="T62" i="27"/>
  <c r="R63" i="27"/>
  <c r="S63" i="27"/>
  <c r="T63" i="27"/>
  <c r="R64" i="27"/>
  <c r="S64" i="27"/>
  <c r="T64" i="27"/>
  <c r="R65" i="27"/>
  <c r="S65" i="27"/>
  <c r="T65" i="27"/>
  <c r="R66" i="27"/>
  <c r="S66" i="27"/>
  <c r="T66" i="27"/>
  <c r="R67" i="27"/>
  <c r="S67" i="27"/>
  <c r="T67" i="27"/>
  <c r="C75" i="27"/>
  <c r="E76" i="27"/>
  <c r="F76" i="27"/>
  <c r="G76" i="27"/>
  <c r="H76" i="27"/>
  <c r="I76" i="27"/>
  <c r="J76" i="27"/>
  <c r="K76" i="27"/>
  <c r="L76" i="27"/>
  <c r="M76" i="27"/>
  <c r="N76" i="27" a="1"/>
  <c r="N76" i="27"/>
  <c r="O76" i="27" a="1"/>
  <c r="O76" i="27"/>
  <c r="P76" i="27" a="1"/>
  <c r="P76" i="27"/>
  <c r="Q76" i="27"/>
  <c r="R76" i="27" a="1"/>
  <c r="R76" i="27"/>
  <c r="S76" i="27" a="1"/>
  <c r="S76" i="27"/>
  <c r="T76" i="27" a="1"/>
  <c r="T76" i="27"/>
  <c r="U76" i="27" a="1"/>
  <c r="U76" i="27"/>
  <c r="V76" i="27"/>
  <c r="W76" i="27" a="1"/>
  <c r="W76" i="27"/>
  <c r="X76" i="27"/>
  <c r="E77" i="27"/>
  <c r="F77" i="27"/>
  <c r="G77" i="27"/>
  <c r="H77" i="27"/>
  <c r="I77" i="27"/>
  <c r="J77" i="27"/>
  <c r="K77" i="27"/>
  <c r="L77" i="27"/>
  <c r="M77" i="27"/>
  <c r="N77" i="27" a="1"/>
  <c r="N77" i="27"/>
  <c r="O77" i="27" a="1"/>
  <c r="O77" i="27"/>
  <c r="P77" i="27" a="1"/>
  <c r="P77" i="27"/>
  <c r="Q77" i="27"/>
  <c r="R77" i="27" a="1"/>
  <c r="R77" i="27"/>
  <c r="S77" i="27" a="1"/>
  <c r="S77" i="27"/>
  <c r="T77" i="27" a="1"/>
  <c r="T77" i="27"/>
  <c r="U77" i="27" a="1"/>
  <c r="U77" i="27"/>
  <c r="V77" i="27"/>
  <c r="W77" i="27" a="1"/>
  <c r="W77" i="27"/>
  <c r="X77" i="27"/>
  <c r="E78" i="27"/>
  <c r="F78" i="27"/>
  <c r="G78" i="27"/>
  <c r="H78" i="27"/>
  <c r="I78" i="27"/>
  <c r="J78" i="27"/>
  <c r="K78" i="27"/>
  <c r="L78" i="27"/>
  <c r="M78" i="27"/>
  <c r="N78" i="27" a="1"/>
  <c r="N78" i="27"/>
  <c r="O78" i="27" a="1"/>
  <c r="O78" i="27"/>
  <c r="P78" i="27" a="1"/>
  <c r="P78" i="27"/>
  <c r="Q78" i="27"/>
  <c r="R78" i="27" a="1"/>
  <c r="R78" i="27"/>
  <c r="S78" i="27" a="1"/>
  <c r="S78" i="27"/>
  <c r="T78" i="27" a="1"/>
  <c r="T78" i="27"/>
  <c r="U78" i="27" a="1"/>
  <c r="U78" i="27"/>
  <c r="V78" i="27"/>
  <c r="W78" i="27" a="1"/>
  <c r="W78" i="27"/>
  <c r="X78" i="27"/>
  <c r="E79" i="27"/>
  <c r="F79" i="27"/>
  <c r="G79" i="27"/>
  <c r="H79" i="27"/>
  <c r="I79" i="27"/>
  <c r="J79" i="27"/>
  <c r="K79" i="27"/>
  <c r="L79" i="27"/>
  <c r="M79" i="27"/>
  <c r="N79" i="27" a="1"/>
  <c r="N79" i="27"/>
  <c r="O79" i="27" a="1"/>
  <c r="O79" i="27"/>
  <c r="P79" i="27" a="1"/>
  <c r="P79" i="27"/>
  <c r="Q79" i="27"/>
  <c r="R79" i="27" a="1"/>
  <c r="R79" i="27"/>
  <c r="S79" i="27" a="1"/>
  <c r="S79" i="27"/>
  <c r="T79" i="27" a="1"/>
  <c r="T79" i="27"/>
  <c r="U79" i="27" a="1"/>
  <c r="U79" i="27"/>
  <c r="V79" i="27"/>
  <c r="W79" i="27" a="1"/>
  <c r="W79" i="27"/>
  <c r="X79" i="27"/>
  <c r="E80" i="27"/>
  <c r="G80" i="27"/>
  <c r="H80" i="27"/>
  <c r="I80" i="27"/>
  <c r="J80" i="27"/>
  <c r="K80" i="27"/>
  <c r="L80" i="27"/>
  <c r="M80" i="27"/>
  <c r="N80" i="27" a="1"/>
  <c r="N80" i="27"/>
  <c r="O80" i="27" a="1"/>
  <c r="O80" i="27"/>
  <c r="P80" i="27" a="1"/>
  <c r="P80" i="27"/>
  <c r="Q80" i="27"/>
  <c r="R80" i="27" a="1"/>
  <c r="R80" i="27"/>
  <c r="S80" i="27" a="1"/>
  <c r="S80" i="27"/>
  <c r="T80" i="27" a="1"/>
  <c r="T80" i="27"/>
  <c r="U80" i="27" a="1"/>
  <c r="U80" i="27"/>
  <c r="V80" i="27"/>
  <c r="W80" i="27" a="1"/>
  <c r="W80" i="27"/>
  <c r="X80" i="27"/>
  <c r="E81" i="27"/>
  <c r="G81" i="27"/>
  <c r="H81" i="27"/>
  <c r="I81" i="27"/>
  <c r="J81" i="27"/>
  <c r="K81" i="27"/>
  <c r="L81" i="27"/>
  <c r="M81" i="27"/>
  <c r="N81" i="27" a="1"/>
  <c r="N81" i="27"/>
  <c r="O81" i="27" a="1"/>
  <c r="O81" i="27"/>
  <c r="P81" i="27" a="1"/>
  <c r="P81" i="27"/>
  <c r="Q81" i="27"/>
  <c r="R81" i="27" a="1"/>
  <c r="R81" i="27"/>
  <c r="S81" i="27" a="1"/>
  <c r="S81" i="27"/>
  <c r="T81" i="27" a="1"/>
  <c r="T81" i="27"/>
  <c r="U81" i="27" a="1"/>
  <c r="U81" i="27"/>
  <c r="V81" i="27"/>
  <c r="W81" i="27" a="1"/>
  <c r="W81" i="27"/>
  <c r="X81" i="27"/>
  <c r="E82" i="27"/>
  <c r="F82" i="27"/>
  <c r="G82" i="27"/>
  <c r="H82" i="27"/>
  <c r="I82" i="27"/>
  <c r="J82" i="27"/>
  <c r="K82" i="27"/>
  <c r="M82" i="27"/>
  <c r="N82" i="27" a="1"/>
  <c r="N82" i="27"/>
  <c r="O82" i="27" a="1"/>
  <c r="O82" i="27"/>
  <c r="P82" i="27" a="1"/>
  <c r="P82" i="27"/>
  <c r="Q82" i="27"/>
  <c r="R82" i="27" a="1"/>
  <c r="R82" i="27"/>
  <c r="S82" i="27" a="1"/>
  <c r="S82" i="27"/>
  <c r="T82" i="27" a="1"/>
  <c r="T82" i="27"/>
  <c r="U82" i="27" a="1"/>
  <c r="U82" i="27"/>
  <c r="V82" i="27"/>
  <c r="W82" i="27" a="1"/>
  <c r="W82" i="27"/>
  <c r="X82" i="27"/>
  <c r="E83" i="27"/>
  <c r="F83" i="27"/>
  <c r="G83" i="27"/>
  <c r="H83" i="27"/>
  <c r="I83" i="27"/>
  <c r="J83" i="27"/>
  <c r="K83" i="27"/>
  <c r="L83" i="27"/>
  <c r="M83" i="27"/>
  <c r="N83" i="27" a="1"/>
  <c r="N83" i="27"/>
  <c r="O83" i="27" a="1"/>
  <c r="O83" i="27"/>
  <c r="P83" i="27" a="1"/>
  <c r="P83" i="27"/>
  <c r="Q83" i="27"/>
  <c r="R83" i="27" a="1"/>
  <c r="R83" i="27"/>
  <c r="S83" i="27" a="1"/>
  <c r="S83" i="27"/>
  <c r="T83" i="27" a="1"/>
  <c r="T83" i="27"/>
  <c r="U83" i="27" a="1"/>
  <c r="U83" i="27"/>
  <c r="V83" i="27"/>
  <c r="W83" i="27" a="1"/>
  <c r="W83" i="27"/>
  <c r="X83" i="27"/>
  <c r="E84" i="27"/>
  <c r="F84" i="27"/>
  <c r="G84" i="27"/>
  <c r="H84" i="27"/>
  <c r="I84" i="27"/>
  <c r="J84" i="27"/>
  <c r="K84" i="27"/>
  <c r="L84" i="27"/>
  <c r="M84" i="27"/>
  <c r="N84" i="27" a="1"/>
  <c r="N84" i="27"/>
  <c r="O84" i="27" a="1"/>
  <c r="O84" i="27"/>
  <c r="P84" i="27" a="1"/>
  <c r="P84" i="27"/>
  <c r="Q84" i="27"/>
  <c r="R84" i="27" a="1"/>
  <c r="R84" i="27"/>
  <c r="S84" i="27" a="1"/>
  <c r="S84" i="27"/>
  <c r="T84" i="27" a="1"/>
  <c r="T84" i="27"/>
  <c r="U84" i="27" a="1"/>
  <c r="U84" i="27"/>
  <c r="V84" i="27"/>
  <c r="W84" i="27" a="1"/>
  <c r="W84" i="27"/>
  <c r="X84" i="27"/>
  <c r="D85" i="27"/>
  <c r="E85" i="27"/>
  <c r="F85" i="27"/>
  <c r="G85" i="27"/>
  <c r="H85" i="27"/>
  <c r="I85" i="27"/>
  <c r="J85" i="27"/>
  <c r="K85" i="27"/>
  <c r="L85" i="27"/>
  <c r="M85" i="27"/>
  <c r="N85" i="27" a="1"/>
  <c r="N85" i="27"/>
  <c r="O85" i="27" a="1"/>
  <c r="O85" i="27"/>
  <c r="P85" i="27" a="1"/>
  <c r="P85" i="27"/>
  <c r="Q85" i="27"/>
  <c r="R85" i="27" a="1"/>
  <c r="R85" i="27"/>
  <c r="S85" i="27" a="1"/>
  <c r="S85" i="27"/>
  <c r="T85" i="27" a="1"/>
  <c r="T85" i="27"/>
  <c r="U85" i="27" a="1"/>
  <c r="U85" i="27"/>
  <c r="V85" i="27"/>
  <c r="W85" i="27" a="1"/>
  <c r="W85" i="27"/>
  <c r="X85" i="27"/>
  <c r="D86" i="27"/>
  <c r="E86" i="27"/>
  <c r="F86" i="27"/>
  <c r="G86" i="27"/>
  <c r="H86" i="27"/>
  <c r="I86" i="27"/>
  <c r="J86" i="27"/>
  <c r="K86" i="27"/>
  <c r="L86" i="27"/>
  <c r="M86" i="27"/>
  <c r="N86" i="27" a="1"/>
  <c r="N86" i="27"/>
  <c r="O86" i="27" a="1"/>
  <c r="O86" i="27"/>
  <c r="P86" i="27" a="1"/>
  <c r="P86" i="27"/>
  <c r="Q86" i="27"/>
  <c r="R86" i="27" a="1"/>
  <c r="R86" i="27"/>
  <c r="S86" i="27" a="1"/>
  <c r="S86" i="27"/>
  <c r="T86" i="27" a="1"/>
  <c r="T86" i="27"/>
  <c r="U86" i="27" a="1"/>
  <c r="U86" i="27"/>
  <c r="V86" i="27"/>
  <c r="W86" i="27" a="1"/>
  <c r="W86" i="27"/>
  <c r="X86" i="27"/>
  <c r="E94" i="27"/>
  <c r="F94" i="27"/>
  <c r="G94" i="27"/>
  <c r="H94" i="27"/>
  <c r="I94" i="27"/>
  <c r="J94" i="27"/>
  <c r="K94" i="27"/>
  <c r="L94" i="27"/>
  <c r="M94" i="27"/>
  <c r="N94" i="27" a="1"/>
  <c r="N94" i="27"/>
  <c r="O94" i="27" a="1"/>
  <c r="O94" i="27"/>
  <c r="P94" i="27" a="1"/>
  <c r="P94" i="27"/>
  <c r="Q94" i="27"/>
  <c r="R94" i="27" a="1"/>
  <c r="R94" i="27"/>
  <c r="S94" i="27" a="1"/>
  <c r="S94" i="27"/>
  <c r="T94" i="27" a="1"/>
  <c r="T94" i="27"/>
  <c r="U94" i="27" a="1"/>
  <c r="U94" i="27"/>
  <c r="V94" i="27"/>
  <c r="W94" i="27" a="1"/>
  <c r="W94" i="27"/>
  <c r="X94" i="27"/>
  <c r="E95" i="27"/>
  <c r="F95" i="27"/>
  <c r="G95" i="27"/>
  <c r="H95" i="27"/>
  <c r="I95" i="27"/>
  <c r="K95" i="27"/>
  <c r="L95" i="27"/>
  <c r="M95" i="27"/>
  <c r="N95" i="27" a="1"/>
  <c r="N95" i="27"/>
  <c r="O95" i="27" a="1"/>
  <c r="O95" i="27"/>
  <c r="P95" i="27" a="1"/>
  <c r="P95" i="27"/>
  <c r="Q95" i="27"/>
  <c r="R95" i="27" a="1"/>
  <c r="R95" i="27"/>
  <c r="S95" i="27" a="1"/>
  <c r="S95" i="27"/>
  <c r="T95" i="27" a="1"/>
  <c r="T95" i="27"/>
  <c r="U95" i="27" a="1"/>
  <c r="U95" i="27"/>
  <c r="V95" i="27"/>
  <c r="W95" i="27" a="1"/>
  <c r="W95" i="27"/>
  <c r="X95" i="27"/>
  <c r="E96" i="27"/>
  <c r="F96" i="27"/>
  <c r="G96" i="27"/>
  <c r="H96" i="27"/>
  <c r="I96" i="27"/>
  <c r="J96" i="27"/>
  <c r="K96" i="27"/>
  <c r="L96" i="27"/>
  <c r="M96" i="27"/>
  <c r="N96" i="27" a="1"/>
  <c r="N96" i="27"/>
  <c r="O96" i="27" a="1"/>
  <c r="O96" i="27"/>
  <c r="P96" i="27" a="1"/>
  <c r="P96" i="27"/>
  <c r="Q96" i="27"/>
  <c r="R96" i="27" a="1"/>
  <c r="R96" i="27"/>
  <c r="S96" i="27" a="1"/>
  <c r="S96" i="27"/>
  <c r="T96" i="27" a="1"/>
  <c r="T96" i="27"/>
  <c r="U96" i="27" a="1"/>
  <c r="U96" i="27"/>
  <c r="V96" i="27"/>
  <c r="W96" i="27" a="1"/>
  <c r="W96" i="27"/>
  <c r="X96" i="27"/>
  <c r="E101" i="27"/>
  <c r="F101" i="27"/>
  <c r="G101" i="27"/>
  <c r="H101" i="27"/>
  <c r="I101" i="27"/>
  <c r="J101" i="27"/>
  <c r="K101" i="27"/>
  <c r="L101" i="27"/>
  <c r="M101" i="27"/>
  <c r="N101" i="27" a="1"/>
  <c r="N101" i="27"/>
  <c r="O101" i="27" a="1"/>
  <c r="O101" i="27"/>
  <c r="P101" i="27" a="1"/>
  <c r="P101" i="27"/>
  <c r="Q101" i="27"/>
  <c r="R101" i="27" a="1"/>
  <c r="R101" i="27"/>
  <c r="S101" i="27" a="1"/>
  <c r="S101" i="27"/>
  <c r="T101" i="27" a="1"/>
  <c r="T101" i="27"/>
  <c r="U101" i="27" a="1"/>
  <c r="U101" i="27"/>
  <c r="V101" i="27"/>
  <c r="W101" i="27" a="1"/>
  <c r="W101" i="27"/>
  <c r="X101" i="27"/>
  <c r="D102" i="27"/>
  <c r="E102" i="27"/>
  <c r="F102" i="27"/>
  <c r="G102" i="27"/>
  <c r="H102" i="27"/>
  <c r="I102" i="27"/>
  <c r="J102" i="27"/>
  <c r="K102" i="27"/>
  <c r="L102" i="27"/>
  <c r="M102" i="27"/>
  <c r="N102" i="27" a="1"/>
  <c r="N102" i="27"/>
  <c r="O102" i="27" a="1"/>
  <c r="O102" i="27"/>
  <c r="P102" i="27" a="1"/>
  <c r="P102" i="27"/>
  <c r="Q102" i="27"/>
  <c r="R102" i="27" a="1"/>
  <c r="R102" i="27"/>
  <c r="S102" i="27" a="1"/>
  <c r="S102" i="27"/>
  <c r="T102" i="27" a="1"/>
  <c r="T102" i="27"/>
  <c r="U102" i="27" a="1"/>
  <c r="U102" i="27"/>
  <c r="V102" i="27"/>
  <c r="W102" i="27" a="1"/>
  <c r="W102" i="27"/>
  <c r="X102" i="27"/>
  <c r="D103" i="27"/>
  <c r="E103" i="27"/>
  <c r="F103" i="27"/>
  <c r="G103" i="27"/>
  <c r="H103" i="27"/>
  <c r="I103" i="27"/>
  <c r="J103" i="27"/>
  <c r="K103" i="27"/>
  <c r="L103" i="27"/>
  <c r="M103" i="27"/>
  <c r="N103" i="27" a="1"/>
  <c r="N103" i="27"/>
  <c r="O103" i="27" a="1"/>
  <c r="O103" i="27"/>
  <c r="P103" i="27" a="1"/>
  <c r="P103" i="27"/>
  <c r="Q103" i="27"/>
  <c r="R103" i="27" a="1"/>
  <c r="R103" i="27"/>
  <c r="S103" i="27" a="1"/>
  <c r="S103" i="27"/>
  <c r="T103" i="27" a="1"/>
  <c r="T103" i="27"/>
  <c r="U103" i="27" a="1"/>
  <c r="U103" i="27"/>
  <c r="V103" i="27"/>
  <c r="W103" i="27" a="1"/>
  <c r="W103" i="27"/>
  <c r="X103" i="27"/>
  <c r="D104" i="27"/>
  <c r="E104" i="27"/>
  <c r="F104" i="27"/>
  <c r="G104" i="27"/>
  <c r="H104" i="27"/>
  <c r="I104" i="27"/>
  <c r="J104" i="27"/>
  <c r="K104" i="27"/>
  <c r="L104" i="27"/>
  <c r="M104" i="27"/>
  <c r="N104" i="27" a="1"/>
  <c r="N104" i="27"/>
  <c r="O104" i="27" a="1"/>
  <c r="O104" i="27"/>
  <c r="P104" i="27" a="1"/>
  <c r="P104" i="27"/>
  <c r="Q104" i="27"/>
  <c r="R104" i="27" a="1"/>
  <c r="R104" i="27"/>
  <c r="S104" i="27" a="1"/>
  <c r="S104" i="27"/>
  <c r="T104" i="27" a="1"/>
  <c r="T104" i="27"/>
  <c r="U104" i="27" a="1"/>
  <c r="U104" i="27"/>
  <c r="V104" i="27"/>
  <c r="W104" i="27" a="1"/>
  <c r="W104" i="27"/>
  <c r="X104" i="27"/>
  <c r="D105" i="27"/>
  <c r="E105" i="27"/>
  <c r="F105" i="27"/>
  <c r="G105" i="27"/>
  <c r="H105" i="27"/>
  <c r="I105" i="27"/>
  <c r="J105" i="27"/>
  <c r="K105" i="27"/>
  <c r="L105" i="27"/>
  <c r="M105" i="27"/>
  <c r="N105" i="27" a="1"/>
  <c r="N105" i="27"/>
  <c r="O105" i="27" a="1"/>
  <c r="O105" i="27"/>
  <c r="P105" i="27" a="1"/>
  <c r="P105" i="27"/>
  <c r="Q105" i="27"/>
  <c r="R105" i="27" a="1"/>
  <c r="R105" i="27"/>
  <c r="S105" i="27" a="1"/>
  <c r="S105" i="27"/>
  <c r="T105" i="27" a="1"/>
  <c r="T105" i="27"/>
  <c r="U105" i="27" a="1"/>
  <c r="U105" i="27"/>
  <c r="V105" i="27"/>
  <c r="W105" i="27" a="1"/>
  <c r="W105" i="27"/>
  <c r="X105" i="27"/>
  <c r="D106" i="27"/>
  <c r="E106" i="27"/>
  <c r="F106" i="27"/>
  <c r="G106" i="27"/>
  <c r="H106" i="27"/>
  <c r="I106" i="27"/>
  <c r="J106" i="27"/>
  <c r="K106" i="27"/>
  <c r="L106" i="27"/>
  <c r="M106" i="27"/>
  <c r="N106" i="27" a="1"/>
  <c r="N106" i="27"/>
  <c r="O106" i="27" a="1"/>
  <c r="O106" i="27"/>
  <c r="P106" i="27" a="1"/>
  <c r="P106" i="27"/>
  <c r="Q106" i="27"/>
  <c r="R106" i="27" a="1"/>
  <c r="R106" i="27"/>
  <c r="S106" i="27" a="1"/>
  <c r="S106" i="27"/>
  <c r="T106" i="27" a="1"/>
  <c r="T106" i="27"/>
  <c r="U106" i="27" a="1"/>
  <c r="U106" i="27"/>
  <c r="V106" i="27"/>
  <c r="W106" i="27" a="1"/>
  <c r="W106" i="27"/>
  <c r="X106" i="27"/>
  <c r="D107" i="27"/>
  <c r="E107" i="27"/>
  <c r="F107" i="27"/>
  <c r="G107" i="27"/>
  <c r="H107" i="27"/>
  <c r="I107" i="27"/>
  <c r="J107" i="27"/>
  <c r="K107" i="27"/>
  <c r="L107" i="27"/>
  <c r="M107" i="27"/>
  <c r="N107" i="27" a="1"/>
  <c r="N107" i="27"/>
  <c r="O107" i="27" a="1"/>
  <c r="O107" i="27"/>
  <c r="P107" i="27" a="1"/>
  <c r="P107" i="27"/>
  <c r="Q107" i="27"/>
  <c r="R107" i="27" a="1"/>
  <c r="R107" i="27"/>
  <c r="S107" i="27" a="1"/>
  <c r="S107" i="27"/>
  <c r="T107" i="27" a="1"/>
  <c r="T107" i="27"/>
  <c r="U107" i="27" a="1"/>
  <c r="U107" i="27"/>
  <c r="V107" i="27"/>
  <c r="W107" i="27" a="1"/>
  <c r="W107" i="27"/>
  <c r="X107" i="27"/>
  <c r="D108" i="27"/>
  <c r="E108" i="27"/>
  <c r="F108" i="27"/>
  <c r="G108" i="27"/>
  <c r="H108" i="27"/>
  <c r="I108" i="27"/>
  <c r="J108" i="27"/>
  <c r="K108" i="27"/>
  <c r="L108" i="27"/>
  <c r="M108" i="27"/>
  <c r="N108" i="27" a="1"/>
  <c r="N108" i="27"/>
  <c r="O108" i="27" a="1"/>
  <c r="O108" i="27"/>
  <c r="P108" i="27" a="1"/>
  <c r="P108" i="27"/>
  <c r="Q108" i="27"/>
  <c r="R108" i="27" a="1"/>
  <c r="R108" i="27"/>
  <c r="S108" i="27" a="1"/>
  <c r="S108" i="27"/>
  <c r="T108" i="27" a="1"/>
  <c r="T108" i="27"/>
  <c r="U108" i="27" a="1"/>
  <c r="U108" i="27"/>
  <c r="V108" i="27"/>
  <c r="W108" i="27" a="1"/>
  <c r="W108" i="27"/>
  <c r="X108" i="27"/>
  <c r="D109" i="27"/>
  <c r="E109" i="27"/>
  <c r="F109" i="27"/>
  <c r="G109" i="27"/>
  <c r="H109" i="27"/>
  <c r="I109" i="27"/>
  <c r="J109" i="27"/>
  <c r="K109" i="27"/>
  <c r="L109" i="27"/>
  <c r="M109" i="27"/>
  <c r="N109" i="27" a="1"/>
  <c r="N109" i="27"/>
  <c r="O109" i="27" a="1"/>
  <c r="O109" i="27"/>
  <c r="P109" i="27" a="1"/>
  <c r="P109" i="27"/>
  <c r="Q109" i="27"/>
  <c r="R109" i="27" a="1"/>
  <c r="R109" i="27"/>
  <c r="S109" i="27" a="1"/>
  <c r="S109" i="27"/>
  <c r="T109" i="27" a="1"/>
  <c r="T109" i="27"/>
  <c r="U109" i="27" a="1"/>
  <c r="U109" i="27"/>
  <c r="V109" i="27"/>
  <c r="W109" i="27" a="1"/>
  <c r="W109" i="27"/>
  <c r="X109" i="27"/>
  <c r="D110" i="27"/>
  <c r="E110" i="27"/>
  <c r="F110" i="27"/>
  <c r="G110" i="27"/>
  <c r="H110" i="27"/>
  <c r="I110" i="27"/>
  <c r="J110" i="27"/>
  <c r="K110" i="27"/>
  <c r="L110" i="27"/>
  <c r="M110" i="27"/>
  <c r="N110" i="27" a="1"/>
  <c r="N110" i="27"/>
  <c r="O110" i="27" a="1"/>
  <c r="O110" i="27"/>
  <c r="P110" i="27" a="1"/>
  <c r="P110" i="27"/>
  <c r="Q110" i="27"/>
  <c r="R110" i="27" a="1"/>
  <c r="R110" i="27"/>
  <c r="S110" i="27" a="1"/>
  <c r="S110" i="27"/>
  <c r="T110" i="27" a="1"/>
  <c r="T110" i="27"/>
  <c r="U110" i="27" a="1"/>
  <c r="U110" i="27"/>
  <c r="V110" i="27"/>
  <c r="W110" i="27" a="1"/>
  <c r="W110" i="27"/>
  <c r="X110" i="27"/>
  <c r="D111" i="27"/>
  <c r="E111" i="27"/>
  <c r="F111" i="27"/>
  <c r="G111" i="27"/>
  <c r="H111" i="27"/>
  <c r="I111" i="27"/>
  <c r="J111" i="27"/>
  <c r="K111" i="27"/>
  <c r="L111" i="27"/>
  <c r="M111" i="27"/>
  <c r="N111" i="27" a="1"/>
  <c r="N111" i="27"/>
  <c r="O111" i="27" a="1"/>
  <c r="O111" i="27"/>
  <c r="P111" i="27" a="1"/>
  <c r="P111" i="27"/>
  <c r="Q111" i="27"/>
  <c r="R111" i="27" a="1"/>
  <c r="R111" i="27"/>
  <c r="S111" i="27" a="1"/>
  <c r="S111" i="27"/>
  <c r="T111" i="27" a="1"/>
  <c r="T111" i="27"/>
  <c r="U111" i="27" a="1"/>
  <c r="U111" i="27"/>
  <c r="V111" i="27"/>
  <c r="W111" i="27" a="1"/>
  <c r="W111" i="27"/>
  <c r="X111" i="27"/>
  <c r="D112" i="27"/>
  <c r="E112" i="27"/>
  <c r="F112" i="27"/>
  <c r="G112" i="27"/>
  <c r="H112" i="27"/>
  <c r="I112" i="27"/>
  <c r="J112" i="27"/>
  <c r="K112" i="27"/>
  <c r="L112" i="27"/>
  <c r="M112" i="27"/>
  <c r="N112" i="27" a="1"/>
  <c r="N112" i="27"/>
  <c r="O112" i="27" a="1"/>
  <c r="O112" i="27"/>
  <c r="P112" i="27" a="1"/>
  <c r="P112" i="27"/>
  <c r="Q112" i="27"/>
  <c r="R112" i="27" a="1"/>
  <c r="R112" i="27"/>
  <c r="S112" i="27" a="1"/>
  <c r="S112" i="27"/>
  <c r="T112" i="27" a="1"/>
  <c r="T112" i="27"/>
  <c r="U112" i="27" a="1"/>
  <c r="U112" i="27"/>
  <c r="V112" i="27"/>
  <c r="W112" i="27" a="1"/>
  <c r="W112" i="27"/>
  <c r="X112" i="27"/>
  <c r="D113" i="27"/>
  <c r="E113" i="27"/>
  <c r="F113" i="27"/>
  <c r="G113" i="27"/>
  <c r="H113" i="27"/>
  <c r="I113" i="27"/>
  <c r="J113" i="27"/>
  <c r="K113" i="27"/>
  <c r="L113" i="27"/>
  <c r="M113" i="27"/>
  <c r="N113" i="27" a="1"/>
  <c r="N113" i="27"/>
  <c r="O113" i="27" a="1"/>
  <c r="O113" i="27"/>
  <c r="P113" i="27" a="1"/>
  <c r="P113" i="27"/>
  <c r="Q113" i="27"/>
  <c r="R113" i="27" a="1"/>
  <c r="R113" i="27"/>
  <c r="S113" i="27" a="1"/>
  <c r="S113" i="27"/>
  <c r="T113" i="27" a="1"/>
  <c r="T113" i="27"/>
  <c r="U113" i="27" a="1"/>
  <c r="U113" i="27"/>
  <c r="V113" i="27"/>
  <c r="W113" i="27" a="1"/>
  <c r="W113" i="27"/>
  <c r="X113" i="27"/>
  <c r="D114" i="27"/>
  <c r="E114" i="27"/>
  <c r="F114" i="27"/>
  <c r="G114" i="27"/>
  <c r="H114" i="27"/>
  <c r="I114" i="27"/>
  <c r="J114" i="27"/>
  <c r="K114" i="27"/>
  <c r="L114" i="27"/>
  <c r="M114" i="27"/>
  <c r="N114" i="27" a="1"/>
  <c r="N114" i="27"/>
  <c r="O114" i="27" a="1"/>
  <c r="O114" i="27"/>
  <c r="P114" i="27" a="1"/>
  <c r="P114" i="27"/>
  <c r="Q114" i="27"/>
  <c r="R114" i="27" a="1"/>
  <c r="R114" i="27"/>
  <c r="S114" i="27" a="1"/>
  <c r="S114" i="27"/>
  <c r="T114" i="27" a="1"/>
  <c r="T114" i="27"/>
  <c r="U114" i="27" a="1"/>
  <c r="U114" i="27"/>
  <c r="V114" i="27"/>
  <c r="W114" i="27" a="1"/>
  <c r="W114" i="27"/>
  <c r="X114" i="27"/>
  <c r="D115" i="27"/>
  <c r="E115" i="27"/>
  <c r="F115" i="27"/>
  <c r="G115" i="27"/>
  <c r="H115" i="27"/>
  <c r="I115" i="27"/>
  <c r="J115" i="27"/>
  <c r="K115" i="27"/>
  <c r="L115" i="27"/>
  <c r="M115" i="27"/>
  <c r="N115" i="27" a="1"/>
  <c r="N115" i="27"/>
  <c r="O115" i="27" a="1"/>
  <c r="O115" i="27"/>
  <c r="P115" i="27" a="1"/>
  <c r="P115" i="27"/>
  <c r="Q115" i="27"/>
  <c r="R115" i="27" a="1"/>
  <c r="R115" i="27"/>
  <c r="S115" i="27" a="1"/>
  <c r="S115" i="27"/>
  <c r="T115" i="27" a="1"/>
  <c r="T115" i="27"/>
  <c r="U115" i="27" a="1"/>
  <c r="U115" i="27"/>
  <c r="V115" i="27"/>
  <c r="W115" i="27" a="1"/>
  <c r="W115" i="27"/>
  <c r="X115" i="27"/>
  <c r="D116" i="27"/>
  <c r="E116" i="27"/>
  <c r="F116" i="27"/>
  <c r="G116" i="27"/>
  <c r="H116" i="27"/>
  <c r="I116" i="27"/>
  <c r="J116" i="27"/>
  <c r="K116" i="27"/>
  <c r="L116" i="27"/>
  <c r="M116" i="27"/>
  <c r="N116" i="27" a="1"/>
  <c r="N116" i="27"/>
  <c r="O116" i="27" a="1"/>
  <c r="O116" i="27"/>
  <c r="P116" i="27" a="1"/>
  <c r="P116" i="27"/>
  <c r="Q116" i="27"/>
  <c r="R116" i="27" a="1"/>
  <c r="R116" i="27"/>
  <c r="S116" i="27" a="1"/>
  <c r="S116" i="27"/>
  <c r="T116" i="27" a="1"/>
  <c r="T116" i="27"/>
  <c r="U116" i="27" a="1"/>
  <c r="U116" i="27"/>
  <c r="V116" i="27"/>
  <c r="W116" i="27" a="1"/>
  <c r="W116" i="27"/>
  <c r="X116" i="27"/>
  <c r="D117" i="27"/>
  <c r="E117" i="27"/>
  <c r="F117" i="27"/>
  <c r="G117" i="27"/>
  <c r="H117" i="27"/>
  <c r="I117" i="27"/>
  <c r="J117" i="27"/>
  <c r="K117" i="27"/>
  <c r="L117" i="27"/>
  <c r="M117" i="27"/>
  <c r="N117" i="27" a="1"/>
  <c r="N117" i="27"/>
  <c r="O117" i="27" a="1"/>
  <c r="O117" i="27"/>
  <c r="P117" i="27" a="1"/>
  <c r="P117" i="27"/>
  <c r="Q117" i="27"/>
  <c r="R117" i="27" a="1"/>
  <c r="R117" i="27"/>
  <c r="S117" i="27" a="1"/>
  <c r="S117" i="27"/>
  <c r="T117" i="27" a="1"/>
  <c r="T117" i="27"/>
  <c r="U117" i="27" a="1"/>
  <c r="U117" i="27"/>
  <c r="V117" i="27"/>
  <c r="W117" i="27" a="1"/>
  <c r="W117" i="27"/>
  <c r="X117" i="27"/>
  <c r="D118" i="27"/>
  <c r="E118" i="27"/>
  <c r="F118" i="27"/>
  <c r="G118" i="27"/>
  <c r="H118" i="27"/>
  <c r="I118" i="27"/>
  <c r="J118" i="27"/>
  <c r="K118" i="27"/>
  <c r="L118" i="27"/>
  <c r="M118" i="27"/>
  <c r="N118" i="27" a="1"/>
  <c r="N118" i="27"/>
  <c r="O118" i="27" a="1"/>
  <c r="O118" i="27"/>
  <c r="P118" i="27" a="1"/>
  <c r="P118" i="27"/>
  <c r="Q118" i="27"/>
  <c r="R118" i="27" a="1"/>
  <c r="R118" i="27"/>
  <c r="S118" i="27" a="1"/>
  <c r="S118" i="27"/>
  <c r="T118" i="27" a="1"/>
  <c r="T118" i="27"/>
  <c r="U118" i="27" a="1"/>
  <c r="U118" i="27"/>
  <c r="V118" i="27"/>
  <c r="W118" i="27" a="1"/>
  <c r="W118" i="27"/>
  <c r="X118" i="27"/>
  <c r="D119" i="27"/>
  <c r="E119" i="27"/>
  <c r="F119" i="27"/>
  <c r="G119" i="27"/>
  <c r="H119" i="27"/>
  <c r="I119" i="27"/>
  <c r="J119" i="27"/>
  <c r="K119" i="27"/>
  <c r="L119" i="27"/>
  <c r="M119" i="27"/>
  <c r="N119" i="27" a="1"/>
  <c r="N119" i="27"/>
  <c r="O119" i="27" a="1"/>
  <c r="O119" i="27"/>
  <c r="P119" i="27" a="1"/>
  <c r="P119" i="27"/>
  <c r="Q119" i="27"/>
  <c r="R119" i="27" a="1"/>
  <c r="R119" i="27"/>
  <c r="S119" i="27" a="1"/>
  <c r="S119" i="27"/>
  <c r="T119" i="27" a="1"/>
  <c r="T119" i="27"/>
  <c r="U119" i="27" a="1"/>
  <c r="U119" i="27"/>
  <c r="V119" i="27"/>
  <c r="W119" i="27" a="1"/>
  <c r="W119" i="27"/>
  <c r="X119" i="27"/>
  <c r="D120" i="27"/>
  <c r="E120" i="27"/>
  <c r="F120" i="27"/>
  <c r="G120" i="27"/>
  <c r="H120" i="27"/>
  <c r="I120" i="27"/>
  <c r="J120" i="27"/>
  <c r="K120" i="27"/>
  <c r="L120" i="27"/>
  <c r="M120" i="27"/>
  <c r="N120" i="27" a="1"/>
  <c r="N120" i="27"/>
  <c r="O120" i="27" a="1"/>
  <c r="O120" i="27"/>
  <c r="P120" i="27" a="1"/>
  <c r="P120" i="27"/>
  <c r="Q120" i="27"/>
  <c r="R120" i="27" a="1"/>
  <c r="R120" i="27"/>
  <c r="S120" i="27" a="1"/>
  <c r="S120" i="27"/>
  <c r="T120" i="27" a="1"/>
  <c r="T120" i="27"/>
  <c r="U120" i="27" a="1"/>
  <c r="U120" i="27"/>
  <c r="V120" i="27"/>
  <c r="W120" i="27" a="1"/>
  <c r="W120" i="27"/>
  <c r="X120" i="27"/>
  <c r="D121" i="27"/>
  <c r="E121" i="27"/>
  <c r="F121" i="27"/>
  <c r="G121" i="27"/>
  <c r="H121" i="27"/>
  <c r="I121" i="27"/>
  <c r="J121" i="27"/>
  <c r="K121" i="27"/>
  <c r="L121" i="27"/>
  <c r="M121" i="27"/>
  <c r="N121" i="27" a="1"/>
  <c r="N121" i="27"/>
  <c r="O121" i="27" a="1"/>
  <c r="O121" i="27"/>
  <c r="P121" i="27" a="1"/>
  <c r="P121" i="27"/>
  <c r="Q121" i="27"/>
  <c r="R121" i="27" a="1"/>
  <c r="R121" i="27"/>
  <c r="S121" i="27" a="1"/>
  <c r="S121" i="27"/>
  <c r="T121" i="27" a="1"/>
  <c r="T121" i="27"/>
  <c r="U121" i="27" a="1"/>
  <c r="U121" i="27"/>
  <c r="V121" i="27"/>
  <c r="W121" i="27" a="1"/>
  <c r="W121" i="27"/>
  <c r="X121" i="27"/>
  <c r="D122" i="27"/>
  <c r="E122" i="27"/>
  <c r="F122" i="27"/>
  <c r="G122" i="27"/>
  <c r="H122" i="27"/>
  <c r="I122" i="27"/>
  <c r="J122" i="27"/>
  <c r="K122" i="27"/>
  <c r="L122" i="27"/>
  <c r="M122" i="27"/>
  <c r="N122" i="27" a="1"/>
  <c r="N122" i="27"/>
  <c r="O122" i="27" a="1"/>
  <c r="O122" i="27"/>
  <c r="P122" i="27" a="1"/>
  <c r="P122" i="27"/>
  <c r="Q122" i="27"/>
  <c r="R122" i="27" a="1"/>
  <c r="R122" i="27"/>
  <c r="S122" i="27" a="1"/>
  <c r="S122" i="27"/>
  <c r="T122" i="27" a="1"/>
  <c r="T122" i="27"/>
  <c r="U122" i="27" a="1"/>
  <c r="U122" i="27"/>
  <c r="V122" i="27"/>
  <c r="W122" i="27" a="1"/>
  <c r="W122" i="27"/>
  <c r="X122" i="27"/>
  <c r="D123" i="27"/>
  <c r="E123" i="27"/>
  <c r="F123" i="27"/>
  <c r="G123" i="27"/>
  <c r="H123" i="27"/>
  <c r="I123" i="27"/>
  <c r="J123" i="27"/>
  <c r="K123" i="27"/>
  <c r="L123" i="27"/>
  <c r="M123" i="27"/>
  <c r="N123" i="27" a="1"/>
  <c r="N123" i="27"/>
  <c r="O123" i="27" a="1"/>
  <c r="O123" i="27"/>
  <c r="P123" i="27" a="1"/>
  <c r="P123" i="27"/>
  <c r="Q123" i="27"/>
  <c r="R123" i="27" a="1"/>
  <c r="R123" i="27"/>
  <c r="S123" i="27" a="1"/>
  <c r="S123" i="27"/>
  <c r="T123" i="27" a="1"/>
  <c r="T123" i="27"/>
  <c r="U123" i="27" a="1"/>
  <c r="U123" i="27"/>
  <c r="V123" i="27"/>
  <c r="W123" i="27" a="1"/>
  <c r="W123" i="27"/>
  <c r="X123" i="27"/>
  <c r="D124" i="27"/>
  <c r="E124" i="27"/>
  <c r="F124" i="27"/>
  <c r="G124" i="27"/>
  <c r="H124" i="27"/>
  <c r="I124" i="27"/>
  <c r="J124" i="27"/>
  <c r="K124" i="27"/>
  <c r="L124" i="27"/>
  <c r="M124" i="27"/>
  <c r="N124" i="27" a="1"/>
  <c r="N124" i="27"/>
  <c r="O124" i="27" a="1"/>
  <c r="O124" i="27"/>
  <c r="P124" i="27" a="1"/>
  <c r="P124" i="27"/>
  <c r="Q124" i="27"/>
  <c r="R124" i="27" a="1"/>
  <c r="R124" i="27"/>
  <c r="S124" i="27" a="1"/>
  <c r="S124" i="27"/>
  <c r="T124" i="27" a="1"/>
  <c r="T124" i="27"/>
  <c r="U124" i="27" a="1"/>
  <c r="U124" i="27"/>
  <c r="V124" i="27"/>
  <c r="W124" i="27" a="1"/>
  <c r="W124" i="27"/>
  <c r="X124" i="27"/>
  <c r="D125" i="27"/>
  <c r="E125" i="27"/>
  <c r="F125" i="27"/>
  <c r="G125" i="27"/>
  <c r="H125" i="27"/>
  <c r="I125" i="27"/>
  <c r="J125" i="27"/>
  <c r="K125" i="27"/>
  <c r="L125" i="27"/>
  <c r="M125" i="27"/>
  <c r="N125" i="27" a="1"/>
  <c r="N125" i="27"/>
  <c r="O125" i="27" a="1"/>
  <c r="O125" i="27"/>
  <c r="P125" i="27" a="1"/>
  <c r="P125" i="27"/>
  <c r="Q125" i="27"/>
  <c r="R125" i="27" a="1"/>
  <c r="R125" i="27"/>
  <c r="S125" i="27" a="1"/>
  <c r="S125" i="27"/>
  <c r="T125" i="27" a="1"/>
  <c r="T125" i="27"/>
  <c r="U125" i="27" a="1"/>
  <c r="U125" i="27"/>
  <c r="V125" i="27"/>
  <c r="W125" i="27" a="1"/>
  <c r="W125" i="27"/>
  <c r="X125" i="27"/>
  <c r="D126" i="27"/>
  <c r="E126" i="27"/>
  <c r="F126" i="27"/>
  <c r="G126" i="27"/>
  <c r="H126" i="27"/>
  <c r="I126" i="27"/>
  <c r="J126" i="27"/>
  <c r="K126" i="27"/>
  <c r="L126" i="27"/>
  <c r="M126" i="27"/>
  <c r="N126" i="27" a="1"/>
  <c r="N126" i="27"/>
  <c r="O126" i="27" a="1"/>
  <c r="O126" i="27"/>
  <c r="P126" i="27" a="1"/>
  <c r="P126" i="27"/>
  <c r="Q126" i="27"/>
  <c r="R126" i="27" a="1"/>
  <c r="R126" i="27"/>
  <c r="S126" i="27" a="1"/>
  <c r="S126" i="27"/>
  <c r="T126" i="27" a="1"/>
  <c r="T126" i="27"/>
  <c r="U126" i="27" a="1"/>
  <c r="U126" i="27"/>
  <c r="V126" i="27"/>
  <c r="W126" i="27" a="1"/>
  <c r="W126" i="27"/>
  <c r="X126" i="27"/>
  <c r="D127" i="27"/>
  <c r="E127" i="27"/>
  <c r="F127" i="27"/>
  <c r="G127" i="27"/>
  <c r="H127" i="27"/>
  <c r="I127" i="27"/>
  <c r="J127" i="27"/>
  <c r="K127" i="27"/>
  <c r="L127" i="27"/>
  <c r="M127" i="27"/>
  <c r="N127" i="27" a="1"/>
  <c r="N127" i="27"/>
  <c r="O127" i="27" a="1"/>
  <c r="O127" i="27"/>
  <c r="P127" i="27" a="1"/>
  <c r="P127" i="27"/>
  <c r="Q127" i="27"/>
  <c r="R127" i="27" a="1"/>
  <c r="R127" i="27"/>
  <c r="S127" i="27" a="1"/>
  <c r="S127" i="27"/>
  <c r="T127" i="27" a="1"/>
  <c r="T127" i="27"/>
  <c r="U127" i="27" a="1"/>
  <c r="U127" i="27"/>
  <c r="V127" i="27"/>
  <c r="W127" i="27" a="1"/>
  <c r="W127" i="27"/>
  <c r="X127" i="27"/>
  <c r="D128" i="27"/>
  <c r="E128" i="27"/>
  <c r="F128" i="27"/>
  <c r="G128" i="27"/>
  <c r="H128" i="27"/>
  <c r="I128" i="27"/>
  <c r="J128" i="27"/>
  <c r="K128" i="27"/>
  <c r="L128" i="27"/>
  <c r="M128" i="27"/>
  <c r="N128" i="27" a="1"/>
  <c r="N128" i="27"/>
  <c r="O128" i="27" a="1"/>
  <c r="O128" i="27"/>
  <c r="P128" i="27" a="1"/>
  <c r="P128" i="27"/>
  <c r="Q128" i="27"/>
  <c r="R128" i="27" a="1"/>
  <c r="R128" i="27"/>
  <c r="S128" i="27" a="1"/>
  <c r="S128" i="27"/>
  <c r="T128" i="27" a="1"/>
  <c r="T128" i="27"/>
  <c r="U128" i="27" a="1"/>
  <c r="U128" i="27"/>
  <c r="V128" i="27"/>
  <c r="W128" i="27" a="1"/>
  <c r="W128" i="27"/>
  <c r="X128" i="27"/>
  <c r="D129" i="27"/>
  <c r="E129" i="27"/>
  <c r="F129" i="27"/>
  <c r="G129" i="27"/>
  <c r="H129" i="27"/>
  <c r="I129" i="27"/>
  <c r="J129" i="27"/>
  <c r="K129" i="27"/>
  <c r="L129" i="27"/>
  <c r="M129" i="27"/>
  <c r="N129" i="27" a="1"/>
  <c r="N129" i="27"/>
  <c r="O129" i="27" a="1"/>
  <c r="O129" i="27"/>
  <c r="P129" i="27" a="1"/>
  <c r="P129" i="27"/>
  <c r="Q129" i="27"/>
  <c r="R129" i="27" a="1"/>
  <c r="R129" i="27"/>
  <c r="S129" i="27" a="1"/>
  <c r="S129" i="27"/>
  <c r="T129" i="27" a="1"/>
  <c r="T129" i="27"/>
  <c r="U129" i="27" a="1"/>
  <c r="U129" i="27"/>
  <c r="V129" i="27"/>
  <c r="W129" i="27" a="1"/>
  <c r="W129" i="27"/>
  <c r="X129" i="27"/>
  <c r="D130" i="27"/>
  <c r="E130" i="27"/>
  <c r="F130" i="27"/>
  <c r="G130" i="27"/>
  <c r="H130" i="27"/>
  <c r="I130" i="27"/>
  <c r="J130" i="27"/>
  <c r="K130" i="27"/>
  <c r="L130" i="27"/>
  <c r="M130" i="27"/>
  <c r="N130" i="27" a="1"/>
  <c r="N130" i="27"/>
  <c r="O130" i="27" a="1"/>
  <c r="O130" i="27"/>
  <c r="P130" i="27" a="1"/>
  <c r="P130" i="27"/>
  <c r="Q130" i="27"/>
  <c r="R130" i="27" a="1"/>
  <c r="R130" i="27"/>
  <c r="S130" i="27" a="1"/>
  <c r="S130" i="27"/>
  <c r="T130" i="27" a="1"/>
  <c r="T130" i="27"/>
  <c r="U130" i="27" a="1"/>
  <c r="U130" i="27"/>
  <c r="V130" i="27"/>
  <c r="W130" i="27" a="1"/>
  <c r="W130" i="27"/>
  <c r="X130" i="27"/>
  <c r="D131" i="27"/>
  <c r="E131" i="27"/>
  <c r="F131" i="27"/>
  <c r="G131" i="27"/>
  <c r="H131" i="27"/>
  <c r="I131" i="27"/>
  <c r="J131" i="27"/>
  <c r="K131" i="27"/>
  <c r="L131" i="27"/>
  <c r="M131" i="27"/>
  <c r="N131" i="27" a="1"/>
  <c r="N131" i="27"/>
  <c r="O131" i="27" a="1"/>
  <c r="O131" i="27"/>
  <c r="P131" i="27" a="1"/>
  <c r="P131" i="27"/>
  <c r="Q131" i="27"/>
  <c r="R131" i="27" a="1"/>
  <c r="R131" i="27"/>
  <c r="S131" i="27" a="1"/>
  <c r="S131" i="27"/>
  <c r="T131" i="27" a="1"/>
  <c r="T131" i="27"/>
  <c r="U131" i="27" a="1"/>
  <c r="U131" i="27"/>
  <c r="V131" i="27"/>
  <c r="W131" i="27" a="1"/>
  <c r="W131" i="27"/>
  <c r="X131" i="27"/>
  <c r="D132" i="27"/>
  <c r="E132" i="27"/>
  <c r="F132" i="27"/>
  <c r="G132" i="27"/>
  <c r="H132" i="27"/>
  <c r="I132" i="27"/>
  <c r="J132" i="27"/>
  <c r="K132" i="27"/>
  <c r="L132" i="27"/>
  <c r="M132" i="27"/>
  <c r="N132" i="27" a="1"/>
  <c r="N132" i="27"/>
  <c r="O132" i="27" a="1"/>
  <c r="O132" i="27"/>
  <c r="P132" i="27" a="1"/>
  <c r="P132" i="27"/>
  <c r="Q132" i="27"/>
  <c r="R132" i="27" a="1"/>
  <c r="R132" i="27"/>
  <c r="S132" i="27" a="1"/>
  <c r="S132" i="27"/>
  <c r="T132" i="27" a="1"/>
  <c r="T132" i="27"/>
  <c r="U132" i="27" a="1"/>
  <c r="U132" i="27"/>
  <c r="V132" i="27"/>
  <c r="W132" i="27" a="1"/>
  <c r="W132" i="27"/>
  <c r="X132" i="27"/>
  <c r="D133" i="27"/>
  <c r="E133" i="27"/>
  <c r="F133" i="27"/>
  <c r="G133" i="27"/>
  <c r="H133" i="27"/>
  <c r="I133" i="27"/>
  <c r="J133" i="27"/>
  <c r="K133" i="27"/>
  <c r="L133" i="27"/>
  <c r="M133" i="27"/>
  <c r="N133" i="27" a="1"/>
  <c r="N133" i="27"/>
  <c r="O133" i="27" a="1"/>
  <c r="O133" i="27"/>
  <c r="P133" i="27" a="1"/>
  <c r="P133" i="27"/>
  <c r="Q133" i="27"/>
  <c r="R133" i="27" a="1"/>
  <c r="R133" i="27"/>
  <c r="S133" i="27" a="1"/>
  <c r="S133" i="27"/>
  <c r="T133" i="27" a="1"/>
  <c r="T133" i="27"/>
  <c r="U133" i="27" a="1"/>
  <c r="U133" i="27"/>
  <c r="V133" i="27"/>
  <c r="W133" i="27" a="1"/>
  <c r="W133" i="27"/>
  <c r="X133" i="27"/>
  <c r="D134" i="27"/>
  <c r="E134" i="27"/>
  <c r="F134" i="27"/>
  <c r="G134" i="27"/>
  <c r="H134" i="27"/>
  <c r="I134" i="27"/>
  <c r="J134" i="27"/>
  <c r="K134" i="27"/>
  <c r="L134" i="27"/>
  <c r="M134" i="27"/>
  <c r="N134" i="27" a="1"/>
  <c r="N134" i="27"/>
  <c r="O134" i="27" a="1"/>
  <c r="O134" i="27"/>
  <c r="P134" i="27" a="1"/>
  <c r="P134" i="27"/>
  <c r="Q134" i="27"/>
  <c r="R134" i="27" a="1"/>
  <c r="R134" i="27"/>
  <c r="S134" i="27" a="1"/>
  <c r="S134" i="27"/>
  <c r="T134" i="27" a="1"/>
  <c r="T134" i="27"/>
  <c r="U134" i="27" a="1"/>
  <c r="U134" i="27"/>
  <c r="V134" i="27"/>
  <c r="W134" i="27" a="1"/>
  <c r="W134" i="27"/>
  <c r="X134" i="27"/>
  <c r="D135" i="27"/>
  <c r="E135" i="27"/>
  <c r="F135" i="27"/>
  <c r="G135" i="27"/>
  <c r="H135" i="27"/>
  <c r="I135" i="27"/>
  <c r="J135" i="27"/>
  <c r="K135" i="27"/>
  <c r="L135" i="27"/>
  <c r="M135" i="27"/>
  <c r="N135" i="27" a="1"/>
  <c r="N135" i="27"/>
  <c r="O135" i="27" a="1"/>
  <c r="O135" i="27"/>
  <c r="P135" i="27" a="1"/>
  <c r="P135" i="27"/>
  <c r="Q135" i="27"/>
  <c r="R135" i="27" a="1"/>
  <c r="R135" i="27"/>
  <c r="S135" i="27" a="1"/>
  <c r="S135" i="27"/>
  <c r="T135" i="27" a="1"/>
  <c r="T135" i="27"/>
  <c r="U135" i="27" a="1"/>
  <c r="U135" i="27"/>
  <c r="V135" i="27"/>
  <c r="W135" i="27" a="1"/>
  <c r="W135" i="27"/>
  <c r="X135" i="27"/>
  <c r="D136" i="27"/>
  <c r="E136" i="27"/>
  <c r="F136" i="27"/>
  <c r="G136" i="27"/>
  <c r="H136" i="27"/>
  <c r="I136" i="27"/>
  <c r="J136" i="27"/>
  <c r="K136" i="27"/>
  <c r="L136" i="27"/>
  <c r="M136" i="27"/>
  <c r="N136" i="27" a="1"/>
  <c r="N136" i="27"/>
  <c r="O136" i="27" a="1"/>
  <c r="O136" i="27"/>
  <c r="P136" i="27" a="1"/>
  <c r="P136" i="27"/>
  <c r="Q136" i="27"/>
  <c r="R136" i="27" a="1"/>
  <c r="R136" i="27"/>
  <c r="S136" i="27" a="1"/>
  <c r="S136" i="27"/>
  <c r="T136" i="27" a="1"/>
  <c r="T136" i="27"/>
  <c r="U136" i="27" a="1"/>
  <c r="U136" i="27"/>
  <c r="V136" i="27"/>
  <c r="W136" i="27" a="1"/>
  <c r="W136" i="27"/>
  <c r="X136" i="27"/>
  <c r="D137" i="27"/>
  <c r="E137" i="27"/>
  <c r="F137" i="27"/>
  <c r="G137" i="27"/>
  <c r="H137" i="27"/>
  <c r="I137" i="27"/>
  <c r="J137" i="27"/>
  <c r="K137" i="27"/>
  <c r="L137" i="27"/>
  <c r="M137" i="27"/>
  <c r="N137" i="27" a="1"/>
  <c r="N137" i="27"/>
  <c r="O137" i="27" a="1"/>
  <c r="O137" i="27"/>
  <c r="P137" i="27" a="1"/>
  <c r="P137" i="27"/>
  <c r="Q137" i="27"/>
  <c r="R137" i="27" a="1"/>
  <c r="R137" i="27"/>
  <c r="S137" i="27" a="1"/>
  <c r="S137" i="27"/>
  <c r="T137" i="27" a="1"/>
  <c r="T137" i="27"/>
  <c r="U137" i="27" a="1"/>
  <c r="U137" i="27"/>
  <c r="V137" i="27"/>
  <c r="W137" i="27" a="1"/>
  <c r="W137" i="27"/>
  <c r="X137" i="27"/>
  <c r="D138" i="27"/>
  <c r="E138" i="27"/>
  <c r="F138" i="27"/>
  <c r="G138" i="27"/>
  <c r="H138" i="27"/>
  <c r="I138" i="27"/>
  <c r="J138" i="27"/>
  <c r="K138" i="27"/>
  <c r="L138" i="27"/>
  <c r="M138" i="27"/>
  <c r="N138" i="27" a="1"/>
  <c r="N138" i="27"/>
  <c r="O138" i="27" a="1"/>
  <c r="O138" i="27"/>
  <c r="P138" i="27" a="1"/>
  <c r="P138" i="27"/>
  <c r="Q138" i="27"/>
  <c r="R138" i="27" a="1"/>
  <c r="R138" i="27"/>
  <c r="S138" i="27" a="1"/>
  <c r="S138" i="27"/>
  <c r="T138" i="27" a="1"/>
  <c r="T138" i="27"/>
  <c r="U138" i="27" a="1"/>
  <c r="U138" i="27"/>
  <c r="V138" i="27"/>
  <c r="W138" i="27" a="1"/>
  <c r="W138" i="27"/>
  <c r="X138" i="27"/>
  <c r="D139" i="27"/>
  <c r="E139" i="27"/>
  <c r="F139" i="27"/>
  <c r="G139" i="27"/>
  <c r="H139" i="27"/>
  <c r="I139" i="27"/>
  <c r="J139" i="27"/>
  <c r="K139" i="27"/>
  <c r="L139" i="27"/>
  <c r="M139" i="27"/>
  <c r="N139" i="27" a="1"/>
  <c r="N139" i="27"/>
  <c r="O139" i="27" a="1"/>
  <c r="O139" i="27"/>
  <c r="P139" i="27" a="1"/>
  <c r="P139" i="27"/>
  <c r="Q139" i="27"/>
  <c r="R139" i="27" a="1"/>
  <c r="R139" i="27"/>
  <c r="S139" i="27" a="1"/>
  <c r="S139" i="27"/>
  <c r="T139" i="27" a="1"/>
  <c r="T139" i="27"/>
  <c r="U139" i="27" a="1"/>
  <c r="U139" i="27"/>
  <c r="V139" i="27"/>
  <c r="W139" i="27" a="1"/>
  <c r="W139" i="27"/>
  <c r="X139" i="27"/>
  <c r="D140" i="27"/>
  <c r="E140" i="27"/>
  <c r="F140" i="27"/>
  <c r="G140" i="27"/>
  <c r="H140" i="27"/>
  <c r="I140" i="27"/>
  <c r="J140" i="27"/>
  <c r="K140" i="27"/>
  <c r="L140" i="27"/>
  <c r="M140" i="27"/>
  <c r="N140" i="27" a="1"/>
  <c r="N140" i="27"/>
  <c r="O140" i="27" a="1"/>
  <c r="O140" i="27"/>
  <c r="P140" i="27" a="1"/>
  <c r="P140" i="27"/>
  <c r="Q140" i="27"/>
  <c r="R140" i="27" a="1"/>
  <c r="R140" i="27"/>
  <c r="S140" i="27" a="1"/>
  <c r="S140" i="27"/>
  <c r="T140" i="27" a="1"/>
  <c r="T140" i="27"/>
  <c r="U140" i="27" a="1"/>
  <c r="U140" i="27"/>
  <c r="V140" i="27"/>
  <c r="W140" i="27" a="1"/>
  <c r="W140" i="27"/>
  <c r="X140" i="27"/>
  <c r="D141" i="27"/>
  <c r="E141" i="27"/>
  <c r="F141" i="27"/>
  <c r="G141" i="27"/>
  <c r="H141" i="27"/>
  <c r="I141" i="27"/>
  <c r="J141" i="27"/>
  <c r="K141" i="27"/>
  <c r="M141" i="27"/>
  <c r="N141" i="27" a="1"/>
  <c r="N141" i="27"/>
  <c r="O141" i="27" a="1"/>
  <c r="O141" i="27"/>
  <c r="P141" i="27" a="1"/>
  <c r="P141" i="27"/>
  <c r="Q141" i="27"/>
  <c r="R141" i="27" a="1"/>
  <c r="R141" i="27"/>
  <c r="S141" i="27" a="1"/>
  <c r="S141" i="27"/>
  <c r="T141" i="27" a="1"/>
  <c r="T141" i="27"/>
  <c r="U141" i="27" a="1"/>
  <c r="U141" i="27"/>
  <c r="V141" i="27"/>
  <c r="W141" i="27" a="1"/>
  <c r="W141" i="27"/>
  <c r="X141" i="27"/>
  <c r="C143" i="27"/>
  <c r="E143" i="27"/>
  <c r="F143" i="27"/>
  <c r="G143" i="27"/>
  <c r="H143" i="27"/>
  <c r="I143" i="27"/>
  <c r="J143" i="27"/>
  <c r="K143" i="27"/>
  <c r="L143" i="27"/>
  <c r="M143" i="27"/>
  <c r="N143" i="27"/>
  <c r="O143" i="27"/>
  <c r="P143" i="27"/>
  <c r="Q143" i="27"/>
  <c r="R143" i="27"/>
  <c r="S143" i="27"/>
  <c r="T143" i="27"/>
  <c r="U143" i="27"/>
  <c r="V143" i="27"/>
  <c r="W143" i="27"/>
  <c r="X143" i="27"/>
  <c r="E144" i="27"/>
  <c r="F144" i="27"/>
  <c r="G144" i="27"/>
  <c r="H144" i="27"/>
  <c r="I144" i="27"/>
  <c r="J144" i="27"/>
  <c r="K144" i="27"/>
  <c r="L144" i="27"/>
  <c r="M144" i="27"/>
  <c r="N144" i="27" a="1"/>
  <c r="N144" i="27"/>
  <c r="O144" i="27" a="1"/>
  <c r="O144" i="27"/>
  <c r="P144" i="27" a="1"/>
  <c r="P144" i="27"/>
  <c r="Q144" i="27"/>
  <c r="R144" i="27" a="1"/>
  <c r="R144" i="27"/>
  <c r="S144" i="27" a="1"/>
  <c r="S144" i="27"/>
  <c r="T144" i="27" a="1"/>
  <c r="T144" i="27"/>
  <c r="U144" i="27" a="1"/>
  <c r="U144" i="27"/>
  <c r="V144" i="27"/>
  <c r="W144" i="27" a="1"/>
  <c r="W144" i="27"/>
  <c r="X144" i="27"/>
  <c r="E145" i="27"/>
  <c r="F145" i="27"/>
  <c r="G145" i="27"/>
  <c r="H145" i="27"/>
  <c r="I145" i="27"/>
  <c r="J145" i="27"/>
  <c r="K145" i="27"/>
  <c r="L145" i="27"/>
  <c r="M145" i="27"/>
  <c r="N145" i="27" a="1"/>
  <c r="N145" i="27"/>
  <c r="O145" i="27" a="1"/>
  <c r="O145" i="27"/>
  <c r="P145" i="27" a="1"/>
  <c r="P145" i="27"/>
  <c r="Q145" i="27"/>
  <c r="R145" i="27" a="1"/>
  <c r="R145" i="27"/>
  <c r="S145" i="27" a="1"/>
  <c r="S145" i="27"/>
  <c r="T145" i="27" a="1"/>
  <c r="T145" i="27"/>
  <c r="U145" i="27" a="1"/>
  <c r="U145" i="27"/>
  <c r="V145" i="27"/>
  <c r="W145" i="27" a="1"/>
  <c r="W145" i="27"/>
  <c r="X145" i="27"/>
  <c r="E146" i="27"/>
  <c r="F146" i="27"/>
  <c r="G146" i="27"/>
  <c r="H146" i="27"/>
  <c r="I146" i="27"/>
  <c r="J146" i="27"/>
  <c r="K146" i="27"/>
  <c r="L146" i="27"/>
  <c r="M146" i="27"/>
  <c r="N146" i="27" a="1"/>
  <c r="N146" i="27"/>
  <c r="O146" i="27" a="1"/>
  <c r="O146" i="27"/>
  <c r="P146" i="27" a="1"/>
  <c r="P146" i="27"/>
  <c r="Q146" i="27"/>
  <c r="R146" i="27" a="1"/>
  <c r="R146" i="27"/>
  <c r="S146" i="27" a="1"/>
  <c r="S146" i="27"/>
  <c r="T146" i="27" a="1"/>
  <c r="T146" i="27"/>
  <c r="U146" i="27" a="1"/>
  <c r="U146" i="27"/>
  <c r="V146" i="27"/>
  <c r="W146" i="27" a="1"/>
  <c r="W146" i="27"/>
  <c r="X146" i="27"/>
  <c r="E147" i="27"/>
  <c r="F147" i="27"/>
  <c r="G147" i="27"/>
  <c r="H147" i="27"/>
  <c r="I147" i="27"/>
  <c r="J147" i="27"/>
  <c r="K147" i="27"/>
  <c r="L147" i="27"/>
  <c r="M147" i="27"/>
  <c r="N147" i="27" a="1"/>
  <c r="N147" i="27"/>
  <c r="O147" i="27" a="1"/>
  <c r="O147" i="27"/>
  <c r="P147" i="27" a="1"/>
  <c r="P147" i="27"/>
  <c r="Q147" i="27"/>
  <c r="R147" i="27" a="1"/>
  <c r="R147" i="27"/>
  <c r="S147" i="27" a="1"/>
  <c r="S147" i="27"/>
  <c r="T147" i="27" a="1"/>
  <c r="T147" i="27"/>
  <c r="U147" i="27" a="1"/>
  <c r="U147" i="27"/>
  <c r="V147" i="27"/>
  <c r="W147" i="27" a="1"/>
  <c r="W147" i="27"/>
  <c r="X147" i="27"/>
  <c r="E148" i="27"/>
  <c r="F148" i="27"/>
  <c r="G148" i="27"/>
  <c r="H148" i="27"/>
  <c r="I148" i="27"/>
  <c r="J148" i="27"/>
  <c r="K148" i="27"/>
  <c r="L148" i="27"/>
  <c r="M148" i="27"/>
  <c r="N148" i="27" a="1"/>
  <c r="N148" i="27"/>
  <c r="O148" i="27" a="1"/>
  <c r="O148" i="27"/>
  <c r="P148" i="27" a="1"/>
  <c r="P148" i="27"/>
  <c r="Q148" i="27"/>
  <c r="R148" i="27" a="1"/>
  <c r="R148" i="27"/>
  <c r="S148" i="27" a="1"/>
  <c r="S148" i="27"/>
  <c r="T148" i="27" a="1"/>
  <c r="T148" i="27"/>
  <c r="U148" i="27" a="1"/>
  <c r="U148" i="27"/>
  <c r="V148" i="27"/>
  <c r="W148" i="27" a="1"/>
  <c r="W148" i="27"/>
  <c r="X148" i="27"/>
  <c r="E149" i="27"/>
  <c r="F149" i="27"/>
  <c r="G149" i="27"/>
  <c r="H149" i="27"/>
  <c r="I149" i="27"/>
  <c r="J149" i="27"/>
  <c r="K149" i="27"/>
  <c r="L149" i="27"/>
  <c r="M149" i="27"/>
  <c r="N149" i="27" a="1"/>
  <c r="N149" i="27"/>
  <c r="O149" i="27" a="1"/>
  <c r="O149" i="27"/>
  <c r="P149" i="27" a="1"/>
  <c r="P149" i="27"/>
  <c r="Q149" i="27"/>
  <c r="R149" i="27" a="1"/>
  <c r="R149" i="27"/>
  <c r="S149" i="27" a="1"/>
  <c r="S149" i="27"/>
  <c r="T149" i="27" a="1"/>
  <c r="T149" i="27"/>
  <c r="U149" i="27" a="1"/>
  <c r="U149" i="27"/>
  <c r="V149" i="27"/>
  <c r="W149" i="27" a="1"/>
  <c r="W149" i="27"/>
  <c r="X149" i="27"/>
  <c r="E150" i="27"/>
  <c r="F150" i="27"/>
  <c r="G150" i="27"/>
  <c r="H150" i="27"/>
  <c r="I150" i="27"/>
  <c r="J150" i="27"/>
  <c r="K150" i="27"/>
  <c r="L150" i="27"/>
  <c r="M150" i="27"/>
  <c r="N150" i="27" a="1"/>
  <c r="N150" i="27"/>
  <c r="O150" i="27" a="1"/>
  <c r="O150" i="27"/>
  <c r="P150" i="27" a="1"/>
  <c r="P150" i="27"/>
  <c r="Q150" i="27"/>
  <c r="R150" i="27" a="1"/>
  <c r="R150" i="27"/>
  <c r="S150" i="27" a="1"/>
  <c r="S150" i="27"/>
  <c r="T150" i="27" a="1"/>
  <c r="T150" i="27"/>
  <c r="U150" i="27" a="1"/>
  <c r="U150" i="27"/>
  <c r="V150" i="27"/>
  <c r="W150" i="27" a="1"/>
  <c r="W150" i="27"/>
  <c r="X150" i="27"/>
  <c r="E151" i="27"/>
  <c r="F151" i="27"/>
  <c r="G151" i="27"/>
  <c r="H151" i="27"/>
  <c r="I151" i="27"/>
  <c r="J151" i="27"/>
  <c r="K151" i="27"/>
  <c r="L151" i="27"/>
  <c r="M151" i="27"/>
  <c r="N151" i="27" a="1"/>
  <c r="N151" i="27"/>
  <c r="O151" i="27" a="1"/>
  <c r="O151" i="27"/>
  <c r="P151" i="27" a="1"/>
  <c r="P151" i="27"/>
  <c r="Q151" i="27"/>
  <c r="R151" i="27" a="1"/>
  <c r="R151" i="27"/>
  <c r="S151" i="27" a="1"/>
  <c r="S151" i="27"/>
  <c r="T151" i="27" a="1"/>
  <c r="T151" i="27"/>
  <c r="U151" i="27" a="1"/>
  <c r="U151" i="27"/>
  <c r="V151" i="27"/>
  <c r="W151" i="27" a="1"/>
  <c r="W151" i="27"/>
  <c r="X151" i="27"/>
  <c r="E152" i="27"/>
  <c r="F152" i="27"/>
  <c r="G152" i="27"/>
  <c r="H152" i="27"/>
  <c r="I152" i="27"/>
  <c r="J152" i="27"/>
  <c r="K152" i="27"/>
  <c r="L152" i="27"/>
  <c r="M152" i="27"/>
  <c r="N152" i="27" a="1"/>
  <c r="N152" i="27"/>
  <c r="O152" i="27" a="1"/>
  <c r="O152" i="27"/>
  <c r="P152" i="27" a="1"/>
  <c r="P152" i="27"/>
  <c r="Q152" i="27"/>
  <c r="R152" i="27" a="1"/>
  <c r="R152" i="27"/>
  <c r="S152" i="27" a="1"/>
  <c r="S152" i="27"/>
  <c r="T152" i="27" a="1"/>
  <c r="T152" i="27"/>
  <c r="U152" i="27" a="1"/>
  <c r="U152" i="27"/>
  <c r="V152" i="27"/>
  <c r="W152" i="27" a="1"/>
  <c r="W152" i="27"/>
  <c r="X152" i="27"/>
  <c r="E153" i="27"/>
  <c r="F153" i="27"/>
  <c r="G153" i="27"/>
  <c r="H153" i="27"/>
  <c r="I153" i="27"/>
  <c r="J153" i="27"/>
  <c r="K153" i="27"/>
  <c r="L153" i="27"/>
  <c r="M153" i="27"/>
  <c r="N153" i="27" a="1"/>
  <c r="N153" i="27"/>
  <c r="O153" i="27" a="1"/>
  <c r="O153" i="27"/>
  <c r="P153" i="27" a="1"/>
  <c r="P153" i="27"/>
  <c r="Q153" i="27"/>
  <c r="R153" i="27" a="1"/>
  <c r="R153" i="27"/>
  <c r="S153" i="27" a="1"/>
  <c r="S153" i="27"/>
  <c r="T153" i="27" a="1"/>
  <c r="T153" i="27"/>
  <c r="U153" i="27" a="1"/>
  <c r="U153" i="27"/>
  <c r="V153" i="27"/>
  <c r="W153" i="27" a="1"/>
  <c r="W153" i="27"/>
  <c r="X153" i="27"/>
  <c r="E154" i="27"/>
  <c r="F154" i="27"/>
  <c r="G154" i="27"/>
  <c r="H154" i="27"/>
  <c r="I154" i="27"/>
  <c r="J154" i="27"/>
  <c r="K154" i="27"/>
  <c r="M154" i="27"/>
  <c r="N154" i="27" a="1"/>
  <c r="N154" i="27"/>
  <c r="O154" i="27" a="1"/>
  <c r="O154" i="27"/>
  <c r="P154" i="27" a="1"/>
  <c r="P154" i="27"/>
  <c r="Q154" i="27"/>
  <c r="R154" i="27" a="1"/>
  <c r="R154" i="27"/>
  <c r="S154" i="27" a="1"/>
  <c r="S154" i="27"/>
  <c r="T154" i="27" a="1"/>
  <c r="T154" i="27"/>
  <c r="U154" i="27" a="1"/>
  <c r="U154" i="27"/>
  <c r="V154" i="27"/>
  <c r="W154" i="27" a="1"/>
  <c r="W154" i="27"/>
  <c r="X154" i="27"/>
  <c r="C156" i="27"/>
  <c r="D156" i="27"/>
  <c r="E156" i="27"/>
  <c r="F156" i="27"/>
  <c r="G156" i="27"/>
  <c r="H156" i="27"/>
  <c r="I156" i="27"/>
  <c r="J156" i="27"/>
  <c r="K156" i="27"/>
  <c r="L156" i="27"/>
  <c r="M156" i="27"/>
  <c r="N156" i="27"/>
  <c r="O156" i="27"/>
  <c r="P156" i="27"/>
  <c r="Q156" i="27"/>
  <c r="R156" i="27"/>
  <c r="S156" i="27"/>
  <c r="T156" i="27"/>
  <c r="U156" i="27"/>
  <c r="V156" i="27"/>
  <c r="W156" i="27"/>
  <c r="X156" i="27"/>
  <c r="R46" i="77"/>
  <c r="R48" i="77"/>
  <c r="R138" i="77"/>
  <c r="R139" i="77"/>
  <c r="R161" i="77"/>
  <c r="S161" i="77"/>
  <c r="Q163" i="77"/>
  <c r="Q164" i="77"/>
  <c r="R164" i="77"/>
  <c r="S164" i="77"/>
  <c r="Q171" i="77"/>
  <c r="R171" i="77"/>
  <c r="S171" i="77"/>
  <c r="Q174" i="77"/>
  <c r="R174" i="77"/>
  <c r="S174" i="77"/>
  <c r="Q176" i="77"/>
  <c r="R176" i="77"/>
  <c r="S176" i="77"/>
  <c r="S178" i="77"/>
  <c r="M180" i="77"/>
  <c r="N180" i="77"/>
  <c r="O180" i="77"/>
  <c r="Q180" i="77"/>
  <c r="R180" i="77"/>
  <c r="S180" i="77"/>
  <c r="M181" i="77"/>
  <c r="N181" i="77"/>
  <c r="O181" i="77"/>
  <c r="Q181" i="77"/>
  <c r="R181" i="77"/>
  <c r="S181" i="77"/>
  <c r="M183" i="77"/>
  <c r="N183" i="77"/>
  <c r="O183" i="77"/>
  <c r="Q183" i="77"/>
  <c r="R183" i="77"/>
  <c r="S183" i="77"/>
  <c r="Q184" i="77"/>
  <c r="R184" i="77"/>
  <c r="S184" i="77"/>
  <c r="R191" i="77"/>
  <c r="Q192" i="77"/>
  <c r="S192" i="77"/>
  <c r="Q193" i="77"/>
  <c r="R193" i="77"/>
  <c r="S193" i="77"/>
  <c r="R194" i="77"/>
  <c r="S196" i="77"/>
  <c r="Q197" i="77"/>
  <c r="R197" i="77"/>
  <c r="S197" i="77"/>
  <c r="Q199" i="77"/>
  <c r="R199" i="77"/>
  <c r="S199" i="77"/>
  <c r="R203" i="77"/>
  <c r="Q204" i="77"/>
  <c r="S204" i="77"/>
  <c r="Q205" i="77"/>
  <c r="R205" i="77"/>
  <c r="S205" i="77"/>
  <c r="R206" i="77"/>
  <c r="S208" i="77"/>
  <c r="Q209" i="77"/>
  <c r="R209" i="77"/>
  <c r="S209" i="77"/>
  <c r="Q211" i="77"/>
  <c r="R211" i="77"/>
  <c r="S211" i="77"/>
  <c r="R215" i="77"/>
  <c r="Q216" i="77"/>
  <c r="S216" i="77"/>
  <c r="Q217" i="77"/>
  <c r="R217" i="77"/>
  <c r="S217" i="77"/>
  <c r="R218" i="77"/>
  <c r="S220" i="77"/>
  <c r="Q221" i="77"/>
  <c r="R221" i="77"/>
  <c r="S221" i="77"/>
  <c r="Q223" i="77"/>
  <c r="R223" i="77"/>
  <c r="S223" i="77"/>
  <c r="A1" i="15"/>
  <c r="D12" i="15" a="1"/>
  <c r="D12" i="15"/>
  <c r="F12" i="15"/>
  <c r="G12" i="15"/>
  <c r="H12" i="15" a="1"/>
  <c r="H12" i="15"/>
  <c r="J12" i="15"/>
  <c r="K12" i="15"/>
  <c r="L12" i="15" a="1"/>
  <c r="L12" i="15"/>
  <c r="N12" i="15"/>
  <c r="O12" i="15"/>
  <c r="D13" i="15" a="1"/>
  <c r="D13" i="15"/>
  <c r="F13" i="15"/>
  <c r="G13" i="15"/>
  <c r="H13" i="15" a="1"/>
  <c r="H13" i="15"/>
  <c r="J13" i="15"/>
  <c r="K13" i="15"/>
  <c r="L13" i="15" a="1"/>
  <c r="L13" i="15"/>
  <c r="N13" i="15"/>
  <c r="O13" i="15"/>
  <c r="D14" i="15" a="1"/>
  <c r="D14" i="15"/>
  <c r="F14" i="15"/>
  <c r="G14" i="15"/>
  <c r="H14" i="15" a="1"/>
  <c r="H14" i="15"/>
  <c r="J14" i="15"/>
  <c r="K14" i="15"/>
  <c r="L14" i="15" a="1"/>
  <c r="L14" i="15"/>
  <c r="N14" i="15"/>
  <c r="O14" i="15"/>
  <c r="D15" i="15" a="1"/>
  <c r="D15" i="15"/>
  <c r="E15" i="15"/>
  <c r="F15" i="15"/>
  <c r="G15" i="15"/>
  <c r="H15" i="15" a="1"/>
  <c r="H15" i="15"/>
  <c r="I15" i="15"/>
  <c r="J15" i="15"/>
  <c r="K15" i="15"/>
  <c r="L15" i="15" a="1"/>
  <c r="L15" i="15"/>
  <c r="M15" i="15"/>
  <c r="N15" i="15"/>
  <c r="O15" i="15"/>
  <c r="D16" i="15" a="1"/>
  <c r="D16" i="15"/>
  <c r="E16" i="15"/>
  <c r="F16" i="15"/>
  <c r="G16" i="15"/>
  <c r="H16" i="15" a="1"/>
  <c r="H16" i="15"/>
  <c r="I16" i="15"/>
  <c r="J16" i="15"/>
  <c r="K16" i="15"/>
  <c r="L16" i="15" a="1"/>
  <c r="L16" i="15"/>
  <c r="M16" i="15"/>
  <c r="N16" i="15"/>
  <c r="O16" i="15"/>
  <c r="D18" i="15"/>
  <c r="F18" i="15"/>
  <c r="G18" i="15"/>
  <c r="H18" i="15"/>
  <c r="J18" i="15"/>
  <c r="K18" i="15"/>
  <c r="L18" i="15"/>
  <c r="N18" i="15"/>
  <c r="O18" i="15"/>
  <c r="D19" i="15"/>
  <c r="F19" i="15"/>
  <c r="G19" i="15"/>
  <c r="H19" i="15"/>
  <c r="J19" i="15"/>
  <c r="K19" i="15"/>
  <c r="L19" i="15"/>
  <c r="N19" i="15"/>
  <c r="O19" i="15"/>
  <c r="D20" i="15"/>
  <c r="E20" i="15"/>
  <c r="F20" i="15"/>
  <c r="G20" i="15"/>
  <c r="H20" i="15"/>
  <c r="I20" i="15"/>
  <c r="J20" i="15"/>
  <c r="K20" i="15"/>
  <c r="L20" i="15"/>
  <c r="M20" i="15"/>
  <c r="N20" i="15"/>
  <c r="O20" i="15"/>
  <c r="D21" i="15"/>
  <c r="E21" i="15"/>
  <c r="F21" i="15"/>
  <c r="G21" i="15"/>
  <c r="H21" i="15"/>
  <c r="I21" i="15"/>
  <c r="J21" i="15"/>
  <c r="K21" i="15"/>
  <c r="L21" i="15"/>
  <c r="M21" i="15"/>
  <c r="N21" i="15"/>
  <c r="O21" i="15"/>
  <c r="D26" i="15" a="1"/>
  <c r="D26" i="15"/>
  <c r="F26" i="15"/>
  <c r="G26" i="15"/>
  <c r="H26" i="15" a="1"/>
  <c r="H26" i="15"/>
  <c r="J26" i="15"/>
  <c r="K26" i="15"/>
  <c r="L26" i="15" a="1"/>
  <c r="L26" i="15"/>
  <c r="N26" i="15"/>
  <c r="O26" i="15"/>
  <c r="D27" i="15" a="1"/>
  <c r="D27" i="15"/>
  <c r="F27" i="15"/>
  <c r="G27" i="15"/>
  <c r="H27" i="15" a="1"/>
  <c r="H27" i="15"/>
  <c r="J27" i="15"/>
  <c r="K27" i="15"/>
  <c r="L27" i="15" a="1"/>
  <c r="L27" i="15"/>
  <c r="N27" i="15"/>
  <c r="O27" i="15"/>
  <c r="D28" i="15" a="1"/>
  <c r="D28" i="15"/>
  <c r="F28" i="15"/>
  <c r="G28" i="15"/>
  <c r="H28" i="15" a="1"/>
  <c r="H28" i="15"/>
  <c r="J28" i="15"/>
  <c r="K28" i="15"/>
  <c r="L28" i="15" a="1"/>
  <c r="L28" i="15"/>
  <c r="N28" i="15"/>
  <c r="O28" i="15"/>
  <c r="D29" i="15" a="1"/>
  <c r="D29" i="15"/>
  <c r="E29" i="15"/>
  <c r="F29" i="15"/>
  <c r="G29" i="15"/>
  <c r="H29" i="15" a="1"/>
  <c r="H29" i="15"/>
  <c r="I29" i="15"/>
  <c r="J29" i="15"/>
  <c r="K29" i="15"/>
  <c r="L29" i="15" a="1"/>
  <c r="L29" i="15"/>
  <c r="M29" i="15"/>
  <c r="N29" i="15"/>
  <c r="O29" i="15"/>
  <c r="D30" i="15" a="1"/>
  <c r="D30" i="15"/>
  <c r="E30" i="15"/>
  <c r="F30" i="15"/>
  <c r="G30" i="15"/>
  <c r="H30" i="15" a="1"/>
  <c r="H30" i="15"/>
  <c r="I30" i="15"/>
  <c r="J30" i="15"/>
  <c r="K30" i="15"/>
  <c r="L30" i="15" a="1"/>
  <c r="L30" i="15"/>
  <c r="M30" i="15"/>
  <c r="N30" i="15"/>
  <c r="O30" i="15"/>
  <c r="D32" i="15"/>
  <c r="F32" i="15"/>
  <c r="G32" i="15"/>
  <c r="H32" i="15"/>
  <c r="J32" i="15"/>
  <c r="K32" i="15"/>
  <c r="L32" i="15"/>
  <c r="N32" i="15"/>
  <c r="O32" i="15"/>
  <c r="D33" i="15"/>
  <c r="F33" i="15"/>
  <c r="G33" i="15"/>
  <c r="H33" i="15"/>
  <c r="J33" i="15"/>
  <c r="K33" i="15"/>
  <c r="L33" i="15"/>
  <c r="N33" i="15"/>
  <c r="O33" i="15"/>
  <c r="D34" i="15"/>
  <c r="E34" i="15"/>
  <c r="F34" i="15"/>
  <c r="G34" i="15"/>
  <c r="H34" i="15"/>
  <c r="I34" i="15"/>
  <c r="J34" i="15"/>
  <c r="K34" i="15"/>
  <c r="L34" i="15"/>
  <c r="M34" i="15"/>
  <c r="N34" i="15"/>
  <c r="O34" i="15"/>
  <c r="D35" i="15"/>
  <c r="E35" i="15"/>
  <c r="F35" i="15"/>
  <c r="G35" i="15"/>
  <c r="H35" i="15"/>
  <c r="I35" i="15"/>
  <c r="J35" i="15"/>
  <c r="K35" i="15"/>
  <c r="L35" i="15"/>
  <c r="M35" i="15"/>
  <c r="N35" i="15"/>
  <c r="O35" i="15"/>
  <c r="L36" i="15"/>
  <c r="E45" i="15"/>
  <c r="F45" i="15"/>
  <c r="G45" i="15"/>
  <c r="I45" i="15"/>
  <c r="J45" i="15"/>
  <c r="K45" i="15"/>
  <c r="M45" i="15"/>
  <c r="N45" i="15"/>
  <c r="O45" i="15"/>
  <c r="Q45" i="15"/>
  <c r="R45" i="15"/>
  <c r="S45" i="15"/>
  <c r="E46" i="15"/>
  <c r="F46" i="15"/>
  <c r="G46" i="15"/>
  <c r="I46" i="15"/>
  <c r="J46" i="15"/>
  <c r="K46" i="15"/>
  <c r="M46" i="15"/>
  <c r="N46" i="15"/>
  <c r="O46" i="15"/>
  <c r="Q46" i="15"/>
  <c r="R46" i="15"/>
  <c r="S46" i="15"/>
  <c r="E50" i="15"/>
  <c r="F50" i="15"/>
  <c r="G50" i="15"/>
  <c r="I50" i="15"/>
  <c r="J50" i="15"/>
  <c r="K50" i="15"/>
  <c r="M50" i="15"/>
  <c r="N50" i="15"/>
  <c r="O50" i="15"/>
  <c r="Q50" i="15"/>
  <c r="R50" i="15"/>
  <c r="S50" i="15"/>
  <c r="E51" i="15"/>
  <c r="F51" i="15"/>
  <c r="G51" i="15"/>
  <c r="I51" i="15"/>
  <c r="J51" i="15"/>
  <c r="K51" i="15"/>
  <c r="M51" i="15"/>
  <c r="N51" i="15"/>
  <c r="O51" i="15"/>
  <c r="Q51" i="15"/>
  <c r="R51" i="15"/>
  <c r="S51" i="15"/>
  <c r="E59" i="15"/>
  <c r="F59" i="15"/>
  <c r="G59" i="15"/>
  <c r="I59" i="15"/>
  <c r="J59" i="15"/>
  <c r="K59" i="15"/>
  <c r="M59" i="15"/>
  <c r="N59" i="15"/>
  <c r="O59" i="15"/>
  <c r="E60" i="15"/>
  <c r="F60" i="15"/>
  <c r="G60" i="15"/>
  <c r="I60" i="15"/>
  <c r="J60" i="15"/>
  <c r="K60" i="15"/>
  <c r="M60" i="15"/>
  <c r="N60" i="15"/>
  <c r="O60" i="15"/>
  <c r="E64" i="15"/>
  <c r="F64" i="15"/>
  <c r="G64" i="15"/>
  <c r="I64" i="15"/>
  <c r="J64" i="15"/>
  <c r="K64" i="15"/>
  <c r="M64" i="15"/>
  <c r="N64" i="15"/>
  <c r="O64" i="15"/>
  <c r="E65" i="15"/>
  <c r="F65" i="15"/>
  <c r="G65" i="15"/>
  <c r="I65" i="15"/>
  <c r="J65" i="15"/>
  <c r="K65" i="15"/>
  <c r="M65" i="15"/>
  <c r="N65" i="15"/>
  <c r="O65" i="15"/>
  <c r="D89" i="15" a="1"/>
  <c r="D89" i="15"/>
  <c r="F89" i="15"/>
  <c r="G89" i="15"/>
  <c r="H89" i="15" a="1"/>
  <c r="H89" i="15"/>
  <c r="J89" i="15"/>
  <c r="K89" i="15"/>
  <c r="L89" i="15" a="1"/>
  <c r="L89" i="15"/>
  <c r="N89" i="15"/>
  <c r="O89" i="15"/>
  <c r="D90" i="15" a="1"/>
  <c r="D90" i="15"/>
  <c r="E90" i="15"/>
  <c r="F90" i="15"/>
  <c r="G90" i="15"/>
  <c r="H90" i="15" a="1"/>
  <c r="H90" i="15"/>
  <c r="J90" i="15"/>
  <c r="K90" i="15"/>
  <c r="L90" i="15" a="1"/>
  <c r="L90" i="15"/>
  <c r="N90" i="15"/>
  <c r="O90" i="15"/>
  <c r="D91" i="15" a="1"/>
  <c r="D91" i="15"/>
  <c r="E91" i="15"/>
  <c r="F91" i="15"/>
  <c r="G91" i="15"/>
  <c r="H91" i="15" a="1"/>
  <c r="H91" i="15"/>
  <c r="I91" i="15"/>
  <c r="J91" i="15"/>
  <c r="K91" i="15"/>
  <c r="L91" i="15" a="1"/>
  <c r="L91" i="15"/>
  <c r="M91" i="15"/>
  <c r="N91" i="15"/>
  <c r="O91" i="15"/>
  <c r="D92" i="15" a="1"/>
  <c r="D92" i="15"/>
  <c r="E92" i="15"/>
  <c r="F92" i="15"/>
  <c r="G92" i="15"/>
  <c r="H92" i="15" a="1"/>
  <c r="H92" i="15"/>
  <c r="I92" i="15"/>
  <c r="J92" i="15"/>
  <c r="K92" i="15"/>
  <c r="L92" i="15" a="1"/>
  <c r="L92" i="15"/>
  <c r="M92" i="15"/>
  <c r="N92" i="15"/>
  <c r="O92" i="15"/>
  <c r="D93" i="15" a="1"/>
  <c r="D93" i="15"/>
  <c r="E93" i="15"/>
  <c r="F93" i="15"/>
  <c r="G93" i="15"/>
  <c r="H93" i="15" a="1"/>
  <c r="H93" i="15"/>
  <c r="I93" i="15"/>
  <c r="J93" i="15"/>
  <c r="K93" i="15"/>
  <c r="L93" i="15" a="1"/>
  <c r="L93" i="15"/>
  <c r="M93" i="15"/>
  <c r="N93" i="15"/>
  <c r="O93" i="15"/>
  <c r="D95" i="15"/>
  <c r="E95" i="15"/>
  <c r="F95" i="15"/>
  <c r="G95" i="15"/>
  <c r="H95" i="15"/>
  <c r="J95" i="15"/>
  <c r="K95" i="15"/>
  <c r="L95" i="15"/>
  <c r="N95" i="15"/>
  <c r="O95" i="15"/>
  <c r="D96" i="15"/>
  <c r="E96" i="15"/>
  <c r="F96" i="15"/>
  <c r="G96" i="15"/>
  <c r="H96" i="15"/>
  <c r="I96" i="15"/>
  <c r="J96" i="15"/>
  <c r="K96" i="15"/>
  <c r="L96" i="15"/>
  <c r="M96" i="15"/>
  <c r="N96" i="15"/>
  <c r="O96" i="15"/>
  <c r="D97" i="15"/>
  <c r="E97" i="15"/>
  <c r="F97" i="15"/>
  <c r="G97" i="15"/>
  <c r="H97" i="15"/>
  <c r="I97" i="15"/>
  <c r="J97" i="15"/>
  <c r="K97" i="15"/>
  <c r="L97" i="15"/>
  <c r="M97" i="15"/>
  <c r="N97" i="15"/>
  <c r="O97" i="15"/>
  <c r="D98" i="15"/>
  <c r="E98" i="15"/>
  <c r="F98" i="15"/>
  <c r="G98" i="15"/>
  <c r="H98" i="15"/>
  <c r="I98" i="15"/>
  <c r="J98" i="15"/>
  <c r="K98" i="15"/>
  <c r="L98" i="15"/>
  <c r="M98" i="15"/>
  <c r="N98" i="15"/>
  <c r="O98" i="15"/>
  <c r="D103" i="15" a="1"/>
  <c r="D103" i="15"/>
  <c r="F103" i="15"/>
  <c r="G103" i="15"/>
  <c r="H103" i="15" a="1"/>
  <c r="H103" i="15"/>
  <c r="J103" i="15"/>
  <c r="K103" i="15"/>
  <c r="L103" i="15" a="1"/>
  <c r="L103" i="15"/>
  <c r="N103" i="15"/>
  <c r="O103" i="15"/>
  <c r="D104" i="15" a="1"/>
  <c r="D104" i="15"/>
  <c r="E104" i="15"/>
  <c r="F104" i="15"/>
  <c r="G104" i="15"/>
  <c r="H104" i="15" a="1"/>
  <c r="H104" i="15"/>
  <c r="I104" i="15"/>
  <c r="J104" i="15"/>
  <c r="K104" i="15"/>
  <c r="L104" i="15" a="1"/>
  <c r="L104" i="15"/>
  <c r="M104" i="15"/>
  <c r="N104" i="15"/>
  <c r="O104" i="15"/>
  <c r="D105" i="15" a="1"/>
  <c r="D105" i="15"/>
  <c r="E105" i="15"/>
  <c r="F105" i="15"/>
  <c r="G105" i="15"/>
  <c r="H105" i="15" a="1"/>
  <c r="H105" i="15"/>
  <c r="I105" i="15"/>
  <c r="J105" i="15"/>
  <c r="K105" i="15"/>
  <c r="L105" i="15" a="1"/>
  <c r="L105" i="15"/>
  <c r="M105" i="15"/>
  <c r="N105" i="15"/>
  <c r="O105" i="15"/>
  <c r="D106" i="15" a="1"/>
  <c r="D106" i="15"/>
  <c r="E106" i="15"/>
  <c r="F106" i="15"/>
  <c r="G106" i="15"/>
  <c r="H106" i="15" a="1"/>
  <c r="H106" i="15"/>
  <c r="I106" i="15"/>
  <c r="J106" i="15"/>
  <c r="K106" i="15"/>
  <c r="L106" i="15" a="1"/>
  <c r="L106" i="15"/>
  <c r="M106" i="15"/>
  <c r="N106" i="15"/>
  <c r="O106" i="15"/>
  <c r="D107" i="15" a="1"/>
  <c r="D107" i="15"/>
  <c r="E107" i="15"/>
  <c r="F107" i="15"/>
  <c r="G107" i="15"/>
  <c r="H107" i="15" a="1"/>
  <c r="H107" i="15"/>
  <c r="I107" i="15"/>
  <c r="J107" i="15"/>
  <c r="K107" i="15"/>
  <c r="L107" i="15" a="1"/>
  <c r="L107" i="15"/>
  <c r="M107" i="15"/>
  <c r="N107" i="15"/>
  <c r="O107" i="15"/>
  <c r="D109" i="15"/>
  <c r="E109" i="15"/>
  <c r="F109" i="15"/>
  <c r="G109" i="15"/>
  <c r="H109" i="15"/>
  <c r="I109" i="15"/>
  <c r="J109" i="15"/>
  <c r="K109" i="15"/>
  <c r="L109" i="15"/>
  <c r="M109" i="15"/>
  <c r="N109" i="15"/>
  <c r="O109" i="15"/>
  <c r="D110" i="15"/>
  <c r="E110" i="15"/>
  <c r="F110" i="15"/>
  <c r="G110" i="15"/>
  <c r="H110" i="15"/>
  <c r="I110" i="15"/>
  <c r="J110" i="15"/>
  <c r="K110" i="15"/>
  <c r="L110" i="15"/>
  <c r="M110" i="15"/>
  <c r="N110" i="15"/>
  <c r="O110" i="15"/>
  <c r="D111" i="15"/>
  <c r="E111" i="15"/>
  <c r="F111" i="15"/>
  <c r="G111" i="15"/>
  <c r="H111" i="15"/>
  <c r="I111" i="15"/>
  <c r="J111" i="15"/>
  <c r="K111" i="15"/>
  <c r="L111" i="15"/>
  <c r="M111" i="15"/>
  <c r="N111" i="15"/>
  <c r="O111" i="15"/>
  <c r="D112" i="15"/>
  <c r="E112" i="15"/>
  <c r="F112" i="15"/>
  <c r="G112" i="15"/>
  <c r="H112" i="15"/>
  <c r="I112" i="15"/>
  <c r="J112" i="15"/>
  <c r="K112" i="15"/>
  <c r="L112" i="15"/>
  <c r="M112" i="15"/>
  <c r="N112" i="15"/>
  <c r="O112" i="15"/>
  <c r="E123" i="15"/>
  <c r="F123" i="15"/>
  <c r="G123" i="15"/>
  <c r="E124" i="15"/>
  <c r="F124" i="15"/>
  <c r="G124" i="15"/>
  <c r="E125" i="15"/>
  <c r="F125" i="15"/>
  <c r="G125" i="15"/>
  <c r="D132" i="15" a="1"/>
  <c r="D132" i="15"/>
  <c r="F132" i="15"/>
  <c r="G132" i="15"/>
  <c r="H132" i="15" a="1"/>
  <c r="H132" i="15"/>
  <c r="J132" i="15"/>
  <c r="K132" i="15"/>
  <c r="L132" i="15" a="1"/>
  <c r="L132" i="15"/>
  <c r="N132" i="15"/>
  <c r="O132" i="15"/>
  <c r="D133" i="15" a="1"/>
  <c r="D133" i="15"/>
  <c r="F133" i="15"/>
  <c r="G133" i="15"/>
  <c r="H133" i="15" a="1"/>
  <c r="H133" i="15"/>
  <c r="J133" i="15"/>
  <c r="K133" i="15"/>
  <c r="L133" i="15" a="1"/>
  <c r="L133" i="15"/>
  <c r="N133" i="15"/>
  <c r="O133" i="15"/>
  <c r="D134" i="15" a="1"/>
  <c r="D134" i="15"/>
  <c r="F134" i="15"/>
  <c r="G134" i="15"/>
  <c r="H134" i="15" a="1"/>
  <c r="H134" i="15"/>
  <c r="J134" i="15"/>
  <c r="K134" i="15"/>
  <c r="L134" i="15" a="1"/>
  <c r="L134" i="15"/>
  <c r="N134" i="15"/>
  <c r="O134" i="15"/>
  <c r="D135" i="15" a="1"/>
  <c r="D135" i="15"/>
  <c r="E135" i="15"/>
  <c r="F135" i="15"/>
  <c r="G135" i="15"/>
  <c r="H135" i="15" a="1"/>
  <c r="H135" i="15"/>
  <c r="I135" i="15"/>
  <c r="J135" i="15"/>
  <c r="K135" i="15"/>
  <c r="L135" i="15" a="1"/>
  <c r="L135" i="15"/>
  <c r="M135" i="15"/>
  <c r="N135" i="15"/>
  <c r="O135" i="15"/>
  <c r="D136" i="15" a="1"/>
  <c r="D136" i="15"/>
  <c r="E136" i="15"/>
  <c r="F136" i="15"/>
  <c r="G136" i="15"/>
  <c r="H136" i="15" a="1"/>
  <c r="H136" i="15"/>
  <c r="I136" i="15"/>
  <c r="J136" i="15"/>
  <c r="K136" i="15"/>
  <c r="L136" i="15" a="1"/>
  <c r="L136" i="15"/>
  <c r="M136" i="15"/>
  <c r="N136" i="15"/>
  <c r="O136" i="15"/>
  <c r="D138" i="15"/>
  <c r="F138" i="15"/>
  <c r="G138" i="15"/>
  <c r="H138" i="15"/>
  <c r="J138" i="15"/>
  <c r="K138" i="15"/>
  <c r="L138" i="15"/>
  <c r="N138" i="15"/>
  <c r="O138" i="15"/>
  <c r="D139" i="15"/>
  <c r="F139" i="15"/>
  <c r="G139" i="15"/>
  <c r="H139" i="15"/>
  <c r="J139" i="15"/>
  <c r="K139" i="15"/>
  <c r="L139" i="15"/>
  <c r="N139" i="15"/>
  <c r="O139" i="15"/>
  <c r="D140" i="15"/>
  <c r="E140" i="15"/>
  <c r="F140" i="15"/>
  <c r="G140" i="15"/>
  <c r="H140" i="15"/>
  <c r="I140" i="15"/>
  <c r="J140" i="15"/>
  <c r="K140" i="15"/>
  <c r="L140" i="15"/>
  <c r="M140" i="15"/>
  <c r="N140" i="15"/>
  <c r="O140" i="15"/>
  <c r="D141" i="15"/>
  <c r="E141" i="15"/>
  <c r="F141" i="15"/>
  <c r="G141" i="15"/>
  <c r="H141" i="15"/>
  <c r="I141" i="15"/>
  <c r="J141" i="15"/>
  <c r="K141" i="15"/>
  <c r="L141" i="15"/>
  <c r="M141" i="15"/>
  <c r="N141" i="15"/>
  <c r="O141" i="15"/>
  <c r="D146" i="15" a="1"/>
  <c r="D146" i="15"/>
  <c r="F146" i="15"/>
  <c r="G146" i="15"/>
  <c r="H146" i="15" a="1"/>
  <c r="H146" i="15"/>
  <c r="J146" i="15"/>
  <c r="K146" i="15"/>
  <c r="L146" i="15" a="1"/>
  <c r="L146" i="15"/>
  <c r="N146" i="15"/>
  <c r="O146" i="15"/>
  <c r="D147" i="15" a="1"/>
  <c r="D147" i="15"/>
  <c r="F147" i="15"/>
  <c r="G147" i="15"/>
  <c r="H147" i="15" a="1"/>
  <c r="H147" i="15"/>
  <c r="J147" i="15"/>
  <c r="K147" i="15"/>
  <c r="L147" i="15" a="1"/>
  <c r="L147" i="15"/>
  <c r="N147" i="15"/>
  <c r="O147" i="15"/>
  <c r="D148" i="15" a="1"/>
  <c r="D148" i="15"/>
  <c r="F148" i="15"/>
  <c r="G148" i="15"/>
  <c r="H148" i="15" a="1"/>
  <c r="H148" i="15"/>
  <c r="J148" i="15"/>
  <c r="K148" i="15"/>
  <c r="L148" i="15" a="1"/>
  <c r="L148" i="15"/>
  <c r="N148" i="15"/>
  <c r="O148" i="15"/>
  <c r="D149" i="15" a="1"/>
  <c r="D149" i="15"/>
  <c r="E149" i="15"/>
  <c r="F149" i="15"/>
  <c r="G149" i="15"/>
  <c r="H149" i="15" a="1"/>
  <c r="H149" i="15"/>
  <c r="I149" i="15"/>
  <c r="J149" i="15"/>
  <c r="K149" i="15"/>
  <c r="L149" i="15" a="1"/>
  <c r="L149" i="15"/>
  <c r="M149" i="15"/>
  <c r="N149" i="15"/>
  <c r="O149" i="15"/>
  <c r="D150" i="15" a="1"/>
  <c r="D150" i="15"/>
  <c r="E150" i="15"/>
  <c r="F150" i="15"/>
  <c r="G150" i="15"/>
  <c r="H150" i="15" a="1"/>
  <c r="H150" i="15"/>
  <c r="I150" i="15"/>
  <c r="J150" i="15"/>
  <c r="K150" i="15"/>
  <c r="L150" i="15" a="1"/>
  <c r="L150" i="15"/>
  <c r="M150" i="15"/>
  <c r="N150" i="15"/>
  <c r="O150" i="15"/>
  <c r="D152" i="15"/>
  <c r="F152" i="15"/>
  <c r="G152" i="15"/>
  <c r="H152" i="15"/>
  <c r="J152" i="15"/>
  <c r="K152" i="15"/>
  <c r="L152" i="15"/>
  <c r="N152" i="15"/>
  <c r="O152" i="15"/>
  <c r="D153" i="15"/>
  <c r="F153" i="15"/>
  <c r="G153" i="15"/>
  <c r="H153" i="15"/>
  <c r="J153" i="15"/>
  <c r="K153" i="15"/>
  <c r="L153" i="15"/>
  <c r="N153" i="15"/>
  <c r="O153" i="15"/>
  <c r="D154" i="15"/>
  <c r="E154" i="15"/>
  <c r="F154" i="15"/>
  <c r="G154" i="15"/>
  <c r="H154" i="15"/>
  <c r="I154" i="15"/>
  <c r="J154" i="15"/>
  <c r="K154" i="15"/>
  <c r="L154" i="15"/>
  <c r="M154" i="15"/>
  <c r="N154" i="15"/>
  <c r="O154" i="15"/>
  <c r="D155" i="15"/>
  <c r="E155" i="15"/>
  <c r="F155" i="15"/>
  <c r="G155" i="15"/>
  <c r="H155" i="15"/>
  <c r="I155" i="15"/>
  <c r="J155" i="15"/>
  <c r="K155" i="15"/>
  <c r="L155" i="15"/>
  <c r="M155" i="15"/>
  <c r="N155" i="15"/>
  <c r="O155" i="15"/>
  <c r="A1" i="37"/>
  <c r="K8" i="37"/>
  <c r="L8" i="37"/>
  <c r="U8" i="37"/>
  <c r="V8" i="37"/>
  <c r="K10" i="37"/>
  <c r="L10" i="37"/>
  <c r="U10" i="37"/>
  <c r="V10" i="37"/>
  <c r="K11" i="37"/>
  <c r="L11" i="37"/>
  <c r="U11" i="37"/>
  <c r="V11" i="37"/>
  <c r="L13" i="37"/>
  <c r="M13" i="37"/>
  <c r="V13" i="37"/>
  <c r="L15" i="37"/>
  <c r="M15" i="37"/>
  <c r="V15" i="37"/>
  <c r="L16" i="37"/>
  <c r="M16" i="37"/>
  <c r="V16" i="37"/>
  <c r="L20" i="37"/>
  <c r="M20" i="37"/>
  <c r="V20" i="37"/>
  <c r="L21" i="37"/>
  <c r="M21" i="37"/>
  <c r="V21" i="37"/>
  <c r="L23" i="37"/>
  <c r="M23" i="37"/>
  <c r="V23" i="37"/>
  <c r="L24" i="37"/>
  <c r="M24" i="37"/>
  <c r="V24" i="37"/>
  <c r="L25" i="37"/>
  <c r="M25" i="37"/>
  <c r="V25" i="37"/>
  <c r="L26" i="37"/>
  <c r="M26" i="37"/>
  <c r="V26" i="37"/>
  <c r="L27" i="37"/>
  <c r="M27" i="37"/>
  <c r="V27" i="37"/>
  <c r="L30" i="37"/>
  <c r="M30" i="37"/>
  <c r="V30" i="37"/>
  <c r="L32" i="37"/>
  <c r="M32" i="37"/>
  <c r="V32" i="37"/>
  <c r="K34" i="37"/>
  <c r="L34" i="37"/>
  <c r="U34" i="37"/>
  <c r="V34" i="37"/>
  <c r="K38" i="37"/>
  <c r="L38" i="37"/>
  <c r="U38" i="37"/>
  <c r="V38" i="37"/>
  <c r="K40" i="37"/>
  <c r="L40" i="37"/>
  <c r="U40" i="37"/>
  <c r="V40" i="37"/>
  <c r="K41" i="37"/>
  <c r="L41" i="37"/>
  <c r="U41" i="37"/>
  <c r="V41" i="37"/>
  <c r="K42" i="37"/>
  <c r="L42" i="37"/>
  <c r="U42" i="37"/>
  <c r="V42" i="37"/>
  <c r="L44" i="37"/>
  <c r="M44" i="37"/>
  <c r="V44" i="37"/>
  <c r="L45" i="37"/>
  <c r="M45" i="37"/>
  <c r="V45" i="37"/>
  <c r="L46" i="37"/>
  <c r="M46" i="37"/>
  <c r="V46" i="37"/>
  <c r="K47" i="37"/>
  <c r="L47" i="37"/>
  <c r="M47" i="37"/>
  <c r="U47" i="37"/>
  <c r="V47" i="37"/>
  <c r="K48" i="37"/>
  <c r="L48" i="37"/>
  <c r="M48" i="37"/>
  <c r="U48" i="37"/>
  <c r="V48" i="37"/>
  <c r="K49" i="37"/>
  <c r="L49" i="37"/>
  <c r="M49" i="37"/>
  <c r="U49" i="37"/>
  <c r="V49" i="37"/>
  <c r="K50" i="37"/>
  <c r="L50" i="37"/>
  <c r="M50" i="37"/>
  <c r="U50" i="37"/>
  <c r="V50" i="37"/>
  <c r="K51" i="37"/>
  <c r="L51" i="37"/>
  <c r="M51" i="37"/>
  <c r="U51" i="37"/>
  <c r="V51" i="37"/>
  <c r="K52" i="37"/>
  <c r="L52" i="37"/>
  <c r="M52" i="37"/>
  <c r="U52" i="37"/>
  <c r="V52" i="37"/>
  <c r="K53" i="37"/>
  <c r="L53" i="37"/>
  <c r="M53" i="37"/>
  <c r="U53" i="37"/>
  <c r="V53" i="37"/>
  <c r="L54" i="37"/>
  <c r="M54" i="37"/>
  <c r="V54" i="37"/>
  <c r="L55" i="37"/>
  <c r="M55" i="37"/>
  <c r="V55" i="37"/>
  <c r="C60" i="37"/>
  <c r="C83" i="37"/>
  <c r="A1" i="41"/>
  <c r="R30" i="41"/>
  <c r="S30" i="41"/>
  <c r="T30" i="41"/>
  <c r="AA30" i="41"/>
  <c r="AB30" i="41"/>
  <c r="AC30" i="41"/>
  <c r="AD30" i="41"/>
  <c r="S31" i="41"/>
  <c r="T31" i="41"/>
  <c r="AA31" i="41"/>
  <c r="AB31" i="41"/>
  <c r="AC31" i="41"/>
  <c r="AD31" i="41"/>
  <c r="R33" i="41"/>
  <c r="S33" i="41"/>
  <c r="T33" i="41"/>
  <c r="AA33" i="41"/>
  <c r="AB33" i="41"/>
  <c r="AC33" i="41"/>
  <c r="AD33" i="41"/>
  <c r="S81" i="41"/>
  <c r="T81" i="41"/>
  <c r="AB81" i="41"/>
  <c r="AC81" i="41"/>
  <c r="AD81" i="41"/>
  <c r="S82" i="41"/>
  <c r="T82" i="41"/>
  <c r="AB82" i="41"/>
  <c r="AC82" i="41"/>
  <c r="AD82" i="41"/>
  <c r="S83" i="41"/>
  <c r="T83" i="41"/>
  <c r="AB83" i="41"/>
  <c r="AC83" i="41"/>
  <c r="AD83" i="41"/>
  <c r="S107" i="41"/>
  <c r="T107" i="41"/>
  <c r="AB107" i="41"/>
  <c r="AC107" i="41"/>
  <c r="AD107" i="41"/>
  <c r="S108" i="41"/>
  <c r="T108" i="41"/>
  <c r="AB108" i="41"/>
  <c r="AC108" i="41"/>
  <c r="AD108" i="41"/>
  <c r="S109" i="41"/>
  <c r="T109" i="41"/>
  <c r="AB109" i="41"/>
  <c r="AC109" i="41"/>
  <c r="AD109" i="41"/>
  <c r="S113" i="41"/>
  <c r="T113" i="41"/>
  <c r="AB113" i="41"/>
  <c r="AC113" i="41"/>
  <c r="AD113" i="41"/>
  <c r="T114" i="41"/>
  <c r="AB114" i="41"/>
  <c r="AC114" i="41"/>
  <c r="AD114" i="41"/>
  <c r="S116" i="41"/>
  <c r="T116" i="41"/>
  <c r="AB116" i="41"/>
  <c r="AC116" i="41"/>
  <c r="AD116" i="41"/>
  <c r="S118" i="41"/>
  <c r="T118" i="41"/>
  <c r="AB118" i="41"/>
  <c r="AC118" i="41"/>
  <c r="AD118" i="41"/>
  <c r="S121" i="41"/>
  <c r="T121" i="41"/>
  <c r="AB121" i="41"/>
  <c r="AC121" i="41"/>
  <c r="AD121" i="41"/>
  <c r="S122" i="41"/>
  <c r="T122" i="41"/>
  <c r="AB122" i="41"/>
  <c r="AC122" i="41"/>
  <c r="AD122" i="41"/>
  <c r="R123" i="41"/>
  <c r="S123" i="41"/>
  <c r="T123" i="41"/>
  <c r="AA123" i="41"/>
  <c r="AB123" i="41"/>
  <c r="AC123" i="41"/>
  <c r="AD123" i="41"/>
  <c r="T126" i="41"/>
  <c r="AB126" i="41"/>
  <c r="AC126" i="41"/>
  <c r="AD126" i="41"/>
  <c r="S127" i="41"/>
  <c r="T127" i="41"/>
  <c r="AB127" i="41"/>
  <c r="AC127" i="41"/>
  <c r="AD127" i="41"/>
  <c r="S128" i="41"/>
  <c r="T128" i="41"/>
  <c r="AB128" i="41"/>
  <c r="AC128" i="41"/>
  <c r="AD128" i="41"/>
  <c r="A1" i="38"/>
  <c r="S3" i="38"/>
  <c r="T3" i="38"/>
  <c r="AA3" i="38"/>
  <c r="AB3" i="38"/>
  <c r="AC3" i="38"/>
  <c r="AD3" i="38"/>
  <c r="S4" i="38"/>
  <c r="T4" i="38"/>
  <c r="AA4" i="38"/>
  <c r="AB4" i="38"/>
  <c r="AC4" i="38"/>
  <c r="AD4" i="38"/>
  <c r="S23" i="38"/>
  <c r="T23" i="38"/>
  <c r="AA23" i="38"/>
  <c r="S24" i="38"/>
  <c r="T24" i="38"/>
  <c r="AA24" i="38"/>
  <c r="S29" i="38"/>
  <c r="T29" i="38"/>
  <c r="AA29" i="38"/>
  <c r="AB29" i="38"/>
  <c r="AC29" i="38"/>
  <c r="AD29" i="38"/>
  <c r="S32" i="38"/>
  <c r="T32" i="38"/>
  <c r="AA32" i="38"/>
  <c r="AB32" i="38"/>
  <c r="AC32" i="38"/>
  <c r="AD32" i="38"/>
  <c r="S34" i="38"/>
  <c r="T34" i="38"/>
  <c r="AA34" i="38"/>
  <c r="AB34" i="38"/>
  <c r="AC34" i="38"/>
  <c r="AD34" i="38"/>
  <c r="S40" i="38"/>
  <c r="T40" i="38"/>
  <c r="AA40" i="38"/>
  <c r="AB40" i="38"/>
  <c r="AC40" i="38"/>
  <c r="AD40" i="38"/>
  <c r="S42" i="38"/>
  <c r="T42" i="38"/>
  <c r="AA42" i="38"/>
  <c r="AB42" i="38"/>
  <c r="AC42" i="38"/>
  <c r="AD42" i="38"/>
  <c r="S43" i="38"/>
  <c r="T43" i="38"/>
  <c r="AA43" i="38"/>
  <c r="AB43" i="38"/>
  <c r="AC43" i="38"/>
  <c r="AD43" i="38"/>
  <c r="S45" i="38"/>
  <c r="T45" i="38"/>
  <c r="AA45" i="38"/>
  <c r="AB45" i="38"/>
  <c r="AC45" i="38"/>
  <c r="AD45" i="38"/>
  <c r="S46" i="38"/>
  <c r="T46" i="38"/>
  <c r="AA46" i="38"/>
  <c r="AB46" i="38"/>
  <c r="AC46" i="38"/>
  <c r="AD46" i="38"/>
  <c r="S53" i="38"/>
  <c r="T53" i="38"/>
  <c r="AA53" i="38"/>
  <c r="AB53" i="38"/>
  <c r="AC53" i="38"/>
  <c r="AD53" i="38"/>
  <c r="S60" i="38"/>
  <c r="T60" i="38"/>
  <c r="AA60" i="38"/>
  <c r="AB60" i="38"/>
  <c r="AC60" i="38"/>
  <c r="AD60" i="38"/>
  <c r="R62" i="38"/>
  <c r="S62" i="38"/>
  <c r="T62" i="38"/>
  <c r="AA62" i="38"/>
  <c r="S63" i="38"/>
  <c r="T63" i="38"/>
  <c r="AA63" i="38"/>
  <c r="AB63" i="38"/>
  <c r="AC63" i="38"/>
  <c r="AD63" i="38"/>
  <c r="R64" i="38"/>
  <c r="S64" i="38"/>
  <c r="T64" i="38"/>
  <c r="AA64" i="38"/>
  <c r="AB64" i="38"/>
  <c r="AC64" i="38"/>
  <c r="AD64" i="38"/>
  <c r="S71" i="38"/>
  <c r="T71" i="38"/>
  <c r="AA71" i="38"/>
  <c r="AB71" i="38"/>
  <c r="AC71" i="38"/>
  <c r="AD71" i="38"/>
  <c r="S82" i="38"/>
  <c r="T82" i="38"/>
  <c r="AA82" i="38"/>
  <c r="AB82" i="38"/>
  <c r="AC82" i="38"/>
  <c r="AD82" i="38"/>
  <c r="S84" i="38"/>
  <c r="T84" i="38"/>
  <c r="AA84" i="38"/>
  <c r="AB84" i="38"/>
  <c r="AC84" i="38"/>
  <c r="AD84" i="38"/>
  <c r="S95" i="38"/>
  <c r="T95" i="38"/>
  <c r="AA95" i="38"/>
  <c r="AB95" i="38"/>
  <c r="AC95" i="38"/>
  <c r="AD95" i="38"/>
  <c r="S97" i="38"/>
  <c r="T97" i="38"/>
  <c r="AA97" i="38"/>
  <c r="AB97" i="38"/>
  <c r="AC97" i="38"/>
  <c r="AD97" i="38"/>
  <c r="S108" i="38"/>
  <c r="T108" i="38"/>
  <c r="AA108" i="38"/>
  <c r="AB108" i="38"/>
  <c r="AC108" i="38"/>
  <c r="AD108" i="38"/>
  <c r="S110" i="38"/>
  <c r="T110" i="38"/>
  <c r="AA110" i="38"/>
  <c r="AB110" i="38"/>
  <c r="AC110" i="38"/>
  <c r="AD110" i="38"/>
  <c r="S112" i="38"/>
  <c r="T112" i="38"/>
  <c r="AA112" i="38"/>
  <c r="AB112" i="38"/>
  <c r="AC112" i="38"/>
  <c r="AD112" i="38"/>
  <c r="S116" i="38"/>
  <c r="T116" i="38"/>
  <c r="AA116" i="38"/>
  <c r="AB116" i="38"/>
  <c r="AC116" i="38"/>
  <c r="AD116" i="38"/>
  <c r="S119" i="38"/>
  <c r="T119" i="38"/>
  <c r="AA119" i="38"/>
  <c r="AB119" i="38"/>
  <c r="AC119" i="38"/>
  <c r="S124" i="38"/>
  <c r="T124" i="38"/>
  <c r="AA124" i="38"/>
  <c r="AB124" i="38"/>
  <c r="AC124" i="38"/>
  <c r="AD124" i="38"/>
  <c r="S135" i="38"/>
  <c r="T135" i="38"/>
  <c r="AA135" i="38"/>
  <c r="AB135" i="38"/>
  <c r="AC135" i="38"/>
  <c r="AD135" i="38"/>
  <c r="S137" i="38"/>
  <c r="T137" i="38"/>
  <c r="AA137" i="38"/>
  <c r="AB137" i="38"/>
  <c r="AC137" i="38"/>
  <c r="AD137" i="38"/>
  <c r="S141" i="38"/>
  <c r="T141" i="38"/>
  <c r="AA141" i="38"/>
  <c r="AB141" i="38"/>
  <c r="AC141" i="38"/>
  <c r="AD141" i="38"/>
  <c r="S146" i="38"/>
  <c r="T146" i="38"/>
  <c r="AA146" i="38"/>
  <c r="AB146" i="38"/>
  <c r="AC146" i="38"/>
  <c r="AD146" i="38"/>
  <c r="S148" i="38"/>
  <c r="T148" i="38"/>
  <c r="AA148" i="38"/>
  <c r="AB148" i="38"/>
  <c r="AC148" i="38"/>
  <c r="AD148" i="38"/>
  <c r="S161" i="38"/>
  <c r="T161" i="38"/>
  <c r="AA161" i="38"/>
  <c r="AB161" i="38"/>
  <c r="AC161" i="38"/>
  <c r="AD161" i="38"/>
  <c r="S164" i="38"/>
  <c r="T164" i="38"/>
  <c r="AA164" i="38"/>
  <c r="AB164" i="38"/>
  <c r="AC164" i="38"/>
  <c r="AD164" i="38"/>
  <c r="S167" i="38"/>
  <c r="T167" i="38"/>
  <c r="AA167" i="38"/>
  <c r="AB167" i="38"/>
  <c r="AC167" i="38"/>
  <c r="AD167" i="38"/>
  <c r="S168" i="38"/>
  <c r="T168" i="38"/>
  <c r="AA168" i="38"/>
  <c r="AB168" i="38"/>
  <c r="AC168" i="38"/>
  <c r="AD168" i="38"/>
  <c r="S170" i="38"/>
  <c r="T170" i="38"/>
  <c r="AA170" i="38"/>
  <c r="AB170" i="38"/>
  <c r="AC170" i="38"/>
  <c r="AD170" i="38"/>
  <c r="AA199" i="38" a="1"/>
  <c r="AA199" i="38"/>
  <c r="AB199" i="38"/>
  <c r="AC199" i="38"/>
  <c r="AA200" i="38" a="1"/>
  <c r="AA200" i="38"/>
  <c r="AB200" i="38"/>
  <c r="AC200" i="38"/>
  <c r="AD200" i="38"/>
  <c r="AA201" i="38"/>
  <c r="AB201" i="38"/>
  <c r="AC201" i="38"/>
  <c r="AD201" i="38"/>
  <c r="S214" i="38"/>
  <c r="T214" i="38"/>
  <c r="AB214" i="38"/>
  <c r="AC214" i="38"/>
  <c r="AD214" i="38"/>
  <c r="S221" i="38"/>
  <c r="T221" i="38"/>
  <c r="AA221" i="38"/>
  <c r="AB221" i="38"/>
  <c r="AC221" i="38"/>
  <c r="AD221" i="38"/>
  <c r="S223" i="38"/>
  <c r="T223" i="38"/>
  <c r="AA223" i="38"/>
  <c r="AB223" i="38"/>
  <c r="AC223" i="38"/>
  <c r="AD223" i="38"/>
  <c r="S226" i="38"/>
  <c r="T226" i="38"/>
  <c r="AA226" i="38"/>
  <c r="AB226" i="38"/>
  <c r="AC226" i="38"/>
  <c r="AD226" i="38"/>
  <c r="S231" i="38"/>
  <c r="T231" i="38"/>
  <c r="AA231" i="38"/>
  <c r="AB231" i="38"/>
  <c r="AC231" i="38"/>
  <c r="AD231" i="38"/>
  <c r="S243" i="38"/>
  <c r="T243" i="38"/>
  <c r="AA243" i="38"/>
  <c r="AB243" i="38"/>
  <c r="AC243" i="38"/>
  <c r="AD243" i="38"/>
  <c r="S244" i="38"/>
  <c r="T244" i="38"/>
  <c r="AA244" i="38"/>
  <c r="AB244" i="38"/>
  <c r="AC244" i="38"/>
  <c r="AD244" i="38"/>
  <c r="S251" i="38"/>
  <c r="T251" i="38"/>
  <c r="AA251" i="38"/>
  <c r="AB251" i="38"/>
  <c r="AC251" i="38"/>
  <c r="AD251" i="38"/>
  <c r="S253" i="38"/>
  <c r="T253" i="38"/>
  <c r="AA253" i="38"/>
  <c r="AB253" i="38"/>
  <c r="AC253" i="38"/>
  <c r="AD253" i="38"/>
  <c r="T254" i="38"/>
  <c r="AB254" i="38"/>
  <c r="AC254" i="38"/>
  <c r="AD254" i="38"/>
  <c r="S255" i="38"/>
  <c r="T255" i="38"/>
  <c r="AA255" i="38"/>
  <c r="AB255" i="38"/>
  <c r="AC255" i="38"/>
  <c r="AD255" i="38"/>
  <c r="S257" i="38"/>
  <c r="T257" i="38"/>
  <c r="AA257" i="38"/>
  <c r="AB257" i="38"/>
  <c r="AC257" i="38"/>
  <c r="AD257" i="38"/>
  <c r="S259" i="38"/>
  <c r="T259" i="38"/>
  <c r="AA259" i="38"/>
  <c r="AB259" i="38"/>
  <c r="AC259" i="38"/>
  <c r="AD259" i="38"/>
  <c r="S264" i="38"/>
  <c r="T264" i="38"/>
  <c r="AA264" i="38"/>
  <c r="AB264" i="38"/>
  <c r="AC264" i="38"/>
  <c r="AD264" i="38"/>
  <c r="S269" i="38"/>
  <c r="T269" i="38"/>
  <c r="AA269" i="38"/>
  <c r="AB269" i="38"/>
  <c r="AC269" i="38"/>
  <c r="AD269" i="38"/>
  <c r="A1" i="39"/>
  <c r="R15" i="39"/>
  <c r="S15" i="39"/>
  <c r="T15" i="39"/>
  <c r="AA15" i="39"/>
  <c r="R23" i="39"/>
  <c r="AA23" i="39"/>
  <c r="R24" i="39"/>
  <c r="S24" i="39"/>
  <c r="T24" i="39"/>
  <c r="AA24" i="39"/>
  <c r="R28" i="39"/>
  <c r="S28" i="39"/>
  <c r="T28" i="39"/>
  <c r="AA28" i="39"/>
  <c r="R31" i="39"/>
  <c r="S31" i="39"/>
  <c r="T31" i="39"/>
  <c r="AA31" i="39"/>
  <c r="S33" i="39"/>
  <c r="T33" i="39"/>
  <c r="AA33" i="39"/>
  <c r="AB33" i="39"/>
  <c r="AC33" i="39"/>
  <c r="AD33" i="39"/>
  <c r="R34" i="39"/>
  <c r="S34" i="39"/>
  <c r="T34" i="39"/>
  <c r="AA34" i="39"/>
  <c r="AB34" i="39"/>
  <c r="AC34" i="39"/>
  <c r="AD34" i="39"/>
  <c r="S36" i="39"/>
  <c r="T36" i="39"/>
  <c r="AA36" i="39"/>
  <c r="AB36" i="39"/>
  <c r="AC36" i="39"/>
  <c r="AD36" i="39"/>
  <c r="R39" i="39"/>
  <c r="S39" i="39"/>
  <c r="T39" i="39"/>
  <c r="AA39" i="39"/>
  <c r="AB39" i="39"/>
  <c r="AC39" i="39"/>
  <c r="AD39" i="39"/>
  <c r="S41" i="39"/>
  <c r="T41" i="39"/>
  <c r="AA41" i="39"/>
  <c r="AB41" i="39"/>
  <c r="AC41" i="39"/>
  <c r="AD41" i="39"/>
  <c r="R42" i="39"/>
  <c r="AA42" i="39"/>
  <c r="R43" i="39"/>
  <c r="S43" i="39"/>
  <c r="T43" i="39"/>
  <c r="AA43" i="39"/>
  <c r="AB43" i="39"/>
  <c r="AC43" i="39"/>
  <c r="AD43" i="39"/>
  <c r="R45" i="39"/>
  <c r="S45" i="39"/>
  <c r="T45" i="39"/>
  <c r="AA45" i="39"/>
  <c r="AB45" i="39"/>
  <c r="AC45" i="39"/>
  <c r="AD45" i="39"/>
  <c r="R46" i="39"/>
  <c r="S46" i="39"/>
  <c r="T46" i="39"/>
  <c r="AA46" i="39"/>
  <c r="AB46" i="39"/>
  <c r="AC46" i="39"/>
  <c r="AD46" i="39"/>
  <c r="R47" i="39"/>
  <c r="S47" i="39"/>
  <c r="T47" i="39"/>
  <c r="AA47" i="39"/>
  <c r="AB47" i="39"/>
  <c r="AC47" i="39"/>
  <c r="AD47" i="39"/>
  <c r="R48" i="39"/>
  <c r="S48" i="39"/>
  <c r="T48" i="39"/>
  <c r="AA48" i="39"/>
  <c r="AB48" i="39"/>
  <c r="AC48" i="39"/>
  <c r="AD48" i="39"/>
  <c r="R57" i="39"/>
  <c r="S57" i="39"/>
  <c r="T57" i="39"/>
  <c r="AA57" i="39"/>
  <c r="R65" i="39"/>
  <c r="AA65" i="39"/>
  <c r="R66" i="39"/>
  <c r="S66" i="39"/>
  <c r="T66" i="39"/>
  <c r="AA66" i="39"/>
  <c r="R70" i="39"/>
  <c r="S70" i="39"/>
  <c r="T70" i="39"/>
  <c r="AA70" i="39"/>
  <c r="R73" i="39"/>
  <c r="S73" i="39"/>
  <c r="T73" i="39"/>
  <c r="AA73" i="39"/>
  <c r="S75" i="39"/>
  <c r="T75" i="39"/>
  <c r="AA75" i="39"/>
  <c r="AB75" i="39"/>
  <c r="AC75" i="39"/>
  <c r="AD75" i="39"/>
  <c r="R76" i="39"/>
  <c r="S76" i="39"/>
  <c r="T76" i="39"/>
  <c r="AA76" i="39"/>
  <c r="AB76" i="39"/>
  <c r="AC76" i="39"/>
  <c r="AD76" i="39"/>
  <c r="S78" i="39"/>
  <c r="T78" i="39"/>
  <c r="AA78" i="39"/>
  <c r="AB78" i="39"/>
  <c r="AC78" i="39"/>
  <c r="AD78" i="39"/>
  <c r="R81" i="39"/>
  <c r="S81" i="39"/>
  <c r="T81" i="39"/>
  <c r="AA81" i="39"/>
  <c r="AB81" i="39"/>
  <c r="AC81" i="39"/>
  <c r="AD81" i="39"/>
  <c r="S83" i="39"/>
  <c r="T83" i="39"/>
  <c r="AA83" i="39"/>
  <c r="AB83" i="39"/>
  <c r="AC83" i="39"/>
  <c r="AD83" i="39"/>
  <c r="R84" i="39"/>
  <c r="S84" i="39"/>
  <c r="T84" i="39"/>
  <c r="AA84" i="39"/>
  <c r="AB84" i="39"/>
  <c r="AC84" i="39"/>
  <c r="AD84" i="39"/>
  <c r="S117" i="39"/>
  <c r="T117" i="39"/>
  <c r="AA117" i="39"/>
  <c r="R119" i="39"/>
  <c r="S119" i="39"/>
  <c r="T119" i="39"/>
  <c r="AA119" i="39"/>
  <c r="R120" i="39"/>
  <c r="AA120" i="39"/>
  <c r="R238" i="39"/>
  <c r="AA238" i="39"/>
  <c r="R242" i="39"/>
  <c r="AA242" i="39"/>
  <c r="R243" i="39"/>
  <c r="S243" i="39"/>
  <c r="T243" i="39"/>
  <c r="AA243" i="39"/>
  <c r="AB243" i="39"/>
  <c r="AC243" i="39"/>
  <c r="AD243" i="39"/>
  <c r="R253" i="39"/>
  <c r="AA253" i="39"/>
  <c r="R257" i="39"/>
  <c r="AA257" i="39"/>
  <c r="R268" i="39"/>
  <c r="AA268" i="39"/>
  <c r="R272" i="39"/>
  <c r="AA272" i="39"/>
  <c r="R284" i="39"/>
  <c r="S284" i="39"/>
  <c r="T284" i="39"/>
  <c r="AA284" i="39"/>
  <c r="R285" i="39"/>
  <c r="S285" i="39"/>
  <c r="T285" i="39"/>
  <c r="AA285" i="39"/>
  <c r="R301" i="39"/>
  <c r="S301" i="39"/>
  <c r="T301" i="39"/>
  <c r="AA301" i="39"/>
  <c r="R302" i="39"/>
  <c r="S302" i="39"/>
  <c r="T302" i="39"/>
  <c r="AA302" i="39"/>
  <c r="S327" i="39"/>
  <c r="T327" i="39"/>
  <c r="AA327" i="39"/>
  <c r="AB327" i="39"/>
  <c r="AC327" i="39"/>
  <c r="AD327" i="39"/>
  <c r="S329" i="39"/>
  <c r="T329" i="39"/>
  <c r="AA329" i="39"/>
  <c r="AB329" i="39"/>
  <c r="AC329" i="39"/>
  <c r="AD329" i="39"/>
  <c r="S330" i="39"/>
  <c r="T330" i="39"/>
  <c r="S331" i="39"/>
  <c r="T331" i="39"/>
  <c r="AA331" i="39"/>
  <c r="AB331" i="39"/>
  <c r="AC331" i="39"/>
  <c r="AD331" i="39"/>
  <c r="D2" i="36"/>
  <c r="W2" i="36"/>
  <c r="I3" i="36"/>
  <c r="M3" i="36"/>
  <c r="W3" i="36"/>
  <c r="I4" i="36"/>
  <c r="M4" i="36"/>
  <c r="W4" i="36"/>
  <c r="I5" i="36"/>
  <c r="M5" i="36"/>
  <c r="W5" i="36"/>
  <c r="E8" i="36"/>
  <c r="F8" i="36"/>
  <c r="G8" i="36"/>
  <c r="H8" i="36"/>
  <c r="I8" i="36"/>
  <c r="J8" i="36"/>
  <c r="E9" i="36"/>
  <c r="F9" i="36"/>
  <c r="H9" i="36"/>
  <c r="I9" i="36"/>
  <c r="J9" i="36"/>
  <c r="N9" i="36"/>
  <c r="O9" i="36"/>
  <c r="N10" i="36"/>
  <c r="O10" i="36"/>
  <c r="S13" i="36"/>
  <c r="T13" i="36"/>
  <c r="U13" i="36"/>
  <c r="V13" i="36"/>
  <c r="W13" i="36"/>
  <c r="S14" i="36"/>
  <c r="T14" i="36"/>
  <c r="U14" i="36"/>
  <c r="V14" i="36"/>
  <c r="W14" i="36"/>
  <c r="S15" i="36"/>
  <c r="T15" i="36"/>
  <c r="U15" i="36"/>
  <c r="V15" i="36"/>
  <c r="W15" i="36"/>
  <c r="S17" i="36"/>
  <c r="T17" i="36"/>
  <c r="U17" i="36"/>
  <c r="V17" i="36"/>
  <c r="W17" i="36"/>
  <c r="S18" i="36"/>
  <c r="T18" i="36"/>
  <c r="U18" i="36"/>
  <c r="V18" i="36"/>
  <c r="W18" i="36"/>
  <c r="S21" i="36"/>
  <c r="T21" i="36"/>
  <c r="U21" i="36"/>
  <c r="V21" i="36"/>
  <c r="W21" i="36"/>
  <c r="S24" i="36"/>
  <c r="T24" i="36"/>
  <c r="U24" i="36"/>
  <c r="V24" i="36"/>
  <c r="W24" i="36"/>
  <c r="E28" i="36"/>
  <c r="F28" i="36"/>
  <c r="G28" i="36"/>
  <c r="H28" i="36"/>
  <c r="I28" i="36"/>
  <c r="J28" i="36"/>
  <c r="K28" i="36"/>
  <c r="L28" i="36" a="1"/>
  <c r="L28" i="36"/>
  <c r="M28" i="36"/>
  <c r="N28" i="36"/>
  <c r="O28" i="36"/>
  <c r="P28" i="36"/>
  <c r="J29" i="36"/>
  <c r="K29" i="36"/>
  <c r="L29" i="36" a="1"/>
  <c r="L29" i="36"/>
  <c r="M29" i="36"/>
  <c r="N29" i="36"/>
  <c r="O29" i="36"/>
  <c r="P29" i="36"/>
  <c r="E30" i="36"/>
  <c r="F30" i="36"/>
  <c r="G30" i="36"/>
  <c r="H30" i="36"/>
  <c r="I30" i="36"/>
  <c r="J30" i="36"/>
  <c r="K30" i="36"/>
  <c r="L30" i="36"/>
  <c r="M30" i="36"/>
  <c r="N30" i="36"/>
  <c r="O30" i="36"/>
  <c r="P30" i="36"/>
  <c r="J31" i="36"/>
  <c r="K31" i="36"/>
  <c r="L31" i="36"/>
  <c r="N31" i="36"/>
  <c r="O31" i="36"/>
  <c r="E32" i="36"/>
  <c r="J32" i="36"/>
  <c r="K32" i="36"/>
  <c r="L32" i="36"/>
  <c r="N32" i="36"/>
  <c r="O32" i="36"/>
  <c r="J33" i="36"/>
  <c r="K33" i="36"/>
  <c r="L33" i="36"/>
  <c r="N33" i="36"/>
  <c r="O33" i="36"/>
  <c r="W33" i="36"/>
  <c r="E34" i="36"/>
  <c r="J34" i="36"/>
  <c r="K34" i="36"/>
  <c r="L34" i="36"/>
  <c r="N34" i="36"/>
  <c r="O34" i="36"/>
  <c r="E35" i="36"/>
  <c r="J35" i="36"/>
  <c r="K35" i="36"/>
  <c r="L35" i="36"/>
  <c r="N35" i="36"/>
  <c r="O35" i="36"/>
  <c r="E36" i="36"/>
  <c r="I45" i="36"/>
  <c r="J45" i="36"/>
  <c r="O45" i="36"/>
  <c r="P45" i="36"/>
  <c r="I47" i="36"/>
  <c r="J47" i="36"/>
  <c r="O47" i="36"/>
  <c r="P47" i="36"/>
  <c r="I48" i="36"/>
  <c r="J48" i="36"/>
  <c r="O48" i="36"/>
  <c r="P48" i="36"/>
  <c r="I49" i="36"/>
  <c r="J49" i="36"/>
  <c r="O49" i="36"/>
  <c r="P49" i="36"/>
  <c r="J51" i="36"/>
  <c r="K51" i="36"/>
  <c r="P51" i="36"/>
  <c r="J52" i="36"/>
  <c r="K52" i="36"/>
  <c r="P52" i="36"/>
  <c r="J53" i="36"/>
  <c r="K53" i="36"/>
  <c r="P53" i="36"/>
  <c r="I54" i="36"/>
  <c r="J54" i="36"/>
  <c r="K54" i="36"/>
  <c r="O54" i="36"/>
  <c r="P54" i="36"/>
  <c r="I55" i="36"/>
  <c r="J55" i="36"/>
  <c r="K55" i="36"/>
  <c r="O55" i="36"/>
  <c r="P55" i="36"/>
  <c r="I56" i="36"/>
  <c r="J56" i="36"/>
  <c r="K56" i="36"/>
  <c r="O56" i="36"/>
  <c r="P56" i="36"/>
  <c r="I57" i="36"/>
  <c r="J57" i="36"/>
  <c r="K57" i="36"/>
  <c r="O57" i="36"/>
  <c r="P57" i="36"/>
  <c r="I58" i="36"/>
  <c r="J58" i="36"/>
  <c r="K58" i="36"/>
  <c r="O58" i="36"/>
  <c r="P58" i="36"/>
  <c r="I59" i="36"/>
  <c r="J59" i="36"/>
  <c r="K59" i="36"/>
  <c r="O59" i="36"/>
  <c r="P59" i="36"/>
  <c r="I60" i="36"/>
  <c r="J60" i="36"/>
  <c r="K60" i="36"/>
  <c r="O60" i="36"/>
  <c r="P60" i="36"/>
  <c r="R60" i="36"/>
  <c r="S60" i="36"/>
  <c r="T60" i="36"/>
  <c r="J61" i="36"/>
  <c r="K61" i="36"/>
  <c r="P61" i="36"/>
  <c r="Q61" i="36"/>
  <c r="R61" i="36"/>
  <c r="S61" i="36"/>
  <c r="T61" i="36"/>
  <c r="U61" i="36"/>
  <c r="J62" i="36"/>
  <c r="K62" i="36"/>
  <c r="P62" i="36"/>
  <c r="R62" i="36"/>
  <c r="S62" i="36"/>
  <c r="T62" i="36"/>
  <c r="R63" i="36"/>
  <c r="S63" i="36"/>
  <c r="T63" i="36"/>
  <c r="R64" i="36"/>
  <c r="S64" i="36"/>
  <c r="T64" i="36"/>
  <c r="R65" i="36"/>
  <c r="S65" i="36"/>
  <c r="T65" i="36"/>
  <c r="R66" i="36"/>
  <c r="S66" i="36"/>
  <c r="T66" i="36"/>
  <c r="R67" i="36"/>
  <c r="S67" i="36"/>
  <c r="T67" i="36"/>
  <c r="C75" i="36"/>
  <c r="E76" i="36"/>
  <c r="F76" i="36"/>
  <c r="G76" i="36"/>
  <c r="H76" i="36"/>
  <c r="I76" i="36"/>
  <c r="J76" i="36"/>
  <c r="K76" i="36"/>
  <c r="L76" i="36"/>
  <c r="M76" i="36"/>
  <c r="N76" i="36" a="1"/>
  <c r="N76" i="36"/>
  <c r="O76" i="36" a="1"/>
  <c r="O76" i="36"/>
  <c r="P76" i="36" a="1"/>
  <c r="P76" i="36"/>
  <c r="Q76" i="36"/>
  <c r="R76" i="36" a="1"/>
  <c r="R76" i="36"/>
  <c r="S76" i="36" a="1"/>
  <c r="S76" i="36"/>
  <c r="T76" i="36" a="1"/>
  <c r="T76" i="36"/>
  <c r="U76" i="36" a="1"/>
  <c r="U76" i="36"/>
  <c r="V76" i="36"/>
  <c r="W76" i="36" a="1"/>
  <c r="W76" i="36"/>
  <c r="X76" i="36"/>
  <c r="E77" i="36"/>
  <c r="G77" i="36"/>
  <c r="H77" i="36"/>
  <c r="I77" i="36"/>
  <c r="J77" i="36"/>
  <c r="K77" i="36"/>
  <c r="L77" i="36"/>
  <c r="M77" i="36"/>
  <c r="N77" i="36" a="1"/>
  <c r="N77" i="36"/>
  <c r="O77" i="36" a="1"/>
  <c r="O77" i="36"/>
  <c r="P77" i="36" a="1"/>
  <c r="P77" i="36"/>
  <c r="Q77" i="36"/>
  <c r="R77" i="36" a="1"/>
  <c r="R77" i="36"/>
  <c r="S77" i="36" a="1"/>
  <c r="S77" i="36"/>
  <c r="T77" i="36" a="1"/>
  <c r="T77" i="36"/>
  <c r="U77" i="36" a="1"/>
  <c r="U77" i="36"/>
  <c r="V77" i="36"/>
  <c r="W77" i="36" a="1"/>
  <c r="W77" i="36"/>
  <c r="X77" i="36"/>
  <c r="E78" i="36"/>
  <c r="F78" i="36"/>
  <c r="G78" i="36"/>
  <c r="H78" i="36"/>
  <c r="I78" i="36"/>
  <c r="J78" i="36"/>
  <c r="K78" i="36"/>
  <c r="L78" i="36"/>
  <c r="M78" i="36"/>
  <c r="N78" i="36" a="1"/>
  <c r="N78" i="36"/>
  <c r="O78" i="36" a="1"/>
  <c r="O78" i="36"/>
  <c r="P78" i="36" a="1"/>
  <c r="P78" i="36"/>
  <c r="Q78" i="36"/>
  <c r="R78" i="36" a="1"/>
  <c r="R78" i="36"/>
  <c r="S78" i="36" a="1"/>
  <c r="S78" i="36"/>
  <c r="T78" i="36" a="1"/>
  <c r="T78" i="36"/>
  <c r="U78" i="36" a="1"/>
  <c r="U78" i="36"/>
  <c r="V78" i="36"/>
  <c r="W78" i="36" a="1"/>
  <c r="W78" i="36"/>
  <c r="X78" i="36"/>
  <c r="E79" i="36"/>
  <c r="F79" i="36"/>
  <c r="G79" i="36"/>
  <c r="H79" i="36"/>
  <c r="I79" i="36"/>
  <c r="J79" i="36"/>
  <c r="K79" i="36"/>
  <c r="L79" i="36"/>
  <c r="M79" i="36"/>
  <c r="N79" i="36" a="1"/>
  <c r="N79" i="36"/>
  <c r="O79" i="36" a="1"/>
  <c r="O79" i="36"/>
  <c r="P79" i="36" a="1"/>
  <c r="P79" i="36"/>
  <c r="Q79" i="36"/>
  <c r="R79" i="36" a="1"/>
  <c r="R79" i="36"/>
  <c r="S79" i="36" a="1"/>
  <c r="S79" i="36"/>
  <c r="T79" i="36" a="1"/>
  <c r="T79" i="36"/>
  <c r="U79" i="36" a="1"/>
  <c r="U79" i="36"/>
  <c r="V79" i="36"/>
  <c r="W79" i="36" a="1"/>
  <c r="W79" i="36"/>
  <c r="X79" i="36"/>
  <c r="E80" i="36"/>
  <c r="F80" i="36"/>
  <c r="G80" i="36"/>
  <c r="H80" i="36"/>
  <c r="I80" i="36"/>
  <c r="J80" i="36"/>
  <c r="K80" i="36"/>
  <c r="L80" i="36"/>
  <c r="M80" i="36"/>
  <c r="N80" i="36" a="1"/>
  <c r="N80" i="36"/>
  <c r="O80" i="36" a="1"/>
  <c r="O80" i="36"/>
  <c r="P80" i="36" a="1"/>
  <c r="P80" i="36"/>
  <c r="Q80" i="36"/>
  <c r="R80" i="36" a="1"/>
  <c r="R80" i="36"/>
  <c r="S80" i="36" a="1"/>
  <c r="S80" i="36"/>
  <c r="T80" i="36" a="1"/>
  <c r="T80" i="36"/>
  <c r="U80" i="36" a="1"/>
  <c r="U80" i="36"/>
  <c r="V80" i="36"/>
  <c r="W80" i="36" a="1"/>
  <c r="W80" i="36"/>
  <c r="X80" i="36"/>
  <c r="H81" i="36"/>
  <c r="I81" i="36"/>
  <c r="H82" i="36"/>
  <c r="I82" i="36"/>
  <c r="D96" i="36"/>
  <c r="E96" i="36"/>
  <c r="F96" i="36"/>
  <c r="G96" i="36"/>
  <c r="H96" i="36"/>
  <c r="I96" i="36"/>
  <c r="J96" i="36"/>
  <c r="K96" i="36"/>
  <c r="L96" i="36"/>
  <c r="M96" i="36"/>
  <c r="N96" i="36" a="1"/>
  <c r="N96" i="36"/>
  <c r="O96" i="36" a="1"/>
  <c r="O96" i="36"/>
  <c r="P96" i="36" a="1"/>
  <c r="P96" i="36"/>
  <c r="Q96" i="36"/>
  <c r="R96" i="36" a="1"/>
  <c r="R96" i="36"/>
  <c r="S96" i="36" a="1"/>
  <c r="S96" i="36"/>
  <c r="T96" i="36" a="1"/>
  <c r="T96" i="36"/>
  <c r="U96" i="36" a="1"/>
  <c r="U96" i="36"/>
  <c r="V96" i="36"/>
  <c r="W96" i="36" a="1"/>
  <c r="W96" i="36"/>
  <c r="X96" i="36"/>
  <c r="D97" i="36"/>
  <c r="E97" i="36"/>
  <c r="F97" i="36"/>
  <c r="G97" i="36"/>
  <c r="H97" i="36"/>
  <c r="I97" i="36"/>
  <c r="J97" i="36"/>
  <c r="K97" i="36"/>
  <c r="L97" i="36"/>
  <c r="M97" i="36"/>
  <c r="N97" i="36" a="1"/>
  <c r="N97" i="36"/>
  <c r="O97" i="36" a="1"/>
  <c r="O97" i="36"/>
  <c r="P97" i="36" a="1"/>
  <c r="P97" i="36"/>
  <c r="Q97" i="36"/>
  <c r="R97" i="36" a="1"/>
  <c r="R97" i="36"/>
  <c r="S97" i="36" a="1"/>
  <c r="S97" i="36"/>
  <c r="T97" i="36" a="1"/>
  <c r="T97" i="36"/>
  <c r="U97" i="36" a="1"/>
  <c r="U97" i="36"/>
  <c r="V97" i="36"/>
  <c r="W97" i="36" a="1"/>
  <c r="W97" i="36"/>
  <c r="X97" i="36"/>
  <c r="D98" i="36"/>
  <c r="E98" i="36"/>
  <c r="F98" i="36"/>
  <c r="G98" i="36"/>
  <c r="H98" i="36"/>
  <c r="I98" i="36"/>
  <c r="J98" i="36"/>
  <c r="K98" i="36"/>
  <c r="L98" i="36"/>
  <c r="M98" i="36"/>
  <c r="N98" i="36" a="1"/>
  <c r="N98" i="36"/>
  <c r="O98" i="36" a="1"/>
  <c r="O98" i="36"/>
  <c r="P98" i="36" a="1"/>
  <c r="P98" i="36"/>
  <c r="Q98" i="36"/>
  <c r="R98" i="36" a="1"/>
  <c r="R98" i="36"/>
  <c r="S98" i="36" a="1"/>
  <c r="S98" i="36"/>
  <c r="T98" i="36" a="1"/>
  <c r="T98" i="36"/>
  <c r="U98" i="36" a="1"/>
  <c r="U98" i="36"/>
  <c r="V98" i="36"/>
  <c r="W98" i="36" a="1"/>
  <c r="W98" i="36"/>
  <c r="X98" i="36"/>
  <c r="D99" i="36"/>
  <c r="E99" i="36"/>
  <c r="F99" i="36"/>
  <c r="G99" i="36"/>
  <c r="H99" i="36"/>
  <c r="I99" i="36"/>
  <c r="J99" i="36"/>
  <c r="K99" i="36"/>
  <c r="L99" i="36"/>
  <c r="M99" i="36"/>
  <c r="N99" i="36" a="1"/>
  <c r="N99" i="36"/>
  <c r="O99" i="36" a="1"/>
  <c r="O99" i="36"/>
  <c r="P99" i="36" a="1"/>
  <c r="P99" i="36"/>
  <c r="Q99" i="36"/>
  <c r="R99" i="36" a="1"/>
  <c r="R99" i="36"/>
  <c r="S99" i="36" a="1"/>
  <c r="S99" i="36"/>
  <c r="T99" i="36" a="1"/>
  <c r="T99" i="36"/>
  <c r="U99" i="36" a="1"/>
  <c r="U99" i="36"/>
  <c r="V99" i="36"/>
  <c r="W99" i="36" a="1"/>
  <c r="W99" i="36"/>
  <c r="X99" i="36"/>
  <c r="D100" i="36"/>
  <c r="E100" i="36"/>
  <c r="F100" i="36"/>
  <c r="G100" i="36"/>
  <c r="H100" i="36"/>
  <c r="I100" i="36"/>
  <c r="J100" i="36"/>
  <c r="K100" i="36"/>
  <c r="L100" i="36"/>
  <c r="M100" i="36"/>
  <c r="N100" i="36" a="1"/>
  <c r="N100" i="36"/>
  <c r="O100" i="36" a="1"/>
  <c r="O100" i="36"/>
  <c r="P100" i="36" a="1"/>
  <c r="P100" i="36"/>
  <c r="Q100" i="36"/>
  <c r="R100" i="36" a="1"/>
  <c r="R100" i="36"/>
  <c r="S100" i="36" a="1"/>
  <c r="S100" i="36"/>
  <c r="T100" i="36" a="1"/>
  <c r="T100" i="36"/>
  <c r="U100" i="36" a="1"/>
  <c r="U100" i="36"/>
  <c r="V100" i="36"/>
  <c r="W100" i="36" a="1"/>
  <c r="W100" i="36"/>
  <c r="X100" i="36"/>
  <c r="D101" i="36"/>
  <c r="E101" i="36"/>
  <c r="F101" i="36"/>
  <c r="G101" i="36"/>
  <c r="H101" i="36"/>
  <c r="I101" i="36"/>
  <c r="J101" i="36"/>
  <c r="K101" i="36"/>
  <c r="L101" i="36"/>
  <c r="M101" i="36"/>
  <c r="N101" i="36" a="1"/>
  <c r="N101" i="36"/>
  <c r="O101" i="36" a="1"/>
  <c r="O101" i="36"/>
  <c r="P101" i="36" a="1"/>
  <c r="P101" i="36"/>
  <c r="Q101" i="36"/>
  <c r="R101" i="36" a="1"/>
  <c r="R101" i="36"/>
  <c r="S101" i="36" a="1"/>
  <c r="S101" i="36"/>
  <c r="T101" i="36" a="1"/>
  <c r="T101" i="36"/>
  <c r="U101" i="36" a="1"/>
  <c r="U101" i="36"/>
  <c r="V101" i="36"/>
  <c r="W101" i="36" a="1"/>
  <c r="W101" i="36"/>
  <c r="X101" i="36"/>
  <c r="D102" i="36"/>
  <c r="E102" i="36"/>
  <c r="F102" i="36"/>
  <c r="G102" i="36"/>
  <c r="H102" i="36"/>
  <c r="I102" i="36"/>
  <c r="J102" i="36"/>
  <c r="K102" i="36"/>
  <c r="L102" i="36"/>
  <c r="M102" i="36"/>
  <c r="N102" i="36" a="1"/>
  <c r="N102" i="36"/>
  <c r="O102" i="36" a="1"/>
  <c r="O102" i="36"/>
  <c r="P102" i="36" a="1"/>
  <c r="P102" i="36"/>
  <c r="Q102" i="36"/>
  <c r="R102" i="36" a="1"/>
  <c r="R102" i="36"/>
  <c r="S102" i="36" a="1"/>
  <c r="S102" i="36"/>
  <c r="T102" i="36" a="1"/>
  <c r="T102" i="36"/>
  <c r="U102" i="36" a="1"/>
  <c r="U102" i="36"/>
  <c r="V102" i="36"/>
  <c r="W102" i="36" a="1"/>
  <c r="W102" i="36"/>
  <c r="X102" i="36"/>
  <c r="D103" i="36"/>
  <c r="E103" i="36"/>
  <c r="F103" i="36"/>
  <c r="G103" i="36"/>
  <c r="H103" i="36"/>
  <c r="I103" i="36"/>
  <c r="J103" i="36"/>
  <c r="K103" i="36"/>
  <c r="L103" i="36"/>
  <c r="M103" i="36"/>
  <c r="N103" i="36" a="1"/>
  <c r="N103" i="36"/>
  <c r="O103" i="36" a="1"/>
  <c r="O103" i="36"/>
  <c r="P103" i="36" a="1"/>
  <c r="P103" i="36"/>
  <c r="Q103" i="36"/>
  <c r="R103" i="36" a="1"/>
  <c r="R103" i="36"/>
  <c r="S103" i="36" a="1"/>
  <c r="S103" i="36"/>
  <c r="T103" i="36" a="1"/>
  <c r="T103" i="36"/>
  <c r="U103" i="36" a="1"/>
  <c r="U103" i="36"/>
  <c r="V103" i="36"/>
  <c r="W103" i="36" a="1"/>
  <c r="W103" i="36"/>
  <c r="X103" i="36"/>
  <c r="D104" i="36"/>
  <c r="E104" i="36"/>
  <c r="F104" i="36"/>
  <c r="G104" i="36"/>
  <c r="H104" i="36"/>
  <c r="I104" i="36"/>
  <c r="J104" i="36"/>
  <c r="K104" i="36"/>
  <c r="L104" i="36"/>
  <c r="M104" i="36"/>
  <c r="N104" i="36" a="1"/>
  <c r="N104" i="36"/>
  <c r="O104" i="36" a="1"/>
  <c r="O104" i="36"/>
  <c r="P104" i="36" a="1"/>
  <c r="P104" i="36"/>
  <c r="Q104" i="36"/>
  <c r="R104" i="36" a="1"/>
  <c r="R104" i="36"/>
  <c r="S104" i="36" a="1"/>
  <c r="S104" i="36"/>
  <c r="T104" i="36" a="1"/>
  <c r="T104" i="36"/>
  <c r="U104" i="36" a="1"/>
  <c r="U104" i="36"/>
  <c r="V104" i="36"/>
  <c r="W104" i="36" a="1"/>
  <c r="W104" i="36"/>
  <c r="X104" i="36"/>
  <c r="D105" i="36"/>
  <c r="E105" i="36"/>
  <c r="F105" i="36"/>
  <c r="G105" i="36"/>
  <c r="H105" i="36"/>
  <c r="I105" i="36"/>
  <c r="J105" i="36"/>
  <c r="K105" i="36"/>
  <c r="L105" i="36"/>
  <c r="M105" i="36"/>
  <c r="N105" i="36" a="1"/>
  <c r="N105" i="36"/>
  <c r="O105" i="36" a="1"/>
  <c r="O105" i="36"/>
  <c r="P105" i="36" a="1"/>
  <c r="P105" i="36"/>
  <c r="Q105" i="36"/>
  <c r="R105" i="36" a="1"/>
  <c r="R105" i="36"/>
  <c r="S105" i="36" a="1"/>
  <c r="S105" i="36"/>
  <c r="T105" i="36" a="1"/>
  <c r="T105" i="36"/>
  <c r="U105" i="36" a="1"/>
  <c r="U105" i="36"/>
  <c r="V105" i="36"/>
  <c r="W105" i="36" a="1"/>
  <c r="W105" i="36"/>
  <c r="X105" i="36"/>
  <c r="D106" i="36"/>
  <c r="E106" i="36"/>
  <c r="F106" i="36"/>
  <c r="G106" i="36"/>
  <c r="H106" i="36"/>
  <c r="I106" i="36"/>
  <c r="J106" i="36"/>
  <c r="K106" i="36"/>
  <c r="L106" i="36"/>
  <c r="M106" i="36"/>
  <c r="N106" i="36" a="1"/>
  <c r="N106" i="36"/>
  <c r="O106" i="36" a="1"/>
  <c r="O106" i="36"/>
  <c r="P106" i="36" a="1"/>
  <c r="P106" i="36"/>
  <c r="Q106" i="36"/>
  <c r="R106" i="36" a="1"/>
  <c r="R106" i="36"/>
  <c r="S106" i="36" a="1"/>
  <c r="S106" i="36"/>
  <c r="T106" i="36" a="1"/>
  <c r="T106" i="36"/>
  <c r="U106" i="36" a="1"/>
  <c r="U106" i="36"/>
  <c r="V106" i="36"/>
  <c r="W106" i="36" a="1"/>
  <c r="W106" i="36"/>
  <c r="X106" i="36"/>
  <c r="D107" i="36"/>
  <c r="E107" i="36"/>
  <c r="F107" i="36"/>
  <c r="G107" i="36"/>
  <c r="H107" i="36"/>
  <c r="I107" i="36"/>
  <c r="J107" i="36"/>
  <c r="K107" i="36"/>
  <c r="L107" i="36"/>
  <c r="M107" i="36"/>
  <c r="N107" i="36" a="1"/>
  <c r="N107" i="36"/>
  <c r="O107" i="36" a="1"/>
  <c r="O107" i="36"/>
  <c r="P107" i="36" a="1"/>
  <c r="P107" i="36"/>
  <c r="Q107" i="36"/>
  <c r="R107" i="36" a="1"/>
  <c r="R107" i="36"/>
  <c r="S107" i="36" a="1"/>
  <c r="S107" i="36"/>
  <c r="T107" i="36" a="1"/>
  <c r="T107" i="36"/>
  <c r="U107" i="36" a="1"/>
  <c r="U107" i="36"/>
  <c r="V107" i="36"/>
  <c r="W107" i="36" a="1"/>
  <c r="W107" i="36"/>
  <c r="X107" i="36"/>
  <c r="D108" i="36"/>
  <c r="E108" i="36"/>
  <c r="F108" i="36"/>
  <c r="G108" i="36"/>
  <c r="I108" i="36"/>
  <c r="J108" i="36"/>
  <c r="K108" i="36"/>
  <c r="L108" i="36"/>
  <c r="M108" i="36"/>
  <c r="N108" i="36" a="1"/>
  <c r="N108" i="36"/>
  <c r="O108" i="36" a="1"/>
  <c r="O108" i="36"/>
  <c r="P108" i="36" a="1"/>
  <c r="P108" i="36"/>
  <c r="Q108" i="36"/>
  <c r="R108" i="36" a="1"/>
  <c r="R108" i="36"/>
  <c r="S108" i="36" a="1"/>
  <c r="S108" i="36"/>
  <c r="T108" i="36" a="1"/>
  <c r="T108" i="36"/>
  <c r="U108" i="36" a="1"/>
  <c r="U108" i="36"/>
  <c r="V108" i="36"/>
  <c r="W108" i="36" a="1"/>
  <c r="W108" i="36"/>
  <c r="X108" i="36"/>
  <c r="D109" i="36"/>
  <c r="E109" i="36"/>
  <c r="F109" i="36"/>
  <c r="G109" i="36"/>
  <c r="I109" i="36"/>
  <c r="J109" i="36"/>
  <c r="K109" i="36"/>
  <c r="L109" i="36"/>
  <c r="M109" i="36"/>
  <c r="N109" i="36" a="1"/>
  <c r="N109" i="36"/>
  <c r="O109" i="36" a="1"/>
  <c r="O109" i="36"/>
  <c r="P109" i="36" a="1"/>
  <c r="P109" i="36"/>
  <c r="Q109" i="36"/>
  <c r="R109" i="36" a="1"/>
  <c r="R109" i="36"/>
  <c r="S109" i="36" a="1"/>
  <c r="S109" i="36"/>
  <c r="T109" i="36" a="1"/>
  <c r="T109" i="36"/>
  <c r="U109" i="36" a="1"/>
  <c r="U109" i="36"/>
  <c r="V109" i="36"/>
  <c r="W109" i="36" a="1"/>
  <c r="W109" i="36"/>
  <c r="X109" i="36"/>
  <c r="D110" i="36"/>
  <c r="E110" i="36"/>
  <c r="F110" i="36"/>
  <c r="G110" i="36"/>
  <c r="I110" i="36"/>
  <c r="J110" i="36"/>
  <c r="K110" i="36"/>
  <c r="L110" i="36"/>
  <c r="M110" i="36"/>
  <c r="N110" i="36" a="1"/>
  <c r="N110" i="36"/>
  <c r="O110" i="36" a="1"/>
  <c r="O110" i="36"/>
  <c r="P110" i="36" a="1"/>
  <c r="P110" i="36"/>
  <c r="Q110" i="36"/>
  <c r="R110" i="36" a="1"/>
  <c r="R110" i="36"/>
  <c r="S110" i="36" a="1"/>
  <c r="S110" i="36"/>
  <c r="T110" i="36" a="1"/>
  <c r="T110" i="36"/>
  <c r="U110" i="36" a="1"/>
  <c r="U110" i="36"/>
  <c r="V110" i="36"/>
  <c r="W110" i="36" a="1"/>
  <c r="W110" i="36"/>
  <c r="X110" i="36"/>
  <c r="C113" i="36"/>
  <c r="E113" i="36"/>
  <c r="F113" i="36"/>
  <c r="G113" i="36"/>
  <c r="H113" i="36"/>
  <c r="I113" i="36"/>
  <c r="J113" i="36"/>
  <c r="K113" i="36"/>
  <c r="L113" i="36"/>
  <c r="M113" i="36"/>
  <c r="N113" i="36"/>
  <c r="O113" i="36"/>
  <c r="P113" i="36"/>
  <c r="Q113" i="36"/>
  <c r="R113" i="36"/>
  <c r="S113" i="36"/>
  <c r="T113" i="36"/>
  <c r="U113" i="36"/>
  <c r="V113" i="36"/>
  <c r="W113" i="36"/>
  <c r="X113" i="36"/>
  <c r="E114" i="36"/>
  <c r="F114" i="36"/>
  <c r="G114" i="36"/>
  <c r="H114" i="36"/>
  <c r="I114" i="36"/>
  <c r="J114" i="36"/>
  <c r="K114" i="36"/>
  <c r="L114" i="36"/>
  <c r="M114" i="36"/>
  <c r="N114" i="36" a="1"/>
  <c r="N114" i="36"/>
  <c r="O114" i="36" a="1"/>
  <c r="O114" i="36"/>
  <c r="P114" i="36" a="1"/>
  <c r="P114" i="36"/>
  <c r="Q114" i="36"/>
  <c r="R114" i="36" a="1"/>
  <c r="R114" i="36"/>
  <c r="S114" i="36" a="1"/>
  <c r="S114" i="36"/>
  <c r="T114" i="36" a="1"/>
  <c r="T114" i="36"/>
  <c r="U114" i="36" a="1"/>
  <c r="U114" i="36"/>
  <c r="V114" i="36"/>
  <c r="W114" i="36" a="1"/>
  <c r="W114" i="36"/>
  <c r="X114" i="36"/>
  <c r="E115" i="36"/>
  <c r="F115" i="36"/>
  <c r="G115" i="36"/>
  <c r="H115" i="36"/>
  <c r="I115" i="36"/>
  <c r="J115" i="36"/>
  <c r="K115" i="36"/>
  <c r="L115" i="36"/>
  <c r="M115" i="36"/>
  <c r="N115" i="36" a="1"/>
  <c r="N115" i="36"/>
  <c r="O115" i="36" a="1"/>
  <c r="O115" i="36"/>
  <c r="P115" i="36" a="1"/>
  <c r="P115" i="36"/>
  <c r="Q115" i="36"/>
  <c r="R115" i="36" a="1"/>
  <c r="R115" i="36"/>
  <c r="S115" i="36" a="1"/>
  <c r="S115" i="36"/>
  <c r="T115" i="36" a="1"/>
  <c r="T115" i="36"/>
  <c r="U115" i="36" a="1"/>
  <c r="U115" i="36"/>
  <c r="V115" i="36"/>
  <c r="W115" i="36" a="1"/>
  <c r="W115" i="36"/>
  <c r="X115" i="36"/>
  <c r="E116" i="36"/>
  <c r="F116" i="36"/>
  <c r="G116" i="36"/>
  <c r="H116" i="36"/>
  <c r="I116" i="36"/>
  <c r="J116" i="36"/>
  <c r="K116" i="36"/>
  <c r="L116" i="36"/>
  <c r="M116" i="36"/>
  <c r="N116" i="36" a="1"/>
  <c r="N116" i="36"/>
  <c r="O116" i="36" a="1"/>
  <c r="O116" i="36"/>
  <c r="P116" i="36" a="1"/>
  <c r="P116" i="36"/>
  <c r="Q116" i="36"/>
  <c r="R116" i="36" a="1"/>
  <c r="R116" i="36"/>
  <c r="S116" i="36" a="1"/>
  <c r="S116" i="36"/>
  <c r="T116" i="36" a="1"/>
  <c r="T116" i="36"/>
  <c r="U116" i="36" a="1"/>
  <c r="U116" i="36"/>
  <c r="V116" i="36"/>
  <c r="W116" i="36" a="1"/>
  <c r="W116" i="36"/>
  <c r="X116" i="36"/>
  <c r="C118" i="36"/>
  <c r="D118" i="36"/>
  <c r="E118" i="36"/>
  <c r="F118" i="36"/>
  <c r="G118" i="36"/>
  <c r="H118" i="36"/>
  <c r="I118" i="36"/>
  <c r="J118" i="36"/>
  <c r="K118" i="36"/>
  <c r="L118" i="36"/>
  <c r="M118" i="36"/>
  <c r="N118" i="36"/>
  <c r="O118" i="36"/>
  <c r="P118" i="36"/>
  <c r="Q118" i="36"/>
  <c r="R118" i="36"/>
  <c r="S118" i="36"/>
  <c r="T118" i="36"/>
  <c r="U118" i="36"/>
  <c r="V118" i="36"/>
  <c r="W118" i="36"/>
  <c r="X118" i="36"/>
  <c r="C120" i="36"/>
  <c r="D120" i="36"/>
  <c r="E120" i="36"/>
  <c r="F120" i="36"/>
  <c r="G120" i="36"/>
  <c r="H120" i="36"/>
  <c r="I120" i="36"/>
  <c r="J120" i="36"/>
  <c r="K120" i="36"/>
  <c r="L120" i="36"/>
  <c r="M120" i="36"/>
  <c r="N120" i="36"/>
  <c r="O120" i="36"/>
  <c r="P120" i="36"/>
  <c r="Q120" i="36"/>
  <c r="R120" i="36"/>
  <c r="S120" i="36"/>
  <c r="T120" i="36"/>
  <c r="U120" i="36"/>
  <c r="V120" i="36"/>
  <c r="W120" i="36"/>
  <c r="X120" i="36"/>
  <c r="D122" i="36"/>
  <c r="E122" i="36"/>
  <c r="F122" i="36"/>
  <c r="G122" i="36"/>
  <c r="H122" i="36"/>
  <c r="I122" i="36"/>
  <c r="J122" i="36"/>
  <c r="K122" i="36"/>
  <c r="L122" i="36"/>
  <c r="M122" i="36"/>
  <c r="N122" i="36" a="1"/>
  <c r="N122" i="36"/>
  <c r="O122" i="36" a="1"/>
  <c r="O122" i="36"/>
  <c r="P122" i="36" a="1"/>
  <c r="P122" i="36"/>
  <c r="Q122" i="36"/>
  <c r="R122" i="36" a="1"/>
  <c r="R122" i="36"/>
  <c r="S122" i="36" a="1"/>
  <c r="S122" i="36"/>
  <c r="T122" i="36" a="1"/>
  <c r="T122" i="36"/>
  <c r="U122" i="36" a="1"/>
  <c r="U122" i="36"/>
  <c r="V122" i="36"/>
  <c r="W122" i="36" a="1"/>
  <c r="W122" i="36"/>
  <c r="X122" i="36"/>
  <c r="D123" i="36"/>
  <c r="E123" i="36"/>
  <c r="F123" i="36"/>
  <c r="G123" i="36"/>
  <c r="H123" i="36"/>
  <c r="I123" i="36"/>
  <c r="J123" i="36"/>
  <c r="K123" i="36"/>
  <c r="L123" i="36"/>
  <c r="M123" i="36"/>
  <c r="N123" i="36" a="1"/>
  <c r="N123" i="36"/>
  <c r="O123" i="36" a="1"/>
  <c r="O123" i="36"/>
  <c r="P123" i="36" a="1"/>
  <c r="P123" i="36"/>
  <c r="Q123" i="36"/>
  <c r="R123" i="36" a="1"/>
  <c r="R123" i="36"/>
  <c r="S123" i="36" a="1"/>
  <c r="S123" i="36"/>
  <c r="T123" i="36" a="1"/>
  <c r="T123" i="36"/>
  <c r="U123" i="36" a="1"/>
  <c r="U123" i="36"/>
  <c r="V123" i="36"/>
  <c r="W123" i="36" a="1"/>
  <c r="W123" i="36"/>
  <c r="X123" i="36"/>
  <c r="D124" i="36"/>
  <c r="E124" i="36"/>
  <c r="F124" i="36"/>
  <c r="G124" i="36"/>
  <c r="H124" i="36"/>
  <c r="I124" i="36"/>
  <c r="J124" i="36"/>
  <c r="K124" i="36"/>
  <c r="L124" i="36"/>
  <c r="M124" i="36"/>
  <c r="N124" i="36" a="1"/>
  <c r="N124" i="36"/>
  <c r="O124" i="36" a="1"/>
  <c r="O124" i="36"/>
  <c r="P124" i="36" a="1"/>
  <c r="P124" i="36"/>
  <c r="Q124" i="36"/>
  <c r="R124" i="36" a="1"/>
  <c r="R124" i="36"/>
  <c r="S124" i="36" a="1"/>
  <c r="S124" i="36"/>
  <c r="T124" i="36" a="1"/>
  <c r="T124" i="36"/>
  <c r="U124" i="36" a="1"/>
  <c r="U124" i="36"/>
  <c r="V124" i="36"/>
  <c r="W124" i="36" a="1"/>
  <c r="W124" i="36"/>
  <c r="X124" i="36"/>
  <c r="D125" i="36"/>
  <c r="E125" i="36"/>
  <c r="F125" i="36"/>
  <c r="G125" i="36"/>
  <c r="H125" i="36"/>
  <c r="I125" i="36"/>
  <c r="J125" i="36"/>
  <c r="K125" i="36"/>
  <c r="L125" i="36"/>
  <c r="M125" i="36"/>
  <c r="N125" i="36" a="1"/>
  <c r="N125" i="36"/>
  <c r="O125" i="36" a="1"/>
  <c r="O125" i="36"/>
  <c r="P125" i="36" a="1"/>
  <c r="P125" i="36"/>
  <c r="Q125" i="36"/>
  <c r="R125" i="36" a="1"/>
  <c r="R125" i="36"/>
  <c r="S125" i="36" a="1"/>
  <c r="S125" i="36"/>
  <c r="T125" i="36" a="1"/>
  <c r="T125" i="36"/>
  <c r="U125" i="36" a="1"/>
  <c r="U125" i="36"/>
  <c r="V125" i="36"/>
  <c r="W125" i="36" a="1"/>
  <c r="W125" i="36"/>
  <c r="X125" i="36"/>
  <c r="D126" i="36"/>
  <c r="E126" i="36"/>
  <c r="F126" i="36"/>
  <c r="G126" i="36"/>
  <c r="H126" i="36"/>
  <c r="I126" i="36"/>
  <c r="J126" i="36"/>
  <c r="K126" i="36"/>
  <c r="L126" i="36"/>
  <c r="M126" i="36"/>
  <c r="N126" i="36" a="1"/>
  <c r="N126" i="36"/>
  <c r="O126" i="36" a="1"/>
  <c r="O126" i="36"/>
  <c r="P126" i="36" a="1"/>
  <c r="P126" i="36"/>
  <c r="Q126" i="36"/>
  <c r="R126" i="36" a="1"/>
  <c r="R126" i="36"/>
  <c r="S126" i="36" a="1"/>
  <c r="S126" i="36"/>
  <c r="T126" i="36" a="1"/>
  <c r="T126" i="36"/>
  <c r="U126" i="36" a="1"/>
  <c r="U126" i="36"/>
  <c r="V126" i="36"/>
  <c r="W126" i="36" a="1"/>
  <c r="W126" i="36"/>
  <c r="X126" i="36"/>
  <c r="D127" i="36"/>
  <c r="E127" i="36"/>
  <c r="F127" i="36"/>
  <c r="G127" i="36"/>
  <c r="H127" i="36"/>
  <c r="I127" i="36"/>
  <c r="J127" i="36"/>
  <c r="K127" i="36"/>
  <c r="L127" i="36"/>
  <c r="M127" i="36"/>
  <c r="N127" i="36" a="1"/>
  <c r="N127" i="36"/>
  <c r="O127" i="36" a="1"/>
  <c r="O127" i="36"/>
  <c r="P127" i="36" a="1"/>
  <c r="P127" i="36"/>
  <c r="Q127" i="36"/>
  <c r="R127" i="36" a="1"/>
  <c r="R127" i="36"/>
  <c r="S127" i="36" a="1"/>
  <c r="S127" i="36"/>
  <c r="T127" i="36" a="1"/>
  <c r="T127" i="36"/>
  <c r="U127" i="36" a="1"/>
  <c r="U127" i="36"/>
  <c r="V127" i="36"/>
  <c r="W127" i="36" a="1"/>
  <c r="W127" i="36"/>
  <c r="X127" i="36"/>
  <c r="D128" i="36"/>
  <c r="E128" i="36"/>
  <c r="F128" i="36"/>
  <c r="G128" i="36"/>
  <c r="H128" i="36"/>
  <c r="I128" i="36"/>
  <c r="J128" i="36"/>
  <c r="K128" i="36"/>
  <c r="L128" i="36"/>
  <c r="M128" i="36"/>
  <c r="N128" i="36" a="1"/>
  <c r="N128" i="36"/>
  <c r="O128" i="36" a="1"/>
  <c r="O128" i="36"/>
  <c r="P128" i="36" a="1"/>
  <c r="P128" i="36"/>
  <c r="Q128" i="36"/>
  <c r="R128" i="36" a="1"/>
  <c r="R128" i="36"/>
  <c r="S128" i="36" a="1"/>
  <c r="S128" i="36"/>
  <c r="T128" i="36" a="1"/>
  <c r="T128" i="36"/>
  <c r="U128" i="36" a="1"/>
  <c r="U128" i="36"/>
  <c r="V128" i="36"/>
  <c r="W128" i="36" a="1"/>
  <c r="W128" i="36"/>
  <c r="X128" i="36"/>
  <c r="D129" i="36"/>
  <c r="E129" i="36"/>
  <c r="F129" i="36"/>
  <c r="G129" i="36"/>
  <c r="H129" i="36"/>
  <c r="I129" i="36"/>
  <c r="J129" i="36"/>
  <c r="K129" i="36"/>
  <c r="L129" i="36"/>
  <c r="M129" i="36"/>
  <c r="N129" i="36" a="1"/>
  <c r="N129" i="36"/>
  <c r="O129" i="36" a="1"/>
  <c r="O129" i="36"/>
  <c r="P129" i="36" a="1"/>
  <c r="P129" i="36"/>
  <c r="Q129" i="36"/>
  <c r="R129" i="36" a="1"/>
  <c r="R129" i="36"/>
  <c r="S129" i="36" a="1"/>
  <c r="S129" i="36"/>
  <c r="T129" i="36" a="1"/>
  <c r="T129" i="36"/>
  <c r="U129" i="36" a="1"/>
  <c r="U129" i="36"/>
  <c r="V129" i="36"/>
  <c r="W129" i="36" a="1"/>
  <c r="W129" i="36"/>
  <c r="X129" i="36"/>
  <c r="D130" i="36"/>
  <c r="E130" i="36"/>
  <c r="F130" i="36"/>
  <c r="G130" i="36"/>
  <c r="H130" i="36"/>
  <c r="I130" i="36"/>
  <c r="J130" i="36"/>
  <c r="K130" i="36"/>
  <c r="L130" i="36"/>
  <c r="M130" i="36"/>
  <c r="N130" i="36" a="1"/>
  <c r="N130" i="36"/>
  <c r="O130" i="36" a="1"/>
  <c r="O130" i="36"/>
  <c r="P130" i="36" a="1"/>
  <c r="P130" i="36"/>
  <c r="Q130" i="36"/>
  <c r="R130" i="36" a="1"/>
  <c r="R130" i="36"/>
  <c r="S130" i="36" a="1"/>
  <c r="S130" i="36"/>
  <c r="T130" i="36" a="1"/>
  <c r="T130" i="36"/>
  <c r="U130" i="36" a="1"/>
  <c r="U130" i="36"/>
  <c r="V130" i="36"/>
  <c r="W130" i="36" a="1"/>
  <c r="W130" i="36"/>
  <c r="X130" i="36"/>
  <c r="A1" i="120"/>
  <c r="E8" i="120"/>
  <c r="F8" i="120"/>
  <c r="G8" i="120"/>
  <c r="E14" i="120"/>
  <c r="F14" i="120"/>
  <c r="G14" i="120"/>
  <c r="R126" i="52"/>
  <c r="S126" i="52"/>
  <c r="T126" i="52"/>
  <c r="AA126" i="52"/>
  <c r="R134" i="52"/>
  <c r="S134" i="52"/>
  <c r="T134" i="52"/>
  <c r="AA134" i="52"/>
  <c r="R188" i="52"/>
  <c r="AA188" i="52"/>
  <c r="R193" i="52"/>
  <c r="AA193" i="52"/>
  <c r="R198" i="52"/>
  <c r="AA198" i="52"/>
  <c r="R203" i="52"/>
  <c r="AA203" i="52"/>
  <c r="R208" i="52"/>
  <c r="AA208" i="52"/>
  <c r="R215" i="52"/>
  <c r="AA215" i="52"/>
  <c r="R220" i="52"/>
  <c r="AA220" i="52"/>
  <c r="R225" i="52"/>
  <c r="AA225" i="52"/>
  <c r="A1" i="14"/>
  <c r="L13" i="14"/>
  <c r="M13" i="14"/>
  <c r="V13" i="14"/>
  <c r="L15" i="14"/>
  <c r="M15" i="14"/>
  <c r="V15" i="14"/>
  <c r="L16" i="14"/>
  <c r="M16" i="14"/>
  <c r="V16" i="14"/>
  <c r="L20" i="14"/>
  <c r="M20" i="14"/>
  <c r="V20" i="14"/>
  <c r="L21" i="14"/>
  <c r="M21" i="14"/>
  <c r="V21" i="14"/>
  <c r="L23" i="14"/>
  <c r="M23" i="14"/>
  <c r="V23" i="14"/>
  <c r="L24" i="14"/>
  <c r="M24" i="14"/>
  <c r="V24" i="14"/>
  <c r="L25" i="14"/>
  <c r="M25" i="14"/>
  <c r="V25" i="14"/>
  <c r="L26" i="14"/>
  <c r="M26" i="14"/>
  <c r="V26" i="14"/>
  <c r="L27" i="14"/>
  <c r="M27" i="14"/>
  <c r="V27" i="14"/>
  <c r="L34" i="14"/>
  <c r="V34" i="14" a="1"/>
  <c r="V34" i="14"/>
  <c r="L44" i="14"/>
  <c r="M44" i="14"/>
  <c r="V44" i="14"/>
  <c r="L45" i="14"/>
  <c r="M45" i="14"/>
  <c r="V45" i="14"/>
  <c r="L46" i="14"/>
  <c r="M46" i="14"/>
  <c r="V46" i="14"/>
  <c r="L47" i="14"/>
  <c r="M47" i="14"/>
  <c r="V47" i="14"/>
  <c r="L48" i="14"/>
  <c r="M48" i="14"/>
  <c r="V48" i="14"/>
  <c r="L49" i="14"/>
  <c r="M49" i="14"/>
  <c r="V49" i="14"/>
  <c r="L50" i="14"/>
  <c r="M50" i="14"/>
  <c r="V50" i="14"/>
  <c r="L51" i="14"/>
  <c r="M51" i="14"/>
  <c r="V51" i="14"/>
  <c r="M52" i="14"/>
  <c r="L53" i="14"/>
  <c r="M53" i="14"/>
  <c r="V53" i="14"/>
  <c r="L54" i="14"/>
  <c r="M54" i="14"/>
  <c r="V54" i="14"/>
  <c r="L55" i="14"/>
  <c r="M55" i="14"/>
  <c r="V55" i="14"/>
  <c r="C60" i="14"/>
  <c r="C83" i="14"/>
  <c r="A1" i="4"/>
  <c r="Q10" i="4"/>
  <c r="R10" i="4"/>
  <c r="S10" i="4"/>
  <c r="T10" i="4"/>
  <c r="AA10" i="4"/>
  <c r="AB10" i="4"/>
  <c r="AC10" i="4"/>
  <c r="AD10" i="4"/>
  <c r="Q11" i="4"/>
  <c r="R11" i="4"/>
  <c r="S11" i="4"/>
  <c r="T11" i="4"/>
  <c r="AA11" i="4"/>
  <c r="AB11" i="4"/>
  <c r="AC11" i="4"/>
  <c r="AD11" i="4"/>
  <c r="Q12" i="4"/>
  <c r="R12" i="4"/>
  <c r="S12" i="4"/>
  <c r="T12" i="4"/>
  <c r="AA12" i="4"/>
  <c r="AB12" i="4"/>
  <c r="AC12" i="4"/>
  <c r="AD12" i="4"/>
  <c r="Q14" i="4"/>
  <c r="R14" i="4"/>
  <c r="S14" i="4"/>
  <c r="T14" i="4"/>
  <c r="AA14" i="4"/>
  <c r="AB14" i="4"/>
  <c r="AC14" i="4"/>
  <c r="AD14" i="4"/>
  <c r="Q15" i="4"/>
  <c r="R15" i="4"/>
  <c r="S15" i="4"/>
  <c r="T15" i="4"/>
  <c r="AA15" i="4"/>
  <c r="AB15" i="4"/>
  <c r="AC15" i="4"/>
  <c r="AD15" i="4"/>
  <c r="Q22" i="4"/>
  <c r="R22" i="4"/>
  <c r="S22" i="4"/>
  <c r="T22" i="4"/>
  <c r="AA22" i="4"/>
  <c r="AB22" i="4"/>
  <c r="AC22" i="4"/>
  <c r="AD22" i="4"/>
  <c r="Q23" i="4"/>
  <c r="R23" i="4"/>
  <c r="S23" i="4"/>
  <c r="T23" i="4"/>
  <c r="AA23" i="4"/>
  <c r="AB23" i="4"/>
  <c r="AC23" i="4"/>
  <c r="AD23" i="4"/>
  <c r="Q26" i="4"/>
  <c r="R26" i="4"/>
  <c r="S26" i="4"/>
  <c r="T26" i="4"/>
  <c r="AA26" i="4"/>
  <c r="AB26" i="4"/>
  <c r="AC26" i="4"/>
  <c r="AD26" i="4"/>
  <c r="Q27" i="4"/>
  <c r="R27" i="4"/>
  <c r="S27" i="4"/>
  <c r="T27" i="4"/>
  <c r="AA27" i="4"/>
  <c r="AB27" i="4"/>
  <c r="AC27" i="4"/>
  <c r="AD27" i="4"/>
  <c r="Q32" i="4"/>
  <c r="R32" i="4"/>
  <c r="S32" i="4"/>
  <c r="T32" i="4"/>
  <c r="AA32" i="4"/>
  <c r="AB32" i="4"/>
  <c r="AC32" i="4"/>
  <c r="AD32" i="4"/>
  <c r="D33" i="4"/>
  <c r="R33" i="4"/>
  <c r="S33" i="4"/>
  <c r="T33" i="4"/>
  <c r="AA33" i="4"/>
  <c r="AB33" i="4"/>
  <c r="AC33" i="4"/>
  <c r="AD33" i="4"/>
  <c r="Q35" i="4"/>
  <c r="R35" i="4"/>
  <c r="S35" i="4"/>
  <c r="T35" i="4"/>
  <c r="AA35" i="4"/>
  <c r="AB35" i="4"/>
  <c r="AC35" i="4"/>
  <c r="AD35" i="4"/>
  <c r="Q36" i="4"/>
  <c r="R43" i="4"/>
  <c r="S43" i="4"/>
  <c r="T43" i="4"/>
  <c r="AA43" i="4"/>
  <c r="AB43" i="4"/>
  <c r="AC43" i="4"/>
  <c r="AD43" i="4"/>
  <c r="R44" i="4"/>
  <c r="S44" i="4"/>
  <c r="T44" i="4"/>
  <c r="AA44" i="4"/>
  <c r="AB44" i="4"/>
  <c r="AC44" i="4"/>
  <c r="AD44" i="4"/>
  <c r="R51" i="4"/>
  <c r="S51" i="4"/>
  <c r="T51" i="4"/>
  <c r="AA51" i="4"/>
  <c r="AB51" i="4"/>
  <c r="AC51" i="4"/>
  <c r="AD51" i="4"/>
  <c r="R52" i="4"/>
  <c r="S52" i="4"/>
  <c r="T52" i="4"/>
  <c r="AA52" i="4"/>
  <c r="AB52" i="4"/>
  <c r="AC52" i="4"/>
  <c r="AD52" i="4"/>
  <c r="R55" i="4"/>
  <c r="S55" i="4"/>
  <c r="T55" i="4"/>
  <c r="AA55" i="4"/>
  <c r="AB55" i="4"/>
  <c r="AC55" i="4"/>
  <c r="R56" i="4"/>
  <c r="S56" i="4"/>
  <c r="T56" i="4"/>
  <c r="AA56" i="4"/>
  <c r="AB56" i="4"/>
  <c r="AC56" i="4"/>
  <c r="AD56" i="4"/>
  <c r="R61" i="4"/>
  <c r="S61" i="4"/>
  <c r="T61" i="4"/>
  <c r="AA61" i="4"/>
  <c r="AB61" i="4"/>
  <c r="AC61" i="4"/>
  <c r="AD61" i="4"/>
  <c r="R65" i="4"/>
  <c r="S65" i="4"/>
  <c r="T65" i="4"/>
  <c r="AB65" i="4"/>
  <c r="AC65" i="4"/>
  <c r="AD65" i="4"/>
  <c r="R66" i="4"/>
  <c r="S66" i="4"/>
  <c r="T66" i="4"/>
  <c r="AB66" i="4"/>
  <c r="AC66" i="4"/>
  <c r="AD66" i="4"/>
  <c r="R67" i="4"/>
  <c r="S67" i="4"/>
  <c r="T67" i="4"/>
  <c r="AB67" i="4"/>
  <c r="AC67" i="4"/>
  <c r="AD67" i="4"/>
  <c r="R69" i="4"/>
  <c r="S69" i="4"/>
  <c r="T69" i="4"/>
  <c r="AB69" i="4"/>
  <c r="AC69" i="4"/>
  <c r="AD69" i="4"/>
  <c r="R70" i="4"/>
  <c r="S70" i="4"/>
  <c r="T70" i="4"/>
  <c r="AB70" i="4"/>
  <c r="AC70" i="4"/>
  <c r="AD70" i="4"/>
  <c r="R77" i="4"/>
  <c r="S77" i="4"/>
  <c r="T77" i="4"/>
  <c r="AB77" i="4"/>
  <c r="AC77" i="4"/>
  <c r="AD77" i="4"/>
  <c r="R78" i="4"/>
  <c r="S78" i="4"/>
  <c r="T78" i="4"/>
  <c r="AB78" i="4"/>
  <c r="AC78" i="4"/>
  <c r="AD78" i="4"/>
  <c r="R81" i="4"/>
  <c r="S81" i="4"/>
  <c r="T81" i="4"/>
  <c r="AB81" i="4"/>
  <c r="AC81" i="4"/>
  <c r="AD81" i="4"/>
  <c r="R82" i="4"/>
  <c r="S82" i="4"/>
  <c r="T82" i="4"/>
  <c r="AB82" i="4"/>
  <c r="AC82" i="4"/>
  <c r="AD82" i="4"/>
  <c r="R87" i="4"/>
  <c r="S87" i="4"/>
  <c r="T87" i="4"/>
  <c r="AB87" i="4"/>
  <c r="AC87" i="4"/>
  <c r="AD87" i="4"/>
  <c r="R88" i="4"/>
  <c r="S88" i="4"/>
  <c r="T88" i="4"/>
  <c r="AB88" i="4"/>
  <c r="AC88" i="4"/>
  <c r="AD88" i="4"/>
  <c r="R89" i="4"/>
  <c r="S89" i="4"/>
  <c r="T89" i="4"/>
  <c r="AB89" i="4"/>
  <c r="AC89" i="4"/>
  <c r="AD89" i="4"/>
  <c r="R93" i="4"/>
  <c r="S93" i="4"/>
  <c r="T93" i="4"/>
  <c r="AB93" i="4"/>
  <c r="AC93" i="4"/>
  <c r="AD93" i="4"/>
  <c r="R94" i="4"/>
  <c r="S94" i="4"/>
  <c r="T94" i="4"/>
  <c r="AB94" i="4"/>
  <c r="AC94" i="4"/>
  <c r="AD94" i="4"/>
  <c r="R95" i="4"/>
  <c r="S95" i="4"/>
  <c r="T95" i="4"/>
  <c r="AB95" i="4"/>
  <c r="AC95" i="4"/>
  <c r="AD95" i="4"/>
  <c r="R97" i="4"/>
  <c r="S97" i="4"/>
  <c r="T97" i="4"/>
  <c r="AB97" i="4"/>
  <c r="AC97" i="4"/>
  <c r="AD97" i="4"/>
  <c r="R98" i="4"/>
  <c r="S98" i="4"/>
  <c r="T98" i="4"/>
  <c r="AB98" i="4"/>
  <c r="AC98" i="4"/>
  <c r="AD98" i="4"/>
  <c r="R105" i="4"/>
  <c r="S105" i="4"/>
  <c r="T105" i="4"/>
  <c r="AB105" i="4"/>
  <c r="AC105" i="4"/>
  <c r="AD105" i="4"/>
  <c r="R106" i="4"/>
  <c r="S106" i="4"/>
  <c r="T106" i="4"/>
  <c r="AB106" i="4"/>
  <c r="AC106" i="4"/>
  <c r="AD106" i="4"/>
  <c r="R109" i="4"/>
  <c r="S109" i="4"/>
  <c r="T109" i="4"/>
  <c r="AB109" i="4"/>
  <c r="AC109" i="4"/>
  <c r="AD109" i="4"/>
  <c r="R110" i="4"/>
  <c r="S110" i="4"/>
  <c r="T110" i="4"/>
  <c r="AB110" i="4"/>
  <c r="AC110" i="4"/>
  <c r="AD110" i="4"/>
  <c r="R115" i="4"/>
  <c r="S115" i="4"/>
  <c r="T115" i="4"/>
  <c r="AB115" i="4"/>
  <c r="AC115" i="4"/>
  <c r="AD115" i="4"/>
  <c r="R116" i="4"/>
  <c r="S116" i="4"/>
  <c r="T116" i="4"/>
  <c r="AB116" i="4"/>
  <c r="AC116" i="4"/>
  <c r="AD116" i="4"/>
  <c r="R117" i="4"/>
  <c r="S117" i="4"/>
  <c r="T117" i="4"/>
  <c r="AB117" i="4"/>
  <c r="AC117" i="4"/>
  <c r="AD117" i="4"/>
  <c r="R121" i="4"/>
  <c r="S121" i="4"/>
  <c r="T121" i="4"/>
  <c r="AB121" i="4"/>
  <c r="AC121" i="4"/>
  <c r="AD121" i="4"/>
  <c r="S122" i="4"/>
  <c r="T122" i="4"/>
  <c r="AB122" i="4"/>
  <c r="AC122" i="4"/>
  <c r="AD122" i="4"/>
  <c r="R124" i="4"/>
  <c r="S124" i="4"/>
  <c r="T124" i="4"/>
  <c r="AB124" i="4"/>
  <c r="AC124" i="4"/>
  <c r="AD124" i="4"/>
  <c r="R125" i="4"/>
  <c r="S125" i="4"/>
  <c r="T125" i="4"/>
  <c r="AB125" i="4"/>
  <c r="AC125" i="4"/>
  <c r="AD125" i="4"/>
  <c r="R126" i="4"/>
  <c r="S126" i="4"/>
  <c r="T126" i="4"/>
  <c r="AB126" i="4"/>
  <c r="AC126" i="4"/>
  <c r="AD126" i="4"/>
  <c r="R129" i="4"/>
  <c r="S129" i="4"/>
  <c r="T129" i="4"/>
  <c r="AB129" i="4"/>
  <c r="AC129" i="4"/>
  <c r="AD129" i="4"/>
  <c r="R130" i="4"/>
  <c r="S130" i="4"/>
  <c r="T130" i="4"/>
  <c r="AB130" i="4"/>
  <c r="AC130" i="4"/>
  <c r="AD130" i="4"/>
  <c r="Q131" i="4"/>
  <c r="R131" i="4"/>
  <c r="S131" i="4"/>
  <c r="T131" i="4"/>
  <c r="AA131" i="4"/>
  <c r="AB131" i="4"/>
  <c r="AC131" i="4"/>
  <c r="AD131" i="4"/>
  <c r="S134" i="4"/>
  <c r="T134" i="4"/>
  <c r="AB134" i="4"/>
  <c r="AC134" i="4"/>
  <c r="AD134" i="4"/>
  <c r="R135" i="4"/>
  <c r="S135" i="4"/>
  <c r="T135" i="4"/>
  <c r="AB135" i="4"/>
  <c r="AC135" i="4"/>
  <c r="AD135" i="4"/>
  <c r="R136" i="4"/>
  <c r="S136" i="4"/>
  <c r="T136" i="4"/>
  <c r="AB136" i="4"/>
  <c r="AC136" i="4"/>
  <c r="AD136" i="4"/>
  <c r="R140" i="4"/>
  <c r="S140" i="4"/>
  <c r="T140" i="4"/>
  <c r="AA140" i="4"/>
  <c r="AB140" i="4"/>
  <c r="AC140" i="4"/>
  <c r="AD140" i="4"/>
  <c r="R141" i="4"/>
  <c r="S141" i="4"/>
  <c r="T141" i="4"/>
  <c r="AA141" i="4"/>
  <c r="AB141" i="4"/>
  <c r="AC141" i="4"/>
  <c r="AD141" i="4"/>
  <c r="AA142" i="4"/>
  <c r="AB142" i="4"/>
  <c r="AC142" i="4"/>
  <c r="AD142" i="4"/>
  <c r="A1" i="3"/>
  <c r="R3" i="3"/>
  <c r="S3" i="3"/>
  <c r="T3" i="3"/>
  <c r="AA3" i="3"/>
  <c r="AB3" i="3"/>
  <c r="AC3" i="3"/>
  <c r="AD3" i="3"/>
  <c r="R4" i="3"/>
  <c r="S4" i="3"/>
  <c r="T4" i="3"/>
  <c r="AA4" i="3"/>
  <c r="AB4" i="3"/>
  <c r="AC4" i="3"/>
  <c r="AD4" i="3"/>
  <c r="R30" i="3"/>
  <c r="S30" i="3"/>
  <c r="T30" i="3"/>
  <c r="AA30" i="3"/>
  <c r="AB30" i="3"/>
  <c r="AC30" i="3"/>
  <c r="AD30" i="3"/>
  <c r="R32" i="3"/>
  <c r="S32" i="3"/>
  <c r="T32" i="3"/>
  <c r="AA32" i="3"/>
  <c r="AB32" i="3"/>
  <c r="AC32" i="3"/>
  <c r="AD32" i="3"/>
  <c r="R35" i="3"/>
  <c r="S35" i="3"/>
  <c r="T35" i="3"/>
  <c r="AA35" i="3"/>
  <c r="AB35" i="3"/>
  <c r="AC35" i="3"/>
  <c r="AD35" i="3"/>
  <c r="R37" i="3"/>
  <c r="S37" i="3"/>
  <c r="T37" i="3"/>
  <c r="AA37" i="3"/>
  <c r="AB37" i="3"/>
  <c r="AC37" i="3"/>
  <c r="AD37" i="3"/>
  <c r="R38" i="3"/>
  <c r="S38" i="3"/>
  <c r="T38" i="3"/>
  <c r="AA38" i="3"/>
  <c r="AB38" i="3"/>
  <c r="AC38" i="3"/>
  <c r="AD38" i="3"/>
  <c r="R40" i="3"/>
  <c r="S40" i="3"/>
  <c r="T40" i="3"/>
  <c r="AA40" i="3"/>
  <c r="AB40" i="3"/>
  <c r="AC40" i="3"/>
  <c r="AD40" i="3"/>
  <c r="R41" i="3"/>
  <c r="S41" i="3"/>
  <c r="T41" i="3"/>
  <c r="AA41" i="3"/>
  <c r="AB41" i="3"/>
  <c r="AC41" i="3"/>
  <c r="AD41" i="3"/>
  <c r="R48" i="3"/>
  <c r="S48" i="3"/>
  <c r="T48" i="3"/>
  <c r="AA48" i="3"/>
  <c r="AB48" i="3"/>
  <c r="AC48" i="3"/>
  <c r="AD48" i="3"/>
  <c r="R49" i="3"/>
  <c r="S49" i="3"/>
  <c r="T49" i="3"/>
  <c r="AA49" i="3"/>
  <c r="AB49" i="3"/>
  <c r="AC49" i="3"/>
  <c r="AD49" i="3"/>
  <c r="R51" i="3"/>
  <c r="S51" i="3"/>
  <c r="T51" i="3"/>
  <c r="AA51" i="3"/>
  <c r="AB51" i="3"/>
  <c r="AC51" i="3"/>
  <c r="AD51" i="3"/>
  <c r="R57" i="3"/>
  <c r="S57" i="3"/>
  <c r="T57" i="3"/>
  <c r="AA57" i="3"/>
  <c r="AB57" i="3"/>
  <c r="AC57" i="3"/>
  <c r="AD57" i="3"/>
  <c r="R59" i="3"/>
  <c r="S59" i="3"/>
  <c r="T59" i="3"/>
  <c r="AA59" i="3"/>
  <c r="AB59" i="3"/>
  <c r="AC59" i="3"/>
  <c r="AD59" i="3"/>
  <c r="R61" i="3"/>
  <c r="S61" i="3"/>
  <c r="T61" i="3"/>
  <c r="AA61" i="3"/>
  <c r="AB61" i="3"/>
  <c r="AC61" i="3"/>
  <c r="AD61" i="3"/>
  <c r="R85" i="3"/>
  <c r="S85" i="3"/>
  <c r="T85" i="3"/>
  <c r="AA85" i="3"/>
  <c r="AB85" i="3"/>
  <c r="AC85" i="3"/>
  <c r="AD85" i="3"/>
  <c r="R87" i="3"/>
  <c r="S87" i="3"/>
  <c r="T87" i="3"/>
  <c r="AA87" i="3"/>
  <c r="AB87" i="3"/>
  <c r="AC87" i="3"/>
  <c r="AD87" i="3"/>
  <c r="R89" i="3"/>
  <c r="S89" i="3"/>
  <c r="T89" i="3"/>
  <c r="AA89" i="3"/>
  <c r="AB89" i="3"/>
  <c r="AC89" i="3"/>
  <c r="AD89" i="3"/>
  <c r="R96" i="3"/>
  <c r="S96" i="3"/>
  <c r="T96" i="3"/>
  <c r="AA96" i="3"/>
  <c r="AB96" i="3"/>
  <c r="AC96" i="3"/>
  <c r="AD96" i="3"/>
  <c r="R98" i="3"/>
  <c r="S98" i="3"/>
  <c r="T98" i="3"/>
  <c r="AA98" i="3"/>
  <c r="AB98" i="3"/>
  <c r="AC98" i="3"/>
  <c r="AD98" i="3"/>
  <c r="R101" i="3"/>
  <c r="S101" i="3"/>
  <c r="T101" i="3"/>
  <c r="AA101" i="3"/>
  <c r="AB101" i="3"/>
  <c r="AC101" i="3"/>
  <c r="AD101" i="3"/>
  <c r="R103" i="3"/>
  <c r="S103" i="3"/>
  <c r="T103" i="3"/>
  <c r="AA103" i="3"/>
  <c r="AB103" i="3"/>
  <c r="AC103" i="3"/>
  <c r="AD103" i="3"/>
  <c r="R112" i="3"/>
  <c r="S112" i="3"/>
  <c r="T112" i="3"/>
  <c r="AA112" i="3"/>
  <c r="AB112" i="3"/>
  <c r="AC112" i="3"/>
  <c r="AD112" i="3"/>
  <c r="R116" i="3"/>
  <c r="S116" i="3"/>
  <c r="T116" i="3"/>
  <c r="AA116" i="3"/>
  <c r="AB116" i="3"/>
  <c r="AC116" i="3"/>
  <c r="AD116" i="3"/>
  <c r="R124" i="3"/>
  <c r="S124" i="3"/>
  <c r="T124" i="3"/>
  <c r="AA124" i="3"/>
  <c r="AB124" i="3"/>
  <c r="AC124" i="3"/>
  <c r="AD124" i="3"/>
  <c r="R128" i="3"/>
  <c r="S128" i="3"/>
  <c r="T128" i="3"/>
  <c r="AA128" i="3"/>
  <c r="AB128" i="3"/>
  <c r="AC128" i="3"/>
  <c r="AD128" i="3"/>
  <c r="R134" i="3"/>
  <c r="S134" i="3"/>
  <c r="T134" i="3"/>
  <c r="AA134" i="3"/>
  <c r="AB134" i="3"/>
  <c r="AC134" i="3"/>
  <c r="AD134" i="3"/>
  <c r="R144" i="3"/>
  <c r="S144" i="3"/>
  <c r="T144" i="3"/>
  <c r="AA144" i="3"/>
  <c r="AB144" i="3"/>
  <c r="AC144" i="3"/>
  <c r="AD144" i="3"/>
  <c r="R162" i="3"/>
  <c r="S162" i="3"/>
  <c r="T162" i="3"/>
  <c r="AA162" i="3"/>
  <c r="AB162" i="3"/>
  <c r="AC162" i="3"/>
  <c r="AD162" i="3"/>
  <c r="R167" i="3"/>
  <c r="S167" i="3"/>
  <c r="T167" i="3"/>
  <c r="AA167" i="3"/>
  <c r="AB167" i="3"/>
  <c r="AC167" i="3"/>
  <c r="AD167" i="3"/>
  <c r="R169" i="3"/>
  <c r="S169" i="3"/>
  <c r="T169" i="3"/>
  <c r="AA169" i="3"/>
  <c r="AB169" i="3"/>
  <c r="AC169" i="3"/>
  <c r="AD169" i="3"/>
  <c r="R171" i="3"/>
  <c r="S171" i="3"/>
  <c r="T171" i="3"/>
  <c r="AA171" i="3"/>
  <c r="AB171" i="3"/>
  <c r="AC171" i="3"/>
  <c r="AD171" i="3"/>
  <c r="R173" i="3"/>
  <c r="S173" i="3"/>
  <c r="T173" i="3"/>
  <c r="AA173" i="3"/>
  <c r="AB173" i="3"/>
  <c r="AC173" i="3"/>
  <c r="AD173" i="3"/>
  <c r="R176" i="3"/>
  <c r="S176" i="3"/>
  <c r="T176" i="3"/>
  <c r="AA176" i="3"/>
  <c r="R217" i="3"/>
  <c r="S217" i="3"/>
  <c r="T217" i="3"/>
  <c r="AA217" i="3"/>
  <c r="AB217" i="3"/>
  <c r="AC217" i="3"/>
  <c r="AD217" i="3"/>
  <c r="R218" i="3"/>
  <c r="S218" i="3"/>
  <c r="T218" i="3"/>
  <c r="AB218" i="3"/>
  <c r="AC218" i="3"/>
  <c r="AD218" i="3"/>
  <c r="R231" i="3"/>
  <c r="S231" i="3"/>
  <c r="T231" i="3"/>
  <c r="AA231" i="3"/>
  <c r="AB231" i="3"/>
  <c r="AC231" i="3"/>
  <c r="AD231" i="3"/>
  <c r="R243" i="3"/>
  <c r="S243" i="3"/>
  <c r="T243" i="3"/>
  <c r="AA243" i="3"/>
  <c r="AB243" i="3"/>
  <c r="AC243" i="3"/>
  <c r="AD243" i="3"/>
  <c r="R244" i="3"/>
  <c r="S244" i="3"/>
  <c r="T244" i="3"/>
  <c r="AA244" i="3"/>
  <c r="AB244" i="3"/>
  <c r="AC244" i="3"/>
  <c r="AD244" i="3"/>
  <c r="R249" i="3"/>
  <c r="S249" i="3"/>
  <c r="T249" i="3"/>
  <c r="AA249" i="3"/>
  <c r="AB249" i="3"/>
  <c r="AC249" i="3"/>
  <c r="AD249" i="3"/>
  <c r="R251" i="3"/>
  <c r="S251" i="3"/>
  <c r="T251" i="3"/>
  <c r="AA251" i="3"/>
  <c r="AB251" i="3"/>
  <c r="AC251" i="3"/>
  <c r="AD251" i="3"/>
  <c r="S252" i="3"/>
  <c r="T252" i="3"/>
  <c r="AB252" i="3"/>
  <c r="AC252" i="3"/>
  <c r="AD252" i="3"/>
  <c r="R253" i="3"/>
  <c r="S253" i="3"/>
  <c r="T253" i="3"/>
  <c r="AA253" i="3"/>
  <c r="AB253" i="3"/>
  <c r="AC253" i="3"/>
  <c r="AD253" i="3"/>
  <c r="R255" i="3"/>
  <c r="S255" i="3"/>
  <c r="T255" i="3"/>
  <c r="AA255" i="3"/>
  <c r="AB255" i="3"/>
  <c r="AC255" i="3"/>
  <c r="AD255" i="3"/>
  <c r="A1" i="16"/>
  <c r="R33" i="16"/>
  <c r="S33" i="16"/>
  <c r="T33" i="16"/>
  <c r="AA33" i="16"/>
  <c r="AB33" i="16"/>
  <c r="AC33" i="16"/>
  <c r="AD33" i="16"/>
  <c r="R35" i="16"/>
  <c r="S35" i="16"/>
  <c r="T35" i="16"/>
  <c r="AA35" i="16"/>
  <c r="AB35" i="16"/>
  <c r="AC35" i="16"/>
  <c r="AD35" i="16"/>
  <c r="R36" i="16"/>
  <c r="S36" i="16"/>
  <c r="T36" i="16"/>
  <c r="AA36" i="16"/>
  <c r="AB36" i="16"/>
  <c r="AC36" i="16"/>
  <c r="AD36" i="16"/>
  <c r="R38" i="16"/>
  <c r="S38" i="16"/>
  <c r="T38" i="16"/>
  <c r="AA38" i="16"/>
  <c r="AB38" i="16"/>
  <c r="AC38" i="16"/>
  <c r="AD38" i="16"/>
  <c r="AA39" i="16"/>
  <c r="R40" i="16"/>
  <c r="S40" i="16"/>
  <c r="T40" i="16"/>
  <c r="AA40" i="16"/>
  <c r="AB40" i="16"/>
  <c r="AC40" i="16"/>
  <c r="AD40" i="16"/>
  <c r="R42" i="16"/>
  <c r="S42" i="16"/>
  <c r="T42" i="16"/>
  <c r="AA42" i="16"/>
  <c r="AB42" i="16"/>
  <c r="AC42" i="16"/>
  <c r="AD42" i="16"/>
  <c r="R43" i="16"/>
  <c r="S43" i="16"/>
  <c r="T43" i="16"/>
  <c r="AA43" i="16"/>
  <c r="AB43" i="16"/>
  <c r="AC43" i="16"/>
  <c r="AD43" i="16"/>
  <c r="R44" i="16"/>
  <c r="S44" i="16"/>
  <c r="T44" i="16"/>
  <c r="AA44" i="16"/>
  <c r="AB44" i="16"/>
  <c r="AC44" i="16"/>
  <c r="AD44" i="16"/>
  <c r="R69" i="16"/>
  <c r="S69" i="16"/>
  <c r="T69" i="16"/>
  <c r="AA69" i="16"/>
  <c r="AB69" i="16"/>
  <c r="AC69" i="16"/>
  <c r="AD69" i="16"/>
  <c r="R71" i="16"/>
  <c r="S71" i="16"/>
  <c r="T71" i="16"/>
  <c r="AA71" i="16"/>
  <c r="AB71" i="16"/>
  <c r="AC71" i="16"/>
  <c r="AD71" i="16"/>
  <c r="R72" i="16"/>
  <c r="S72" i="16"/>
  <c r="T72" i="16"/>
  <c r="AA72" i="16"/>
  <c r="AB72" i="16"/>
  <c r="AC72" i="16"/>
  <c r="AD72" i="16"/>
  <c r="R74" i="16"/>
  <c r="S74" i="16"/>
  <c r="T74" i="16"/>
  <c r="AA74" i="16"/>
  <c r="AB74" i="16"/>
  <c r="AC74" i="16"/>
  <c r="AD74" i="16"/>
  <c r="R75" i="16"/>
  <c r="S75" i="16"/>
  <c r="T75" i="16"/>
  <c r="AA75" i="16"/>
  <c r="AB75" i="16"/>
  <c r="AC75" i="16"/>
  <c r="AD75" i="16"/>
  <c r="D2" i="13"/>
  <c r="W2" i="13"/>
  <c r="I3" i="13"/>
  <c r="M3" i="13"/>
  <c r="W3" i="13"/>
  <c r="I4" i="13"/>
  <c r="M4" i="13"/>
  <c r="W4" i="13"/>
  <c r="I5" i="13"/>
  <c r="M5" i="13"/>
  <c r="W5" i="13"/>
  <c r="E8" i="13"/>
  <c r="F8" i="13"/>
  <c r="G8" i="13"/>
  <c r="H8" i="13"/>
  <c r="I8" i="13"/>
  <c r="J8" i="13"/>
  <c r="C9" i="13"/>
  <c r="E9" i="13"/>
  <c r="F9" i="13"/>
  <c r="G9" i="13"/>
  <c r="H9" i="13"/>
  <c r="I9" i="13"/>
  <c r="N9" i="13"/>
  <c r="O9" i="13"/>
  <c r="N10" i="13"/>
  <c r="O10" i="13"/>
  <c r="S16" i="13"/>
  <c r="T16" i="13"/>
  <c r="U16" i="13"/>
  <c r="V16" i="13"/>
  <c r="W16" i="13"/>
  <c r="S17" i="13"/>
  <c r="T17" i="13"/>
  <c r="U17" i="13"/>
  <c r="V17" i="13"/>
  <c r="W17" i="13"/>
  <c r="S20" i="13"/>
  <c r="T20" i="13"/>
  <c r="U20" i="13"/>
  <c r="V20" i="13"/>
  <c r="W20" i="13"/>
  <c r="S21" i="13"/>
  <c r="T21" i="13"/>
  <c r="U21" i="13"/>
  <c r="V21" i="13"/>
  <c r="W21" i="13"/>
  <c r="S24" i="13"/>
  <c r="T24" i="13"/>
  <c r="U24" i="13"/>
  <c r="V24" i="13"/>
  <c r="W24" i="13"/>
  <c r="E28" i="13"/>
  <c r="F28" i="13"/>
  <c r="G28" i="13"/>
  <c r="H28" i="13"/>
  <c r="I28" i="13"/>
  <c r="J28" i="13"/>
  <c r="K28" i="13"/>
  <c r="L28" i="13" a="1"/>
  <c r="L28" i="13"/>
  <c r="M28" i="13"/>
  <c r="N28" i="13"/>
  <c r="O28" i="13"/>
  <c r="P28" i="13"/>
  <c r="W28" i="13"/>
  <c r="C29" i="13"/>
  <c r="D29" i="13"/>
  <c r="E29" i="13"/>
  <c r="F29" i="13"/>
  <c r="G29" i="13"/>
  <c r="H29" i="13"/>
  <c r="I29" i="13"/>
  <c r="J29" i="13"/>
  <c r="K29" i="13"/>
  <c r="L29" i="13" a="1"/>
  <c r="L29" i="13"/>
  <c r="M29" i="13"/>
  <c r="N29" i="13"/>
  <c r="O29" i="13"/>
  <c r="P29" i="13"/>
  <c r="W29" i="13"/>
  <c r="E30" i="13"/>
  <c r="F30" i="13"/>
  <c r="G30" i="13"/>
  <c r="H30" i="13"/>
  <c r="I30" i="13"/>
  <c r="J30" i="13"/>
  <c r="K30" i="13"/>
  <c r="L30" i="13"/>
  <c r="M30" i="13"/>
  <c r="N30" i="13"/>
  <c r="O30" i="13"/>
  <c r="P30" i="13"/>
  <c r="W30" i="13"/>
  <c r="J31" i="13"/>
  <c r="L31" i="13"/>
  <c r="O31" i="13"/>
  <c r="W31" i="13"/>
  <c r="E32" i="13"/>
  <c r="J32" i="13"/>
  <c r="K32" i="13"/>
  <c r="L32" i="13"/>
  <c r="N32" i="13"/>
  <c r="O32" i="13"/>
  <c r="J33" i="13"/>
  <c r="L33" i="13"/>
  <c r="O33" i="13"/>
  <c r="W33" i="13"/>
  <c r="E34" i="13"/>
  <c r="J34" i="13"/>
  <c r="K34" i="13"/>
  <c r="L34" i="13"/>
  <c r="N34" i="13"/>
  <c r="O34" i="13"/>
  <c r="E35" i="13"/>
  <c r="J35" i="13"/>
  <c r="K35" i="13"/>
  <c r="L35" i="13"/>
  <c r="N35" i="13"/>
  <c r="O35" i="13"/>
  <c r="J51" i="13"/>
  <c r="K51" i="13"/>
  <c r="P51" i="13"/>
  <c r="J52" i="13"/>
  <c r="K52" i="13"/>
  <c r="P52" i="13"/>
  <c r="J53" i="13"/>
  <c r="K53" i="13"/>
  <c r="P53" i="13"/>
  <c r="J54" i="13"/>
  <c r="K54" i="13"/>
  <c r="P54" i="13"/>
  <c r="J55" i="13"/>
  <c r="K55" i="13"/>
  <c r="P55" i="13"/>
  <c r="J56" i="13"/>
  <c r="K56" i="13"/>
  <c r="P56" i="13"/>
  <c r="J57" i="13"/>
  <c r="K57" i="13"/>
  <c r="P57" i="13"/>
  <c r="J58" i="13"/>
  <c r="K58" i="13"/>
  <c r="P58" i="13"/>
  <c r="K59" i="13"/>
  <c r="J60" i="13"/>
  <c r="K60" i="13"/>
  <c r="P60" i="13"/>
  <c r="R60" i="13"/>
  <c r="S60" i="13"/>
  <c r="T60" i="13"/>
  <c r="J61" i="13"/>
  <c r="K61" i="13"/>
  <c r="P61" i="13"/>
  <c r="Q61" i="13"/>
  <c r="R61" i="13"/>
  <c r="S61" i="13"/>
  <c r="T61" i="13"/>
  <c r="U61" i="13"/>
  <c r="J62" i="13"/>
  <c r="K62" i="13"/>
  <c r="P62" i="13"/>
  <c r="R62" i="13"/>
  <c r="S62" i="13"/>
  <c r="T62" i="13"/>
  <c r="R63" i="13"/>
  <c r="S63" i="13"/>
  <c r="T63" i="13"/>
  <c r="R64" i="13"/>
  <c r="S64" i="13"/>
  <c r="T64" i="13"/>
  <c r="R65" i="13"/>
  <c r="S65" i="13"/>
  <c r="T65" i="13"/>
  <c r="R66" i="13"/>
  <c r="S66" i="13"/>
  <c r="T66" i="13"/>
  <c r="R67" i="13"/>
  <c r="S67" i="13"/>
  <c r="T67" i="13"/>
  <c r="C75" i="13"/>
  <c r="E76" i="13"/>
  <c r="F76" i="13"/>
  <c r="G76" i="13"/>
  <c r="H76" i="13"/>
  <c r="I76" i="13"/>
  <c r="J76" i="13"/>
  <c r="K76" i="13"/>
  <c r="L76" i="13"/>
  <c r="M76" i="13"/>
  <c r="N76" i="13" a="1"/>
  <c r="N76" i="13"/>
  <c r="O76" i="13" a="1"/>
  <c r="O76" i="13"/>
  <c r="P76" i="13" a="1"/>
  <c r="P76" i="13"/>
  <c r="Q76" i="13"/>
  <c r="R76" i="13" a="1"/>
  <c r="R76" i="13"/>
  <c r="S76" i="13" a="1"/>
  <c r="S76" i="13"/>
  <c r="T76" i="13" a="1"/>
  <c r="T76" i="13"/>
  <c r="U76" i="13" a="1"/>
  <c r="U76" i="13"/>
  <c r="V76" i="13"/>
  <c r="W76" i="13" a="1"/>
  <c r="W76" i="13"/>
  <c r="X76" i="13"/>
  <c r="E77" i="13"/>
  <c r="F77" i="13"/>
  <c r="G77" i="13"/>
  <c r="H77" i="13"/>
  <c r="I77" i="13"/>
  <c r="J77" i="13"/>
  <c r="K77" i="13"/>
  <c r="L77" i="13"/>
  <c r="M77" i="13"/>
  <c r="N77" i="13" a="1"/>
  <c r="N77" i="13"/>
  <c r="O77" i="13" a="1"/>
  <c r="O77" i="13"/>
  <c r="P77" i="13" a="1"/>
  <c r="P77" i="13"/>
  <c r="Q77" i="13"/>
  <c r="R77" i="13" a="1"/>
  <c r="R77" i="13"/>
  <c r="S77" i="13" a="1"/>
  <c r="S77" i="13"/>
  <c r="T77" i="13" a="1"/>
  <c r="T77" i="13"/>
  <c r="U77" i="13" a="1"/>
  <c r="U77" i="13"/>
  <c r="V77" i="13"/>
  <c r="W77" i="13" a="1"/>
  <c r="W77" i="13"/>
  <c r="X77" i="13"/>
  <c r="E78" i="13"/>
  <c r="F78" i="13"/>
  <c r="G78" i="13"/>
  <c r="H78" i="13"/>
  <c r="I78" i="13"/>
  <c r="J78" i="13"/>
  <c r="K78" i="13"/>
  <c r="L78" i="13"/>
  <c r="M78" i="13"/>
  <c r="N78" i="13" a="1"/>
  <c r="N78" i="13"/>
  <c r="O78" i="13" a="1"/>
  <c r="O78" i="13"/>
  <c r="P78" i="13" a="1"/>
  <c r="P78" i="13"/>
  <c r="Q78" i="13"/>
  <c r="R78" i="13" a="1"/>
  <c r="R78" i="13"/>
  <c r="S78" i="13" a="1"/>
  <c r="S78" i="13"/>
  <c r="T78" i="13" a="1"/>
  <c r="T78" i="13"/>
  <c r="U78" i="13" a="1"/>
  <c r="U78" i="13"/>
  <c r="V78" i="13"/>
  <c r="W78" i="13" a="1"/>
  <c r="W78" i="13"/>
  <c r="X78" i="13"/>
  <c r="E79" i="13"/>
  <c r="F79" i="13"/>
  <c r="G79" i="13"/>
  <c r="H79" i="13"/>
  <c r="I79" i="13"/>
  <c r="J79" i="13"/>
  <c r="K79" i="13"/>
  <c r="L79" i="13"/>
  <c r="M79" i="13"/>
  <c r="N79" i="13" a="1"/>
  <c r="N79" i="13"/>
  <c r="O79" i="13" a="1"/>
  <c r="O79" i="13"/>
  <c r="P79" i="13" a="1"/>
  <c r="P79" i="13"/>
  <c r="Q79" i="13"/>
  <c r="R79" i="13" a="1"/>
  <c r="R79" i="13"/>
  <c r="S79" i="13" a="1"/>
  <c r="S79" i="13"/>
  <c r="T79" i="13" a="1"/>
  <c r="T79" i="13"/>
  <c r="U79" i="13" a="1"/>
  <c r="U79" i="13"/>
  <c r="V79" i="13"/>
  <c r="W79" i="13" a="1"/>
  <c r="W79" i="13"/>
  <c r="X79" i="13"/>
  <c r="E80" i="13"/>
  <c r="F80" i="13"/>
  <c r="G80" i="13"/>
  <c r="H80" i="13"/>
  <c r="I80" i="13"/>
  <c r="J80" i="13"/>
  <c r="K80" i="13"/>
  <c r="L80" i="13"/>
  <c r="M80" i="13"/>
  <c r="N80" i="13" a="1"/>
  <c r="N80" i="13"/>
  <c r="O80" i="13" a="1"/>
  <c r="O80" i="13"/>
  <c r="P80" i="13" a="1"/>
  <c r="P80" i="13"/>
  <c r="Q80" i="13"/>
  <c r="R80" i="13" a="1"/>
  <c r="R80" i="13"/>
  <c r="S80" i="13" a="1"/>
  <c r="S80" i="13"/>
  <c r="T80" i="13" a="1"/>
  <c r="T80" i="13"/>
  <c r="U80" i="13" a="1"/>
  <c r="U80" i="13"/>
  <c r="V80" i="13"/>
  <c r="W80" i="13" a="1"/>
  <c r="W80" i="13"/>
  <c r="X80" i="13"/>
  <c r="E81" i="13"/>
  <c r="F81" i="13"/>
  <c r="G81" i="13"/>
  <c r="H81" i="13"/>
  <c r="I81" i="13"/>
  <c r="J81" i="13"/>
  <c r="K81" i="13"/>
  <c r="L81" i="13"/>
  <c r="M81" i="13"/>
  <c r="N81" i="13" a="1"/>
  <c r="N81" i="13"/>
  <c r="O81" i="13" a="1"/>
  <c r="O81" i="13"/>
  <c r="P81" i="13" a="1"/>
  <c r="P81" i="13"/>
  <c r="Q81" i="13"/>
  <c r="R81" i="13" a="1"/>
  <c r="R81" i="13"/>
  <c r="S81" i="13" a="1"/>
  <c r="S81" i="13"/>
  <c r="T81" i="13" a="1"/>
  <c r="T81" i="13"/>
  <c r="U81" i="13" a="1"/>
  <c r="U81" i="13"/>
  <c r="V81" i="13"/>
  <c r="W81" i="13" a="1"/>
  <c r="W81" i="13"/>
  <c r="X81" i="13"/>
  <c r="D82" i="13"/>
  <c r="E82" i="13"/>
  <c r="F82" i="13"/>
  <c r="G82" i="13"/>
  <c r="H82" i="13"/>
  <c r="I82" i="13"/>
  <c r="J82" i="13"/>
  <c r="K82" i="13"/>
  <c r="L82" i="13"/>
  <c r="M82" i="13"/>
  <c r="N82" i="13" a="1"/>
  <c r="N82" i="13"/>
  <c r="O82" i="13" a="1"/>
  <c r="O82" i="13"/>
  <c r="P82" i="13" a="1"/>
  <c r="P82" i="13"/>
  <c r="Q82" i="13"/>
  <c r="R82" i="13" a="1"/>
  <c r="R82" i="13"/>
  <c r="S82" i="13" a="1"/>
  <c r="S82" i="13"/>
  <c r="T82" i="13" a="1"/>
  <c r="T82" i="13"/>
  <c r="U82" i="13" a="1"/>
  <c r="U82" i="13"/>
  <c r="V82" i="13"/>
  <c r="W82" i="13" a="1"/>
  <c r="W82" i="13"/>
  <c r="X82" i="13"/>
  <c r="D83" i="13"/>
  <c r="E83" i="13"/>
  <c r="F83" i="13"/>
  <c r="G83" i="13"/>
  <c r="H83" i="13"/>
  <c r="I83" i="13"/>
  <c r="J83" i="13"/>
  <c r="K83" i="13"/>
  <c r="L83" i="13"/>
  <c r="M83" i="13"/>
  <c r="N83" i="13" a="1"/>
  <c r="N83" i="13"/>
  <c r="O83" i="13" a="1"/>
  <c r="O83" i="13"/>
  <c r="P83" i="13" a="1"/>
  <c r="P83" i="13"/>
  <c r="Q83" i="13"/>
  <c r="R83" i="13" a="1"/>
  <c r="R83" i="13"/>
  <c r="S83" i="13" a="1"/>
  <c r="S83" i="13"/>
  <c r="T83" i="13" a="1"/>
  <c r="T83" i="13"/>
  <c r="U83" i="13" a="1"/>
  <c r="U83" i="13"/>
  <c r="V83" i="13"/>
  <c r="W83" i="13" a="1"/>
  <c r="W83" i="13"/>
  <c r="X83" i="13"/>
  <c r="E90" i="13"/>
  <c r="F90" i="13"/>
  <c r="G90" i="13"/>
  <c r="H90" i="13"/>
  <c r="I90" i="13"/>
  <c r="J90" i="13"/>
  <c r="K90" i="13"/>
  <c r="L90" i="13"/>
  <c r="M90" i="13"/>
  <c r="N90" i="13" a="1"/>
  <c r="N90" i="13"/>
  <c r="O90" i="13" a="1"/>
  <c r="O90" i="13"/>
  <c r="P90" i="13" a="1"/>
  <c r="P90" i="13"/>
  <c r="Q90" i="13"/>
  <c r="R90" i="13" a="1"/>
  <c r="R90" i="13"/>
  <c r="S90" i="13" a="1"/>
  <c r="S90" i="13"/>
  <c r="T90" i="13" a="1"/>
  <c r="T90" i="13"/>
  <c r="U90" i="13" a="1"/>
  <c r="U90" i="13"/>
  <c r="V90" i="13"/>
  <c r="W90" i="13" a="1"/>
  <c r="W90" i="13"/>
  <c r="X90" i="13"/>
  <c r="E91" i="13"/>
  <c r="F91" i="13"/>
  <c r="G91" i="13"/>
  <c r="H91" i="13"/>
  <c r="I91" i="13"/>
  <c r="J91" i="13"/>
  <c r="K91" i="13"/>
  <c r="L91" i="13"/>
  <c r="M91" i="13"/>
  <c r="N91" i="13" a="1"/>
  <c r="N91" i="13"/>
  <c r="O91" i="13" a="1"/>
  <c r="O91" i="13"/>
  <c r="P91" i="13" a="1"/>
  <c r="P91" i="13"/>
  <c r="Q91" i="13"/>
  <c r="R91" i="13" a="1"/>
  <c r="R91" i="13"/>
  <c r="S91" i="13" a="1"/>
  <c r="S91" i="13"/>
  <c r="T91" i="13" a="1"/>
  <c r="T91" i="13"/>
  <c r="U91" i="13" a="1"/>
  <c r="U91" i="13"/>
  <c r="V91" i="13"/>
  <c r="W91" i="13" a="1"/>
  <c r="W91" i="13"/>
  <c r="X91" i="13"/>
  <c r="E104" i="13"/>
  <c r="F104" i="13"/>
  <c r="G104" i="13"/>
  <c r="I104" i="13"/>
  <c r="J104" i="13"/>
  <c r="K104" i="13"/>
  <c r="L104" i="13"/>
  <c r="M104" i="13"/>
  <c r="N104" i="13" a="1"/>
  <c r="N104" i="13"/>
  <c r="O104" i="13" a="1"/>
  <c r="O104" i="13"/>
  <c r="P104" i="13" a="1"/>
  <c r="P104" i="13"/>
  <c r="Q104" i="13"/>
  <c r="R104" i="13" a="1"/>
  <c r="R104" i="13"/>
  <c r="S104" i="13" a="1"/>
  <c r="S104" i="13"/>
  <c r="T104" i="13" a="1"/>
  <c r="T104" i="13"/>
  <c r="U104" i="13" a="1"/>
  <c r="U104" i="13"/>
  <c r="V104" i="13"/>
  <c r="W104" i="13" a="1"/>
  <c r="W104" i="13"/>
  <c r="X104" i="13"/>
  <c r="D105" i="13"/>
  <c r="E105" i="13"/>
  <c r="F105" i="13"/>
  <c r="G105" i="13"/>
  <c r="H105" i="13"/>
  <c r="I105" i="13"/>
  <c r="J105" i="13"/>
  <c r="K105" i="13"/>
  <c r="L105" i="13"/>
  <c r="M105" i="13"/>
  <c r="N105" i="13" a="1"/>
  <c r="N105" i="13"/>
  <c r="O105" i="13" a="1"/>
  <c r="O105" i="13"/>
  <c r="P105" i="13" a="1"/>
  <c r="P105" i="13"/>
  <c r="Q105" i="13"/>
  <c r="R105" i="13" a="1"/>
  <c r="R105" i="13"/>
  <c r="S105" i="13" a="1"/>
  <c r="S105" i="13"/>
  <c r="T105" i="13" a="1"/>
  <c r="T105" i="13"/>
  <c r="U105" i="13" a="1"/>
  <c r="U105" i="13"/>
  <c r="V105" i="13"/>
  <c r="W105" i="13" a="1"/>
  <c r="W105" i="13"/>
  <c r="X105" i="13"/>
  <c r="D106" i="13"/>
  <c r="E106" i="13"/>
  <c r="F106" i="13"/>
  <c r="G106" i="13"/>
  <c r="H106" i="13"/>
  <c r="I106" i="13"/>
  <c r="J106" i="13"/>
  <c r="K106" i="13"/>
  <c r="L106" i="13"/>
  <c r="M106" i="13"/>
  <c r="N106" i="13" a="1"/>
  <c r="N106" i="13"/>
  <c r="O106" i="13" a="1"/>
  <c r="O106" i="13"/>
  <c r="P106" i="13" a="1"/>
  <c r="P106" i="13"/>
  <c r="Q106" i="13"/>
  <c r="R106" i="13" a="1"/>
  <c r="R106" i="13"/>
  <c r="S106" i="13" a="1"/>
  <c r="S106" i="13"/>
  <c r="T106" i="13" a="1"/>
  <c r="T106" i="13"/>
  <c r="U106" i="13" a="1"/>
  <c r="U106" i="13"/>
  <c r="V106" i="13"/>
  <c r="W106" i="13" a="1"/>
  <c r="W106" i="13"/>
  <c r="X106" i="13"/>
  <c r="D107" i="13"/>
  <c r="E107" i="13"/>
  <c r="F107" i="13"/>
  <c r="G107" i="13"/>
  <c r="H107" i="13"/>
  <c r="I107" i="13"/>
  <c r="J107" i="13"/>
  <c r="K107" i="13"/>
  <c r="L107" i="13"/>
  <c r="M107" i="13"/>
  <c r="N107" i="13" a="1"/>
  <c r="N107" i="13"/>
  <c r="O107" i="13" a="1"/>
  <c r="O107" i="13"/>
  <c r="P107" i="13" a="1"/>
  <c r="P107" i="13"/>
  <c r="Q107" i="13"/>
  <c r="R107" i="13" a="1"/>
  <c r="R107" i="13"/>
  <c r="S107" i="13" a="1"/>
  <c r="S107" i="13"/>
  <c r="T107" i="13" a="1"/>
  <c r="T107" i="13"/>
  <c r="U107" i="13" a="1"/>
  <c r="U107" i="13"/>
  <c r="V107" i="13"/>
  <c r="W107" i="13" a="1"/>
  <c r="W107" i="13"/>
  <c r="X107" i="13"/>
  <c r="D108" i="13"/>
  <c r="E108" i="13"/>
  <c r="F108" i="13"/>
  <c r="G108" i="13"/>
  <c r="H108" i="13"/>
  <c r="I108" i="13"/>
  <c r="J108" i="13"/>
  <c r="K108" i="13"/>
  <c r="L108" i="13"/>
  <c r="M108" i="13"/>
  <c r="N108" i="13" a="1"/>
  <c r="N108" i="13"/>
  <c r="O108" i="13" a="1"/>
  <c r="O108" i="13"/>
  <c r="P108" i="13" a="1"/>
  <c r="P108" i="13"/>
  <c r="Q108" i="13"/>
  <c r="R108" i="13" a="1"/>
  <c r="R108" i="13"/>
  <c r="S108" i="13" a="1"/>
  <c r="S108" i="13"/>
  <c r="T108" i="13" a="1"/>
  <c r="T108" i="13"/>
  <c r="U108" i="13" a="1"/>
  <c r="U108" i="13"/>
  <c r="V108" i="13"/>
  <c r="W108" i="13" a="1"/>
  <c r="W108" i="13"/>
  <c r="X108" i="13"/>
  <c r="D109" i="13"/>
  <c r="E109" i="13"/>
  <c r="F109" i="13"/>
  <c r="G109" i="13"/>
  <c r="H109" i="13"/>
  <c r="I109" i="13"/>
  <c r="J109" i="13"/>
  <c r="K109" i="13"/>
  <c r="L109" i="13"/>
  <c r="M109" i="13"/>
  <c r="N109" i="13" a="1"/>
  <c r="N109" i="13"/>
  <c r="O109" i="13" a="1"/>
  <c r="O109" i="13"/>
  <c r="P109" i="13" a="1"/>
  <c r="P109" i="13"/>
  <c r="Q109" i="13"/>
  <c r="R109" i="13" a="1"/>
  <c r="R109" i="13"/>
  <c r="S109" i="13" a="1"/>
  <c r="S109" i="13"/>
  <c r="T109" i="13" a="1"/>
  <c r="T109" i="13"/>
  <c r="U109" i="13" a="1"/>
  <c r="U109" i="13"/>
  <c r="V109" i="13"/>
  <c r="W109" i="13" a="1"/>
  <c r="W109" i="13"/>
  <c r="X109" i="13"/>
  <c r="D110" i="13"/>
  <c r="E110" i="13"/>
  <c r="F110" i="13"/>
  <c r="G110" i="13"/>
  <c r="H110" i="13"/>
  <c r="I110" i="13"/>
  <c r="J110" i="13"/>
  <c r="K110" i="13"/>
  <c r="L110" i="13"/>
  <c r="M110" i="13"/>
  <c r="N110" i="13" a="1"/>
  <c r="N110" i="13"/>
  <c r="O110" i="13" a="1"/>
  <c r="O110" i="13"/>
  <c r="P110" i="13" a="1"/>
  <c r="P110" i="13"/>
  <c r="Q110" i="13"/>
  <c r="R110" i="13" a="1"/>
  <c r="R110" i="13"/>
  <c r="S110" i="13" a="1"/>
  <c r="S110" i="13"/>
  <c r="T110" i="13" a="1"/>
  <c r="T110" i="13"/>
  <c r="U110" i="13" a="1"/>
  <c r="U110" i="13"/>
  <c r="V110" i="13"/>
  <c r="W110" i="13" a="1"/>
  <c r="W110" i="13"/>
  <c r="X110" i="13"/>
  <c r="D111" i="13"/>
  <c r="E111" i="13"/>
  <c r="F111" i="13"/>
  <c r="G111" i="13"/>
  <c r="H111" i="13"/>
  <c r="I111" i="13"/>
  <c r="J111" i="13"/>
  <c r="K111" i="13"/>
  <c r="L111" i="13"/>
  <c r="M111" i="13"/>
  <c r="N111" i="13" a="1"/>
  <c r="N111" i="13"/>
  <c r="O111" i="13" a="1"/>
  <c r="O111" i="13"/>
  <c r="P111" i="13" a="1"/>
  <c r="P111" i="13"/>
  <c r="Q111" i="13"/>
  <c r="R111" i="13" a="1"/>
  <c r="R111" i="13"/>
  <c r="S111" i="13" a="1"/>
  <c r="S111" i="13"/>
  <c r="T111" i="13" a="1"/>
  <c r="T111" i="13"/>
  <c r="U111" i="13" a="1"/>
  <c r="U111" i="13"/>
  <c r="V111" i="13"/>
  <c r="W111" i="13" a="1"/>
  <c r="W111" i="13"/>
  <c r="X111" i="13"/>
  <c r="D112" i="13"/>
  <c r="E112" i="13"/>
  <c r="F112" i="13"/>
  <c r="G112" i="13"/>
  <c r="H112" i="13"/>
  <c r="I112" i="13"/>
  <c r="J112" i="13"/>
  <c r="K112" i="13"/>
  <c r="L112" i="13"/>
  <c r="M112" i="13"/>
  <c r="N112" i="13" a="1"/>
  <c r="N112" i="13"/>
  <c r="O112" i="13" a="1"/>
  <c r="O112" i="13"/>
  <c r="P112" i="13" a="1"/>
  <c r="P112" i="13"/>
  <c r="Q112" i="13"/>
  <c r="R112" i="13" a="1"/>
  <c r="R112" i="13"/>
  <c r="S112" i="13" a="1"/>
  <c r="S112" i="13"/>
  <c r="T112" i="13" a="1"/>
  <c r="T112" i="13"/>
  <c r="U112" i="13" a="1"/>
  <c r="U112" i="13"/>
  <c r="V112" i="13"/>
  <c r="W112" i="13" a="1"/>
  <c r="W112" i="13"/>
  <c r="X112" i="13"/>
  <c r="D113" i="13"/>
  <c r="E113" i="13"/>
  <c r="F113" i="13"/>
  <c r="G113" i="13"/>
  <c r="H113" i="13"/>
  <c r="I113" i="13"/>
  <c r="J113" i="13"/>
  <c r="K113" i="13"/>
  <c r="L113" i="13"/>
  <c r="M113" i="13"/>
  <c r="N113" i="13" a="1"/>
  <c r="N113" i="13"/>
  <c r="O113" i="13" a="1"/>
  <c r="O113" i="13"/>
  <c r="P113" i="13" a="1"/>
  <c r="P113" i="13"/>
  <c r="Q113" i="13"/>
  <c r="R113" i="13" a="1"/>
  <c r="R113" i="13"/>
  <c r="S113" i="13" a="1"/>
  <c r="S113" i="13"/>
  <c r="T113" i="13" a="1"/>
  <c r="T113" i="13"/>
  <c r="U113" i="13" a="1"/>
  <c r="U113" i="13"/>
  <c r="V113" i="13"/>
  <c r="W113" i="13" a="1"/>
  <c r="W113" i="13"/>
  <c r="X113" i="13"/>
  <c r="D114" i="13"/>
  <c r="E114" i="13"/>
  <c r="F114" i="13"/>
  <c r="G114" i="13"/>
  <c r="H114" i="13"/>
  <c r="I114" i="13"/>
  <c r="J114" i="13"/>
  <c r="K114" i="13"/>
  <c r="L114" i="13"/>
  <c r="M114" i="13"/>
  <c r="N114" i="13" a="1"/>
  <c r="N114" i="13"/>
  <c r="O114" i="13" a="1"/>
  <c r="O114" i="13"/>
  <c r="P114" i="13" a="1"/>
  <c r="P114" i="13"/>
  <c r="Q114" i="13"/>
  <c r="R114" i="13" a="1"/>
  <c r="R114" i="13"/>
  <c r="S114" i="13" a="1"/>
  <c r="S114" i="13"/>
  <c r="T114" i="13" a="1"/>
  <c r="T114" i="13"/>
  <c r="U114" i="13" a="1"/>
  <c r="U114" i="13"/>
  <c r="V114" i="13"/>
  <c r="W114" i="13" a="1"/>
  <c r="W114" i="13"/>
  <c r="X114" i="13"/>
  <c r="D115" i="13"/>
  <c r="E115" i="13"/>
  <c r="F115" i="13"/>
  <c r="G115" i="13"/>
  <c r="H115" i="13"/>
  <c r="I115" i="13"/>
  <c r="J115" i="13"/>
  <c r="K115" i="13"/>
  <c r="L115" i="13"/>
  <c r="M115" i="13"/>
  <c r="N115" i="13" a="1"/>
  <c r="N115" i="13"/>
  <c r="O115" i="13" a="1"/>
  <c r="O115" i="13"/>
  <c r="P115" i="13" a="1"/>
  <c r="P115" i="13"/>
  <c r="Q115" i="13"/>
  <c r="R115" i="13" a="1"/>
  <c r="R115" i="13"/>
  <c r="S115" i="13" a="1"/>
  <c r="S115" i="13"/>
  <c r="T115" i="13" a="1"/>
  <c r="T115" i="13"/>
  <c r="U115" i="13" a="1"/>
  <c r="U115" i="13"/>
  <c r="V115" i="13"/>
  <c r="W115" i="13" a="1"/>
  <c r="W115" i="13"/>
  <c r="X115" i="13"/>
  <c r="D116" i="13"/>
  <c r="E116" i="13"/>
  <c r="F116" i="13"/>
  <c r="G116" i="13"/>
  <c r="H116" i="13"/>
  <c r="I116" i="13"/>
  <c r="J116" i="13"/>
  <c r="K116" i="13"/>
  <c r="L116" i="13"/>
  <c r="M116" i="13"/>
  <c r="N116" i="13" a="1"/>
  <c r="N116" i="13"/>
  <c r="O116" i="13" a="1"/>
  <c r="O116" i="13"/>
  <c r="P116" i="13" a="1"/>
  <c r="P116" i="13"/>
  <c r="Q116" i="13"/>
  <c r="R116" i="13" a="1"/>
  <c r="R116" i="13"/>
  <c r="S116" i="13" a="1"/>
  <c r="S116" i="13"/>
  <c r="T116" i="13" a="1"/>
  <c r="T116" i="13"/>
  <c r="U116" i="13" a="1"/>
  <c r="U116" i="13"/>
  <c r="V116" i="13"/>
  <c r="W116" i="13" a="1"/>
  <c r="W116" i="13"/>
  <c r="X116" i="13"/>
  <c r="D117" i="13"/>
  <c r="E117" i="13"/>
  <c r="F117" i="13"/>
  <c r="G117" i="13"/>
  <c r="H117" i="13"/>
  <c r="I117" i="13"/>
  <c r="J117" i="13"/>
  <c r="K117" i="13"/>
  <c r="L117" i="13"/>
  <c r="M117" i="13"/>
  <c r="N117" i="13" a="1"/>
  <c r="N117" i="13"/>
  <c r="O117" i="13" a="1"/>
  <c r="O117" i="13"/>
  <c r="P117" i="13" a="1"/>
  <c r="P117" i="13"/>
  <c r="Q117" i="13"/>
  <c r="R117" i="13" a="1"/>
  <c r="R117" i="13"/>
  <c r="S117" i="13" a="1"/>
  <c r="S117" i="13"/>
  <c r="T117" i="13" a="1"/>
  <c r="T117" i="13"/>
  <c r="U117" i="13" a="1"/>
  <c r="U117" i="13"/>
  <c r="V117" i="13"/>
  <c r="W117" i="13" a="1"/>
  <c r="W117" i="13"/>
  <c r="X117" i="13"/>
  <c r="D118" i="13"/>
  <c r="E118" i="13"/>
  <c r="F118" i="13"/>
  <c r="G118" i="13"/>
  <c r="H118" i="13"/>
  <c r="I118" i="13"/>
  <c r="J118" i="13"/>
  <c r="K118" i="13"/>
  <c r="L118" i="13"/>
  <c r="M118" i="13"/>
  <c r="N118" i="13" a="1"/>
  <c r="N118" i="13"/>
  <c r="O118" i="13" a="1"/>
  <c r="O118" i="13"/>
  <c r="P118" i="13" a="1"/>
  <c r="P118" i="13"/>
  <c r="Q118" i="13"/>
  <c r="R118" i="13" a="1"/>
  <c r="R118" i="13"/>
  <c r="S118" i="13" a="1"/>
  <c r="S118" i="13"/>
  <c r="T118" i="13" a="1"/>
  <c r="T118" i="13"/>
  <c r="U118" i="13" a="1"/>
  <c r="U118" i="13"/>
  <c r="V118" i="13"/>
  <c r="W118" i="13" a="1"/>
  <c r="W118" i="13"/>
  <c r="X118" i="13"/>
  <c r="D119" i="13"/>
  <c r="E119" i="13"/>
  <c r="F119" i="13"/>
  <c r="G119" i="13"/>
  <c r="H119" i="13"/>
  <c r="I119" i="13"/>
  <c r="J119" i="13"/>
  <c r="K119" i="13"/>
  <c r="L119" i="13"/>
  <c r="M119" i="13"/>
  <c r="N119" i="13" a="1"/>
  <c r="N119" i="13"/>
  <c r="O119" i="13" a="1"/>
  <c r="O119" i="13"/>
  <c r="P119" i="13" a="1"/>
  <c r="P119" i="13"/>
  <c r="Q119" i="13"/>
  <c r="R119" i="13" a="1"/>
  <c r="R119" i="13"/>
  <c r="S119" i="13" a="1"/>
  <c r="S119" i="13"/>
  <c r="T119" i="13" a="1"/>
  <c r="T119" i="13"/>
  <c r="U119" i="13" a="1"/>
  <c r="U119" i="13"/>
  <c r="V119" i="13"/>
  <c r="W119" i="13" a="1"/>
  <c r="W119" i="13"/>
  <c r="X119" i="13"/>
  <c r="D120" i="13"/>
  <c r="E120" i="13"/>
  <c r="F120" i="13"/>
  <c r="G120" i="13"/>
  <c r="H120" i="13"/>
  <c r="I120" i="13"/>
  <c r="J120" i="13"/>
  <c r="K120" i="13"/>
  <c r="L120" i="13"/>
  <c r="M120" i="13"/>
  <c r="N120" i="13" a="1"/>
  <c r="N120" i="13"/>
  <c r="O120" i="13" a="1"/>
  <c r="O120" i="13"/>
  <c r="P120" i="13" a="1"/>
  <c r="P120" i="13"/>
  <c r="Q120" i="13"/>
  <c r="R120" i="13" a="1"/>
  <c r="R120" i="13"/>
  <c r="S120" i="13" a="1"/>
  <c r="S120" i="13"/>
  <c r="T120" i="13" a="1"/>
  <c r="T120" i="13"/>
  <c r="U120" i="13" a="1"/>
  <c r="U120" i="13"/>
  <c r="V120" i="13"/>
  <c r="W120" i="13" a="1"/>
  <c r="W120" i="13"/>
  <c r="X120" i="13"/>
  <c r="D121" i="13"/>
  <c r="E121" i="13"/>
  <c r="F121" i="13"/>
  <c r="G121" i="13"/>
  <c r="H121" i="13"/>
  <c r="I121" i="13"/>
  <c r="J121" i="13"/>
  <c r="K121" i="13"/>
  <c r="L121" i="13"/>
  <c r="M121" i="13"/>
  <c r="N121" i="13" a="1"/>
  <c r="N121" i="13"/>
  <c r="O121" i="13" a="1"/>
  <c r="O121" i="13"/>
  <c r="P121" i="13" a="1"/>
  <c r="P121" i="13"/>
  <c r="Q121" i="13"/>
  <c r="R121" i="13" a="1"/>
  <c r="R121" i="13"/>
  <c r="S121" i="13" a="1"/>
  <c r="S121" i="13"/>
  <c r="T121" i="13" a="1"/>
  <c r="T121" i="13"/>
  <c r="U121" i="13" a="1"/>
  <c r="U121" i="13"/>
  <c r="V121" i="13"/>
  <c r="W121" i="13" a="1"/>
  <c r="W121" i="13"/>
  <c r="X121" i="13"/>
  <c r="D122" i="13"/>
  <c r="E122" i="13"/>
  <c r="F122" i="13"/>
  <c r="G122" i="13"/>
  <c r="H122" i="13"/>
  <c r="I122" i="13"/>
  <c r="J122" i="13"/>
  <c r="K122" i="13"/>
  <c r="L122" i="13"/>
  <c r="M122" i="13"/>
  <c r="N122" i="13" a="1"/>
  <c r="N122" i="13"/>
  <c r="O122" i="13" a="1"/>
  <c r="O122" i="13"/>
  <c r="P122" i="13" a="1"/>
  <c r="P122" i="13"/>
  <c r="Q122" i="13"/>
  <c r="R122" i="13" a="1"/>
  <c r="R122" i="13"/>
  <c r="S122" i="13" a="1"/>
  <c r="S122" i="13"/>
  <c r="T122" i="13" a="1"/>
  <c r="T122" i="13"/>
  <c r="U122" i="13" a="1"/>
  <c r="U122" i="13"/>
  <c r="V122" i="13"/>
  <c r="W122" i="13" a="1"/>
  <c r="W122" i="13"/>
  <c r="X122" i="13"/>
  <c r="D123" i="13"/>
  <c r="E123" i="13"/>
  <c r="F123" i="13"/>
  <c r="G123" i="13"/>
  <c r="H123" i="13"/>
  <c r="I123" i="13"/>
  <c r="J123" i="13"/>
  <c r="K123" i="13"/>
  <c r="L123" i="13"/>
  <c r="M123" i="13"/>
  <c r="N123" i="13" a="1"/>
  <c r="N123" i="13"/>
  <c r="O123" i="13" a="1"/>
  <c r="O123" i="13"/>
  <c r="P123" i="13" a="1"/>
  <c r="P123" i="13"/>
  <c r="Q123" i="13"/>
  <c r="R123" i="13" a="1"/>
  <c r="R123" i="13"/>
  <c r="S123" i="13" a="1"/>
  <c r="S123" i="13"/>
  <c r="T123" i="13" a="1"/>
  <c r="T123" i="13"/>
  <c r="U123" i="13" a="1"/>
  <c r="U123" i="13"/>
  <c r="V123" i="13"/>
  <c r="W123" i="13" a="1"/>
  <c r="W123" i="13"/>
  <c r="X123" i="13"/>
  <c r="D124" i="13"/>
  <c r="E124" i="13"/>
  <c r="F124" i="13"/>
  <c r="G124" i="13"/>
  <c r="H124" i="13"/>
  <c r="I124" i="13"/>
  <c r="J124" i="13"/>
  <c r="K124" i="13"/>
  <c r="L124" i="13"/>
  <c r="M124" i="13"/>
  <c r="N124" i="13" a="1"/>
  <c r="N124" i="13"/>
  <c r="O124" i="13" a="1"/>
  <c r="O124" i="13"/>
  <c r="P124" i="13" a="1"/>
  <c r="P124" i="13"/>
  <c r="Q124" i="13"/>
  <c r="R124" i="13" a="1"/>
  <c r="R124" i="13"/>
  <c r="S124" i="13" a="1"/>
  <c r="S124" i="13"/>
  <c r="T124" i="13" a="1"/>
  <c r="T124" i="13"/>
  <c r="U124" i="13" a="1"/>
  <c r="U124" i="13"/>
  <c r="V124" i="13"/>
  <c r="W124" i="13" a="1"/>
  <c r="W124" i="13"/>
  <c r="X124" i="13"/>
  <c r="D125" i="13"/>
  <c r="E125" i="13"/>
  <c r="F125" i="13"/>
  <c r="G125" i="13"/>
  <c r="H125" i="13"/>
  <c r="I125" i="13"/>
  <c r="J125" i="13"/>
  <c r="K125" i="13"/>
  <c r="L125" i="13"/>
  <c r="M125" i="13"/>
  <c r="N125" i="13" a="1"/>
  <c r="N125" i="13"/>
  <c r="O125" i="13" a="1"/>
  <c r="O125" i="13"/>
  <c r="P125" i="13" a="1"/>
  <c r="P125" i="13"/>
  <c r="Q125" i="13"/>
  <c r="R125" i="13" a="1"/>
  <c r="R125" i="13"/>
  <c r="S125" i="13" a="1"/>
  <c r="S125" i="13"/>
  <c r="T125" i="13" a="1"/>
  <c r="T125" i="13"/>
  <c r="U125" i="13" a="1"/>
  <c r="U125" i="13"/>
  <c r="V125" i="13"/>
  <c r="W125" i="13" a="1"/>
  <c r="W125" i="13"/>
  <c r="X125" i="13"/>
  <c r="D126" i="13"/>
  <c r="E126" i="13"/>
  <c r="F126" i="13"/>
  <c r="G126" i="13"/>
  <c r="H126" i="13"/>
  <c r="I126" i="13"/>
  <c r="J126" i="13"/>
  <c r="K126" i="13"/>
  <c r="L126" i="13"/>
  <c r="M126" i="13"/>
  <c r="N126" i="13" a="1"/>
  <c r="N126" i="13"/>
  <c r="O126" i="13" a="1"/>
  <c r="O126" i="13"/>
  <c r="P126" i="13" a="1"/>
  <c r="P126" i="13"/>
  <c r="Q126" i="13"/>
  <c r="R126" i="13" a="1"/>
  <c r="R126" i="13"/>
  <c r="S126" i="13" a="1"/>
  <c r="S126" i="13"/>
  <c r="T126" i="13" a="1"/>
  <c r="T126" i="13"/>
  <c r="U126" i="13" a="1"/>
  <c r="U126" i="13"/>
  <c r="V126" i="13"/>
  <c r="W126" i="13" a="1"/>
  <c r="W126" i="13"/>
  <c r="X126" i="13"/>
  <c r="D127" i="13"/>
  <c r="E127" i="13"/>
  <c r="F127" i="13"/>
  <c r="G127" i="13"/>
  <c r="H127" i="13"/>
  <c r="I127" i="13"/>
  <c r="J127" i="13"/>
  <c r="K127" i="13"/>
  <c r="L127" i="13"/>
  <c r="M127" i="13"/>
  <c r="N127" i="13" a="1"/>
  <c r="N127" i="13"/>
  <c r="O127" i="13" a="1"/>
  <c r="O127" i="13"/>
  <c r="P127" i="13" a="1"/>
  <c r="P127" i="13"/>
  <c r="Q127" i="13"/>
  <c r="R127" i="13" a="1"/>
  <c r="R127" i="13"/>
  <c r="S127" i="13" a="1"/>
  <c r="S127" i="13"/>
  <c r="T127" i="13" a="1"/>
  <c r="T127" i="13"/>
  <c r="U127" i="13" a="1"/>
  <c r="U127" i="13"/>
  <c r="V127" i="13"/>
  <c r="W127" i="13" a="1"/>
  <c r="W127" i="13"/>
  <c r="X127" i="13"/>
  <c r="D128" i="13"/>
  <c r="E128" i="13"/>
  <c r="F128" i="13"/>
  <c r="G128" i="13"/>
  <c r="H128" i="13"/>
  <c r="I128" i="13"/>
  <c r="J128" i="13"/>
  <c r="K128" i="13"/>
  <c r="L128" i="13"/>
  <c r="M128" i="13"/>
  <c r="N128" i="13" a="1"/>
  <c r="N128" i="13"/>
  <c r="O128" i="13" a="1"/>
  <c r="O128" i="13"/>
  <c r="P128" i="13" a="1"/>
  <c r="P128" i="13"/>
  <c r="Q128" i="13"/>
  <c r="R128" i="13" a="1"/>
  <c r="R128" i="13"/>
  <c r="S128" i="13" a="1"/>
  <c r="S128" i="13"/>
  <c r="T128" i="13" a="1"/>
  <c r="T128" i="13"/>
  <c r="U128" i="13" a="1"/>
  <c r="U128" i="13"/>
  <c r="V128" i="13"/>
  <c r="W128" i="13" a="1"/>
  <c r="W128" i="13"/>
  <c r="X128" i="13"/>
  <c r="D129" i="13"/>
  <c r="E129" i="13"/>
  <c r="F129" i="13"/>
  <c r="G129" i="13"/>
  <c r="H129" i="13"/>
  <c r="I129" i="13"/>
  <c r="J129" i="13"/>
  <c r="K129" i="13"/>
  <c r="L129" i="13"/>
  <c r="M129" i="13"/>
  <c r="N129" i="13" a="1"/>
  <c r="N129" i="13"/>
  <c r="O129" i="13" a="1"/>
  <c r="O129" i="13"/>
  <c r="P129" i="13" a="1"/>
  <c r="P129" i="13"/>
  <c r="Q129" i="13"/>
  <c r="R129" i="13" a="1"/>
  <c r="R129" i="13"/>
  <c r="S129" i="13" a="1"/>
  <c r="S129" i="13"/>
  <c r="T129" i="13" a="1"/>
  <c r="T129" i="13"/>
  <c r="U129" i="13" a="1"/>
  <c r="U129" i="13"/>
  <c r="V129" i="13"/>
  <c r="W129" i="13" a="1"/>
  <c r="W129" i="13"/>
  <c r="X129" i="13"/>
  <c r="D130" i="13"/>
  <c r="E130" i="13"/>
  <c r="F130" i="13"/>
  <c r="G130" i="13"/>
  <c r="H130" i="13"/>
  <c r="I130" i="13"/>
  <c r="J130" i="13"/>
  <c r="K130" i="13"/>
  <c r="M130" i="13"/>
  <c r="N130" i="13" a="1"/>
  <c r="N130" i="13"/>
  <c r="O130" i="13" a="1"/>
  <c r="O130" i="13"/>
  <c r="P130" i="13" a="1"/>
  <c r="P130" i="13"/>
  <c r="Q130" i="13"/>
  <c r="R130" i="13" a="1"/>
  <c r="R130" i="13"/>
  <c r="S130" i="13" a="1"/>
  <c r="S130" i="13"/>
  <c r="T130" i="13" a="1"/>
  <c r="T130" i="13"/>
  <c r="U130" i="13" a="1"/>
  <c r="U130" i="13"/>
  <c r="V130" i="13"/>
  <c r="W130" i="13" a="1"/>
  <c r="W130" i="13"/>
  <c r="X130" i="13"/>
  <c r="C132" i="13"/>
  <c r="E132" i="13"/>
  <c r="F132" i="13"/>
  <c r="G132" i="13"/>
  <c r="H132" i="13"/>
  <c r="I132" i="13"/>
  <c r="J132" i="13"/>
  <c r="K132" i="13"/>
  <c r="L132" i="13"/>
  <c r="M132" i="13"/>
  <c r="N132" i="13"/>
  <c r="O132" i="13"/>
  <c r="P132" i="13"/>
  <c r="Q132" i="13"/>
  <c r="R132" i="13"/>
  <c r="S132" i="13"/>
  <c r="T132" i="13"/>
  <c r="U132" i="13"/>
  <c r="V132" i="13"/>
  <c r="W132" i="13"/>
  <c r="X132" i="13"/>
  <c r="E135" i="13"/>
  <c r="F135" i="13"/>
  <c r="G135" i="13"/>
  <c r="H135" i="13"/>
  <c r="I135" i="13"/>
  <c r="J135" i="13"/>
  <c r="K135" i="13"/>
  <c r="L135" i="13"/>
  <c r="M135" i="13"/>
  <c r="N135" i="13" a="1"/>
  <c r="N135" i="13"/>
  <c r="O135" i="13" a="1"/>
  <c r="O135" i="13"/>
  <c r="P135" i="13" a="1"/>
  <c r="P135" i="13"/>
  <c r="Q135" i="13"/>
  <c r="R135" i="13" a="1"/>
  <c r="R135" i="13"/>
  <c r="S135" i="13" a="1"/>
  <c r="S135" i="13"/>
  <c r="T135" i="13" a="1"/>
  <c r="T135" i="13"/>
  <c r="U135" i="13" a="1"/>
  <c r="U135" i="13"/>
  <c r="V135" i="13"/>
  <c r="W135" i="13" a="1"/>
  <c r="W135" i="13"/>
  <c r="X135" i="13"/>
  <c r="C137" i="13"/>
  <c r="D137" i="13"/>
  <c r="E137" i="13"/>
  <c r="F137" i="13"/>
  <c r="G137" i="13"/>
  <c r="H137" i="13"/>
  <c r="I137" i="13"/>
  <c r="J137" i="13"/>
  <c r="K137" i="13"/>
  <c r="L137" i="13"/>
  <c r="M137" i="13"/>
  <c r="N137" i="13"/>
  <c r="O137" i="13"/>
  <c r="P137" i="13"/>
  <c r="Q137" i="13"/>
  <c r="R137" i="13"/>
  <c r="S137" i="13"/>
  <c r="T137" i="13"/>
  <c r="U137" i="13"/>
  <c r="V137" i="13"/>
  <c r="W137" i="13"/>
  <c r="X137" i="13"/>
  <c r="D141" i="13"/>
  <c r="E141" i="13"/>
  <c r="F141" i="13"/>
  <c r="G141" i="13"/>
  <c r="H141" i="13"/>
  <c r="I141" i="13"/>
  <c r="J141" i="13"/>
  <c r="K141" i="13"/>
  <c r="L141" i="13"/>
  <c r="M141" i="13"/>
  <c r="N141" i="13" a="1"/>
  <c r="N141" i="13"/>
  <c r="O141" i="13" a="1"/>
  <c r="O141" i="13"/>
  <c r="P141" i="13" a="1"/>
  <c r="P141" i="13"/>
  <c r="Q141" i="13"/>
  <c r="R141" i="13" a="1"/>
  <c r="R141" i="13"/>
  <c r="S141" i="13" a="1"/>
  <c r="S141" i="13"/>
  <c r="T141" i="13" a="1"/>
  <c r="T141" i="13"/>
  <c r="U141" i="13" a="1"/>
  <c r="U141" i="13"/>
  <c r="V141" i="13"/>
  <c r="W141" i="13" a="1"/>
  <c r="W141" i="13"/>
  <c r="X141" i="13"/>
  <c r="D142" i="13"/>
  <c r="E142" i="13"/>
  <c r="F142" i="13"/>
  <c r="G142" i="13"/>
  <c r="H142" i="13"/>
  <c r="I142" i="13"/>
  <c r="J142" i="13"/>
  <c r="K142" i="13"/>
  <c r="L142" i="13"/>
  <c r="M142" i="13"/>
  <c r="N142" i="13" a="1"/>
  <c r="N142" i="13"/>
  <c r="O142" i="13" a="1"/>
  <c r="O142" i="13"/>
  <c r="P142" i="13" a="1"/>
  <c r="P142" i="13"/>
  <c r="Q142" i="13"/>
  <c r="R142" i="13" a="1"/>
  <c r="R142" i="13"/>
  <c r="S142" i="13" a="1"/>
  <c r="S142" i="13"/>
  <c r="T142" i="13" a="1"/>
  <c r="T142" i="13"/>
  <c r="U142" i="13" a="1"/>
  <c r="U142" i="13"/>
  <c r="V142" i="13"/>
  <c r="W142" i="13" a="1"/>
  <c r="W142" i="13"/>
  <c r="X142" i="13"/>
  <c r="D143" i="13"/>
  <c r="E143" i="13"/>
  <c r="F143" i="13"/>
  <c r="G143" i="13"/>
  <c r="H143" i="13"/>
  <c r="I143" i="13"/>
  <c r="J143" i="13"/>
  <c r="K143" i="13"/>
  <c r="L143" i="13"/>
  <c r="M143" i="13"/>
  <c r="N143" i="13" a="1"/>
  <c r="N143" i="13"/>
  <c r="O143" i="13" a="1"/>
  <c r="O143" i="13"/>
  <c r="P143" i="13" a="1"/>
  <c r="P143" i="13"/>
  <c r="Q143" i="13"/>
  <c r="R143" i="13" a="1"/>
  <c r="R143" i="13"/>
  <c r="S143" i="13" a="1"/>
  <c r="S143" i="13"/>
  <c r="T143" i="13" a="1"/>
  <c r="T143" i="13"/>
  <c r="U143" i="13" a="1"/>
  <c r="U143" i="13"/>
  <c r="V143" i="13"/>
  <c r="W143" i="13" a="1"/>
  <c r="W143" i="13"/>
  <c r="X143" i="13"/>
  <c r="D144" i="13"/>
  <c r="E144" i="13"/>
  <c r="F144" i="13"/>
  <c r="G144" i="13"/>
  <c r="H144" i="13"/>
  <c r="I144" i="13"/>
  <c r="J144" i="13"/>
  <c r="K144" i="13"/>
  <c r="L144" i="13"/>
  <c r="M144" i="13"/>
  <c r="N144" i="13" a="1"/>
  <c r="N144" i="13"/>
  <c r="O144" i="13" a="1"/>
  <c r="O144" i="13"/>
  <c r="P144" i="13" a="1"/>
  <c r="P144" i="13"/>
  <c r="Q144" i="13"/>
  <c r="R144" i="13" a="1"/>
  <c r="R144" i="13"/>
  <c r="S144" i="13" a="1"/>
  <c r="S144" i="13"/>
  <c r="T144" i="13" a="1"/>
  <c r="T144" i="13"/>
  <c r="U144" i="13" a="1"/>
  <c r="U144" i="13"/>
  <c r="V144" i="13"/>
  <c r="W144" i="13" a="1"/>
  <c r="W144" i="13"/>
  <c r="X144" i="13"/>
  <c r="D145" i="13"/>
  <c r="E145" i="13"/>
  <c r="F145" i="13"/>
  <c r="G145" i="13"/>
  <c r="H145" i="13"/>
  <c r="I145" i="13"/>
  <c r="J145" i="13"/>
  <c r="K145" i="13"/>
  <c r="L145" i="13"/>
  <c r="M145" i="13"/>
  <c r="N145" i="13" a="1"/>
  <c r="N145" i="13"/>
  <c r="O145" i="13" a="1"/>
  <c r="O145" i="13"/>
  <c r="P145" i="13" a="1"/>
  <c r="P145" i="13"/>
  <c r="Q145" i="13"/>
  <c r="R145" i="13" a="1"/>
  <c r="R145" i="13"/>
  <c r="S145" i="13" a="1"/>
  <c r="S145" i="13"/>
  <c r="T145" i="13" a="1"/>
  <c r="T145" i="13"/>
  <c r="U145" i="13" a="1"/>
  <c r="U145" i="13"/>
  <c r="V145" i="13"/>
  <c r="W145" i="13" a="1"/>
  <c r="W145" i="13"/>
  <c r="X145" i="13"/>
  <c r="D146" i="13"/>
  <c r="E146" i="13"/>
  <c r="F146" i="13"/>
  <c r="G146" i="13"/>
  <c r="H146" i="13"/>
  <c r="I146" i="13"/>
  <c r="J146" i="13"/>
  <c r="K146" i="13"/>
  <c r="L146" i="13"/>
  <c r="M146" i="13"/>
  <c r="N146" i="13" a="1"/>
  <c r="N146" i="13"/>
  <c r="O146" i="13" a="1"/>
  <c r="O146" i="13"/>
  <c r="P146" i="13" a="1"/>
  <c r="P146" i="13"/>
  <c r="Q146" i="13"/>
  <c r="R146" i="13" a="1"/>
  <c r="R146" i="13"/>
  <c r="S146" i="13" a="1"/>
  <c r="S146" i="13"/>
  <c r="T146" i="13" a="1"/>
  <c r="T146" i="13"/>
  <c r="U146" i="13" a="1"/>
  <c r="U146" i="13"/>
  <c r="V146" i="13"/>
  <c r="W146" i="13" a="1"/>
  <c r="W146" i="13"/>
  <c r="X14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E30" authorId="0" shapeId="0" xr:uid="{C7E90CB0-45C7-4B1B-A944-6770800CA023}">
      <text>
        <r>
          <rPr>
            <sz val="9"/>
            <color indexed="81"/>
            <rFont val="Tahoma"/>
            <family val="2"/>
          </rPr>
          <t>Furthermore, subsequent to March 31, 2022 , Boeing notified United thatseven Boeing 737 MAX aircraft and two Boeing 787 aircraft scheduled for delivery in 2022, as shown in the table above, are now expected to deliver in2023.</t>
        </r>
      </text>
    </comment>
    <comment ref="E31" authorId="0" shapeId="0" xr:uid="{33EE1B61-9D40-431F-AC4D-A63F0EA26D9B}">
      <text>
        <r>
          <rPr>
            <sz val="9"/>
            <color indexed="81"/>
            <rFont val="Tahoma"/>
            <family val="2"/>
          </rPr>
          <t>Furthermore, subsequent to March 31, 2022 , Boeing notified United thatseven Boeing 737 MAX aircraft and two Boeing 787 aircraft scheduled for delivery in 2022, as shown in the table above, are now expected to deliver in2023.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Q23" authorId="0" shapeId="0" xr:uid="{FA54244F-41C1-4DF8-9845-5B38AD75FF93}">
      <text>
        <r>
          <rPr>
            <sz val="14"/>
            <color indexed="81"/>
            <rFont val="Tahoma"/>
            <family val="2"/>
          </rPr>
          <t>As of March 31, 2022, we had $1.75 billion undrawn and available under our revolving credit facility</t>
        </r>
      </text>
    </comment>
    <comment ref="S29" authorId="0" shapeId="0" xr:uid="{FAF17FCC-BC37-4BE1-828E-EB702B15FDE1}">
      <text>
        <r>
          <rPr>
            <sz val="14"/>
            <color indexed="81"/>
            <rFont val="Tahoma"/>
            <family val="2"/>
          </rPr>
          <t>As of March 31, 2022, we had $1.75 billion undrawn and available under our revolving credit facility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C26" authorId="0" shapeId="0" xr:uid="{ADF82699-37D0-4218-8EEA-FF0C162AD928}">
      <text>
        <r>
          <rPr>
            <sz val="9"/>
            <color indexed="81"/>
            <rFont val="Tahoma"/>
            <family val="2"/>
          </rPr>
          <t>Profit sharing expense is recorded as a component of Salaries and related costs in the Company's statements of consolidated operations.  
Substantially all employees participate in profit sharing based on a percentage of pre-tax earnings, excluding special charges, profit sharing expense and share-based compensation. Profit sharing percentages range from 5% to 20% depending on the work group, and in some cases profit sharing percentages vary above and below certain pre-tax margin thresholds. 
Eligible U.S. co-workers in each participating work group receive a profit sharing payout using a formula based on the ratio of each qualified co-worker's annual eligible earnings to the eligible earnings of all qualified co-workers in all domestic work groups. Eligible non-U.S. co-workers receive profit sharing based on the calculation under the U.S. profit sharing plan for management and administrative employees.</t>
        </r>
      </text>
    </comment>
    <comment ref="C69" authorId="0" shapeId="0" xr:uid="{0D24BC7C-571E-4D83-984C-EEE5EB9A799D}">
      <text>
        <r>
          <rPr>
            <sz val="9"/>
            <color indexed="81"/>
            <rFont val="Tahoma"/>
            <family val="2"/>
          </rPr>
          <t xml:space="preserve">UAL also believes that excluding third-party business expenses, such as maintenance, ground handling and catering services for third parties, provides more meaningful disclosure because these expenses are not directly related to UAL's core business  </t>
        </r>
      </text>
    </comment>
    <comment ref="AA198" authorId="0" shapeId="0" xr:uid="{E68498B5-8DC4-42B0-BE5B-8B8648EB8DED}">
      <text>
        <r>
          <rPr>
            <sz val="9"/>
            <color indexed="81"/>
            <rFont val="Tahoma"/>
            <family val="2"/>
          </rPr>
          <t>Projected amortization expense in 2022, 2023, 2024, 2025 and 2026 is $40 million, $37 million, $32 million, $28 million and $18 million, respectively.</t>
        </r>
      </text>
    </comment>
    <comment ref="R246" authorId="0" shapeId="0" xr:uid="{81347F3E-17A9-4305-BA2B-AC7500569BD7}">
      <text>
        <r>
          <rPr>
            <sz val="9"/>
            <color indexed="81"/>
            <rFont val="Tahoma"/>
            <family val="2"/>
          </rPr>
          <t>Though the CARES Act Loan was terminated and repaid in full on April 20, 2021, United and its affiliates agreed in the corresponding term loan and guarantee agreement to comply with certain surviving provisions (i) prohibiting the payment of dividends and the repurchase of certain equity until April 20, 2022</t>
        </r>
      </text>
    </comment>
    <comment ref="Y246" authorId="0" shapeId="0" xr:uid="{F2155B9A-088C-4111-B24F-EA27935FC3B5}">
      <text>
        <r>
          <rPr>
            <sz val="9"/>
            <color indexed="81"/>
            <rFont val="Tahoma"/>
            <family val="2"/>
          </rPr>
          <t>In 2020, UAL's Board of Directors terminated the share repurchase program.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Vedang Poddar</author>
    <author>Jainam Savla</author>
  </authors>
  <commentList>
    <comment ref="Z10" authorId="0" shapeId="0" xr:uid="{D71BF71E-74E2-43C1-9364-B7F02CCC7626}">
      <text>
        <r>
          <rPr>
            <sz val="9"/>
            <color indexed="81"/>
            <rFont val="Tahoma"/>
            <family val="2"/>
          </rPr>
          <t>Passenger revenue increased $8.4 billion, or 71.1%, in 2021 as compared to 2020, primarily due to an increase in the demand for air travel as a result of the
increased availability of COVID-19 vaccines and the easing of travel and quarantine restrictions in the United States and various other jurisdictions</t>
        </r>
      </text>
    </comment>
    <comment ref="Z11" authorId="0" shapeId="0" xr:uid="{F1CC9AB9-75D8-490A-B66E-6789AF688CDE}">
      <text>
        <r>
          <rPr>
            <sz val="9"/>
            <color indexed="81"/>
            <rFont val="Tahoma"/>
            <family val="2"/>
          </rPr>
          <t>Cargo revenue increased $701 million, or 42.5%, in 2021 as compared to 2020, primarily due to stronger yields on freight revenue and higher cargo
tonnage from increased wide-body departures of passenger flights as well as cargo-only flights.</t>
        </r>
      </text>
    </comment>
    <comment ref="Z12" authorId="0" shapeId="0" xr:uid="{39147E82-16A6-4CA1-BB32-A5D147747CA0}">
      <text>
        <r>
          <rPr>
            <sz val="9"/>
            <color indexed="81"/>
            <rFont val="Tahoma"/>
            <family val="2"/>
          </rPr>
          <t>Other operating revenue increased $186 million, or 9.8%, in 2021 as compared to 2020, primarily due to an increase in mileage revenue from non-airline
partners, including the Company's co-branded credit card partner, JPMorgan Chase Bank, N.A.</t>
        </r>
      </text>
    </comment>
    <comment ref="Z16" authorId="0" shapeId="0" xr:uid="{E551F112-9236-4D97-9DE2-1146442D8C8F}">
      <text>
        <r>
          <rPr>
            <sz val="9"/>
            <color indexed="81"/>
            <rFont val="Tahoma"/>
            <family val="2"/>
          </rPr>
          <t>Salaries and related costs increased $44 million, or 0.5%, in 2021 as compared to 2020, primarily due to an increase in front-line employees' wages as a
result of higher flight activity, partially offset by a $225 million increase in tax credits provided by the Employee Retention Credit under the CARES Act.</t>
        </r>
      </text>
    </comment>
    <comment ref="Z17" authorId="0" shapeId="0" xr:uid="{AC89E9DC-88BD-4C8F-8049-D12CB4649548}">
      <text>
        <r>
          <rPr>
            <sz val="9"/>
            <color indexed="81"/>
            <rFont val="Tahoma"/>
            <family val="2"/>
          </rPr>
          <t>Landing fees and other rent increased $289 million, or 13.6%, in 2021 as compared to 2020, primarily due to an increase in the number of flights and
passengers. The increase was not directly proportionate to the volume of activity as some landing fees and other rents are fixed</t>
        </r>
      </text>
    </comment>
    <comment ref="C18" authorId="0" shapeId="0" xr:uid="{7D31C97E-EED0-41E8-9D77-4639D24C090B}">
      <text>
        <r>
          <rPr>
            <sz val="9"/>
            <color indexed="81"/>
            <rFont val="Tahoma"/>
            <family val="2"/>
          </rPr>
          <t>The Company has contractual relationships with various regional carriers to provide regional aircraft service branded as United Express. 
This regional service complements our operations by carrying traffic that connects to our hubs and allows flights to smaller cities that cannot be provided economically with mainline aircraft. 
Champlain Enterprises, LLC d/b/a CommutAir ("CommutAir"), Republic Airways Inc. ("Republic"), GoJet Airlines LLC ("GoJet"), Mesa Airlines, Inc. ("Mesa"), SkyWest Airlines, Inc. ("SkyWest"), and Air Wisconsin Airlines LLC ("Air Wisconsin") are all regional carriers that operate with capacity contracted to United under capacity purchase agreements ("CPAs"). 
Under these CPAs, the Company pays the regional carriers contractually agreed fees (carrier costs) for operating these flights plus a variable rate adjustment based on agreed performance metrics, subject to annual adjustments. 
The fees are based on specific rates multiplied by specific operating statistics (e.g., block hours, departures), as well as fixed monthly amounts. Under these CPAs, the Company is also responsible for all fuel costs incurred, as well as landing fees and other costs, which are either passed through by the regional carrier to the Company without any markup or directly incurred by the Company. 
In some cases, the Company owns some or all of the aircraft subject to the CPA and leases such aircraft to the regional carrier.</t>
        </r>
      </text>
    </comment>
    <comment ref="Q18" authorId="0" shapeId="0" xr:uid="{8BAEFB02-68A0-444E-BECE-F04BA7E8412B}">
      <text>
        <r>
          <rPr>
            <sz val="9"/>
            <color indexed="81"/>
            <rFont val="Tahoma"/>
            <family val="2"/>
          </rPr>
          <t>In September 2021, United entered into a new CPA with Republic for Republic to operate 38 Embraer E175LL aircraft on United's behalf starting in 2022 for a 12-year term. The new Embraer E175LL aircraft will replace the Embraer E170 aircraft currently being flown by Republic for United.</t>
        </r>
      </text>
    </comment>
    <comment ref="Z18" authorId="0" shapeId="0" xr:uid="{173E9F05-E480-4CDC-AEF8-3F67F6EBD739}">
      <text>
        <r>
          <rPr>
            <sz val="9"/>
            <color indexed="81"/>
            <rFont val="Tahoma"/>
            <family val="2"/>
          </rPr>
          <t>Regional capacity purchase costs increased $108 million, or 5.3%, in 2021 as compared to 2020, primarily due to increased regional flying and increased
pass-through maintenance costs.</t>
        </r>
      </text>
    </comment>
    <comment ref="Z19" authorId="0" shapeId="0" xr:uid="{1E8AD1F8-912D-4222-B2A1-99B694E38744}">
      <text>
        <r>
          <rPr>
            <sz val="9"/>
            <color indexed="81"/>
            <rFont val="Tahoma"/>
            <family val="2"/>
          </rPr>
          <t>Aircraft maintenance materials and outside repairs increased $458 million, or 53.4%, in 2021 as compared to 2020, primarily due to higher volumes of
flying and increased heavy check maintenance events.</t>
        </r>
      </text>
    </comment>
    <comment ref="Z20" authorId="0" shapeId="0" xr:uid="{13049D0E-035D-4C9A-B291-E9990E29DE2C}">
      <text>
        <r>
          <rPr>
            <sz val="9"/>
            <color indexed="81"/>
            <rFont val="Tahoma"/>
            <family val="2"/>
          </rPr>
          <t>Distribution expenses increased $218 million, or 47.5%, in 2021 as compared to 2020, primarily due to higher credit card fees and commissions and a
higher volume of global distribution fees as a result of the overall increase in passenger revenue. Distribution expenses were also impacted by the mix of
leisure travel versus business travel, which requires the use of different distribution channels and forms of payment.</t>
        </r>
      </text>
    </comment>
    <comment ref="Z24" authorId="0" shapeId="0" xr:uid="{5705E836-AEE7-47BA-B823-C79941484182}">
      <text>
        <r>
          <rPr>
            <sz val="9"/>
            <color indexed="81"/>
            <rFont val="Tahoma"/>
            <family val="2"/>
          </rPr>
          <t>Other operating expenses increased $947 million, or 27.2%, in 2021 as compared to 2020, primarily due to increases in ground handling, passenger
services and personnel-related costs as a direct result of increased flying and higher expenditures on information technology projects.</t>
        </r>
      </text>
    </comment>
    <comment ref="R39" authorId="0" shapeId="0" xr:uid="{727C441D-BECA-4241-AD64-2D1CEDB28588}">
      <text>
        <r>
          <rPr>
            <sz val="9"/>
            <color indexed="81"/>
            <rFont val="Tahoma"/>
            <family val="2"/>
          </rPr>
          <t>The Company has $7.5 billion of deferred tax assets, of which $2.1 billion (tax effected) are attributable to federal net operating losses ("NOLs") at December 31, 2021. 
The majority of the NOLs do not expire and the Company expects to realize the benefits of the NOLs through the reversal of certain existing deferred tax liabilities of $6.2 billion and the remaining $1.3 billion (the income tax equivalent to approximately two years of average pre-COVID-19 pre-tax income) through projected future taxable income.</t>
        </r>
      </text>
    </comment>
    <comment ref="C106" authorId="0" shapeId="0" xr:uid="{6B2F1B83-3B12-4E5E-9A57-BC69D44DD591}">
      <text>
        <r>
          <rPr>
            <sz val="9"/>
            <color indexed="81"/>
            <rFont val="Tahoma"/>
            <family val="2"/>
          </rPr>
          <t>Available seat miles (ASM) is a measure of an airplane's carrying capacity available to generate revenues. Available seat miles refers to how many seat miles are actually available for purchase on an airline. Seat miles are calculated by multiplying the number of miles that a given airplane will be flying by the number of seats available for a given flight.</t>
        </r>
      </text>
    </comment>
    <comment ref="R118" authorId="0" shapeId="0" xr:uid="{E2B647B0-A177-4B69-84AD-1EB081811137}">
      <text>
        <r>
          <rPr>
            <sz val="9"/>
            <color indexed="81"/>
            <rFont val="Tahoma"/>
            <family val="2"/>
          </rPr>
          <t>Transcript: In Q2, we expect to operate Latin American capacity up 9% versus '19.</t>
        </r>
      </text>
    </comment>
    <comment ref="R120" authorId="0" shapeId="0" xr:uid="{6EABED87-1F0D-4E3D-8686-D28BE0C5C077}">
      <text>
        <r>
          <rPr>
            <sz val="9"/>
            <color indexed="81"/>
            <rFont val="Tahoma"/>
            <family val="2"/>
          </rPr>
          <t>Transcript: In Q2, we expect to operate Pacific capacity down about 65% versus '19</t>
        </r>
      </text>
    </comment>
    <comment ref="R121" authorId="0" shapeId="0" xr:uid="{BD48C417-86AA-4083-B361-D34DD2023AAC}">
      <text>
        <r>
          <rPr>
            <b/>
            <sz val="9"/>
            <color indexed="81"/>
            <rFont val="Tahoma"/>
            <family val="2"/>
          </rPr>
          <t xml:space="preserve">Guidance: </t>
        </r>
        <r>
          <rPr>
            <sz val="9"/>
            <color indexed="81"/>
            <rFont val="Tahoma"/>
            <family val="2"/>
          </rPr>
          <t>ASM -13% vs. Q2'19</t>
        </r>
      </text>
    </comment>
    <comment ref="C123" authorId="0" shapeId="0" xr:uid="{7B193783-3181-4DF7-BE52-230C54FF8D17}">
      <text>
        <r>
          <rPr>
            <sz val="9"/>
            <color indexed="81"/>
            <rFont val="Tahoma"/>
            <family val="2"/>
          </rPr>
          <t>The load factor is a metric used in the airline industry that measures the percentage of available seating capacity that has been filled with passengers</t>
        </r>
      </text>
    </comment>
    <comment ref="C130" authorId="0" shapeId="0" xr:uid="{0A40386A-F7C0-4196-8C14-136FCFEBE918}">
      <text>
        <r>
          <rPr>
            <sz val="9"/>
            <color indexed="81"/>
            <rFont val="Tahoma"/>
            <family val="2"/>
          </rPr>
          <t>The number of scheduled miles flown by revenue passengers.</t>
        </r>
      </text>
    </comment>
    <comment ref="C140" authorId="0" shapeId="0" xr:uid="{48A0CFDE-BAE3-4922-A521-A509CA50124B}">
      <text>
        <r>
          <rPr>
            <sz val="9"/>
            <color indexed="81"/>
            <rFont val="Tahoma"/>
            <family val="2"/>
          </rPr>
          <t>The average amount of revenue received per paying passenger flown one mile. Calculated as Passenger Revenues/Revenue Passenger Miles.</t>
        </r>
      </text>
    </comment>
    <comment ref="R141" authorId="0" shapeId="0" xr:uid="{577A364D-DF90-477B-87CF-3E35D5C3DEA4}">
      <text>
        <r>
          <rPr>
            <sz val="9"/>
            <color indexed="81"/>
            <rFont val="Tahoma"/>
            <family val="2"/>
          </rPr>
          <t>Transcript: So leisure yields in US, along with business yields, are running ahead. Business yields already pointed out were 10% ahead of 2019 at this point as we look into the second quarter, and leisure yields are above that at this point as we look into the second quarter.</t>
        </r>
      </text>
    </comment>
    <comment ref="AB148" authorId="0" shapeId="0" xr:uid="{C729E479-E717-46F7-AA52-876423337086}">
      <text>
        <r>
          <rPr>
            <sz val="9"/>
            <color indexed="81"/>
            <rFont val="Tahoma"/>
            <family val="2"/>
          </rPr>
          <t>Our future fleet will have an increased premium mix with premium seats per departure in North America up to 75% by 2026.</t>
        </r>
      </text>
    </comment>
    <comment ref="R152" authorId="0" shapeId="0" xr:uid="{4CCF3308-A077-415E-BC7B-895B6AFCACBE}">
      <text>
        <r>
          <rPr>
            <sz val="9"/>
            <color indexed="81"/>
            <rFont val="Tahoma"/>
            <family val="2"/>
          </rPr>
          <t xml:space="preserve">Revenue momentum is coming from just about every category, including higher yields, ancillary seat sales, strong premium leisure demand, MileagePlus, rebound in business demand and a record sudden season across the Atlantic this summer. Even parts of Asia are rebounding.
As of last week, business yields are now close to up 10% ahead of 2019. </t>
        </r>
      </text>
    </comment>
    <comment ref="C173" authorId="1" shapeId="0" xr:uid="{F59778C2-8516-4A1E-9493-A22E4757605D}">
      <text>
        <r>
          <rPr>
            <sz val="9"/>
            <color indexed="81"/>
            <rFont val="Tahoma"/>
            <family val="2"/>
          </rPr>
          <t>The number of cargo revenue tons transported multiplied by the number of miles flown.</t>
        </r>
      </text>
    </comment>
    <comment ref="R173" authorId="0" shapeId="0" xr:uid="{19ECA453-FAB0-4C47-86E3-4079254FF860}">
      <text>
        <r>
          <rPr>
            <sz val="9"/>
            <color indexed="81"/>
            <rFont val="Tahoma"/>
            <family val="2"/>
          </rPr>
          <t>Transcript: 52 Boeing 777 will come back online providing a lot more overall belly capacity</t>
        </r>
      </text>
    </comment>
    <comment ref="R174" authorId="0" shapeId="0" xr:uid="{1BD9FA58-8B34-4A48-9864-858ED4A6992B}">
      <text>
        <r>
          <rPr>
            <sz val="9"/>
            <color indexed="81"/>
            <rFont val="Tahoma"/>
            <family val="2"/>
          </rPr>
          <t>Transcript:  Should we expect yields which are at record highs for cargo to start to moderate a bit? Absolutely.</t>
        </r>
      </text>
    </comment>
    <comment ref="Q184" authorId="0" shapeId="0" xr:uid="{602DB211-41D3-4581-9812-6EA5F335B20D}">
      <text>
        <r>
          <rPr>
            <sz val="9"/>
            <color indexed="81"/>
            <rFont val="Tahoma"/>
            <family val="2"/>
          </rPr>
          <t>The revenue inflection point started in March with TRASM up 9% versus 2019</t>
        </r>
      </text>
    </comment>
    <comment ref="R184" authorId="0" shapeId="0" xr:uid="{C6CCAB6D-D1D7-4AE6-B733-B8F6125B6417}">
      <text>
        <r>
          <rPr>
            <sz val="9"/>
            <color indexed="81"/>
            <rFont val="Tahoma"/>
            <family val="2"/>
          </rPr>
          <t>Guidance: TRASM +17% vs. Q2'19  
Transcript: Business yields are now close to up 10% ahead of 2019. Given these revenue trends, business TRASM contribution is expected to be approximately 100% of 2019 levels soon.
Demand for business, leisure and cargo traffic continues to be strong even as we pass on 100% of the fuel price increase versus '19.</t>
        </r>
      </text>
    </comment>
    <comment ref="R196" authorId="0" shapeId="0" xr:uid="{613ACC1D-36DE-4624-9246-C2CFA938356E}">
      <text>
        <r>
          <rPr>
            <sz val="9"/>
            <color indexed="81"/>
            <rFont val="Tahoma"/>
            <family val="2"/>
          </rPr>
          <t>A onedollar change in the price of a barrel of aircraft fuel would change the Company's annual fuel expense by approximately $102 million, assuming flying levels similar to 2019.</t>
        </r>
      </text>
    </comment>
    <comment ref="AA196" authorId="0" shapeId="0" xr:uid="{369D6BE1-955D-4A08-AA45-0588270E1006}">
      <text>
        <r>
          <rPr>
            <sz val="9"/>
            <color indexed="81"/>
            <rFont val="Tahoma"/>
            <family val="2"/>
          </rPr>
          <t>A onedollar change in the price of a barrel of aircraft fuel would change the Company's annual fuel expense by approximately $102 million, assuming flying levels similar to 2019.</t>
        </r>
      </text>
    </comment>
    <comment ref="R205" authorId="0" shapeId="0" xr:uid="{B87EB47B-C32E-49E9-AE9B-A748A227DAA6}">
      <text>
        <r>
          <rPr>
            <b/>
            <sz val="9"/>
            <color indexed="81"/>
            <rFont val="Tahoma"/>
            <family val="2"/>
          </rPr>
          <t xml:space="preserve">Guidance: </t>
        </r>
        <r>
          <rPr>
            <sz val="9"/>
            <color indexed="81"/>
            <rFont val="Tahoma"/>
            <family val="2"/>
          </rPr>
          <t>Average price for Jet Fuel $3.43/ gallon</t>
        </r>
      </text>
    </comment>
    <comment ref="C233" authorId="0" shapeId="0" xr:uid="{56EB350A-FD12-4DB3-BDC6-03F10C6B1997}">
      <text>
        <r>
          <rPr>
            <sz val="9"/>
            <color indexed="81"/>
            <rFont val="Tahoma"/>
            <family val="2"/>
          </rPr>
          <t xml:space="preserve">Excludes Third Party Business Expense
</t>
        </r>
      </text>
    </comment>
    <comment ref="S246" authorId="0" shapeId="0" xr:uid="{3281B9BA-5A1B-47FF-B648-A89129549A2A}">
      <text>
        <r>
          <rPr>
            <sz val="9"/>
            <color indexed="81"/>
            <rFont val="Tahoma"/>
            <family val="2"/>
          </rPr>
          <t>Transcript: We also expect that our unit costs will continue to sequentially improve over the remaining quarters of 2022 as the 52 grounded 777 aircraft returned to normal service, we start to take delivery of additional large narrow-body aircraft and our aircraft utilization increases.</t>
        </r>
      </text>
    </comment>
    <comment ref="R257" authorId="0" shapeId="0" xr:uid="{742497C9-86C5-4AC5-9D7D-E7B38D98BF78}">
      <text>
        <r>
          <rPr>
            <b/>
            <sz val="9"/>
            <color indexed="81"/>
            <rFont val="Tahoma"/>
            <family val="2"/>
          </rPr>
          <t xml:space="preserve">Guidance: </t>
        </r>
        <r>
          <rPr>
            <sz val="9"/>
            <color indexed="81"/>
            <rFont val="Tahoma"/>
            <family val="2"/>
          </rPr>
          <t xml:space="preserve">CASM, Ex-Fuel +16% vs. 2019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Q25" authorId="0" shapeId="0" xr:uid="{F1A6A1DD-833A-45EF-A1E8-A66D87CA6BCD}">
      <text>
        <r>
          <rPr>
            <sz val="9"/>
            <color indexed="81"/>
            <rFont val="Tahoma"/>
            <family val="2"/>
          </rPr>
          <t>On January 14, 2022, the Company gave notice for the redemption of all $400 million outstanding principal amount of the 4.250% senior notes due 2022 (the "2022 Notes"), scheduled to occur on February 28, 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Q193" authorId="0" shapeId="0" xr:uid="{9AF598EC-EDA9-433E-8444-6458E34D86B8}">
      <text>
        <r>
          <rPr>
            <sz val="9"/>
            <color indexed="81"/>
            <rFont val="Tahoma"/>
            <family val="2"/>
          </rPr>
          <t>NOLs will offset taxable income</t>
        </r>
      </text>
    </comment>
    <comment ref="R193" authorId="0" shapeId="0" xr:uid="{2B3761A8-2D6B-4269-B69E-25901A107552}">
      <text>
        <r>
          <rPr>
            <sz val="9"/>
            <color indexed="81"/>
            <rFont val="Tahoma"/>
            <family val="2"/>
          </rPr>
          <t>NOLs will offset taxable income</t>
        </r>
      </text>
    </comment>
    <comment ref="S193" authorId="0" shapeId="0" xr:uid="{AD4C7C7F-568B-401F-AF29-30AF4C1B7C3F}">
      <text>
        <r>
          <rPr>
            <sz val="9"/>
            <color indexed="81"/>
            <rFont val="Tahoma"/>
            <family val="2"/>
          </rPr>
          <t>NOLs will offset taxable income</t>
        </r>
      </text>
    </comment>
    <comment ref="Q205" authorId="0" shapeId="0" xr:uid="{120EDF92-2C8E-40FC-B044-106ED6069338}">
      <text>
        <r>
          <rPr>
            <sz val="9"/>
            <color indexed="81"/>
            <rFont val="Tahoma"/>
            <family val="2"/>
          </rPr>
          <t>NOLs will offset taxable income</t>
        </r>
      </text>
    </comment>
    <comment ref="R205" authorId="0" shapeId="0" xr:uid="{D6071878-E857-4C30-8635-A95620D5C9D7}">
      <text>
        <r>
          <rPr>
            <sz val="9"/>
            <color indexed="81"/>
            <rFont val="Tahoma"/>
            <family val="2"/>
          </rPr>
          <t>NOLs will offset taxable income</t>
        </r>
      </text>
    </comment>
    <comment ref="S205" authorId="0" shapeId="0" xr:uid="{087E9A17-7121-4EB8-891E-74B1090F3B81}">
      <text>
        <r>
          <rPr>
            <sz val="9"/>
            <color indexed="81"/>
            <rFont val="Tahoma"/>
            <family val="2"/>
          </rPr>
          <t>NOLs will offset taxable income</t>
        </r>
      </text>
    </comment>
    <comment ref="Q217" authorId="0" shapeId="0" xr:uid="{2F564AC1-41DF-40EB-9D33-CE2CC31C83D3}">
      <text>
        <r>
          <rPr>
            <sz val="9"/>
            <color indexed="81"/>
            <rFont val="Tahoma"/>
            <family val="2"/>
          </rPr>
          <t>NOLs will offset taxable income</t>
        </r>
      </text>
    </comment>
    <comment ref="R217" authorId="0" shapeId="0" xr:uid="{9B9B22C7-0ABE-4A17-8AF2-0091A240231D}">
      <text>
        <r>
          <rPr>
            <sz val="9"/>
            <color indexed="81"/>
            <rFont val="Tahoma"/>
            <family val="2"/>
          </rPr>
          <t>NOLs will offset taxable income</t>
        </r>
      </text>
    </comment>
    <comment ref="S217" authorId="0" shapeId="0" xr:uid="{8860165B-97E8-4583-AE26-75BE8588AB94}">
      <text>
        <r>
          <rPr>
            <sz val="9"/>
            <color indexed="81"/>
            <rFont val="Tahoma"/>
            <family val="2"/>
          </rPr>
          <t>NOLs will offset taxable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Q17" authorId="0" shapeId="0" xr:uid="{DB20DBC7-05C4-4A09-B035-71861AC312A5}">
      <text>
        <r>
          <rPr>
            <sz val="12"/>
            <color indexed="81"/>
            <rFont val="Tahoma"/>
            <family val="2"/>
          </rPr>
          <t>Not taking tax into account as the company has enough NOLs to offset future taxes
At December 31, 2021, we had approximately $17.2 billion of gross federal net operating losses (NOLs) and $3.0 billion of othercarryforwards available to reduce future federal taxable income, of which $6.9 billion will expire beginning in 2024 if unused and $13.3 billioncan be carried forward indefinitely. We also had approximately $6.0 billion of NOL carryforwards to reduce future state taxable income atDecember 31, 2021, which will expire in taxable years 2021 through 2041 if unused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C26" authorId="0" shapeId="0" xr:uid="{AF2A5983-2941-47AC-833A-F9825AB1559B}">
      <text>
        <r>
          <rPr>
            <sz val="9"/>
            <color indexed="81"/>
            <rFont val="Tahoma"/>
            <family val="2"/>
          </rPr>
          <t>Other operating expenses includes costs associated with ground and cargo handling, crew travel, aircraft food and catering, aircraft cleaning, passenger accommodation, international navigation fees and certain general and administrative expenses.</t>
        </r>
      </text>
    </comment>
    <comment ref="S43" authorId="0" shapeId="0" xr:uid="{B1B20732-6CCB-46C3-95BB-83B25CD15C6B}">
      <text>
        <r>
          <rPr>
            <sz val="9"/>
            <color indexed="81"/>
            <rFont val="Tahoma"/>
            <family val="2"/>
          </rPr>
          <t>In connection with our receipt of financial assistance under PSP1, PSP2 and PSP3, we agreed
not to pay dividends on AAG common stock through at least September 30, 2022.</t>
        </r>
      </text>
    </comment>
    <comment ref="C68" authorId="0" shapeId="0" xr:uid="{3B998CBD-5843-4135-8D7E-162E968535F8}">
      <text>
        <r>
          <rPr>
            <sz val="9"/>
            <color indexed="81"/>
            <rFont val="Tahoma"/>
            <family val="2"/>
          </rPr>
          <t>The 2021 PSP Financial Assistance represents recognition of a portion of the financial assistance received from Treasury pursuant to the PSP2 and PSP3 Agreements</t>
        </r>
      </text>
    </comment>
    <comment ref="C94" authorId="0" shapeId="0" xr:uid="{DFBEB4A4-E208-490E-A3C8-EE52AE7DFDA8}">
      <text>
        <r>
          <rPr>
            <sz val="9"/>
            <color indexed="81"/>
            <rFont val="Tahoma"/>
            <family val="2"/>
          </rPr>
          <t>Mark-to-market adjustments on equity and other investments, net primarily related to net unrealized gains and losses associated with our equity investment in China Southern Airlines Company Limited (China Southern Airlines) and certain treasury rate lock derivative instruments.</t>
        </r>
      </text>
    </comment>
    <comment ref="R241" authorId="0" shapeId="0" xr:uid="{C41337EB-85E7-4526-8DEC-D63C2AB6102F}">
      <text>
        <r>
          <rPr>
            <sz val="9"/>
            <color indexed="81"/>
            <rFont val="Tahoma"/>
            <family val="2"/>
          </rPr>
          <t>In connection with the financial assistance provided under PSP1, PSP2 and PSP3, we agreed not to repurchase shares of commonstock through September 30, 2022.</t>
        </r>
      </text>
    </comment>
    <comment ref="R244" authorId="0" shapeId="0" xr:uid="{8F085C60-AD7E-435A-B20B-921CBBC325C3}">
      <text>
        <r>
          <rPr>
            <sz val="9"/>
            <color indexed="81"/>
            <rFont val="Tahoma"/>
            <family val="2"/>
          </rPr>
          <t>In connection with the financial assistance provided under PSP1, PSP2 and PSP3, we agreed not to pay dividends on commonstock through September 30, 2022.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I10" authorId="0" shapeId="0" xr:uid="{8EA41721-F445-40AD-910C-08890CAB2A30}">
      <text>
        <r>
          <rPr>
            <sz val="9"/>
            <color indexed="81"/>
            <rFont val="Tahoma"/>
            <family val="2"/>
          </rPr>
          <t>While our business performed largely as expected in January and February of 2020, passenger revenue was $7.7
billion in the first quarter of 2020 , a decrease of $2.0 billion , or 20.5 %, as compared to the first quarter of 2019 due to severe reductions in
air travel during March 2020. The decrease in passenger revenue in the first quarter of 2020 was due to a decline in passenger demand and
U.S. government travel restrictions related to COVID-19, resulting in a 17.6% quarter-over-quarter decrease in revenue passenger miles
(RPMs) and a 9.5 point decrease in passenger load factor.</t>
        </r>
      </text>
    </comment>
    <comment ref="J10" authorId="0" shapeId="0" xr:uid="{26FEFDED-4437-4A1E-9ABD-9F480A415485}">
      <text>
        <r>
          <rPr>
            <sz val="9"/>
            <color indexed="81"/>
            <rFont val="Tahoma"/>
            <family val="2"/>
          </rPr>
          <t>Passenger revenue was $1.1 billion in the second quarter of 2020, a decrease of $9.9 billion, or 89.9%, as
compared to the second quarter of 2019. The decrease in passenger revenue in the second quarter of 2020 was due to a decline in
passenger demand and government travel restrictions related to COVID-19, resulting in an 88.5% quarter-over-quarter decrease in revenue
passenger miles (RPMs) and a 44.3 point decrease in passenger load factor.</t>
        </r>
      </text>
    </comment>
    <comment ref="K10" authorId="0" shapeId="0" xr:uid="{3C457514-7DC7-4643-B9DA-7B1E7B0E7C41}">
      <text>
        <r>
          <rPr>
            <sz val="9"/>
            <color indexed="81"/>
            <rFont val="Tahoma"/>
            <family val="2"/>
          </rPr>
          <t>Passenger revenue was $2.5 billion in the third quarter of 2020, a decrease of $8.5 billion, or 76.9%, as compared to
the third quarter of 2019. The decrease in passenger revenue in the third quarter of 2020 was due to a decline in passenger demand and
government travel restrictions related to COVID-19, resulting in a 72.1% quarter-over-quarter decrease in revenue passenger miles (RPMs)
and a 26.7 point decrease in passenger load factor.</t>
        </r>
      </text>
    </comment>
    <comment ref="M10" authorId="0" shapeId="0" xr:uid="{1A0FFF9E-9C80-44C4-A79C-3F82CDFCAF6B}">
      <text>
        <r>
          <rPr>
            <sz val="9"/>
            <color indexed="81"/>
            <rFont val="Tahoma"/>
            <family val="2"/>
          </rPr>
          <t>Passenger revenue was $3.2 billion in the first quarter of 2021, a decrease of $4.5 billion, or 58.6%, as compared to the
first quarter of 2020. The decrease in passenger revenue in the first quarter of 2021 was due to a decline in passenger demand and
government travel restrictions related to COVID-19, resulting in a 50.3% quarter-over-quarter decrease in revenue passenger miles (RPMs)
and a 13.2 point decrease in passenger load factor.</t>
        </r>
      </text>
    </comment>
    <comment ref="N10" authorId="0" shapeId="0" xr:uid="{F87E477C-B7E6-44F3-97B1-1F170EE592D2}">
      <text>
        <r>
          <rPr>
            <sz val="9"/>
            <color indexed="81"/>
            <rFont val="Tahoma"/>
            <family val="2"/>
          </rPr>
          <t>Passenger revenue was $6.5 billion in the second quarter of 2021, an increase of $5.4 billion as compared to the second
quarter of 2020. The increase in passenger revenue in the second quarter of 2021 was due to increased revenue passenger miles (RPMs)
driven by strong leisure demand domestically and in Latin America resulting in a 77.0% load factor in the second quarter of 2021</t>
        </r>
      </text>
    </comment>
    <comment ref="O10" authorId="0" shapeId="0" xr:uid="{EEBB060C-0929-4C90-916E-668044B343CA}">
      <text>
        <r>
          <rPr>
            <sz val="9"/>
            <color indexed="81"/>
            <rFont val="Tahoma"/>
            <family val="2"/>
          </rPr>
          <t>Passenger revenue was $8.0 billion in the third quarter of 2021, an increase of $5.4 billion as compared to the third quarter of 2020.
The increase in passenger revenue in the third quarter of 2021 was due to increased revenue passenger miles (RPMs) driven by domestic and
short-haul international leisure demand, resulting in a 78.7% load factor in the third quarter of 2021.</t>
        </r>
      </text>
    </comment>
    <comment ref="X10" authorId="0" shapeId="0" xr:uid="{BE9C1270-DF5F-4B47-99E0-35DDE818ACF1}">
      <text>
        <r>
          <rPr>
            <sz val="9"/>
            <color indexed="81"/>
            <rFont val="Tahoma"/>
            <family val="2"/>
          </rPr>
          <t>Passenger revenue
was $42.0 billion, an increase of $1.3 billion, or 3.3%, as compared to 2018. The increase in passenger revenue in 2019 was due to continued
strength in passenger demand resulting in a 4.4% increase in revenue passenger miles (RPMs) and a 2.6 point increase in passenger load
factor. Domestic passenger revenue per available seat mile (PRASM) increased 2.0% as compared to 2018. Latin America was the best
performing international region in 2019, with PRASM increasing 3.4% followed by Pacific with PRASM increasing 3.1%, while Atlantic PRASM
declined 1.5% principally due to lower transfer payments related to our joint business arrangement and foreign currency effects.</t>
        </r>
      </text>
    </comment>
    <comment ref="Y10" authorId="0" shapeId="0" xr:uid="{4E68CFC1-817F-487D-9E3B-04FD18FEACCA}">
      <text>
        <r>
          <rPr>
            <sz val="9"/>
            <color indexed="81"/>
            <rFont val="Tahoma"/>
            <family val="2"/>
          </rPr>
          <t>Passenger
revenue was $14.5 billion, a decrease of $27.5 billion, or 65.4%, as compared to 2019. The decrease in passenger revenue in 2020 was due
to a severe decline in passenger demand and government travel restrictions related to the COVID-19 pandemic, resulting in a 61.9%
decrease in revenue passenger miles (RPMs) and a 20.5 point decrease in passenger load factor.</t>
        </r>
      </text>
    </comment>
    <comment ref="Z10" authorId="0" shapeId="0" xr:uid="{55676CBE-95ED-4CFE-AA7B-2BD7C63E0197}">
      <text>
        <r>
          <rPr>
            <sz val="9"/>
            <color indexed="81"/>
            <rFont val="Tahoma"/>
            <family val="2"/>
          </rPr>
          <t>Passenger
revenue was $26.1 billion, an increase of $11.5 billion, or 79.5%, as compared to 2020. The increase in passenger revenue in 2021 was due
to a 75.9% increase in revenue passenger miles (RPMs) and an 11.2 point increase in passenger load factor. These increases were
principally driven by a significant recovery in domestic and short-haul international leisure demand as compared to 2020.</t>
        </r>
      </text>
    </comment>
    <comment ref="I11" authorId="0" shapeId="0" xr:uid="{12961247-4B50-489E-8ACB-71C383D078FF}">
      <text>
        <r>
          <rPr>
            <sz val="9"/>
            <color indexed="81"/>
            <rFont val="Tahoma"/>
            <family val="2"/>
          </rPr>
          <t>Cargo revenue decrease d $71 million , or 32.7 %, as compared to the first quarter of 2019 , primarily due to a 30.2% decrease in cargo
ton miles reflecting declines in freight volumes, principally as a result of international schedule reductions</t>
        </r>
      </text>
    </comment>
    <comment ref="J11" authorId="0" shapeId="0" xr:uid="{875598E2-47FC-4B53-8000-E202C5460227}">
      <text>
        <r>
          <rPr>
            <sz val="9"/>
            <color indexed="81"/>
            <rFont val="Tahoma"/>
            <family val="2"/>
          </rPr>
          <t>Cargo revenue decreased $91 million, or 41.0%, as compared to the second quarter of 2019, primarily due to a 72.6% decrease in cargo
ton miles reflecting declines in freight volumes, principally as a result of international schedule reductions</t>
        </r>
      </text>
    </comment>
    <comment ref="K11" authorId="0" shapeId="0" xr:uid="{2E2C8305-5BEB-486B-8A3F-6A6E41E49210}">
      <text>
        <r>
          <rPr>
            <sz val="9"/>
            <color indexed="81"/>
            <rFont val="Tahoma"/>
            <family val="2"/>
          </rPr>
          <t>Cargo revenue decreased $1 million, or 0.4%, as compared to the third quarter of 2019, primarily due to an 83.6% increase in yield as a
result of rate increases which was offset by a 45.8% decrease in cargo ton miles reflecting declines in freight volumes, principally as a result
of international schedule reductions</t>
        </r>
      </text>
    </comment>
    <comment ref="M11" authorId="0" shapeId="0" xr:uid="{797F4C08-C59E-46E1-8EBB-326DE350720C}">
      <text>
        <r>
          <rPr>
            <sz val="9"/>
            <color indexed="81"/>
            <rFont val="Tahoma"/>
            <family val="2"/>
          </rPr>
          <t>In the first quarter of 2021, cargo revenue was $315 million, an increase of $168 million, more than two times higher, as compared to the
first quarter of 2020. The increase in cargo revenue was primarily due to a 76.0% increase in cargo yield as a result of rate increases as well
as a 22.1% increase in cargo ton miles reflecting increases in freight volumes, principally as a result of adding cargo-only flights to our
schedule.</t>
        </r>
      </text>
    </comment>
    <comment ref="N11" authorId="0" shapeId="0" xr:uid="{CBD4BC75-B128-42DE-B7EE-8B565FE067C8}">
      <text>
        <r>
          <rPr>
            <sz val="9"/>
            <color indexed="81"/>
            <rFont val="Tahoma"/>
            <family val="2"/>
          </rPr>
          <t>The increase in cargo revenue was primarily due to an increase in cargo ton miles reflecting increases in freight volumes, principally as a
result of adding capacity and cargo-only flights to our schedule.</t>
        </r>
      </text>
    </comment>
    <comment ref="O11" authorId="0" shapeId="0" xr:uid="{640B942F-A2B2-4AEE-B0F8-42A7A24ABDCB}">
      <text>
        <r>
          <rPr>
            <sz val="9"/>
            <color indexed="81"/>
            <rFont val="Tahoma"/>
            <family val="2"/>
          </rPr>
          <t>cargo revenue was $332 million, an increase of $125 million, or 59.9%, as compared to the third quarter of
2020. The increase in cargo revenue was primarily due to a 51.5% increase in cargo ton miles reflecting increases in freight volumes,
principally as a result of adding international widebody capacity and cargo-only flights to our schedule</t>
        </r>
      </text>
    </comment>
    <comment ref="X11" authorId="0" shapeId="0" xr:uid="{CE1C0C4A-8A4B-4CAA-B3E4-6E0ABDDD105D}">
      <text>
        <r>
          <rPr>
            <sz val="9"/>
            <color indexed="81"/>
            <rFont val="Tahoma"/>
            <family val="2"/>
          </rPr>
          <t>In 2019, cargo revenue was $863 million, a decrease of $150 million, or 14.8%, as compared to 2018, primarily due to a 14.4% decrease in
cargo ton miles reflecting declines in freight volumes, principally as a result of international schedule reductions.</t>
        </r>
      </text>
    </comment>
    <comment ref="Y11" authorId="0" shapeId="0" xr:uid="{EA81CDB4-7174-4413-8F33-1B044BC3688E}">
      <text>
        <r>
          <rPr>
            <sz val="9"/>
            <color indexed="81"/>
            <rFont val="Tahoma"/>
            <family val="2"/>
          </rPr>
          <t>In 2020, cargo revenue was $769 million, a decrease of $94 million, or 10.8%, as compared to 2019, primarily due to a 44.4% decrease in
cargo ton miles reflecting declines in freight volumes, principally as a result of international schedule reductions, which was offset in part by a
60.5% increase in yield as a result of rate increases.</t>
        </r>
      </text>
    </comment>
    <comment ref="Z11" authorId="0" shapeId="0" xr:uid="{1ED3CC2A-7C19-4D50-9A21-B1D1E3A8A35B}">
      <text>
        <r>
          <rPr>
            <sz val="9"/>
            <color indexed="81"/>
            <rFont val="Tahoma"/>
            <family val="2"/>
          </rPr>
          <t>In 2021, cargo revenue was $1.3 billion, an increase of $545 million, or 70.8%, as compared to 2020, primarily due to a 50.5% increase in
cargo ton miles reflecting higher freight volumes as a result of adding international widebody capacity and the continuation of cargo-only
flights, as well as a 13.4% increase in cargo yield as a result of higher rates</t>
        </r>
      </text>
    </comment>
    <comment ref="I12" authorId="0" shapeId="0" xr:uid="{01A1C436-E654-4B8D-8406-A284F352E7C7}">
      <text>
        <r>
          <rPr>
            <sz val="9"/>
            <color indexed="81"/>
            <rFont val="Tahoma"/>
            <family val="2"/>
          </rPr>
          <t>Other operating revenue decreased $21 million , or 2.9 %, as compared to the first quarter of 2019 , driven primarily by lower revenue
associated with our loyalty program and airport clubs</t>
        </r>
      </text>
    </comment>
    <comment ref="J12" authorId="0" shapeId="0" xr:uid="{59800697-5488-4C55-BC0B-65E42C1B71FB}">
      <text>
        <r>
          <rPr>
            <sz val="9"/>
            <color indexed="81"/>
            <rFont val="Tahoma"/>
            <family val="2"/>
          </rPr>
          <t>Other operating revenue decreased $344 million, or 47.2%, as compared to the second quarter of 2019, driven primarily by lower revenue
associated with our loyalty program and airport clubs</t>
        </r>
      </text>
    </comment>
    <comment ref="K12" authorId="0" shapeId="0" xr:uid="{D76E92F6-2F71-494D-9064-6211FCBC0371}">
      <text>
        <r>
          <rPr>
            <sz val="9"/>
            <color indexed="81"/>
            <rFont val="Tahoma"/>
            <family val="2"/>
          </rPr>
          <t>Other operating revenue decreased $282 million, or 39.9%, as compared to the third quarter of 2019, driven primarily by lower revenue
associated with our loyalty program and airport clubs</t>
        </r>
      </text>
    </comment>
    <comment ref="M12" authorId="0" shapeId="0" xr:uid="{339E0931-4961-44D5-96BB-9C40EA70142A}">
      <text>
        <r>
          <rPr>
            <sz val="9"/>
            <color indexed="81"/>
            <rFont val="Tahoma"/>
            <family val="2"/>
          </rPr>
          <t>Other operating revenue decreased $173 million, or 25.3%, as compared to the first quarter of 2020, driven primarily by lower revenue
associated with our loyalty program and airport clubs.</t>
        </r>
      </text>
    </comment>
    <comment ref="N12" authorId="0" shapeId="0" xr:uid="{DC093DEB-39BF-4AE2-9FBA-62EBD263BE20}">
      <text>
        <r>
          <rPr>
            <sz val="9"/>
            <color indexed="81"/>
            <rFont val="Tahoma"/>
            <family val="2"/>
          </rPr>
          <t>Other operating revenue increased $223 million, or 57.9%, as compared to the second quarter of 2020, driven primarily by higher revenue
associated with our loyalty program</t>
        </r>
      </text>
    </comment>
    <comment ref="O12" authorId="0" shapeId="0" xr:uid="{6746DD60-EB3F-4788-B365-C97A87984D8D}">
      <text>
        <r>
          <rPr>
            <sz val="9"/>
            <color indexed="81"/>
            <rFont val="Tahoma"/>
            <family val="2"/>
          </rPr>
          <t>Other operating revenue increased $254 million, or 59.8%, as compared to the third quarter of 2020, driven primarily by higher revenue
associated with our loyalty program.</t>
        </r>
      </text>
    </comment>
    <comment ref="X12" authorId="0" shapeId="0" xr:uid="{18BA2E6E-F3BE-43F0-B0A8-E989F4C10ECC}">
      <text>
        <r>
          <rPr>
            <sz val="9"/>
            <color indexed="81"/>
            <rFont val="Tahoma"/>
            <family val="2"/>
          </rPr>
          <t xml:space="preserve"> Other operating revenue
increased $43 million, or 1.5%, in 2019 as compared to 2018, principally driven by higher revenue associated with our airport clubs and loyalty
program.</t>
        </r>
      </text>
    </comment>
    <comment ref="Y12" authorId="0" shapeId="0" xr:uid="{B361429E-9DFA-41DB-86EE-F5327BAFEC60}">
      <text>
        <r>
          <rPr>
            <sz val="9"/>
            <color indexed="81"/>
            <rFont val="Tahoma"/>
            <family val="2"/>
          </rPr>
          <t>Other operating revenue decreased $845 million, or 29.2%, in 2020 as compared to 2019, driven primarily by lower revenue associated
with our loyalty program and airport clubs.</t>
        </r>
      </text>
    </comment>
    <comment ref="Z12" authorId="0" shapeId="0" xr:uid="{3CE36464-C2FA-4336-99FC-3A530C3F663D}">
      <text>
        <r>
          <rPr>
            <sz val="9"/>
            <color indexed="81"/>
            <rFont val="Tahoma"/>
            <family val="2"/>
          </rPr>
          <t>Other operating revenue increased $455 million, or 22.2%, in 2021 as compared to 2020, driven primarily by higher revenue associated
with our loyalty program.</t>
        </r>
      </text>
    </comment>
    <comment ref="I15" authorId="0" shapeId="0" xr:uid="{54DF1509-919D-4114-AD8C-17E589913443}">
      <text>
        <r>
          <rPr>
            <sz val="9"/>
            <color indexed="81"/>
            <rFont val="Tahoma"/>
            <family val="2"/>
          </rPr>
          <t>Our mainline and regional fuel expense totaled $1.8 billion in the first quarter of 2020 , which was $365 million , or 17.0 %, lower as
compared to the first quarter of 2019 . This decrease was primarily driven by a 10.1 % decrease in the average price per gallon of aircraft
fuel including related taxes to $1.83 in the first quarter of 2020 from $2.04 in the first quarter of 2019 , as well as a 7.6 % decrease in gallons
of fuel consumed as a result of lower capacity.</t>
        </r>
      </text>
    </comment>
    <comment ref="J15" authorId="0" shapeId="0" xr:uid="{B04CBBB6-51C5-4334-A675-1661A09C0361}">
      <text>
        <r>
          <rPr>
            <sz val="9"/>
            <color indexed="81"/>
            <rFont val="Tahoma"/>
            <family val="2"/>
          </rPr>
          <t>Our mainline and regional fuel expense totaled $309 million in the second quarter of 2020, which was $2.2 billion, or 87.6%, lower as
compared to the second quarter of 2019. This decrease was primarily driven by a 76.3% decrease in gallons of fuel consumed as a result of
lower capacity and a 47.5% decrease in the average price per gallon of aircraft fuel including related taxes to $1.13 in the second quarter of
2020 from $2.14 in the second quarter of 2019.</t>
        </r>
      </text>
    </comment>
    <comment ref="K15" authorId="0" shapeId="0" xr:uid="{FA1C820D-D8AD-4F7A-9B86-A3C1537D0D2E}">
      <text>
        <r>
          <rPr>
            <sz val="9"/>
            <color indexed="81"/>
            <rFont val="Tahoma"/>
            <family val="2"/>
          </rPr>
          <t>Our mainline and regional fuel expense totaled $611 million in the third quarter of 2020, which was $1.9 billion, or 75.3%, lower as
compared to the third quarter of 2019. This decrease was primarily driven by a 58.7% decrease in gallons of fuel consumed as a result of
lower capacity and a 40.1% decrease in the average price per gallon of aircraft fuel including related taxes to $1.23 in the third quarter of
2020 from $2.05 in the third quarter of 2019.</t>
        </r>
      </text>
    </comment>
    <comment ref="M15" authorId="0" shapeId="0" xr:uid="{E4A9175C-BA44-4442-BB6B-2CB5AB5935C4}">
      <text>
        <r>
          <rPr>
            <sz val="9"/>
            <color indexed="81"/>
            <rFont val="Tahoma"/>
            <family val="2"/>
          </rPr>
          <t>Aircraft fuel expense was $1.0 billion in the first quarter of 2021, which was $750 million, or 42.0%, lower as compared to the first quarter
of 2020. This decrease was primarily driven by a 37.4% decrease in gallons of fuel consumed as a result of lower capacity and a 7.4%
decrease in the average price per gallon of aircraft fuel including related taxes to $1.70 in the first quarter of 2021 from $1.83 in the first
quarter of 2020.</t>
        </r>
      </text>
    </comment>
    <comment ref="N15" authorId="0" shapeId="0" xr:uid="{D78DE384-E1BB-4ED8-860C-35CCC31C4C70}">
      <text>
        <r>
          <rPr>
            <sz val="9"/>
            <color indexed="81"/>
            <rFont val="Tahoma"/>
            <family val="2"/>
          </rPr>
          <t>Aircraft fuel expense was $1.6 billion in the second quarter of 2021, which was $1.3 billion higher as compared to the second quarter of
2020. This increase was primarily driven by higher fuel consumption as a result of increased capacity and a 69.5% increase in the average
price per gallon of aircraft fuel including related taxes to $1.91 in the second quarter of 2021 from $1.13 in the second quarter of 2020</t>
        </r>
      </text>
    </comment>
    <comment ref="O15" authorId="0" shapeId="0" xr:uid="{01264668-0DF1-4207-BF15-3ECB3C18F4D9}">
      <text>
        <r>
          <rPr>
            <sz val="9"/>
            <color indexed="81"/>
            <rFont val="Tahoma"/>
            <family val="2"/>
          </rPr>
          <t xml:space="preserve">Aircraft fuel expense was $2.0 billion in the third quarter of 2021, which was $1.3 billion higher as compared to the third quarter of 2020.
This increase was primarily driven by an 88.5% increase in fuel consumption as a result of increased capacity and a 69.3% increase in the
average price per gallon of aircraft fuel including related taxes to $2.07 in the third quarter of 2021 from $1.23 in the third quarter of 2020.
</t>
        </r>
      </text>
    </comment>
    <comment ref="X15" authorId="0" shapeId="0" xr:uid="{CD45ECEF-9D22-4FEA-8C44-95028D38111E}">
      <text>
        <r>
          <rPr>
            <sz val="9"/>
            <color indexed="81"/>
            <rFont val="Tahoma"/>
            <family val="2"/>
          </rPr>
          <t>Our mainline and regional fuel expense totaled $9.4 billion in 2019, which was $501 million, or 5.1%, lower compared to 2018. This
decrease was primarily driven by a 6.9% decrease in the average price per gallon of fuel including related taxes to $2.07 in 2019 from $2.23 in
2018, offset in part by a 2.0% increase in gallons of fuel consumed.</t>
        </r>
      </text>
    </comment>
    <comment ref="Y15" authorId="0" shapeId="0" xr:uid="{6969DBED-3E08-46EC-9789-C6B8D8158323}">
      <text>
        <r>
          <rPr>
            <sz val="9"/>
            <color indexed="81"/>
            <rFont val="Tahoma"/>
            <family val="2"/>
          </rPr>
          <t>Our mainline and regional fuel expense totaled $3.4 billion in 2020, which was $6.0 billion, or 63.8%, lower compared to 2019. This
decrease was primarily driven by a 49.4% decrease in gallons of fuel consumed as a result of lower capacity and a 28.5% decrease in the
average price per gallon of aircraft fuel including related taxes to $1.48 in 2020 from $2.07 in 2019</t>
        </r>
      </text>
    </comment>
    <comment ref="Z15" authorId="0" shapeId="0" xr:uid="{178ACB2B-DDA5-48B6-AC0B-81217DE79A4D}">
      <text>
        <r>
          <rPr>
            <sz val="9"/>
            <color indexed="81"/>
            <rFont val="Tahoma"/>
            <family val="2"/>
          </rPr>
          <t>In 2021, aircraft fuel expense totaled $6.8 billion, an increase of $3.4 billion, or 99.6%, as compared to 2020. This increase was primarily
driven by a 44.7% increase in fuel consumption as a result of increased capacity and a 37.9% increase in the average price per gallon of
aircraft fuel including related taxes to $2.04 in 2021 from $1.48 in 2020.</t>
        </r>
      </text>
    </comment>
    <comment ref="N19" authorId="0" shapeId="0" xr:uid="{DE4916D0-14E8-4A22-BB84-5A8A1A060818}">
      <text>
        <r>
          <rPr>
            <sz val="9"/>
            <color indexed="81"/>
            <rFont val="Tahoma"/>
            <family val="2"/>
          </rPr>
          <t>Other rent and landing fees increased $232 million, or 22.7%, in the first six months of 2021 from the first six months of 2020 due to an
increase in variable rent and landing fees due to our increased capacity.</t>
        </r>
      </text>
    </comment>
    <comment ref="O19" authorId="0" shapeId="0" xr:uid="{C39B1125-A8CA-48D6-A8A2-B33B02A29D79}">
      <text>
        <r>
          <rPr>
            <sz val="9"/>
            <color indexed="81"/>
            <rFont val="Tahoma"/>
            <family val="2"/>
          </rPr>
          <t>Other rent and landing fees increased $455 million, or 30.4%, in the first nine months of 2021 from the first nine months of 2020 primarily
due to an increase in variable rent and landing fees due to our increased capacity.</t>
        </r>
      </text>
    </comment>
    <comment ref="Z19" authorId="0" shapeId="0" xr:uid="{ECF15773-EA4D-42ED-AD17-1DB035739CD7}">
      <text>
        <r>
          <rPr>
            <sz val="9"/>
            <color indexed="81"/>
            <rFont val="Tahoma"/>
            <family val="2"/>
          </rPr>
          <t>Other rent and landing fees increased $615 million, or 30.7%, in 2021 from 2020 primarily due to an increase in landing fees and variable
rent as a result of our increased capacity.</t>
        </r>
      </text>
    </comment>
    <comment ref="M20" authorId="0" shapeId="0" xr:uid="{6B376D34-220B-4F37-B875-6A6A99E82919}">
      <text>
        <r>
          <rPr>
            <sz val="9"/>
            <color indexed="81"/>
            <rFont val="Tahoma"/>
            <family val="2"/>
          </rPr>
          <t>Aircraft rent increased $17 million, or 4.9%, in the first quarter of 2021 from the first quarter of 2020 primarily due to the delivery of 26 new
leased mainline aircraft subsequent to the first quarter of 2020.</t>
        </r>
      </text>
    </comment>
    <comment ref="N20" authorId="0" shapeId="0" xr:uid="{B0A93339-73F3-4D66-B30F-89604CA7654A}">
      <text>
        <r>
          <rPr>
            <sz val="9"/>
            <color indexed="81"/>
            <rFont val="Tahoma"/>
            <family val="2"/>
          </rPr>
          <t>Aircraft rent increased $22 million, or 6.4%, in the second quarter of 2021 from the second quarter of 2020 primarily due to the delivery of
31 new leased mainline aircraft subsequent to the second quarter of 2020.</t>
        </r>
      </text>
    </comment>
    <comment ref="O20" authorId="0" shapeId="0" xr:uid="{04FEF1A5-C05D-4214-B48E-FE4E1A473F2A}">
      <text>
        <r>
          <rPr>
            <sz val="9"/>
            <color indexed="81"/>
            <rFont val="Tahoma"/>
            <family val="2"/>
          </rPr>
          <t>Aircraft rent increased $22 million, or 6.6%, in the third quarter of 2021 from the third quarter of 2020 primarily due to the delivery of 31 new
leased mainline aircraft subsequent to the third quarter of 2020.</t>
        </r>
      </text>
    </comment>
    <comment ref="Z20" authorId="0" shapeId="0" xr:uid="{10A87763-BACC-4939-A691-EC142AE7B996}">
      <text>
        <r>
          <rPr>
            <sz val="9"/>
            <color indexed="81"/>
            <rFont val="Tahoma"/>
            <family val="2"/>
          </rPr>
          <t>Aircraft rent increased $84 million, or 6.2%, in 2021 from 2020 primarily due to the delivery of 25 new leased mainline aircraft in 2021.</t>
        </r>
      </text>
    </comment>
    <comment ref="N23" authorId="0" shapeId="0" xr:uid="{185328E8-ABBC-47C5-B04F-0A82EB86BDC0}">
      <text>
        <r>
          <rPr>
            <sz val="9"/>
            <color indexed="81"/>
            <rFont val="Tahoma"/>
            <family val="2"/>
          </rPr>
          <t>Selling expenses increased $220 million in the second quarter of 2021 from the second quarter of 2020 due to higher commission
expense and credit card fees driven by the overall increase in revenues</t>
        </r>
      </text>
    </comment>
    <comment ref="O23" authorId="0" shapeId="0" xr:uid="{AAF0DF4E-94AB-4F0F-8A0C-144C1AD41BBF}">
      <text>
        <r>
          <rPr>
            <sz val="9"/>
            <color indexed="81"/>
            <rFont val="Tahoma"/>
            <family val="2"/>
          </rPr>
          <t>Selling expenses increased $221 million in the third quarter of 2021 from the third quarter of 2020 due to higher commission expense and
credit card fees driven by the overall increase in revenues.</t>
        </r>
      </text>
    </comment>
    <comment ref="Z23" authorId="0" shapeId="0" xr:uid="{4CCA2D98-16B2-4E0D-AA6F-50E4D65D0847}">
      <text>
        <r>
          <rPr>
            <sz val="9"/>
            <color indexed="81"/>
            <rFont val="Tahoma"/>
            <family val="2"/>
          </rPr>
          <t>Selling expenses increased $432 million, or 65.0%, in 2021 from 2020 due to higher credit card fees and higher commission expense
driven by the overall increase in revenues.</t>
        </r>
      </text>
    </comment>
    <comment ref="R36" authorId="0" shapeId="0" xr:uid="{491C0ADB-1937-4DA9-9388-96EBA20E33A7}">
      <text>
        <r>
          <rPr>
            <sz val="9"/>
            <color indexed="81"/>
            <rFont val="Tahoma"/>
            <family val="2"/>
          </rPr>
          <t>At December 31, 2021, we had approximately $17.2 billion of gross federal net operating losses (NOLs) and $3.0 billion of othercarryforwards available to reduce future federal taxable income, of which $6.9 billion will expire beginning in 2024 if unused and $13.3 billioncan be carried forward indefinitely. We also had approximately $6.0 billion of NOL carryforwards to reduce future state taxable income atDecember 31, 2021, which will expire in taxable years 2021 through 2041 if unused</t>
        </r>
      </text>
    </comment>
    <comment ref="R44" authorId="0" shapeId="0" xr:uid="{E1B74C3B-493C-48B7-BB1E-C4D085ABF7EB}">
      <text>
        <r>
          <rPr>
            <sz val="9"/>
            <color indexed="81"/>
            <rFont val="Tahoma"/>
            <family val="2"/>
          </rPr>
          <t>Guidance: Total revenue up 6% - 8%</t>
        </r>
      </text>
    </comment>
    <comment ref="R69" authorId="0" shapeId="0" xr:uid="{B0D02F11-713D-4FD8-B8FD-6F716736A3C1}">
      <text>
        <r>
          <rPr>
            <sz val="9"/>
            <color indexed="81"/>
            <rFont val="Tahoma"/>
            <family val="2"/>
          </rPr>
          <t>Guidance: Pre Tax Margin: 3% - 5%</t>
        </r>
      </text>
    </comment>
    <comment ref="C115" authorId="0" shapeId="0" xr:uid="{6FE51747-1EDA-4900-B71B-912CAB068C80}">
      <text>
        <r>
          <rPr>
            <sz val="9"/>
            <color indexed="81"/>
            <rFont val="Tahoma"/>
            <family val="2"/>
          </rPr>
          <t>A basic measure of production. One ASM represents one seat flown one mile</t>
        </r>
      </text>
    </comment>
    <comment ref="R125" authorId="0" shapeId="0" xr:uid="{0E89FA0F-A45F-4925-9354-18EC3BBFD924}">
      <text>
        <r>
          <rPr>
            <sz val="9"/>
            <color indexed="81"/>
            <rFont val="Tahoma"/>
            <family val="2"/>
          </rPr>
          <t>But what we're really encouraged by is the manner in which demand is returning first in long-haul South America, where we just -- where we have so much capacity. Increasingly, we're seeing not just more customers simply sign on for flights, but we're filling premium cabins at a better and better rate.</t>
        </r>
      </text>
    </comment>
    <comment ref="Q127" authorId="0" shapeId="0" xr:uid="{1F9BDF4D-AA59-49A4-8B01-6E21D593240B}">
      <text>
        <r>
          <rPr>
            <sz val="9"/>
            <color indexed="81"/>
            <rFont val="Tahoma"/>
            <family val="2"/>
          </rPr>
          <t>Transpacific, it's grown quite a lot, too, but still, the bookings are pretty small and insignificant in the totality of all of our bookings.</t>
        </r>
      </text>
    </comment>
    <comment ref="T134" authorId="0" shapeId="0" xr:uid="{D52F8228-6381-4668-A70D-31C2A3D4D122}">
      <text>
        <r>
          <rPr>
            <sz val="9"/>
            <color indexed="81"/>
            <rFont val="Tahoma"/>
            <family val="2"/>
          </rPr>
          <t>A lot of our recovery is due to the fact that our short-haul international network is recovering at rates that are probably greater than what we see in domestic. And those markets, such as London and long-haul South America, are recovering pretty quickly, too. And that's where we have all of our capacity.</t>
        </r>
      </text>
    </comment>
    <comment ref="R137" authorId="0" shapeId="0" xr:uid="{1540CCF2-77DA-4BE3-8B7F-D3BE3C7638B2}">
      <text>
        <r>
          <rPr>
            <sz val="9"/>
            <color indexed="81"/>
            <rFont val="Tahoma"/>
            <family val="2"/>
          </rPr>
          <t>Guidance: Capacity down 6% - 8% vs. Q2'2019</t>
        </r>
      </text>
    </comment>
    <comment ref="AA137" authorId="0" shapeId="0" xr:uid="{19ACC3B0-8288-471D-B7F7-02B7BDE571FD}">
      <text>
        <r>
          <rPr>
            <sz val="9"/>
            <color indexed="81"/>
            <rFont val="Tahoma"/>
            <family val="2"/>
          </rPr>
          <t>Guidance: Capacity down 6% - 8% vs. 2019</t>
        </r>
      </text>
    </comment>
    <comment ref="C139" authorId="0" shapeId="0" xr:uid="{D77E5589-2E1D-4854-9FDF-B4E0D34BBBDA}">
      <text>
        <r>
          <rPr>
            <sz val="9"/>
            <color indexed="81"/>
            <rFont val="Tahoma"/>
            <family val="2"/>
          </rPr>
          <t>The percentage of available seats that are filled with revenue passengers</t>
        </r>
      </text>
    </comment>
    <comment ref="R145" authorId="0" shapeId="0" xr:uid="{B168F629-FAA9-4A82-B287-7AAFD8747FDB}">
      <text>
        <r>
          <rPr>
            <sz val="9"/>
            <color indexed="81"/>
            <rFont val="Tahoma"/>
            <family val="2"/>
          </rPr>
          <t>Domestic leisure travel continued to lead the way, far surpassing 2019 levels of traffic and revenue in the month of March. In addition, we saw strong quarter-over-quarter improvement in corporate and government travel with revenue for this segment as a percentage of 2019 increasing 27 percentage points from January to March.</t>
        </r>
      </text>
    </comment>
    <comment ref="C147" authorId="0" shapeId="0" xr:uid="{A89C3C92-1299-4149-92AD-CC0248D616FA}">
      <text>
        <r>
          <rPr>
            <sz val="9"/>
            <color indexed="81"/>
            <rFont val="Tahoma"/>
            <family val="2"/>
          </rPr>
          <t>A basic measure of sales volume. One RPM represents one passenger flown one mile.</t>
        </r>
      </text>
    </comment>
    <comment ref="R181" authorId="0" shapeId="0" xr:uid="{2AC842C6-DDEA-4C78-91DD-7EFCBA5B8323}">
      <text>
        <r>
          <rPr>
            <sz val="9"/>
            <color indexed="81"/>
            <rFont val="Tahoma"/>
            <family val="2"/>
          </rPr>
          <t>Transcript: On this revenue strength, we expect total revenue per available seat mile to be 14% to 16% higher in the second quarter versus the same period of 2019.</t>
        </r>
      </text>
    </comment>
    <comment ref="C193" authorId="0" shapeId="0" xr:uid="{F4132CBD-6360-4428-8D7E-407753E85C29}">
      <text>
        <r>
          <rPr>
            <sz val="9"/>
            <color indexed="81"/>
            <rFont val="Tahoma"/>
            <family val="2"/>
          </rPr>
          <t>Comprised principally of the marketing component of mileage sales to co-branded credit card and other partners and other marketing related payments.</t>
        </r>
      </text>
    </comment>
    <comment ref="C194" authorId="0" shapeId="0" xr:uid="{57B6FD8B-A1BF-41D1-A9E2-1AA9DD2B78D6}">
      <text>
        <r>
          <rPr>
            <sz val="9"/>
            <color indexed="81"/>
            <rFont val="Tahoma"/>
            <family val="2"/>
          </rPr>
          <t>Amounts included within other revenue relate to airport clubs, advertising and vacation-related services.</t>
        </r>
      </text>
    </comment>
    <comment ref="R211" authorId="0" shapeId="0" xr:uid="{4573C7B1-7D35-43B7-9939-DDCA308B08E7}">
      <text>
        <r>
          <rPr>
            <sz val="9"/>
            <color indexed="81"/>
            <rFont val="Tahoma"/>
            <family val="2"/>
          </rPr>
          <t>Guidance: Range of $3,637m - $3,687m</t>
        </r>
      </text>
    </comment>
    <comment ref="R220" authorId="0" shapeId="0" xr:uid="{836E8ACC-4D18-41AD-93E4-7191411AD347}">
      <text>
        <r>
          <rPr>
            <sz val="9"/>
            <color indexed="81"/>
            <rFont val="Tahoma"/>
            <family val="2"/>
          </rPr>
          <t>Guidance: Range of $3.54 - $3.64</t>
        </r>
      </text>
    </comment>
    <comment ref="AA220" authorId="0" shapeId="0" xr:uid="{49164F37-AD25-4682-AB15-8177F4FC3458}">
      <text>
        <r>
          <rPr>
            <sz val="9"/>
            <color indexed="81"/>
            <rFont val="Tahoma"/>
            <family val="2"/>
          </rPr>
          <t>Based on our 2022 forecasted fuel consumption, we estimate that a one cent per gallon increase in the price of aircraft fuel would increase our 2022 annual fuel expense by approximately $40 million Source: 10K 2021</t>
        </r>
      </text>
    </comment>
    <comment ref="R222" authorId="0" shapeId="0" xr:uid="{50641656-2C9D-420B-B105-5CAE44C09D93}">
      <text>
        <r>
          <rPr>
            <sz val="9"/>
            <color indexed="81"/>
            <rFont val="Tahoma"/>
            <family val="2"/>
          </rPr>
          <t>Guidance: Consumption of 1,013 milliongallons</t>
        </r>
      </text>
    </comment>
    <comment ref="R252" authorId="0" shapeId="0" xr:uid="{DAF84A82-B531-4A47-8CE5-440508AB9DC8}">
      <text>
        <r>
          <rPr>
            <sz val="9"/>
            <color indexed="81"/>
            <rFont val="Tahoma"/>
            <family val="2"/>
          </rPr>
          <t>Guidance: Range of $8,237m - $8,390m</t>
        </r>
      </text>
    </comment>
    <comment ref="X257" authorId="0" shapeId="0" xr:uid="{3A47CF63-4BD7-4AC2-9CAC-3F8A5B1068EB}">
      <text>
        <r>
          <rPr>
            <sz val="9"/>
            <color indexed="81"/>
            <rFont val="Tahoma"/>
            <family val="2"/>
          </rPr>
          <t>Regional other operating expenses per ASM increased 5.3% in 2019 as compared to 2018 primarily driven by an 8.3% increase in
regional capacity, principally from our wholly-owned regional carriers</t>
        </r>
      </text>
    </comment>
    <comment ref="X258" authorId="0" shapeId="0" xr:uid="{6FA87C11-00AB-4367-95D3-D6EB92B8D15E}">
      <text>
        <r>
          <rPr>
            <sz val="9"/>
            <color indexed="81"/>
            <rFont val="Tahoma"/>
            <family val="2"/>
          </rPr>
          <t>Maintenance, materials and repairs per ASM increased 14.9% in 2019 as compared to 2018 primarily due to a contract change that
resulted in certain flight equipment transitioning to a flight hour based contract (referred to as power by the hour) whereby expense is
incurred and recognized based on actual hours flown. Previously, this flight equipment was covered by a time and materials based
contract whereby expense is incurred and recognized as maintenance is performed. An increase in the volume of airframe and engine
overhauls performed under time and material based contracts as well as an increase in the volume of component part repairs also drove
higher maintenance expenses in 2019.</t>
        </r>
      </text>
    </comment>
    <comment ref="X259" authorId="0" shapeId="0" xr:uid="{E8D4E8CE-3500-4782-8824-FA85D28DB1C8}">
      <text>
        <r>
          <rPr>
            <sz val="9"/>
            <color indexed="81"/>
            <rFont val="Tahoma"/>
            <family val="2"/>
          </rPr>
          <t>Other rent and landing fees per ASM increased 7.0% in 2019 as compared to 2018 primarily due to an expansion at DFW that became
fully operational in May 2019 and rate increases at certain hub airports.</t>
        </r>
      </text>
    </comment>
    <comment ref="O264" authorId="0" shapeId="0" xr:uid="{1E229CFB-288A-422C-99F4-DE7A53C1830B}">
      <text>
        <r>
          <rPr>
            <sz val="9"/>
            <color indexed="81"/>
            <rFont val="Tahoma"/>
            <family val="2"/>
          </rPr>
          <t>This decrease in CASM excluding net special items and fuel was primarily driven by higher capacity and cost
reduction and efficiency initiatives as previously discussed</t>
        </r>
      </text>
    </comment>
    <comment ref="R264" authorId="0" shapeId="0" xr:uid="{A1086CB1-BF68-4514-9CC7-FA4F54C2668F}">
      <text>
        <r>
          <rPr>
            <sz val="9"/>
            <color indexed="81"/>
            <rFont val="Tahoma"/>
            <family val="2"/>
          </rPr>
          <t>Guidance: 12.25cents - 12.47cents</t>
        </r>
      </text>
    </comment>
    <comment ref="R268" authorId="0" shapeId="0" xr:uid="{941AE6BA-695E-4C21-BC55-4B5471E4CAA1}">
      <text>
        <r>
          <rPr>
            <sz val="9"/>
            <color indexed="81"/>
            <rFont val="Tahoma"/>
            <family val="2"/>
          </rPr>
          <t>Departures of regional airlines in the second quarter are probably down about 20% versus 2019</t>
        </r>
      </text>
    </comment>
    <comment ref="R275" authorId="0" shapeId="0" xr:uid="{F6E5A983-0AF3-46E3-95FD-1198D3F50D03}">
      <text>
        <r>
          <rPr>
            <sz val="9"/>
            <color indexed="81"/>
            <rFont val="Tahoma"/>
            <family val="2"/>
          </rPr>
          <t>Guidance: CASM up 9% - 10% vs. 2019</t>
        </r>
      </text>
    </comment>
    <comment ref="AA275" authorId="0" shapeId="0" xr:uid="{F2E6966A-5283-4DAD-97E1-B245545CA1FC}">
      <text>
        <r>
          <rPr>
            <sz val="9"/>
            <color indexed="81"/>
            <rFont val="Tahoma"/>
            <family val="2"/>
          </rPr>
          <t>Guidance: +8% TP +10% vs. 2019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AA40" authorId="0" shapeId="0" xr:uid="{6AA9D8B4-5E59-43DF-B4C2-2DABACD88581}">
      <text>
        <r>
          <rPr>
            <sz val="9"/>
            <color indexed="81"/>
            <rFont val="Tahoma"/>
            <family val="2"/>
          </rPr>
          <t>The term loans under each of the Credit Facilities are repayable in annual installments in an amount equal to 1.00% of the aggregate principal amount issued, with any unpaid balance due on the respective maturity dates.</t>
        </r>
      </text>
    </comment>
    <comment ref="AB46" authorId="0" shapeId="0" xr:uid="{DE9530D1-1748-402F-8397-7B4398626E1B}">
      <text>
        <r>
          <rPr>
            <sz val="9"/>
            <color indexed="81"/>
            <rFont val="Tahoma"/>
            <family val="2"/>
          </rPr>
          <t>The outstanding principal on the 2026 Notes will be repaid in quarterly installments of $292 million on each AAdvantage Payment Date, beginning on July 20, 2023</t>
        </r>
      </text>
    </comment>
    <comment ref="AB48" authorId="0" shapeId="0" xr:uid="{6113DEF1-3C3F-41DC-BCF9-22BF673ECF3C}">
      <text>
        <r>
          <rPr>
            <sz val="9"/>
            <color indexed="81"/>
            <rFont val="Tahoma"/>
            <family val="2"/>
          </rPr>
          <t>The outstanding principal on the AAdvantage Loans will be repaid in quarterly installments of $175 million, on each AAdvantage Payment Date beginning with the AAdvantage Payment Date in July 2023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Q17" authorId="0" shapeId="0" xr:uid="{214F79C4-B981-440D-BC59-603886736219}">
      <text>
        <r>
          <rPr>
            <sz val="12"/>
            <color indexed="81"/>
            <rFont val="Tahoma"/>
            <family val="2"/>
          </rPr>
          <t>Not taking tax into account as the company has enough NOLs to offset future taxes
At December 31, 2021, we had approximately $17.2 billion of gross federal net operating losses (NOLs) and $3.0 billion of othercarryforwards available to reduce future federal taxable income, of which $6.9 billion will expire beginning in 2024 if unused and $13.3 billioncan be carried forward indefinitely. We also had approximately $6.0 billion of NOL carryforwards to reduce future state taxable income atDecember 31, 2021, which will expire in taxable years 2021 through 2041 if unused</t>
        </r>
      </text>
    </comment>
    <comment ref="Q23" authorId="0" shapeId="0" xr:uid="{A008A5B3-E2CC-4358-A8EB-E5CBE5396B80}">
      <text>
        <r>
          <rPr>
            <sz val="14"/>
            <color indexed="81"/>
            <rFont val="Tahoma"/>
            <family val="2"/>
          </rPr>
          <t>As of March 31, 2022, we had approximately $2.9 billion undrawn and available under our revolving credit facilities. In addition, we had approximately
$400 million outstanding letters of credit as of March 31, 2022 that did not affect the availability of our revolving credit facilities</t>
        </r>
      </text>
    </comment>
    <comment ref="S29" authorId="0" shapeId="0" xr:uid="{97413B11-CE49-4A07-9D49-D4A35752DDB4}">
      <text>
        <r>
          <rPr>
            <sz val="14"/>
            <color indexed="81"/>
            <rFont val="Tahoma"/>
            <family val="2"/>
          </rPr>
          <t>As of March 31, 2022, we had approximately $2.9 billion undrawn and available under our revolving credit facilities. In addition, we had approximately
$400 million outstanding letters of credit as of March 31, 2022 that did not affect the availability of our revolving credit facilities</t>
        </r>
      </text>
    </comment>
    <comment ref="S32" authorId="0" shapeId="0" xr:uid="{85716002-F9F0-483E-96C6-C7111BD3D0A2}">
      <text>
        <r>
          <rPr>
            <sz val="12"/>
            <color indexed="81"/>
            <rFont val="Tahoma"/>
            <family val="2"/>
          </rPr>
          <t>10Q Pg 38/124 
As of June 30, 2022, we had approximately $2.8 billion undrawn and available under our revolving credit facilities. In addition, we had outstanding letters of credit as of June 30, 2022, including approximately $100 million that reduced the availability under our revolving credit facilities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R32" authorId="0" shapeId="0" xr:uid="{BCF5DBDC-1ACE-4C1A-835E-EBE451ACA3A8}">
      <text>
        <r>
          <rPr>
            <sz val="9"/>
            <color indexed="81"/>
            <rFont val="Tahoma"/>
            <family val="2"/>
          </rPr>
          <t>Compared to operating income of $2.1 billion in the June 2019 quarter, our operating income in the June 2022 quarter was lower primarily from a 41% increase in fuel expense and a 4% decrease in passenger revenue on 18% lower system capacity, as we continue to rebuild our operations following the COVID-19 pandemic.</t>
        </r>
      </text>
    </comment>
    <comment ref="S48" authorId="0" shapeId="0" xr:uid="{4B2FB60F-71FC-4AE9-9F06-C59B9D000B00}">
      <text>
        <r>
          <rPr>
            <b/>
            <sz val="9"/>
            <color indexed="81"/>
            <rFont val="Tahoma"/>
            <family val="2"/>
          </rPr>
          <t xml:space="preserve">Q3 Guidance: </t>
        </r>
        <r>
          <rPr>
            <sz val="9"/>
            <color indexed="81"/>
            <rFont val="Tahoma"/>
            <family val="2"/>
          </rPr>
          <t>Diluted share count: 642M</t>
        </r>
      </text>
    </comment>
    <comment ref="Y55" authorId="0" shapeId="0" xr:uid="{88ED9D9B-E914-4CE9-B415-45EEA633676E}">
      <text>
        <r>
          <rPr>
            <sz val="9"/>
            <color indexed="81"/>
            <rFont val="Tahoma"/>
            <family val="2"/>
          </rPr>
          <t xml:space="preserve">During 2020, we recorded restructuring charges of $8.2 billion for items such as fleet impairments and voluntary early retirement and separation programs following strategic business decisions in response to the COVID-19 pandemic. </t>
        </r>
      </text>
    </comment>
    <comment ref="Z55" authorId="0" shapeId="0" xr:uid="{5E5B6DC4-143B-4FC7-813B-0CE031ECF2F1}">
      <text>
        <r>
          <rPr>
            <sz val="9"/>
            <color indexed="81"/>
            <rFont val="Tahoma"/>
            <family val="2"/>
          </rPr>
          <t>In the year ended December 31, 2021, we recognized $19 million of adjustments to certain of those restructuring charges, representing changes in our estimates.</t>
        </r>
      </text>
    </comment>
    <comment ref="C73" authorId="0" shapeId="0" xr:uid="{6A253E3B-6111-4A00-92AB-323789FA36F3}">
      <text>
        <r>
          <rPr>
            <sz val="9"/>
            <color indexed="81"/>
            <rFont val="Tahoma"/>
            <family val="2"/>
          </rPr>
          <t>MTM adjustments on investments. Unrealized gains/losses result from our equity investments that are accounted for at fair value in non-operating expense. These gains/losses are driven by changes in stock prices, other valuation techniques for investments in companies without publicly-traded shares and foreign currency fluctuations. Adjusting for these gains/ losses allows investors to better understand and analyze our core operational performance in the periods shown</t>
        </r>
      </text>
    </comment>
    <comment ref="C78" authorId="0" shapeId="0" xr:uid="{083F9923-A794-4628-A793-DED58258A07B}">
      <text>
        <r>
          <rPr>
            <sz val="9"/>
            <color indexed="81"/>
            <rFont val="Tahoma"/>
            <family val="2"/>
          </rPr>
          <t>MTM adjustments and settlements on hedges. Mark-to-market ("MTM") adjustments are defined as fair value changes recorded in periods other than the settlement period. 
Such fair value changes are not necessarily indicative of the actual settlement value of the underlying hedge in the contract settlement period. Settlements represent cash received or paid on hedge contracts settled during the applicable period.</t>
        </r>
      </text>
    </comment>
    <comment ref="C79" authorId="0" shapeId="0" xr:uid="{CDAE7F37-D3F0-49F6-8E97-194C57EABFDE}">
      <text>
        <r>
          <rPr>
            <sz val="9"/>
            <color indexed="81"/>
            <rFont val="Tahoma"/>
            <family val="2"/>
          </rPr>
          <t>Delta Private Jets adjustment. Because we combined Delta Private Jets with Wheels Up in January 2020, we have excluded the impact of Delta Private Jets from 2019 results for comparability</t>
        </r>
      </text>
    </comment>
    <comment ref="C81" authorId="0" shapeId="0" xr:uid="{B8F4A6A3-C9DC-443B-8AB3-62E75C485C0B}">
      <text>
        <r>
          <rPr>
            <sz val="9"/>
            <color indexed="81"/>
            <rFont val="Tahoma"/>
            <family val="2"/>
          </rPr>
          <t>Equity investment MTM adjustments. We adjust for our proportionate share of our equity method investee, Virgin Atlantic’s, hedge portfolio MTM adjustments (recorded in non-operating expense)</t>
        </r>
      </text>
    </comment>
    <comment ref="C99" authorId="0" shapeId="0" xr:uid="{B344FC07-71A2-42CD-809D-EF7D2BDF31CF}">
      <text>
        <r>
          <rPr>
            <sz val="9"/>
            <color indexed="81"/>
            <rFont val="Tahoma"/>
            <family val="2"/>
          </rPr>
          <t>MTM adjustments on investments. Unrealized gains/losses result from our equity investments that are accounted for at fair value in non-operating expense. These gains/losses are driven by changes in stock prices, other valuation techniques for investments in companies without publicly-traded shares and foreign currency fluctuations. Adjusting for these gains/ losses allows investors to better understand and analyze our core operational performance in the periods shown</t>
        </r>
      </text>
    </comment>
    <comment ref="C104" authorId="0" shapeId="0" xr:uid="{D448BCDA-BA60-431D-9334-DAFE686BCA18}">
      <text>
        <r>
          <rPr>
            <sz val="9"/>
            <color indexed="81"/>
            <rFont val="Tahoma"/>
            <family val="2"/>
          </rPr>
          <t>MTM adjustments and settlements on hedges. Mark-to-market ("MTM") adjustments are defined as fair value changes recorded in periods other than the settlement period. 
Such fair value changes are not necessarily indicative of the actual settlement value of the underlying hedge in the contract settlement period. Settlements represent cash received or paid on hedge contracts settled during the applicable period.</t>
        </r>
      </text>
    </comment>
    <comment ref="C105" authorId="0" shapeId="0" xr:uid="{154A45CF-EFCE-4FB2-8FAB-7AB13DD819ED}">
      <text>
        <r>
          <rPr>
            <sz val="9"/>
            <color indexed="81"/>
            <rFont val="Tahoma"/>
            <family val="2"/>
          </rPr>
          <t>Delta Private Jets adjustment. Because we combined Delta Private Jets with Wheels Up in January 2020, we have excluded the impact of Delta Private Jets from 2019 results for comparability</t>
        </r>
      </text>
    </comment>
    <comment ref="C107" authorId="0" shapeId="0" xr:uid="{E6E8D54A-1221-4D2D-BAB9-BE33B96A0186}">
      <text>
        <r>
          <rPr>
            <sz val="9"/>
            <color indexed="81"/>
            <rFont val="Tahoma"/>
            <family val="2"/>
          </rPr>
          <t>Equity investment MTM adjustments. We adjust for our proportionate share of our equity method investee, Virgin Atlantic’s, hedge portfolio MTM adjustments (recorded in non-operating expense)</t>
        </r>
      </text>
    </comment>
    <comment ref="C152" authorId="0" shapeId="0" xr:uid="{5B4E84CD-1B2D-4141-A819-37D13979406E}">
      <text>
        <r>
          <rPr>
            <sz val="9"/>
            <color indexed="81"/>
            <rFont val="Tahoma"/>
            <family val="2"/>
          </rPr>
          <t>We sell tickets for air travel in advance of the customer's travel date. When we receive a cash payment at the time of sale, we record the cash received on advance sales as deferred revenue in air traffic liability. The air traffic liability typically increases during the winter and spring months as advanced ticket sales grow prior to the summer peak travel season and decreases during the summer and fall months. However, the reduction in demand for air travel due to the COVID-19 pandemic resulted in a lower level of advance bookings and the associated cash received than we have historically experienced, which has impacted the typical seasonal trend of air traffic liability since March 2020.</t>
        </r>
      </text>
    </comment>
    <comment ref="R209" authorId="0" shapeId="0" xr:uid="{3D345159-F04B-4C88-A319-0B66A5250F5E}">
      <text>
        <r>
          <rPr>
            <sz val="9"/>
            <color indexed="81"/>
            <rFont val="Tahoma"/>
            <family val="2"/>
          </rPr>
          <t>Air traffic liability increased approximately $805 million during the June 2022 quarter, which exceeds our historical seasonal change, reflecting the continued restoration of our business and robust demand environment. Our air traffic liability remains above historical levels with no material change to the travel credit balance compared to December 31, 2021.</t>
        </r>
      </text>
    </comment>
    <comment ref="S231" authorId="0" shapeId="0" xr:uid="{5730DBE4-B830-4E02-86AF-492424CB5899}">
      <text>
        <r>
          <rPr>
            <sz val="9"/>
            <color indexed="81"/>
            <rFont val="Tahoma"/>
            <family val="2"/>
          </rPr>
          <t>10Q Q2: We expect to continue generating positive cash flows from operations during the remainder of 2022.</t>
        </r>
      </text>
    </comment>
    <comment ref="T231" authorId="0" shapeId="0" xr:uid="{532D17F3-66C1-4A3E-A120-E425F9A01DF7}">
      <text>
        <r>
          <rPr>
            <sz val="9"/>
            <color indexed="81"/>
            <rFont val="Tahoma"/>
            <family val="2"/>
          </rPr>
          <t>We expect to continue generating positive cash flows from operations during the remainder of 2022.</t>
        </r>
      </text>
    </comment>
    <comment ref="AA233" authorId="0" shapeId="0" xr:uid="{21A7E7E6-1AC6-45F8-AC0D-593E583F5238}">
      <text>
        <r>
          <rPr>
            <sz val="9"/>
            <color indexed="81"/>
            <rFont val="Tahoma"/>
            <family val="2"/>
          </rPr>
          <t>Our expected 2022 capital expenditures of approximately $6.0 billion will be primarily for aircraft, including deliveries and advance deposit payments, as well as fleet modifications and technology enhancements and may vary depending on financing decisions.</t>
        </r>
      </text>
    </comment>
    <comment ref="S243" authorId="0" shapeId="0" xr:uid="{1AF42477-D841-44AC-A30B-A2D47E7CCC7B}">
      <text>
        <r>
          <rPr>
            <sz val="9"/>
            <color indexed="81"/>
            <rFont val="Tahoma"/>
            <family val="2"/>
          </rPr>
          <t>Debt reduction remains a key priority. We expect to end third quarter with adjusted net debt of approximately $20 billion.</t>
        </r>
      </text>
    </comment>
    <comment ref="R245" authorId="0" shapeId="0" xr:uid="{24B94E35-BC48-4832-8DD9-36D48CB06B8B}">
      <text>
        <r>
          <rPr>
            <sz val="9"/>
            <color indexed="81"/>
            <rFont val="Tahoma"/>
            <family val="2"/>
          </rPr>
          <t>In connection with the financial assistance provided under PSP1, PSP2 and PSP3, we agreed not to repurchase shares of commonstock through March 31, 2022.</t>
        </r>
      </text>
    </comment>
    <comment ref="R246" authorId="0" shapeId="0" xr:uid="{699628D1-BCDA-420D-9309-A965D7CBCB96}">
      <text>
        <r>
          <rPr>
            <sz val="9"/>
            <color indexed="81"/>
            <rFont val="Tahoma"/>
            <family val="2"/>
          </rPr>
          <t>In connection with the financial assistance provided under PSP1, PSP2 and PSP3, we agreed not to pay dividends on commonstock through March 31, 2022.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Vedang Poddar</author>
  </authors>
  <commentList>
    <comment ref="R13" authorId="0" shapeId="0" xr:uid="{8A77499B-112D-4EA6-9DE3-E50148DC5932}">
      <text>
        <r>
          <rPr>
            <sz val="9"/>
            <color indexed="81"/>
            <rFont val="Tahoma"/>
            <family val="2"/>
          </rPr>
          <t>Revenue compared to 2019 progressed from down 15% in the month of March to up 4% in the month of June, resulting in quarterly revenues that were 1% below 2019 levels.</t>
        </r>
      </text>
    </comment>
    <comment ref="S13" authorId="0" shapeId="0" xr:uid="{64E3EE20-6952-4FA1-8BD5-7E48928191F8}">
      <text>
        <r>
          <rPr>
            <b/>
            <sz val="9"/>
            <color indexed="81"/>
            <rFont val="Tahoma"/>
            <family val="2"/>
          </rPr>
          <t xml:space="preserve">Q3 Guidance: </t>
        </r>
        <r>
          <rPr>
            <sz val="9"/>
            <color indexed="81"/>
            <rFont val="Tahoma"/>
            <family val="2"/>
          </rPr>
          <t>$12.6B - $13.1B</t>
        </r>
      </text>
    </comment>
    <comment ref="M15" authorId="0" shapeId="0" xr:uid="{819C7834-7D41-4CD9-A5DB-9933B990401C}">
      <text>
        <r>
          <rPr>
            <sz val="9"/>
            <color indexed="81"/>
            <rFont val="Tahoma"/>
            <family val="2"/>
          </rPr>
          <t>Fuel expense decreased $961 million compared to the March 2019 quarter primarily due to
a 43% decrease in consumption and a 18% decrease in the market price of jet fuel. Fuel expense decreased $578 million
compared to the March 2020 quarter primarily due to a 38% decrease in consumption and an 11% decrease in the market price
of jet fuel. Consumption decreased on a combination of reduced capacity and improved fuel efficiency on an available seat mile
basis. Additionally, during the March 2021 quarter, we purchased and retired approximately $20 million of carbon offset credits
which relate to approximately 60% of the 13 million metric tons of carbon emissions generated by our airline segment from
March 1 to December 31, 2020. In the table below, these costs are shown in environmental sustainability impact.</t>
        </r>
      </text>
    </comment>
    <comment ref="N15" authorId="0" shapeId="0" xr:uid="{F1C6E5AE-173E-4796-B2EA-66C20ED245E3}">
      <text>
        <r>
          <rPr>
            <sz val="9"/>
            <color indexed="81"/>
            <rFont val="Tahoma"/>
            <family val="2"/>
          </rPr>
          <t>Fuel expense decreased $805 million compared to the June 2019 quarter primarily due to a
37% decrease in consumption and a 11% decrease in the market price of jet fuel. Consumption decreased on a combination of
reduced capacity and improved fuel efficiency on an available seat mile basis.
Additionally, during the June 2021 quarter, we purchased and retired approximately $20 million of carbon offset credits,
which relate to a portion of the carbon emissions generated by our airline segment since March 1, 2020. In the table below,
these costs are shown in environmental sustainability impact</t>
        </r>
      </text>
    </comment>
    <comment ref="O15" authorId="0" shapeId="0" xr:uid="{F5D7C423-16E2-4A3C-ACEC-EA9F6E22005A}">
      <text>
        <r>
          <rPr>
            <sz val="9"/>
            <color indexed="81"/>
            <rFont val="Tahoma"/>
            <family val="2"/>
          </rPr>
          <t>Fuel expense decreased $687 million compared to the September 2019 quarter primarily
due to a 32% decrease in consumption, partially offset by a 1% increase in the market price of jet fuel. Consumption decreased
due to a combination of reduced capacity and improved fuel efficiency on an available seat mile basis.
Fuel expense increased $1.1 billion compared to the September 2020 quarter primarily due to a 102% increase in
consumption on a comparable increase in capacity, and a 75% increase in the market price of jet fuel.
Additionally, during the September 2021 quarter, we purchased and retired $29 million of carbon offset credits, which relate
to a portion of 2021 carbon emissions generated by our airline segment. In the table below, these costs are shown in
environmental sustainability impact.</t>
        </r>
      </text>
    </comment>
    <comment ref="Q15" authorId="0" shapeId="0" xr:uid="{F149EFEE-91DC-4B60-AFF6-D1D2B35B75B7}">
      <text>
        <r>
          <rPr>
            <sz val="9"/>
            <color indexed="81"/>
            <rFont val="Tahoma"/>
            <family val="2"/>
          </rPr>
          <t>Fuel expense increased $1.1 billion compared to the March 2021 quarter primarily due to a 71% increase in the market price
of jet fuel and a 38% increase in consumption on a comparable increase in capacity. We expect this elevated jet fuel cost to continue throughout 2022 due to recent
market disruptions, further exacerbated by geopolitical events.
Additionally, during the March 2022 quarter, we purchased and retired $47 million of carbon offset credits which relate to a portion of our airline segment's
2021 carbon emissions. In the table below, these costs are shown in the carbon offset costs line item</t>
        </r>
      </text>
    </comment>
    <comment ref="X15" authorId="0" shapeId="0" xr:uid="{739388A9-212E-4BF2-8B94-173A8C3CD4D6}">
      <text>
        <r>
          <rPr>
            <sz val="9"/>
            <color indexed="81"/>
            <rFont val="Tahoma"/>
            <family val="2"/>
          </rPr>
          <t>Fuel expense decreased $501 million compared to the prior year despite a 4.6% increase in
capacity, due to an 8% decrease in the market price per gallon of fuel and improved fuel efficiency driven by our investment in
new aircraft.</t>
        </r>
      </text>
    </comment>
    <comment ref="Y15" authorId="0" shapeId="0" xr:uid="{C8A1EEE6-79A7-420F-8FEE-2748E1F67BEB}">
      <text>
        <r>
          <rPr>
            <sz val="9"/>
            <color indexed="81"/>
            <rFont val="Tahoma"/>
            <family val="2"/>
          </rPr>
          <t>Fuel expense decreased $5.3 billion compared to the prior year due to a 51% decrease in
capacity and an approximately 25% decrease in the market price per gallon of jet fuel.</t>
        </r>
      </text>
    </comment>
    <comment ref="Z15" authorId="0" shapeId="0" xr:uid="{4FF73F7C-4996-4051-8274-4531AA38CCC9}">
      <text>
        <r>
          <rPr>
            <sz val="9"/>
            <color indexed="81"/>
            <rFont val="Tahoma"/>
            <family val="2"/>
          </rPr>
          <t>Fuel expense increased $2.5 billion compared to 2020 primarily due to a 44% increase in consumption on a 45% increase in capacity, and a 31% increase in the market price of jet fuel.
Additionally, during 2021, we purchased and retired $95 million of carbon offsets, of which $30 million relates to 13 million metric tons of carbon emissions generated by our airline segment from March 1 to December 31, 2020 as well as
$65 million which relates to a portion of 2021 carbon emissions generated by our airline segment. In the table below, these costs are shown in the carbon offset costs line item.</t>
        </r>
      </text>
    </comment>
    <comment ref="M16" authorId="0" shapeId="0" xr:uid="{CB1D96D0-E2C1-4113-89FE-BA624ED1FD09}">
      <text>
        <r>
          <rPr>
            <sz val="9"/>
            <color indexed="81"/>
            <rFont val="Tahoma"/>
            <family val="2"/>
          </rPr>
          <t>The decrease in salaries and related costs compared to the March 2020 and March 2019 quarters
is primarily due to actions taken as a result of decreased demand for air travel due to the COVID-19 pandemic. In the second
half of 2020, approximately 18,000 employees elected to participate in voluntary separation programs, reducing our workforce
by approximately 20%. Additionally, approximately 13,000 employees took voluntary unpaid leaves of absence during the
March 2021 quarter.
Beginning in March 2020 and continuing through December 2020, salaries were reduced by 100% for our CEO and 50% for
our other officers. In addition, work hours were reduced by 25% for all other management and most front-line employee work
groups.</t>
        </r>
      </text>
    </comment>
    <comment ref="N16" authorId="0" shapeId="0" xr:uid="{7DB49991-D661-4030-87A9-85908462E4A1}">
      <text>
        <r>
          <rPr>
            <sz val="9"/>
            <color indexed="81"/>
            <rFont val="Tahoma"/>
            <family val="2"/>
          </rPr>
          <t>Actions taken as a result of decreased demand for air travel due to the COVID-19 pandemic had
a significant impact on salaries and related costs, leading to a decrease compared to the June 2019 quarter. In the second half of
2020, approximately 18,000 employees elected to participate in voluntary separation programs, reducing our workforce by
approximately 20%.
Beginning in March 2020 and continuing through December 2020, salaries were reduced by 100% for our CEO and 50% for
our other officers. In addition, work hours were reduced by 25% for all other management and most front-line employee work
groups. On January 1, 2021, employees were restored to full work hours and we have recalled approximately 1,700 pilots on
inactive status to active service. Additionally, approximately 8,000 employees took voluntary unpaid leaves of absence during
the June 2021 quarter, compared to approximately 45,000 in the June 2020 quarter.</t>
        </r>
      </text>
    </comment>
    <comment ref="O16" authorId="0" shapeId="0" xr:uid="{DA2036EB-546D-4748-97D5-26CC3C0D65E1}">
      <text>
        <r>
          <rPr>
            <sz val="9"/>
            <color indexed="81"/>
            <rFont val="Tahoma"/>
            <family val="2"/>
          </rPr>
          <t>Actions taken as a result of decreased demand for air travel due to the COVID-19 pandemic had
a significant impact on salaries and related costs, leading to a decrease compared to the September 2019 quarter. In the second
half of 2020, approximately 18,000 employees elected to participate in voluntary separation programs, which initially reduced
our workforce by approximately 20%, though some of those positions have subsequently been filled. Since the beginning of
2021, we have hired approximately 8,000 employees in certain areas, including flight operations and reservations and customer
care, in order to support our operations as demand and capacity return.
Beginning in March 2020 and continuing through December 2020, salaries were reduced by 100% for our CEO and 50% for
our other officers. In addition, work hours were reduced by 25% for all other management and most front-line employee work
groups. On January 1, 2021, employees were restored to full work hours and we have recalled approximately 1,700 pilots from
inactive status back to active service. Additionally, approximately 40,000 employees took voluntary unpaid leaves of absence
during the September 2020 quarter. These actions resulted in higher salaries and related costs in the September 2021 quarter
compared to the September 2020 quarter.</t>
        </r>
      </text>
    </comment>
    <comment ref="Q16" authorId="0" shapeId="0" xr:uid="{91C7503E-F712-4F53-85C8-86EFF1911826}">
      <text>
        <r>
          <rPr>
            <sz val="9"/>
            <color indexed="81"/>
            <rFont val="Tahoma"/>
            <family val="2"/>
          </rPr>
          <t>During 2021, we continued to offer voluntary unpaid leaves of absence in response to the COVID-19 pandemic for periods ranging
from 30 days up to 12 months and approximately 13,000 of our employees elected to take a leave of absence during the March 2021 quarter. In the March 2022
quarter we no longer offered these leaves of absence as the program terminated by the end of the September 2021 quarter. Additionally, we hired approximately
15,000 employees since the March 2021 quarter, of which approximately 4,000 were in the March 2022 quarter, in certain areas, including flight operations,
reservations and customer care and airport customer service, in order to support our operations as demand and capacity returns. These actions resulted in higher
salaries and related costs during the March 2022 quarter compared to the March 2021 quarter.
In March 2022, we announced that eligible employees will receive a 4% base pay increase, effective May 1, 2022</t>
        </r>
      </text>
    </comment>
    <comment ref="X16" authorId="0" shapeId="0" xr:uid="{960B8340-C249-46F4-A05E-EB5BB827733E}">
      <text>
        <r>
          <rPr>
            <sz val="9"/>
            <color indexed="81"/>
            <rFont val="Tahoma"/>
            <family val="2"/>
          </rPr>
          <t>The increase in salaries and related costs is primarily due to pay rate increases for eligible
employees. This increase is partially offset by salaries for DGS employees, which are no longer included in salaries and related
costs following the sale of that business in December 2018. DGS-related expenses are now recorded in contracted services.</t>
        </r>
      </text>
    </comment>
    <comment ref="Y16" authorId="0" shapeId="0" xr:uid="{1817EE1B-941A-48C6-8975-E18DAC4077AE}">
      <text>
        <r>
          <rPr>
            <sz val="9"/>
            <color indexed="81"/>
            <rFont val="Tahoma"/>
            <family val="2"/>
          </rPr>
          <t>The decrease in salaries and related costs is primarily due to actions taken in response to the
decreased demand for air travel due to the COVID-19 pandemic. Beginning in March 2020 and continuing through December
2020, we reduced salaries by 100% for our CEO and 50% for our officers. In addition, we reduced work hours by 25% for all
other management and most front-line employee work groups. We offered voluntary unpaid leaves of absence for periods
ranging from 30 days up to 12 months and approximately 50,000 of our employees elected a leave at various times throughout
2020. Also, during the September 2020 quarter, approximately 18,000 employees elected to participate in voluntary separation
programs, reducing our workforce by approximately 20%. We expect the lower headcount following these voluntary separation
programs to mitigate the impact on salaries and related costs from the restoration of salaries and work hours in 2021, enabling
us to maintain lower costs compared to 2019.</t>
        </r>
      </text>
    </comment>
    <comment ref="Z16" authorId="0" shapeId="0" xr:uid="{2EFCF445-5807-47F1-BAD1-AF815A058157}">
      <text>
        <r>
          <rPr>
            <sz val="9"/>
            <color indexed="81"/>
            <rFont val="Tahoma"/>
            <family val="2"/>
          </rPr>
          <t>In the second half of 2020, approximately 18,000 employees elected to participate in voluntary separation programs, which initially reduced our workforce by approximately 20%, though some of those positions
have subsequently been filled. Since the beginning of 2021, we have hired approximately 11,000 employees in certain areas, including flight operations, airport customer service and reservations and customer care, in order to support our
operations as demand and capacity return.
Beginning in March 2020 and continuing through December 2020, we reduced salaries by 100% for our CEO and 50% for our officers. In addition, we reduced work hours by 25% for all other management and most front-line employee work
groups. On January 1, 2021, employees were restored to full work hours, officer salaries were restored and during 2021 we recalled approximately 1,700 pilots from inactive status back to active service. Additionally, we offered voluntary unpaid
leaves of absence for periods ranging from 30 days up to 12 months and approximately 50,000 and 20,000 of our employees elected to take a leave of absence at various times throughout 2020 and 2021, respectively. These actions resulted in
higher salaries and related costs in 2021 compared to 2020.</t>
        </r>
      </text>
    </comment>
    <comment ref="M17" authorId="0" shapeId="0" xr:uid="{A7DE7565-A69F-441F-BB99-880BFB4C0D09}">
      <text>
        <r>
          <rPr>
            <sz val="9"/>
            <color indexed="81"/>
            <rFont val="Tahoma"/>
            <family val="2"/>
          </rPr>
          <t>Regional carrier expense decreased compared to the March 2020 and March 2019 quarters due to
lower utilization of these carriers as a result of the overall reduced capacity.</t>
        </r>
      </text>
    </comment>
    <comment ref="N17" authorId="0" shapeId="0" xr:uid="{3D9A06A3-2D50-4D84-AD4D-F9FCC89C137C}">
      <text>
        <r>
          <rPr>
            <sz val="9"/>
            <color indexed="81"/>
            <rFont val="Tahoma"/>
            <family val="2"/>
          </rPr>
          <t>egional carrier expense decreased compared to the June 2019 quarter due to lower utilization of
these carriers as a result of the overall reduced capacity and increased compared to the June 2020 quarter due to an increase in
utilization</t>
        </r>
      </text>
    </comment>
    <comment ref="O17" authorId="0" shapeId="0" xr:uid="{E3E591B0-23AE-49DC-852E-E85FDEE1AF11}">
      <text>
        <r>
          <rPr>
            <sz val="9"/>
            <color indexed="81"/>
            <rFont val="Tahoma"/>
            <family val="2"/>
          </rPr>
          <t>Regional carrier expense decreased compared to the September 2019 quarter due to lower
utilization of these carriers as a result of the overall reduced capacity and increased compared to the September 2020 quarter
due to an increase in utilization as a result of the increased demand discussed above.
We previously allocated certain costs (such as landing fees and other rents, salaries and related costs and contracted
services) to regional carrier expense in our income statement based on relevant statistics (such as passenger counts). Beginning
in the March 2021 quarter we ceased performing this allocation and have reclassified the costs presented in prior periods to
align with this presentation. This reclassification better reflects the nature of, and how management views, these regional carrier
related expenses. This allocation was approximately $900 million in 2020, including approximately $200 million in the
September 2020 quarter, and $1.4 billion in 2019, including approximately $360 million in the September 2019 quarter. The
remaining amounts in regional carrier expense represent the accrual of payments to our regional carriers under capacity
purchase agreements and the expenses of our wholly owned regional subsidiary, Endeavor Air, Inc.</t>
        </r>
      </text>
    </comment>
    <comment ref="C20" authorId="0" shapeId="0" xr:uid="{6D346F60-6DBE-4135-8978-FECD8D1A66FA}">
      <text>
        <r>
          <rPr>
            <sz val="9"/>
            <color indexed="81"/>
            <rFont val="Tahoma"/>
            <family val="2"/>
          </rPr>
          <t>Aircraft maintenance materials and outside repairs consist of costs
associated with the maintenance of aircraft used in our operations.</t>
        </r>
      </text>
    </comment>
    <comment ref="O20" authorId="0" shapeId="0" xr:uid="{573F2A79-E385-4E71-A644-21E374690938}">
      <text>
        <r>
          <rPr>
            <sz val="9"/>
            <color indexed="81"/>
            <rFont val="Tahoma"/>
            <family val="2"/>
          </rPr>
          <t>Maintenance expense increased compared to both the September 2019
and September 2020 quarters as we returned aircraft to service and to support our operational reliability. The increase compared
to the September 2020 quarter was particularly pronounced due to the significantly reduced capacity during the September 2020
quarter and the large number of aircraft we had parked during that time.</t>
        </r>
      </text>
    </comment>
    <comment ref="Q20" authorId="0" shapeId="0" xr:uid="{0286B870-B1F5-49DF-9E55-67FBD823CD23}">
      <text>
        <r>
          <rPr>
            <sz val="9"/>
            <color indexed="81"/>
            <rFont val="Tahoma"/>
            <family val="2"/>
          </rPr>
          <t>expense increased compared to the March 2021 quarter as we returned aircraft to service
and to support our operational reliability.</t>
        </r>
      </text>
    </comment>
    <comment ref="Z20" authorId="0" shapeId="0" xr:uid="{8985ECAC-6F23-48B4-80ED-6B0EA52CC8D5}">
      <text>
        <r>
          <rPr>
            <sz val="9"/>
            <color indexed="81"/>
            <rFont val="Tahoma"/>
            <family val="2"/>
          </rPr>
          <t>Maintenance expense increased compared to 2020 as we returned aircraft to service and to support our operational reliability. The increase compared to 2020 was particularly pronounced
due to the significantly reduced capacity during 2020 and the large number of aircraft we had parked during that time.</t>
        </r>
      </text>
    </comment>
    <comment ref="N22" authorId="0" shapeId="0" xr:uid="{A2A27766-EB2E-4F17-B337-27EB0917CBD7}">
      <text>
        <r>
          <rPr>
            <sz val="9"/>
            <color indexed="81"/>
            <rFont val="Tahoma"/>
            <family val="2"/>
          </rPr>
          <t>Most aircraft operating lease expenses are recorded in aircraft rent and are contractually fixed. Therefore, the
change in aircraft rent was more muted than our other operating expense line items, when compared to the June 2019 and June
2020 quarters.</t>
        </r>
      </text>
    </comment>
    <comment ref="O22" authorId="0" shapeId="0" xr:uid="{3A49FE03-4FBB-488F-AEE8-60B3F93EADDF}">
      <text>
        <r>
          <rPr>
            <sz val="9"/>
            <color indexed="81"/>
            <rFont val="Tahoma"/>
            <family val="2"/>
          </rPr>
          <t>Most aircraft operating lease expenses are recorded in aircraft rent and are contractually fixed. Therefore, the
change in aircraft rent was more muted than our other operating expense line items, when compared to the September 2019 and
September 2020 quarters.</t>
        </r>
      </text>
    </comment>
    <comment ref="C23" authorId="0" shapeId="0" xr:uid="{FFAF3AE6-8182-4036-9EDE-425516A6AE59}">
      <text>
        <r>
          <rPr>
            <sz val="9"/>
            <color indexed="81"/>
            <rFont val="Tahoma"/>
            <family val="2"/>
          </rPr>
          <t>Ancillary businesses and refinery includes expenses associated with aircraft maintenance
services we provide to third parties, our vacation wholesale operations, our private jet operations and refinery sales to third
parties. Expenses related to refinery sales to third parties, which are at or near cost</t>
        </r>
      </text>
    </comment>
    <comment ref="M23" authorId="0" shapeId="0" xr:uid="{547B5767-8498-47B0-8E5E-4499415D3026}">
      <text>
        <r>
          <rPr>
            <sz val="9"/>
            <color indexed="81"/>
            <rFont val="Tahoma"/>
            <family val="2"/>
          </rPr>
          <t>Increased
expenses were primarily related to refinery sales to third parties, which are at or near cost. Due to the decrease in demand for jet
fuel, the refinery has shifted production to more non-jet fuel products, which increased the sales to third parties compared to the
March 2019 quarter. The refinery cost of sales increased approximately $540 million and approximately $490 million compared
to the March 2020 and March 2019 quarters, respectively. The increase in refinery costs was partially offset by lower expenses
related to aircraft maintenance services we provide to third parties due to the reduction in flights operated worldwide. In
addition, $44 million of costs related to services performed by Delta Private Jets in the March 2019 quarter were recorded in
ancillary businesses and refinery prior to the combination of that business with Wheels Up in January 2020</t>
        </r>
      </text>
    </comment>
    <comment ref="N23" authorId="0" shapeId="0" xr:uid="{ACB4BF1D-512F-4DF7-BA66-FED48F9CE5D5}">
      <text>
        <r>
          <rPr>
            <sz val="9"/>
            <color indexed="81"/>
            <rFont val="Tahoma"/>
            <family val="2"/>
          </rPr>
          <t>The refinery cost of sales increased
$485 million and $736 million compared to the June 2020 and June 2019 quarters, respectively. The increase in third-party
refinery sales compared to the June 2019 quarter resulted from the refinery's shift to producing more non-jet fuel products due
to the decline in demand for jet fuel compared to pre-pandemic levels. The increase compared to the June 2020 quarter was
driven by higher pricing during the June 2021 quarter, with lower production and demand for both jet and non-jet fuel products
in the June 2020 quarter during the depth of the COVID-19 pandemic impact. Compared to the June 2019 quarter expenses
related to aircraft maintenance services we provide to third parties decreased due to the reduction in flights operated worldwide,
however compared to the June 2020 quarter these expenses increased due to higher levels of flying. In addition, $44 million of
costs related to services performed by Delta Private Jets in the June 2019 quarter were recorded in ancillary businesses and
refinery prior to the combination of that business with Wheels Up in January 2020.</t>
        </r>
      </text>
    </comment>
    <comment ref="O23" authorId="0" shapeId="0" xr:uid="{53E87716-8B88-4AF8-947D-441B8AF87A6B}">
      <text>
        <r>
          <rPr>
            <sz val="9"/>
            <color indexed="81"/>
            <rFont val="Tahoma"/>
            <family val="2"/>
          </rPr>
          <t>Compared to the September 2019 quarter,
expenses related to aircraft maintenance services we provide to third parties decreased due to the reduction in flights operated
worldwide; however, compared to the September 2020 quarter these expenses increased due to higher levels of flying. In
addition, $43 million of costs related to services performed by Delta Private Jets in the September 2019 quarter were recorded
in ancillary businesses and refinery prior to the combination of that business with Wheels Up in January 2020</t>
        </r>
      </text>
    </comment>
    <comment ref="Q23" authorId="0" shapeId="0" xr:uid="{24D55805-ABC5-482C-B4FE-0409E940D754}">
      <text>
        <r>
          <rPr>
            <sz val="9"/>
            <color indexed="81"/>
            <rFont val="Tahoma"/>
            <family val="2"/>
          </rPr>
          <t>Increased expenses were primarily related to refinery sales to third parties, which are at
or near cost. The refinery cost of sales increased $647 million compared to the March 2021 quarter. The increase in third-party refinery sales resulted from higher
pricing and production during the March 2022 quarter compared to the March 2021 quarter.</t>
        </r>
      </text>
    </comment>
    <comment ref="Y23" authorId="0" shapeId="0" xr:uid="{E9402B76-2E72-4DA6-88F7-F06071EBEFCD}">
      <text>
        <r>
          <rPr>
            <sz val="9"/>
            <color indexed="81"/>
            <rFont val="Tahoma"/>
            <family val="2"/>
          </rPr>
          <t>These refinery cost of sales increased
$1.1 billion compared to 2019. Due to the decrease in demand for jet fuel following the onset of the COVID-19 pandemic, the
refinery shifted production to more non-jet fuel products, which increased the sales to third parties during 2020 compared to the
prior year period. The increase in refinery costs was partially offset by a decrease of approximately $260 million in the cost of
aircraft maintenance services we provide to third parties compared to 2019 due to the reduction in flights operated worldwide.
In addition, approximately $180 million of costs related to services performed by Delta Private Jets in 2019 were recorded in
ancillary businesses and refinery prior to the combination of that business with Wheels Up in January 2020.</t>
        </r>
      </text>
    </comment>
    <comment ref="Z23" authorId="0" shapeId="0" xr:uid="{B1C55222-A7B9-4EC2-B325-2541C8959009}">
      <text>
        <r>
          <rPr>
            <sz val="9"/>
            <color indexed="81"/>
            <rFont val="Tahoma"/>
            <family val="2"/>
          </rPr>
          <t>Increased
expenses were primarily related to refinery sales to third parties, which are at or near cost and increased $2.1 billion compared to 2020. The increase compared to 2020 was driven by higher pricing during 2021, with lower production and demand
for both jet and non-jet fuel products during 2020. The cost of aircraft maintenance services we provide to third parties increased compared to 2020 due to the increase in flights operated worldwide in 2021.</t>
        </r>
      </text>
    </comment>
    <comment ref="Q26" authorId="0" shapeId="0" xr:uid="{CF64DCF7-DC78-4908-8E93-3BDBDBA64D2C}">
      <text>
        <r>
          <rPr>
            <sz val="9"/>
            <color indexed="81"/>
            <rFont val="Tahoma"/>
            <family val="2"/>
          </rPr>
          <t>Compared to the March 2021 quarter, passenger revenue increased 151% in the March 2022 quarter, which
was the primary reason for the increase in passenger commissions and other selling expenses</t>
        </r>
      </text>
    </comment>
    <comment ref="S42" authorId="0" shapeId="0" xr:uid="{56C86D7E-9F64-44FF-955C-E571FB834242}">
      <text>
        <r>
          <rPr>
            <sz val="9"/>
            <color indexed="81"/>
            <rFont val="Tahoma"/>
            <family val="2"/>
          </rPr>
          <t xml:space="preserve">As of December 31, 2021, we had approximately $4.8 billion of U.S. federal pre-tax net operating loss carryforwards, of which $1.1 billion was generated prior to 2018 and will not begin to expire until 2029. Under current tax law, the remaining amount has no expiration.
Source: 10K 2021
</t>
        </r>
      </text>
    </comment>
    <comment ref="AB42" authorId="0" shapeId="0" xr:uid="{0E28A16C-57D3-4928-903B-72AAE3767F66}">
      <text>
        <r>
          <rPr>
            <sz val="9"/>
            <color indexed="81"/>
            <rFont val="Tahoma"/>
            <family val="2"/>
          </rPr>
          <t xml:space="preserve">As of December 31, 2021, we had approximately $4.8 billion of U.S. federal pre-tax net operating loss carryforwards, of which $1.1 billion was generated prior to 2018 and will not begin to expire until 2029. Under current tax law, the remaining amount has no expiration.
Source: 10K 2021
</t>
        </r>
      </text>
    </comment>
    <comment ref="R76" authorId="0" shapeId="0" xr:uid="{D99ED2C8-0D73-4A82-B87E-B8B99D0D731A}">
      <text>
        <r>
          <rPr>
            <sz val="9"/>
            <color indexed="81"/>
            <rFont val="Tahoma"/>
            <family val="2"/>
          </rPr>
          <t>Our operating margin was 11.7%. It came in below our most recent guidance as operational disruptions impacted both revenue and fuel prices moved higher. 
June month operating margin of 16.5%. So it was only 3.5 points lower than June of 2019 despite a near doubling in fuel prices and our schedule only 82% restored.</t>
        </r>
      </text>
    </comment>
    <comment ref="S76" authorId="0" shapeId="0" xr:uid="{DE9482AE-B002-4C65-981E-DC79ED21C369}">
      <text>
        <r>
          <rPr>
            <b/>
            <sz val="9"/>
            <color indexed="81"/>
            <rFont val="Tahoma"/>
            <family val="2"/>
          </rPr>
          <t xml:space="preserve">Guidance: </t>
        </r>
        <r>
          <rPr>
            <sz val="9"/>
            <color indexed="81"/>
            <rFont val="Tahoma"/>
            <family val="2"/>
          </rPr>
          <t>Margin 11%-13%
July will be a lot like June and then you step down as you progress through. So the June, July, you get that momentum, but then you get the seasonality and the step-down that Glen talked about regarding top line as you progress through the rest of August and September.
We're looking at close to another $200 million, plus or
minus, at these guidance levels of additional expense for profit sharing, which also affects a little bit of the
trend there.</t>
        </r>
      </text>
    </comment>
    <comment ref="R89" authorId="0" shapeId="0" xr:uid="{D0CD7976-FF23-40FE-BDFC-CDCB4F8D7961}">
      <text>
        <r>
          <rPr>
            <sz val="9"/>
            <color indexed="81"/>
            <rFont val="Tahoma"/>
            <family val="2"/>
          </rPr>
          <t>Premium continues to lead with load factors and yields higher than 2019. And as we increase the mix of premium seats in our fleet, improve the display and sales channels and see progression in the recovery of business, premium will continue to grow. 
A structural shift to premium is key to managing through inflation and economic cycles. Historically, more price-sensitive products like Basic Economy, which is currently less than 10% of our sold fares, have struggled to keep up with inflation, while high-value premium offerings performed much better and have proven to be much more resilient through the pandemic.</t>
        </r>
      </text>
    </comment>
    <comment ref="C94" authorId="0" shapeId="0" xr:uid="{EFB7DCF3-8449-4DB8-A079-8667E218CD2E}">
      <text>
        <r>
          <rPr>
            <sz val="9"/>
            <color indexed="81"/>
            <rFont val="Tahoma"/>
            <family val="2"/>
          </rPr>
          <t>This represents refinery sales to third parties, which are at or near cost; accordingly, the margin on these sales is de minimis</t>
        </r>
      </text>
    </comment>
    <comment ref="M94" authorId="0" shapeId="0" xr:uid="{86A5358C-48B8-4F52-AA8F-29DC2EBF9841}">
      <text>
        <r>
          <rPr>
            <sz val="9"/>
            <color indexed="81"/>
            <rFont val="Tahoma"/>
            <family val="2"/>
          </rPr>
          <t xml:space="preserve">Refinery sales to third parties, which
are at or near cost, increased approximately $540 million and $490 million compared to the March 2020 and March 2019
quarters, respectively. The increase in third-party refinery sales resulted from the refinery's shift to producing more non-jet fuel
products due to the decline in demand for jet fuel. </t>
        </r>
      </text>
    </comment>
    <comment ref="N94" authorId="0" shapeId="0" xr:uid="{CAF72270-12C4-4DB9-A71B-9B907A6CF114}">
      <text>
        <r>
          <rPr>
            <sz val="9"/>
            <color indexed="81"/>
            <rFont val="Tahoma"/>
            <family val="2"/>
          </rPr>
          <t xml:space="preserve">Refinery sales to third parties, which
are at or near cost, increased $485 million and $736 million compared to the June 2020 and June 2019 quarters, respectively.
The increase in third-party refinery sales compared to the June 2019 quarter resulted from the refinery's shift to producing more
non-jet fuel products due to the decline in demand for jet fuel compared to pre-pandemic levels. The increase compared to the
June 2020 quarter was driven by higher pricing during the June 2021 quarter, with lower production and demand for both jet
and non-jet fuel products in the June 2020 quarter during the depth of the COVID-19 pandemic impact. </t>
        </r>
      </text>
    </comment>
    <comment ref="O94" authorId="0" shapeId="0" xr:uid="{7DEC80FC-A256-4429-9BA5-6CD22E63D2F6}">
      <text>
        <r>
          <rPr>
            <sz val="9"/>
            <color indexed="81"/>
            <rFont val="Tahoma"/>
            <family val="2"/>
          </rPr>
          <t>The increase in third-party refinery
sales compared to the September 2019 quarter resulted from the refinery's shift to producing and selling more non-jet fuel
products due to the decline in demand for jet fuel compared to pre-pandemic levels. The increase compared to the September
2020 quarter was driven by higher pricing during the September 2021 quarter, with lower production and demand for both jet
and non-jet fuel products in the September 2020 quarter.</t>
        </r>
      </text>
    </comment>
    <comment ref="Q94" authorId="0" shapeId="0" xr:uid="{41740F94-F3F8-4D51-A048-3CFFE9CDE915}">
      <text>
        <r>
          <rPr>
            <sz val="9"/>
            <color indexed="81"/>
            <rFont val="Tahoma"/>
            <family val="2"/>
          </rPr>
          <t>These sales, which are at or near cost, increased $647 million compared to the March 2021 quarter. The
increase in third-party refinery sales resulted from higher pricing and production during the March 2022 quarter compared to the March 2021 quarter</t>
        </r>
      </text>
    </comment>
    <comment ref="R94" authorId="0" shapeId="0" xr:uid="{EA0447B3-2586-40B8-8E5B-1942011B965C}">
      <text>
        <r>
          <rPr>
            <sz val="9"/>
            <color indexed="81"/>
            <rFont val="Tahoma"/>
            <family val="2"/>
          </rPr>
          <t>The increase in third-party refinery sales resulted from higher pricing and production during the June 2022 quarter compared to the June 2021 quarter</t>
        </r>
      </text>
    </comment>
    <comment ref="Y94" authorId="0" shapeId="0" xr:uid="{8EF6D903-FFB3-494C-B410-46B944589C31}">
      <text>
        <r>
          <rPr>
            <sz val="9"/>
            <color indexed="81"/>
            <rFont val="Tahoma"/>
            <family val="2"/>
          </rPr>
          <t>Refinery sales to third parties, which are at or near
cost, increased $1.1 billion compared to 2019. The increase in third-party refinery sales resulted from the refinery's shift to
producing more non-jet fuel products due to the decline in demand for jet fuel.</t>
        </r>
      </text>
    </comment>
    <comment ref="Z94" authorId="0" shapeId="0" xr:uid="{BD9B718B-C1C8-47E3-85DD-A2258FFB8A95}">
      <text>
        <r>
          <rPr>
            <sz val="9"/>
            <color indexed="81"/>
            <rFont val="Tahoma"/>
            <family val="2"/>
          </rPr>
          <t>These sales, which are at or near cost, increased $2.1 billion compared to 2020. The increase in third-party refinery sales resulted from the refinery's shift to producing and selling more
non-jet fuel products due to the lower level of demand for jet fuel compared to historical levels, in addition to higher pricing during 2021. See "Refinery Segment" below for additional details on the refinery's operations, including third-party
refinery sales recorded in other revenue, during each period.</t>
        </r>
      </text>
    </comment>
    <comment ref="C95" authorId="0" shapeId="0" xr:uid="{4A185532-76C8-41E1-8297-9C4EEBEFC47E}">
      <text>
        <r>
          <rPr>
            <sz val="9"/>
            <color indexed="81"/>
            <rFont val="Tahoma"/>
            <family val="2"/>
          </rPr>
          <t>Loyalty program revenues relate to brand usage by third parties and other performance obligations embedded in miles sold, including redemption of miles for non-travel awards. These revenues are mainly driven by customer spend on American Express cards and new cardholder acquisitions</t>
        </r>
      </text>
    </comment>
    <comment ref="M95" authorId="0" shapeId="0" xr:uid="{D4734B13-D035-413D-A2AB-4C64D9EB56BA}">
      <text>
        <r>
          <rPr>
            <sz val="9"/>
            <color indexed="81"/>
            <rFont val="Tahoma"/>
            <family val="2"/>
          </rPr>
          <t>These revenues are mainly driven by customer
spend on American Express cards, which declined at a less severe rate than air travel.</t>
        </r>
      </text>
    </comment>
    <comment ref="N95" authorId="0" shapeId="0" xr:uid="{36D6251D-B62F-47D3-A626-7282DBDFFF91}">
      <text>
        <r>
          <rPr>
            <sz val="9"/>
            <color indexed="81"/>
            <rFont val="Tahoma"/>
            <family val="2"/>
          </rPr>
          <t>Revenues from our relationship with American Express
increased in the June 2021 quarter compared to the June 2020 period and declined at a less severe rate than air travel compared
to the June 2019 period. During the June 2021 quarter, co-brand card spend surpassed June 2019 levels while co-brand card
acquisitions were nearly fully restored.</t>
        </r>
      </text>
    </comment>
    <comment ref="O95" authorId="0" shapeId="0" xr:uid="{40C86BE0-D7D3-4C4C-BC1F-4114DF5A093E}">
      <text>
        <r>
          <rPr>
            <sz val="9"/>
            <color indexed="81"/>
            <rFont val="Tahoma"/>
            <family val="2"/>
          </rPr>
          <t>These revenues are mainly driven by customer
spend on American Express cards and new cardholder acquisitions. Revenues from our relationship with American Express
increased in the September 2021 quarter compared to the September 2020 period and were effectively flat compared to the
September 2019 period. During the September 2021 quarter, co-brand card spend surpassed September 2019 levels and card
acquisitions were nearly recovered to September 2019 levels.</t>
        </r>
      </text>
    </comment>
    <comment ref="R95" authorId="0" shapeId="0" xr:uid="{DAFF94E7-E191-4C1F-83D2-AF7E68E0FE06}">
      <text>
        <r>
          <rPr>
            <sz val="9"/>
            <color indexed="81"/>
            <rFont val="Tahoma"/>
            <family val="2"/>
          </rPr>
          <t>As co-brand card spend and card acquisitions continue to be strong, revenues from our relationship with American Express increased in the June 2022 quarter compared to the June 2021 quarter.</t>
        </r>
      </text>
    </comment>
    <comment ref="X95" authorId="0" shapeId="0" xr:uid="{90C8DBEB-74C4-42D3-801E-3F6EA781F2D6}">
      <text>
        <r>
          <rPr>
            <sz val="9"/>
            <color indexed="81"/>
            <rFont val="Tahoma"/>
            <family val="2"/>
          </rPr>
          <t>Effective January 1, 2019, we amended our co-brand agreement with American Express, and we also amended other
agreements with American Express during the March quarter. The new agreements increase the value we receive and extend the
terms to 2029. Under the agreements, we sell miles to American Express and allow American Express to market its services or
products using our brand and customer database. The products and services sold with the miles (such as award travel, priority
boarding, baggage fee waivers, lounge access and the use of our brand) are consistent with previous agreements. We continue
to use the accounting method that allocates the consideration received based on the relative selling prices of those products and
services. The increase in loyalty program revenues are primarily related to brand usage by American Express.</t>
        </r>
      </text>
    </comment>
    <comment ref="Y95" authorId="0" shapeId="0" xr:uid="{DE039A0A-3DE8-437A-BEE8-F4B981464DB9}">
      <text>
        <r>
          <rPr>
            <sz val="9"/>
            <color indexed="81"/>
            <rFont val="Tahoma"/>
            <family val="2"/>
          </rPr>
          <t>These revenues are mainly driven by
customer spend on American Express cards, which declined at a lower rate than air travel, during the year.</t>
        </r>
      </text>
    </comment>
    <comment ref="Z95" authorId="0" shapeId="0" xr:uid="{74C37101-9204-4C5E-A0E0-82FEC3156CBB}">
      <text>
        <r>
          <rPr>
            <sz val="9"/>
            <color indexed="81"/>
            <rFont val="Tahoma"/>
            <family val="2"/>
          </rPr>
          <t>These revenues are mainly driven by customer
spend on American Express cards and new cardholder acquisitions. As co-brand card spend and card acquisitions continue to be strong, revenues from our relationship with American Express increased in the year ended December 31, 2021
compared to 2020.</t>
        </r>
      </text>
    </comment>
    <comment ref="C96" authorId="0" shapeId="0" xr:uid="{C31E1910-679A-485E-B863-2F79D1126AEF}">
      <text>
        <r>
          <rPr>
            <sz val="9"/>
            <color indexed="81"/>
            <rFont val="Tahoma"/>
            <family val="2"/>
          </rPr>
          <t>Ancillary businesses revenue includes aircraft maintenance services we provide to third parties and our vacation wholesale operations.</t>
        </r>
      </text>
    </comment>
    <comment ref="M96" authorId="0" shapeId="0" xr:uid="{700F492D-3A91-4DF5-AF8A-4D95F602D99E}">
      <text>
        <r>
          <rPr>
            <sz val="9"/>
            <color indexed="81"/>
            <rFont val="Tahoma"/>
            <family val="2"/>
          </rPr>
          <t>The increase in refinery sales was partially offset by declines in revenue from
aircraft maintenance services we provide to third parties, which decreased due to the reduction in flights operated worldwide.
The March 2019 quarter results also included $52 million of revenue from Delta Private Jets, which was combined with Wheels
Up in January 2020 and is no longer reflected in ancillary businesses and refinery.</t>
        </r>
      </text>
    </comment>
    <comment ref="N96" authorId="0" shapeId="0" xr:uid="{05EC7D06-BAEC-40BF-97CD-952921782B36}">
      <text>
        <r>
          <rPr>
            <sz val="9"/>
            <color indexed="81"/>
            <rFont val="Tahoma"/>
            <family val="2"/>
          </rPr>
          <t>Compared to the June
2019 quarter, revenue from aircraft maintenance services we provide to third parties decreased due to the reduction in flights
operated worldwide, however compared to the June 2020 quarter these revenues increased due to higher levels of flying. The
June 2019 quarter results also included $49 million of revenue from Delta Private Jets, which was combined with Wheels Up in
January 2020 and is no longer reflected in ancillary businesses and refinery.</t>
        </r>
      </text>
    </comment>
    <comment ref="O96" authorId="0" shapeId="0" xr:uid="{FE71C508-AC48-4047-8994-66B0148C634F}">
      <text>
        <r>
          <rPr>
            <sz val="9"/>
            <color indexed="81"/>
            <rFont val="Tahoma"/>
            <family val="2"/>
          </rPr>
          <t>Compared to the September 2019 quarter, revenue from aircraft maintenance services we
provide to third parties decreased due to the reduction in flights operated worldwide. Compared to the September 2020 quarter,
these revenues increased due to higher levels of flying. The September 2019 quarter results also included $47 million of
revenue from Delta Private Jets, which was combined with Wheels Up in January 2020 and is no longer reflected in ancillary
businesses.</t>
        </r>
      </text>
    </comment>
    <comment ref="X96" authorId="0" shapeId="0" xr:uid="{9FA839D0-6FA2-4717-BA68-ED571A318688}">
      <text>
        <r>
          <rPr>
            <sz val="9"/>
            <color indexed="81"/>
            <rFont val="Tahoma"/>
            <family val="2"/>
          </rPr>
          <t>Refinery sales to third parties,
which are at or near cost, decreased $451 million compared to 2018. The 2018 results also included $244 million of third-party
revenue from DGS, which was sold in December 2018. These decreases were mitigated by growth in our MRO revenues, which
increased $175 million to $877 million during 201</t>
        </r>
      </text>
    </comment>
    <comment ref="Y96" authorId="0" shapeId="0" xr:uid="{F11D9DDA-D435-49E8-9222-C7AA6C63CA90}">
      <text>
        <r>
          <rPr>
            <sz val="9"/>
            <color indexed="81"/>
            <rFont val="Tahoma"/>
            <family val="2"/>
          </rPr>
          <t>The increase in refinery sales was partially offset
by an approximately $270 million, or approximately 30%, decline in revenue from aircraft maintenance services we provide to
third parties, which decreased due to the reduction in flights operated worldwide. In addition, results for 2019 also included
approximately $200 million of revenue from Delta Private Jets, which was combined with Wheels Up in January 2020 and is no
longer reflected in ancillary businesses and refinery.</t>
        </r>
      </text>
    </comment>
    <comment ref="C97" authorId="0" shapeId="0" xr:uid="{DBD27375-6381-4B4A-8CF0-05348F97347E}">
      <text>
        <r>
          <rPr>
            <sz val="9"/>
            <color indexed="81"/>
            <rFont val="Tahoma"/>
            <family val="2"/>
          </rPr>
          <t>Miscellaneous revenue is primarily composed of lounge access and codeshare revenues</t>
        </r>
      </text>
    </comment>
    <comment ref="M97" authorId="0" shapeId="0" xr:uid="{EA0AC31A-A86E-48F6-AD7C-E45DBDC5167F}">
      <text>
        <r>
          <rPr>
            <sz val="9"/>
            <color indexed="81"/>
            <rFont val="Tahoma"/>
            <family val="2"/>
          </rPr>
          <t>Miscellaneous revenue is primarily composed of lounge access and codeshare revenues. The volume of these
transactions has fallen compared to the March 2020 and March 2019 quarters due to the impact of, and our response to, the
COVID-19 pandemic, including reduced capacity and the temporary closure of certain lounges. We expect to reopen nearly all
of our lounges by July 2021.</t>
        </r>
      </text>
    </comment>
    <comment ref="N97" authorId="0" shapeId="0" xr:uid="{E3DB82EB-6FC4-4832-9BF6-51294377BEDE}">
      <text>
        <r>
          <rPr>
            <sz val="9"/>
            <color indexed="81"/>
            <rFont val="Tahoma"/>
            <family val="2"/>
          </rPr>
          <t>The volume of these
transactions has fallen compared to the June 2019 quarter due to the impact of, and our response to, the COVID-19 pandemic,
including reduced capacity and the temporary closure of certain lounges. However, compared to the June 2020 quarter these
transactions have increased due to the general recovery in our business that continued to materialize in the June 2021 quarter.
We will have reopened our full network of lounges by the end of July 2021.</t>
        </r>
      </text>
    </comment>
    <comment ref="O97" authorId="0" shapeId="0" xr:uid="{E94A7317-5650-4C29-9DC1-DE1F18560D08}">
      <text>
        <r>
          <rPr>
            <sz val="9"/>
            <color indexed="81"/>
            <rFont val="Tahoma"/>
            <family val="2"/>
          </rPr>
          <t>The volume of these
transactions has fallen compared to the September 2019 quarter due to the impact of, and our response to, the COVID-19
pandemic, including reduced capacity. However, compared to the September 2020 quarter, these transactions have increased
due to the general recovery in our business that continued to materialize in the September 2021 quarter. Our full network of
lounges was reopened by the end of July 2021.</t>
        </r>
      </text>
    </comment>
    <comment ref="Q97" authorId="0" shapeId="0" xr:uid="{3ADEDA7B-7C03-4BB1-995A-FE7B8A31231C}">
      <text>
        <r>
          <rPr>
            <sz val="9"/>
            <color indexed="81"/>
            <rFont val="Tahoma"/>
            <family val="2"/>
          </rPr>
          <t>The volume of these transactions has increased compared to the March 2021 quarter due to the ongoing recovery of our business that
continued to materialize in the March 2022 quarter. Our network of Delta Sky Club lounges was fully reopened by the end of July 2021 after some lounges
temporarily closed at the onset of the pandemic in 2020</t>
        </r>
      </text>
    </comment>
    <comment ref="X97" authorId="0" shapeId="0" xr:uid="{13F8DA75-F203-4AA7-8F65-D2B5F7D5DB43}">
      <text>
        <r>
          <rPr>
            <sz val="9"/>
            <color indexed="81"/>
            <rFont val="Tahoma"/>
            <family val="2"/>
          </rPr>
          <t>We continually enhance the customer experience
at our lounges, which also included opening three new Sky Clubs during 2019 in Austin, Phoenix and New Orleans</t>
        </r>
      </text>
    </comment>
    <comment ref="Y97" authorId="0" shapeId="0" xr:uid="{28A23F20-4C12-4106-A306-68AE83EDC033}">
      <text>
        <r>
          <rPr>
            <sz val="9"/>
            <color indexed="81"/>
            <rFont val="Tahoma"/>
            <family val="2"/>
          </rPr>
          <t>The volume of these
transactions has fallen compared to 2019, due to the impact of, and our response to, the COVID-19 pandemic.</t>
        </r>
      </text>
    </comment>
    <comment ref="Z97" authorId="0" shapeId="0" xr:uid="{40902E47-0033-48E2-AEFD-213A32E5CBE6}">
      <text>
        <r>
          <rPr>
            <sz val="9"/>
            <color indexed="81"/>
            <rFont val="Tahoma"/>
            <family val="2"/>
          </rPr>
          <t>Compared to 2020, these transactions have increased due to the
ongoing recovery of our business that continued to materialize in 2021. Our network of Delta Sky Club lounges was fully reopened by the end of July 2021 after some lounges temporarily closed at the onset of the pandemic in 2020.</t>
        </r>
      </text>
    </comment>
    <comment ref="R100" authorId="0" shapeId="0" xr:uid="{C769ADF5-936F-4B49-AD7B-E6E67A9DED96}">
      <text>
        <r>
          <rPr>
            <sz val="9"/>
            <color indexed="81"/>
            <rFont val="Tahoma"/>
            <family val="2"/>
          </rPr>
          <t>The increase in revenue compared to the June 2021 quarter was primarily driven by additional cargo volume as yield stabilized.</t>
        </r>
      </text>
    </comment>
    <comment ref="S100" authorId="0" shapeId="0" xr:uid="{7367E0E7-C73D-43DE-A1AE-D1981CF9AC8B}">
      <text>
        <r>
          <rPr>
            <sz val="9"/>
            <color indexed="81"/>
            <rFont val="Tahoma"/>
            <family val="2"/>
          </rPr>
          <t>We expect capacity growth in the industry to pressure yields in the September 2022 quarter as the industry rebuilds international networks to pre-pandemic levels.</t>
        </r>
      </text>
    </comment>
    <comment ref="S103" authorId="0" shapeId="0" xr:uid="{2E84A40B-E586-4948-B08F-DAE3FE0A6650}">
      <text>
        <r>
          <rPr>
            <b/>
            <sz val="9"/>
            <color indexed="81"/>
            <rFont val="Tahoma"/>
            <family val="2"/>
          </rPr>
          <t xml:space="preserve">Q3 Guidance: </t>
        </r>
        <r>
          <rPr>
            <sz val="9"/>
            <color indexed="81"/>
            <rFont val="Tahoma"/>
            <family val="2"/>
          </rPr>
          <t>Third Party refinery sales: $1.4B - $1.6B</t>
        </r>
      </text>
    </comment>
    <comment ref="M126" authorId="0" shapeId="0" xr:uid="{F91FDEB2-C1C5-4DE6-A244-FC6BA428EFC5}">
      <text>
        <r>
          <rPr>
            <sz val="9"/>
            <color indexed="81"/>
            <rFont val="Tahoma"/>
            <family val="2"/>
          </rPr>
          <t>Passenger unit revenue related to our domestic region for the March 2021 quarter decreased 53% with capacity down 27%
compared to the March 2019 quarter as a result of reduced demand due to the COVID-19 pandemic and our policy to block
middle seats on flights through April 30, 2021. The revenue decline compared to the March 2020 quarter is attributable to these
same factors, with the impact of the pandemic largely limited to the month of March in 2020.</t>
        </r>
      </text>
    </comment>
    <comment ref="N126" authorId="0" shapeId="0" xr:uid="{F516EC50-3BBA-4082-BE99-2DAE29F4760F}">
      <text>
        <r>
          <rPr>
            <sz val="9"/>
            <color indexed="81"/>
            <rFont val="Tahoma"/>
            <family val="2"/>
          </rPr>
          <t>Domestic passenger unit revenue for the June 2021 quarter decreased 32% with capacity down 19% compared to the June
2019 quarter as a result of reduced demand due to the COVID-19 pandemic and our policy to block middle seats on flights
through April 30, 2021. The revenue increase compared to the June 2020 quarter is attributable to the low levels of capacity and
demand during the June 2020 quarter due to the COVID-19 pandemic and the ongoing recovery in the June 2021 quarter.
We are planning for the improvement to the demand environment, primarily from leisure customers, to continue throughout
2021. Through the June 2021 quarter we have seen leisure customer bookings continue to improve, with June 2021 domestic
leisure bookings approaching June 2019 levels. We remain optimistic about the ultimate recovery of business travel and expect
this demand to accelerate in the September 2021 quarter as more corporate offices reopen; we are, however, unable to predict
the timing or extent of that recovery. As a result, we are planning for our domestic capacity to be approximately 15% lower in
the September 2021 quarter than the September 2019 quarter.</t>
        </r>
      </text>
    </comment>
    <comment ref="O126" authorId="0" shapeId="0" xr:uid="{BAFC7981-21B0-4FDC-B27B-782EC81CD22F}">
      <text>
        <r>
          <rPr>
            <sz val="9"/>
            <color indexed="81"/>
            <rFont val="Tahoma"/>
            <family val="2"/>
          </rPr>
          <t>Domestic passenger unit revenue ("PRASM") for the September 2021 quarter decreased 15% with capacity down 16%
compared to the September 2019 quarter as a result of reduced demand due to the COVID-19 pandemic. The revenue increase
in the September 2021 quarter compared to the September 2020 quarter is attributable to the low levels of capacity and demand
during the September 2020 quarter due to the COVID-19 pandemic and the ongoing recovery in the September 2021 quarter.
The September 2021 quarter began with domestic leisure demand near September 2019 quarter levels. This strong demand
moderated slightly in the second half of the quarter due to a rise in COVID-19 cases attributable to a variant of the virus.
However, as cases begin to decline, leisure and business bookings are increasing. We also remain optimistic about the ultimate
recovery of business travel; however, in the September 2021 quarter we experienced a pause in the recovery of this demand.
We expect this demand to improve modestly in the December 2021 quarter but accelerate in the first half of 2022 as more
corporate offices reopen; we are, however, unable to fully predict the pace of that recovery.</t>
        </r>
      </text>
    </comment>
    <comment ref="Q126" authorId="0" shapeId="0" xr:uid="{BAC8533B-BA28-401E-BC6C-D972201D0F8B}">
      <text>
        <r>
          <rPr>
            <sz val="9"/>
            <color indexed="81"/>
            <rFont val="Tahoma"/>
            <family val="2"/>
          </rPr>
          <t>Domestic passenger unit revenue ("PRASM") increased in the March 2022 quarter compared to the March 2021 quarter as a result of the higher levels of
capacity and demand during the March 2022 quarter due to the ongoing recovery in the period. The March 2022 quarter domestic consumer revenue was above March 2021 quarter levels. After starting with somewhat muted demand recovery due to rising
COVID-19 cases attributable to variants of the virus, revenue recovery accelerated during the quarter as consumers continued to show increased confidence in
travel.</t>
        </r>
      </text>
    </comment>
    <comment ref="X126" authorId="0" shapeId="0" xr:uid="{2E526852-73E3-4D4F-9B4E-8D845858ADBD}">
      <text>
        <r>
          <rPr>
            <sz val="9"/>
            <color indexed="81"/>
            <rFont val="Tahoma"/>
            <family val="2"/>
          </rPr>
          <t>Domestic unit revenue increased 2.4%, resulting from our commercial initiatives, including our premium products, as well
as high load factors driven by a combination of strong demand and limited industry capacity growth
Passenger revenue related to our international regions increased 2.7% year-over-year primarily due to capacity growth in the
Atlantic region and yield strength in the Latin America region. This growth in passenger revenue was achieved despite the
negative impact of foreign currency fluctuations.</t>
        </r>
      </text>
    </comment>
    <comment ref="Y126" authorId="0" shapeId="0" xr:uid="{0D00D910-3E64-47FF-8738-5678062DEB8B}">
      <text>
        <r>
          <rPr>
            <sz val="9"/>
            <color indexed="81"/>
            <rFont val="Tahoma"/>
            <family val="2"/>
          </rPr>
          <t>Prior to the initial effects of the COVID-19 pandemic in March 2020, domestic results were strong with revenue nearly 10%
higher than the prior year period. However, due to the decrease in customer demand beginning in March, passenger unit
revenue related to our domestic region decreased 42% with capacity down 43% compared to the prior year</t>
        </r>
      </text>
    </comment>
    <comment ref="Z126" authorId="0" shapeId="0" xr:uid="{8C2672BB-386B-4643-8A0F-DB2416109379}">
      <text>
        <r>
          <rPr>
            <sz val="9"/>
            <color indexed="81"/>
            <rFont val="Tahoma"/>
            <family val="2"/>
          </rPr>
          <t>Domestic passenger unit revenue ("PRASM") for the year ended December 31, 2021 increased 27% with capacity up 45% compared to the year ended December 31, 2020 as a result of the low levels of capacity and demand during 2020 due
to the COVID-19 pandemic and the ongoing recovery throughout 2021.</t>
        </r>
      </text>
    </comment>
    <comment ref="M127" authorId="0" shapeId="0" xr:uid="{8A595B2F-0DEB-4BA7-988C-5A53B6439305}">
      <text>
        <r>
          <rPr>
            <sz val="9"/>
            <color indexed="81"/>
            <rFont val="Tahoma"/>
            <family val="2"/>
          </rPr>
          <t>The Latin America region has shown the most recovery of the international regions, with improving demand for leisure
destinations in the Caribbean, Mexico and Central America</t>
        </r>
      </text>
    </comment>
    <comment ref="N127" authorId="0" shapeId="0" xr:uid="{8940863F-B066-44AD-BBAE-64C539AE980C}">
      <text>
        <r>
          <rPr>
            <sz val="9"/>
            <color indexed="81"/>
            <rFont val="Tahoma"/>
            <family val="2"/>
          </rPr>
          <t>The Latin America region has shown the most recovery of the international regions, with improving demand for leisure
destinations in the Caribbean, Mexico and Central America. Capacity in the Latin America region in the June 2021 quarter has
increased to near June 2019 quarter levels and as demand continues to return we expect revenue to return to those levels as well.</t>
        </r>
      </text>
    </comment>
    <comment ref="O127" authorId="0" shapeId="0" xr:uid="{EDF35BEF-6DB9-450B-A774-3305E8B6CCBE}">
      <text>
        <r>
          <rPr>
            <sz val="9"/>
            <color indexed="81"/>
            <rFont val="Tahoma"/>
            <family val="2"/>
          </rPr>
          <t>The Latin America region has shown the most recovery of the international regions, with continued demand improvement
for leisure destinations in the Caribbean, Mexico and Central America. Capacity in the Latin America region in the September
2021 quarter has increased to near September 2019 quarter levels and as demand continues to return we expect revenue to
return to those levels as well. We expect this trend to continue through the remainder of 2021 with the recovery in the Atlantic
and Pacific regions lagging behind Latin America</t>
        </r>
      </text>
    </comment>
    <comment ref="Q127" authorId="0" shapeId="0" xr:uid="{999A6D7C-E393-4CDB-9E31-D7D3F243E9BC}">
      <text>
        <r>
          <rPr>
            <sz val="9"/>
            <color indexed="81"/>
            <rFont val="Tahoma"/>
            <family val="2"/>
          </rPr>
          <t>The Latin America region has shown the most recovery of the international regions, with continued demand improvement for leisure destinations in the
Caribbean, Mexico and Central America. We expect this trend to continue throughout 2022 with the recovery in Latin America leading the Atlantic and Pacific
regions.</t>
        </r>
      </text>
    </comment>
    <comment ref="R127" authorId="0" shapeId="0" xr:uid="{48B79308-7A09-40BD-BEE4-CC0DD7C91601}">
      <text>
        <r>
          <rPr>
            <sz val="9"/>
            <color indexed="81"/>
            <rFont val="Tahoma"/>
            <family val="2"/>
          </rPr>
          <t>Latin America region revenue was near pre-pandemic levels during the June 2022 quarter, due to continued strong demand for leisure destinations in the Caribbean, Mexico and Central America.
 We expect this trend to continue throughout 2022 as demand for leisure destinations remains strong and travel to South America continues to recover.</t>
        </r>
      </text>
    </comment>
    <comment ref="X127" authorId="0" shapeId="0" xr:uid="{6E5E5427-E117-4D77-9EFC-D4178B41196B}">
      <text>
        <r>
          <rPr>
            <sz val="9"/>
            <color indexed="81"/>
            <rFont val="Tahoma"/>
            <family val="2"/>
          </rPr>
          <t>Unit revenue increased in Latin America principally as a result of yield growth, mainly due to reduced industry capacity in
Brazil and improvements in Mexico beach markets. In the September 2019 quarter we announced our plan to enter into a
strategic alliance with LATAM, which is expected to provide great customer convenience, a more seamless travel experience
and to better connect customers between North and South America.</t>
        </r>
      </text>
    </comment>
    <comment ref="Y127" authorId="0" shapeId="0" xr:uid="{FF83D548-4723-435A-A4E6-12D741E46C50}">
      <text>
        <r>
          <rPr>
            <sz val="9"/>
            <color indexed="81"/>
            <rFont val="Tahoma"/>
            <family val="2"/>
          </rPr>
          <t>In the Latin America region, in January 2020, we completed the tender offer to acquire 20% of the shares of LATAM as part
of our plan to create a strategic alliance. Additionally, in the March 2020 quarter, we started codesharing for certain flights
operated by LATAM.</t>
        </r>
      </text>
    </comment>
    <comment ref="Z127" authorId="0" shapeId="0" xr:uid="{F6F1D8D0-3ADE-4EE4-8765-4A5D88B80197}">
      <text>
        <r>
          <rPr>
            <sz val="9"/>
            <color indexed="81"/>
            <rFont val="Tahoma"/>
            <family val="2"/>
          </rPr>
          <t>The Latin America region has shown the most recovery of the international regions, with continued demand improvement for leisure destinations in the Caribbean, Mexico and Central America. We expect this trend to continue through 2022
with the recovery in the Atlantic and Pacific regions lagging behind Latin America.</t>
        </r>
      </text>
    </comment>
    <comment ref="M128" authorId="0" shapeId="0" xr:uid="{FF71A426-E384-459A-9E57-03B9FC37151D}">
      <text>
        <r>
          <rPr>
            <sz val="9"/>
            <color indexed="81"/>
            <rFont val="Tahoma"/>
            <family val="2"/>
          </rPr>
          <t>In December 2020,
we became the first U.S. airline to offer flights between the U.S. and Europe that allow customers to avoid quarantine upon
arrival after testing negative for the virus prior to travel and upon arrival in Amsterdam and Rome. We plan to continue this
program to Rome through the June 2021 quarter, while also adding more routes and frequencies, including the addition of
Milan as a destination.</t>
        </r>
      </text>
    </comment>
    <comment ref="N128" authorId="0" shapeId="0" xr:uid="{E30EAA95-3123-456D-B5F4-2DDA13FA8B59}">
      <text>
        <r>
          <rPr>
            <sz val="9"/>
            <color indexed="81"/>
            <rFont val="Tahoma"/>
            <family val="2"/>
          </rPr>
          <t>The Atlantic and Pacific regions continue to be the most impacted by the restrictions described above. However, we have
recently begun, or have announced plans to increase, service to certain countries in the Atlantic region based on their lifting or
loosening of travel restrictions. The countries where we have begun or recently increased service include Croatia, France,
Germany, Greece, Iceland, Italy, the Netherlands, Portugal and Spain. Travel in the Pacific region is largely limited to essential
travel, and we expect only small demand improvements until vaccine distribution improves and government restrictions ease.</t>
        </r>
      </text>
    </comment>
    <comment ref="O128" authorId="0" shapeId="0" xr:uid="{F1DDDAA7-F193-442B-9E63-AF60385FD9B8}">
      <text>
        <r>
          <rPr>
            <sz val="9"/>
            <color indexed="81"/>
            <rFont val="Tahoma"/>
            <family val="2"/>
          </rPr>
          <t>The Atlantic and Pacific regions continue to be the most impacted by the restrictions. However, in the
September 2021 quarter, we have continued our service to certain countries in the Atlantic region based on their lifting or
easing of travel restrictions. These countries include Croatia, France, Germany, Greece, Iceland, Italy, the Netherlands, Portugal
and Spain. Travel in the Pacific region is largely limited to essential travel, and we expect only small demand improvements
until vaccine distribution improves and government restrictions ease.</t>
        </r>
      </text>
    </comment>
    <comment ref="Q128" authorId="0" shapeId="0" xr:uid="{98A36903-6E48-4DBD-9701-F3626FAB82AE}">
      <text>
        <r>
          <rPr>
            <sz val="9"/>
            <color indexed="81"/>
            <rFont val="Tahoma"/>
            <family val="2"/>
          </rPr>
          <t>The Atlantic region continues to improve, despite the conflict in Ukraine, as western European countries remove or ease travel restrictions. In February 2022,
we suspended our codeshare services operated in conjunction with Russian national airline, Aeroflot, which is not expected to have a material impact on our
Atlantic region revenues as Russia and Ukraine represent less than one percent of our Atlantic region traffic</t>
        </r>
      </text>
    </comment>
    <comment ref="R128" authorId="0" shapeId="0" xr:uid="{EFCC5982-92AF-4002-ACF0-3590981F38AB}">
      <text>
        <r>
          <rPr>
            <sz val="9"/>
            <color indexed="81"/>
            <rFont val="Tahoma"/>
            <family val="2"/>
          </rPr>
          <t>The Atlantic region has shown the greatest recovery of the international regions, despite the ongoing conflict in Ukraine, as western European countries removed or eased travel restrictions. 
Revenue in this region has nearly restored to pre-pandemic levels in the June 2022 quarter as consumers continue to show increased desire for trans-Atlantic travel. 
This has been led by demand for premium leisure products and demand for leisure destinations in Europe.</t>
        </r>
      </text>
    </comment>
    <comment ref="S128" authorId="0" shapeId="0" xr:uid="{4D21F878-4F26-41A8-87E2-92EF14DE6BA1}">
      <text>
        <r>
          <rPr>
            <sz val="9"/>
            <color indexed="81"/>
            <rFont val="Tahoma"/>
            <family val="2"/>
          </rPr>
          <t>With the Euro down ~11% YTD and at parity with the dollar, liesure travel to europe from US is expected to increase</t>
        </r>
      </text>
    </comment>
    <comment ref="X128" authorId="0" shapeId="0" xr:uid="{4DFC3C70-CE30-47D0-AB1E-4F9724E38CF6}">
      <text>
        <r>
          <rPr>
            <sz val="9"/>
            <color indexed="81"/>
            <rFont val="Tahoma"/>
            <family val="2"/>
          </rPr>
          <t>Atlantic unit revenues decreased due to foreign currency fluctuations between the U.S. dollar and the Euro and British
pound, the uncertain economic outlook in Europe and increased industry capacity. These conditions were partially offset by
growth in premium product demand and strong U.S. point of sale</t>
        </r>
      </text>
    </comment>
    <comment ref="Y128" authorId="0" shapeId="0" xr:uid="{1E229E45-6F60-4D65-BC7D-0771E09B664E}">
      <text>
        <r>
          <rPr>
            <sz val="9"/>
            <color indexed="81"/>
            <rFont val="Tahoma"/>
            <family val="2"/>
          </rPr>
          <t>In the
Atlantic region, effective January 2020, we combined our separate transatlantic joint venture agreements with Air France-KLM
and Virgin Atlantic into a single three-party transatlantic joint venture. T</t>
        </r>
      </text>
    </comment>
    <comment ref="Z128" authorId="0" shapeId="0" xr:uid="{C34293C9-E62D-437A-B5E2-1698DA8148DC}">
      <text>
        <r>
          <rPr>
            <sz val="9"/>
            <color indexed="81"/>
            <rFont val="Tahoma"/>
            <family val="2"/>
          </rPr>
          <t>In November 2021, travel restrictions on most fully vaccinated foreign visitors to the United States were lifted. This action made travel to the U.S. by many foreign nationals possible for the first time in 18 months. Despite this policy change,
we expect the significantly lower international demand environment to continue through at least the beginning of 2022, with the recovery pace continuing to trail domestic travel.
The Atlantic and Pacific regions continue to be the most impacted by the restrictions described above. However, during 2021, we began, resumed or increased our service to certain countries in the Atlantic region based on their lifting or
easing of travel restrictions. Travel in the Pacific region is largely limited to essential travel, and we expect only small demand improvements until government restrictions ease with minimal improvement until at least the second half of 2022. We
will continue to be agile in the restoration of our international network based on changes in government restrictions and consumer demand.</t>
        </r>
      </text>
    </comment>
    <comment ref="Q129" authorId="0" shapeId="0" xr:uid="{408C8907-438F-41D8-B347-8603AAB9E881}">
      <text>
        <r>
          <rPr>
            <sz val="9"/>
            <color indexed="81"/>
            <rFont val="Tahoma"/>
            <family val="2"/>
          </rPr>
          <t>The Pacific region continues to be the most impacted by the restrictions described above. Travel in the Pacific region remains largely limited to essential travel,
and we expect only small demand improvements until government restrictions ease, such as South Korea's recent announcement that vaccinated travelers would
be able to enter the country without quarantine beginning on April 1, 2022.</t>
        </r>
      </text>
    </comment>
    <comment ref="R129" authorId="0" shapeId="0" xr:uid="{90FD9973-3C19-4EC8-80E8-7668D824838A}">
      <text>
        <r>
          <rPr>
            <sz val="9"/>
            <color indexed="81"/>
            <rFont val="Tahoma"/>
            <family val="2"/>
          </rPr>
          <t>The Pacific region continues to be the most impacted by travel restrictions, although we began to experience some demand improvement in the June 2022 quarter as South Korea and Australia re-opened to international tourists and travel restrictions to Japan are easing.</t>
        </r>
      </text>
    </comment>
    <comment ref="X129" authorId="0" shapeId="0" xr:uid="{5F1DA377-EC95-450C-AC7E-9658A1851120}">
      <text>
        <r>
          <rPr>
            <sz val="9"/>
            <color indexed="81"/>
            <rFont val="Tahoma"/>
            <family val="2"/>
          </rPr>
          <t>Unit revenue decreased in the Pacific region primarily on persistent economic and trade related uncertainty, foreign currency
fluctuations and increased capacity to China, Japan and Korea due to our network transformation. Despite these challenges, our
joint venture with Korean Air has enabled solid traffic growth and we have continued to reshape our Pacific network with the
announcements that in the March 2020 quarter we will transfer our U.S.-Tokyo services from Narita to Haneda airport, Tokyo's
preferred airport for corporate customers, and shift our Beijing service to the new Beijing Daxing airport.</t>
        </r>
      </text>
    </comment>
    <comment ref="S130" authorId="0" shapeId="0" xr:uid="{6D0A9B42-59E9-435C-8275-E97E660F4957}">
      <text>
        <r>
          <rPr>
            <sz val="9"/>
            <color indexed="81"/>
            <rFont val="Tahoma"/>
            <family val="2"/>
          </rPr>
          <t xml:space="preserve">The sale of tickets to international business customers (i.e., both corporate and contracted small- and medium-sized enterprises), including advance sales, also significantly improved during the June 2022 quarter, led by the Atlantic region. 
In June 2022, the United States lifted its testing requirement for international travel. Since the removal of U.S. pre-departure test requirements, we have seen a modest improvement in international demand.
Despite the recent policy changes and improved advance sales, we still expect the recovery of international revenue to continue to trail domestic revenue through 2022.
</t>
        </r>
      </text>
    </comment>
    <comment ref="R133" authorId="0" shapeId="0" xr:uid="{9CAC5E24-B798-448D-B54D-F081EC14E42D}">
      <text>
        <r>
          <rPr>
            <sz val="9"/>
            <color indexed="81"/>
            <rFont val="Tahoma"/>
            <family val="2"/>
          </rPr>
          <t>Domestic consumer revenue remains healthy and is ahead of 2019 levels. 
During the June quarter, domestic corporate sales were 80% of 2019 levels on a 65% recovery in volume.</t>
        </r>
      </text>
    </comment>
    <comment ref="R134" authorId="0" shapeId="0" xr:uid="{6ECE94C1-6D59-47F8-95A8-31036A4A22C0}">
      <text>
        <r>
          <rPr>
            <sz val="9"/>
            <color indexed="81"/>
            <rFont val="Tahoma"/>
            <family val="2"/>
          </rPr>
          <t>Latin
America and Transatlantic exceeded 2019 levels in June</t>
        </r>
      </text>
    </comment>
    <comment ref="R135" authorId="0" shapeId="0" xr:uid="{6C6DC6C0-EE92-4901-A893-CCBB53178190}">
      <text>
        <r>
          <rPr>
            <sz val="9"/>
            <color indexed="81"/>
            <rFont val="Tahoma"/>
            <family val="2"/>
          </rPr>
          <t>Latin America and Transatlantic exceeded 2019 levels in June 
International corporate sales improved 30 points during the quarter to 65% of 2019 levels, led by the Transatlantic where the recovery is now on par with domestic.</t>
        </r>
      </text>
    </comment>
    <comment ref="R136" authorId="0" shapeId="0" xr:uid="{1130FE0C-71A6-4BF2-B696-E346FE5B9E84}">
      <text>
        <r>
          <rPr>
            <sz val="9"/>
            <color indexed="81"/>
            <rFont val="Tahoma"/>
            <family val="2"/>
          </rPr>
          <t>Pacific is accelerating as Korea and
Australia have reopened and restrictions are easing in Japan.</t>
        </r>
      </text>
    </comment>
    <comment ref="S137" authorId="0" shapeId="0" xr:uid="{51DAD487-1F32-425C-8623-9CCF5C25C6E2}">
      <text>
        <r>
          <rPr>
            <sz val="9"/>
            <color indexed="81"/>
            <rFont val="Tahoma"/>
            <family val="2"/>
          </rPr>
          <t>Similar optimism was reflected in Morgan Stanley's recent Global Corporate Travel Survey, where respondents indicated travel volumes would reach 84% of 2019 levels in the second half of 2022. This is 20 points above the June quarter volumes and over 90% by 2023.</t>
        </r>
      </text>
    </comment>
    <comment ref="C159" authorId="0" shapeId="0" xr:uid="{4360AE7B-E4FD-4B13-9CB1-B59F8B8A0E52}">
      <text>
        <r>
          <rPr>
            <sz val="9"/>
            <color indexed="81"/>
            <rFont val="Tahoma"/>
            <family val="2"/>
          </rPr>
          <t>Available Seat Mile. A measure of capacity. ASMs equal the total number of seats available for transporting passengers during a reporting period multiplied by the total number of miles flown during that period</t>
        </r>
      </text>
    </comment>
    <comment ref="R173" authorId="0" shapeId="0" xr:uid="{910BFEE4-CE0B-44DB-AF44-A0483A31519E}">
      <text>
        <r>
          <rPr>
            <sz val="9"/>
            <color indexed="81"/>
            <rFont val="Tahoma"/>
            <family val="2"/>
          </rPr>
          <t>As we exited the quarter, domestic corporate sales improved to approximately 70% recovered versus 2019, and our recent survey results show that 90% of our corporate accounts anticipate travel volumes to increase in the June quarter as offices continue to reopen.</t>
        </r>
      </text>
    </comment>
    <comment ref="R177" authorId="0" shapeId="0" xr:uid="{3E3278B7-CFAC-4142-9F62-57DF219FCAD8}">
      <text>
        <r>
          <rPr>
            <b/>
            <sz val="9"/>
            <color indexed="81"/>
            <rFont val="Tahoma"/>
            <family val="2"/>
          </rPr>
          <t xml:space="preserve">Guidance: </t>
        </r>
        <r>
          <rPr>
            <sz val="9"/>
            <color indexed="81"/>
            <rFont val="Tahoma"/>
            <family val="2"/>
          </rPr>
          <t>Capacity at 84% of 2019 levels</t>
        </r>
      </text>
    </comment>
    <comment ref="S177" authorId="0" shapeId="0" xr:uid="{7270792F-EB31-4F9F-A53F-446D14CD4E00}">
      <text>
        <r>
          <rPr>
            <sz val="9"/>
            <color indexed="81"/>
            <rFont val="Tahoma"/>
            <family val="2"/>
          </rPr>
          <t xml:space="preserve">We expect system capacity to be 83% to 85% recovered in the September 2022 quarter compared to the September 2019 quarter.
</t>
        </r>
        <r>
          <rPr>
            <b/>
            <sz val="9"/>
            <color indexed="81"/>
            <rFont val="Tahoma"/>
            <family val="2"/>
          </rPr>
          <t>Source: 10Q pg 23/124</t>
        </r>
      </text>
    </comment>
    <comment ref="T177" authorId="0" shapeId="0" xr:uid="{504B37C2-E0BD-4015-8EA1-05E492FC1591}">
      <text>
        <r>
          <rPr>
            <sz val="9"/>
            <color indexed="81"/>
            <rFont val="Tahoma"/>
            <family val="2"/>
          </rPr>
          <t>Transcript Q2: Get relative restoration in the fourth quarter. So capacity was to be stepped up to be 94% restored, a 10-point step up from the midpoint of our range
Transcript Q1: This improvement is driven by continued capacity restoration from the low to mid-80s in the first half to the mid-90s by the end of the year.  
The recovery in international travel enables us to shift our wide-bodies from our domestic to our international, where we get better efficiency from gauge and stage and improved staffing. 
Narrow-body utilization will improve, with a 10-point increase expected by the end of the year, giving us a combined benefit of higher capacity and more efficient allocation of our fleet.</t>
        </r>
      </text>
    </comment>
    <comment ref="AA177" authorId="0" shapeId="0" xr:uid="{11E511E0-DA29-43C6-A9DC-9855EA488054}">
      <text>
        <r>
          <rPr>
            <sz val="9"/>
            <color indexed="81"/>
            <rFont val="Tahoma"/>
            <family val="2"/>
          </rPr>
          <t>We now expect capacity for the full year 2022 to be approximately 85% restored to 2019, which is five percentage points lower than our initial expectations from the beginning of 2022 of 90% restored to 2019.</t>
        </r>
      </text>
    </comment>
    <comment ref="AB177" authorId="0" shapeId="0" xr:uid="{45075647-A61D-4053-B6B2-436D45737A6E}">
      <text>
        <r>
          <rPr>
            <sz val="9"/>
            <color indexed="81"/>
            <rFont val="Tahoma"/>
            <family val="2"/>
          </rPr>
          <t>By summer of '23 would be our target to get back to 100% capacity</t>
        </r>
      </text>
    </comment>
    <comment ref="C179" authorId="0" shapeId="0" xr:uid="{CB3D5033-D406-4C7B-BDC0-3EC0E103548D}">
      <text>
        <r>
          <rPr>
            <sz val="9"/>
            <color indexed="81"/>
            <rFont val="Tahoma"/>
            <family val="2"/>
          </rPr>
          <t>Load Factor - A measure of utilized available seating capacity calculated by dividing RPMs by ASMs for a reporting period</t>
        </r>
      </text>
    </comment>
    <comment ref="R183" authorId="0" shapeId="0" xr:uid="{5EDD4BF2-3B05-4AFC-B6FC-129582070031}">
      <text>
        <r>
          <rPr>
            <sz val="9"/>
            <color indexed="81"/>
            <rFont val="Tahoma"/>
            <family val="2"/>
          </rPr>
          <t>And in the Pacific, we are encouraged by the opening of Australia, South Korea and other countries in Southeast Asia. When countries reopen, we see a rapid restoration of demand.  
For example, following South Korea's border opening on April 1, we expect load factors to improve from the low 50s in March to the low 90s by June. We expect that heavily restricted regions, such as China and Japan, will continue to put pressure on overall Pacific unit revenues until borders fully reopen.</t>
        </r>
      </text>
    </comment>
    <comment ref="C186" authorId="0" shapeId="0" xr:uid="{DCDB190F-3519-4F8B-A630-224429E1EED3}">
      <text>
        <r>
          <rPr>
            <sz val="9"/>
            <color indexed="81"/>
            <rFont val="Tahoma"/>
            <family val="2"/>
          </rPr>
          <t>RPM - Revenue Passenger Mile. One revenue-paying passenger transported one mile. RPMs equal the number of revenue passengers during a reporting period multiplied by the number of miles flown by those passengers during that period. RPMs are also referred to as "traffic."</t>
        </r>
      </text>
    </comment>
    <comment ref="C193" authorId="0" shapeId="0" xr:uid="{21318677-E801-4084-B75C-F04986E21C29}">
      <text>
        <r>
          <rPr>
            <sz val="9"/>
            <color indexed="81"/>
            <rFont val="Tahoma"/>
            <family val="2"/>
          </rPr>
          <t>RPM - Revenue Passenger Mile. One revenue-paying passenger transported one mile. RPMs equal the number of revenue passengers during a reporting period multiplied by the number of miles flown by those passengers during that period. RPMs are also referred to as "traffic."</t>
        </r>
      </text>
    </comment>
    <comment ref="C200" authorId="0" shapeId="0" xr:uid="{9BCC268D-6C7E-4C02-B91D-6C94AFB874D0}">
      <text>
        <r>
          <rPr>
            <sz val="9"/>
            <color indexed="81"/>
            <rFont val="Tahoma"/>
            <family val="2"/>
          </rPr>
          <t>Passenger Mile Yield or Yield - The amount of passenger revenue earned per RPM during a reporting period</t>
        </r>
      </text>
    </comment>
    <comment ref="R212" authorId="0" shapeId="0" xr:uid="{B1BFCD49-9210-4E5D-B314-EECA7A857697}">
      <text>
        <r>
          <rPr>
            <sz val="9"/>
            <color indexed="81"/>
            <rFont val="Tahoma"/>
            <family val="2"/>
          </rPr>
          <t>We expect April yields to be up double-digits compared to 2019 with further strengthening as we approach June, positioning us to successfully recapture a significant portion of the higher prices</t>
        </r>
      </text>
    </comment>
    <comment ref="AA231" authorId="0" shapeId="0" xr:uid="{51C76CC7-21DD-40DC-B922-8A713C0F4652}">
      <text>
        <r>
          <rPr>
            <sz val="9"/>
            <color indexed="81"/>
            <rFont val="Tahoma"/>
            <family val="2"/>
          </rPr>
          <t>Premium pay and overtime is expected to total over $700 million this year. This is 50% higher than 2019. While we're delaying our unit cost recovery, it is pace-dependent and within our control. We remain confident in our ability to meaningfully improve our unit cost as we rebuild capacity, improve efficiency</t>
        </r>
      </text>
    </comment>
    <comment ref="R246" authorId="0" shapeId="0" xr:uid="{04249331-9EB9-415C-8F67-1C4137D4D93E}">
      <text>
        <r>
          <rPr>
            <sz val="9"/>
            <color indexed="81"/>
            <rFont val="Tahoma"/>
            <family val="2"/>
          </rPr>
          <t>Since the start of 2021, we've hired 18,000 new employees and our active headcount is at 95% of 2019 levels, despite only restoring less than 85% of our capacity. 
The chief issue we're working through is not hiring but a training and experience bubble. Coupling this with the lingering effects of COVID and we've seen a reduction in crew availability and higher overtime</t>
        </r>
      </text>
    </comment>
    <comment ref="Q257" authorId="0" shapeId="0" xr:uid="{C4E99B4D-A836-4ADC-BB0B-C4CC834DCD74}">
      <text>
        <r>
          <rPr>
            <sz val="9"/>
            <color indexed="81"/>
            <rFont val="Tahoma"/>
            <family val="2"/>
          </rPr>
          <t>During 2022, however, we expect non-fuel unit costs to increase 7%-10% compared to 2019. This expected unit cost increase is primarily due to
2022 capacity projected to be lower than 2019, costs associated with rebuilding our network, investments to support an elevated customer experience and our premium brand focus, and inflation and labor cost escalation in the underlying business.
We expect non-fuel unit cost increases compared to 2019 to moderate in future years as we return to and exceed pre-pandemic capacity and benefit from cost reduction measures implemented during 2020 that were structural in nature</t>
        </r>
      </text>
    </comment>
    <comment ref="R257" authorId="0" shapeId="0" xr:uid="{01D95B9B-A20F-42CE-9E15-E9907C032862}">
      <text>
        <r>
          <rPr>
            <sz val="9"/>
            <color indexed="81"/>
            <rFont val="Tahoma"/>
            <family val="2"/>
          </rPr>
          <t>10Q:
Non-fuel unit costs ("CASM-Ex", a non-GAAP
financial measure) increased 22% to 12.76 cents primarily due to the 18% decrease in capacity.</t>
        </r>
      </text>
    </comment>
    <comment ref="R272" authorId="0" shapeId="0" xr:uid="{2AA649CA-94C2-4A36-836E-4B41937ADBC7}">
      <text>
        <r>
          <rPr>
            <sz val="9"/>
            <color indexed="81"/>
            <rFont val="Tahoma"/>
            <family val="2"/>
          </rPr>
          <t>Transcript: 
 We expect the June quarter non-fuel CASM to be up 17% compared to 2019. The two point increase from the March quarter is driven by higher selling-related costs, an expected 45% sequential increase in revenue and our anticipated step-up in maintenance costs on a similar level of capacity restoration.</t>
        </r>
      </text>
    </comment>
    <comment ref="S272" authorId="0" shapeId="0" xr:uid="{AB147825-D850-4E20-A631-32C140CD350E}">
      <text>
        <r>
          <rPr>
            <b/>
            <sz val="9"/>
            <color indexed="81"/>
            <rFont val="Tahoma"/>
            <family val="2"/>
          </rPr>
          <t xml:space="preserve">Guidance: </t>
        </r>
        <r>
          <rPr>
            <sz val="9"/>
            <color indexed="81"/>
            <rFont val="Tahoma"/>
            <family val="2"/>
          </rPr>
          <t>CASM Ex-fuel +~22% vs. Q3'19</t>
        </r>
      </text>
    </comment>
    <comment ref="T272" authorId="0" shapeId="0" xr:uid="{547F9A0E-9BC3-4E66-BD7D-A97065334F98}">
      <text>
        <r>
          <rPr>
            <sz val="9"/>
            <color indexed="81"/>
            <rFont val="Tahoma"/>
            <family val="2"/>
          </rPr>
          <t>With the first half non-fuel CASM in the mid-teens, which is two points higher than planned on lower capacity, we expect to be closer to the high end of the full range of up 7% to 10%, implying the second half will improve up to the mid-single digits. This improvement is driven by continued capacity restoration from the low to mid-80s in the first half to the mid-90s by the end of the year. The resulting scale and efficiency will drive the step function change in our non-fuel CASM.</t>
        </r>
      </text>
    </comment>
    <comment ref="AA272" authorId="0" shapeId="0" xr:uid="{5AFE698E-042D-4F3D-86AF-CDEB976486FF}">
      <text>
        <r>
          <rPr>
            <b/>
            <sz val="9"/>
            <color indexed="81"/>
            <rFont val="Tahoma"/>
            <family val="2"/>
          </rPr>
          <t xml:space="preserve">10Q Q2 pg 25/124
</t>
        </r>
        <r>
          <rPr>
            <sz val="9"/>
            <color indexed="81"/>
            <rFont val="Tahoma"/>
            <family val="2"/>
          </rPr>
          <t xml:space="preserve">We now expect non-fuel costs for the full year 2022 to be approximately 17% higher than 2019, which is eight points above the
mid-point of our initial expectations from the beginning of 2022 of 7% to 10% higher. 
The increased unit costs are primarily due to lower capacity and additional costs associated with rebuilding our network and restoring the operational reliability </t>
        </r>
      </text>
    </comment>
    <comment ref="AB272" authorId="0" shapeId="0" xr:uid="{D8B0E2DF-953B-4249-9B9D-607498F9186F}">
      <text>
        <r>
          <rPr>
            <sz val="9"/>
            <color indexed="81"/>
            <rFont val="Tahoma"/>
            <family val="2"/>
          </rPr>
          <t>So some of that cost that you're seeing on those 3 points are costs that were occurring ahead related to it. Some of it is the additional point that I talked about in rebuild. We're incurring more overtime and more premium to run the airline this year. So you'd expect that one -- those costs to come out. So it's both making the investments in and those rebuild costs that will diminish that you'll see improvement in.</t>
        </r>
      </text>
    </comment>
    <comment ref="C277" authorId="0" shapeId="0" xr:uid="{5F3DDE55-C63B-45B2-8004-BF0D4B023B70}">
      <text>
        <r>
          <rPr>
            <sz val="9"/>
            <color indexed="81"/>
            <rFont val="Tahoma"/>
            <family val="2"/>
          </rPr>
          <t>Market price for jet fuel at airport locations, including related taxes and transportation costs</t>
        </r>
      </text>
    </comment>
    <comment ref="R277" authorId="0" shapeId="0" xr:uid="{157CD95A-4582-4E21-856A-DE91E4031290}">
      <text>
        <r>
          <rPr>
            <sz val="9"/>
            <color indexed="81"/>
            <rFont val="Tahoma"/>
            <family val="2"/>
          </rPr>
          <t>A one cent increase in the cost of jet fuel would result in approximately $40 million of additional annual fuel expense based on annual pre-COVID-19 pandemic consumption of approximately four billion gallons of jet fuel.
Source: 10K 2021</t>
        </r>
      </text>
    </comment>
    <comment ref="R280" authorId="0" shapeId="0" xr:uid="{049B37D3-283F-4EF9-B6E6-E84EEECDD657}">
      <text>
        <r>
          <rPr>
            <sz val="9"/>
            <color indexed="81"/>
            <rFont val="Tahoma"/>
            <family val="2"/>
          </rPr>
          <t>The refinery continues to provide a hedge to
historically high cracks,</t>
        </r>
      </text>
    </comment>
    <comment ref="S302" authorId="0" shapeId="0" xr:uid="{3AD3160E-9779-4310-AF3D-67E820B52157}">
      <text>
        <r>
          <rPr>
            <b/>
            <sz val="9"/>
            <color indexed="81"/>
            <rFont val="Tahoma"/>
            <family val="2"/>
          </rPr>
          <t xml:space="preserve">Guidance: </t>
        </r>
        <r>
          <rPr>
            <sz val="9"/>
            <color indexed="81"/>
            <rFont val="Tahoma"/>
            <family val="2"/>
          </rPr>
          <t xml:space="preserve">Fuel price ($/gal) </t>
        </r>
        <r>
          <rPr>
            <b/>
            <sz val="9"/>
            <color indexed="81"/>
            <rFont val="Tahoma"/>
            <family val="2"/>
          </rPr>
          <t xml:space="preserve">$3.45 - $3.60
</t>
        </r>
        <r>
          <rPr>
            <sz val="9"/>
            <color indexed="81"/>
            <rFont val="Tahoma"/>
            <family val="2"/>
          </rPr>
          <t xml:space="preserve">
Fuel price guidance is based on prices as of July 8th, including Brent at $107 per barrel, cracks at $41 per barrel and </t>
        </r>
        <r>
          <rPr>
            <b/>
            <sz val="9"/>
            <color indexed="81"/>
            <rFont val="Tahoma"/>
            <family val="2"/>
          </rPr>
          <t>$0.27 per
gallon refinery contribution</t>
        </r>
      </text>
    </comment>
    <comment ref="S304" authorId="0" shapeId="0" xr:uid="{BBA41FA1-527A-4875-9BEC-7A19B0F7B9D6}">
      <text>
        <r>
          <rPr>
            <sz val="9"/>
            <color indexed="81"/>
            <rFont val="Tahoma"/>
            <family val="2"/>
          </rPr>
          <t>We expect that fuel consumption will continue to increase throughout 2022, compared to 2021, as we expect to return closer to pre-pandemic levels of capacity and demand for air travel, partially offset by increases in fuel efficiency of our fleet</t>
        </r>
      </text>
    </comment>
    <comment ref="AG305" authorId="0" shapeId="0" xr:uid="{63470DA5-C361-4A1F-BC64-9D95BB2C6530}">
      <text>
        <r>
          <rPr>
            <sz val="9"/>
            <color indexed="81"/>
            <rFont val="Tahoma"/>
            <family val="2"/>
          </rPr>
          <t>Expect 2024 fuel efficiency to be
8% better than 2019
Source: Capital Day Presentation 2021</t>
        </r>
      </text>
    </comment>
    <comment ref="S309" authorId="0" shapeId="0" xr:uid="{5446A28F-9619-4A3E-B9AD-96312FFBDB85}">
      <text>
        <r>
          <rPr>
            <sz val="9"/>
            <color indexed="81"/>
            <rFont val="Tahoma"/>
            <family val="2"/>
          </rPr>
          <t>We expect fuel efficiency to be about 5% better than 2019</t>
        </r>
      </text>
    </comment>
    <comment ref="AG310" authorId="0" shapeId="0" xr:uid="{4495331A-DAF4-4338-8269-2D91E93322A9}">
      <text>
        <r>
          <rPr>
            <sz val="9"/>
            <color indexed="81"/>
            <rFont val="Tahoma"/>
            <family val="2"/>
          </rPr>
          <t>Transcript: 
We also continue to accept delivery of new 220s, three, 3900s and three, 5900s. These aircraft are expected to contribute to the full restoration of our capacity and to our goal of using a 7% less fuel per ASM in 2022 when compared to 2019</t>
        </r>
      </text>
    </comment>
    <comment ref="C326" authorId="0" shapeId="0" xr:uid="{03576868-95DD-471F-B684-08796B5635D3}">
      <text>
        <r>
          <rPr>
            <sz val="9"/>
            <color indexed="81"/>
            <rFont val="Tahoma"/>
            <family val="2"/>
          </rPr>
          <t>Our profit sharing program pays 10% to all eligible employees for the first $2.5 billion of annual profit and 20% of annual profit above $2.5 billion.</t>
        </r>
      </text>
    </comment>
    <comment ref="S327" authorId="0" shapeId="0" xr:uid="{9E630FBA-2BDA-4F3B-927C-431C0719F92F}">
      <text>
        <r>
          <rPr>
            <b/>
            <sz val="9"/>
            <color indexed="81"/>
            <rFont val="Tahoma"/>
            <family val="2"/>
          </rPr>
          <t xml:space="preserve">Q3 Guidance: </t>
        </r>
        <r>
          <rPr>
            <sz val="9"/>
            <color indexed="81"/>
            <rFont val="Tahoma"/>
            <family val="2"/>
          </rPr>
          <t>Profit sharing expense: $180M - $220M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<sst xmlns="http://schemas.openxmlformats.org/spreadsheetml/2006/main" count="9828" uniqueCount="1987">
  <si>
    <t>CREDIT SUMMARY</t>
  </si>
  <si>
    <t>Ticker:</t>
  </si>
  <si>
    <t>Industry:</t>
  </si>
  <si>
    <t xml:space="preserve">CEO: </t>
  </si>
  <si>
    <t xml:space="preserve">Opportunity Type: </t>
  </si>
  <si>
    <t>Last report date:</t>
  </si>
  <si>
    <t>BBSwitch</t>
  </si>
  <si>
    <t>RR %  - Existing / Max</t>
  </si>
  <si>
    <t xml:space="preserve">Subsector: </t>
  </si>
  <si>
    <t xml:space="preserve">CFO: </t>
  </si>
  <si>
    <t xml:space="preserve">RR Funds: </t>
  </si>
  <si>
    <t>Next report date:</t>
  </si>
  <si>
    <t>RR $ Existing / Max</t>
  </si>
  <si>
    <t xml:space="preserve">HQ Location: </t>
  </si>
  <si>
    <t xml:space="preserve">IR: </t>
  </si>
  <si>
    <t xml:space="preserve">Rimrock Analyst: </t>
  </si>
  <si>
    <t>Chris Smith</t>
  </si>
  <si>
    <t>Fiscal year end:</t>
  </si>
  <si>
    <t>Holdings Summary</t>
  </si>
  <si>
    <t>Credit Ratings, Credit Score and Investment Merits/Risks</t>
  </si>
  <si>
    <t>Issue</t>
  </si>
  <si>
    <t>Par Owned</t>
  </si>
  <si>
    <t>Mkt Px</t>
  </si>
  <si>
    <t>Mkt Val</t>
  </si>
  <si>
    <t>Issue Size</t>
  </si>
  <si>
    <t>YTW</t>
  </si>
  <si>
    <t>OAS^</t>
  </si>
  <si>
    <t>OAD^</t>
  </si>
  <si>
    <t>3-sig Px</t>
  </si>
  <si>
    <t>Tgt IRR</t>
  </si>
  <si>
    <t>Issuer Ratings &amp; Outlook</t>
  </si>
  <si>
    <t>Rimrock</t>
  </si>
  <si>
    <t>Moody's</t>
  </si>
  <si>
    <t>S&amp;P</t>
  </si>
  <si>
    <t>^For loans, spread to 3y takeout and spread duration are substited for OAS and OAD. For NC bonds z-spread and spread duration are substituted</t>
  </si>
  <si>
    <t>Business Description</t>
  </si>
  <si>
    <t>Credit Scoring Matrix</t>
  </si>
  <si>
    <t>Metric</t>
  </si>
  <si>
    <t>Score</t>
  </si>
  <si>
    <t>Industry</t>
  </si>
  <si>
    <t>Company</t>
  </si>
  <si>
    <t>Management</t>
  </si>
  <si>
    <t>Capital Structure</t>
  </si>
  <si>
    <t>Cashflow</t>
  </si>
  <si>
    <t>Recovery</t>
  </si>
  <si>
    <t>Liquidity</t>
  </si>
  <si>
    <t>Covenants</t>
  </si>
  <si>
    <t>Total</t>
  </si>
  <si>
    <t>Capital Structure, Liquidity and Maturity Profile</t>
  </si>
  <si>
    <t>EBITDA/FCF are LTM</t>
  </si>
  <si>
    <t>FV</t>
  </si>
  <si>
    <t>MV</t>
  </si>
  <si>
    <t>Debt Maturities</t>
  </si>
  <si>
    <t>Description</t>
  </si>
  <si>
    <t>Rating</t>
  </si>
  <si>
    <t>Outs.(mm)</t>
  </si>
  <si>
    <t>Coupon</t>
  </si>
  <si>
    <t>Price</t>
  </si>
  <si>
    <t>CY</t>
  </si>
  <si>
    <t>% of TEV</t>
  </si>
  <si>
    <t>Leverage</t>
  </si>
  <si>
    <t xml:space="preserve">x FCF </t>
  </si>
  <si>
    <t>Int. Cov.</t>
  </si>
  <si>
    <t>Source</t>
  </si>
  <si>
    <t>Amount</t>
  </si>
  <si>
    <t>Year</t>
  </si>
  <si>
    <t xml:space="preserve">Sr Secured </t>
  </si>
  <si>
    <t>Unrestricted Cash</t>
  </si>
  <si>
    <t>Revolver Size</t>
  </si>
  <si>
    <t>Total Debt</t>
  </si>
  <si>
    <t>Available</t>
  </si>
  <si>
    <t>Less Cash</t>
  </si>
  <si>
    <t>- Amt Drawn</t>
  </si>
  <si>
    <t>Net Debt</t>
  </si>
  <si>
    <t>- LC's</t>
  </si>
  <si>
    <t>Preferred &amp; Minority Interest</t>
  </si>
  <si>
    <t>Unutilized Revolver</t>
  </si>
  <si>
    <t>Thereafter</t>
  </si>
  <si>
    <t>Market Cap</t>
  </si>
  <si>
    <t xml:space="preserve">Total Liquidity </t>
  </si>
  <si>
    <t>Enterprise Value</t>
  </si>
  <si>
    <t>Financial Summary</t>
  </si>
  <si>
    <t>Key Covenant and Structure Considerations</t>
  </si>
  <si>
    <t>Valuation and Ownership</t>
  </si>
  <si>
    <t>Equity Comps</t>
  </si>
  <si>
    <t>Equity Ownership</t>
  </si>
  <si>
    <t>EV/</t>
  </si>
  <si>
    <t>Public</t>
  </si>
  <si>
    <t>EBITDA</t>
  </si>
  <si>
    <t>LTV</t>
  </si>
  <si>
    <t>Top 5 holders (reported):</t>
  </si>
  <si>
    <t>Holder</t>
  </si>
  <si>
    <t>Percentage</t>
  </si>
  <si>
    <t>NOTES</t>
  </si>
  <si>
    <t>*Tangible Assets include A/R, Inventories and BV of PP&amp;E</t>
  </si>
  <si>
    <t>**Quarters use LTM income statement figures</t>
  </si>
  <si>
    <t>***Fixed charges includes interest, principal, taxes, CAPEX, dividends, equity issuance/(repurchases) and excludes working capital changes</t>
  </si>
  <si>
    <t>Avg.</t>
  </si>
  <si>
    <t>Prepared by:</t>
  </si>
  <si>
    <t>CS</t>
  </si>
  <si>
    <t>security_name</t>
  </si>
  <si>
    <t>rtg_sp</t>
  </si>
  <si>
    <t>amt_outstanding</t>
  </si>
  <si>
    <t>cpn</t>
  </si>
  <si>
    <t>px_last</t>
  </si>
  <si>
    <t>yld_cur_bid</t>
  </si>
  <si>
    <t>yld_cnv_bid</t>
  </si>
  <si>
    <t>Maturity</t>
  </si>
  <si>
    <t>Issue_dt</t>
  </si>
  <si>
    <t>Loan_typ</t>
  </si>
  <si>
    <t>LN_TRANCHE_SIZE</t>
  </si>
  <si>
    <t>CRNCY</t>
  </si>
  <si>
    <t>spd mod dur mid</t>
  </si>
  <si>
    <t>YAS OAS SPRD</t>
  </si>
  <si>
    <t>DISCOUNT MARGIN 3YR MID</t>
  </si>
  <si>
    <t>dur adj oas mid</t>
  </si>
  <si>
    <t>payment_rank</t>
  </si>
  <si>
    <t>Long_comp_name</t>
  </si>
  <si>
    <t>security_short_des</t>
  </si>
  <si>
    <t>rtg_SP_LT_LC_ISSUER_CREDIT</t>
  </si>
  <si>
    <t>IF(BBswitch=1,BQL.Query("get(Name)for( bonds(['"&amp;$D$3&amp;" Equity'], IssuedBy=credit_family) )with(Dates="&amp;TEXT(TODAY(),"yyyy-mm-dd")&amp;")","cols=2;rows=4"),C75)</t>
  </si>
  <si>
    <t>Name</t>
  </si>
  <si>
    <t>Issue Date.</t>
  </si>
  <si>
    <t>Debt type</t>
  </si>
  <si>
    <t>Tranche</t>
  </si>
  <si>
    <t>Fx. rate</t>
  </si>
  <si>
    <t>Currency</t>
  </si>
  <si>
    <t>Spread Duration</t>
  </si>
  <si>
    <t>OAS</t>
  </si>
  <si>
    <t>ST3</t>
  </si>
  <si>
    <t>OAD</t>
  </si>
  <si>
    <t>Payment Rank</t>
  </si>
  <si>
    <t>Issuer Name</t>
  </si>
  <si>
    <t>x</t>
  </si>
  <si>
    <t>FA</t>
  </si>
  <si>
    <t>EEO</t>
  </si>
  <si>
    <t>FY17A</t>
  </si>
  <si>
    <t>FY18A</t>
  </si>
  <si>
    <t>FY19A</t>
  </si>
  <si>
    <t>FY20A</t>
  </si>
  <si>
    <t>FY21A</t>
  </si>
  <si>
    <t>LTM</t>
  </si>
  <si>
    <t>FY22E</t>
  </si>
  <si>
    <t>FY23E</t>
  </si>
  <si>
    <t>Q220A</t>
  </si>
  <si>
    <t>Q320A</t>
  </si>
  <si>
    <t>Q420A</t>
  </si>
  <si>
    <t>Q121A</t>
  </si>
  <si>
    <t>Q221A</t>
  </si>
  <si>
    <t>Q321A</t>
  </si>
  <si>
    <t>Q421A</t>
  </si>
  <si>
    <t xml:space="preserve">Revenue </t>
  </si>
  <si>
    <t>SALES_REV_TURN</t>
  </si>
  <si>
    <t>BEST_SALES</t>
  </si>
  <si>
    <t>Gross profit</t>
  </si>
  <si>
    <t>GROSS_PROFIT</t>
  </si>
  <si>
    <t>SG&amp;A</t>
  </si>
  <si>
    <t>EBIT</t>
  </si>
  <si>
    <t>IS_OPER_INC</t>
  </si>
  <si>
    <t>BEST_OPP</t>
  </si>
  <si>
    <t>BEST_EBITDA</t>
  </si>
  <si>
    <t>FCF</t>
  </si>
  <si>
    <t>CF_FREE_CASH_FLOW</t>
  </si>
  <si>
    <t>BEST_ESTIMATE_FCF</t>
  </si>
  <si>
    <t>Interest Expenses</t>
  </si>
  <si>
    <t>IS_INT_EXPENSE</t>
  </si>
  <si>
    <t>Taxes</t>
  </si>
  <si>
    <t xml:space="preserve">Capex </t>
  </si>
  <si>
    <t>CF_CAP_EXPEND_PRPTY_ADD</t>
  </si>
  <si>
    <t>BEST_CAPEX</t>
  </si>
  <si>
    <t>Dividend Paid</t>
  </si>
  <si>
    <t>CF_DVD_PAID</t>
  </si>
  <si>
    <t>Share Repurchase</t>
  </si>
  <si>
    <t>CF_DECR_CAP_STOCK</t>
  </si>
  <si>
    <t>Principal paid</t>
  </si>
  <si>
    <t>Total Fixed Charges</t>
  </si>
  <si>
    <t>SHORT_AND_LONG_TERM_DEBT</t>
  </si>
  <si>
    <t>NET_DEBT</t>
  </si>
  <si>
    <t>BEST_NET_DEBT</t>
  </si>
  <si>
    <t>Total Equity</t>
  </si>
  <si>
    <t>TOTAL_EQUITY</t>
  </si>
  <si>
    <t>Cash</t>
  </si>
  <si>
    <t>BS_CASH_NEAR_CASH_ITEM</t>
  </si>
  <si>
    <t>Total Assets</t>
  </si>
  <si>
    <t>BS_TOT_ASSET</t>
  </si>
  <si>
    <t>A/R</t>
  </si>
  <si>
    <t>Inventories</t>
  </si>
  <si>
    <t>BV of PP&amp;E</t>
  </si>
  <si>
    <t>Tangible Assets</t>
  </si>
  <si>
    <t>TANGIBLE_ASSETS</t>
  </si>
  <si>
    <t>LTM Tax rate</t>
  </si>
  <si>
    <t>Revenue Growth</t>
  </si>
  <si>
    <t>Gross Profit (% of rev)</t>
  </si>
  <si>
    <t>BEST_GROSS_MARGIN</t>
  </si>
  <si>
    <t>SG&amp;A (% of rev)</t>
  </si>
  <si>
    <t>EBIT (% of rev)</t>
  </si>
  <si>
    <t>EBITDA margin (% of rev)</t>
  </si>
  <si>
    <t>Capex (% of rev)</t>
  </si>
  <si>
    <t>FCF (% of rev)</t>
  </si>
  <si>
    <t>FCF (% of debt)**</t>
  </si>
  <si>
    <t>Divs / Share Repo (% of debt)**</t>
  </si>
  <si>
    <t>ROA**</t>
  </si>
  <si>
    <t>ROIC**</t>
  </si>
  <si>
    <t>Gross Debt / EBITDA**</t>
  </si>
  <si>
    <t>Net Debt / EBITDA**</t>
  </si>
  <si>
    <t>EBITDA / Interest**</t>
  </si>
  <si>
    <t>EBIT / Interest**</t>
  </si>
  <si>
    <t>EBITDA / Total Fixed Charges***</t>
  </si>
  <si>
    <t>Debt / Book Capital</t>
  </si>
  <si>
    <t>Net Debt / Tangible Assets*</t>
  </si>
  <si>
    <t>Top 20 Shareholders</t>
  </si>
  <si>
    <t>Portfolio Name</t>
  </si>
  <si>
    <t>Opt</t>
  </si>
  <si>
    <t>Position</t>
  </si>
  <si>
    <t>% Outstanding</t>
  </si>
  <si>
    <t>Latest Chg</t>
  </si>
  <si>
    <t>File Date</t>
  </si>
  <si>
    <t>Insvestment Type</t>
  </si>
  <si>
    <t>n/a</t>
  </si>
  <si>
    <t>United States</t>
  </si>
  <si>
    <t>New York City/Southern CT/Northern NJ</t>
  </si>
  <si>
    <t>Unclassified</t>
  </si>
  <si>
    <t>Los Angeles/Pasadena</t>
  </si>
  <si>
    <t>Oslo</t>
  </si>
  <si>
    <t>Norway</t>
  </si>
  <si>
    <t>Springfield</t>
  </si>
  <si>
    <t>Tokyo</t>
  </si>
  <si>
    <t>Japan</t>
  </si>
  <si>
    <t>Memphis</t>
  </si>
  <si>
    <t>Bloomberg Peer</t>
  </si>
  <si>
    <t>(All Values in US$ millions)</t>
  </si>
  <si>
    <t>YTD</t>
  </si>
  <si>
    <t>Period End</t>
  </si>
  <si>
    <t>Check</t>
  </si>
  <si>
    <t xml:space="preserve">Circ: </t>
  </si>
  <si>
    <t>Off</t>
  </si>
  <si>
    <t>On</t>
  </si>
  <si>
    <t xml:space="preserve">Ending Debt Balance </t>
  </si>
  <si>
    <t>Credit Facility</t>
  </si>
  <si>
    <t>Additional Drawdown</t>
  </si>
  <si>
    <t>Net unamortized debt issuance costs</t>
  </si>
  <si>
    <t>Amortization:</t>
  </si>
  <si>
    <t xml:space="preserve">Average Debt Balance </t>
  </si>
  <si>
    <t>Interest Expense</t>
  </si>
  <si>
    <t>Revolver:</t>
  </si>
  <si>
    <t>Plus: Beginning Cash</t>
  </si>
  <si>
    <t>Less: Minimum Cash</t>
  </si>
  <si>
    <t>Long-Term Debt Issuances / (Repayment)</t>
  </si>
  <si>
    <t>Revolver</t>
  </si>
  <si>
    <t>Beginning Balance</t>
  </si>
  <si>
    <t>(Pay down) / Borrowings</t>
  </si>
  <si>
    <t>&lt;&lt; Maturity Date</t>
  </si>
  <si>
    <t>1fy</t>
  </si>
  <si>
    <t>2fy</t>
  </si>
  <si>
    <t>3fy</t>
  </si>
  <si>
    <t>4fy</t>
  </si>
  <si>
    <t>1fq</t>
  </si>
  <si>
    <t>2fq</t>
  </si>
  <si>
    <t>3fq</t>
  </si>
  <si>
    <t>4fq</t>
  </si>
  <si>
    <t>Ticker</t>
  </si>
  <si>
    <t>Tolerance</t>
  </si>
  <si>
    <t>Key Metrics</t>
  </si>
  <si>
    <t>Vs Consensus</t>
  </si>
  <si>
    <t>Consensus</t>
  </si>
  <si>
    <t>Model</t>
  </si>
  <si>
    <t>$</t>
  </si>
  <si>
    <t>%</t>
  </si>
  <si>
    <t>Revenue</t>
  </si>
  <si>
    <t>Pre-Tax Profit</t>
  </si>
  <si>
    <t>Net Income</t>
  </si>
  <si>
    <t>EBITDA Margin</t>
  </si>
  <si>
    <t>EBIT. Margin</t>
  </si>
  <si>
    <t>Pre- Tax. Margin</t>
  </si>
  <si>
    <t>Net Margin</t>
  </si>
  <si>
    <t>Total required amortization</t>
  </si>
  <si>
    <t>Total debt</t>
  </si>
  <si>
    <t xml:space="preserve">Total average debt balance </t>
  </si>
  <si>
    <t>Total interest expense</t>
  </si>
  <si>
    <t>Cash available for debt repayment</t>
  </si>
  <si>
    <t>Cash available for revolver</t>
  </si>
  <si>
    <t>Ending balance</t>
  </si>
  <si>
    <t>Additional drawdown</t>
  </si>
  <si>
    <t>UAL US</t>
  </si>
  <si>
    <t>Passenger revenue</t>
  </si>
  <si>
    <t>Cargo</t>
  </si>
  <si>
    <t>Other operating revenue</t>
  </si>
  <si>
    <t>Total operating revenue</t>
  </si>
  <si>
    <t>Salaries and related costs</t>
  </si>
  <si>
    <t>Aircraft fuel</t>
  </si>
  <si>
    <t>Landing fees and other rent</t>
  </si>
  <si>
    <t>Depreciation and amortization</t>
  </si>
  <si>
    <t>Regional capacity purchase</t>
  </si>
  <si>
    <t>Distribution expenses</t>
  </si>
  <si>
    <t>Aircraft rent</t>
  </si>
  <si>
    <t>Special charges (credits)</t>
  </si>
  <si>
    <t>Other operating expenses</t>
  </si>
  <si>
    <t>Operating income (loss)</t>
  </si>
  <si>
    <t>Interest expense</t>
  </si>
  <si>
    <t>Interest capitalized</t>
  </si>
  <si>
    <t>Interest income</t>
  </si>
  <si>
    <t>Miscellaneous, net</t>
  </si>
  <si>
    <t>Income (loss) before income taxes</t>
  </si>
  <si>
    <t>Income tax expense (benefit)</t>
  </si>
  <si>
    <t>Net income (loss)</t>
  </si>
  <si>
    <t>Aircraft maintenance materials and outside repairs</t>
  </si>
  <si>
    <t>Unrealized gains (losses) on investments, net</t>
  </si>
  <si>
    <t>Balance Sheet:</t>
  </si>
  <si>
    <t>Cash and cash equivalents</t>
  </si>
  <si>
    <t>Short-term investments</t>
  </si>
  <si>
    <t>Restricted cash</t>
  </si>
  <si>
    <t>Prepaid expenses and other</t>
  </si>
  <si>
    <t>Total current assets</t>
  </si>
  <si>
    <t>Total operating property and equipment, net</t>
  </si>
  <si>
    <t>Operating lease right-of-use assets</t>
  </si>
  <si>
    <t>Total assets</t>
  </si>
  <si>
    <t>Accounts payable</t>
  </si>
  <si>
    <t>Advance ticket sales</t>
  </si>
  <si>
    <t>Frequent flyer deferred revenue</t>
  </si>
  <si>
    <t>Current maturities of operating leases</t>
  </si>
  <si>
    <t>Current maturities of finance leases</t>
  </si>
  <si>
    <t>Other</t>
  </si>
  <si>
    <t>Total current liabilities</t>
  </si>
  <si>
    <t>Long-term obligations under operating leases</t>
  </si>
  <si>
    <t>Long-term obligations under finance leases</t>
  </si>
  <si>
    <t>Total stockholders' equity</t>
  </si>
  <si>
    <t>Total liabilities and stockholders' equity</t>
  </si>
  <si>
    <t>BS</t>
  </si>
  <si>
    <t>Total liabilities</t>
  </si>
  <si>
    <t>Asset Schedule:</t>
  </si>
  <si>
    <t>Intangibles</t>
  </si>
  <si>
    <t>Gross Intangibles</t>
  </si>
  <si>
    <t>Net Intangibles</t>
  </si>
  <si>
    <t>Additional capital invested</t>
  </si>
  <si>
    <t>Stock held in treasury, at cost</t>
  </si>
  <si>
    <t>Retained earnings</t>
  </si>
  <si>
    <t>Accumulated other comprehensive loss</t>
  </si>
  <si>
    <t>Common stock at par</t>
  </si>
  <si>
    <t>Cash Flow Statement:</t>
  </si>
  <si>
    <t>Net cash provided by (used in) operating activities</t>
  </si>
  <si>
    <t>Capital expenditures, net of flight equipment purchase deposit returns</t>
  </si>
  <si>
    <t>Net cash provided by (used in) investing activities</t>
  </si>
  <si>
    <t>Proceeds from issuance of debt, net of discounts and fees</t>
  </si>
  <si>
    <t>Payments of long-term debt, finance leases and other financing liabilities</t>
  </si>
  <si>
    <t>Net cash provided by financing activities</t>
  </si>
  <si>
    <t>Net increase in cash, cash equivalents and restricted cash</t>
  </si>
  <si>
    <t>Cash, cash equivalents and restricted cash at beginning of year</t>
  </si>
  <si>
    <t>Cash, cash equivalents and restricted cash at end of the period</t>
  </si>
  <si>
    <t>GAAP Income Statement:</t>
  </si>
  <si>
    <t>- Accumulated amortization</t>
  </si>
  <si>
    <t>Deferred income tax (benefit)</t>
  </si>
  <si>
    <t>Operating and non-operating special charges, non-cash portion</t>
  </si>
  <si>
    <t>Unrealized (gains) losses on investments</t>
  </si>
  <si>
    <t>Other operating activities</t>
  </si>
  <si>
    <t>Changes in operating assets and liabilities -</t>
  </si>
  <si>
    <t>Adjusted EBITDA</t>
  </si>
  <si>
    <t>Adj. EBITDA Reconciliation:</t>
  </si>
  <si>
    <t>Domestic</t>
  </si>
  <si>
    <t>Atlantic</t>
  </si>
  <si>
    <t>Pacific</t>
  </si>
  <si>
    <t>Latin America</t>
  </si>
  <si>
    <t>Consolidated</t>
  </si>
  <si>
    <t>Aircraft in fleet at end of period</t>
  </si>
  <si>
    <t>Average aircraft fuel price per gallon</t>
  </si>
  <si>
    <t>Fuel gallons consumed (millions)</t>
  </si>
  <si>
    <t>Operating expenses (GAAP)</t>
  </si>
  <si>
    <t>Fuel expense</t>
  </si>
  <si>
    <t>Operating income (loss) (GAAP)</t>
  </si>
  <si>
    <t>Operating expenses, excluding special charges (credits)</t>
  </si>
  <si>
    <t>Pre-tax income (loss) (GAAP)</t>
  </si>
  <si>
    <t>Net income (loss) (GAAP)</t>
  </si>
  <si>
    <t>Employee headcount (thousands)</t>
  </si>
  <si>
    <t>- Accumulated depreciation</t>
  </si>
  <si>
    <t>Receivables</t>
  </si>
  <si>
    <t>Ratio</t>
  </si>
  <si>
    <t>Aircraft fuel, spare parts and supplies</t>
  </si>
  <si>
    <t>DSO</t>
  </si>
  <si>
    <t>DPO</t>
  </si>
  <si>
    <t>DIO</t>
  </si>
  <si>
    <t>Other assets</t>
  </si>
  <si>
    <t>Advanced purchase of miles</t>
  </si>
  <si>
    <t>Other liabilities</t>
  </si>
  <si>
    <t>CF</t>
  </si>
  <si>
    <t>Amortization</t>
  </si>
  <si>
    <t>Depreciation</t>
  </si>
  <si>
    <t>Capex as a % of revenue</t>
  </si>
  <si>
    <t>Depreciation as a % of gross PPE</t>
  </si>
  <si>
    <t>Amortization as a % of gross Intangibles</t>
  </si>
  <si>
    <t>As a % of revenue</t>
  </si>
  <si>
    <t>.</t>
  </si>
  <si>
    <t>Available Seat Miles (billions)</t>
  </si>
  <si>
    <t>Revenue Passenger Miles (billions)</t>
  </si>
  <si>
    <t>Total Passenger revenue</t>
  </si>
  <si>
    <t>Total ASM</t>
  </si>
  <si>
    <t>ASM Growth (vs. 2019)</t>
  </si>
  <si>
    <t>Passenger Revenue per ASM (PRASM; cents)</t>
  </si>
  <si>
    <t xml:space="preserve">  Domestic</t>
  </si>
  <si>
    <t xml:space="preserve">  Latin America</t>
  </si>
  <si>
    <t xml:space="preserve">  Atlantic</t>
  </si>
  <si>
    <t xml:space="preserve">  Pacific</t>
  </si>
  <si>
    <t>Total PRASM</t>
  </si>
  <si>
    <t>PRASM Growth vs. 2019</t>
  </si>
  <si>
    <t>Passenger load factor</t>
  </si>
  <si>
    <t>Total Passenger load factor</t>
  </si>
  <si>
    <t>Passenger mile yield (cents)</t>
  </si>
  <si>
    <t>Total yield</t>
  </si>
  <si>
    <t>Passenger Revenue Build-up</t>
  </si>
  <si>
    <t>Cargo revenue</t>
  </si>
  <si>
    <t xml:space="preserve">Cargo revenue per ton mile </t>
  </si>
  <si>
    <t>YoY Growth</t>
  </si>
  <si>
    <t xml:space="preserve">  Cargo revenue ton mile</t>
  </si>
  <si>
    <t xml:space="preserve">  Cargo yield</t>
  </si>
  <si>
    <t xml:space="preserve">As a % of Passenger Revenue </t>
  </si>
  <si>
    <t>Cost Build-up</t>
  </si>
  <si>
    <t>Operating Costs</t>
  </si>
  <si>
    <t>Cost/ ASM YoY growth vs. 2019</t>
  </si>
  <si>
    <t>Effeciency (ASM/USG)</t>
  </si>
  <si>
    <t>Non GAAP Income Statement</t>
  </si>
  <si>
    <t>Gross Profit</t>
  </si>
  <si>
    <t>Adj. Miscellaneous, net</t>
  </si>
  <si>
    <t xml:space="preserve">  Adj. Miscellaneous, net</t>
  </si>
  <si>
    <t>Adj. EBITDA</t>
  </si>
  <si>
    <t>Adj. Interest expense</t>
  </si>
  <si>
    <t>Adj. EBIT</t>
  </si>
  <si>
    <t>Adj. EBITDA check</t>
  </si>
  <si>
    <t>Adj. EBT check</t>
  </si>
  <si>
    <t>Adj. EBT</t>
  </si>
  <si>
    <t>Adj. Income tax expense (benefit)</t>
  </si>
  <si>
    <t>Adj. Net income check</t>
  </si>
  <si>
    <t xml:space="preserve">Adj. Net income </t>
  </si>
  <si>
    <t>- Debt extinguishment and modification fees</t>
  </si>
  <si>
    <t>+ Special charges (credits)</t>
  </si>
  <si>
    <t>2022 - 2033</t>
  </si>
  <si>
    <t>MileagePlus Senior Secured Notes</t>
  </si>
  <si>
    <t>Other unsecured debt</t>
  </si>
  <si>
    <t>2030 - 2031</t>
  </si>
  <si>
    <t>2023 - 2029</t>
  </si>
  <si>
    <t xml:space="preserve">MileagePlus Term Loan Facility </t>
  </si>
  <si>
    <t>+ Unrealized (gains) losses on investments, net</t>
  </si>
  <si>
    <t>+ Debt extinguishment and modification fees</t>
  </si>
  <si>
    <t>+ Special termination benefits and settlement losses</t>
  </si>
  <si>
    <t>+ Credit loss on BRW term loan and guarantee</t>
  </si>
  <si>
    <t>+ Interest expense on ERJ 145 finance leases</t>
  </si>
  <si>
    <t>+ Income tax expense (benefit) on adjustments, net</t>
  </si>
  <si>
    <t>+ Special income tax adjustment</t>
  </si>
  <si>
    <t>- Special charges (credits)</t>
  </si>
  <si>
    <t>- Third-party business expenses</t>
  </si>
  <si>
    <t>- Fuel expense</t>
  </si>
  <si>
    <t>- Profit sharing</t>
  </si>
  <si>
    <t>- Special termination benefits and settlement losses</t>
  </si>
  <si>
    <t>- Credit loss on BRW term loan and guarantee</t>
  </si>
  <si>
    <t>- Interest expense on ERJ 145 finance leases</t>
  </si>
  <si>
    <t>+ Depreciation and amortization</t>
  </si>
  <si>
    <t>+ Interest expense, net of capitalized interest and interest income</t>
  </si>
  <si>
    <t>+ Income tax expense (benefit)</t>
  </si>
  <si>
    <t>+ Nonoperating unrealized (gains) losses on investments, net</t>
  </si>
  <si>
    <t>+ Nonoperating debt extinguishment and modification fees</t>
  </si>
  <si>
    <t>+ Nonoperating special termination benefits and settlement losses</t>
  </si>
  <si>
    <t>+ Nonoperating credit loss on BRW term loan and guarantee</t>
  </si>
  <si>
    <t>Source:</t>
  </si>
  <si>
    <t>EIA</t>
  </si>
  <si>
    <t>CME</t>
  </si>
  <si>
    <t xml:space="preserve">U.S. Gulf Coast Kerosene-Type </t>
  </si>
  <si>
    <t>Date</t>
  </si>
  <si>
    <t>Jet Fuel ($/USG)</t>
  </si>
  <si>
    <t>Average</t>
  </si>
  <si>
    <t>U.S. Gulf Coast - Kerosene Jet Fuel</t>
  </si>
  <si>
    <t>Cost differential</t>
  </si>
  <si>
    <t xml:space="preserve">  Salaries and related costs</t>
  </si>
  <si>
    <t xml:space="preserve">  Landing fees and other rent</t>
  </si>
  <si>
    <t xml:space="preserve">  Regional capacity purchase</t>
  </si>
  <si>
    <t xml:space="preserve">  Aircraft maintenance materials and outside repairs</t>
  </si>
  <si>
    <t xml:space="preserve">  Aircraft rent</t>
  </si>
  <si>
    <t xml:space="preserve">  Other operating expenses</t>
  </si>
  <si>
    <t>Implied rate</t>
  </si>
  <si>
    <t xml:space="preserve">  Effective tax rate</t>
  </si>
  <si>
    <t>Common Size Non GAAP Income Statement</t>
  </si>
  <si>
    <t>Other Revenue Build-up</t>
  </si>
  <si>
    <t xml:space="preserve">  Long-term debt</t>
  </si>
  <si>
    <t xml:space="preserve">  Current maturities of long-term debt</t>
  </si>
  <si>
    <t>Total operating leases</t>
  </si>
  <si>
    <t>Total finance leases</t>
  </si>
  <si>
    <t>Basic weighted-average shares outstanding</t>
  </si>
  <si>
    <t>Diluted weighted-average shares outstanding</t>
  </si>
  <si>
    <t>Basic EPS</t>
  </si>
  <si>
    <t>Diluted EPS</t>
  </si>
  <si>
    <t>Mainline:</t>
  </si>
  <si>
    <t>777-300ER</t>
  </si>
  <si>
    <t>777-200ER</t>
  </si>
  <si>
    <t>777-200</t>
  </si>
  <si>
    <t>787-10</t>
  </si>
  <si>
    <t>787-9</t>
  </si>
  <si>
    <t>787-8</t>
  </si>
  <si>
    <t>767-400ER</t>
  </si>
  <si>
    <t>767-300ER</t>
  </si>
  <si>
    <t>757-300</t>
  </si>
  <si>
    <t>757-200</t>
  </si>
  <si>
    <t>737 MAX 9</t>
  </si>
  <si>
    <t>737 MAX 8</t>
  </si>
  <si>
    <t>737-900ER</t>
  </si>
  <si>
    <t>737-900</t>
  </si>
  <si>
    <t>737-800</t>
  </si>
  <si>
    <t>737-700</t>
  </si>
  <si>
    <t>A320-200</t>
  </si>
  <si>
    <t>A319-100</t>
  </si>
  <si>
    <t>Total mainline</t>
  </si>
  <si>
    <t>Owned</t>
  </si>
  <si>
    <t>Leased</t>
  </si>
  <si>
    <t>&lt;200 new orders</t>
  </si>
  <si>
    <t>&lt; 70 new A321 neo</t>
  </si>
  <si>
    <t>Existing Fleet as of 31st December 2021</t>
  </si>
  <si>
    <t>Firm Orders for new aircrafts</t>
  </si>
  <si>
    <t>Airbus A321XLR</t>
  </si>
  <si>
    <t>Airbus A321neo</t>
  </si>
  <si>
    <t>Airbus A350</t>
  </si>
  <si>
    <t>Boeing 737 MAX</t>
  </si>
  <si>
    <t>Boeing 787</t>
  </si>
  <si>
    <t>Aircraft Type</t>
  </si>
  <si>
    <t>2023 - 2030</t>
  </si>
  <si>
    <t>Commitments</t>
  </si>
  <si>
    <t xml:space="preserve">Seats </t>
  </si>
  <si>
    <t xml:space="preserve">  Distribution expenses</t>
  </si>
  <si>
    <t xml:space="preserve">  Depreciation and amortization</t>
  </si>
  <si>
    <t>Total Operating Costs</t>
  </si>
  <si>
    <t>Profit Sharing</t>
  </si>
  <si>
    <t>Profit sharing</t>
  </si>
  <si>
    <t>Operating profit</t>
  </si>
  <si>
    <t>Profit sharing payment</t>
  </si>
  <si>
    <t>% of operating profit</t>
  </si>
  <si>
    <t>Salaries, ex profit sharing</t>
  </si>
  <si>
    <t>Annualized salary</t>
  </si>
  <si>
    <t xml:space="preserve">  Annualized salary</t>
  </si>
  <si>
    <t xml:space="preserve">  Employee headcount </t>
  </si>
  <si>
    <t>YoY growth (vs. 2019)</t>
  </si>
  <si>
    <r>
      <t xml:space="preserve">  Effeciency (ASM/USG) </t>
    </r>
    <r>
      <rPr>
        <b/>
        <i/>
        <sz val="8"/>
        <color theme="1"/>
        <rFont val="Calibri"/>
        <family val="2"/>
        <scheme val="minor"/>
      </rPr>
      <t>Growth (vs. 2019)</t>
    </r>
  </si>
  <si>
    <t>CASM, ex Fuel</t>
  </si>
  <si>
    <t>Month</t>
  </si>
  <si>
    <t>International</t>
  </si>
  <si>
    <t>Consumption</t>
  </si>
  <si>
    <t>(million gallons)</t>
  </si>
  <si>
    <t>Cost per Gallon</t>
  </si>
  <si>
    <t>(dollars)</t>
  </si>
  <si>
    <t>( dollars)</t>
  </si>
  <si>
    <t>Airline Fuel Cost and Consumption (U.S. Carriers - Scheduled)</t>
  </si>
  <si>
    <t>Source: Bureau of Transportation Statistics</t>
  </si>
  <si>
    <t>Period</t>
  </si>
  <si>
    <t>ASM (billions)</t>
  </si>
  <si>
    <t>ASM (Quarterly)</t>
  </si>
  <si>
    <t>System ASM</t>
  </si>
  <si>
    <t>ASM (Annual)</t>
  </si>
  <si>
    <t>Market share</t>
  </si>
  <si>
    <t>RPM (billions)</t>
  </si>
  <si>
    <t>RPM (Quarterly)</t>
  </si>
  <si>
    <t>RPM (Annual)</t>
  </si>
  <si>
    <t>System RPM</t>
  </si>
  <si>
    <t>FY2022</t>
  </si>
  <si>
    <t>Non-GAAP Reconciliation:</t>
  </si>
  <si>
    <t>CASM</t>
  </si>
  <si>
    <t>Adj. net income</t>
  </si>
  <si>
    <t>Adj. pre-tax income</t>
  </si>
  <si>
    <t>Adj. operating income (loss) (Non- GAAP)</t>
  </si>
  <si>
    <t>Adj. operating expenses (Non-GAAP)</t>
  </si>
  <si>
    <t xml:space="preserve">  Restricted cash</t>
  </si>
  <si>
    <t>Interest Income</t>
  </si>
  <si>
    <t>Cash, restricted cash and short term investment</t>
  </si>
  <si>
    <t>Jet Fuel Price ($/USG)</t>
  </si>
  <si>
    <t>Fuel expense/ ASM</t>
  </si>
  <si>
    <t>Revenue/ ASM</t>
  </si>
  <si>
    <t>Jet Fuel Expense</t>
  </si>
  <si>
    <t>Airline Fuel Price/ gallon</t>
  </si>
  <si>
    <t xml:space="preserve">U.S. Gulf Coast Jet Fuel </t>
  </si>
  <si>
    <t>Operating Profit</t>
  </si>
  <si>
    <t>Operating Profit Margin</t>
  </si>
  <si>
    <t>Operating expenses, ex Fuel</t>
  </si>
  <si>
    <t>Operating Profit/ ASM</t>
  </si>
  <si>
    <t>Total Revenue</t>
  </si>
  <si>
    <t>Capacity (ASM) (billions)</t>
  </si>
  <si>
    <t>Capacity (CTM) (millions)</t>
  </si>
  <si>
    <t>Cargo ton miles (millions)</t>
  </si>
  <si>
    <t>Industry Fuel Cost</t>
  </si>
  <si>
    <t>Quarterly</t>
  </si>
  <si>
    <t xml:space="preserve">Annual </t>
  </si>
  <si>
    <t>Industry differential to benchmark</t>
  </si>
  <si>
    <t>UAL differential to Industry</t>
  </si>
  <si>
    <t>Total Yield growth</t>
  </si>
  <si>
    <t>Total change</t>
  </si>
  <si>
    <t xml:space="preserve">  Price</t>
  </si>
  <si>
    <t xml:space="preserve">  Intercept</t>
  </si>
  <si>
    <t>YoY change (vs. 2019)</t>
  </si>
  <si>
    <t>Fuel cost change bridge (vs. 2019)</t>
  </si>
  <si>
    <t>Revenue Mix</t>
  </si>
  <si>
    <t xml:space="preserve">  Effeciency (ASM/USG)</t>
  </si>
  <si>
    <t xml:space="preserve">  ASM</t>
  </si>
  <si>
    <t>Operating cost, ex-Fuel</t>
  </si>
  <si>
    <t>+ Change in WC</t>
  </si>
  <si>
    <t>Average revenue payload (tons)</t>
  </si>
  <si>
    <t>Average seats</t>
  </si>
  <si>
    <t xml:space="preserve">Age </t>
  </si>
  <si>
    <t xml:space="preserve">  Freighters</t>
  </si>
  <si>
    <t xml:space="preserve">  Passenger</t>
  </si>
  <si>
    <t>Revenue from a 800 mile flight (in $)</t>
  </si>
  <si>
    <t xml:space="preserve">  Passenger mile yield (cents)</t>
  </si>
  <si>
    <t xml:space="preserve">  Passenger load factor</t>
  </si>
  <si>
    <t>Passenger revenue change bridge (vs. 2019)</t>
  </si>
  <si>
    <t xml:space="preserve">  Frequent flyer deferred revenue</t>
  </si>
  <si>
    <t xml:space="preserve">  Pension liability</t>
  </si>
  <si>
    <t xml:space="preserve">  Postretirement benefit liability</t>
  </si>
  <si>
    <t xml:space="preserve">  Deferred income taxes</t>
  </si>
  <si>
    <t xml:space="preserve">  Other financial liabilities from sale-leasebacks</t>
  </si>
  <si>
    <t xml:space="preserve">  Other</t>
  </si>
  <si>
    <t xml:space="preserve">  Goodwill</t>
  </si>
  <si>
    <t xml:space="preserve">  Notes receivable</t>
  </si>
  <si>
    <t xml:space="preserve">  Investments in affiliates and other, net</t>
  </si>
  <si>
    <t>Other investing activties</t>
  </si>
  <si>
    <t xml:space="preserve">  Purchases of short-term and other investments</t>
  </si>
  <si>
    <t xml:space="preserve">  Proceeds from sale of short-term and other investments</t>
  </si>
  <si>
    <t xml:space="preserve">  Proceeds from sale of property and equipment</t>
  </si>
  <si>
    <t xml:space="preserve">  Loans made to others</t>
  </si>
  <si>
    <t xml:space="preserve">  Investment in affiliates</t>
  </si>
  <si>
    <t xml:space="preserve">  Other, net</t>
  </si>
  <si>
    <t>Other financing activties</t>
  </si>
  <si>
    <t xml:space="preserve">  Repurchases of common stock</t>
  </si>
  <si>
    <t xml:space="preserve">  Proceeds from equity issuance</t>
  </si>
  <si>
    <t>Market and Carrier Fare Information</t>
  </si>
  <si>
    <t>Third Quarter 2021</t>
  </si>
  <si>
    <t>Top 1,000 Contiguous State City-Pair Markets</t>
  </si>
  <si>
    <t>Market Data</t>
  </si>
  <si>
    <t>Largest Carrier</t>
  </si>
  <si>
    <t>Lowest Fare Carrier 1/</t>
  </si>
  <si>
    <t>Nonstop Distance</t>
  </si>
  <si>
    <t>Psgrs Per Day</t>
  </si>
  <si>
    <t>Average Each Way Fare</t>
  </si>
  <si>
    <t>Carrier</t>
  </si>
  <si>
    <t>Percent Market Share</t>
  </si>
  <si>
    <t>Average Each Way Fare 2/</t>
  </si>
  <si>
    <t>Percent
Market
Share</t>
  </si>
  <si>
    <t>Average 
Each Way Fare 2/</t>
  </si>
  <si>
    <t>Distance Block - 101-150 miles</t>
  </si>
  <si>
    <t>AS</t>
  </si>
  <si>
    <t>Alaska</t>
  </si>
  <si>
    <t>Portland, OR</t>
  </si>
  <si>
    <t>Seattle, WA</t>
  </si>
  <si>
    <t>3M</t>
  </si>
  <si>
    <t>Silver Airways</t>
  </si>
  <si>
    <t>AA</t>
  </si>
  <si>
    <t>American</t>
  </si>
  <si>
    <t>Distance Block - 151-200 miles</t>
  </si>
  <si>
    <t>B6</t>
  </si>
  <si>
    <t>JetBlue Airways</t>
  </si>
  <si>
    <t>Boston, MA (Metropolitan Area)</t>
  </si>
  <si>
    <t>New York City, NY (Metropolitan Area)</t>
  </si>
  <si>
    <t>UA</t>
  </si>
  <si>
    <t>DL</t>
  </si>
  <si>
    <t>Delta</t>
  </si>
  <si>
    <t/>
  </si>
  <si>
    <t>G4</t>
  </si>
  <si>
    <t>Allegiant Air</t>
  </si>
  <si>
    <t>Martha's Vineyard, MA</t>
  </si>
  <si>
    <t>New York City, NY
(Metropolitan Area)</t>
  </si>
  <si>
    <t>NK</t>
  </si>
  <si>
    <t>Spirit</t>
  </si>
  <si>
    <t>Austin, TX</t>
  </si>
  <si>
    <t>Dallas/Fort Worth, TX</t>
  </si>
  <si>
    <t>WN</t>
  </si>
  <si>
    <t>SY</t>
  </si>
  <si>
    <t>Sun Country</t>
  </si>
  <si>
    <t>Miami, FL (Metropolitan
Area)</t>
  </si>
  <si>
    <t>Orlando, FL</t>
  </si>
  <si>
    <t>F9</t>
  </si>
  <si>
    <t>United</t>
  </si>
  <si>
    <t>SouthWest</t>
  </si>
  <si>
    <t>Distance Block - 201-250 miles</t>
  </si>
  <si>
    <t>Atlanta, GA (Metropolitan
Area)</t>
  </si>
  <si>
    <t>Charlotte, NC</t>
  </si>
  <si>
    <t>Washington, DC(Metropolitan Area)</t>
  </si>
  <si>
    <t>Syracuse, NY</t>
  </si>
  <si>
    <t>San Antonio, TX</t>
  </si>
  <si>
    <t>Nantucket, MA</t>
  </si>
  <si>
    <t>Houston, TX</t>
  </si>
  <si>
    <t>Chicago, IL</t>
  </si>
  <si>
    <t>Detroit, MI</t>
  </si>
  <si>
    <t>Nashville, TN</t>
  </si>
  <si>
    <t>Tulsa, OK</t>
  </si>
  <si>
    <t>Bend/Redmond, OR</t>
  </si>
  <si>
    <t>Spokane, WA</t>
  </si>
  <si>
    <t>Miami, FL (Metropolitan Area)</t>
  </si>
  <si>
    <t>Tampa, FL (Metropolitan Area)</t>
  </si>
  <si>
    <t>Las Vegas, NV</t>
  </si>
  <si>
    <t>Los Angeles, CA
(Metropolitan Area)</t>
  </si>
  <si>
    <t>Distance Block - 251-300 miles</t>
  </si>
  <si>
    <t>Milwaukee, WI</t>
  </si>
  <si>
    <t>Minneapolis/St. Paul, MN</t>
  </si>
  <si>
    <t>Charleston, SC</t>
  </si>
  <si>
    <t>Rochester, NY</t>
  </si>
  <si>
    <t>Boston, MA (Metropolitan
Area)</t>
  </si>
  <si>
    <t>Philadelphia, PA</t>
  </si>
  <si>
    <t>Portland, ME</t>
  </si>
  <si>
    <t>Washington, DC
(Metropolitan Area)</t>
  </si>
  <si>
    <t>Jacksonville, FL</t>
  </si>
  <si>
    <t>Raleigh/Durham, NC</t>
  </si>
  <si>
    <t>Columbus, OH</t>
  </si>
  <si>
    <t>Buffalo, NY</t>
  </si>
  <si>
    <t>Washington, DC (Metropolitan Area)</t>
  </si>
  <si>
    <t>Cincinnati, OH</t>
  </si>
  <si>
    <t>St. Louis, MO</t>
  </si>
  <si>
    <t>Lubbock, TX</t>
  </si>
  <si>
    <t>Louisville, KY</t>
  </si>
  <si>
    <t>San Francisco, CA (Metropolitan Area)</t>
  </si>
  <si>
    <t>Santa Barbara, CA</t>
  </si>
  <si>
    <t>Boise, ID</t>
  </si>
  <si>
    <t>San Diego, CA</t>
  </si>
  <si>
    <t>Phoenix, AZ</t>
  </si>
  <si>
    <t>Fresno, CA</t>
  </si>
  <si>
    <t>Distance Block - 301-350 miles</t>
  </si>
  <si>
    <t>Albany, NY</t>
  </si>
  <si>
    <t>Richmond, VA</t>
  </si>
  <si>
    <t>Albuquerque, NM</t>
  </si>
  <si>
    <t>Norfolk, VA (Metropolitan Area)</t>
  </si>
  <si>
    <t>Hartford, CT</t>
  </si>
  <si>
    <t>Cleveland, OH (Metropolitan Area)</t>
  </si>
  <si>
    <t>Midland/Odessa, TX</t>
  </si>
  <si>
    <t>Atlanta, GA (Metropolitan Area)</t>
  </si>
  <si>
    <t>Denver, CO</t>
  </si>
  <si>
    <t>Little Rock, AR</t>
  </si>
  <si>
    <t>Memphis, TN</t>
  </si>
  <si>
    <t>Amarillo, TX</t>
  </si>
  <si>
    <t>El Paso, TX</t>
  </si>
  <si>
    <t>Jackson/Vicksburg, MS</t>
  </si>
  <si>
    <t>Reno, NV</t>
  </si>
  <si>
    <t>New Orleans, LA</t>
  </si>
  <si>
    <t>Distance Block - 351-400 miles</t>
  </si>
  <si>
    <t>Kansas City, MO</t>
  </si>
  <si>
    <t>Pittsburgh, PA</t>
  </si>
  <si>
    <t>Tucson, AZ</t>
  </si>
  <si>
    <t>Sacramento, CA</t>
  </si>
  <si>
    <t>Los Angeles, CA (Metropolitan Area)</t>
  </si>
  <si>
    <t>Myrtle Beach, SC</t>
  </si>
  <si>
    <t>Salt Lake City, UT</t>
  </si>
  <si>
    <t>Medford, OR</t>
  </si>
  <si>
    <t>Stockton, CA</t>
  </si>
  <si>
    <t>Distance Block - 401-450 miles</t>
  </si>
  <si>
    <t>Burlington, VT</t>
  </si>
  <si>
    <t>Grand Rapids, MI</t>
  </si>
  <si>
    <t>Indianapolis, IN</t>
  </si>
  <si>
    <t>Tallahassee, FL</t>
  </si>
  <si>
    <t>Santa Rosa, CA</t>
  </si>
  <si>
    <t>Oklahoma City, OK</t>
  </si>
  <si>
    <t xml:space="preserve">Distance Block - 401-450 miles </t>
  </si>
  <si>
    <t>Greenville/Spartanburg, SC</t>
  </si>
  <si>
    <t>Omaha, NE</t>
  </si>
  <si>
    <t>Palm Springs, CA</t>
  </si>
  <si>
    <t>Panama City, FL</t>
  </si>
  <si>
    <t xml:space="preserve">San Francisco, CA (Metropolitan Area) </t>
  </si>
  <si>
    <t xml:space="preserve">Tampa, FL (Metropolitan Area) </t>
  </si>
  <si>
    <t xml:space="preserve">Atlanta, GA (Metropolitan Area) </t>
  </si>
  <si>
    <t>Sarasota/Bradenton, FL</t>
  </si>
  <si>
    <t xml:space="preserve">Los Angeles, CA (Metropolitan Area) </t>
  </si>
  <si>
    <t xml:space="preserve">Distance Block - 451-500 miles </t>
  </si>
  <si>
    <t xml:space="preserve">Boston, MA (Metropolitan Area) </t>
  </si>
  <si>
    <t xml:space="preserve">Norfolk, VA (Metropolitan Area) </t>
  </si>
  <si>
    <t xml:space="preserve">Cleveland, OH(Metropolitan Area) </t>
  </si>
  <si>
    <t xml:space="preserve">New York City, NY (Metropolitan Area) </t>
  </si>
  <si>
    <t>Greensboro/High Point, NC</t>
  </si>
  <si>
    <t>Distance Block - 451-500 miles</t>
  </si>
  <si>
    <t>Knoxville, TN</t>
  </si>
  <si>
    <t>Eugene, OR</t>
  </si>
  <si>
    <t>Birmingham, AL</t>
  </si>
  <si>
    <t>Harlingen/San Benito, TX</t>
  </si>
  <si>
    <t>Pensacola, FL</t>
  </si>
  <si>
    <t>Distance Block - 501-550 miles</t>
  </si>
  <si>
    <t>Wilmington, NC</t>
  </si>
  <si>
    <t>West Palm Beach/Palm Beach, FL</t>
  </si>
  <si>
    <t>Fort Myers, FL</t>
  </si>
  <si>
    <t>Savannah, GA</t>
  </si>
  <si>
    <t>Bozeman, MT</t>
  </si>
  <si>
    <t>Asheville, NC</t>
  </si>
  <si>
    <t>Distance Block - 551-600 miles</t>
  </si>
  <si>
    <t>Boston, MA (Metropolitan</t>
  </si>
  <si>
    <t>Cleveland, OH (Metropolitan</t>
  </si>
  <si>
    <t>Des Moines, IA</t>
  </si>
  <si>
    <t>Colorado Springs, CO</t>
  </si>
  <si>
    <t>Valparaiso, FL</t>
  </si>
  <si>
    <t>Belleville, IL</t>
  </si>
  <si>
    <t>Distance Block - 601-650 miles</t>
  </si>
  <si>
    <t>Huntsville, AL</t>
  </si>
  <si>
    <t>Key West, FL</t>
  </si>
  <si>
    <t>New York City, NY</t>
  </si>
  <si>
    <t>Distance Block - 651-700 miles</t>
  </si>
  <si>
    <t>Traverse City, MI</t>
  </si>
  <si>
    <t>Cedar Rapids/Iowa City, IA</t>
  </si>
  <si>
    <t>Distance Block - 701-750 miles</t>
  </si>
  <si>
    <t xml:space="preserve">Minneapolis/St. Paul, MN </t>
  </si>
  <si>
    <t>Atlanta. GA (Metropolitan Area)</t>
  </si>
  <si>
    <t xml:space="preserve">Louisville, KY            </t>
  </si>
  <si>
    <t xml:space="preserve"> Tampa, FL (Metropolitan Area) </t>
  </si>
  <si>
    <t>Distance Block - 751-800 miles</t>
  </si>
  <si>
    <t>Jackson, WY</t>
  </si>
  <si>
    <t>Distance Block - 801-850 miles</t>
  </si>
  <si>
    <t>Madison, WI</t>
  </si>
  <si>
    <t>Distance Block - 851-900 miles</t>
  </si>
  <si>
    <t>Springfield, MO</t>
  </si>
  <si>
    <t>Trenton, NJ</t>
  </si>
  <si>
    <t>Allentown/Bethlehem/Easto n, PA</t>
  </si>
  <si>
    <t>Sanford, FL</t>
  </si>
  <si>
    <t>Atlantic City, NJ</t>
  </si>
  <si>
    <t>Distance Block - 901-950 miles</t>
  </si>
  <si>
    <t>Missoula, MT</t>
  </si>
  <si>
    <t>Miami, FL (Metropolitan</t>
  </si>
  <si>
    <t>Washington, DC</t>
  </si>
  <si>
    <t>Area)</t>
  </si>
  <si>
    <t>(Metropolitan Area)</t>
  </si>
  <si>
    <t>Distance Block - 951-1000 miles</t>
  </si>
  <si>
    <t>San Antonio. TX</t>
  </si>
  <si>
    <t>Allentown/Bethlehem/Easton, PA</t>
  </si>
  <si>
    <t>Distance Block - 1001-1050 miles</t>
  </si>
  <si>
    <t>Kalispell, MT</t>
  </si>
  <si>
    <t>Distance Block - 1051-1100 miles</t>
  </si>
  <si>
    <t>Sioux Falls, SD</t>
  </si>
  <si>
    <t>Distance Block - 1101-1200 miles</t>
  </si>
  <si>
    <t>New York City, NY(Metropolitan Area)</t>
  </si>
  <si>
    <t xml:space="preserve">Distance Block - 1101-1200 miles         </t>
  </si>
  <si>
    <t xml:space="preserve">Chicago, IL       </t>
  </si>
  <si>
    <t xml:space="preserve">Distance Block - 1201-1300 miles </t>
  </si>
  <si>
    <t xml:space="preserve">Albuquerque, NM         </t>
  </si>
  <si>
    <t>Wichita, KS</t>
  </si>
  <si>
    <t xml:space="preserve">Cleveland, OH (Metropolitan Area) </t>
  </si>
  <si>
    <t>Los Angeles, CA</t>
  </si>
  <si>
    <t>(Metropolitan Area) Houston, TX</t>
  </si>
  <si>
    <t>Distance Block - 1201-1300 miles</t>
  </si>
  <si>
    <t>Mission/McAllen/Edinburg, TX</t>
  </si>
  <si>
    <t>Fargo, ND</t>
  </si>
  <si>
    <t>Distance Block - 1301-1400 miles</t>
  </si>
  <si>
    <t>Distance Block - 1401-1500 miles</t>
  </si>
  <si>
    <t xml:space="preserve">San Antonio. TX          </t>
  </si>
  <si>
    <t xml:space="preserve">Savannah, GA </t>
  </si>
  <si>
    <t xml:space="preserve">Washington, DC (Metropolitan Area) </t>
  </si>
  <si>
    <t>Distance Block - 1501-1600 miles</t>
  </si>
  <si>
    <t xml:space="preserve">Colorado Springs, CO     </t>
  </si>
  <si>
    <t xml:space="preserve">Washington, DC(Metropolitan Area) </t>
  </si>
  <si>
    <t>Atlanta, GA (Metropolitan</t>
  </si>
  <si>
    <t>Area) Boston, MA (Metropolitan</t>
  </si>
  <si>
    <t>Area) San Diego, CA</t>
  </si>
  <si>
    <t xml:space="preserve">Miami, FL (Metropolitan Area) </t>
  </si>
  <si>
    <t xml:space="preserve">Distance Block - 1601-1700 miles </t>
  </si>
  <si>
    <t>Distance Block - 1601-1700 miles</t>
  </si>
  <si>
    <t>Distance Block - 1701-1800 miles</t>
  </si>
  <si>
    <t>Distance Block - 1801-1900 miles</t>
  </si>
  <si>
    <t xml:space="preserve">Distance Block - 1801-1900 miles </t>
  </si>
  <si>
    <t xml:space="preserve">Distance Block - 1901-2000 miles </t>
  </si>
  <si>
    <t>Distance Block - 1901-2000 miles</t>
  </si>
  <si>
    <t>Distance Block - 2001-2200 miles</t>
  </si>
  <si>
    <t xml:space="preserve">San Diego, CA           </t>
  </si>
  <si>
    <t>Area) Seattle, WA</t>
  </si>
  <si>
    <t xml:space="preserve">Distance Block - 2201-2400 miles </t>
  </si>
  <si>
    <t>Distance Block - 2201-2400 miles</t>
  </si>
  <si>
    <t>Distance Block - More than 2400 miles</t>
  </si>
  <si>
    <t>Source: U.S. Department of Transportation Office of Aviation Analysis</t>
  </si>
  <si>
    <t>Property and equipment, gross</t>
  </si>
  <si>
    <t>Property and equipment, net</t>
  </si>
  <si>
    <t>Cash conversion cycle</t>
  </si>
  <si>
    <t>Yield Growth (vs. 2019)</t>
  </si>
  <si>
    <t>AAL US</t>
  </si>
  <si>
    <t>GAAP Income Statements:</t>
  </si>
  <si>
    <t>Passenger</t>
  </si>
  <si>
    <t>Total operating revenues</t>
  </si>
  <si>
    <t>Aircraft fuel and related taxes</t>
  </si>
  <si>
    <t>Salaries, wages and benefits</t>
  </si>
  <si>
    <t>Regional expenses</t>
  </si>
  <si>
    <t>Maintenance, materials and repairs</t>
  </si>
  <si>
    <t>Other rent and landing fees</t>
  </si>
  <si>
    <t>Selling expenses</t>
  </si>
  <si>
    <t>Special items, net</t>
  </si>
  <si>
    <t>Interest expense, net</t>
  </si>
  <si>
    <t>Other income, net</t>
  </si>
  <si>
    <t>Income tax provision (benefit)</t>
  </si>
  <si>
    <t>Basic: EPS</t>
  </si>
  <si>
    <t>Diluted: EPS</t>
  </si>
  <si>
    <t>Basic: Weighted average shares o/s</t>
  </si>
  <si>
    <t>Diluted: Weighted average shares o/s</t>
  </si>
  <si>
    <t>Cash dividends declared per common share</t>
  </si>
  <si>
    <t>Reconciliations of GAAP to Non-GAAP Measures</t>
  </si>
  <si>
    <t>Operating expenses</t>
  </si>
  <si>
    <t>- Operating special items, net</t>
  </si>
  <si>
    <t>Mainline</t>
  </si>
  <si>
    <t>Regional</t>
  </si>
  <si>
    <t xml:space="preserve">- Aircraft fuel and related taxes </t>
  </si>
  <si>
    <t>Total operating expenses, ex special items and fuel</t>
  </si>
  <si>
    <t>Operating special items, net</t>
  </si>
  <si>
    <t>Nonoperating special items, net</t>
  </si>
  <si>
    <t>Pre-tax loss excluding net special items</t>
  </si>
  <si>
    <t>Total pre-tax net special items</t>
  </si>
  <si>
    <t>Net tax effect of net special items</t>
  </si>
  <si>
    <t>Net loss excluding net special items</t>
  </si>
  <si>
    <t>Special Items, Net</t>
  </si>
  <si>
    <t>PSP Financial Assistance</t>
  </si>
  <si>
    <t>PSP2 Financial Assistance</t>
  </si>
  <si>
    <t>Severance expenses</t>
  </si>
  <si>
    <t>Mark-to-market adjustments on bankruptcy obligations, net</t>
  </si>
  <si>
    <t>Fleet impairment</t>
  </si>
  <si>
    <t>Fleet restructuring expenses</t>
  </si>
  <si>
    <t>Litigation reserve adjustments</t>
  </si>
  <si>
    <t>Merger integration expenses</t>
  </si>
  <si>
    <t>Intangible asset impairment</t>
  </si>
  <si>
    <t>Labor contract expenses</t>
  </si>
  <si>
    <t>Employee 2017 Tax Act bonus expense</t>
  </si>
  <si>
    <t>Other operating special items, net</t>
  </si>
  <si>
    <t>Mainline operating special items, net</t>
  </si>
  <si>
    <t>Regional pilot retention program</t>
  </si>
  <si>
    <t>Regional operating special items, net</t>
  </si>
  <si>
    <t>Mark-to-market adjustments on equity and other investments, net</t>
  </si>
  <si>
    <t>Debt refinancing, extinguishment and other, net</t>
  </si>
  <si>
    <t>Capital expenditures</t>
  </si>
  <si>
    <t>Balance Sheets:</t>
  </si>
  <si>
    <t>Accounts receivable, net</t>
  </si>
  <si>
    <t>Aircraft fuel, spare parts and supplies, net</t>
  </si>
  <si>
    <t>Goodwill</t>
  </si>
  <si>
    <t>Deferred tax asset</t>
  </si>
  <si>
    <t>Accrued salaries and wages</t>
  </si>
  <si>
    <t>Air traffic liability</t>
  </si>
  <si>
    <t>Loyalty program liability</t>
  </si>
  <si>
    <t>Other accrued liabilities</t>
  </si>
  <si>
    <t xml:space="preserve">  Long-term debt </t>
  </si>
  <si>
    <t xml:space="preserve">  Current maturities of long-term debt </t>
  </si>
  <si>
    <t xml:space="preserve">  Finance leases</t>
  </si>
  <si>
    <t xml:space="preserve">  Current maturities finance leases</t>
  </si>
  <si>
    <t>Total operating lease liabilities</t>
  </si>
  <si>
    <t xml:space="preserve">  Operating lease liabilities</t>
  </si>
  <si>
    <t xml:space="preserve">  Operating lease liabilities - Current</t>
  </si>
  <si>
    <t>Pension and postretirement benefits</t>
  </si>
  <si>
    <t>Total noncurrent liabilities</t>
  </si>
  <si>
    <t>Common stock</t>
  </si>
  <si>
    <t>Additional paid-in capital</t>
  </si>
  <si>
    <t>Retained deficit</t>
  </si>
  <si>
    <t>Total stockholders’ deficit</t>
  </si>
  <si>
    <t>Total liabilities and stockholders’ equity (deficit)</t>
  </si>
  <si>
    <t>Asset Schedule</t>
  </si>
  <si>
    <t>Flight equipment</t>
  </si>
  <si>
    <t>Ground property and equipment</t>
  </si>
  <si>
    <t>Equipment purchase deposits</t>
  </si>
  <si>
    <t>Total property and equipment, at cost</t>
  </si>
  <si>
    <t>- Accumulated depreciation and amortization</t>
  </si>
  <si>
    <t>Total property and equipment, net</t>
  </si>
  <si>
    <t>Capital expenditure</t>
  </si>
  <si>
    <t>Beginning Intangibles</t>
  </si>
  <si>
    <t>Ending Intangibles</t>
  </si>
  <si>
    <t xml:space="preserve">  Amortization</t>
  </si>
  <si>
    <t>Ratios</t>
  </si>
  <si>
    <t>Cash Cycle</t>
  </si>
  <si>
    <t xml:space="preserve">  Other assets</t>
  </si>
  <si>
    <t xml:space="preserve">  Accrued liabilities</t>
  </si>
  <si>
    <t xml:space="preserve">  Loyalty program liability</t>
  </si>
  <si>
    <t xml:space="preserve">  Other liabilities</t>
  </si>
  <si>
    <t xml:space="preserve">  Air traffic liability</t>
  </si>
  <si>
    <t>Share based compensation</t>
  </si>
  <si>
    <t>Cash balance</t>
  </si>
  <si>
    <t>Implied interest income rate</t>
  </si>
  <si>
    <t>Cash Flow Statements:</t>
  </si>
  <si>
    <t>Net income</t>
  </si>
  <si>
    <t>Share-based compensation</t>
  </si>
  <si>
    <t>Debt discount and lease amortization</t>
  </si>
  <si>
    <t>Special items, non-cash</t>
  </si>
  <si>
    <t>Pension and postretirement</t>
  </si>
  <si>
    <t>Deferred income tax provision</t>
  </si>
  <si>
    <t>Other, net</t>
  </si>
  <si>
    <t>Changes in operating assets and liabilities:</t>
  </si>
  <si>
    <t xml:space="preserve">  Accounts receivable</t>
  </si>
  <si>
    <t xml:space="preserve">  Accounts payable and accrued liabilities</t>
  </si>
  <si>
    <t xml:space="preserve">  Contributions to pension plans</t>
  </si>
  <si>
    <t>Capital expenditures, net of aircraft purchase deposit returns</t>
  </si>
  <si>
    <t>Other investing activities</t>
  </si>
  <si>
    <t xml:space="preserve">  Proceeds from sale-leaseback transactions</t>
  </si>
  <si>
    <t xml:space="preserve">  Purchases of short-term investments</t>
  </si>
  <si>
    <t xml:space="preserve">  Sales of short-term investments</t>
  </si>
  <si>
    <t xml:space="preserve">  Purchase of equity investment</t>
  </si>
  <si>
    <t xml:space="preserve">  Proceeds on sale of equity investment</t>
  </si>
  <si>
    <t xml:space="preserve">  Proceeds from vendor</t>
  </si>
  <si>
    <t xml:space="preserve">  Other investing activities</t>
  </si>
  <si>
    <t>Net cash used in investing activities</t>
  </si>
  <si>
    <t>Proceeds from issuance of long-term debt</t>
  </si>
  <si>
    <t>Payments on long-term debt and finance leases</t>
  </si>
  <si>
    <t>Proceeds from issuance of equity</t>
  </si>
  <si>
    <t>Deferred financing costs</t>
  </si>
  <si>
    <t>Treasury stock repurchases and shares withheld for taxes pursuant to employee stock plans</t>
  </si>
  <si>
    <t>Dividend payments</t>
  </si>
  <si>
    <t>Other financing activities</t>
  </si>
  <si>
    <t>Net increase in cash and restricted cash</t>
  </si>
  <si>
    <t>Cash and restricted cash at beginning of period</t>
  </si>
  <si>
    <t>Cash and restricted cash at end of period</t>
  </si>
  <si>
    <t>Adj. Other expenses</t>
  </si>
  <si>
    <t>Adj. PBT</t>
  </si>
  <si>
    <t>Adj. Net income</t>
  </si>
  <si>
    <t>Adj. PBT check</t>
  </si>
  <si>
    <t>Reconciliation to Non GAAP Measures</t>
  </si>
  <si>
    <t>Other expenses</t>
  </si>
  <si>
    <t>Adj. Income tax provision (benefit)</t>
  </si>
  <si>
    <t>Passenger Revenue Buiild-up</t>
  </si>
  <si>
    <t>Passenger Revenue by Geography</t>
  </si>
  <si>
    <t>Total passenger revenue</t>
  </si>
  <si>
    <t>Available seat miles (ASM) (billions)</t>
  </si>
  <si>
    <t>Total load factor</t>
  </si>
  <si>
    <t>Revenue passenger miles (billions)</t>
  </si>
  <si>
    <t>Total RPM</t>
  </si>
  <si>
    <t>Yield (cents)</t>
  </si>
  <si>
    <t>Total yield growth</t>
  </si>
  <si>
    <t>Passenger Revenue per ASM (cents)</t>
  </si>
  <si>
    <t>Other Revenue Buiild-up</t>
  </si>
  <si>
    <t>Cargo yield per ton mile (cents)</t>
  </si>
  <si>
    <t xml:space="preserve">YoY growth </t>
  </si>
  <si>
    <t xml:space="preserve">  Cargo ton miles</t>
  </si>
  <si>
    <t xml:space="preserve">  Cargo yield per ton mile (cents)</t>
  </si>
  <si>
    <t>Loyalty revenue - marketing services</t>
  </si>
  <si>
    <t>Other revenue</t>
  </si>
  <si>
    <t>As a % of passenger revenue</t>
  </si>
  <si>
    <t xml:space="preserve">  Loyalty revenue - marketing services</t>
  </si>
  <si>
    <t xml:space="preserve">  Other revenue</t>
  </si>
  <si>
    <t>Cost Buiild-up</t>
  </si>
  <si>
    <t>Fuel Expense</t>
  </si>
  <si>
    <t>AAL differential to Industry</t>
  </si>
  <si>
    <t>Average aircraft fuel price ($/USG)</t>
  </si>
  <si>
    <t>Fuel consumption (gallons in millions)</t>
  </si>
  <si>
    <t>Growth (vs. 2019)</t>
  </si>
  <si>
    <t xml:space="preserve">  Fuel consumption (gallons in millions)</t>
  </si>
  <si>
    <t>Operating Expenses, ex Fuel</t>
  </si>
  <si>
    <t xml:space="preserve">  Salaries, wages and benefits</t>
  </si>
  <si>
    <t xml:space="preserve">  Regional expenses</t>
  </si>
  <si>
    <t xml:space="preserve">  Maintenance, materials and repairs</t>
  </si>
  <si>
    <t xml:space="preserve">  Other rent and landing fees</t>
  </si>
  <si>
    <t xml:space="preserve">  Selling expenses</t>
  </si>
  <si>
    <t>Operating Costs, ex Fuel</t>
  </si>
  <si>
    <t>Expenses/ ASM</t>
  </si>
  <si>
    <t>Expenses/ ASM YoY growth vs. 2019</t>
  </si>
  <si>
    <t>FTE employees at end of period, (in 000s)</t>
  </si>
  <si>
    <t>2013 Term Loan Facility, 1.85%, through 2025</t>
  </si>
  <si>
    <t>2014 Term Loan Facility, 1.85%, through 2027</t>
  </si>
  <si>
    <t>December 2016 Term Loan Facility, 2.11%, through 2023</t>
  </si>
  <si>
    <t>11.75% senior secured notes, July 2025</t>
  </si>
  <si>
    <t>10.75% senior secured IP notes, February 2026</t>
  </si>
  <si>
    <t>10.75% senior secured LGA/DCA notes, February 2026</t>
  </si>
  <si>
    <t>5.50% senior secured notes, April 2026</t>
  </si>
  <si>
    <t>5.75% senior secured notes, April 2029</t>
  </si>
  <si>
    <t>Enhanced equipment trust certificates (EETCs), averaging 3.84%, 2022 - 2034</t>
  </si>
  <si>
    <t>Equipment loans and other notes payable, 1.82%, 2022 - 2032</t>
  </si>
  <si>
    <t>Special facility revenue bonds, 2.25% to 5.38%, 2026 - 2036</t>
  </si>
  <si>
    <t>PSP1 Promissory Note, April 2030</t>
  </si>
  <si>
    <t>PSP2 Promissory Note, January 2031</t>
  </si>
  <si>
    <t>PSP3 Promissory Note, April 2031</t>
  </si>
  <si>
    <t>6.50% convertible senior notes, July 2025</t>
  </si>
  <si>
    <t>5.000% senior notes, June 2022</t>
  </si>
  <si>
    <t>3.75% senior notes, March 2025</t>
  </si>
  <si>
    <t>DAL US</t>
  </si>
  <si>
    <t>GAAP Income Statement</t>
  </si>
  <si>
    <t>Regional carrier expense</t>
  </si>
  <si>
    <t>Contracted services</t>
  </si>
  <si>
    <t>Landing fees and other rents</t>
  </si>
  <si>
    <t>Passenger service</t>
  </si>
  <si>
    <t>Ancillary businesses and refinery</t>
  </si>
  <si>
    <t>Passenger commissions and other selling expenses</t>
  </si>
  <si>
    <t>Restructuring charges</t>
  </si>
  <si>
    <t>Government grant recognition</t>
  </si>
  <si>
    <t>Operating income</t>
  </si>
  <si>
    <t>(Gain)/Loss on investments, net</t>
  </si>
  <si>
    <t>Impairments and equity method losses/(gains)</t>
  </si>
  <si>
    <t>Loss on extinguishment of debt</t>
  </si>
  <si>
    <t>Income before income taxes</t>
  </si>
  <si>
    <t>Income tax provision</t>
  </si>
  <si>
    <t>Basic - EPS</t>
  </si>
  <si>
    <t>Diluted - EPS</t>
  </si>
  <si>
    <t>Basic - Weighted avg. shares o/s</t>
  </si>
  <si>
    <t>Diluted - Weighted avg. shares o/s</t>
  </si>
  <si>
    <t>Non-GAAP Reconciliation</t>
  </si>
  <si>
    <t>Operating costs</t>
  </si>
  <si>
    <t>- CARES Act grant recognition</t>
  </si>
  <si>
    <t>- Restructuring charges</t>
  </si>
  <si>
    <t>- Special Profit sharing payment</t>
  </si>
  <si>
    <t>- Third-party refinery sales</t>
  </si>
  <si>
    <t>- MTM adjustments and settlements on hedges</t>
  </si>
  <si>
    <t>- Delta Private Jets adjustment</t>
  </si>
  <si>
    <t>Adj. Operating costs</t>
  </si>
  <si>
    <t>- Aircraft fuel and related taxes</t>
  </si>
  <si>
    <t>Adj. Operating costs, Ex - Fuel cost</t>
  </si>
  <si>
    <t>- Pension settlement charges</t>
  </si>
  <si>
    <t>- Equity investment MTM adjustments</t>
  </si>
  <si>
    <t>+ Loss on extinguishment of debt</t>
  </si>
  <si>
    <t>+ MTM adjustments on investments</t>
  </si>
  <si>
    <t>+ Impairments and equity method losses</t>
  </si>
  <si>
    <t>+ CARES Act grant recognition</t>
  </si>
  <si>
    <t>+ Restructuring charges</t>
  </si>
  <si>
    <t>+ Special profit sharing payment</t>
  </si>
  <si>
    <t>+ MTM adjustments and settlements on hedges</t>
  </si>
  <si>
    <t>+ Delta Private Jets adjustment</t>
  </si>
  <si>
    <t>+ Pension settlement charges</t>
  </si>
  <si>
    <t>+ Equity investment MTM adjustments</t>
  </si>
  <si>
    <t>- Loss on extinguishment of debt</t>
  </si>
  <si>
    <t>- MTM adjustments on investments</t>
  </si>
  <si>
    <t>- Impairments and equity method losses</t>
  </si>
  <si>
    <t>- Special profit sharing payment</t>
  </si>
  <si>
    <t>Adj. Taxes</t>
  </si>
  <si>
    <t>Balance Sheet</t>
  </si>
  <si>
    <t>Accounts receivable</t>
  </si>
  <si>
    <t>Inventory</t>
  </si>
  <si>
    <t xml:space="preserve">  Fuel inventory</t>
  </si>
  <si>
    <t xml:space="preserve">  Expendable parts and supplies inventories</t>
  </si>
  <si>
    <t>Property and equipment</t>
  </si>
  <si>
    <t>Identifiable intangibles</t>
  </si>
  <si>
    <t>Deferred income taxes, net</t>
  </si>
  <si>
    <t>Accrued salaries and related benefits</t>
  </si>
  <si>
    <t>Fuel card obligation</t>
  </si>
  <si>
    <t xml:space="preserve">  Noncurrent operating leases</t>
  </si>
  <si>
    <t xml:space="preserve">  Current maturities of operating leases</t>
  </si>
  <si>
    <t>Total air traffic liability</t>
  </si>
  <si>
    <t xml:space="preserve">  Noncurrent air traffic liability</t>
  </si>
  <si>
    <t>Total Loyalty program deferred revenue</t>
  </si>
  <si>
    <t xml:space="preserve">  Loyalty program deferred revenue: Non Current</t>
  </si>
  <si>
    <t xml:space="preserve">  Loyalty program deferred revenue: Current</t>
  </si>
  <si>
    <t>Pension, postretirement and related benefits</t>
  </si>
  <si>
    <t>Other noncurrent liabilities</t>
  </si>
  <si>
    <t>Retained earnings/(accumulated deficit)</t>
  </si>
  <si>
    <t>Treasury stock</t>
  </si>
  <si>
    <t xml:space="preserve">Check </t>
  </si>
  <si>
    <t xml:space="preserve">  Depreciation as a % of gross PPE</t>
  </si>
  <si>
    <t>Property and equipment additions</t>
  </si>
  <si>
    <t>Identifiable intangibles, gross</t>
  </si>
  <si>
    <t>Identifiable intangibles, net</t>
  </si>
  <si>
    <t xml:space="preserve">  Prepaids and other current assets</t>
  </si>
  <si>
    <t xml:space="preserve">  Noncurrent liabilities</t>
  </si>
  <si>
    <t>Change in Air traffic liability</t>
  </si>
  <si>
    <t>Cash Flow Statement</t>
  </si>
  <si>
    <t>Net (loss) income</t>
  </si>
  <si>
    <t>Deferred income taxes</t>
  </si>
  <si>
    <t>Pension, postretirement and postemployment payments greater than expense</t>
  </si>
  <si>
    <t>Impairments and equity method losses</t>
  </si>
  <si>
    <t>Net cash provided by operating activities</t>
  </si>
  <si>
    <t xml:space="preserve">Property and equipment additions: </t>
  </si>
  <si>
    <t>Flight equipment, including advance payments</t>
  </si>
  <si>
    <t>Ground property and equipment, including technology</t>
  </si>
  <si>
    <t>Proceeds from sale-leaseback transactions</t>
  </si>
  <si>
    <t>Acquisition of strategic investments</t>
  </si>
  <si>
    <t>Loans to others</t>
  </si>
  <si>
    <t>Payments on debt and finance lease obligations</t>
  </si>
  <si>
    <t>Repurchase of common stock</t>
  </si>
  <si>
    <t>Cash dividends</t>
  </si>
  <si>
    <t>Proceeds from short-term obligations</t>
  </si>
  <si>
    <t>Proceeds from long-term obligations</t>
  </si>
  <si>
    <t>Net cash provided by (used in) financing activities</t>
  </si>
  <si>
    <t>Net Increase in Cash, Cash Equivalents and Restricted Cash Equivalents</t>
  </si>
  <si>
    <t>Cash, cash equivalents and restricted cash equivalents at beginning of period</t>
  </si>
  <si>
    <t>Cash, cash equivalents and restricted cash equivalents at end of period</t>
  </si>
  <si>
    <t>Net cash used in operating activities</t>
  </si>
  <si>
    <t>Net purchases of short-term investments</t>
  </si>
  <si>
    <t>Strategic investments and related</t>
  </si>
  <si>
    <t>Net cash flows related to certain airport construction projects and other</t>
  </si>
  <si>
    <t>Total free cash flow</t>
  </si>
  <si>
    <t>Aircraft financing arrangements</t>
  </si>
  <si>
    <t>CARES Act grant proceeds</t>
  </si>
  <si>
    <t>Voluntary programs</t>
  </si>
  <si>
    <t>Adjusted free cash flow</t>
  </si>
  <si>
    <t>Ancillary businesses</t>
  </si>
  <si>
    <t>Adj. Gross profit</t>
  </si>
  <si>
    <t>Adj. EBIT before profit sharing</t>
  </si>
  <si>
    <t>Adj. Income tax</t>
  </si>
  <si>
    <t xml:space="preserve">Adj. Net Income </t>
  </si>
  <si>
    <t>Adj. EBIT check</t>
  </si>
  <si>
    <t>Non GAAP Common Size Income Statement</t>
  </si>
  <si>
    <t>Revenue Breakup</t>
  </si>
  <si>
    <t>Ticket- Main cabin</t>
  </si>
  <si>
    <t>Ticket- Business cabin and premium products</t>
  </si>
  <si>
    <t>Loyalty travel awards</t>
  </si>
  <si>
    <t>Travel-related services</t>
  </si>
  <si>
    <t>Refinery</t>
  </si>
  <si>
    <t>Loyalty program</t>
  </si>
  <si>
    <t xml:space="preserve">Ancillary businesses </t>
  </si>
  <si>
    <t>Miscellaneous</t>
  </si>
  <si>
    <t>Total other revenue</t>
  </si>
  <si>
    <t>Total revenue</t>
  </si>
  <si>
    <t>- Third party refinery sales</t>
  </si>
  <si>
    <t>Total revenue, adjusted</t>
  </si>
  <si>
    <t>Per ASM</t>
  </si>
  <si>
    <t xml:space="preserve">  Loyalty program</t>
  </si>
  <si>
    <t xml:space="preserve">  Ancillary businesses</t>
  </si>
  <si>
    <t xml:space="preserve">  Miscellaneous</t>
  </si>
  <si>
    <t xml:space="preserve">  Cargo</t>
  </si>
  <si>
    <t>- Refinery</t>
  </si>
  <si>
    <t>Adj. Ancillary businesses</t>
  </si>
  <si>
    <t>RPM Growth vs. 2019</t>
  </si>
  <si>
    <t>Q4'18</t>
  </si>
  <si>
    <t>Yield Growth vs. 2019</t>
  </si>
  <si>
    <t>Cost Build Up</t>
  </si>
  <si>
    <t>Operating Cost, ex - Fuel</t>
  </si>
  <si>
    <t xml:space="preserve">  Regional carrier expense</t>
  </si>
  <si>
    <t xml:space="preserve">  Contracted services</t>
  </si>
  <si>
    <t xml:space="preserve">  Landing fees and other rents</t>
  </si>
  <si>
    <t xml:space="preserve">  Passenger service</t>
  </si>
  <si>
    <t xml:space="preserve">  Passenger commissions and other selling expenses</t>
  </si>
  <si>
    <t>Total Operating Cost, ex - Fuel</t>
  </si>
  <si>
    <t>Cost/ ASM</t>
  </si>
  <si>
    <t>CASM-Ex Fuel</t>
  </si>
  <si>
    <t>Fuel purchase cost</t>
  </si>
  <si>
    <t>Environmental sustainability impact</t>
  </si>
  <si>
    <t>Fuel hedge impact</t>
  </si>
  <si>
    <t>Refinery segment impact</t>
  </si>
  <si>
    <t>- 'Delta Private Jets adjustment</t>
  </si>
  <si>
    <t>Adj. fuel expense</t>
  </si>
  <si>
    <t xml:space="preserve">  Fuel effeciency (ASMs/ Gallon)</t>
  </si>
  <si>
    <t>2024 Fuel Effeciency vs. 2019</t>
  </si>
  <si>
    <t>Average fuel cost</t>
  </si>
  <si>
    <t>+ Environmental sustainability impact</t>
  </si>
  <si>
    <t>+ Fuel hedge impact</t>
  </si>
  <si>
    <t>+ Refinery segment impact</t>
  </si>
  <si>
    <t>GAAP fuel cost</t>
  </si>
  <si>
    <t>Adj. fuel expense per gallon</t>
  </si>
  <si>
    <t>Profit sharing expense</t>
  </si>
  <si>
    <t>Pre-tax profit (ex-profit sharing)</t>
  </si>
  <si>
    <t xml:space="preserve">  % share of the year</t>
  </si>
  <si>
    <t>Unsecured notes</t>
  </si>
  <si>
    <t>2022 - 2029</t>
  </si>
  <si>
    <t>Unsecured Payroll Support Program Loans</t>
  </si>
  <si>
    <t>Financing arrangements secured by SkyMiles assets:</t>
  </si>
  <si>
    <t xml:space="preserve">  SkyMiles Term Loan</t>
  </si>
  <si>
    <t>Financing arrangements secured by slots, gates and/or routes:</t>
  </si>
  <si>
    <t xml:space="preserve">  Senior Secured Notes</t>
  </si>
  <si>
    <t xml:space="preserve">  Term Loan</t>
  </si>
  <si>
    <t xml:space="preserve">  Revolving Credit Facility</t>
  </si>
  <si>
    <t>2023 - 2027</t>
  </si>
  <si>
    <t>Financing arrangements secured by aircraft:</t>
  </si>
  <si>
    <t xml:space="preserve">  Certificates</t>
  </si>
  <si>
    <t>2022 - 2028</t>
  </si>
  <si>
    <t xml:space="preserve">  Notes</t>
  </si>
  <si>
    <t>NYTDC Special Facilities Revenue Bonds, Series 2020</t>
  </si>
  <si>
    <t>2026 - 2045</t>
  </si>
  <si>
    <t>Other financings</t>
  </si>
  <si>
    <t>2022 - 2030</t>
  </si>
  <si>
    <t>2022 - 2024</t>
  </si>
  <si>
    <t>Quarterly Average</t>
  </si>
  <si>
    <t>Annual Average</t>
  </si>
  <si>
    <t>AAL Consensus vs Model:</t>
  </si>
  <si>
    <t>DAL Consensus vs Model:</t>
  </si>
  <si>
    <t>UAL Consensus vs Model:</t>
  </si>
  <si>
    <t>GAAP fuel expense</t>
  </si>
  <si>
    <t>Fuel effeciency (ASMs/ Gallon)</t>
  </si>
  <si>
    <t xml:space="preserve">  Fuel consumption</t>
  </si>
  <si>
    <t>Pre-Tax Loss</t>
  </si>
  <si>
    <t>Adj. Operating Expenses check</t>
  </si>
  <si>
    <t>4.375% Senior Secured Notes Due 2026</t>
  </si>
  <si>
    <t>4.625% Senior Secured Notes Due 2029</t>
  </si>
  <si>
    <t xml:space="preserve">Total Debt </t>
  </si>
  <si>
    <t>A220-100</t>
  </si>
  <si>
    <t>A220-300</t>
  </si>
  <si>
    <t>A321-200</t>
  </si>
  <si>
    <t>A321-200neo</t>
  </si>
  <si>
    <t>A330-200</t>
  </si>
  <si>
    <t>A330-300</t>
  </si>
  <si>
    <t>A330-900neo</t>
  </si>
  <si>
    <t>A350-900</t>
  </si>
  <si>
    <t>B-717-200</t>
  </si>
  <si>
    <t>B-737-800</t>
  </si>
  <si>
    <t>B-737-900ER</t>
  </si>
  <si>
    <t>B-757-200</t>
  </si>
  <si>
    <t>B-757-300</t>
  </si>
  <si>
    <t>B-767-300ER</t>
  </si>
  <si>
    <t>B-767-400ER</t>
  </si>
  <si>
    <t>Finance Lease</t>
  </si>
  <si>
    <t xml:space="preserve">Owned </t>
  </si>
  <si>
    <t>Operating Lease</t>
  </si>
  <si>
    <t>Purchase</t>
  </si>
  <si>
    <t>Current Fleet</t>
  </si>
  <si>
    <t>Options</t>
  </si>
  <si>
    <t>Term Loan</t>
  </si>
  <si>
    <t>Aircraft purchase commitments ($ millions)</t>
  </si>
  <si>
    <t xml:space="preserve">  Current maturities of finance lease</t>
  </si>
  <si>
    <t xml:space="preserve">  Finance lease</t>
  </si>
  <si>
    <t>Total Finance lease</t>
  </si>
  <si>
    <t xml:space="preserve">  Operating lease right-of-use assets</t>
  </si>
  <si>
    <t xml:space="preserve">  Goodwill </t>
  </si>
  <si>
    <t xml:space="preserve">  Cash restricted for airport construction</t>
  </si>
  <si>
    <t xml:space="preserve">  Equity investments</t>
  </si>
  <si>
    <t xml:space="preserve">  Deferred income taxes, net</t>
  </si>
  <si>
    <t>Airbus A319</t>
  </si>
  <si>
    <t>Airbus A320</t>
  </si>
  <si>
    <t>Airbus A321</t>
  </si>
  <si>
    <t>Boeing 737-800</t>
  </si>
  <si>
    <t>Boeing 737-8 MAX</t>
  </si>
  <si>
    <t>Boeing 777-200ER</t>
  </si>
  <si>
    <t>Boeing 777-300ER</t>
  </si>
  <si>
    <t>Boeing 787-8</t>
  </si>
  <si>
    <t>Boeing 787-9</t>
  </si>
  <si>
    <t>Age</t>
  </si>
  <si>
    <t>Seats</t>
  </si>
  <si>
    <t>A320neo Family</t>
  </si>
  <si>
    <t>737 MAX Family</t>
  </si>
  <si>
    <t>787 Family</t>
  </si>
  <si>
    <t>Embraer 175</t>
  </si>
  <si>
    <t>Enhanced Equipment Trust Certificate</t>
  </si>
  <si>
    <t>PSP Note - COVID19</t>
  </si>
  <si>
    <t>Senior Unsecured Promissory Note</t>
  </si>
  <si>
    <t>4.25% Senior Notes Due 2022</t>
  </si>
  <si>
    <t>4.875% Senior Notes *</t>
  </si>
  <si>
    <t>5% Senior Notes Due 2024 *</t>
  </si>
  <si>
    <t>Special Facility Revenue Bonds</t>
  </si>
  <si>
    <t>Notes</t>
  </si>
  <si>
    <t>Term Bonds</t>
  </si>
  <si>
    <t>2022 - 2032</t>
  </si>
  <si>
    <t>2022 - 2034</t>
  </si>
  <si>
    <t>AAdvantage Term Loan Facility, 5.50%</t>
  </si>
  <si>
    <t>Series A: Aircraft EETC Equipment Notes</t>
  </si>
  <si>
    <t>Series B: Aircraft EETC Equipment Notes</t>
  </si>
  <si>
    <t xml:space="preserve">  AAL</t>
  </si>
  <si>
    <t xml:space="preserve">  DAL</t>
  </si>
  <si>
    <t xml:space="preserve">  UAL</t>
  </si>
  <si>
    <t>Quarter</t>
  </si>
  <si>
    <t xml:space="preserve">  Others</t>
  </si>
  <si>
    <t xml:space="preserve">  Depreciation as a % of Gross PPE</t>
  </si>
  <si>
    <t>Q122A</t>
  </si>
  <si>
    <t>Q222E</t>
  </si>
  <si>
    <t>Revenue mix</t>
  </si>
  <si>
    <t>AAL</t>
  </si>
  <si>
    <t>DAL</t>
  </si>
  <si>
    <t>UAL</t>
  </si>
  <si>
    <t>System revenue</t>
  </si>
  <si>
    <t>AAL Revenue</t>
  </si>
  <si>
    <t>DAL Revenue</t>
  </si>
  <si>
    <t>UAL Revenue</t>
  </si>
  <si>
    <t>LUV Revenue</t>
  </si>
  <si>
    <t>Others Revenue</t>
  </si>
  <si>
    <t>System Net Income</t>
  </si>
  <si>
    <t>AAL Net Income</t>
  </si>
  <si>
    <t>DAL Net Income</t>
  </si>
  <si>
    <t>UAL Net Income</t>
  </si>
  <si>
    <t>LUV Net Income</t>
  </si>
  <si>
    <t>Others Net Income</t>
  </si>
  <si>
    <t>Row Labels</t>
  </si>
  <si>
    <t>Grand Total</t>
  </si>
  <si>
    <t>2012</t>
  </si>
  <si>
    <t>2013</t>
  </si>
  <si>
    <t>2014</t>
  </si>
  <si>
    <t>2015</t>
  </si>
  <si>
    <t>2016</t>
  </si>
  <si>
    <t>2017</t>
  </si>
  <si>
    <t>As a % of 2019</t>
  </si>
  <si>
    <t>Change vs. 2019</t>
  </si>
  <si>
    <t>PRASM (cents)</t>
  </si>
  <si>
    <t>TRASM</t>
  </si>
  <si>
    <t>Jet Fuel Expense/ ASM</t>
  </si>
  <si>
    <t>Domestic Revenue</t>
  </si>
  <si>
    <t>System Domestic Revenue</t>
  </si>
  <si>
    <t>System Latin America Revenue</t>
  </si>
  <si>
    <t>System Atlantic Revenue</t>
  </si>
  <si>
    <t>System Pacific Revenue</t>
  </si>
  <si>
    <t>System International Revenue</t>
  </si>
  <si>
    <t>System Ex - US Revenue</t>
  </si>
  <si>
    <t>System Total Revenue</t>
  </si>
  <si>
    <t>AAL Domestic Revenue</t>
  </si>
  <si>
    <t>AAL Latin America Revenue</t>
  </si>
  <si>
    <t>AAL Atlantic Revenue</t>
  </si>
  <si>
    <t>AAL Pacific Revenue</t>
  </si>
  <si>
    <t>AAL International Revenue</t>
  </si>
  <si>
    <t>AAL Ex - US Revenue</t>
  </si>
  <si>
    <t>AAL Total Revenue</t>
  </si>
  <si>
    <t>DAL Domestic Revenue</t>
  </si>
  <si>
    <t>DAL Latin America Revenue</t>
  </si>
  <si>
    <t>DAL Atlantic Revenue</t>
  </si>
  <si>
    <t>DAL Pacific Revenue</t>
  </si>
  <si>
    <t>DAL International Revenue</t>
  </si>
  <si>
    <t>DAL Ex - US Revenue</t>
  </si>
  <si>
    <t>DAL Total Revenue</t>
  </si>
  <si>
    <t>UAL Latin America Revenue</t>
  </si>
  <si>
    <t>UAL Atlantic Revenue</t>
  </si>
  <si>
    <t>UAL Pacific Revenue</t>
  </si>
  <si>
    <t>UAL `International Revenue</t>
  </si>
  <si>
    <t>UAL Ex - US Revenue</t>
  </si>
  <si>
    <t>UAL Total Revenue</t>
  </si>
  <si>
    <t>LUV Domestic Revenue</t>
  </si>
  <si>
    <t>LUV Latin America Revenue</t>
  </si>
  <si>
    <t>LUV Atlantic Revenue</t>
  </si>
  <si>
    <t>LUV Pacific Revenue</t>
  </si>
  <si>
    <t>LUV International Revenue</t>
  </si>
  <si>
    <t>LUV Ex - US Revenue</t>
  </si>
  <si>
    <t>LUV Total Revenue</t>
  </si>
  <si>
    <t>Others Domestic Revenue</t>
  </si>
  <si>
    <t>Others Latin America Revenue</t>
  </si>
  <si>
    <t>Others Atlantic Revenue</t>
  </si>
  <si>
    <t>Others Pacific Revenue</t>
  </si>
  <si>
    <t>Others International Revenue</t>
  </si>
  <si>
    <t>Others Ex - US Revenue</t>
  </si>
  <si>
    <t>Others Total Revenue</t>
  </si>
  <si>
    <t>System Domestic Net Income</t>
  </si>
  <si>
    <t>System Latin America Net Income</t>
  </si>
  <si>
    <t>System Atlantic Net Income</t>
  </si>
  <si>
    <t>System Pacific Net Income</t>
  </si>
  <si>
    <t>System International Net Income</t>
  </si>
  <si>
    <t>System Ex - US Net Income</t>
  </si>
  <si>
    <t>System Total Net Income</t>
  </si>
  <si>
    <t>AAL Domestic Net Income</t>
  </si>
  <si>
    <t>AAL Latin America Net Income</t>
  </si>
  <si>
    <t>AAL Atlantic Net Income</t>
  </si>
  <si>
    <t>AAL Pacific Net Income</t>
  </si>
  <si>
    <t>AAL International Net Income</t>
  </si>
  <si>
    <t>AAL Ex - US Net Income</t>
  </si>
  <si>
    <t>AAL Total Net Income</t>
  </si>
  <si>
    <t>DAL Domestic Net Income</t>
  </si>
  <si>
    <t>DAL Latin America Net Income</t>
  </si>
  <si>
    <t>DAL Atlantic Net Income</t>
  </si>
  <si>
    <t>DAL Pacific Net Income</t>
  </si>
  <si>
    <t>DAL International Net Income</t>
  </si>
  <si>
    <t>DAL Ex - US Net Income</t>
  </si>
  <si>
    <t>DAL Total Net Income</t>
  </si>
  <si>
    <t>UAL Domestic Net Income</t>
  </si>
  <si>
    <t>UAL Latin America Net Income</t>
  </si>
  <si>
    <t>UAL Atlantic Net Income</t>
  </si>
  <si>
    <t>UAL Pacific Net Income</t>
  </si>
  <si>
    <t>UAL Ex - US Net Income</t>
  </si>
  <si>
    <t>UAL International Net Income</t>
  </si>
  <si>
    <t>UAL Total Net Income</t>
  </si>
  <si>
    <t>LUV Domestic Net Income</t>
  </si>
  <si>
    <t>LUV Latin America Net Income</t>
  </si>
  <si>
    <t>LUV Atlantic Net Income</t>
  </si>
  <si>
    <t>LUV Pacific Net Income</t>
  </si>
  <si>
    <t>LUV International Net Income</t>
  </si>
  <si>
    <t>LUV Ex - US Net Income</t>
  </si>
  <si>
    <t>LUV Total Net Income</t>
  </si>
  <si>
    <t>Others Domestic Net Income</t>
  </si>
  <si>
    <t>Others Latin America Net Income</t>
  </si>
  <si>
    <t>Others Atlantic Net Income</t>
  </si>
  <si>
    <t>Others Pacific Net Income</t>
  </si>
  <si>
    <t>Others International Net Income</t>
  </si>
  <si>
    <t>Others Ex - US Net Income</t>
  </si>
  <si>
    <t>Others Total Net Income</t>
  </si>
  <si>
    <t>Differential to Benchmark</t>
  </si>
  <si>
    <t>Differential to Industry</t>
  </si>
  <si>
    <t>Sum</t>
  </si>
  <si>
    <t>Industry  Consumption</t>
  </si>
  <si>
    <t>Fuel Consumption (Million USG)</t>
  </si>
  <si>
    <t>Financial and Operating Metrics</t>
  </si>
  <si>
    <t xml:space="preserve">  Short-term investments</t>
  </si>
  <si>
    <t>Regions</t>
  </si>
  <si>
    <t>AAL ASM</t>
  </si>
  <si>
    <t>DAL ASM</t>
  </si>
  <si>
    <t>UAL ASM</t>
  </si>
  <si>
    <t>LUV ASM</t>
  </si>
  <si>
    <t>Others ASM</t>
  </si>
  <si>
    <t>Others RPM</t>
  </si>
  <si>
    <t>AAL RPM</t>
  </si>
  <si>
    <t>DAL RPM</t>
  </si>
  <si>
    <t>UAL RPM</t>
  </si>
  <si>
    <t>LUV RPM</t>
  </si>
  <si>
    <t>AAL Passengers</t>
  </si>
  <si>
    <t>DAL Passengers</t>
  </si>
  <si>
    <t>UAL Passengers</t>
  </si>
  <si>
    <t>LUV Passengers</t>
  </si>
  <si>
    <t>Others Passengers</t>
  </si>
  <si>
    <t xml:space="preserve">  Flight equipment, including advance payments</t>
  </si>
  <si>
    <t xml:space="preserve">  Ground property and equipment, including technology</t>
  </si>
  <si>
    <t xml:space="preserve">  Secured Debt</t>
  </si>
  <si>
    <t xml:space="preserve">  Unsecured Debt</t>
  </si>
  <si>
    <t>Unsecured debt</t>
  </si>
  <si>
    <t>Secured debt</t>
  </si>
  <si>
    <t>Origin</t>
  </si>
  <si>
    <t>Destination</t>
  </si>
  <si>
    <t>Carrier2</t>
  </si>
  <si>
    <t>JetBlue</t>
  </si>
  <si>
    <t>Southwest</t>
  </si>
  <si>
    <t>Allegiant</t>
  </si>
  <si>
    <t>2018</t>
  </si>
  <si>
    <t>2019</t>
  </si>
  <si>
    <t>Revenue mix by geography</t>
  </si>
  <si>
    <t>2021 Revenue</t>
  </si>
  <si>
    <t>May</t>
  </si>
  <si>
    <t>Adj. Other revenue</t>
  </si>
  <si>
    <t>Adj. Airline revenue</t>
  </si>
  <si>
    <t>New Aircraft Notes</t>
  </si>
  <si>
    <t>Circ Link</t>
  </si>
  <si>
    <t xml:space="preserve">  New Aircraft Notes</t>
  </si>
  <si>
    <t>ear</t>
  </si>
  <si>
    <t>January</t>
  </si>
  <si>
    <t>February</t>
  </si>
  <si>
    <t>March</t>
  </si>
  <si>
    <t>April</t>
  </si>
  <si>
    <t>June</t>
  </si>
  <si>
    <t>July</t>
  </si>
  <si>
    <t>August</t>
  </si>
  <si>
    <t>September</t>
  </si>
  <si>
    <t>October</t>
  </si>
  <si>
    <t>November</t>
  </si>
  <si>
    <t>December</t>
  </si>
  <si>
    <t>-</t>
  </si>
  <si>
    <t>System Consumption</t>
  </si>
  <si>
    <t>System Cost ($m)</t>
  </si>
  <si>
    <t>AAL Consumption</t>
  </si>
  <si>
    <t>AAL Cost per Gallon</t>
  </si>
  <si>
    <t>System Cost per Gallon</t>
  </si>
  <si>
    <t>AAL Cost</t>
  </si>
  <si>
    <t>DAL Consumption</t>
  </si>
  <si>
    <t>DAL Cost</t>
  </si>
  <si>
    <t>DAL Cost per Gallon</t>
  </si>
  <si>
    <t>UAL Cost</t>
  </si>
  <si>
    <t>UAL Cost per Gallon</t>
  </si>
  <si>
    <t>UAL Consumption</t>
  </si>
  <si>
    <t>LUV Cost per Gallon</t>
  </si>
  <si>
    <t>UAL Cost ($m)</t>
  </si>
  <si>
    <t>LUV Cost ($m)</t>
  </si>
  <si>
    <t>LUV Consumption</t>
  </si>
  <si>
    <t>UALConsumption</t>
  </si>
  <si>
    <t>UAL  Consumption</t>
  </si>
  <si>
    <t>LUV  Consumption</t>
  </si>
  <si>
    <t>LUV   Consumption</t>
  </si>
  <si>
    <t>Industry ASM</t>
  </si>
  <si>
    <t>Industry RPM</t>
  </si>
  <si>
    <t>Industry Passengers</t>
  </si>
  <si>
    <t>Industry Revenue</t>
  </si>
  <si>
    <t>Industry Consumption</t>
  </si>
  <si>
    <t>Industry Cost ($m)</t>
  </si>
  <si>
    <t>Industry Cost per Gallon</t>
  </si>
  <si>
    <t>Sum of DAL ASM MS</t>
  </si>
  <si>
    <t>Sum of AAL ASM MS</t>
  </si>
  <si>
    <t>Sum of UAL ASM MS</t>
  </si>
  <si>
    <t>Sum of LUV ASM MS</t>
  </si>
  <si>
    <t>Sum of Other ASM MS</t>
  </si>
  <si>
    <t>Sum of AAL PY</t>
  </si>
  <si>
    <t>Sum of DAL PY</t>
  </si>
  <si>
    <t>Sum of UAL PY</t>
  </si>
  <si>
    <t>Sum of LUV PY</t>
  </si>
  <si>
    <t>Sum of Industry PY</t>
  </si>
  <si>
    <t>Sum of AAL CG</t>
  </si>
  <si>
    <t>Sum of DAL CG</t>
  </si>
  <si>
    <t>Sum of UAL CG</t>
  </si>
  <si>
    <t>Sum of LUV CG</t>
  </si>
  <si>
    <t>Sum of Industry CG</t>
  </si>
  <si>
    <t>Sum of AAL FCR</t>
  </si>
  <si>
    <t>Sum of DAL FCR</t>
  </si>
  <si>
    <t>Sum of UAL FCR</t>
  </si>
  <si>
    <t>Sum of LUV FCR</t>
  </si>
  <si>
    <t>Sum of Industry FCR</t>
  </si>
  <si>
    <t>Sum of AAL E</t>
  </si>
  <si>
    <t>Sum of DAL E</t>
  </si>
  <si>
    <t>Sum of UAL E</t>
  </si>
  <si>
    <t>Sum of LUV E</t>
  </si>
  <si>
    <t>Sum of Industry E</t>
  </si>
  <si>
    <t>Yield</t>
  </si>
  <si>
    <t>ASM Market Share</t>
  </si>
  <si>
    <t>Cost/Gallon</t>
  </si>
  <si>
    <t>Fuel as % of Revenue</t>
  </si>
  <si>
    <t>Fuel Effeciency</t>
  </si>
  <si>
    <t>RASM</t>
  </si>
  <si>
    <t>Load Factor</t>
  </si>
  <si>
    <t>Fuel/ ASM</t>
  </si>
  <si>
    <t>Sum of AAL RASM</t>
  </si>
  <si>
    <t>Sum of DAL RASM</t>
  </si>
  <si>
    <t>Sum of UAL RASM</t>
  </si>
  <si>
    <t>Sum of LUV RASM</t>
  </si>
  <si>
    <t>Sum of Industry RASM</t>
  </si>
  <si>
    <t>Sum of AAL LF</t>
  </si>
  <si>
    <t>Sum of DAL LF</t>
  </si>
  <si>
    <t>Sum of UAL LF</t>
  </si>
  <si>
    <t>Sum of LUV LF</t>
  </si>
  <si>
    <t>Sum of Industry LF</t>
  </si>
  <si>
    <t>Sum of AAL FA</t>
  </si>
  <si>
    <t>Sum of DAL FA</t>
  </si>
  <si>
    <t>Sum of UAL FA</t>
  </si>
  <si>
    <t>Sum of LUV FA</t>
  </si>
  <si>
    <t>Sum of Industry FA</t>
  </si>
  <si>
    <t>Cost / Gallon</t>
  </si>
  <si>
    <t>Fuel Cost/ ASM</t>
  </si>
  <si>
    <t>Passenger Yield</t>
  </si>
  <si>
    <t>Fuel Expense as a % of Revenue</t>
  </si>
  <si>
    <t>Airline Comps Dashboard</t>
  </si>
  <si>
    <t>U.S. Gulf Coast Kerosene-Type Jet Fuel Spot Price</t>
  </si>
  <si>
    <t>Benchmark Differential</t>
  </si>
  <si>
    <t>Sum of AAL Diff</t>
  </si>
  <si>
    <t>Sum of DAL Diff</t>
  </si>
  <si>
    <t>AAL Fuel Cost</t>
  </si>
  <si>
    <t>DAL Fuel Cost</t>
  </si>
  <si>
    <t>UAL Fuel Cost</t>
  </si>
  <si>
    <t>LUV Fuel Cost</t>
  </si>
  <si>
    <t>Sum of UAL Diff</t>
  </si>
  <si>
    <t>Sum of LUV Diff</t>
  </si>
  <si>
    <t>Sum of Industry Diff</t>
  </si>
  <si>
    <t>Total revenue growth vs. 2019</t>
  </si>
  <si>
    <t>2022 Cash Availability</t>
  </si>
  <si>
    <t>As of March, 2022</t>
  </si>
  <si>
    <t>02376RAC6</t>
  </si>
  <si>
    <t>02376RAE2</t>
  </si>
  <si>
    <t>02376RAF9</t>
  </si>
  <si>
    <t>023771S58</t>
  </si>
  <si>
    <t>00253XAA9</t>
  </si>
  <si>
    <t>00253XAB7</t>
  </si>
  <si>
    <t>90932LAH0</t>
  </si>
  <si>
    <t>90932LAG2</t>
  </si>
  <si>
    <t>599191AA1</t>
  </si>
  <si>
    <t>910047AK5</t>
  </si>
  <si>
    <t>910047AH2</t>
  </si>
  <si>
    <t>247361ZW1 Cusip</t>
  </si>
  <si>
    <t>247361ZT8 Cusip</t>
  </si>
  <si>
    <t>830867AB3 Cusip</t>
  </si>
  <si>
    <t>247361ZN1 Cusip</t>
  </si>
  <si>
    <t>247361ZZ4 Cusip</t>
  </si>
  <si>
    <t>830867AA5 Cusip</t>
  </si>
  <si>
    <t>247361ZX9 Cusip</t>
  </si>
  <si>
    <t>247361ZU5 Cusip</t>
  </si>
  <si>
    <t>247361ZP6 Cusip</t>
  </si>
  <si>
    <t>Change in working capital</t>
  </si>
  <si>
    <t xml:space="preserve">  Noncurrent assets</t>
  </si>
  <si>
    <t xml:space="preserve">   Noncurrent assets</t>
  </si>
  <si>
    <t xml:space="preserve">   Receivables</t>
  </si>
  <si>
    <t xml:space="preserve">   Inventory</t>
  </si>
  <si>
    <t xml:space="preserve">   Prepaids and other current assets</t>
  </si>
  <si>
    <t xml:space="preserve">   Other payables, deferred rev and accrued liabilities</t>
  </si>
  <si>
    <t xml:space="preserve">   Noncurrent liabilities</t>
  </si>
  <si>
    <t xml:space="preserve">   Air traffic liability</t>
  </si>
  <si>
    <t>Other noncurrent assets</t>
  </si>
  <si>
    <t>599191AA1 Cusip</t>
  </si>
  <si>
    <t>90932LAG2 Cusip</t>
  </si>
  <si>
    <t>90932LAH0 Cusip</t>
  </si>
  <si>
    <t>910047AH2 Cusip</t>
  </si>
  <si>
    <t>910047AK5 Cusip</t>
  </si>
  <si>
    <t>90254Y208 Cusip</t>
  </si>
  <si>
    <t>Fuel Efficiency</t>
  </si>
  <si>
    <t xml:space="preserve">ASM Market Share </t>
  </si>
  <si>
    <t>BG188483 Corp</t>
  </si>
  <si>
    <t>AAL 3 ¾ 03/01/25</t>
  </si>
  <si>
    <t>BK188966 Corp</t>
  </si>
  <si>
    <t>AAL 6 ½ 07/01/25</t>
  </si>
  <si>
    <t>ZS702278 Corp</t>
  </si>
  <si>
    <t>AAL 5 06/01/22</t>
  </si>
  <si>
    <t>001765AU Corp</t>
  </si>
  <si>
    <t>AAL 9 08/01/12</t>
  </si>
  <si>
    <t>BP053317 Corp</t>
  </si>
  <si>
    <t>UAL 4 ⅝ 04/15/29</t>
  </si>
  <si>
    <t>ZS525613 Corp</t>
  </si>
  <si>
    <t>UAL 4 ⅞ 01/15/25</t>
  </si>
  <si>
    <t>AM253888 Corp</t>
  </si>
  <si>
    <t>UAL 5 02/01/24</t>
  </si>
  <si>
    <t>BL361708 Corp</t>
  </si>
  <si>
    <t>BL269714 Corp</t>
  </si>
  <si>
    <t>BL341942 Corp</t>
  </si>
  <si>
    <t>BL341949 Corp</t>
  </si>
  <si>
    <t>&lt;&lt; Grounded</t>
  </si>
  <si>
    <t>&lt;&lt; Not affected by the FAA directive</t>
  </si>
  <si>
    <t>90345KAA8 Cusip</t>
  </si>
  <si>
    <t>903436AA1 Cusip</t>
  </si>
  <si>
    <t>90345WAD6 Cusip</t>
  </si>
  <si>
    <t>90345WAA2 Cusip</t>
  </si>
  <si>
    <t>023772AB2 Cusip</t>
  </si>
  <si>
    <t>90346WAA1 Cusip</t>
  </si>
  <si>
    <t>02377UAB0 Cusip</t>
  </si>
  <si>
    <t>02377AAA6 Cusip</t>
  </si>
  <si>
    <t>023770AA8 Cusip</t>
  </si>
  <si>
    <t>02377BAA4 Cusip</t>
  </si>
  <si>
    <t>02376WAA9 Cusip</t>
  </si>
  <si>
    <t>023764AA1 Cusip</t>
  </si>
  <si>
    <t>023771S25 Cusip</t>
  </si>
  <si>
    <t>02378AAA5 Cusip</t>
  </si>
  <si>
    <t>02377CAA2 Cusip</t>
  </si>
  <si>
    <t>02378MAA9 Cusip</t>
  </si>
  <si>
    <t>02379KAA2 Cusip</t>
  </si>
  <si>
    <t>02377BAB2 Cusip</t>
  </si>
  <si>
    <t>90332UAP8 Cusip</t>
  </si>
  <si>
    <t>90332UAS2 Cusip</t>
  </si>
  <si>
    <t>02376LAA3 Cusip</t>
  </si>
  <si>
    <t>023765AA8 Cusip</t>
  </si>
  <si>
    <t>02376GAA4 Cusip</t>
  </si>
  <si>
    <t>02377BAC0  Cusip</t>
  </si>
  <si>
    <t>023770AB6 Cusip</t>
  </si>
  <si>
    <t>02377LAA2 Cusip</t>
  </si>
  <si>
    <t>023761AA7 Cusip</t>
  </si>
  <si>
    <t>02379DAA8 Cusip</t>
  </si>
  <si>
    <t>02378WAA7 Cusip</t>
  </si>
  <si>
    <t>02376AAA7 Cusip</t>
  </si>
  <si>
    <t>023771R91 Cusip</t>
  </si>
  <si>
    <t>023771S41 Cusip</t>
  </si>
  <si>
    <t>02377DAA0 Cusip</t>
  </si>
  <si>
    <t>02376XAA7 Cusip</t>
  </si>
  <si>
    <t>02376UAA3 Cusip</t>
  </si>
  <si>
    <t>02376YAA5 Cusip</t>
  </si>
  <si>
    <t>02376CAT2 Cusip</t>
  </si>
  <si>
    <t>02376CBC8 Cusip</t>
  </si>
  <si>
    <t>02376CAK1 Cusip</t>
  </si>
  <si>
    <t>02376CAY1 Cusip</t>
  </si>
  <si>
    <t>02376CAQ8 Cusip</t>
  </si>
  <si>
    <t>BL344731 Corp</t>
  </si>
  <si>
    <t>24736YAA4 Cusip</t>
  </si>
  <si>
    <t>24737AAA5 Cusip</t>
  </si>
  <si>
    <t>24737RAA8 Cusip</t>
  </si>
  <si>
    <t>24736XAA6 Cusip</t>
  </si>
  <si>
    <t>24737BAA3 Cusip</t>
  </si>
  <si>
    <t>247361ZV3 Cusip</t>
  </si>
  <si>
    <t>BL323265 Corp</t>
  </si>
  <si>
    <t>90932VAA3 Cusip</t>
  </si>
  <si>
    <t>90933HAA3 Cusip</t>
  </si>
  <si>
    <t>90931GAA7 Cusip</t>
  </si>
  <si>
    <t>210795QB9 Cusip</t>
  </si>
  <si>
    <t>90933JAA9 Cusip</t>
  </si>
  <si>
    <t>90932DAA3 Cusip</t>
  </si>
  <si>
    <t>90932EAA1 Cusip</t>
  </si>
  <si>
    <t>90932LAB3 Cusip</t>
  </si>
  <si>
    <t>90932LAA5 Cusip</t>
  </si>
  <si>
    <t>90932NAA1 Cusip</t>
  </si>
  <si>
    <t>90931VAA4 Cusip</t>
  </si>
  <si>
    <t>909318AA5 Cusip</t>
  </si>
  <si>
    <t>909283AC7 Cusip</t>
  </si>
  <si>
    <t>210795PZ7 Cusip</t>
  </si>
  <si>
    <t>90932PAA6 Cusip</t>
  </si>
  <si>
    <t>90932KAA7 Cusip</t>
  </si>
  <si>
    <t>90932JAA0 Cusip</t>
  </si>
  <si>
    <t>909287AA2 Cusip</t>
  </si>
  <si>
    <t>90931MAA4 Cusip</t>
  </si>
  <si>
    <t>90931LAA6 Cusip</t>
  </si>
  <si>
    <t>909319AA3 Cusip</t>
  </si>
  <si>
    <t>90931EAA2 Cusip</t>
  </si>
  <si>
    <t>90931CAA6 Cusip</t>
  </si>
  <si>
    <t>90932QAB2 Cusip</t>
  </si>
  <si>
    <t>90932QAA4 Cusip</t>
  </si>
  <si>
    <t>Third-party business expenses</t>
  </si>
  <si>
    <t>EBITDA/ ASM</t>
  </si>
  <si>
    <t>ASM</t>
  </si>
  <si>
    <t>Beg. Cash &amp; Short term inv.</t>
  </si>
  <si>
    <t>2022 Cash Availablity</t>
  </si>
  <si>
    <t>Companies</t>
  </si>
  <si>
    <t>Airline Comps</t>
  </si>
  <si>
    <t xml:space="preserve">  EBITDA margin</t>
  </si>
  <si>
    <t>ASM mix</t>
  </si>
  <si>
    <t xml:space="preserve">   Atlantic</t>
  </si>
  <si>
    <t xml:space="preserve">   Pacific</t>
  </si>
  <si>
    <t>RPM</t>
  </si>
  <si>
    <t>PRASM</t>
  </si>
  <si>
    <t>Passenger yield</t>
  </si>
  <si>
    <t>Passenger revenue mix by geography</t>
  </si>
  <si>
    <t>CASM - Ex Fuel</t>
  </si>
  <si>
    <t>Fuel CASM</t>
  </si>
  <si>
    <t xml:space="preserve">  Fuel cost</t>
  </si>
  <si>
    <t xml:space="preserve">  Fuel cost as a % of revenue</t>
  </si>
  <si>
    <t>Operating Metrics</t>
  </si>
  <si>
    <t>Financial Metrics</t>
  </si>
  <si>
    <t>Unrestricted cash</t>
  </si>
  <si>
    <t xml:space="preserve">Undrawn facilities </t>
  </si>
  <si>
    <t>Total liquidity</t>
  </si>
  <si>
    <t>Short term investments</t>
  </si>
  <si>
    <t>Debt Metrics</t>
  </si>
  <si>
    <t xml:space="preserve">Total secured debt </t>
  </si>
  <si>
    <t>Total net debt/net PP&amp;E</t>
  </si>
  <si>
    <t>Secured debt/net PP&amp;E</t>
  </si>
  <si>
    <t>Cash / (advanced ticket sales + FF deferred revenue)</t>
  </si>
  <si>
    <t>Net PPE</t>
  </si>
  <si>
    <t xml:space="preserve">Advanced ticket sales </t>
  </si>
  <si>
    <t>Total Loyalty program liability</t>
  </si>
  <si>
    <t xml:space="preserve">  Loyalty program liability - Current</t>
  </si>
  <si>
    <t xml:space="preserve">  Current Frequent flyer deferred revenue </t>
  </si>
  <si>
    <t>Total Frequent flyer deferred revenue</t>
  </si>
  <si>
    <t>$250M quaterly from 2026</t>
  </si>
  <si>
    <t>Equity market capitalization</t>
  </si>
  <si>
    <t>EV</t>
  </si>
  <si>
    <t>Net Debt/ Market cap</t>
  </si>
  <si>
    <t>Absolute difference vs. 2019</t>
  </si>
  <si>
    <t xml:space="preserve">  Consumption</t>
  </si>
  <si>
    <t xml:space="preserve">  Cost/ gallon</t>
  </si>
  <si>
    <t xml:space="preserve">  2025 SkyMiles Notes</t>
  </si>
  <si>
    <t xml:space="preserve">  2028 SkyMiles Notes</t>
  </si>
  <si>
    <t>$291.667M starting Jan 2026</t>
  </si>
  <si>
    <t>Operating cost, Ex-Fuel</t>
  </si>
  <si>
    <t>Short term investment</t>
  </si>
  <si>
    <t xml:space="preserve">Beg. Balance: </t>
  </si>
  <si>
    <t>Secured</t>
  </si>
  <si>
    <t>Gallons consued/ ASM</t>
  </si>
  <si>
    <t>Differential &gt;</t>
  </si>
  <si>
    <t>Capacity mix</t>
  </si>
  <si>
    <t>ASM Mix</t>
  </si>
  <si>
    <t xml:space="preserve">  Change vs. 2019</t>
  </si>
  <si>
    <t xml:space="preserve">NM </t>
  </si>
  <si>
    <t>Unsecured</t>
  </si>
  <si>
    <t>FY22 EBITDA</t>
  </si>
  <si>
    <t>UAL Guidance vs Model:</t>
  </si>
  <si>
    <t>Adj. CASM</t>
  </si>
  <si>
    <t>Avg. Fuel $/USG</t>
  </si>
  <si>
    <t>Operating margin</t>
  </si>
  <si>
    <t>Guidance</t>
  </si>
  <si>
    <t>Vs. 2019</t>
  </si>
  <si>
    <t xml:space="preserve">  Capacity </t>
  </si>
  <si>
    <t xml:space="preserve">  TRASM</t>
  </si>
  <si>
    <t xml:space="preserve">  Adj. CASM</t>
  </si>
  <si>
    <t>Adj. Avg. Fuel $/USG</t>
  </si>
  <si>
    <t>DAL Guidance vs Model:</t>
  </si>
  <si>
    <t xml:space="preserve">Low </t>
  </si>
  <si>
    <t>High</t>
  </si>
  <si>
    <t>Operating expenses, Ex- Fuel</t>
  </si>
  <si>
    <t>Total CASM</t>
  </si>
  <si>
    <t>CASM, Ex Fuel</t>
  </si>
  <si>
    <t>Fuel Consumption( million gallons)</t>
  </si>
  <si>
    <t>Fuel cost/ gallon</t>
  </si>
  <si>
    <t xml:space="preserve">  Salaries</t>
  </si>
  <si>
    <t>AAL Guidance vs Model:</t>
  </si>
  <si>
    <t>Months of runway</t>
  </si>
  <si>
    <t>- Interest</t>
  </si>
  <si>
    <t xml:space="preserve">   Loyalty program deferred revenue</t>
  </si>
  <si>
    <t xml:space="preserve">   Profit sharing</t>
  </si>
  <si>
    <t>Income tax</t>
  </si>
  <si>
    <t>Differential</t>
  </si>
  <si>
    <t xml:space="preserve">  Other assets and aircraft fuel</t>
  </si>
  <si>
    <t>- Contractual debt amortization  (net of aircraft note issuance)</t>
  </si>
  <si>
    <t xml:space="preserve">  EBITDA</t>
  </si>
  <si>
    <t>DIO (Fuel Inventory)</t>
  </si>
  <si>
    <t xml:space="preserve"> Loyalty program deferred revenue</t>
  </si>
  <si>
    <t>Prepaid and Fuel Inventory</t>
  </si>
  <si>
    <t xml:space="preserve">Contractual debt amortization </t>
  </si>
  <si>
    <t>Less: Minimum investment</t>
  </si>
  <si>
    <t>Plus: Beginning investment</t>
  </si>
  <si>
    <t xml:space="preserve">Fuel expense </t>
  </si>
  <si>
    <t>$/ USG:</t>
  </si>
  <si>
    <t>2003</t>
  </si>
  <si>
    <t>2004</t>
  </si>
  <si>
    <t>2005</t>
  </si>
  <si>
    <t>2006</t>
  </si>
  <si>
    <t>2007</t>
  </si>
  <si>
    <t>2008</t>
  </si>
  <si>
    <t>2009</t>
  </si>
  <si>
    <t>2010</t>
  </si>
  <si>
    <t>2011</t>
  </si>
  <si>
    <t>2020</t>
  </si>
  <si>
    <t xml:space="preserve">  LUV</t>
  </si>
  <si>
    <t>Fuel</t>
  </si>
  <si>
    <t>Expense</t>
  </si>
  <si>
    <t>($/ USG)</t>
  </si>
  <si>
    <t>Column1</t>
  </si>
  <si>
    <t>Rolling Average NTM ASM</t>
  </si>
  <si>
    <t>2021</t>
  </si>
  <si>
    <t>US Kerosene Jet Fuel (EIA)</t>
  </si>
  <si>
    <t>EV/ 2022 Consensus EBITDA</t>
  </si>
  <si>
    <t xml:space="preserve">  Accrued salaries and benefits</t>
  </si>
  <si>
    <t xml:space="preserve">  Payroll Support Program deferred credit</t>
  </si>
  <si>
    <t>Aircraft purchase commitments</t>
  </si>
  <si>
    <t xml:space="preserve">  Total Capital expenditure as a % of revenue</t>
  </si>
  <si>
    <t xml:space="preserve">  Change  in restricted short-term investments</t>
  </si>
  <si>
    <t>EBT</t>
  </si>
  <si>
    <t>Sale/ purchase of  short term investment</t>
  </si>
  <si>
    <t xml:space="preserve">  Flight equipment</t>
  </si>
  <si>
    <t xml:space="preserve">  Other property and equipment</t>
  </si>
  <si>
    <t xml:space="preserve">  Purchase deposits for flight equipment</t>
  </si>
  <si>
    <t>Assumed aircraft purchases</t>
  </si>
  <si>
    <t>- Capital Expenditure (excluding aircraft purchase)</t>
  </si>
  <si>
    <t>- Capital expenditure</t>
  </si>
  <si>
    <t>CAGR Growth</t>
  </si>
  <si>
    <t>2014-2019</t>
  </si>
  <si>
    <t>Airfare growth</t>
  </si>
  <si>
    <t>Volume growth</t>
  </si>
  <si>
    <t>Cash Availability Table</t>
  </si>
  <si>
    <t>AS247903 Corp</t>
  </si>
  <si>
    <t>DAL 3.8 04/19/23</t>
  </si>
  <si>
    <t>ZQ224343 Corp</t>
  </si>
  <si>
    <t>DAL 3 ¾ 10/28/29</t>
  </si>
  <si>
    <t>Ba2</t>
  </si>
  <si>
    <t>BB</t>
  </si>
  <si>
    <t>59921PAB2 Corp</t>
  </si>
  <si>
    <t>HIP/LF/SIF/RBCF</t>
  </si>
  <si>
    <t>Baa1</t>
  </si>
  <si>
    <t>Baa3</t>
  </si>
  <si>
    <t>BBB-</t>
  </si>
  <si>
    <t>BBB</t>
  </si>
  <si>
    <t>Redemption of short-term investments, net</t>
  </si>
  <si>
    <t>Q222A</t>
  </si>
  <si>
    <t>Q322E</t>
  </si>
  <si>
    <t>Stable Value Income</t>
  </si>
  <si>
    <t>Deep Value Convex</t>
  </si>
  <si>
    <t>Beta+</t>
  </si>
  <si>
    <t>ESG</t>
  </si>
  <si>
    <t>By 2024, we expect liquidity to be</t>
  </si>
  <si>
    <t>between $5 billion and $6 billion as we work to reduce our financial obligations and reinvest in the business</t>
  </si>
  <si>
    <t>Receovery (vs. 2019)</t>
  </si>
  <si>
    <t>Adj. Revenue recovery</t>
  </si>
  <si>
    <t>Actual Vs Projections: Q1'22</t>
  </si>
  <si>
    <t xml:space="preserve">Beats </t>
  </si>
  <si>
    <t>Misses</t>
  </si>
  <si>
    <t>Vs Model</t>
  </si>
  <si>
    <t>Actual</t>
  </si>
  <si>
    <t>Diff.</t>
  </si>
  <si>
    <t>KPIs</t>
  </si>
  <si>
    <t>Adj. Revenue</t>
  </si>
  <si>
    <t>Adj. EBITDA (before profit sharing)</t>
  </si>
  <si>
    <t xml:space="preserve">  Passenger mile yield</t>
  </si>
  <si>
    <t xml:space="preserve">  Load Factor</t>
  </si>
  <si>
    <t xml:space="preserve">  CASM Ex-fuel</t>
  </si>
  <si>
    <t xml:space="preserve">  Fuel purchase cost</t>
  </si>
  <si>
    <t xml:space="preserve">  Fuel ($/USG)</t>
  </si>
  <si>
    <t>AC CN</t>
  </si>
  <si>
    <t>ALK US</t>
  </si>
  <si>
    <t>AEROMEX* MM</t>
  </si>
  <si>
    <t>HA US</t>
  </si>
  <si>
    <t>CPA US</t>
  </si>
  <si>
    <t>passenger, freight, and mail service. American Airlines Group serves customers</t>
  </si>
  <si>
    <t>in the United States and Canada.</t>
  </si>
  <si>
    <t>freight, and mail over a network of routes. The Company offers flight status</t>
  </si>
  <si>
    <t>information, bookings, baggage handling, and other related services. Delta Air</t>
  </si>
  <si>
    <t>Lines serves customers worldwide.</t>
  </si>
  <si>
    <t>through its subsidiaries, owns and manages airlines that transports people and</t>
  </si>
  <si>
    <t>cargos. United Airlines Holdings serves customers worldwide.</t>
  </si>
  <si>
    <t>BK188757 Corp</t>
  </si>
  <si>
    <t>AAL 11 ¾ 07/15/25</t>
  </si>
  <si>
    <t>BO465233 Corp</t>
  </si>
  <si>
    <t>AAL 5 ½ 04/20/26</t>
  </si>
  <si>
    <t>BO465237 Corp</t>
  </si>
  <si>
    <t>AAL 5 ¾ 04/20/29</t>
  </si>
  <si>
    <t>BJ985200 Corp</t>
  </si>
  <si>
    <t>DAL 7 ⅜ 01/15/26</t>
  </si>
  <si>
    <t>BJ090228 Corp</t>
  </si>
  <si>
    <t>DAL 7 05/01/25</t>
  </si>
  <si>
    <t>ZO479585 Corp</t>
  </si>
  <si>
    <t>DAL 4 ¾ 10/20/28</t>
  </si>
  <si>
    <t>ZO479583 Corp</t>
  </si>
  <si>
    <t>DAL 4 ½ 10/20/25</t>
  </si>
  <si>
    <t>AS247904 Corp</t>
  </si>
  <si>
    <t>DAL 4 ⅜ 04/19/28</t>
  </si>
  <si>
    <t>ZQ224342 Corp</t>
  </si>
  <si>
    <t>DAL 2.9 10/28/24</t>
  </si>
  <si>
    <t>BK211880 Corp</t>
  </si>
  <si>
    <t>UAL 6 ½ 06/20/27</t>
  </si>
  <si>
    <t>BP057368 Corp</t>
  </si>
  <si>
    <t>UAL 4 ⅜ 04/15/26</t>
  </si>
  <si>
    <t>BL339282 Corp</t>
  </si>
  <si>
    <t>BL360409 Corp</t>
  </si>
  <si>
    <t>BL100157 Corp</t>
  </si>
  <si>
    <t>BL140741 Corp</t>
  </si>
  <si>
    <t>BL251723 Corp</t>
  </si>
  <si>
    <t>BL256132 Corp</t>
  </si>
  <si>
    <t>BL269818 Corp</t>
  </si>
  <si>
    <t>BL295155 Corp</t>
  </si>
  <si>
    <t>BL295509 Corp</t>
  </si>
  <si>
    <t>BL295512 Corp</t>
  </si>
  <si>
    <t>BL328613 Corp</t>
  </si>
  <si>
    <t>BL357081 Corp</t>
  </si>
  <si>
    <t>ULT-AGG</t>
  </si>
  <si>
    <t>Investment Advisor</t>
  </si>
  <si>
    <t>Philadelphia</t>
  </si>
  <si>
    <t>PRIMECAP MANAGEMENT</t>
  </si>
  <si>
    <t>13F</t>
  </si>
  <si>
    <t>BLACKROCK</t>
  </si>
  <si>
    <t>STATE STREET CORP</t>
  </si>
  <si>
    <t>Boston</t>
  </si>
  <si>
    <t>US GLOBAL INVESTORS</t>
  </si>
  <si>
    <t>San Antonio</t>
  </si>
  <si>
    <t>TWO SIGMA</t>
  </si>
  <si>
    <t>Hedge Fund Manager</t>
  </si>
  <si>
    <t>GEODE CAPITAL MANAGE</t>
  </si>
  <si>
    <t>SIG HOLDING LLC</t>
  </si>
  <si>
    <t>Holding Company</t>
  </si>
  <si>
    <t>ALLIANZ SE</t>
  </si>
  <si>
    <t>Germany</t>
  </si>
  <si>
    <t>Munich</t>
  </si>
  <si>
    <t>INVESCO LTD</t>
  </si>
  <si>
    <t>Atlanta</t>
  </si>
  <si>
    <t>TIAA-CREF</t>
  </si>
  <si>
    <t>GOLDMAN SACHS GROUP</t>
  </si>
  <si>
    <t>NORTHERN TRUST CORPO</t>
  </si>
  <si>
    <t>Trust</t>
  </si>
  <si>
    <t>Chicago</t>
  </si>
  <si>
    <t>NEUBERGER BERMAN GRO</t>
  </si>
  <si>
    <t>CHARLES SCHWAB CORPO</t>
  </si>
  <si>
    <t>Brokerage</t>
  </si>
  <si>
    <t>San Francisco/San Jose</t>
  </si>
  <si>
    <t>MORGAN STANLEY</t>
  </si>
  <si>
    <t>BANK OF NEW YORK MEL</t>
  </si>
  <si>
    <t>D E SHAW &amp; CO INC</t>
  </si>
  <si>
    <t>D E SHAW &amp; CO</t>
  </si>
  <si>
    <t>UBS</t>
  </si>
  <si>
    <t>Switzerland</t>
  </si>
  <si>
    <t>Zurich</t>
  </si>
  <si>
    <t>JANE STREET GROUP LL</t>
  </si>
  <si>
    <t>CAPITAL GROUP COMPAN</t>
  </si>
  <si>
    <t>Multiple Portfolios</t>
  </si>
  <si>
    <t>FMR LLC</t>
  </si>
  <si>
    <t>NEWPORT TRUST CO</t>
  </si>
  <si>
    <t>BANK OF MONTREAL</t>
  </si>
  <si>
    <t>BANK OF MONTREAL /CA</t>
  </si>
  <si>
    <t>Bank</t>
  </si>
  <si>
    <t>Canada</t>
  </si>
  <si>
    <t>Toronto</t>
  </si>
  <si>
    <t>PAR CAPITAL MANAGEME</t>
  </si>
  <si>
    <t>LSV ASSET MANAGEMENT</t>
  </si>
  <si>
    <t>DIMENSIONAL FUND ADV</t>
  </si>
  <si>
    <t>Austin</t>
  </si>
  <si>
    <t>ALTIMETER CAPITAL MA</t>
  </si>
  <si>
    <t>JPMORGAN CHASE &amp; CO</t>
  </si>
  <si>
    <t>GALLAGHER FIDUCIARY</t>
  </si>
  <si>
    <t>BANK OF AMERICA CORP</t>
  </si>
  <si>
    <t>Charlotte</t>
  </si>
  <si>
    <t>MILLENNIUM MANAGEMEN</t>
  </si>
  <si>
    <t>LANSDOWNE PARTNERS U</t>
  </si>
  <si>
    <t>LANSDOWNE PARTNERS (</t>
  </si>
  <si>
    <t>United Kingdom</t>
  </si>
  <si>
    <t>London</t>
  </si>
  <si>
    <t>02376CBA2 corp</t>
  </si>
  <si>
    <t>AAL Term Loan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</si>
</sst>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7">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2]* #,##0.00_);_([$€-2]* \(#,##0.00\);_([$€-2]* &quot;-&quot;??_)"/>
    <numFmt numFmtId="172" formatCode="mmmm\ dd"/>
    <numFmt numFmtId="173" formatCode="#,##0_);\(#,##0\);\-\ "/>
    <numFmt numFmtId="174" formatCode="#,##0.0_);\(#,##0.0\);\-\ "/>
    <numFmt numFmtId="175" formatCode="&quot;$&quot;#,##0.0_);\(&quot;$&quot;#,##0.0\)"/>
    <numFmt numFmtId="176" formatCode="0.0%"/>
    <numFmt numFmtId="177" formatCode="#,##0.0_);\(#,##0.0\)"/>
    <numFmt numFmtId="178" formatCode="0.0%;\(0.0%\)"/>
    <numFmt numFmtId="179" formatCode="0\ &quot;bps&quot;"/>
    <numFmt numFmtId="180" formatCode="0.0%_);\(0.0%\)"/>
    <numFmt numFmtId="181" formatCode="0.0\x_);\(0.0\x\);\-\ "/>
    <numFmt numFmtId="182" formatCode="&quot;$&quot;#,##0_);\(&quot;$&quot;#,##0\);\-\ "/>
    <numFmt numFmtId="183" formatCode="_(* #,##0_);_(* \(#,##0\);_(* &quot;-&quot;??_);_(@_)"/>
    <numFmt numFmtId="184" formatCode="&quot;FY&quot;General&quot;A&quot;"/>
    <numFmt numFmtId="185" formatCode="&quot;FY&quot;General&quot;E&quot;"/>
    <numFmt numFmtId="186" formatCode="0.0\x"/>
    <numFmt numFmtId="187" formatCode=";;;"/>
    <numFmt numFmtId="188" formatCode="[$-409]d\-mmm\-yy;@"/>
    <numFmt numFmtId="189" formatCode="#,##0.000_);\(#,##0.000\);\-\ "/>
    <numFmt numFmtId="190" formatCode="_-* #,##0_-;\-* #,##0_-;_-* &quot;-&quot;_-;_-@_-"/>
    <numFmt numFmtId="191" formatCode="_-* #,##0.00_-;\-* #,##0.00_-;_-* &quot;-&quot;??_-;_-@_-"/>
    <numFmt numFmtId="192" formatCode="#,##0.0"/>
    <numFmt numFmtId="193" formatCode="#,##0_%_);\(#,##0\)_%;#,##0_%_);@_%_)"/>
    <numFmt numFmtId="194" formatCode="&quot;$&quot;#,##0_%_);\(&quot;$&quot;#,##0\)_%;&quot;$&quot;#,##0_%_);@_%_)"/>
    <numFmt numFmtId="195" formatCode="&quot;$&quot;#,##0.00_%_);\(&quot;$&quot;#,##0.00\)_%;&quot;$&quot;#,##0.00_%_);@_%_)"/>
    <numFmt numFmtId="196" formatCode="m/d/yy_%_)"/>
    <numFmt numFmtId="197" formatCode="0_%_);\(0\)_%;0_%_);@_%_)"/>
    <numFmt numFmtId="198" formatCode="#,##0.0\ ;\(#,##0.0\)"/>
    <numFmt numFmtId="199" formatCode="0.000"/>
    <numFmt numFmtId="200" formatCode="0.0\%_);\(0.0\%\);0.0\%_);@_%_)"/>
    <numFmt numFmtId="201" formatCode="0.0\x_)_);&quot;NM&quot;_x_)_);0.0\x_)_);@_%_)"/>
    <numFmt numFmtId="202" formatCode="0.00_)"/>
    <numFmt numFmtId="203" formatCode="&quot;$&quot;0.0"/>
    <numFmt numFmtId="204" formatCode="_-&quot;ÖS&quot;\ * #,##0_-;\-&quot;ÖS&quot;\ * #,##0_-;_-&quot;ÖS&quot;\ * &quot;-&quot;_-;_-@_-"/>
    <numFmt numFmtId="205" formatCode="_-&quot;ÖS&quot;\ * #,##0.00_-;\-&quot;ÖS&quot;\ * #,##0.00_-;_-&quot;ÖS&quot;\ * &quot;-&quot;??_-;_-@_-"/>
    <numFmt numFmtId="206" formatCode="_(&quot;$&quot;* #,##0.0_);_(&quot;$&quot;* \(#,##0.0\);_(&quot;$&quot;* &quot;-&quot;??_);_(@_)"/>
    <numFmt numFmtId="207" formatCode="[$-409]mmm\-yy;@"/>
    <numFmt numFmtId="208" formatCode="General&quot;F&quot;"/>
    <numFmt numFmtId="209" formatCode="General&quot;A&quot;"/>
    <numFmt numFmtId="210" formatCode="&quot;Q4&quot;\ General"/>
    <numFmt numFmtId="211" formatCode="&quot;Q3&quot;\ General"/>
    <numFmt numFmtId="212" formatCode="&quot;Q2&quot;\ General"/>
    <numFmt numFmtId="213" formatCode="&quot;Q1&quot;\ General"/>
    <numFmt numFmtId="214" formatCode="&quot;FY&quot;\ #"/>
    <numFmt numFmtId="215" formatCode="0.000%_);\(0.000%\)"/>
    <numFmt numFmtId="216" formatCode="General\ &quot;Years  &quot;"/>
    <numFmt numFmtId="217" formatCode="&quot;Q2&quot;\ #"/>
    <numFmt numFmtId="218" formatCode="&quot;Q2&quot;\ General&quot;F&quot;"/>
    <numFmt numFmtId="219" formatCode="&quot;Q3&quot;\ General&quot;F&quot;"/>
    <numFmt numFmtId="220" formatCode="&quot;Q4&quot;\ General&quot;F&quot;"/>
    <numFmt numFmtId="221" formatCode="[$-409]dd\-mmm\-yy;@"/>
    <numFmt numFmtId="222" formatCode="&quot;$&quot;#,##0.0_);\(&quot;$&quot;#,##0.0\);\-\ "/>
    <numFmt numFmtId="223" formatCode="&quot;$&quot;#,##0.00_);\(&quot;$&quot;#,##0.00\);\-\ "/>
    <numFmt numFmtId="224" formatCode="\¢#,##0.00_);\(\¢#,##0.00\);\-\ "/>
    <numFmt numFmtId="225" formatCode="#,##0.00_);\(#,##0.00\);\-\ "/>
    <numFmt numFmtId="226" formatCode="0%_);\(0%\)"/>
    <numFmt numFmtId="227" formatCode="0.00%_);\(0.00%\)"/>
    <numFmt numFmtId="228" formatCode="#,##0.000_);\(#,##0.000\)"/>
    <numFmt numFmtId="229" formatCode="#,##0_)&quot;Months&quot;"/>
    <numFmt numFmtId="230" formatCode="#,##0.000"/>
  </numFmts>
  <fonts count="147">
    <font>
      <sz val="11"/>
      <color theme="1"/>
      <name val="Calibri"/>
      <family val="2"/>
      <scheme val="minor"/>
    </font>
    <font>
      <sz val="11"/>
      <color theme="1"/>
      <name val="Calibri"/>
      <family val="2"/>
      <scheme val="minor"/>
    </font>
    <font>
      <sz val="14"/>
      <color theme="1"/>
      <name val="Calibri"/>
      <family val="2"/>
      <scheme val="minor"/>
    </font>
    <font>
      <sz val="9"/>
      <color theme="1"/>
      <name val="Calibri"/>
      <family val="2"/>
      <scheme val="minor"/>
    </font>
    <font>
      <b/>
      <sz val="16"/>
      <color theme="0"/>
      <name val="Calibri"/>
      <family val="2"/>
      <scheme val="minor"/>
    </font>
    <font>
      <sz val="14"/>
      <color theme="0"/>
      <name val="Calibri"/>
      <family val="2"/>
      <scheme val="minor"/>
    </font>
    <font>
      <b/>
      <sz val="14"/>
      <color theme="0"/>
      <name val="Calibri"/>
      <family val="2"/>
      <scheme val="minor"/>
    </font>
    <font>
      <b/>
      <sz val="14"/>
      <color rgb="FF0000FF"/>
      <name val="Calibri"/>
      <family val="2"/>
      <scheme val="minor"/>
    </font>
    <font>
      <sz val="14"/>
      <color rgb="FF0000FF"/>
      <name val="Calibri"/>
      <family val="2"/>
      <scheme val="minor"/>
    </font>
    <font>
      <sz val="12"/>
      <color theme="1"/>
      <name val="Calibri"/>
      <family val="2"/>
      <scheme val="minor"/>
    </font>
    <font>
      <sz val="14"/>
      <color indexed="8"/>
      <name val="Calibri"/>
      <family val="2"/>
      <scheme val="minor"/>
    </font>
    <font>
      <b/>
      <sz val="14"/>
      <color theme="1"/>
      <name val="Calibri"/>
      <family val="2"/>
      <scheme val="minor"/>
    </font>
    <font>
      <sz val="14"/>
      <color rgb="FF000000"/>
      <name val="Calibri"/>
      <family val="2"/>
      <scheme val="minor"/>
    </font>
    <font>
      <u/>
      <sz val="11"/>
      <color theme="10"/>
      <name val="Calibri"/>
      <family val="2"/>
      <scheme val="minor"/>
    </font>
    <font>
      <u/>
      <sz val="14"/>
      <color theme="10"/>
      <name val="Calibri"/>
      <family val="2"/>
      <scheme val="minor"/>
    </font>
    <font>
      <sz val="12"/>
      <color theme="0"/>
      <name val="Calibri"/>
      <family val="2"/>
      <scheme val="minor"/>
    </font>
    <font>
      <b/>
      <u/>
      <sz val="14"/>
      <color theme="1"/>
      <name val="Calibri"/>
      <family val="2"/>
      <scheme val="minor"/>
    </font>
    <font>
      <b/>
      <sz val="12"/>
      <color theme="1"/>
      <name val="Calibri"/>
      <family val="2"/>
      <scheme val="minor"/>
    </font>
    <font>
      <sz val="14"/>
      <name val="Calibri"/>
      <family val="2"/>
      <scheme val="minor"/>
    </font>
    <font>
      <sz val="14"/>
      <color indexed="17"/>
      <name val="Calibri"/>
      <family val="2"/>
      <scheme val="minor"/>
    </font>
    <font>
      <u/>
      <sz val="14"/>
      <name val="Calibri"/>
      <family val="2"/>
      <scheme val="minor"/>
    </font>
    <font>
      <u/>
      <sz val="14"/>
      <color theme="1"/>
      <name val="Calibri"/>
      <family val="2"/>
      <scheme val="minor"/>
    </font>
    <font>
      <u/>
      <sz val="14"/>
      <color rgb="FF0000FF"/>
      <name val="Calibri"/>
      <family val="2"/>
      <scheme val="minor"/>
    </font>
    <font>
      <sz val="14"/>
      <color theme="4"/>
      <name val="Calibri"/>
      <family val="2"/>
      <scheme val="minor"/>
    </font>
    <font>
      <i/>
      <sz val="14"/>
      <color theme="0"/>
      <name val="Calibri"/>
      <family val="2"/>
      <scheme val="minor"/>
    </font>
    <font>
      <i/>
      <sz val="14"/>
      <name val="Calibri"/>
      <family val="2"/>
      <scheme val="minor"/>
    </font>
    <font>
      <b/>
      <sz val="14"/>
      <color indexed="8"/>
      <name val="Calibri"/>
      <family val="2"/>
      <scheme val="minor"/>
    </font>
    <font>
      <u/>
      <sz val="14"/>
      <color indexed="8"/>
      <name val="Calibri"/>
      <family val="2"/>
      <scheme val="minor"/>
    </font>
    <font>
      <b/>
      <sz val="14"/>
      <name val="Calibri"/>
      <family val="2"/>
      <scheme val="minor"/>
    </font>
    <font>
      <u/>
      <sz val="14"/>
      <color indexed="17"/>
      <name val="Calibri"/>
      <family val="2"/>
      <scheme val="minor"/>
    </font>
    <font>
      <sz val="14"/>
      <color indexed="10"/>
      <name val="Calibri"/>
      <family val="2"/>
      <scheme val="minor"/>
    </font>
    <font>
      <i/>
      <sz val="14"/>
      <color indexed="8"/>
      <name val="Calibri"/>
      <family val="2"/>
      <scheme val="minor"/>
    </font>
    <font>
      <sz val="14"/>
      <color rgb="FFFF0000"/>
      <name val="Calibri"/>
      <family val="2"/>
      <scheme val="minor"/>
    </font>
    <font>
      <b/>
      <sz val="14"/>
      <color rgb="FFFF0000"/>
      <name val="Calibri"/>
      <family val="2"/>
      <scheme val="minor"/>
    </font>
    <font>
      <sz val="8"/>
      <color rgb="FF2F6CA8"/>
      <name val="Arial"/>
      <family val="2"/>
    </font>
    <font>
      <i/>
      <sz val="14"/>
      <color rgb="FF0000FF"/>
      <name val="Calibri"/>
      <family val="2"/>
      <scheme val="minor"/>
    </font>
    <font>
      <i/>
      <sz val="14"/>
      <color theme="1"/>
      <name val="Calibri"/>
      <family val="2"/>
      <scheme val="minor"/>
    </font>
    <font>
      <sz val="10"/>
      <name val="Arial"/>
      <family val="2"/>
    </font>
    <font>
      <b/>
      <sz val="8"/>
      <color indexed="10"/>
      <name val="Calibri"/>
      <family val="2"/>
      <scheme val="minor"/>
    </font>
    <font>
      <b/>
      <u val="singleAccounting"/>
      <sz val="14"/>
      <color theme="1"/>
      <name val="Calibri"/>
      <family val="2"/>
      <scheme val="minor"/>
    </font>
    <font>
      <u/>
      <sz val="12"/>
      <color rgb="FF000000"/>
      <name val="BWHaasText-75Bold"/>
    </font>
    <font>
      <sz val="12"/>
      <color indexed="10"/>
      <name val="Calibri"/>
      <family val="2"/>
      <scheme val="minor"/>
    </font>
    <font>
      <b/>
      <u/>
      <sz val="12"/>
      <color theme="1"/>
      <name val="Calibri"/>
      <family val="2"/>
      <scheme val="minor"/>
    </font>
    <font>
      <b/>
      <sz val="8"/>
      <color theme="1"/>
      <name val="Calibri"/>
      <family val="2"/>
      <scheme val="minor"/>
    </font>
    <font>
      <sz val="8"/>
      <color theme="1"/>
      <name val="Calibri"/>
      <family val="2"/>
      <scheme val="minor"/>
    </font>
    <font>
      <sz val="8"/>
      <color indexed="8"/>
      <name val="Calibri"/>
      <family val="2"/>
      <scheme val="minor"/>
    </font>
    <font>
      <sz val="8"/>
      <color indexed="10"/>
      <name val="Calibri"/>
      <family val="2"/>
      <scheme val="minor"/>
    </font>
    <font>
      <b/>
      <u/>
      <sz val="8"/>
      <color theme="1"/>
      <name val="Calibri"/>
      <family val="2"/>
      <scheme val="minor"/>
    </font>
    <font>
      <sz val="8"/>
      <color indexed="12"/>
      <name val="Calibri"/>
      <family val="2"/>
      <scheme val="minor"/>
    </font>
    <font>
      <b/>
      <sz val="8"/>
      <color indexed="8"/>
      <name val="Calibri"/>
      <family val="2"/>
      <scheme val="minor"/>
    </font>
    <font>
      <sz val="14"/>
      <color indexed="12"/>
      <name val="Calibri"/>
      <family val="2"/>
      <scheme val="minor"/>
    </font>
    <font>
      <sz val="8"/>
      <name val="Univers"/>
      <family val="2"/>
    </font>
    <font>
      <sz val="10"/>
      <color indexed="8"/>
      <name val="MS Sans Serif"/>
      <family val="2"/>
    </font>
    <font>
      <sz val="10"/>
      <name val="Courier"/>
      <family val="3"/>
    </font>
    <font>
      <sz val="10"/>
      <color indexed="8"/>
      <name val="Sabon"/>
      <family val="1"/>
    </font>
    <font>
      <sz val="10"/>
      <name val="MS Sans Serif"/>
      <family val="2"/>
    </font>
    <font>
      <sz val="11"/>
      <name val="Arial"/>
      <family val="2"/>
    </font>
    <font>
      <sz val="9"/>
      <name val="Times New Roman"/>
      <family val="1"/>
    </font>
    <font>
      <sz val="8"/>
      <name val="Arial"/>
      <family val="2"/>
    </font>
    <font>
      <sz val="8"/>
      <color indexed="12"/>
      <name val="Arial"/>
      <family val="2"/>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9"/>
      <name val="Arial"/>
      <family val="2"/>
    </font>
    <font>
      <sz val="9"/>
      <name val="AGaramond"/>
    </font>
    <font>
      <sz val="8"/>
      <name val="Palatino"/>
      <family val="1"/>
    </font>
    <font>
      <sz val="12"/>
      <name val="TimesNewRomanPS"/>
    </font>
    <font>
      <sz val="10"/>
      <name val="Times New Roman"/>
      <family val="1"/>
    </font>
    <font>
      <sz val="9"/>
      <color indexed="12"/>
      <name val="Times New Roman"/>
      <family val="1"/>
    </font>
    <font>
      <sz val="8"/>
      <color indexed="10"/>
      <name val="Arial"/>
      <family val="2"/>
    </font>
    <font>
      <sz val="7"/>
      <name val="Palatino"/>
      <family val="1"/>
    </font>
    <font>
      <b/>
      <sz val="10"/>
      <name val="Times New Roman"/>
      <family val="1"/>
    </font>
    <font>
      <sz val="9"/>
      <name val="GillSans"/>
    </font>
    <font>
      <sz val="9"/>
      <name val="GillSans Light"/>
    </font>
    <font>
      <b/>
      <sz val="12"/>
      <name val="Times New Roman"/>
      <family val="1"/>
    </font>
    <font>
      <b/>
      <i/>
      <sz val="10"/>
      <name val="Times New Roman"/>
      <family val="1"/>
    </font>
    <font>
      <i/>
      <sz val="10"/>
      <name val="Times New Roman"/>
      <family val="1"/>
    </font>
    <font>
      <b/>
      <sz val="8"/>
      <color indexed="8"/>
      <name val="Arial"/>
      <family val="2"/>
    </font>
    <font>
      <b/>
      <sz val="12"/>
      <name val="Arial"/>
      <family val="2"/>
    </font>
    <font>
      <b/>
      <sz val="10"/>
      <color indexed="8"/>
      <name val="News Gothic"/>
      <family val="2"/>
    </font>
    <font>
      <b/>
      <sz val="8"/>
      <color indexed="9"/>
      <name val="Arial"/>
      <family val="2"/>
    </font>
    <font>
      <sz val="7"/>
      <name val="Helv"/>
    </font>
    <font>
      <b/>
      <i/>
      <sz val="16"/>
      <name val="Helv"/>
    </font>
    <font>
      <b/>
      <sz val="10"/>
      <name val="MS Sans Serif"/>
      <family val="2"/>
    </font>
    <font>
      <sz val="9"/>
      <name val="Helv"/>
    </font>
    <font>
      <b/>
      <sz val="9"/>
      <name val="Helv"/>
    </font>
    <font>
      <sz val="10"/>
      <color indexed="16"/>
      <name val="Helvetica-Black"/>
    </font>
    <font>
      <i/>
      <sz val="9"/>
      <name val="Helv"/>
    </font>
    <font>
      <b/>
      <sz val="10"/>
      <color indexed="9"/>
      <name val="Arial"/>
      <family val="2"/>
    </font>
    <font>
      <i/>
      <sz val="8"/>
      <name val="Univers"/>
      <family val="2"/>
    </font>
    <font>
      <b/>
      <sz val="8"/>
      <name val="Univers"/>
      <family val="2"/>
    </font>
    <font>
      <b/>
      <u/>
      <sz val="9"/>
      <name val="Helv"/>
    </font>
    <font>
      <b/>
      <sz val="9"/>
      <name val="Palatino"/>
      <family val="1"/>
    </font>
    <font>
      <sz val="10"/>
      <name val="Univers"/>
      <family val="2"/>
    </font>
    <font>
      <sz val="9"/>
      <name val="Helvetica-Black"/>
    </font>
    <font>
      <sz val="8"/>
      <name val="Helvetica-Narrow"/>
      <family val="2"/>
    </font>
    <font>
      <b/>
      <sz val="7"/>
      <name val="Helvetica-Narrow"/>
      <family val="2"/>
    </font>
    <font>
      <sz val="8"/>
      <color indexed="16"/>
      <name val="Helv"/>
    </font>
    <font>
      <i/>
      <sz val="12"/>
      <color theme="1"/>
      <name val="Calibri"/>
      <family val="2"/>
      <scheme val="minor"/>
    </font>
    <font>
      <sz val="8"/>
      <color theme="0"/>
      <name val="Calibri"/>
      <family val="2"/>
      <scheme val="minor"/>
    </font>
    <font>
      <i/>
      <sz val="8"/>
      <color theme="1"/>
      <name val="Calibri"/>
      <family val="2"/>
      <scheme val="minor"/>
    </font>
    <font>
      <b/>
      <sz val="8"/>
      <color indexed="12"/>
      <name val="Calibri"/>
      <family val="2"/>
      <scheme val="minor"/>
    </font>
    <font>
      <sz val="8"/>
      <color indexed="17"/>
      <name val="Calibri"/>
      <family val="2"/>
      <scheme val="minor"/>
    </font>
    <font>
      <sz val="8"/>
      <color indexed="14"/>
      <name val="Calibri"/>
      <family val="2"/>
      <scheme val="minor"/>
    </font>
    <font>
      <b/>
      <sz val="8"/>
      <color indexed="17"/>
      <name val="Calibri"/>
      <family val="2"/>
      <scheme val="minor"/>
    </font>
    <font>
      <sz val="8"/>
      <name val="Calibri"/>
      <family val="2"/>
      <scheme val="minor"/>
    </font>
    <font>
      <i/>
      <sz val="8"/>
      <color indexed="12"/>
      <name val="Calibri"/>
      <family val="2"/>
      <scheme val="minor"/>
    </font>
    <font>
      <b/>
      <sz val="11"/>
      <color indexed="9"/>
      <name val="Calibri"/>
      <family val="2"/>
    </font>
    <font>
      <sz val="1"/>
      <color indexed="9"/>
      <name val="Symbol"/>
      <family val="1"/>
      <charset val="2"/>
    </font>
    <font>
      <sz val="12"/>
      <color indexed="8"/>
      <name val="Calibri"/>
      <family val="2"/>
      <scheme val="minor"/>
    </font>
    <font>
      <u/>
      <sz val="14"/>
      <color indexed="12"/>
      <name val="Calibri"/>
      <family val="2"/>
      <scheme val="minor"/>
    </font>
    <font>
      <sz val="9"/>
      <color indexed="81"/>
      <name val="Tahoma"/>
      <family val="2"/>
    </font>
    <font>
      <b/>
      <i/>
      <sz val="8"/>
      <color theme="1"/>
      <name val="Calibri"/>
      <family val="2"/>
      <scheme val="minor"/>
    </font>
    <font>
      <b/>
      <sz val="10"/>
      <color theme="1"/>
      <name val="Calibri"/>
      <family val="2"/>
      <scheme val="minor"/>
    </font>
    <font>
      <u/>
      <sz val="8"/>
      <color theme="10"/>
      <name val="Calibri"/>
      <family val="2"/>
      <scheme val="minor"/>
    </font>
    <font>
      <i/>
      <sz val="8"/>
      <color indexed="8"/>
      <name val="Calibri"/>
      <family val="2"/>
      <scheme val="minor"/>
    </font>
    <font>
      <b/>
      <i/>
      <sz val="8"/>
      <color indexed="10"/>
      <name val="Calibri"/>
      <family val="2"/>
      <scheme val="minor"/>
    </font>
    <font>
      <i/>
      <sz val="8"/>
      <color indexed="10"/>
      <name val="Calibri"/>
      <family val="2"/>
      <scheme val="minor"/>
    </font>
    <font>
      <b/>
      <i/>
      <sz val="8"/>
      <color indexed="8"/>
      <name val="Calibri"/>
      <family val="2"/>
      <scheme val="minor"/>
    </font>
    <font>
      <b/>
      <i/>
      <sz val="8"/>
      <color indexed="17"/>
      <name val="Calibri"/>
      <family val="2"/>
      <scheme val="minor"/>
    </font>
    <font>
      <b/>
      <sz val="11"/>
      <color theme="1"/>
      <name val="Calibri"/>
      <family val="2"/>
      <scheme val="minor"/>
    </font>
    <font>
      <b/>
      <sz val="11"/>
      <color indexed="9"/>
      <name val="Calibri"/>
      <family val="2"/>
      <scheme val="minor"/>
    </font>
    <font>
      <b/>
      <sz val="8"/>
      <color rgb="FFFF0000"/>
      <name val="Calibri"/>
      <family val="2"/>
      <scheme val="minor"/>
    </font>
    <font>
      <u/>
      <sz val="8"/>
      <color indexed="10"/>
      <name val="Calibri"/>
      <family val="2"/>
      <scheme val="minor"/>
    </font>
    <font>
      <u/>
      <sz val="8"/>
      <color theme="1"/>
      <name val="Calibri"/>
      <family val="2"/>
      <scheme val="minor"/>
    </font>
    <font>
      <sz val="14"/>
      <color indexed="81"/>
      <name val="Tahoma"/>
      <family val="2"/>
    </font>
    <font>
      <b/>
      <sz val="9"/>
      <color rgb="FFFFFFFF"/>
      <name val="Arial"/>
      <family val="2"/>
    </font>
    <font>
      <sz val="8"/>
      <color rgb="FF000000"/>
      <name val="Verdana"/>
      <family val="2"/>
    </font>
    <font>
      <b/>
      <sz val="8"/>
      <color rgb="FF000000"/>
      <name val="Verdana"/>
      <family val="2"/>
    </font>
    <font>
      <sz val="8"/>
      <color rgb="FF000000"/>
      <name val="Arial"/>
      <family val="2"/>
    </font>
    <font>
      <b/>
      <sz val="9"/>
      <color indexed="81"/>
      <name val="Tahoma"/>
      <family val="2"/>
    </font>
    <font>
      <sz val="12"/>
      <color indexed="12"/>
      <name val="Calibri"/>
      <family val="2"/>
      <scheme val="minor"/>
    </font>
    <font>
      <sz val="26"/>
      <name val="Segoe UI Light"/>
      <family val="2"/>
    </font>
    <font>
      <sz val="9"/>
      <color rgb="FF1C1D20"/>
      <name val="Roboto"/>
    </font>
    <font>
      <sz val="12"/>
      <color indexed="17"/>
      <name val="Calibri"/>
      <family val="2"/>
      <scheme val="minor"/>
    </font>
    <font>
      <sz val="8"/>
      <color rgb="FF000000"/>
      <name val="Roboto"/>
    </font>
    <font>
      <sz val="6"/>
      <color rgb="FF000000"/>
      <name val="Times New Roman"/>
      <family val="1"/>
    </font>
    <font>
      <sz val="10"/>
      <color theme="1"/>
      <name val="Times New Roman"/>
      <family val="1"/>
    </font>
    <font>
      <sz val="12"/>
      <color rgb="FF000000"/>
      <name val="Times New Roman"/>
      <family val="1"/>
    </font>
    <font>
      <sz val="12"/>
      <color indexed="81"/>
      <name val="Tahoma"/>
      <family val="2"/>
    </font>
    <font>
      <i/>
      <sz val="8"/>
      <color indexed="17"/>
      <name val="Calibri"/>
      <family val="2"/>
      <scheme val="minor"/>
    </font>
    <font>
      <i/>
      <sz val="8"/>
      <color theme="0"/>
      <name val="Calibri"/>
      <family val="2"/>
      <scheme val="minor"/>
    </font>
    <font>
      <u val="singleAccounting"/>
      <sz val="14"/>
      <color theme="1"/>
      <name val="Calibri"/>
      <family val="2"/>
      <scheme val="minor"/>
    </font>
    <font>
      <sz val="9"/>
      <color theme="1"/>
      <name val="Times New Roman"/>
      <family val="1"/>
    </font>
    <font>
      <sz val="11"/>
      <color indexed="10"/>
      <name val="Calibri"/>
      <family val="2"/>
      <scheme val="minor"/>
    </font>
  </fonts>
  <fills count="47">
    <fill>
      <patternFill patternType="none"/>
    </fill>
    <fill>
      <patternFill patternType="gray125"/>
    </fill>
    <fill>
      <patternFill patternType="solid">
        <fgColor indexed="1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indexed="22"/>
        <bgColor indexed="64"/>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gray0625">
        <fgColor indexed="13"/>
        <bgColor indexed="9"/>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6"/>
        <bgColor indexed="64"/>
      </patternFill>
    </fill>
    <fill>
      <patternFill patternType="solid">
        <fgColor indexed="8"/>
        <bgColor indexed="64"/>
      </patternFill>
    </fill>
    <fill>
      <patternFill patternType="solid">
        <fgColor indexed="27"/>
        <bgColor indexed="64"/>
      </patternFill>
    </fill>
    <fill>
      <patternFill patternType="solid">
        <fgColor theme="1" tint="0.34998626667073579"/>
        <bgColor indexed="64"/>
      </patternFill>
    </fill>
    <fill>
      <patternFill patternType="solid">
        <fgColor theme="3"/>
        <bgColor indexed="64"/>
      </patternFill>
    </fill>
    <fill>
      <patternFill patternType="solid">
        <fgColor rgb="FFFFFFCC"/>
      </patternFill>
    </fill>
    <fill>
      <patternFill patternType="solid">
        <fgColor rgb="FF4F81BD"/>
        <bgColor indexed="64"/>
      </patternFill>
    </fill>
    <fill>
      <patternFill patternType="solid">
        <fgColor rgb="FFFF0000"/>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indexed="3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bgColor indexed="64"/>
      </patternFill>
    </fill>
    <fill>
      <patternFill patternType="solid">
        <fgColor rgb="FF0070C0"/>
        <bgColor indexed="64"/>
      </patternFill>
    </fill>
    <fill>
      <patternFill patternType="solid">
        <fgColor rgb="FFFFFFFF"/>
        <bgColor indexed="64"/>
      </patternFill>
    </fill>
    <fill>
      <patternFill patternType="solid">
        <fgColor theme="6"/>
        <bgColor theme="6"/>
      </patternFill>
    </fill>
    <fill>
      <patternFill patternType="solid">
        <fgColor theme="0" tint="-0.14999847407452621"/>
        <bgColor theme="0" tint="-0.14999847407452621"/>
      </patternFill>
    </fill>
    <fill>
      <patternFill patternType="solid">
        <fgColor rgb="FF5D95C9"/>
        <bgColor indexed="64"/>
      </patternFill>
    </fill>
    <fill>
      <patternFill patternType="solid">
        <fgColor rgb="FFEFEFEF"/>
        <bgColor indexed="64"/>
      </patternFill>
    </fill>
    <fill>
      <patternFill patternType="solid">
        <fgColor rgb="FFFF603B"/>
        <bgColor indexed="64"/>
      </patternFill>
    </fill>
    <fill>
      <patternFill patternType="solid">
        <fgColor theme="2" tint="-0.249977111117893"/>
        <bgColor indexed="64"/>
      </patternFill>
    </fill>
    <fill>
      <patternFill patternType="solid">
        <fgColor theme="1"/>
        <bgColor indexed="64"/>
      </patternFill>
    </fill>
    <fill>
      <patternFill patternType="solid">
        <fgColor rgb="FF92D050"/>
        <bgColor indexed="64"/>
      </patternFill>
    </fill>
    <fill>
      <patternFill patternType="solid">
        <fgColor rgb="FFE14B47"/>
        <bgColor indexed="64"/>
      </patternFill>
    </fill>
  </fills>
  <borders count="10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style="thin">
        <color indexed="9"/>
      </left>
      <right style="thin">
        <color indexed="9"/>
      </right>
      <top style="thin">
        <color indexed="9"/>
      </top>
      <bottom style="thin">
        <color indexed="9"/>
      </bottom>
      <diagonal/>
    </border>
    <border>
      <left style="medium">
        <color indexed="8"/>
      </left>
      <right style="medium">
        <color indexed="8"/>
      </right>
      <top/>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9"/>
      </left>
      <right style="medium">
        <color indexed="49"/>
      </right>
      <top/>
      <bottom/>
      <diagonal/>
    </border>
    <border>
      <left style="thin">
        <color theme="0"/>
      </left>
      <right style="dashed">
        <color theme="0" tint="-0.24994659260841701"/>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1"/>
      </left>
      <right style="thin">
        <color theme="1"/>
      </right>
      <top style="thin">
        <color theme="1"/>
      </top>
      <bottom style="thin">
        <color theme="1"/>
      </bottom>
      <diagonal/>
    </border>
    <border>
      <left style="thin">
        <color rgb="FFB2B2B2"/>
      </left>
      <right style="thin">
        <color rgb="FFB2B2B2"/>
      </right>
      <top style="thin">
        <color rgb="FFB2B2B2"/>
      </top>
      <bottom style="thin">
        <color rgb="FFB2B2B2"/>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B2B2B2"/>
      </left>
      <right style="medium">
        <color indexed="64"/>
      </right>
      <top style="thin">
        <color rgb="FFB2B2B2"/>
      </top>
      <bottom style="thin">
        <color rgb="FFB2B2B2"/>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dashed">
        <color theme="0" tint="-0.24994659260841701"/>
      </right>
      <top style="thin">
        <color theme="0"/>
      </top>
      <bottom style="thin">
        <color theme="0"/>
      </bottom>
      <diagonal/>
    </border>
    <border>
      <left style="thin">
        <color rgb="FFB2B2B2"/>
      </left>
      <right style="thin">
        <color rgb="FFB2B2B2"/>
      </right>
      <top style="thin">
        <color rgb="FFB2B2B2"/>
      </top>
      <bottom/>
      <diagonal/>
    </border>
    <border>
      <left/>
      <right/>
      <top style="thin">
        <color auto="1"/>
      </top>
      <bottom/>
      <diagonal/>
    </border>
    <border>
      <left style="medium">
        <color indexed="64"/>
      </left>
      <right style="medium">
        <color indexed="64"/>
      </right>
      <top style="thin">
        <color indexed="64"/>
      </top>
      <bottom style="medium">
        <color indexed="64"/>
      </bottom>
      <diagonal/>
    </border>
    <border>
      <left style="medium">
        <color indexed="64"/>
      </left>
      <right style="dashed">
        <color theme="0" tint="-0.24994659260841701"/>
      </right>
      <top style="medium">
        <color indexed="64"/>
      </top>
      <bottom style="medium">
        <color indexed="64"/>
      </bottom>
      <diagonal/>
    </border>
    <border>
      <left/>
      <right style="dashed">
        <color theme="0" tint="-0.24994659260841701"/>
      </right>
      <top style="medium">
        <color indexed="64"/>
      </top>
      <bottom style="medium">
        <color indexed="64"/>
      </bottom>
      <diagonal/>
    </border>
    <border>
      <left/>
      <right style="dashed">
        <color theme="0" tint="-0.24994659260841701"/>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thin">
        <color theme="0"/>
      </left>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medium">
        <color indexed="64"/>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style="medium">
        <color indexed="64"/>
      </left>
      <right/>
      <top style="thin">
        <color theme="0"/>
      </top>
      <bottom style="medium">
        <color indexed="64"/>
      </bottom>
      <diagonal/>
    </border>
    <border>
      <left/>
      <right/>
      <top style="medium">
        <color theme="1"/>
      </top>
      <bottom style="medium">
        <color theme="1"/>
      </bottom>
      <diagonal/>
    </border>
    <border>
      <left/>
      <right/>
      <top style="medium">
        <color rgb="FF808080"/>
      </top>
      <bottom/>
      <diagonal/>
    </border>
    <border>
      <left/>
      <right/>
      <top style="medium">
        <color theme="1"/>
      </top>
      <bottom/>
      <diagonal/>
    </border>
    <border>
      <left/>
      <right/>
      <top style="thin">
        <color auto="1"/>
      </top>
      <bottom/>
      <diagonal/>
    </border>
    <border>
      <left/>
      <right style="medium">
        <color indexed="64"/>
      </right>
      <top style="medium">
        <color indexed="64"/>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top/>
      <bottom style="thin">
        <color theme="0"/>
      </bottom>
      <diagonal/>
    </border>
    <border>
      <left/>
      <right style="medium">
        <color indexed="64"/>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medium">
        <color indexed="64"/>
      </left>
      <right style="dashed">
        <color theme="0" tint="-0.24994659260841701"/>
      </right>
      <top style="thin">
        <color theme="0"/>
      </top>
      <bottom style="medium">
        <color indexed="64"/>
      </bottom>
      <diagonal/>
    </border>
    <border>
      <left/>
      <right style="dashed">
        <color theme="0" tint="-0.24994659260841701"/>
      </right>
      <top style="thin">
        <color theme="0"/>
      </top>
      <bottom style="medium">
        <color indexed="64"/>
      </bottom>
      <diagonal/>
    </border>
    <border>
      <left/>
      <right style="medium">
        <color indexed="64"/>
      </right>
      <top style="thin">
        <color theme="0"/>
      </top>
      <bottom style="medium">
        <color indexed="64"/>
      </bottom>
      <diagonal/>
    </border>
    <border>
      <left/>
      <right/>
      <top style="thin">
        <color theme="0"/>
      </top>
      <bottom style="medium">
        <color indexed="64"/>
      </bottom>
      <diagonal/>
    </border>
    <border>
      <left/>
      <right/>
      <top style="thin">
        <color theme="0"/>
      </top>
      <bottom/>
      <diagonal/>
    </border>
    <border>
      <left style="medium">
        <color indexed="64"/>
      </left>
      <right style="medium">
        <color indexed="64"/>
      </right>
      <top style="thin">
        <color theme="0"/>
      </top>
      <bottom style="thin">
        <color theme="0"/>
      </bottom>
      <diagonal/>
    </border>
    <border>
      <left style="thin">
        <color rgb="FFB2B2B2"/>
      </left>
      <right style="thin">
        <color rgb="FFB2B2B2"/>
      </right>
      <top style="medium">
        <color indexed="64"/>
      </top>
      <bottom style="thin">
        <color rgb="FFB2B2B2"/>
      </bottom>
      <diagonal/>
    </border>
    <border>
      <left style="thin">
        <color indexed="64"/>
      </left>
      <right/>
      <top style="medium">
        <color indexed="64"/>
      </top>
      <bottom/>
      <diagonal/>
    </border>
    <border>
      <left style="medium">
        <color indexed="64"/>
      </left>
      <right style="thin">
        <color rgb="FFB2B2B2"/>
      </right>
      <top style="thin">
        <color rgb="FFB2B2B2"/>
      </top>
      <bottom style="thin">
        <color rgb="FFB2B2B2"/>
      </bottom>
      <diagonal/>
    </border>
    <border>
      <left/>
      <right/>
      <top style="thin">
        <color auto="1"/>
      </top>
      <bottom/>
      <diagonal/>
    </border>
    <border>
      <left/>
      <right style="medium">
        <color indexed="64"/>
      </right>
      <top style="thin">
        <color auto="1"/>
      </top>
      <bottom/>
      <diagonal/>
    </border>
  </borders>
  <cellStyleXfs count="166">
    <xf numFmtId="0" fontId="0" fillId="0" borderId="0"/>
    <xf numFmtId="169" fontId="1" fillId="0" borderId="0" applyFont="0" applyFill="0" applyBorder="0" applyAlignment="0" applyProtection="0"/>
    <xf numFmtId="171" fontId="1" fillId="0" borderId="0"/>
    <xf numFmtId="171" fontId="3" fillId="0" borderId="0"/>
    <xf numFmtId="170" fontId="1" fillId="0" borderId="0" applyFont="0" applyFill="0" applyBorder="0" applyAlignment="0" applyProtection="0"/>
    <xf numFmtId="0" fontId="13" fillId="0" borderId="0" applyNumberFormat="0" applyFill="0" applyBorder="0" applyAlignment="0" applyProtection="0"/>
    <xf numFmtId="9" fontId="1" fillId="0" borderId="0" applyFont="0" applyFill="0" applyBorder="0" applyAlignment="0" applyProtection="0"/>
    <xf numFmtId="171" fontId="3" fillId="0" borderId="0"/>
    <xf numFmtId="171" fontId="1" fillId="0" borderId="0"/>
    <xf numFmtId="0" fontId="1" fillId="0" borderId="0"/>
    <xf numFmtId="171" fontId="37" fillId="0" borderId="0" applyFill="0"/>
    <xf numFmtId="171" fontId="1" fillId="0" borderId="0"/>
    <xf numFmtId="0" fontId="37" fillId="0" borderId="0"/>
    <xf numFmtId="171" fontId="3" fillId="0" borderId="0"/>
    <xf numFmtId="0" fontId="37" fillId="0" borderId="0"/>
    <xf numFmtId="0" fontId="37" fillId="0" borderId="0"/>
    <xf numFmtId="0" fontId="3" fillId="0" borderId="0"/>
    <xf numFmtId="0" fontId="1" fillId="0" borderId="0"/>
    <xf numFmtId="0" fontId="51" fillId="0" borderId="0" applyNumberFormat="0" applyFill="0" applyBorder="0" applyAlignment="0" applyProtection="0"/>
    <xf numFmtId="0" fontId="52" fillId="0" borderId="0" applyNumberFormat="0" applyFont="0" applyFill="0" applyBorder="0" applyAlignment="0" applyProtection="0"/>
    <xf numFmtId="0" fontId="37"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37" fillId="0" borderId="0" applyFont="0" applyFill="0" applyBorder="0" applyAlignment="0" applyProtection="0"/>
    <xf numFmtId="0" fontId="37" fillId="0" borderId="0" applyFont="0" applyFill="0" applyBorder="0" applyAlignment="0" applyProtection="0"/>
    <xf numFmtId="0" fontId="53" fillId="0" borderId="0">
      <alignment vertical="center"/>
    </xf>
    <xf numFmtId="0" fontId="53" fillId="0" borderId="0">
      <alignment vertical="center"/>
    </xf>
    <xf numFmtId="0" fontId="54" fillId="0" borderId="0">
      <alignment horizontal="left"/>
    </xf>
    <xf numFmtId="0" fontId="54" fillId="0" borderId="0">
      <alignment horizontal="left"/>
    </xf>
    <xf numFmtId="175" fontId="55" fillId="0" borderId="32">
      <alignment horizontal="center"/>
    </xf>
    <xf numFmtId="177" fontId="56" fillId="7" borderId="0" applyFont="0" applyBorder="0"/>
    <xf numFmtId="0" fontId="57" fillId="8" borderId="0"/>
    <xf numFmtId="177" fontId="56" fillId="9" borderId="0" applyNumberFormat="0" applyFont="0" applyBorder="0" applyAlignment="0" applyProtection="0"/>
    <xf numFmtId="177" fontId="53" fillId="10" borderId="0" applyNumberFormat="0" applyFont="0" applyBorder="0" applyAlignment="0" applyProtection="0"/>
    <xf numFmtId="177" fontId="58" fillId="11" borderId="0" applyBorder="0"/>
    <xf numFmtId="177" fontId="37" fillId="0" borderId="33" applyNumberFormat="0" applyBorder="0" applyAlignment="0" applyProtection="0"/>
    <xf numFmtId="192" fontId="59" fillId="0" borderId="0" applyBorder="0">
      <alignment horizontal="right"/>
    </xf>
    <xf numFmtId="192" fontId="58" fillId="0" borderId="33" applyBorder="0">
      <alignment horizontal="right"/>
    </xf>
    <xf numFmtId="176" fontId="60" fillId="0" borderId="0" applyBorder="0">
      <alignment horizontal="right"/>
    </xf>
    <xf numFmtId="176" fontId="61" fillId="0" borderId="33" applyBorder="0">
      <alignment horizontal="right"/>
    </xf>
    <xf numFmtId="177" fontId="62" fillId="0" borderId="0">
      <alignment horizontal="left" indent="1"/>
    </xf>
    <xf numFmtId="177" fontId="63" fillId="0" borderId="29" applyBorder="0"/>
    <xf numFmtId="177" fontId="56" fillId="12" borderId="33" applyNumberFormat="0" applyFont="0" applyBorder="0" applyAlignment="0" applyProtection="0"/>
    <xf numFmtId="192" fontId="64" fillId="13" borderId="29" applyBorder="0">
      <alignment horizontal="right"/>
    </xf>
    <xf numFmtId="192" fontId="64" fillId="0" borderId="29" applyBorder="0">
      <alignment horizontal="right"/>
    </xf>
    <xf numFmtId="177" fontId="65" fillId="0" borderId="33" applyNumberFormat="0" applyBorder="0" applyAlignment="0" applyProtection="0"/>
    <xf numFmtId="0" fontId="64" fillId="7" borderId="34" applyBorder="0">
      <alignment horizontal="center"/>
    </xf>
    <xf numFmtId="0" fontId="37" fillId="0" borderId="0"/>
    <xf numFmtId="0" fontId="66" fillId="0" borderId="0"/>
    <xf numFmtId="0" fontId="58" fillId="0" borderId="35" applyNumberFormat="0" applyFill="0" applyAlignment="0" applyProtection="0"/>
    <xf numFmtId="192" fontId="58" fillId="0" borderId="36" applyNumberFormat="0" applyFont="0" applyFill="0" applyAlignment="0" applyProtection="0"/>
    <xf numFmtId="0" fontId="37" fillId="0" borderId="0"/>
    <xf numFmtId="193" fontId="67" fillId="0" borderId="0" applyFont="0" applyFill="0" applyBorder="0" applyAlignment="0" applyProtection="0">
      <alignment horizontal="right"/>
    </xf>
    <xf numFmtId="170" fontId="37" fillId="0" borderId="0" applyFont="0" applyFill="0" applyBorder="0" applyAlignment="0" applyProtection="0"/>
    <xf numFmtId="0" fontId="37" fillId="0" borderId="0"/>
    <xf numFmtId="0" fontId="37" fillId="0" borderId="0"/>
    <xf numFmtId="194" fontId="67" fillId="0" borderId="0" applyFont="0" applyFill="0" applyBorder="0" applyAlignment="0" applyProtection="0">
      <alignment horizontal="right"/>
    </xf>
    <xf numFmtId="195" fontId="67" fillId="0" borderId="0" applyFont="0" applyFill="0" applyBorder="0" applyAlignment="0" applyProtection="0">
      <alignment horizontal="right"/>
    </xf>
    <xf numFmtId="14" fontId="68" fillId="0" borderId="0"/>
    <xf numFmtId="196" fontId="67" fillId="0" borderId="0" applyFont="0" applyFill="0" applyBorder="0" applyAlignment="0" applyProtection="0"/>
    <xf numFmtId="14" fontId="68" fillId="0" borderId="0"/>
    <xf numFmtId="1" fontId="55" fillId="0" borderId="0">
      <alignment horizontal="center"/>
      <protection locked="0"/>
    </xf>
    <xf numFmtId="1" fontId="69" fillId="0" borderId="0" applyFont="0" applyFill="0" applyBorder="0" applyAlignment="0" applyProtection="0">
      <alignment horizontal="right"/>
    </xf>
    <xf numFmtId="190" fontId="37" fillId="0" borderId="0" applyFont="0" applyFill="0" applyBorder="0" applyAlignment="0" applyProtection="0"/>
    <xf numFmtId="191" fontId="37" fillId="0" borderId="0" applyFont="0" applyFill="0" applyBorder="0" applyAlignment="0" applyProtection="0"/>
    <xf numFmtId="197" fontId="67" fillId="0" borderId="37" applyNumberFormat="0" applyFont="0" applyFill="0" applyAlignment="0" applyProtection="0"/>
    <xf numFmtId="198" fontId="70" fillId="0" borderId="29" applyNumberFormat="0" applyBorder="0"/>
    <xf numFmtId="0" fontId="37" fillId="14" borderId="38" applyNumberFormat="0" applyFont="0" applyAlignment="0">
      <protection locked="0"/>
    </xf>
    <xf numFmtId="166" fontId="55" fillId="0" borderId="0" applyBorder="0">
      <alignment horizontal="center"/>
    </xf>
    <xf numFmtId="171" fontId="37" fillId="0" borderId="0" applyFont="0" applyFill="0" applyBorder="0" applyAlignment="0" applyProtection="0"/>
    <xf numFmtId="199" fontId="69" fillId="0" borderId="0" applyFont="0" applyFill="0" applyBorder="0" applyAlignment="0" applyProtection="0"/>
    <xf numFmtId="177" fontId="69" fillId="0" borderId="0" applyFont="0" applyFill="0" applyBorder="0" applyAlignment="0" applyProtection="0">
      <alignment horizontal="right"/>
    </xf>
    <xf numFmtId="192" fontId="71" fillId="0" borderId="0" applyNumberFormat="0" applyFill="0" applyBorder="0" applyAlignment="0" applyProtection="0"/>
    <xf numFmtId="0" fontId="72" fillId="0" borderId="0" applyFill="0" applyBorder="0" applyProtection="0">
      <alignment horizontal="left"/>
    </xf>
    <xf numFmtId="0" fontId="73" fillId="0" borderId="17" applyProtection="0">
      <alignment horizontal="center"/>
    </xf>
    <xf numFmtId="0" fontId="74" fillId="0" borderId="0"/>
    <xf numFmtId="0" fontId="75" fillId="0" borderId="0"/>
    <xf numFmtId="38" fontId="58" fillId="7" borderId="0" applyNumberFormat="0" applyBorder="0" applyAlignment="0" applyProtection="0"/>
    <xf numFmtId="200" fontId="67" fillId="0" borderId="0" applyFont="0" applyFill="0" applyBorder="0" applyAlignment="0" applyProtection="0">
      <alignment horizontal="right"/>
    </xf>
    <xf numFmtId="0" fontId="76" fillId="0" borderId="0" applyAlignment="0" applyProtection="0"/>
    <xf numFmtId="0" fontId="77" fillId="0" borderId="0" applyAlignment="0" applyProtection="0"/>
    <xf numFmtId="0" fontId="78" fillId="0" borderId="0" applyAlignment="0" applyProtection="0"/>
    <xf numFmtId="0" fontId="79" fillId="0" borderId="0" applyFill="0" applyBorder="0" applyProtection="0">
      <alignment horizontal="right"/>
    </xf>
    <xf numFmtId="0" fontId="80" fillId="0" borderId="2" applyNumberFormat="0" applyAlignment="0" applyProtection="0">
      <alignment horizontal="left" vertical="center"/>
    </xf>
    <xf numFmtId="0" fontId="80" fillId="0" borderId="25">
      <alignment horizontal="left" vertical="center"/>
    </xf>
    <xf numFmtId="0" fontId="81" fillId="0" borderId="0">
      <alignment horizontal="left"/>
    </xf>
    <xf numFmtId="192" fontId="82" fillId="0" borderId="0" applyNumberFormat="0" applyFill="0" applyBorder="0" applyAlignment="0" applyProtection="0"/>
    <xf numFmtId="192" fontId="79" fillId="0" borderId="0" applyNumberFormat="0" applyFill="0" applyBorder="0" applyAlignment="0" applyProtection="0"/>
    <xf numFmtId="10" fontId="58" fillId="15" borderId="7" applyNumberFormat="0" applyBorder="0" applyAlignment="0" applyProtection="0"/>
    <xf numFmtId="168" fontId="37" fillId="0" borderId="0" applyFont="0" applyFill="0" applyBorder="0" applyAlignment="0" applyProtection="0"/>
    <xf numFmtId="170" fontId="37" fillId="0" borderId="0" applyFont="0" applyFill="0" applyBorder="0" applyAlignment="0" applyProtection="0"/>
    <xf numFmtId="167" fontId="37" fillId="0" borderId="0" applyFont="0" applyFill="0" applyBorder="0" applyAlignment="0" applyProtection="0"/>
    <xf numFmtId="169" fontId="37" fillId="0" borderId="0" applyFont="0" applyFill="0" applyBorder="0" applyAlignment="0" applyProtection="0"/>
    <xf numFmtId="201" fontId="67" fillId="0" borderId="0" applyFont="0" applyFill="0" applyBorder="0" applyAlignment="0" applyProtection="0">
      <alignment horizontal="right"/>
    </xf>
    <xf numFmtId="0" fontId="83" fillId="0" borderId="0"/>
    <xf numFmtId="202" fontId="84" fillId="0" borderId="0"/>
    <xf numFmtId="0" fontId="37" fillId="0" borderId="0">
      <alignment vertical="center"/>
    </xf>
    <xf numFmtId="0" fontId="9" fillId="0" borderId="0"/>
    <xf numFmtId="14" fontId="58" fillId="0" borderId="0" applyFont="0" applyFill="0" applyBorder="0" applyAlignment="0" applyProtection="0"/>
    <xf numFmtId="175" fontId="85" fillId="0" borderId="0" applyFont="0" applyBorder="0">
      <alignment horizontal="center"/>
    </xf>
    <xf numFmtId="164" fontId="55" fillId="0" borderId="0">
      <alignment horizontal="center"/>
    </xf>
    <xf numFmtId="198" fontId="86" fillId="0" borderId="39" applyBorder="0"/>
    <xf numFmtId="198" fontId="87" fillId="0" borderId="39" applyBorder="0"/>
    <xf numFmtId="1" fontId="88" fillId="0" borderId="0" applyProtection="0">
      <alignment horizontal="right" vertical="center"/>
    </xf>
    <xf numFmtId="192" fontId="58" fillId="16" borderId="0" applyNumberFormat="0" applyFont="0" applyBorder="0" applyAlignment="0" applyProtection="0"/>
    <xf numFmtId="176" fontId="89" fillId="0" borderId="39" applyBorder="0"/>
    <xf numFmtId="10" fontId="37"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76" fontId="55" fillId="0" borderId="0" applyBorder="0" applyAlignment="0">
      <alignment horizontal="left"/>
    </xf>
    <xf numFmtId="0" fontId="90" fillId="17" borderId="0" applyNumberFormat="0" applyBorder="0" applyAlignment="0" applyProtection="0"/>
    <xf numFmtId="0" fontId="91" fillId="0" borderId="0"/>
    <xf numFmtId="0" fontId="92" fillId="0" borderId="0">
      <alignment horizontal="right"/>
    </xf>
    <xf numFmtId="192" fontId="69" fillId="0" borderId="17" applyFont="0" applyFill="0" applyBorder="0" applyAlignment="0" applyProtection="0">
      <alignment horizontal="right"/>
    </xf>
    <xf numFmtId="192" fontId="55" fillId="0" borderId="0">
      <alignment horizontal="center"/>
    </xf>
    <xf numFmtId="0" fontId="78" fillId="0" borderId="0" applyNumberFormat="0" applyFill="0" applyBorder="0" applyAlignment="0" applyProtection="0"/>
    <xf numFmtId="0" fontId="37" fillId="0" borderId="0"/>
    <xf numFmtId="0" fontId="37" fillId="0" borderId="0" applyFont="0" applyFill="0" applyBorder="0" applyAlignment="0" applyProtection="0"/>
    <xf numFmtId="192" fontId="93" fillId="0" borderId="39" applyBorder="0"/>
    <xf numFmtId="0" fontId="94" fillId="0" borderId="0" applyBorder="0" applyProtection="0">
      <alignment vertical="center"/>
    </xf>
    <xf numFmtId="197" fontId="94" fillId="0" borderId="17" applyBorder="0" applyProtection="0">
      <alignment horizontal="right" vertical="center"/>
    </xf>
    <xf numFmtId="0" fontId="95" fillId="18" borderId="0" applyBorder="0" applyProtection="0">
      <alignment horizontal="centerContinuous" vertical="center"/>
    </xf>
    <xf numFmtId="0" fontId="95" fillId="19" borderId="17" applyBorder="0" applyProtection="0">
      <alignment horizontal="centerContinuous" vertical="center"/>
    </xf>
    <xf numFmtId="0" fontId="96" fillId="0" borderId="0" applyFill="0" applyBorder="0" applyProtection="0">
      <alignment horizontal="left"/>
    </xf>
    <xf numFmtId="0" fontId="72" fillId="0" borderId="18" applyFill="0" applyBorder="0" applyProtection="0">
      <alignment horizontal="left" vertical="top"/>
    </xf>
    <xf numFmtId="0" fontId="97" fillId="0" borderId="0" applyNumberFormat="0" applyFill="0" applyBorder="0">
      <alignment horizontal="left"/>
    </xf>
    <xf numFmtId="0" fontId="97" fillId="0" borderId="0" applyNumberFormat="0" applyFill="0" applyBorder="0">
      <alignment horizontal="right"/>
    </xf>
    <xf numFmtId="0" fontId="98" fillId="0" borderId="0" applyNumberFormat="0" applyFill="0" applyBorder="0">
      <alignment horizontal="right"/>
    </xf>
    <xf numFmtId="40" fontId="37" fillId="0" borderId="0"/>
    <xf numFmtId="192" fontId="58" fillId="0" borderId="0" applyNumberFormat="0" applyFont="0" applyBorder="0" applyAlignment="0" applyProtection="0"/>
    <xf numFmtId="1" fontId="58" fillId="7" borderId="0" applyFont="0" applyBorder="0" applyAlignment="0" applyProtection="0"/>
    <xf numFmtId="203" fontId="55" fillId="0" borderId="32">
      <alignment horizontal="center"/>
    </xf>
    <xf numFmtId="0" fontId="85" fillId="0" borderId="32" applyNumberFormat="0" applyFont="0" applyAlignment="0">
      <alignment horizontal="left"/>
    </xf>
    <xf numFmtId="203" fontId="55" fillId="0" borderId="32">
      <alignment horizontal="center"/>
    </xf>
    <xf numFmtId="0" fontId="55" fillId="0" borderId="32">
      <alignment horizontal="center"/>
    </xf>
    <xf numFmtId="3" fontId="55" fillId="0" borderId="0" applyBorder="0">
      <alignment horizontal="center"/>
    </xf>
    <xf numFmtId="198" fontId="99" fillId="0" borderId="0" applyNumberFormat="0"/>
    <xf numFmtId="0" fontId="37" fillId="20" borderId="40">
      <alignment horizontal="left"/>
    </xf>
    <xf numFmtId="199" fontId="69" fillId="0" borderId="0" applyFont="0" applyFill="0" applyBorder="0" applyAlignment="0" applyProtection="0"/>
    <xf numFmtId="37" fontId="69" fillId="0" borderId="0" applyFont="0" applyFill="0" applyBorder="0" applyAlignment="0" applyProtection="0"/>
    <xf numFmtId="204" fontId="37" fillId="0" borderId="0" applyFont="0" applyFill="0" applyBorder="0" applyAlignment="0" applyProtection="0"/>
    <xf numFmtId="205" fontId="37" fillId="0" borderId="0" applyFont="0" applyFill="0" applyBorder="0" applyAlignment="0" applyProtection="0"/>
    <xf numFmtId="0" fontId="58" fillId="0" borderId="0"/>
    <xf numFmtId="0" fontId="37" fillId="0" borderId="0"/>
    <xf numFmtId="0" fontId="58" fillId="0" borderId="0"/>
    <xf numFmtId="0" fontId="58" fillId="0" borderId="0"/>
    <xf numFmtId="171" fontId="3" fillId="0" borderId="0"/>
    <xf numFmtId="0" fontId="13" fillId="0" borderId="0" applyNumberFormat="0" applyFill="0" applyBorder="0" applyAlignment="0" applyProtection="0"/>
    <xf numFmtId="9" fontId="3" fillId="0" borderId="0" applyFont="0" applyFill="0" applyBorder="0" applyAlignment="0" applyProtection="0"/>
    <xf numFmtId="171" fontId="3" fillId="0" borderId="0"/>
    <xf numFmtId="9" fontId="1" fillId="0" borderId="0" applyFont="0" applyFill="0" applyBorder="0" applyAlignment="0" applyProtection="0"/>
    <xf numFmtId="171" fontId="1" fillId="0" borderId="0"/>
    <xf numFmtId="0" fontId="37" fillId="0" borderId="0"/>
    <xf numFmtId="0" fontId="1" fillId="23" borderId="46" applyNumberFormat="0" applyFont="0" applyAlignment="0" applyProtection="0"/>
    <xf numFmtId="0" fontId="109" fillId="24" borderId="0"/>
    <xf numFmtId="0" fontId="90" fillId="24" borderId="51">
      <alignment horizontal="right"/>
    </xf>
    <xf numFmtId="0" fontId="110" fillId="0" borderId="0" applyAlignment="0"/>
    <xf numFmtId="171" fontId="1" fillId="0" borderId="0"/>
    <xf numFmtId="0" fontId="3" fillId="0" borderId="0"/>
    <xf numFmtId="0" fontId="58" fillId="0" borderId="0"/>
    <xf numFmtId="0" fontId="37" fillId="0" borderId="0"/>
    <xf numFmtId="0" fontId="13" fillId="0" borderId="0" applyNumberFormat="0" applyFill="0" applyBorder="0" applyAlignment="0" applyProtection="0"/>
    <xf numFmtId="9" fontId="1" fillId="0" borderId="0" applyFont="0" applyFill="0" applyBorder="0" applyAlignment="0" applyProtection="0"/>
    <xf numFmtId="170" fontId="1" fillId="0" borderId="0" applyFont="0" applyFill="0" applyBorder="0" applyAlignment="0" applyProtection="0"/>
  </cellStyleXfs>
  <cellXfs count="1265">
    <xf numFmtId="0" fontId="0" fillId="0" borderId="0" xfId="0"/>
    <xf numFmtId="171" fontId="2" fillId="0" borderId="0" xfId="3" applyFont="1"/>
    <xf numFmtId="14" fontId="7" fillId="0" borderId="0" xfId="2" applyNumberFormat="1" applyFont="1"/>
    <xf numFmtId="171" fontId="2" fillId="0" borderId="4" xfId="3" applyFont="1" applyBorder="1"/>
    <xf numFmtId="171" fontId="8" fillId="0" borderId="0" xfId="2" applyFont="1" applyAlignment="1">
      <alignment horizontal="right"/>
    </xf>
    <xf numFmtId="172" fontId="2" fillId="0" borderId="5" xfId="3" applyNumberFormat="1" applyFont="1" applyBorder="1" applyAlignment="1">
      <alignment horizontal="left"/>
    </xf>
    <xf numFmtId="171" fontId="9" fillId="0" borderId="0" xfId="2" applyFont="1"/>
    <xf numFmtId="171" fontId="2" fillId="0" borderId="0" xfId="3" applyFont="1" applyAlignment="1">
      <alignment horizontal="right"/>
    </xf>
    <xf numFmtId="174" fontId="10" fillId="0" borderId="0" xfId="3" applyNumberFormat="1" applyFont="1" applyAlignment="1">
      <alignment horizontal="left"/>
    </xf>
    <xf numFmtId="171" fontId="2" fillId="0" borderId="9" xfId="3" applyFont="1" applyBorder="1"/>
    <xf numFmtId="171" fontId="9" fillId="0" borderId="9" xfId="2" applyFont="1" applyBorder="1"/>
    <xf numFmtId="170" fontId="2" fillId="0" borderId="9" xfId="4" applyFont="1" applyBorder="1" applyAlignment="1">
      <alignment horizontal="right"/>
    </xf>
    <xf numFmtId="0" fontId="14" fillId="0" borderId="9" xfId="5" applyFont="1" applyBorder="1"/>
    <xf numFmtId="171" fontId="10" fillId="0" borderId="10" xfId="3" quotePrefix="1" applyFont="1" applyBorder="1" applyAlignment="1">
      <alignment horizontal="left"/>
    </xf>
    <xf numFmtId="171" fontId="11" fillId="0" borderId="11" xfId="2" applyFont="1" applyBorder="1"/>
    <xf numFmtId="171" fontId="11" fillId="0" borderId="12" xfId="3" applyFont="1" applyBorder="1"/>
    <xf numFmtId="171" fontId="11" fillId="0" borderId="12" xfId="3" applyFont="1" applyBorder="1" applyAlignment="1">
      <alignment horizontal="right"/>
    </xf>
    <xf numFmtId="171" fontId="11" fillId="0" borderId="12" xfId="2" applyFont="1" applyBorder="1" applyAlignment="1">
      <alignment horizontal="right"/>
    </xf>
    <xf numFmtId="171" fontId="16" fillId="0" borderId="14" xfId="3" applyFont="1" applyBorder="1"/>
    <xf numFmtId="171" fontId="2" fillId="0" borderId="5" xfId="3" applyFont="1" applyBorder="1"/>
    <xf numFmtId="171" fontId="9" fillId="0" borderId="5" xfId="2" applyFont="1" applyBorder="1"/>
    <xf numFmtId="171" fontId="11" fillId="0" borderId="16" xfId="3" applyFont="1" applyBorder="1"/>
    <xf numFmtId="171" fontId="2" fillId="0" borderId="6" xfId="3" applyFont="1" applyBorder="1"/>
    <xf numFmtId="0" fontId="18" fillId="0" borderId="0" xfId="2" applyNumberFormat="1" applyFont="1"/>
    <xf numFmtId="171" fontId="9" fillId="0" borderId="6" xfId="2" applyFont="1" applyBorder="1"/>
    <xf numFmtId="174" fontId="10" fillId="0" borderId="0" xfId="7" applyNumberFormat="1" applyFont="1"/>
    <xf numFmtId="171" fontId="9" fillId="0" borderId="4" xfId="2" applyFont="1" applyBorder="1"/>
    <xf numFmtId="171" fontId="16" fillId="0" borderId="4" xfId="3" applyFont="1" applyBorder="1"/>
    <xf numFmtId="171" fontId="18" fillId="0" borderId="0" xfId="3" applyFont="1" applyAlignment="1">
      <alignment horizontal="left" vertical="top" wrapText="1"/>
    </xf>
    <xf numFmtId="171" fontId="9" fillId="0" borderId="18" xfId="2" applyFont="1" applyBorder="1"/>
    <xf numFmtId="171" fontId="20" fillId="0" borderId="4" xfId="3" applyFont="1" applyBorder="1" applyAlignment="1">
      <alignment horizontal="left"/>
    </xf>
    <xf numFmtId="171" fontId="21" fillId="0" borderId="0" xfId="3" applyFont="1" applyAlignment="1">
      <alignment horizontal="right"/>
    </xf>
    <xf numFmtId="171" fontId="2" fillId="0" borderId="18" xfId="2" applyFont="1" applyBorder="1"/>
    <xf numFmtId="171" fontId="2" fillId="0" borderId="4" xfId="3" applyFont="1" applyBorder="1" applyAlignment="1">
      <alignment vertical="top" wrapText="1"/>
    </xf>
    <xf numFmtId="171" fontId="2" fillId="0" borderId="0" xfId="3" applyFont="1" applyAlignment="1">
      <alignment vertical="top" wrapText="1"/>
    </xf>
    <xf numFmtId="175" fontId="18" fillId="0" borderId="4" xfId="7" applyNumberFormat="1" applyFont="1" applyBorder="1" applyAlignment="1">
      <alignment horizontal="left"/>
    </xf>
    <xf numFmtId="37" fontId="8" fillId="0" borderId="0" xfId="3" applyNumberFormat="1" applyFont="1"/>
    <xf numFmtId="171" fontId="16" fillId="0" borderId="18" xfId="3" applyFont="1" applyBorder="1"/>
    <xf numFmtId="175" fontId="18" fillId="0" borderId="16" xfId="7" applyNumberFormat="1" applyFont="1" applyBorder="1" applyAlignment="1">
      <alignment horizontal="left"/>
    </xf>
    <xf numFmtId="171" fontId="2" fillId="0" borderId="17" xfId="3" applyFont="1" applyBorder="1"/>
    <xf numFmtId="37" fontId="8" fillId="0" borderId="17" xfId="3" applyNumberFormat="1" applyFont="1" applyBorder="1"/>
    <xf numFmtId="171" fontId="18" fillId="0" borderId="0" xfId="3" applyFont="1"/>
    <xf numFmtId="171" fontId="20" fillId="0" borderId="0" xfId="3" applyFont="1"/>
    <xf numFmtId="37" fontId="22" fillId="0" borderId="0" xfId="3" applyNumberFormat="1" applyFont="1" applyAlignment="1">
      <alignment horizontal="right"/>
    </xf>
    <xf numFmtId="179" fontId="2" fillId="0" borderId="0" xfId="3" applyNumberFormat="1" applyFont="1" applyAlignment="1">
      <alignment horizontal="right"/>
    </xf>
    <xf numFmtId="178" fontId="18" fillId="0" borderId="4" xfId="3" applyNumberFormat="1" applyFont="1" applyBorder="1" applyAlignment="1">
      <alignment horizontal="left" indent="1"/>
    </xf>
    <xf numFmtId="174" fontId="2" fillId="0" borderId="0" xfId="3" applyNumberFormat="1" applyFont="1"/>
    <xf numFmtId="171" fontId="2" fillId="0" borderId="8" xfId="3" applyFont="1" applyBorder="1" applyAlignment="1">
      <alignment vertical="top" wrapText="1"/>
    </xf>
    <xf numFmtId="171" fontId="2" fillId="0" borderId="9" xfId="3" applyFont="1" applyBorder="1" applyAlignment="1">
      <alignment vertical="top" wrapText="1"/>
    </xf>
    <xf numFmtId="171" fontId="9" fillId="0" borderId="10" xfId="2" applyFont="1" applyBorder="1"/>
    <xf numFmtId="171" fontId="2" fillId="0" borderId="8" xfId="2" applyFont="1" applyBorder="1"/>
    <xf numFmtId="171" fontId="2" fillId="0" borderId="9" xfId="2" applyFont="1" applyBorder="1"/>
    <xf numFmtId="171" fontId="2" fillId="0" borderId="23" xfId="2" applyFont="1" applyBorder="1"/>
    <xf numFmtId="171" fontId="2" fillId="0" borderId="10" xfId="2" applyFont="1" applyBorder="1"/>
    <xf numFmtId="171" fontId="2" fillId="0" borderId="0" xfId="7" applyFont="1"/>
    <xf numFmtId="173" fontId="18" fillId="0" borderId="0" xfId="7" applyNumberFormat="1" applyFont="1" applyAlignment="1">
      <alignment horizontal="right"/>
    </xf>
    <xf numFmtId="171" fontId="16" fillId="0" borderId="0" xfId="3" applyFont="1"/>
    <xf numFmtId="171" fontId="2" fillId="0" borderId="16" xfId="3" applyFont="1" applyBorder="1"/>
    <xf numFmtId="171" fontId="18" fillId="0" borderId="17" xfId="3" applyFont="1" applyBorder="1" applyAlignment="1">
      <alignment horizontal="left"/>
    </xf>
    <xf numFmtId="171" fontId="18" fillId="0" borderId="17" xfId="3" applyFont="1" applyBorder="1"/>
    <xf numFmtId="171" fontId="21" fillId="0" borderId="18" xfId="3" applyFont="1" applyBorder="1" applyAlignment="1">
      <alignment horizontal="left"/>
    </xf>
    <xf numFmtId="173" fontId="21" fillId="0" borderId="0" xfId="7" applyNumberFormat="1" applyFont="1" applyAlignment="1">
      <alignment horizontal="right"/>
    </xf>
    <xf numFmtId="171" fontId="21" fillId="0" borderId="0" xfId="3" applyFont="1" applyAlignment="1">
      <alignment horizontal="left"/>
    </xf>
    <xf numFmtId="171" fontId="21" fillId="0" borderId="0" xfId="7" applyFont="1" applyAlignment="1">
      <alignment horizontal="left"/>
    </xf>
    <xf numFmtId="171" fontId="2" fillId="0" borderId="4" xfId="3" applyFont="1" applyBorder="1" applyAlignment="1">
      <alignment horizontal="left" indent="1"/>
    </xf>
    <xf numFmtId="181" fontId="2" fillId="0" borderId="0" xfId="3" applyNumberFormat="1" applyFont="1" applyAlignment="1">
      <alignment horizontal="left"/>
    </xf>
    <xf numFmtId="171" fontId="11" fillId="0" borderId="18" xfId="3" applyFont="1" applyBorder="1" applyAlignment="1">
      <alignment horizontal="left"/>
    </xf>
    <xf numFmtId="171" fontId="11" fillId="0" borderId="0" xfId="3" applyFont="1"/>
    <xf numFmtId="1" fontId="2" fillId="0" borderId="0" xfId="3" applyNumberFormat="1" applyFont="1" applyAlignment="1">
      <alignment horizontal="left"/>
    </xf>
    <xf numFmtId="1" fontId="10" fillId="0" borderId="0" xfId="3" applyNumberFormat="1" applyFont="1" applyAlignment="1">
      <alignment horizontal="left"/>
    </xf>
    <xf numFmtId="171" fontId="2" fillId="0" borderId="18" xfId="3" applyFont="1" applyBorder="1" applyAlignment="1">
      <alignment horizontal="left"/>
    </xf>
    <xf numFmtId="1" fontId="21" fillId="0" borderId="0" xfId="3" applyNumberFormat="1" applyFont="1" applyAlignment="1">
      <alignment horizontal="left"/>
    </xf>
    <xf numFmtId="1" fontId="2" fillId="0" borderId="0" xfId="7" applyNumberFormat="1" applyFont="1"/>
    <xf numFmtId="1" fontId="27" fillId="0" borderId="0" xfId="3" applyNumberFormat="1" applyFont="1" applyAlignment="1">
      <alignment horizontal="left"/>
    </xf>
    <xf numFmtId="171" fontId="11" fillId="3" borderId="4" xfId="3" applyFont="1" applyFill="1" applyBorder="1" applyAlignment="1">
      <alignment horizontal="left" indent="1"/>
    </xf>
    <xf numFmtId="174" fontId="28" fillId="3" borderId="0" xfId="3" applyNumberFormat="1" applyFont="1" applyFill="1" applyAlignment="1">
      <alignment horizontal="left"/>
    </xf>
    <xf numFmtId="173" fontId="26" fillId="3" borderId="0" xfId="3" applyNumberFormat="1" applyFont="1" applyFill="1" applyAlignment="1">
      <alignment horizontal="left"/>
    </xf>
    <xf numFmtId="180" fontId="26" fillId="3" borderId="0" xfId="3" applyNumberFormat="1" applyFont="1" applyFill="1" applyAlignment="1">
      <alignment horizontal="left"/>
    </xf>
    <xf numFmtId="181" fontId="11" fillId="3" borderId="0" xfId="3" applyNumberFormat="1" applyFont="1" applyFill="1" applyAlignment="1">
      <alignment horizontal="left"/>
    </xf>
    <xf numFmtId="1" fontId="2" fillId="0" borderId="0" xfId="7" applyNumberFormat="1" applyFont="1" applyAlignment="1">
      <alignment horizontal="left"/>
    </xf>
    <xf numFmtId="171" fontId="21" fillId="0" borderId="4" xfId="7" applyFont="1" applyBorder="1" applyAlignment="1">
      <alignment horizontal="left"/>
    </xf>
    <xf numFmtId="173" fontId="29" fillId="0" borderId="0" xfId="7" applyNumberFormat="1" applyFont="1" applyAlignment="1">
      <alignment horizontal="left"/>
    </xf>
    <xf numFmtId="176" fontId="2" fillId="0" borderId="0" xfId="3" applyNumberFormat="1" applyFont="1" applyAlignment="1">
      <alignment horizontal="left"/>
    </xf>
    <xf numFmtId="181" fontId="21" fillId="0" borderId="0" xfId="3" applyNumberFormat="1" applyFont="1" applyAlignment="1">
      <alignment horizontal="left"/>
    </xf>
    <xf numFmtId="171" fontId="11" fillId="0" borderId="18" xfId="3" applyFont="1" applyBorder="1" applyAlignment="1">
      <alignment horizontal="left" indent="1"/>
    </xf>
    <xf numFmtId="171" fontId="2" fillId="0" borderId="4" xfId="7" applyFont="1" applyBorder="1" applyAlignment="1">
      <alignment horizontal="left" indent="1"/>
    </xf>
    <xf numFmtId="171" fontId="2" fillId="0" borderId="0" xfId="3" applyFont="1" applyAlignment="1">
      <alignment horizontal="left"/>
    </xf>
    <xf numFmtId="173" fontId="2" fillId="0" borderId="0" xfId="3" applyNumberFormat="1" applyFont="1" applyAlignment="1">
      <alignment horizontal="left"/>
    </xf>
    <xf numFmtId="174" fontId="2" fillId="0" borderId="0" xfId="3" applyNumberFormat="1" applyFont="1" applyAlignment="1">
      <alignment horizontal="left"/>
    </xf>
    <xf numFmtId="171" fontId="30" fillId="0" borderId="0" xfId="3" applyFont="1"/>
    <xf numFmtId="171" fontId="2" fillId="0" borderId="4" xfId="3" applyFont="1" applyBorder="1" applyAlignment="1">
      <alignment horizontal="left"/>
    </xf>
    <xf numFmtId="171" fontId="21" fillId="0" borderId="4" xfId="3" applyFont="1" applyBorder="1"/>
    <xf numFmtId="173" fontId="21" fillId="0" borderId="0" xfId="3" applyNumberFormat="1" applyFont="1" applyAlignment="1">
      <alignment horizontal="left"/>
    </xf>
    <xf numFmtId="166" fontId="2" fillId="0" borderId="0" xfId="3" applyNumberFormat="1" applyFont="1" applyAlignment="1">
      <alignment horizontal="left"/>
    </xf>
    <xf numFmtId="181" fontId="2" fillId="0" borderId="0" xfId="8" applyNumberFormat="1" applyFont="1" applyAlignment="1">
      <alignment horizontal="left"/>
    </xf>
    <xf numFmtId="171" fontId="11" fillId="0" borderId="24" xfId="2" applyFont="1" applyBorder="1"/>
    <xf numFmtId="171" fontId="11" fillId="0" borderId="25" xfId="2" applyFont="1" applyBorder="1"/>
    <xf numFmtId="183" fontId="11" fillId="0" borderId="26" xfId="4" applyNumberFormat="1" applyFont="1" applyBorder="1" applyAlignment="1">
      <alignment horizontal="left"/>
    </xf>
    <xf numFmtId="171" fontId="9" fillId="0" borderId="23" xfId="2" applyFont="1" applyBorder="1"/>
    <xf numFmtId="181" fontId="2" fillId="0" borderId="10" xfId="3" applyNumberFormat="1" applyFont="1" applyBorder="1"/>
    <xf numFmtId="181" fontId="2" fillId="0" borderId="0" xfId="3" applyNumberFormat="1" applyFont="1"/>
    <xf numFmtId="184" fontId="10" fillId="0" borderId="17" xfId="3" applyNumberFormat="1" applyFont="1" applyBorder="1" applyAlignment="1">
      <alignment horizontal="right"/>
    </xf>
    <xf numFmtId="184" fontId="2" fillId="0" borderId="17" xfId="3" applyNumberFormat="1" applyFont="1" applyBorder="1" applyAlignment="1">
      <alignment horizontal="right"/>
    </xf>
    <xf numFmtId="171" fontId="2" fillId="0" borderId="17" xfId="3" applyFont="1" applyBorder="1" applyAlignment="1">
      <alignment horizontal="right"/>
    </xf>
    <xf numFmtId="185" fontId="2" fillId="0" borderId="27" xfId="3" applyNumberFormat="1" applyFont="1" applyBorder="1" applyAlignment="1">
      <alignment horizontal="right"/>
    </xf>
    <xf numFmtId="171" fontId="2" fillId="0" borderId="26" xfId="2" applyFont="1" applyBorder="1" applyAlignment="1">
      <alignment horizontal="right"/>
    </xf>
    <xf numFmtId="171" fontId="11" fillId="0" borderId="4" xfId="3" applyFont="1" applyBorder="1"/>
    <xf numFmtId="173" fontId="26" fillId="0" borderId="0" xfId="3" applyNumberFormat="1" applyFont="1" applyAlignment="1">
      <alignment horizontal="right"/>
    </xf>
    <xf numFmtId="173" fontId="26" fillId="0" borderId="18" xfId="3" applyNumberFormat="1" applyFont="1" applyBorder="1" applyAlignment="1">
      <alignment horizontal="right"/>
    </xf>
    <xf numFmtId="173" fontId="26" fillId="0" borderId="28" xfId="3" applyNumberFormat="1" applyFont="1" applyBorder="1" applyAlignment="1">
      <alignment horizontal="right"/>
    </xf>
    <xf numFmtId="180" fontId="31" fillId="0" borderId="0" xfId="3" applyNumberFormat="1" applyFont="1" applyAlignment="1">
      <alignment horizontal="right"/>
    </xf>
    <xf numFmtId="180" fontId="31" fillId="0" borderId="18" xfId="3" applyNumberFormat="1" applyFont="1" applyBorder="1" applyAlignment="1">
      <alignment horizontal="right"/>
    </xf>
    <xf numFmtId="180" fontId="31" fillId="0" borderId="28" xfId="3" applyNumberFormat="1" applyFont="1" applyBorder="1" applyAlignment="1">
      <alignment horizontal="right"/>
    </xf>
    <xf numFmtId="171" fontId="32" fillId="0" borderId="0" xfId="3" applyFont="1"/>
    <xf numFmtId="171" fontId="2" fillId="0" borderId="4" xfId="7" applyFont="1" applyBorder="1"/>
    <xf numFmtId="171" fontId="33" fillId="0" borderId="0" xfId="3" applyFont="1"/>
    <xf numFmtId="0" fontId="34" fillId="0" borderId="0" xfId="9" applyFont="1"/>
    <xf numFmtId="171" fontId="16" fillId="0" borderId="6" xfId="7" applyFont="1" applyBorder="1" applyAlignment="1">
      <alignment horizontal="center"/>
    </xf>
    <xf numFmtId="171" fontId="2" fillId="0" borderId="6" xfId="7" applyFont="1" applyBorder="1"/>
    <xf numFmtId="181" fontId="31" fillId="0" borderId="18" xfId="3" applyNumberFormat="1" applyFont="1" applyBorder="1" applyAlignment="1">
      <alignment horizontal="right"/>
    </xf>
    <xf numFmtId="181" fontId="31" fillId="0" borderId="28" xfId="3" applyNumberFormat="1" applyFont="1" applyBorder="1" applyAlignment="1">
      <alignment horizontal="right"/>
    </xf>
    <xf numFmtId="171" fontId="2" fillId="0" borderId="8" xfId="7" applyFont="1" applyBorder="1"/>
    <xf numFmtId="171" fontId="20" fillId="0" borderId="9" xfId="3" applyFont="1" applyBorder="1" applyAlignment="1">
      <alignment horizontal="left" wrapText="1"/>
    </xf>
    <xf numFmtId="171" fontId="2" fillId="0" borderId="10" xfId="7" applyFont="1" applyBorder="1"/>
    <xf numFmtId="181" fontId="2" fillId="0" borderId="4" xfId="3" applyNumberFormat="1" applyFont="1" applyBorder="1"/>
    <xf numFmtId="181" fontId="31" fillId="0" borderId="0" xfId="3" applyNumberFormat="1" applyFont="1" applyAlignment="1">
      <alignment horizontal="right"/>
    </xf>
    <xf numFmtId="171" fontId="23" fillId="0" borderId="0" xfId="3" applyFont="1" applyAlignment="1">
      <alignment horizontal="left"/>
    </xf>
    <xf numFmtId="171" fontId="18" fillId="0" borderId="0" xfId="3" applyFont="1" applyAlignment="1">
      <alignment horizontal="center" wrapText="1"/>
    </xf>
    <xf numFmtId="184" fontId="2" fillId="0" borderId="0" xfId="3" applyNumberFormat="1" applyFont="1" applyAlignment="1">
      <alignment horizontal="center"/>
    </xf>
    <xf numFmtId="185" fontId="2" fillId="0" borderId="0" xfId="3" applyNumberFormat="1" applyFont="1" applyAlignment="1">
      <alignment horizontal="center"/>
    </xf>
    <xf numFmtId="171" fontId="35" fillId="0" borderId="18" xfId="3" applyFont="1" applyBorder="1" applyAlignment="1">
      <alignment horizontal="left"/>
    </xf>
    <xf numFmtId="171" fontId="2" fillId="0" borderId="4" xfId="2" applyFont="1" applyBorder="1"/>
    <xf numFmtId="171" fontId="20" fillId="0" borderId="0" xfId="3" applyFont="1" applyAlignment="1">
      <alignment horizontal="center" wrapText="1"/>
    </xf>
    <xf numFmtId="171" fontId="10" fillId="0" borderId="4" xfId="2" applyFont="1" applyBorder="1"/>
    <xf numFmtId="186" fontId="18" fillId="0" borderId="0" xfId="10" applyNumberFormat="1" applyFont="1" applyAlignment="1">
      <alignment horizontal="center"/>
    </xf>
    <xf numFmtId="9" fontId="18" fillId="0" borderId="0" xfId="6" applyFont="1" applyBorder="1" applyAlignment="1">
      <alignment horizontal="center"/>
    </xf>
    <xf numFmtId="171" fontId="21" fillId="0" borderId="6" xfId="3" applyFont="1" applyBorder="1" applyAlignment="1">
      <alignment horizontal="right"/>
    </xf>
    <xf numFmtId="171" fontId="23" fillId="0" borderId="17" xfId="3" applyFont="1" applyBorder="1" applyAlignment="1">
      <alignment horizontal="left"/>
    </xf>
    <xf numFmtId="171" fontId="2" fillId="0" borderId="4" xfId="3" applyFont="1" applyBorder="1" applyAlignment="1">
      <alignment horizontal="justify"/>
    </xf>
    <xf numFmtId="10" fontId="10" fillId="0" borderId="6" xfId="7" applyNumberFormat="1" applyFont="1" applyBorder="1" applyAlignment="1">
      <alignment horizontal="right"/>
    </xf>
    <xf numFmtId="180" fontId="38" fillId="0" borderId="0" xfId="9" applyNumberFormat="1" applyFont="1"/>
    <xf numFmtId="0" fontId="12" fillId="0" borderId="4" xfId="9" applyFont="1" applyBorder="1" applyAlignment="1">
      <alignment horizontal="justify" vertical="center"/>
    </xf>
    <xf numFmtId="171" fontId="2" fillId="0" borderId="18" xfId="3" applyFont="1" applyBorder="1" applyAlignment="1">
      <alignment horizontal="left" vertical="center"/>
    </xf>
    <xf numFmtId="171" fontId="9" fillId="0" borderId="0" xfId="2" applyFont="1" applyAlignment="1">
      <alignment vertical="center"/>
    </xf>
    <xf numFmtId="10" fontId="10" fillId="0" borderId="6" xfId="7" applyNumberFormat="1" applyFont="1" applyBorder="1" applyAlignment="1">
      <alignment horizontal="right" vertical="center"/>
    </xf>
    <xf numFmtId="186" fontId="18" fillId="0" borderId="0" xfId="10" applyNumberFormat="1" applyFont="1" applyFill="1" applyAlignment="1">
      <alignment horizontal="center" vertical="center"/>
    </xf>
    <xf numFmtId="171" fontId="2" fillId="0" borderId="4" xfId="3" applyFont="1" applyBorder="1" applyAlignment="1">
      <alignment vertical="top"/>
    </xf>
    <xf numFmtId="171" fontId="40" fillId="0" borderId="4" xfId="2" applyFont="1" applyBorder="1"/>
    <xf numFmtId="186" fontId="20" fillId="0" borderId="0" xfId="10" applyNumberFormat="1" applyFont="1" applyAlignment="1">
      <alignment horizontal="center"/>
    </xf>
    <xf numFmtId="9" fontId="20" fillId="0" borderId="0" xfId="6" applyFont="1" applyBorder="1" applyAlignment="1">
      <alignment horizontal="center"/>
    </xf>
    <xf numFmtId="171" fontId="2" fillId="0" borderId="4" xfId="8" applyFont="1" applyBorder="1"/>
    <xf numFmtId="186" fontId="2" fillId="0" borderId="0" xfId="8" applyNumberFormat="1" applyFont="1" applyAlignment="1">
      <alignment horizontal="center"/>
    </xf>
    <xf numFmtId="171" fontId="11" fillId="4" borderId="31" xfId="2" applyFont="1" applyFill="1" applyBorder="1"/>
    <xf numFmtId="171" fontId="7" fillId="4" borderId="22" xfId="2" applyFont="1" applyFill="1" applyBorder="1"/>
    <xf numFmtId="171" fontId="2" fillId="0" borderId="0" xfId="8" applyFont="1" applyAlignment="1">
      <alignment horizontal="left"/>
    </xf>
    <xf numFmtId="177" fontId="18" fillId="0" borderId="0" xfId="7" applyNumberFormat="1" applyFont="1"/>
    <xf numFmtId="171" fontId="11" fillId="0" borderId="0" xfId="2" applyFont="1"/>
    <xf numFmtId="171" fontId="41" fillId="0" borderId="0" xfId="2" applyFont="1" applyAlignment="1">
      <alignment wrapText="1"/>
    </xf>
    <xf numFmtId="171" fontId="41" fillId="0" borderId="0" xfId="7" applyFont="1" applyAlignment="1">
      <alignment wrapText="1"/>
    </xf>
    <xf numFmtId="171" fontId="41" fillId="0" borderId="0" xfId="11" applyFont="1" applyAlignment="1">
      <alignment wrapText="1"/>
    </xf>
    <xf numFmtId="171" fontId="2" fillId="0" borderId="0" xfId="11" applyFont="1"/>
    <xf numFmtId="187" fontId="2" fillId="0" borderId="0" xfId="2" applyNumberFormat="1" applyFont="1"/>
    <xf numFmtId="171" fontId="42" fillId="0" borderId="0" xfId="3" applyFont="1" applyAlignment="1">
      <alignment horizontal="center"/>
    </xf>
    <xf numFmtId="171" fontId="42" fillId="0" borderId="0" xfId="3" applyFont="1"/>
    <xf numFmtId="0" fontId="42" fillId="0" borderId="0" xfId="12" applyFont="1" applyAlignment="1">
      <alignment horizontal="center"/>
    </xf>
    <xf numFmtId="171" fontId="42" fillId="0" borderId="0" xfId="13" applyFont="1"/>
    <xf numFmtId="0" fontId="43" fillId="0" borderId="0" xfId="9" applyFont="1"/>
    <xf numFmtId="0" fontId="44" fillId="0" borderId="0" xfId="9" applyFont="1"/>
    <xf numFmtId="171" fontId="45" fillId="0" borderId="0" xfId="3" quotePrefix="1" applyFont="1" applyAlignment="1">
      <alignment horizontal="right"/>
    </xf>
    <xf numFmtId="171" fontId="45" fillId="0" borderId="0" xfId="3" applyFont="1" applyAlignment="1">
      <alignment horizontal="right"/>
    </xf>
    <xf numFmtId="0" fontId="44" fillId="0" borderId="0" xfId="9" applyFont="1" applyAlignment="1">
      <alignment horizontal="right"/>
    </xf>
    <xf numFmtId="171" fontId="46" fillId="0" borderId="0" xfId="3" quotePrefix="1" applyFont="1" applyAlignment="1">
      <alignment horizontal="right"/>
    </xf>
    <xf numFmtId="171" fontId="46" fillId="0" borderId="0" xfId="3" applyFont="1" applyAlignment="1">
      <alignment horizontal="right"/>
    </xf>
    <xf numFmtId="171" fontId="43" fillId="5" borderId="0" xfId="3" applyFont="1" applyFill="1" applyAlignment="1">
      <alignment horizontal="right"/>
    </xf>
    <xf numFmtId="171" fontId="43" fillId="5" borderId="28" xfId="3" applyFont="1" applyFill="1" applyBorder="1" applyAlignment="1">
      <alignment horizontal="right"/>
    </xf>
    <xf numFmtId="171" fontId="47" fillId="0" borderId="0" xfId="3" applyFont="1" applyAlignment="1">
      <alignment horizontal="right"/>
    </xf>
    <xf numFmtId="0" fontId="44" fillId="0" borderId="0" xfId="16" applyFont="1"/>
    <xf numFmtId="173" fontId="45" fillId="0" borderId="0" xfId="3" applyNumberFormat="1" applyFont="1" applyAlignment="1">
      <alignment horizontal="right"/>
    </xf>
    <xf numFmtId="180" fontId="45" fillId="0" borderId="0" xfId="3" applyNumberFormat="1" applyFont="1" applyAlignment="1">
      <alignment horizontal="right"/>
    </xf>
    <xf numFmtId="0" fontId="43" fillId="0" borderId="0" xfId="16" applyFont="1"/>
    <xf numFmtId="173" fontId="49" fillId="0" borderId="0" xfId="3" applyNumberFormat="1" applyFont="1" applyAlignment="1">
      <alignment horizontal="right"/>
    </xf>
    <xf numFmtId="173" fontId="44" fillId="0" borderId="0" xfId="16" applyNumberFormat="1" applyFont="1" applyAlignment="1">
      <alignment horizontal="right"/>
    </xf>
    <xf numFmtId="0" fontId="44" fillId="0" borderId="0" xfId="16" applyFont="1" applyAlignment="1">
      <alignment horizontal="right"/>
    </xf>
    <xf numFmtId="0" fontId="43" fillId="0" borderId="0" xfId="16" applyFont="1" applyAlignment="1">
      <alignment horizontal="right"/>
    </xf>
    <xf numFmtId="173" fontId="43" fillId="0" borderId="0" xfId="16" applyNumberFormat="1" applyFont="1" applyAlignment="1">
      <alignment horizontal="right"/>
    </xf>
    <xf numFmtId="0" fontId="44" fillId="6" borderId="0" xfId="16" applyFont="1" applyFill="1"/>
    <xf numFmtId="0" fontId="44" fillId="6" borderId="0" xfId="16" applyFont="1" applyFill="1" applyAlignment="1">
      <alignment horizontal="right"/>
    </xf>
    <xf numFmtId="181" fontId="44" fillId="0" borderId="0" xfId="16" applyNumberFormat="1" applyFont="1" applyAlignment="1">
      <alignment horizontal="right"/>
    </xf>
    <xf numFmtId="181" fontId="45" fillId="0" borderId="0" xfId="3" applyNumberFormat="1" applyFont="1" applyAlignment="1">
      <alignment horizontal="right"/>
    </xf>
    <xf numFmtId="180" fontId="44" fillId="0" borderId="0" xfId="9" applyNumberFormat="1" applyFont="1" applyAlignment="1">
      <alignment horizontal="right"/>
    </xf>
    <xf numFmtId="0" fontId="44" fillId="5" borderId="0" xfId="9" applyFont="1" applyFill="1"/>
    <xf numFmtId="0" fontId="43" fillId="5" borderId="0" xfId="9" applyFont="1" applyFill="1"/>
    <xf numFmtId="0" fontId="46" fillId="0" borderId="0" xfId="9" applyFont="1"/>
    <xf numFmtId="14" fontId="44" fillId="0" borderId="0" xfId="9" applyNumberFormat="1" applyFont="1"/>
    <xf numFmtId="0" fontId="45" fillId="0" borderId="0" xfId="9" applyFont="1"/>
    <xf numFmtId="173" fontId="45" fillId="0" borderId="0" xfId="3" applyNumberFormat="1" applyFont="1" applyAlignment="1">
      <alignment horizontal="left"/>
    </xf>
    <xf numFmtId="0" fontId="44" fillId="0" borderId="0" xfId="9" applyFont="1" applyAlignment="1">
      <alignment horizontal="center"/>
    </xf>
    <xf numFmtId="0" fontId="43" fillId="5" borderId="0" xfId="9" applyFont="1" applyFill="1" applyAlignment="1">
      <alignment horizontal="center"/>
    </xf>
    <xf numFmtId="0" fontId="46" fillId="0" borderId="0" xfId="9" applyFont="1" applyAlignment="1">
      <alignment horizontal="center"/>
    </xf>
    <xf numFmtId="180" fontId="2" fillId="0" borderId="0" xfId="6" applyNumberFormat="1" applyFont="1" applyFill="1" applyBorder="1" applyAlignment="1"/>
    <xf numFmtId="171" fontId="7" fillId="0" borderId="17" xfId="148" applyFont="1" applyBorder="1" applyAlignment="1">
      <alignment horizontal="right"/>
    </xf>
    <xf numFmtId="10" fontId="2" fillId="0" borderId="0" xfId="6" applyNumberFormat="1" applyFont="1" applyFill="1" applyBorder="1"/>
    <xf numFmtId="10" fontId="8" fillId="0" borderId="0" xfId="148" applyNumberFormat="1" applyFont="1"/>
    <xf numFmtId="171" fontId="2" fillId="0" borderId="0" xfId="2" quotePrefix="1" applyFont="1"/>
    <xf numFmtId="171" fontId="8" fillId="0" borderId="0" xfId="148" applyFont="1"/>
    <xf numFmtId="171" fontId="7" fillId="0" borderId="17" xfId="2" applyFont="1" applyBorder="1" applyAlignment="1">
      <alignment horizontal="right"/>
    </xf>
    <xf numFmtId="171" fontId="2" fillId="0" borderId="0" xfId="2" applyFont="1"/>
    <xf numFmtId="206" fontId="2" fillId="0" borderId="9" xfId="1" applyNumberFormat="1" applyFont="1" applyFill="1" applyBorder="1"/>
    <xf numFmtId="171" fontId="4" fillId="21" borderId="1" xfId="148" applyFont="1" applyFill="1" applyBorder="1"/>
    <xf numFmtId="171" fontId="5" fillId="21" borderId="2" xfId="3" applyFont="1" applyFill="1" applyBorder="1"/>
    <xf numFmtId="171" fontId="6" fillId="21" borderId="2" xfId="3" applyFont="1" applyFill="1" applyBorder="1" applyAlignment="1">
      <alignment horizontal="right"/>
    </xf>
    <xf numFmtId="171" fontId="6" fillId="21" borderId="3" xfId="3" applyFont="1" applyFill="1" applyBorder="1" applyAlignment="1">
      <alignment horizontal="right"/>
    </xf>
    <xf numFmtId="171" fontId="6" fillId="21" borderId="1" xfId="3" applyFont="1" applyFill="1" applyBorder="1"/>
    <xf numFmtId="171" fontId="15" fillId="21" borderId="2" xfId="2" applyFont="1" applyFill="1" applyBorder="1"/>
    <xf numFmtId="171" fontId="5" fillId="21" borderId="3" xfId="3" applyFont="1" applyFill="1" applyBorder="1"/>
    <xf numFmtId="171" fontId="6" fillId="21" borderId="1" xfId="2" applyFont="1" applyFill="1" applyBorder="1"/>
    <xf numFmtId="171" fontId="6" fillId="21" borderId="2" xfId="2" applyFont="1" applyFill="1" applyBorder="1"/>
    <xf numFmtId="171" fontId="6" fillId="21" borderId="3" xfId="2" applyFont="1" applyFill="1" applyBorder="1"/>
    <xf numFmtId="171" fontId="6" fillId="21" borderId="20" xfId="3" applyFont="1" applyFill="1" applyBorder="1"/>
    <xf numFmtId="177" fontId="5" fillId="21" borderId="21" xfId="3" applyNumberFormat="1" applyFont="1" applyFill="1" applyBorder="1"/>
    <xf numFmtId="171" fontId="15" fillId="21" borderId="21" xfId="2" applyFont="1" applyFill="1" applyBorder="1"/>
    <xf numFmtId="171" fontId="5" fillId="21" borderId="21" xfId="3" applyFont="1" applyFill="1" applyBorder="1"/>
    <xf numFmtId="171" fontId="5" fillId="21" borderId="22" xfId="3" applyFont="1" applyFill="1" applyBorder="1"/>
    <xf numFmtId="171" fontId="6" fillId="21" borderId="11" xfId="3" applyFont="1" applyFill="1" applyBorder="1"/>
    <xf numFmtId="171" fontId="24" fillId="21" borderId="12" xfId="3" applyFont="1" applyFill="1" applyBorder="1"/>
    <xf numFmtId="37" fontId="5" fillId="21" borderId="12" xfId="3" applyNumberFormat="1" applyFont="1" applyFill="1" applyBorder="1"/>
    <xf numFmtId="171" fontId="5" fillId="21" borderId="12" xfId="3" applyFont="1" applyFill="1" applyBorder="1"/>
    <xf numFmtId="171" fontId="5" fillId="21" borderId="12" xfId="7" applyFont="1" applyFill="1" applyBorder="1"/>
    <xf numFmtId="171" fontId="15" fillId="21" borderId="12" xfId="2" applyFont="1" applyFill="1" applyBorder="1"/>
    <xf numFmtId="171" fontId="24" fillId="21" borderId="13" xfId="3" applyFont="1" applyFill="1" applyBorder="1" applyAlignment="1">
      <alignment horizontal="right"/>
    </xf>
    <xf numFmtId="171" fontId="6" fillId="21" borderId="14" xfId="3" applyFont="1" applyFill="1" applyBorder="1"/>
    <xf numFmtId="171" fontId="5" fillId="21" borderId="5" xfId="3" applyFont="1" applyFill="1" applyBorder="1"/>
    <xf numFmtId="171" fontId="6" fillId="21" borderId="5" xfId="3" applyFont="1" applyFill="1" applyBorder="1" applyAlignment="1">
      <alignment horizontal="center"/>
    </xf>
    <xf numFmtId="171" fontId="5" fillId="21" borderId="15" xfId="2" applyFont="1" applyFill="1" applyBorder="1"/>
    <xf numFmtId="171" fontId="6" fillId="21" borderId="11" xfId="2" applyFont="1" applyFill="1" applyBorder="1"/>
    <xf numFmtId="171" fontId="6" fillId="21" borderId="12" xfId="2" applyFont="1" applyFill="1" applyBorder="1"/>
    <xf numFmtId="171" fontId="6" fillId="21" borderId="13" xfId="3" applyFont="1" applyFill="1" applyBorder="1"/>
    <xf numFmtId="171" fontId="6" fillId="21" borderId="11" xfId="7" applyFont="1" applyFill="1" applyBorder="1"/>
    <xf numFmtId="171" fontId="17" fillId="21" borderId="12" xfId="2" applyFont="1" applyFill="1" applyBorder="1"/>
    <xf numFmtId="9" fontId="28" fillId="21" borderId="12" xfId="6" applyFont="1" applyFill="1" applyBorder="1" applyAlignment="1">
      <alignment horizontal="left"/>
    </xf>
    <xf numFmtId="171" fontId="11" fillId="21" borderId="13" xfId="7" applyFont="1" applyFill="1" applyBorder="1"/>
    <xf numFmtId="171" fontId="10" fillId="0" borderId="0" xfId="2" applyFont="1"/>
    <xf numFmtId="171" fontId="10" fillId="0" borderId="9" xfId="148" applyFont="1" applyBorder="1"/>
    <xf numFmtId="171" fontId="11" fillId="0" borderId="12" xfId="148" applyFont="1" applyBorder="1" applyAlignment="1">
      <alignment horizontal="right"/>
    </xf>
    <xf numFmtId="171" fontId="11" fillId="0" borderId="13" xfId="148" applyFont="1" applyBorder="1" applyAlignment="1">
      <alignment horizontal="right"/>
    </xf>
    <xf numFmtId="171" fontId="39" fillId="0" borderId="4" xfId="2" applyFont="1" applyBorder="1" applyAlignment="1">
      <alignment vertical="center"/>
    </xf>
    <xf numFmtId="171" fontId="2" fillId="0" borderId="0" xfId="3" applyFont="1" applyAlignment="1">
      <alignment vertical="center"/>
    </xf>
    <xf numFmtId="174" fontId="2" fillId="0" borderId="0" xfId="3" applyNumberFormat="1" applyFont="1" applyAlignment="1">
      <alignment horizontal="left" vertical="center"/>
    </xf>
    <xf numFmtId="181" fontId="2" fillId="0" borderId="0" xfId="3" applyNumberFormat="1" applyFont="1" applyAlignment="1">
      <alignment horizontal="left" vertical="center"/>
    </xf>
    <xf numFmtId="171" fontId="2" fillId="0" borderId="0" xfId="7" applyFont="1" applyAlignment="1">
      <alignment vertical="center"/>
    </xf>
    <xf numFmtId="171" fontId="2" fillId="0" borderId="6" xfId="7" applyFont="1" applyBorder="1" applyAlignment="1">
      <alignment vertical="center"/>
    </xf>
    <xf numFmtId="9" fontId="18" fillId="0" borderId="0" xfId="6" applyFont="1" applyFill="1" applyBorder="1" applyAlignment="1">
      <alignment horizontal="center" vertical="center"/>
    </xf>
    <xf numFmtId="171" fontId="2" fillId="0" borderId="0" xfId="2" applyFont="1" applyAlignment="1">
      <alignment vertical="center"/>
    </xf>
    <xf numFmtId="0" fontId="44" fillId="0" borderId="0" xfId="0" applyFont="1"/>
    <xf numFmtId="174" fontId="45" fillId="0" borderId="0" xfId="0" applyNumberFormat="1" applyFont="1"/>
    <xf numFmtId="174" fontId="44" fillId="0" borderId="0" xfId="0" applyNumberFormat="1" applyFont="1"/>
    <xf numFmtId="180" fontId="46" fillId="0" borderId="0" xfId="0" applyNumberFormat="1" applyFont="1"/>
    <xf numFmtId="180" fontId="44" fillId="0" borderId="0" xfId="0" applyNumberFormat="1" applyFont="1"/>
    <xf numFmtId="174" fontId="44" fillId="5" borderId="0" xfId="0" applyNumberFormat="1" applyFont="1" applyFill="1"/>
    <xf numFmtId="174" fontId="47" fillId="5" borderId="0" xfId="0" applyNumberFormat="1" applyFont="1" applyFill="1"/>
    <xf numFmtId="0" fontId="44" fillId="6" borderId="0" xfId="0" applyFont="1" applyFill="1"/>
    <xf numFmtId="207" fontId="44" fillId="3" borderId="41" xfId="0" applyNumberFormat="1" applyFont="1" applyFill="1" applyBorder="1" applyAlignment="1">
      <alignment horizontal="center"/>
    </xf>
    <xf numFmtId="207" fontId="44" fillId="3" borderId="42" xfId="0" applyNumberFormat="1" applyFont="1" applyFill="1" applyBorder="1" applyAlignment="1">
      <alignment horizontal="center"/>
    </xf>
    <xf numFmtId="207" fontId="44" fillId="0" borderId="0" xfId="0" applyNumberFormat="1" applyFont="1" applyAlignment="1">
      <alignment horizontal="center"/>
    </xf>
    <xf numFmtId="207" fontId="44" fillId="3" borderId="43" xfId="0" applyNumberFormat="1" applyFont="1" applyFill="1" applyBorder="1" applyAlignment="1">
      <alignment horizontal="center"/>
    </xf>
    <xf numFmtId="0" fontId="44" fillId="0" borderId="0" xfId="0" applyFont="1" applyAlignment="1">
      <alignment horizontal="center"/>
    </xf>
    <xf numFmtId="207" fontId="44" fillId="3" borderId="0" xfId="0" applyNumberFormat="1" applyFont="1" applyFill="1" applyAlignment="1">
      <alignment horizontal="center"/>
    </xf>
    <xf numFmtId="4" fontId="101" fillId="22" borderId="44" xfId="0" applyNumberFormat="1" applyFont="1" applyFill="1" applyBorder="1" applyAlignment="1">
      <alignment horizontal="centerContinuous" vertical="center"/>
    </xf>
    <xf numFmtId="4" fontId="101" fillId="22" borderId="43" xfId="0" applyNumberFormat="1" applyFont="1" applyFill="1" applyBorder="1" applyAlignment="1">
      <alignment horizontal="centerContinuous"/>
    </xf>
    <xf numFmtId="208" fontId="101" fillId="0" borderId="0" xfId="0" applyNumberFormat="1" applyFont="1" applyAlignment="1">
      <alignment horizontal="center"/>
    </xf>
    <xf numFmtId="208" fontId="101" fillId="22" borderId="44" xfId="0" applyNumberFormat="1" applyFont="1" applyFill="1" applyBorder="1" applyAlignment="1">
      <alignment horizontal="center"/>
    </xf>
    <xf numFmtId="209" fontId="101" fillId="22" borderId="44" xfId="0" applyNumberFormat="1" applyFont="1" applyFill="1" applyBorder="1" applyAlignment="1">
      <alignment horizontal="center"/>
    </xf>
    <xf numFmtId="210" fontId="101" fillId="22" borderId="44" xfId="0" applyNumberFormat="1" applyFont="1" applyFill="1" applyBorder="1" applyAlignment="1">
      <alignment horizontal="center"/>
    </xf>
    <xf numFmtId="211" fontId="101" fillId="22" borderId="44" xfId="0" applyNumberFormat="1" applyFont="1" applyFill="1" applyBorder="1" applyAlignment="1">
      <alignment horizontal="center"/>
    </xf>
    <xf numFmtId="212" fontId="101" fillId="22" borderId="44" xfId="0" applyNumberFormat="1" applyFont="1" applyFill="1" applyBorder="1" applyAlignment="1">
      <alignment horizontal="center"/>
    </xf>
    <xf numFmtId="213" fontId="101" fillId="22" borderId="43" xfId="0" applyNumberFormat="1" applyFont="1" applyFill="1" applyBorder="1" applyAlignment="1">
      <alignment horizontal="center"/>
    </xf>
    <xf numFmtId="214" fontId="101" fillId="22" borderId="43" xfId="0" applyNumberFormat="1" applyFont="1" applyFill="1" applyBorder="1" applyAlignment="1">
      <alignment horizontal="centerContinuous"/>
    </xf>
    <xf numFmtId="174" fontId="48" fillId="0" borderId="0" xfId="0" applyNumberFormat="1" applyFont="1"/>
    <xf numFmtId="0" fontId="102" fillId="0" borderId="0" xfId="0" applyFont="1"/>
    <xf numFmtId="0" fontId="43" fillId="0" borderId="0" xfId="0" applyFont="1"/>
    <xf numFmtId="174" fontId="49" fillId="0" borderId="0" xfId="0" applyNumberFormat="1" applyFont="1"/>
    <xf numFmtId="174" fontId="43" fillId="0" borderId="0" xfId="0" applyNumberFormat="1" applyFont="1" applyAlignment="1">
      <alignment horizontal="left" indent="2"/>
    </xf>
    <xf numFmtId="174" fontId="44" fillId="0" borderId="0" xfId="0" applyNumberFormat="1" applyFont="1" applyAlignment="1">
      <alignment horizontal="left" indent="1"/>
    </xf>
    <xf numFmtId="174" fontId="43" fillId="0" borderId="0" xfId="0" applyNumberFormat="1" applyFont="1"/>
    <xf numFmtId="174" fontId="46" fillId="0" borderId="0" xfId="0" applyNumberFormat="1" applyFont="1"/>
    <xf numFmtId="174" fontId="103" fillId="0" borderId="0" xfId="0" applyNumberFormat="1" applyFont="1"/>
    <xf numFmtId="174" fontId="43" fillId="0" borderId="0" xfId="0" applyNumberFormat="1" applyFont="1" applyAlignment="1">
      <alignment horizontal="left" indent="1"/>
    </xf>
    <xf numFmtId="174" fontId="104" fillId="0" borderId="0" xfId="0" applyNumberFormat="1" applyFont="1"/>
    <xf numFmtId="174" fontId="105" fillId="0" borderId="0" xfId="0" applyNumberFormat="1" applyFont="1"/>
    <xf numFmtId="0" fontId="43" fillId="0" borderId="0" xfId="0" applyFont="1" applyAlignment="1">
      <alignment horizontal="left" indent="1"/>
    </xf>
    <xf numFmtId="189" fontId="47" fillId="5" borderId="0" xfId="0" applyNumberFormat="1" applyFont="1" applyFill="1"/>
    <xf numFmtId="174" fontId="44" fillId="0" borderId="0" xfId="0" applyNumberFormat="1" applyFont="1" applyAlignment="1">
      <alignment horizontal="left"/>
    </xf>
    <xf numFmtId="0" fontId="44" fillId="6" borderId="0" xfId="0" applyFont="1" applyFill="1" applyAlignment="1">
      <alignment horizontal="center"/>
    </xf>
    <xf numFmtId="0" fontId="46" fillId="0" borderId="0" xfId="0" applyFont="1"/>
    <xf numFmtId="0" fontId="107" fillId="0" borderId="0" xfId="0" applyFont="1"/>
    <xf numFmtId="188" fontId="45" fillId="0" borderId="45" xfId="0" applyNumberFormat="1" applyFont="1" applyBorder="1" applyAlignment="1">
      <alignment horizontal="center"/>
    </xf>
    <xf numFmtId="180" fontId="108" fillId="23" borderId="46" xfId="155" applyNumberFormat="1" applyFont="1"/>
    <xf numFmtId="180" fontId="102" fillId="0" borderId="0" xfId="0" applyNumberFormat="1" applyFont="1"/>
    <xf numFmtId="0" fontId="102" fillId="0" borderId="0" xfId="0" applyFont="1" applyAlignment="1">
      <alignment horizontal="left" indent="1"/>
    </xf>
    <xf numFmtId="187" fontId="107" fillId="0" borderId="0" xfId="0" applyNumberFormat="1" applyFont="1"/>
    <xf numFmtId="207" fontId="43" fillId="3" borderId="42" xfId="0" applyNumberFormat="1" applyFont="1" applyFill="1" applyBorder="1" applyAlignment="1">
      <alignment horizontal="center"/>
    </xf>
    <xf numFmtId="207" fontId="43" fillId="3" borderId="43" xfId="0" applyNumberFormat="1" applyFont="1" applyFill="1" applyBorder="1" applyAlignment="1">
      <alignment horizontal="center"/>
    </xf>
    <xf numFmtId="187" fontId="44" fillId="0" borderId="0" xfId="0" applyNumberFormat="1" applyFont="1"/>
    <xf numFmtId="174" fontId="8" fillId="0" borderId="0" xfId="3" applyNumberFormat="1" applyFont="1" applyAlignment="1">
      <alignment horizontal="left"/>
    </xf>
    <xf numFmtId="171" fontId="2" fillId="0" borderId="8" xfId="148" applyFont="1" applyBorder="1"/>
    <xf numFmtId="174" fontId="106" fillId="0" borderId="0" xfId="0" applyNumberFormat="1" applyFont="1"/>
    <xf numFmtId="171" fontId="2" fillId="0" borderId="4" xfId="148" applyFont="1" applyBorder="1"/>
    <xf numFmtId="175" fontId="18" fillId="0" borderId="9" xfId="148" applyNumberFormat="1" applyFont="1" applyBorder="1"/>
    <xf numFmtId="174" fontId="2" fillId="0" borderId="4" xfId="3" applyNumberFormat="1" applyFont="1" applyBorder="1"/>
    <xf numFmtId="175" fontId="8" fillId="0" borderId="0" xfId="3" applyNumberFormat="1" applyFont="1"/>
    <xf numFmtId="175" fontId="2" fillId="0" borderId="0" xfId="3" applyNumberFormat="1" applyFont="1" applyAlignment="1">
      <alignment horizontal="right"/>
    </xf>
    <xf numFmtId="164" fontId="2" fillId="0" borderId="0" xfId="3" applyNumberFormat="1" applyFont="1" applyAlignment="1">
      <alignment horizontal="right"/>
    </xf>
    <xf numFmtId="177" fontId="10" fillId="0" borderId="0" xfId="2" applyNumberFormat="1" applyFont="1"/>
    <xf numFmtId="177" fontId="8" fillId="0" borderId="0" xfId="148" applyNumberFormat="1" applyFont="1"/>
    <xf numFmtId="176" fontId="8" fillId="0" borderId="6" xfId="2" applyNumberFormat="1" applyFont="1" applyBorder="1"/>
    <xf numFmtId="171" fontId="9" fillId="0" borderId="16" xfId="2" applyFont="1" applyBorder="1"/>
    <xf numFmtId="10" fontId="2" fillId="0" borderId="17" xfId="148" applyNumberFormat="1" applyFont="1" applyBorder="1"/>
    <xf numFmtId="171" fontId="9" fillId="0" borderId="17" xfId="2" applyFont="1" applyBorder="1"/>
    <xf numFmtId="171" fontId="2" fillId="0" borderId="17" xfId="148" applyFont="1" applyBorder="1"/>
    <xf numFmtId="171" fontId="9" fillId="0" borderId="19" xfId="2" applyFont="1" applyBorder="1"/>
    <xf numFmtId="171" fontId="100" fillId="0" borderId="4" xfId="2" applyFont="1" applyBorder="1"/>
    <xf numFmtId="171" fontId="25" fillId="0" borderId="0" xfId="3" applyFont="1" applyAlignment="1">
      <alignment horizontal="left"/>
    </xf>
    <xf numFmtId="174" fontId="18" fillId="0" borderId="0" xfId="3" applyNumberFormat="1" applyFont="1" applyAlignment="1">
      <alignment horizontal="left"/>
    </xf>
    <xf numFmtId="180" fontId="26" fillId="3" borderId="0" xfId="3" applyNumberFormat="1" applyFont="1" applyFill="1"/>
    <xf numFmtId="180" fontId="31" fillId="0" borderId="50" xfId="3" applyNumberFormat="1" applyFont="1" applyBorder="1" applyAlignment="1">
      <alignment horizontal="right"/>
    </xf>
    <xf numFmtId="181" fontId="31" fillId="0" borderId="50" xfId="3" applyNumberFormat="1" applyFont="1" applyBorder="1" applyAlignment="1">
      <alignment horizontal="right"/>
    </xf>
    <xf numFmtId="171" fontId="2" fillId="0" borderId="50" xfId="3" applyFont="1" applyBorder="1"/>
    <xf numFmtId="0" fontId="44" fillId="25" borderId="0" xfId="9" applyFont="1" applyFill="1"/>
    <xf numFmtId="171" fontId="43" fillId="5" borderId="0" xfId="3" applyFont="1" applyFill="1" applyAlignment="1">
      <alignment horizontal="left"/>
    </xf>
    <xf numFmtId="180" fontId="45" fillId="0" borderId="50" xfId="3" applyNumberFormat="1" applyFont="1" applyBorder="1" applyAlignment="1">
      <alignment horizontal="right"/>
    </xf>
    <xf numFmtId="181" fontId="45" fillId="0" borderId="50" xfId="3" applyNumberFormat="1" applyFont="1" applyBorder="1" applyAlignment="1">
      <alignment horizontal="right"/>
    </xf>
    <xf numFmtId="9" fontId="48" fillId="23" borderId="46" xfId="155" applyNumberFormat="1" applyFont="1" applyAlignment="1">
      <alignment horizontal="center"/>
    </xf>
    <xf numFmtId="0" fontId="108" fillId="0" borderId="0" xfId="0" applyFont="1"/>
    <xf numFmtId="174" fontId="48" fillId="23" borderId="46" xfId="155" applyNumberFormat="1" applyFont="1"/>
    <xf numFmtId="0" fontId="46" fillId="0" borderId="0" xfId="0" applyFont="1" applyAlignment="1">
      <alignment horizontal="right"/>
    </xf>
    <xf numFmtId="0" fontId="43" fillId="23" borderId="46" xfId="155" applyFont="1" applyAlignment="1">
      <alignment horizontal="center"/>
    </xf>
    <xf numFmtId="0" fontId="43" fillId="0" borderId="0" xfId="0" applyFont="1" applyAlignment="1">
      <alignment horizontal="right"/>
    </xf>
    <xf numFmtId="173" fontId="48" fillId="0" borderId="0" xfId="3" applyNumberFormat="1" applyFont="1" applyAlignment="1">
      <alignment horizontal="right"/>
    </xf>
    <xf numFmtId="173" fontId="45" fillId="0" borderId="50" xfId="3" applyNumberFormat="1" applyFont="1" applyBorder="1" applyAlignment="1">
      <alignment horizontal="right"/>
    </xf>
    <xf numFmtId="173" fontId="46" fillId="0" borderId="0" xfId="3" applyNumberFormat="1" applyFont="1" applyAlignment="1">
      <alignment horizontal="left"/>
    </xf>
    <xf numFmtId="181" fontId="36" fillId="0" borderId="0" xfId="4" applyNumberFormat="1" applyFont="1" applyFill="1" applyBorder="1" applyAlignment="1">
      <alignment horizontal="right"/>
    </xf>
    <xf numFmtId="181" fontId="31" fillId="0" borderId="17" xfId="3" applyNumberFormat="1" applyFont="1" applyBorder="1" applyAlignment="1">
      <alignment horizontal="right"/>
    </xf>
    <xf numFmtId="181" fontId="31" fillId="0" borderId="30" xfId="3" applyNumberFormat="1" applyFont="1" applyBorder="1" applyAlignment="1">
      <alignment horizontal="right"/>
    </xf>
    <xf numFmtId="174" fontId="9" fillId="0" borderId="0" xfId="3" applyNumberFormat="1" applyFont="1"/>
    <xf numFmtId="180" fontId="9" fillId="0" borderId="0" xfId="3" applyNumberFormat="1" applyFont="1" applyAlignment="1">
      <alignment horizontal="center"/>
    </xf>
    <xf numFmtId="188" fontId="9" fillId="0" borderId="0" xfId="3" applyNumberFormat="1" applyFont="1"/>
    <xf numFmtId="0" fontId="9" fillId="0" borderId="0" xfId="2" applyNumberFormat="1" applyFont="1" applyAlignment="1">
      <alignment horizontal="center"/>
    </xf>
    <xf numFmtId="174" fontId="9" fillId="0" borderId="0" xfId="13" applyNumberFormat="1" applyFont="1" applyAlignment="1">
      <alignment horizontal="left" indent="1"/>
    </xf>
    <xf numFmtId="173" fontId="9" fillId="0" borderId="0" xfId="13" applyNumberFormat="1" applyFont="1" applyAlignment="1">
      <alignment horizontal="left" indent="1"/>
    </xf>
    <xf numFmtId="189" fontId="9" fillId="0" borderId="0" xfId="11" applyNumberFormat="1" applyFont="1" applyAlignment="1">
      <alignment horizontal="center"/>
    </xf>
    <xf numFmtId="188" fontId="9" fillId="0" borderId="0" xfId="3" applyNumberFormat="1" applyFont="1" applyAlignment="1">
      <alignment horizontal="center"/>
    </xf>
    <xf numFmtId="174" fontId="9" fillId="0" borderId="0" xfId="11" applyNumberFormat="1" applyFont="1" applyAlignment="1">
      <alignment horizontal="center"/>
    </xf>
    <xf numFmtId="180" fontId="9" fillId="0" borderId="0" xfId="3" applyNumberFormat="1" applyFont="1"/>
    <xf numFmtId="180" fontId="9" fillId="0" borderId="0" xfId="13" applyNumberFormat="1" applyFont="1"/>
    <xf numFmtId="173" fontId="9" fillId="0" borderId="0" xfId="3" applyNumberFormat="1" applyFont="1" applyAlignment="1">
      <alignment horizontal="center"/>
    </xf>
    <xf numFmtId="180" fontId="111" fillId="0" borderId="0" xfId="3" applyNumberFormat="1" applyFont="1" applyAlignment="1">
      <alignment horizontal="center"/>
    </xf>
    <xf numFmtId="173" fontId="11" fillId="0" borderId="52" xfId="2" applyNumberFormat="1" applyFont="1" applyBorder="1" applyAlignment="1">
      <alignment horizontal="center"/>
    </xf>
    <xf numFmtId="174" fontId="49" fillId="0" borderId="50" xfId="0" applyNumberFormat="1" applyFont="1" applyBorder="1"/>
    <xf numFmtId="174" fontId="43" fillId="0" borderId="50" xfId="0" applyNumberFormat="1" applyFont="1" applyBorder="1"/>
    <xf numFmtId="174" fontId="45" fillId="0" borderId="50" xfId="0" applyNumberFormat="1" applyFont="1" applyBorder="1"/>
    <xf numFmtId="174" fontId="48" fillId="0" borderId="50" xfId="0" applyNumberFormat="1" applyFont="1" applyBorder="1"/>
    <xf numFmtId="181" fontId="36" fillId="0" borderId="18" xfId="4" applyNumberFormat="1" applyFont="1" applyFill="1" applyBorder="1" applyAlignment="1">
      <alignment horizontal="right"/>
    </xf>
    <xf numFmtId="181" fontId="36" fillId="0" borderId="28" xfId="4" applyNumberFormat="1" applyFont="1" applyFill="1" applyBorder="1" applyAlignment="1">
      <alignment horizontal="right"/>
    </xf>
    <xf numFmtId="174" fontId="42" fillId="0" borderId="0" xfId="3" applyNumberFormat="1" applyFont="1" applyAlignment="1">
      <alignment horizontal="center"/>
    </xf>
    <xf numFmtId="218" fontId="101" fillId="22" borderId="44" xfId="0" applyNumberFormat="1" applyFont="1" applyFill="1" applyBorder="1" applyAlignment="1">
      <alignment horizontal="center"/>
    </xf>
    <xf numFmtId="219" fontId="101" fillId="22" borderId="44" xfId="0" applyNumberFormat="1" applyFont="1" applyFill="1" applyBorder="1" applyAlignment="1">
      <alignment horizontal="center"/>
    </xf>
    <xf numFmtId="220" fontId="101" fillId="22" borderId="44" xfId="0" applyNumberFormat="1" applyFont="1" applyFill="1" applyBorder="1" applyAlignment="1">
      <alignment horizontal="center"/>
    </xf>
    <xf numFmtId="0" fontId="106" fillId="23" borderId="46" xfId="155" applyFont="1" applyAlignment="1">
      <alignment horizontal="center"/>
    </xf>
    <xf numFmtId="174" fontId="44" fillId="5" borderId="0" xfId="0" applyNumberFormat="1" applyFont="1" applyFill="1" applyAlignment="1">
      <alignment horizontal="center"/>
    </xf>
    <xf numFmtId="0" fontId="43" fillId="0" borderId="0" xfId="9" applyFont="1" applyAlignment="1">
      <alignment horizontal="center"/>
    </xf>
    <xf numFmtId="173" fontId="19" fillId="0" borderId="6" xfId="3" applyNumberFormat="1" applyFont="1" applyBorder="1" applyAlignment="1">
      <alignment horizontal="right"/>
    </xf>
    <xf numFmtId="173" fontId="2" fillId="0" borderId="6" xfId="3" applyNumberFormat="1" applyFont="1" applyBorder="1" applyAlignment="1">
      <alignment horizontal="right"/>
    </xf>
    <xf numFmtId="174" fontId="104" fillId="23" borderId="46" xfId="155" applyNumberFormat="1" applyFont="1"/>
    <xf numFmtId="173" fontId="10" fillId="0" borderId="0" xfId="2" applyNumberFormat="1" applyFont="1"/>
    <xf numFmtId="173" fontId="19" fillId="0" borderId="0" xfId="7" applyNumberFormat="1" applyFont="1"/>
    <xf numFmtId="174" fontId="10" fillId="0" borderId="9" xfId="3" applyNumberFormat="1" applyFont="1" applyBorder="1" applyAlignment="1">
      <alignment horizontal="left"/>
    </xf>
    <xf numFmtId="174" fontId="10" fillId="0" borderId="6" xfId="3" applyNumberFormat="1" applyFont="1" applyBorder="1" applyAlignment="1">
      <alignment horizontal="left"/>
    </xf>
    <xf numFmtId="174" fontId="4" fillId="21" borderId="2" xfId="148" applyNumberFormat="1" applyFont="1" applyFill="1" applyBorder="1" applyAlignment="1">
      <alignment horizontal="left"/>
    </xf>
    <xf numFmtId="174" fontId="43" fillId="0" borderId="0" xfId="9" applyNumberFormat="1" applyFont="1"/>
    <xf numFmtId="174" fontId="10" fillId="0" borderId="0" xfId="2" applyNumberFormat="1" applyFont="1" applyAlignment="1">
      <alignment horizontal="right"/>
    </xf>
    <xf numFmtId="222" fontId="44" fillId="0" borderId="0" xfId="0" applyNumberFormat="1" applyFont="1"/>
    <xf numFmtId="0" fontId="44" fillId="0" borderId="0" xfId="0" applyFont="1" applyAlignment="1">
      <alignment horizontal="left"/>
    </xf>
    <xf numFmtId="174" fontId="103" fillId="0" borderId="50" xfId="0" applyNumberFormat="1" applyFont="1" applyBorder="1"/>
    <xf numFmtId="177" fontId="44" fillId="0" borderId="0" xfId="0" applyNumberFormat="1" applyFont="1"/>
    <xf numFmtId="0" fontId="44" fillId="0" borderId="0" xfId="0" quotePrefix="1" applyFont="1"/>
    <xf numFmtId="174" fontId="48" fillId="26" borderId="0" xfId="0" applyNumberFormat="1" applyFont="1" applyFill="1"/>
    <xf numFmtId="0" fontId="44" fillId="0" borderId="50" xfId="0" applyFont="1" applyBorder="1"/>
    <xf numFmtId="223" fontId="44" fillId="0" borderId="0" xfId="0" applyNumberFormat="1" applyFont="1"/>
    <xf numFmtId="207" fontId="44" fillId="3" borderId="53" xfId="0" applyNumberFormat="1" applyFont="1" applyFill="1" applyBorder="1" applyAlignment="1">
      <alignment horizontal="center"/>
    </xf>
    <xf numFmtId="0" fontId="43" fillId="0" borderId="0" xfId="0" applyFont="1" applyAlignment="1">
      <alignment horizontal="left" indent="2"/>
    </xf>
    <xf numFmtId="0" fontId="44" fillId="26" borderId="0" xfId="0" applyFont="1" applyFill="1"/>
    <xf numFmtId="173" fontId="44" fillId="0" borderId="0" xfId="0" applyNumberFormat="1" applyFont="1"/>
    <xf numFmtId="0" fontId="114" fillId="0" borderId="0" xfId="0" applyFont="1"/>
    <xf numFmtId="180" fontId="48" fillId="23" borderId="46" xfId="155" applyNumberFormat="1" applyFont="1"/>
    <xf numFmtId="173" fontId="48" fillId="23" borderId="46" xfId="155" applyNumberFormat="1" applyFont="1"/>
    <xf numFmtId="174" fontId="44" fillId="26" borderId="0" xfId="0" applyNumberFormat="1" applyFont="1" applyFill="1"/>
    <xf numFmtId="177" fontId="43" fillId="0" borderId="50" xfId="0" applyNumberFormat="1" applyFont="1" applyBorder="1"/>
    <xf numFmtId="0" fontId="38" fillId="0" borderId="0" xfId="0" applyFont="1"/>
    <xf numFmtId="222" fontId="43" fillId="0" borderId="0" xfId="0" applyNumberFormat="1" applyFont="1" applyAlignment="1">
      <alignment horizontal="left" indent="1"/>
    </xf>
    <xf numFmtId="174" fontId="38" fillId="0" borderId="0" xfId="0" applyNumberFormat="1" applyFont="1"/>
    <xf numFmtId="0" fontId="38" fillId="0" borderId="0" xfId="0" applyFont="1" applyAlignment="1">
      <alignment horizontal="left" indent="1"/>
    </xf>
    <xf numFmtId="215" fontId="45" fillId="0" borderId="0" xfId="0" applyNumberFormat="1" applyFont="1"/>
    <xf numFmtId="216" fontId="45" fillId="0" borderId="0" xfId="0" applyNumberFormat="1" applyFont="1"/>
    <xf numFmtId="180" fontId="43" fillId="0" borderId="0" xfId="0" applyNumberFormat="1" applyFont="1"/>
    <xf numFmtId="0" fontId="115" fillId="0" borderId="0" xfId="0" applyFont="1"/>
    <xf numFmtId="0" fontId="13" fillId="27" borderId="0" xfId="163" applyFill="1"/>
    <xf numFmtId="0" fontId="13" fillId="28" borderId="0" xfId="163" applyFill="1"/>
    <xf numFmtId="0" fontId="44" fillId="0" borderId="0" xfId="0" applyFont="1" applyAlignment="1">
      <alignment wrapText="1"/>
    </xf>
    <xf numFmtId="207" fontId="44" fillId="27" borderId="4" xfId="0" applyNumberFormat="1" applyFont="1" applyFill="1" applyBorder="1" applyAlignment="1">
      <alignment horizontal="center"/>
    </xf>
    <xf numFmtId="223" fontId="48" fillId="27" borderId="33" xfId="0" applyNumberFormat="1" applyFont="1" applyFill="1" applyBorder="1" applyAlignment="1">
      <alignment horizontal="center"/>
    </xf>
    <xf numFmtId="207" fontId="44" fillId="28" borderId="4" xfId="0" applyNumberFormat="1" applyFont="1" applyFill="1" applyBorder="1" applyAlignment="1">
      <alignment horizontal="center"/>
    </xf>
    <xf numFmtId="223" fontId="48" fillId="28" borderId="33" xfId="0" applyNumberFormat="1" applyFont="1" applyFill="1" applyBorder="1" applyAlignment="1">
      <alignment horizontal="center"/>
    </xf>
    <xf numFmtId="0" fontId="44" fillId="28" borderId="6" xfId="0" applyFont="1" applyFill="1" applyBorder="1"/>
    <xf numFmtId="207" fontId="44" fillId="28" borderId="8" xfId="0" applyNumberFormat="1" applyFont="1" applyFill="1" applyBorder="1" applyAlignment="1">
      <alignment horizontal="center"/>
    </xf>
    <xf numFmtId="223" fontId="48" fillId="28" borderId="55" xfId="0" applyNumberFormat="1" applyFont="1" applyFill="1" applyBorder="1" applyAlignment="1">
      <alignment horizontal="center"/>
    </xf>
    <xf numFmtId="177" fontId="44" fillId="23" borderId="46" xfId="155" applyNumberFormat="1" applyFont="1"/>
    <xf numFmtId="177" fontId="44" fillId="26" borderId="0" xfId="0" applyNumberFormat="1" applyFont="1" applyFill="1"/>
    <xf numFmtId="177" fontId="48" fillId="23" borderId="46" xfId="155" applyNumberFormat="1" applyFont="1"/>
    <xf numFmtId="0" fontId="44" fillId="26" borderId="0" xfId="0" applyFont="1" applyFill="1" applyAlignment="1">
      <alignment horizontal="left"/>
    </xf>
    <xf numFmtId="180" fontId="102" fillId="23" borderId="46" xfId="155" applyNumberFormat="1" applyFont="1"/>
    <xf numFmtId="174" fontId="105" fillId="26" borderId="0" xfId="0" applyNumberFormat="1" applyFont="1" applyFill="1"/>
    <xf numFmtId="223" fontId="45" fillId="0" borderId="0" xfId="0" applyNumberFormat="1" applyFont="1"/>
    <xf numFmtId="174" fontId="105" fillId="23" borderId="46" xfId="155" applyNumberFormat="1" applyFont="1"/>
    <xf numFmtId="174" fontId="48" fillId="0" borderId="0" xfId="0" applyNumberFormat="1" applyFont="1" applyAlignment="1">
      <alignment horizontal="right"/>
    </xf>
    <xf numFmtId="174" fontId="108" fillId="0" borderId="0" xfId="0" applyNumberFormat="1" applyFont="1"/>
    <xf numFmtId="0" fontId="44" fillId="0" borderId="4" xfId="0" applyFont="1" applyBorder="1"/>
    <xf numFmtId="0" fontId="44" fillId="0" borderId="6" xfId="0" applyFont="1" applyBorder="1"/>
    <xf numFmtId="0" fontId="43" fillId="0" borderId="8" xfId="0" applyFont="1" applyBorder="1" applyAlignment="1">
      <alignment horizontal="left" indent="1"/>
    </xf>
    <xf numFmtId="0" fontId="44" fillId="0" borderId="10" xfId="0" applyFont="1" applyBorder="1"/>
    <xf numFmtId="0" fontId="44" fillId="0" borderId="8" xfId="0" applyFont="1" applyBorder="1"/>
    <xf numFmtId="0" fontId="44" fillId="0" borderId="9" xfId="0" applyFont="1" applyBorder="1"/>
    <xf numFmtId="0" fontId="43" fillId="5" borderId="56" xfId="0" applyFont="1" applyFill="1" applyBorder="1" applyAlignment="1">
      <alignment horizontal="center"/>
    </xf>
    <xf numFmtId="0" fontId="43" fillId="5" borderId="3" xfId="0" applyFont="1" applyFill="1" applyBorder="1" applyAlignment="1">
      <alignment horizontal="center"/>
    </xf>
    <xf numFmtId="173" fontId="44" fillId="0" borderId="33" xfId="0" applyNumberFormat="1" applyFont="1" applyBorder="1" applyAlignment="1">
      <alignment horizontal="center"/>
    </xf>
    <xf numFmtId="173" fontId="44" fillId="0" borderId="0" xfId="0" applyNumberFormat="1" applyFont="1" applyAlignment="1">
      <alignment horizontal="center"/>
    </xf>
    <xf numFmtId="173" fontId="44" fillId="0" borderId="6" xfId="0" applyNumberFormat="1" applyFont="1" applyBorder="1" applyAlignment="1">
      <alignment horizontal="center"/>
    </xf>
    <xf numFmtId="173" fontId="44" fillId="0" borderId="55" xfId="0" applyNumberFormat="1" applyFont="1" applyBorder="1" applyAlignment="1">
      <alignment horizontal="center"/>
    </xf>
    <xf numFmtId="173" fontId="44" fillId="0" borderId="9" xfId="0" applyNumberFormat="1" applyFont="1" applyBorder="1" applyAlignment="1">
      <alignment horizontal="center"/>
    </xf>
    <xf numFmtId="173" fontId="44" fillId="0" borderId="10" xfId="0" applyNumberFormat="1" applyFont="1" applyBorder="1" applyAlignment="1">
      <alignment horizontal="center"/>
    </xf>
    <xf numFmtId="174" fontId="44" fillId="0" borderId="6" xfId="0" applyNumberFormat="1" applyFont="1" applyBorder="1" applyAlignment="1">
      <alignment horizontal="center"/>
    </xf>
    <xf numFmtId="173" fontId="43" fillId="0" borderId="21" xfId="0" applyNumberFormat="1" applyFont="1" applyBorder="1" applyAlignment="1">
      <alignment horizontal="center"/>
    </xf>
    <xf numFmtId="174" fontId="102" fillId="0" borderId="0" xfId="0" applyNumberFormat="1" applyFont="1"/>
    <xf numFmtId="174" fontId="102" fillId="0" borderId="0" xfId="0" applyNumberFormat="1" applyFont="1" applyAlignment="1">
      <alignment horizontal="left" indent="1"/>
    </xf>
    <xf numFmtId="222" fontId="45" fillId="0" borderId="0" xfId="0" applyNumberFormat="1" applyFont="1"/>
    <xf numFmtId="0" fontId="44" fillId="0" borderId="0" xfId="0" applyFont="1" applyAlignment="1">
      <alignment horizontal="left" indent="1"/>
    </xf>
    <xf numFmtId="223" fontId="44" fillId="0" borderId="6" xfId="0" applyNumberFormat="1" applyFont="1" applyBorder="1"/>
    <xf numFmtId="0" fontId="43" fillId="5" borderId="0" xfId="0" applyFont="1" applyFill="1" applyAlignment="1">
      <alignment horizontal="center"/>
    </xf>
    <xf numFmtId="0" fontId="116" fillId="0" borderId="0" xfId="163" applyFont="1"/>
    <xf numFmtId="0" fontId="43" fillId="5" borderId="4" xfId="0" applyFont="1" applyFill="1" applyBorder="1" applyAlignment="1">
      <alignment horizontal="center"/>
    </xf>
    <xf numFmtId="0" fontId="43" fillId="5" borderId="6" xfId="0" applyFont="1" applyFill="1" applyBorder="1" applyAlignment="1">
      <alignment horizontal="center"/>
    </xf>
    <xf numFmtId="207" fontId="44" fillId="3" borderId="4" xfId="0" applyNumberFormat="1" applyFont="1" applyFill="1" applyBorder="1" applyAlignment="1">
      <alignment horizontal="center"/>
    </xf>
    <xf numFmtId="207" fontId="44" fillId="3" borderId="8" xfId="0" applyNumberFormat="1" applyFont="1" applyFill="1" applyBorder="1" applyAlignment="1">
      <alignment horizontal="center"/>
    </xf>
    <xf numFmtId="223" fontId="44" fillId="0" borderId="9" xfId="0" applyNumberFormat="1" applyFont="1" applyBorder="1"/>
    <xf numFmtId="223" fontId="44" fillId="0" borderId="10" xfId="0" applyNumberFormat="1" applyFont="1" applyBorder="1"/>
    <xf numFmtId="207" fontId="44" fillId="3" borderId="33" xfId="0" applyNumberFormat="1" applyFont="1" applyFill="1" applyBorder="1" applyAlignment="1">
      <alignment horizontal="center"/>
    </xf>
    <xf numFmtId="207" fontId="44" fillId="3" borderId="55" xfId="0" applyNumberFormat="1" applyFont="1" applyFill="1" applyBorder="1" applyAlignment="1">
      <alignment horizontal="center"/>
    </xf>
    <xf numFmtId="0" fontId="43" fillId="5" borderId="9" xfId="0" applyFont="1" applyFill="1" applyBorder="1" applyAlignment="1">
      <alignment horizontal="center"/>
    </xf>
    <xf numFmtId="0" fontId="43" fillId="5" borderId="10" xfId="0" applyFont="1" applyFill="1" applyBorder="1" applyAlignment="1">
      <alignment horizontal="center"/>
    </xf>
    <xf numFmtId="0" fontId="43" fillId="5" borderId="8" xfId="0" applyFont="1" applyFill="1" applyBorder="1" applyAlignment="1">
      <alignment horizontal="center"/>
    </xf>
    <xf numFmtId="0" fontId="43" fillId="5" borderId="56" xfId="0" applyFont="1" applyFill="1" applyBorder="1" applyAlignment="1">
      <alignment horizontal="centerContinuous"/>
    </xf>
    <xf numFmtId="0" fontId="43" fillId="5" borderId="2" xfId="0" applyFont="1" applyFill="1" applyBorder="1" applyAlignment="1">
      <alignment horizontal="centerContinuous"/>
    </xf>
    <xf numFmtId="0" fontId="43" fillId="5" borderId="14" xfId="0" applyFont="1" applyFill="1" applyBorder="1" applyAlignment="1">
      <alignment horizontal="center"/>
    </xf>
    <xf numFmtId="0" fontId="43" fillId="5" borderId="5" xfId="0" applyFont="1" applyFill="1" applyBorder="1" applyAlignment="1">
      <alignment horizontal="center"/>
    </xf>
    <xf numFmtId="0" fontId="43" fillId="5" borderId="15" xfId="0" applyFont="1" applyFill="1" applyBorder="1" applyAlignment="1">
      <alignment horizontal="center"/>
    </xf>
    <xf numFmtId="0" fontId="43" fillId="5" borderId="1" xfId="0" applyFont="1" applyFill="1" applyBorder="1" applyAlignment="1">
      <alignment horizontal="center"/>
    </xf>
    <xf numFmtId="0" fontId="102" fillId="0" borderId="0" xfId="0" applyFont="1" applyAlignment="1">
      <alignment horizontal="left"/>
    </xf>
    <xf numFmtId="174" fontId="44" fillId="0" borderId="4" xfId="0" applyNumberFormat="1" applyFont="1" applyBorder="1" applyAlignment="1">
      <alignment horizontal="center"/>
    </xf>
    <xf numFmtId="174" fontId="44" fillId="0" borderId="33" xfId="0" applyNumberFormat="1" applyFont="1" applyBorder="1" applyAlignment="1">
      <alignment horizontal="center"/>
    </xf>
    <xf numFmtId="0" fontId="44" fillId="0" borderId="6" xfId="0" applyFont="1" applyBorder="1" applyAlignment="1">
      <alignment horizontal="center"/>
    </xf>
    <xf numFmtId="174" fontId="44" fillId="0" borderId="8" xfId="0" applyNumberFormat="1" applyFont="1" applyBorder="1" applyAlignment="1">
      <alignment horizontal="center"/>
    </xf>
    <xf numFmtId="174" fontId="44" fillId="0" borderId="55" xfId="0" applyNumberFormat="1" applyFont="1" applyBorder="1" applyAlignment="1">
      <alignment horizontal="center"/>
    </xf>
    <xf numFmtId="174" fontId="44" fillId="0" borderId="10" xfId="0" applyNumberFormat="1" applyFont="1" applyBorder="1" applyAlignment="1">
      <alignment horizontal="center"/>
    </xf>
    <xf numFmtId="0" fontId="116" fillId="0" borderId="14" xfId="163" applyFont="1" applyBorder="1"/>
    <xf numFmtId="0" fontId="44" fillId="0" borderId="5" xfId="0" applyFont="1" applyBorder="1"/>
    <xf numFmtId="0" fontId="44" fillId="0" borderId="15" xfId="0" applyFont="1" applyBorder="1"/>
    <xf numFmtId="0" fontId="44" fillId="0" borderId="9" xfId="0" applyFont="1" applyBorder="1" applyAlignment="1">
      <alignment horizontal="center"/>
    </xf>
    <xf numFmtId="215" fontId="48" fillId="0" borderId="0" xfId="0" applyNumberFormat="1" applyFont="1"/>
    <xf numFmtId="180" fontId="117" fillId="0" borderId="0" xfId="0" applyNumberFormat="1" applyFont="1"/>
    <xf numFmtId="0" fontId="118" fillId="0" borderId="0" xfId="0" applyFont="1"/>
    <xf numFmtId="0" fontId="114" fillId="0" borderId="0" xfId="0" applyFont="1" applyAlignment="1">
      <alignment horizontal="left" indent="1"/>
    </xf>
    <xf numFmtId="180" fontId="114" fillId="0" borderId="50" xfId="0" applyNumberFormat="1" applyFont="1" applyBorder="1"/>
    <xf numFmtId="0" fontId="114" fillId="0" borderId="0" xfId="0" applyFont="1" applyAlignment="1">
      <alignment horizontal="left"/>
    </xf>
    <xf numFmtId="174" fontId="106" fillId="0" borderId="50" xfId="0" applyNumberFormat="1" applyFont="1" applyBorder="1"/>
    <xf numFmtId="0" fontId="104" fillId="0" borderId="0" xfId="0" applyFont="1"/>
    <xf numFmtId="0" fontId="45" fillId="0" borderId="0" xfId="0" applyFont="1"/>
    <xf numFmtId="177" fontId="49" fillId="0" borderId="50" xfId="0" applyNumberFormat="1" applyFont="1" applyBorder="1"/>
    <xf numFmtId="0" fontId="102" fillId="27" borderId="0" xfId="0" applyFont="1" applyFill="1"/>
    <xf numFmtId="180" fontId="102" fillId="27" borderId="0" xfId="0" applyNumberFormat="1" applyFont="1" applyFill="1"/>
    <xf numFmtId="0" fontId="114" fillId="27" borderId="0" xfId="0" applyFont="1" applyFill="1"/>
    <xf numFmtId="0" fontId="114" fillId="27" borderId="0" xfId="0" applyFont="1" applyFill="1" applyAlignment="1">
      <alignment horizontal="left" indent="1"/>
    </xf>
    <xf numFmtId="180" fontId="114" fillId="27" borderId="50" xfId="0" applyNumberFormat="1" applyFont="1" applyFill="1" applyBorder="1"/>
    <xf numFmtId="0" fontId="43" fillId="28" borderId="25" xfId="0" applyFont="1" applyFill="1" applyBorder="1"/>
    <xf numFmtId="223" fontId="49" fillId="28" borderId="25" xfId="0" applyNumberFormat="1" applyFont="1" applyFill="1" applyBorder="1"/>
    <xf numFmtId="0" fontId="114" fillId="0" borderId="0" xfId="0" applyFont="1" applyAlignment="1">
      <alignment horizontal="left" indent="2"/>
    </xf>
    <xf numFmtId="224" fontId="44" fillId="0" borderId="0" xfId="0" applyNumberFormat="1" applyFont="1"/>
    <xf numFmtId="224" fontId="43" fillId="0" borderId="50" xfId="0" applyNumberFormat="1" applyFont="1" applyBorder="1"/>
    <xf numFmtId="174" fontId="44" fillId="0" borderId="4" xfId="0" applyNumberFormat="1" applyFont="1" applyBorder="1"/>
    <xf numFmtId="174" fontId="44" fillId="0" borderId="8" xfId="0" applyNumberFormat="1" applyFont="1" applyBorder="1"/>
    <xf numFmtId="174" fontId="44" fillId="0" borderId="9" xfId="0" applyNumberFormat="1" applyFont="1" applyBorder="1"/>
    <xf numFmtId="0" fontId="119" fillId="0" borderId="0" xfId="0" applyFont="1"/>
    <xf numFmtId="222" fontId="102" fillId="0" borderId="0" xfId="0" applyNumberFormat="1" applyFont="1" applyAlignment="1">
      <alignment horizontal="left"/>
    </xf>
    <xf numFmtId="180" fontId="108" fillId="0" borderId="0" xfId="0" applyNumberFormat="1" applyFont="1"/>
    <xf numFmtId="180" fontId="117" fillId="23" borderId="46" xfId="155" applyNumberFormat="1" applyFont="1"/>
    <xf numFmtId="180" fontId="44" fillId="0" borderId="9" xfId="0" applyNumberFormat="1" applyFont="1" applyBorder="1"/>
    <xf numFmtId="174" fontId="44" fillId="0" borderId="6" xfId="0" applyNumberFormat="1" applyFont="1" applyBorder="1"/>
    <xf numFmtId="174" fontId="45" fillId="0" borderId="6" xfId="0" applyNumberFormat="1" applyFont="1" applyBorder="1"/>
    <xf numFmtId="173" fontId="104" fillId="0" borderId="0" xfId="3" applyNumberFormat="1" applyFont="1" applyAlignment="1">
      <alignment horizontal="right"/>
    </xf>
    <xf numFmtId="180" fontId="104" fillId="0" borderId="0" xfId="3" applyNumberFormat="1" applyFont="1" applyAlignment="1">
      <alignment horizontal="right"/>
    </xf>
    <xf numFmtId="0" fontId="44" fillId="0" borderId="14" xfId="0" applyFont="1" applyBorder="1"/>
    <xf numFmtId="174" fontId="48" fillId="0" borderId="4" xfId="0" applyNumberFormat="1" applyFont="1" applyBorder="1"/>
    <xf numFmtId="174" fontId="48" fillId="0" borderId="6" xfId="0" applyNumberFormat="1" applyFont="1" applyBorder="1"/>
    <xf numFmtId="1" fontId="44" fillId="0" borderId="0" xfId="0" applyNumberFormat="1" applyFont="1" applyAlignment="1">
      <alignment horizontal="center"/>
    </xf>
    <xf numFmtId="0" fontId="45" fillId="0" borderId="4" xfId="0" applyFont="1" applyBorder="1"/>
    <xf numFmtId="174" fontId="45" fillId="0" borderId="9" xfId="0" applyNumberFormat="1" applyFont="1" applyBorder="1"/>
    <xf numFmtId="174" fontId="43" fillId="28" borderId="50" xfId="0" applyNumberFormat="1" applyFont="1" applyFill="1" applyBorder="1"/>
    <xf numFmtId="174" fontId="114" fillId="28" borderId="50" xfId="0" applyNumberFormat="1" applyFont="1" applyFill="1" applyBorder="1"/>
    <xf numFmtId="174" fontId="119" fillId="0" borderId="0" xfId="0" applyNumberFormat="1" applyFont="1"/>
    <xf numFmtId="166" fontId="44" fillId="0" borderId="5" xfId="0" applyNumberFormat="1" applyFont="1" applyBorder="1"/>
    <xf numFmtId="174" fontId="43" fillId="0" borderId="58" xfId="0" applyNumberFormat="1" applyFont="1" applyBorder="1"/>
    <xf numFmtId="180" fontId="119" fillId="27" borderId="0" xfId="0" applyNumberFormat="1" applyFont="1" applyFill="1"/>
    <xf numFmtId="0" fontId="102" fillId="27" borderId="6" xfId="0" applyFont="1" applyFill="1" applyBorder="1"/>
    <xf numFmtId="180" fontId="102" fillId="27" borderId="6" xfId="0" applyNumberFormat="1" applyFont="1" applyFill="1" applyBorder="1"/>
    <xf numFmtId="223" fontId="121" fillId="27" borderId="0" xfId="0" applyNumberFormat="1" applyFont="1" applyFill="1"/>
    <xf numFmtId="180" fontId="120" fillId="27" borderId="0" xfId="0" applyNumberFormat="1" applyFont="1" applyFill="1"/>
    <xf numFmtId="180" fontId="114" fillId="27" borderId="58" xfId="0" applyNumberFormat="1" applyFont="1" applyFill="1" applyBorder="1"/>
    <xf numFmtId="189" fontId="118" fillId="0" borderId="0" xfId="0" applyNumberFormat="1" applyFont="1"/>
    <xf numFmtId="180" fontId="118" fillId="0" borderId="0" xfId="0" applyNumberFormat="1" applyFont="1"/>
    <xf numFmtId="0" fontId="44" fillId="28" borderId="0" xfId="0" applyFont="1" applyFill="1"/>
    <xf numFmtId="174" fontId="44" fillId="28" borderId="0" xfId="0" applyNumberFormat="1" applyFont="1" applyFill="1"/>
    <xf numFmtId="174" fontId="102" fillId="28" borderId="0" xfId="0" applyNumberFormat="1" applyFont="1" applyFill="1"/>
    <xf numFmtId="174" fontId="102" fillId="28" borderId="6" xfId="0" applyNumberFormat="1" applyFont="1" applyFill="1" applyBorder="1"/>
    <xf numFmtId="0" fontId="43" fillId="28" borderId="0" xfId="0" applyFont="1" applyFill="1"/>
    <xf numFmtId="174" fontId="43" fillId="28" borderId="0" xfId="0" applyNumberFormat="1" applyFont="1" applyFill="1"/>
    <xf numFmtId="174" fontId="114" fillId="28" borderId="58" xfId="0" applyNumberFormat="1" applyFont="1" applyFill="1" applyBorder="1"/>
    <xf numFmtId="223" fontId="119" fillId="0" borderId="0" xfId="0" applyNumberFormat="1" applyFont="1"/>
    <xf numFmtId="180" fontId="118" fillId="0" borderId="6" xfId="0" applyNumberFormat="1" applyFont="1" applyBorder="1"/>
    <xf numFmtId="0" fontId="46" fillId="28" borderId="0" xfId="0" applyFont="1" applyFill="1"/>
    <xf numFmtId="174" fontId="46" fillId="28" borderId="0" xfId="0" applyNumberFormat="1" applyFont="1" applyFill="1"/>
    <xf numFmtId="174" fontId="46" fillId="28" borderId="6" xfId="0" applyNumberFormat="1" applyFont="1" applyFill="1" applyBorder="1"/>
    <xf numFmtId="174" fontId="46" fillId="0" borderId="6" xfId="0" applyNumberFormat="1" applyFont="1" applyBorder="1"/>
    <xf numFmtId="0" fontId="102" fillId="29" borderId="0" xfId="0" applyFont="1" applyFill="1"/>
    <xf numFmtId="180" fontId="102" fillId="29" borderId="0" xfId="0" applyNumberFormat="1" applyFont="1" applyFill="1"/>
    <xf numFmtId="0" fontId="102" fillId="29" borderId="6" xfId="0" applyFont="1" applyFill="1" applyBorder="1"/>
    <xf numFmtId="180" fontId="102" fillId="29" borderId="6" xfId="0" applyNumberFormat="1" applyFont="1" applyFill="1" applyBorder="1"/>
    <xf numFmtId="0" fontId="102" fillId="29" borderId="9" xfId="0" applyFont="1" applyFill="1" applyBorder="1"/>
    <xf numFmtId="180" fontId="102" fillId="29" borderId="9" xfId="0" applyNumberFormat="1" applyFont="1" applyFill="1" applyBorder="1"/>
    <xf numFmtId="180" fontId="102" fillId="29" borderId="10" xfId="0" applyNumberFormat="1" applyFont="1" applyFill="1" applyBorder="1"/>
    <xf numFmtId="0" fontId="122" fillId="0" borderId="0" xfId="0" applyFont="1" applyAlignment="1">
      <alignment horizontal="centerContinuous"/>
    </xf>
    <xf numFmtId="0" fontId="0" fillId="0" borderId="0" xfId="0" applyAlignment="1">
      <alignment horizontal="centerContinuous"/>
    </xf>
    <xf numFmtId="0" fontId="123" fillId="19" borderId="0" xfId="0" applyFont="1" applyFill="1"/>
    <xf numFmtId="0" fontId="123" fillId="30" borderId="0" xfId="0" applyFont="1" applyFill="1"/>
    <xf numFmtId="0" fontId="123" fillId="30" borderId="0" xfId="0" applyFont="1" applyFill="1" applyAlignment="1">
      <alignment wrapText="1"/>
    </xf>
    <xf numFmtId="0" fontId="122" fillId="0" borderId="0" xfId="0" applyFont="1"/>
    <xf numFmtId="165" fontId="0" fillId="0" borderId="0" xfId="0" applyNumberFormat="1"/>
    <xf numFmtId="9" fontId="0" fillId="0" borderId="0" xfId="0" applyNumberFormat="1"/>
    <xf numFmtId="3" fontId="0" fillId="0" borderId="0" xfId="0" applyNumberFormat="1"/>
    <xf numFmtId="0" fontId="0" fillId="0" borderId="0" xfId="0" quotePrefix="1"/>
    <xf numFmtId="164" fontId="0" fillId="0" borderId="0" xfId="1" applyNumberFormat="1" applyFont="1"/>
    <xf numFmtId="9" fontId="0" fillId="0" borderId="0" xfId="164" applyFont="1"/>
    <xf numFmtId="0" fontId="13" fillId="0" borderId="0" xfId="163" applyAlignment="1">
      <alignment horizontal="centerContinuous"/>
    </xf>
    <xf numFmtId="174" fontId="0" fillId="0" borderId="0" xfId="0" applyNumberFormat="1"/>
    <xf numFmtId="174" fontId="45" fillId="0" borderId="5" xfId="0" applyNumberFormat="1" applyFont="1" applyBorder="1"/>
    <xf numFmtId="174" fontId="44" fillId="0" borderId="5" xfId="0" applyNumberFormat="1" applyFont="1" applyBorder="1"/>
    <xf numFmtId="174" fontId="44" fillId="0" borderId="15" xfId="0" applyNumberFormat="1" applyFont="1" applyBorder="1"/>
    <xf numFmtId="223" fontId="104" fillId="0" borderId="0" xfId="0" applyNumberFormat="1" applyFont="1"/>
    <xf numFmtId="223" fontId="105" fillId="0" borderId="6" xfId="0" applyNumberFormat="1" applyFont="1" applyBorder="1"/>
    <xf numFmtId="223" fontId="104" fillId="26" borderId="0" xfId="0" applyNumberFormat="1" applyFont="1" applyFill="1"/>
    <xf numFmtId="223" fontId="104" fillId="26" borderId="6" xfId="0" applyNumberFormat="1" applyFont="1" applyFill="1" applyBorder="1"/>
    <xf numFmtId="223" fontId="104" fillId="0" borderId="6" xfId="0" applyNumberFormat="1" applyFont="1" applyBorder="1"/>
    <xf numFmtId="176" fontId="108" fillId="23" borderId="46" xfId="155" applyNumberFormat="1" applyFont="1"/>
    <xf numFmtId="180" fontId="108" fillId="23" borderId="57" xfId="155" applyNumberFormat="1" applyFont="1" applyBorder="1"/>
    <xf numFmtId="180" fontId="119" fillId="0" borderId="0" xfId="0" applyNumberFormat="1" applyFont="1"/>
    <xf numFmtId="0" fontId="119" fillId="0" borderId="6" xfId="0" applyFont="1" applyBorder="1"/>
    <xf numFmtId="0" fontId="102" fillId="0" borderId="4" xfId="0" applyFont="1" applyBorder="1"/>
    <xf numFmtId="0" fontId="102" fillId="0" borderId="6" xfId="0" applyFont="1" applyBorder="1"/>
    <xf numFmtId="223" fontId="49" fillId="28" borderId="59" xfId="0" applyNumberFormat="1" applyFont="1" applyFill="1" applyBorder="1"/>
    <xf numFmtId="0" fontId="43" fillId="0" borderId="4" xfId="0" applyFont="1" applyBorder="1"/>
    <xf numFmtId="0" fontId="43" fillId="0" borderId="6" xfId="0" applyFont="1" applyBorder="1"/>
    <xf numFmtId="0" fontId="46" fillId="0" borderId="9" xfId="0" applyFont="1" applyBorder="1"/>
    <xf numFmtId="174" fontId="46" fillId="0" borderId="9" xfId="0" applyNumberFormat="1" applyFont="1" applyBorder="1"/>
    <xf numFmtId="174" fontId="46" fillId="0" borderId="10" xfId="0" applyNumberFormat="1" applyFont="1" applyBorder="1"/>
    <xf numFmtId="0" fontId="38" fillId="0" borderId="5" xfId="0" applyFont="1" applyBorder="1"/>
    <xf numFmtId="0" fontId="117" fillId="0" borderId="0" xfId="0" applyFont="1"/>
    <xf numFmtId="0" fontId="46" fillId="0" borderId="9" xfId="0" applyFont="1" applyBorder="1" applyAlignment="1">
      <alignment horizontal="left" indent="1"/>
    </xf>
    <xf numFmtId="0" fontId="119" fillId="0" borderId="4" xfId="0" applyFont="1" applyBorder="1"/>
    <xf numFmtId="0" fontId="114" fillId="0" borderId="4" xfId="0" applyFont="1" applyBorder="1"/>
    <xf numFmtId="0" fontId="46" fillId="0" borderId="8" xfId="0" applyFont="1" applyBorder="1"/>
    <xf numFmtId="0" fontId="118" fillId="27" borderId="0" xfId="0" applyFont="1" applyFill="1"/>
    <xf numFmtId="0" fontId="119" fillId="0" borderId="0" xfId="0" applyFont="1" applyAlignment="1">
      <alignment horizontal="left" indent="1"/>
    </xf>
    <xf numFmtId="0" fontId="38" fillId="28" borderId="0" xfId="0" applyFont="1" applyFill="1"/>
    <xf numFmtId="180" fontId="102" fillId="28" borderId="0" xfId="0" applyNumberFormat="1" applyFont="1" applyFill="1"/>
    <xf numFmtId="0" fontId="43" fillId="28" borderId="0" xfId="0" applyFont="1" applyFill="1" applyAlignment="1">
      <alignment horizontal="left" indent="1"/>
    </xf>
    <xf numFmtId="0" fontId="44" fillId="0" borderId="14" xfId="0" applyFont="1" applyBorder="1" applyAlignment="1">
      <alignment horizontal="center"/>
    </xf>
    <xf numFmtId="0" fontId="44" fillId="26" borderId="17" xfId="0" applyFont="1" applyFill="1" applyBorder="1"/>
    <xf numFmtId="174" fontId="48" fillId="26" borderId="17" xfId="0" applyNumberFormat="1" applyFont="1" applyFill="1" applyBorder="1"/>
    <xf numFmtId="174" fontId="44" fillId="26" borderId="17" xfId="0" applyNumberFormat="1" applyFont="1" applyFill="1" applyBorder="1"/>
    <xf numFmtId="0" fontId="44" fillId="0" borderId="17" xfId="0" applyFont="1" applyBorder="1"/>
    <xf numFmtId="174" fontId="48" fillId="0" borderId="17" xfId="0" applyNumberFormat="1" applyFont="1" applyBorder="1"/>
    <xf numFmtId="180" fontId="114" fillId="0" borderId="0" xfId="0" applyNumberFormat="1" applyFont="1"/>
    <xf numFmtId="0" fontId="44" fillId="31" borderId="0" xfId="0" applyFont="1" applyFill="1"/>
    <xf numFmtId="177" fontId="102" fillId="0" borderId="0" xfId="0" applyNumberFormat="1" applyFont="1"/>
    <xf numFmtId="173" fontId="102" fillId="0" borderId="0" xfId="0" applyNumberFormat="1" applyFont="1"/>
    <xf numFmtId="177" fontId="43" fillId="0" borderId="0" xfId="0" applyNumberFormat="1" applyFont="1"/>
    <xf numFmtId="173" fontId="43" fillId="0" borderId="50" xfId="0" applyNumberFormat="1" applyFont="1" applyBorder="1"/>
    <xf numFmtId="0" fontId="44" fillId="32" borderId="50" xfId="0" applyFont="1" applyFill="1" applyBorder="1"/>
    <xf numFmtId="0" fontId="43" fillId="32" borderId="50" xfId="0" applyFont="1" applyFill="1" applyBorder="1" applyAlignment="1">
      <alignment horizontal="left"/>
    </xf>
    <xf numFmtId="174" fontId="106" fillId="32" borderId="50" xfId="0" applyNumberFormat="1" applyFont="1" applyFill="1" applyBorder="1"/>
    <xf numFmtId="174" fontId="43" fillId="32" borderId="50" xfId="0" applyNumberFormat="1" applyFont="1" applyFill="1" applyBorder="1"/>
    <xf numFmtId="0" fontId="102" fillId="32" borderId="17" xfId="0" applyFont="1" applyFill="1" applyBorder="1"/>
    <xf numFmtId="0" fontId="102" fillId="32" borderId="17" xfId="0" applyFont="1" applyFill="1" applyBorder="1" applyAlignment="1">
      <alignment horizontal="left" indent="1"/>
    </xf>
    <xf numFmtId="180" fontId="102" fillId="32" borderId="17" xfId="0" applyNumberFormat="1" applyFont="1" applyFill="1" applyBorder="1"/>
    <xf numFmtId="174" fontId="114" fillId="32" borderId="17" xfId="0" applyNumberFormat="1" applyFont="1" applyFill="1" applyBorder="1"/>
    <xf numFmtId="0" fontId="114" fillId="28" borderId="0" xfId="0" applyFont="1" applyFill="1"/>
    <xf numFmtId="0" fontId="43" fillId="0" borderId="1" xfId="0" applyFont="1" applyBorder="1"/>
    <xf numFmtId="0" fontId="114" fillId="28" borderId="0" xfId="0" applyFont="1" applyFill="1" applyAlignment="1">
      <alignment horizontal="left" indent="1"/>
    </xf>
    <xf numFmtId="0" fontId="46" fillId="28" borderId="0" xfId="0" applyFont="1" applyFill="1" applyAlignment="1">
      <alignment horizontal="left" indent="1"/>
    </xf>
    <xf numFmtId="0" fontId="46" fillId="0" borderId="0" xfId="0" applyFont="1" applyAlignment="1">
      <alignment horizontal="left" indent="1"/>
    </xf>
    <xf numFmtId="0" fontId="118" fillId="29" borderId="0" xfId="0" applyFont="1" applyFill="1"/>
    <xf numFmtId="0" fontId="46" fillId="0" borderId="4" xfId="0" applyFont="1" applyBorder="1"/>
    <xf numFmtId="0" fontId="102" fillId="0" borderId="8" xfId="0" applyFont="1" applyBorder="1"/>
    <xf numFmtId="0" fontId="44" fillId="29" borderId="0" xfId="0" applyFont="1" applyFill="1"/>
    <xf numFmtId="0" fontId="43" fillId="5" borderId="1" xfId="0" applyFont="1" applyFill="1" applyBorder="1" applyAlignment="1">
      <alignment horizontal="centerContinuous"/>
    </xf>
    <xf numFmtId="0" fontId="43" fillId="5" borderId="3" xfId="0" applyFont="1" applyFill="1" applyBorder="1" applyAlignment="1">
      <alignment horizontal="centerContinuous"/>
    </xf>
    <xf numFmtId="207" fontId="44" fillId="3" borderId="60" xfId="0" applyNumberFormat="1" applyFont="1" applyFill="1" applyBorder="1" applyAlignment="1">
      <alignment horizontal="center"/>
    </xf>
    <xf numFmtId="0" fontId="43" fillId="0" borderId="9" xfId="0" applyFont="1" applyBorder="1"/>
    <xf numFmtId="224" fontId="43" fillId="28" borderId="25" xfId="0" applyNumberFormat="1" applyFont="1" applyFill="1" applyBorder="1"/>
    <xf numFmtId="0" fontId="43" fillId="28" borderId="25" xfId="0" applyFont="1" applyFill="1" applyBorder="1" applyAlignment="1">
      <alignment horizontal="left" indent="1"/>
    </xf>
    <xf numFmtId="174" fontId="102" fillId="27" borderId="0" xfId="0" applyNumberFormat="1" applyFont="1" applyFill="1"/>
    <xf numFmtId="181" fontId="44" fillId="0" borderId="0" xfId="0" applyNumberFormat="1" applyFont="1"/>
    <xf numFmtId="173" fontId="26" fillId="0" borderId="0" xfId="7" applyNumberFormat="1" applyFont="1"/>
    <xf numFmtId="173" fontId="10" fillId="0" borderId="0" xfId="7" applyNumberFormat="1" applyFont="1"/>
    <xf numFmtId="182" fontId="11" fillId="0" borderId="0" xfId="7" applyNumberFormat="1" applyFont="1"/>
    <xf numFmtId="3" fontId="44" fillId="0" borderId="0" xfId="0" applyNumberFormat="1" applyFont="1"/>
    <xf numFmtId="0" fontId="101" fillId="22" borderId="43" xfId="0" applyFont="1" applyFill="1" applyBorder="1" applyAlignment="1">
      <alignment horizontal="center"/>
    </xf>
    <xf numFmtId="189" fontId="44" fillId="0" borderId="0" xfId="0" applyNumberFormat="1" applyFont="1"/>
    <xf numFmtId="189" fontId="48" fillId="0" borderId="0" xfId="0" applyNumberFormat="1" applyFont="1"/>
    <xf numFmtId="189" fontId="105" fillId="0" borderId="0" xfId="0" applyNumberFormat="1" applyFont="1"/>
    <xf numFmtId="0" fontId="44" fillId="23" borderId="46" xfId="155" applyFont="1"/>
    <xf numFmtId="0" fontId="124" fillId="0" borderId="0" xfId="0" applyFont="1"/>
    <xf numFmtId="0" fontId="45" fillId="0" borderId="0" xfId="0" quotePrefix="1" applyFont="1"/>
    <xf numFmtId="0" fontId="44" fillId="26" borderId="0" xfId="0" applyFont="1" applyFill="1" applyAlignment="1">
      <alignment horizontal="left" indent="1"/>
    </xf>
    <xf numFmtId="174" fontId="45" fillId="26" borderId="0" xfId="0" applyNumberFormat="1" applyFont="1" applyFill="1"/>
    <xf numFmtId="0" fontId="44" fillId="0" borderId="0" xfId="0" quotePrefix="1" applyFont="1" applyAlignment="1">
      <alignment horizontal="left"/>
    </xf>
    <xf numFmtId="225" fontId="44" fillId="0" borderId="0" xfId="0" applyNumberFormat="1" applyFont="1"/>
    <xf numFmtId="0" fontId="38" fillId="0" borderId="0" xfId="0" applyFont="1" applyAlignment="1">
      <alignment horizontal="left"/>
    </xf>
    <xf numFmtId="174" fontId="44" fillId="0" borderId="17" xfId="0" applyNumberFormat="1" applyFont="1" applyBorder="1"/>
    <xf numFmtId="174" fontId="45" fillId="0" borderId="17" xfId="0" applyNumberFormat="1" applyFont="1" applyBorder="1"/>
    <xf numFmtId="174" fontId="44" fillId="0" borderId="0" xfId="0" quotePrefix="1" applyNumberFormat="1" applyFont="1"/>
    <xf numFmtId="180" fontId="44" fillId="23" borderId="46" xfId="155" applyNumberFormat="1" applyFont="1"/>
    <xf numFmtId="0" fontId="44" fillId="2" borderId="0" xfId="0" applyFont="1" applyFill="1"/>
    <xf numFmtId="174" fontId="45" fillId="23" borderId="46" xfId="155" applyNumberFormat="1" applyFont="1"/>
    <xf numFmtId="11" fontId="44" fillId="0" borderId="0" xfId="0" applyNumberFormat="1" applyFont="1" applyAlignment="1">
      <alignment horizontal="left"/>
    </xf>
    <xf numFmtId="174" fontId="44" fillId="26" borderId="0" xfId="0" applyNumberFormat="1" applyFont="1" applyFill="1" applyAlignment="1">
      <alignment horizontal="left"/>
    </xf>
    <xf numFmtId="0" fontId="119" fillId="0" borderId="0" xfId="0" applyFont="1" applyAlignment="1">
      <alignment horizontal="left"/>
    </xf>
    <xf numFmtId="9" fontId="102" fillId="0" borderId="0" xfId="164" applyFont="1"/>
    <xf numFmtId="9" fontId="118" fillId="0" borderId="0" xfId="164" applyFont="1"/>
    <xf numFmtId="9" fontId="44" fillId="0" borderId="0" xfId="164" applyFont="1"/>
    <xf numFmtId="9" fontId="38" fillId="0" borderId="0" xfId="164" applyFont="1"/>
    <xf numFmtId="223" fontId="43" fillId="0" borderId="0" xfId="0" applyNumberFormat="1" applyFont="1"/>
    <xf numFmtId="180" fontId="43" fillId="0" borderId="50" xfId="0" applyNumberFormat="1" applyFont="1" applyBorder="1"/>
    <xf numFmtId="222" fontId="43" fillId="0" borderId="0" xfId="0" applyNumberFormat="1" applyFont="1"/>
    <xf numFmtId="222" fontId="102" fillId="0" borderId="0" xfId="0" applyNumberFormat="1" applyFont="1"/>
    <xf numFmtId="222" fontId="44" fillId="0" borderId="4" xfId="0" applyNumberFormat="1" applyFont="1" applyBorder="1"/>
    <xf numFmtId="223" fontId="44" fillId="26" borderId="0" xfId="0" applyNumberFormat="1" applyFont="1" applyFill="1"/>
    <xf numFmtId="223" fontId="44" fillId="26" borderId="6" xfId="0" applyNumberFormat="1" applyFont="1" applyFill="1" applyBorder="1"/>
    <xf numFmtId="222" fontId="44" fillId="0" borderId="6" xfId="0" applyNumberFormat="1" applyFont="1" applyBorder="1"/>
    <xf numFmtId="222" fontId="102" fillId="0" borderId="4" xfId="0" applyNumberFormat="1" applyFont="1" applyBorder="1"/>
    <xf numFmtId="223" fontId="102" fillId="0" borderId="0" xfId="0" applyNumberFormat="1" applyFont="1"/>
    <xf numFmtId="222" fontId="102" fillId="0" borderId="6" xfId="0" applyNumberFormat="1" applyFont="1" applyBorder="1"/>
    <xf numFmtId="222" fontId="119" fillId="0" borderId="4" xfId="0" applyNumberFormat="1" applyFont="1" applyBorder="1"/>
    <xf numFmtId="222" fontId="119" fillId="0" borderId="0" xfId="0" applyNumberFormat="1" applyFont="1"/>
    <xf numFmtId="222" fontId="119" fillId="0" borderId="6" xfId="0" applyNumberFormat="1" applyFont="1" applyBorder="1"/>
    <xf numFmtId="180" fontId="102" fillId="0" borderId="6" xfId="0" applyNumberFormat="1" applyFont="1" applyBorder="1"/>
    <xf numFmtId="189" fontId="118" fillId="0" borderId="6" xfId="0" applyNumberFormat="1" applyFont="1" applyBorder="1"/>
    <xf numFmtId="174" fontId="43" fillId="28" borderId="58" xfId="0" applyNumberFormat="1" applyFont="1" applyFill="1" applyBorder="1"/>
    <xf numFmtId="177" fontId="46" fillId="0" borderId="0" xfId="0" applyNumberFormat="1" applyFont="1"/>
    <xf numFmtId="174" fontId="117" fillId="0" borderId="0" xfId="0" applyNumberFormat="1" applyFont="1"/>
    <xf numFmtId="224" fontId="46" fillId="0" borderId="0" xfId="0" applyNumberFormat="1" applyFont="1"/>
    <xf numFmtId="0" fontId="125" fillId="0" borderId="0" xfId="0" applyFont="1"/>
    <xf numFmtId="174" fontId="125" fillId="0" borderId="0" xfId="0" applyNumberFormat="1" applyFont="1"/>
    <xf numFmtId="0" fontId="43" fillId="0" borderId="0" xfId="0" applyFont="1" applyAlignment="1">
      <alignment horizontal="left"/>
    </xf>
    <xf numFmtId="177" fontId="105" fillId="0" borderId="0" xfId="0" applyNumberFormat="1" applyFont="1"/>
    <xf numFmtId="177" fontId="48" fillId="0" borderId="0" xfId="0" applyNumberFormat="1" applyFont="1"/>
    <xf numFmtId="177" fontId="45" fillId="0" borderId="0" xfId="0" applyNumberFormat="1" applyFont="1"/>
    <xf numFmtId="173" fontId="44" fillId="23" borderId="46" xfId="155" applyNumberFormat="1" applyFont="1"/>
    <xf numFmtId="173" fontId="45" fillId="0" borderId="0" xfId="0" applyNumberFormat="1" applyFont="1"/>
    <xf numFmtId="174" fontId="44" fillId="23" borderId="46" xfId="155" applyNumberFormat="1" applyFont="1"/>
    <xf numFmtId="174" fontId="45" fillId="31" borderId="0" xfId="0" applyNumberFormat="1" applyFont="1" applyFill="1"/>
    <xf numFmtId="174" fontId="48" fillId="31" borderId="0" xfId="0" applyNumberFormat="1" applyFont="1" applyFill="1"/>
    <xf numFmtId="0" fontId="43" fillId="2" borderId="0" xfId="0" applyFont="1" applyFill="1"/>
    <xf numFmtId="174" fontId="48" fillId="2" borderId="0" xfId="0" applyNumberFormat="1" applyFont="1" applyFill="1"/>
    <xf numFmtId="9" fontId="117" fillId="0" borderId="0" xfId="164" applyFont="1" applyFill="1"/>
    <xf numFmtId="9" fontId="44" fillId="0" borderId="0" xfId="164" applyFont="1" applyFill="1"/>
    <xf numFmtId="174" fontId="46" fillId="0" borderId="0" xfId="0" applyNumberFormat="1" applyFont="1" applyAlignment="1">
      <alignment horizontal="left"/>
    </xf>
    <xf numFmtId="174" fontId="45" fillId="0" borderId="0" xfId="0" applyNumberFormat="1" applyFont="1" applyAlignment="1">
      <alignment horizontal="left"/>
    </xf>
    <xf numFmtId="180" fontId="45" fillId="0" borderId="0" xfId="0" applyNumberFormat="1" applyFont="1"/>
    <xf numFmtId="174" fontId="49" fillId="0" borderId="0" xfId="0" applyNumberFormat="1" applyFont="1" applyAlignment="1">
      <alignment horizontal="left" indent="1"/>
    </xf>
    <xf numFmtId="180" fontId="44" fillId="5" borderId="0" xfId="0" applyNumberFormat="1" applyFont="1" applyFill="1"/>
    <xf numFmtId="223" fontId="117" fillId="23" borderId="46" xfId="155" applyNumberFormat="1" applyFont="1"/>
    <xf numFmtId="180" fontId="48" fillId="0" borderId="0" xfId="0" applyNumberFormat="1" applyFont="1"/>
    <xf numFmtId="180" fontId="43" fillId="0" borderId="0" xfId="0" applyNumberFormat="1" applyFont="1" applyAlignment="1">
      <alignment horizontal="left" indent="1"/>
    </xf>
    <xf numFmtId="226" fontId="44" fillId="0" borderId="0" xfId="0" applyNumberFormat="1" applyFont="1"/>
    <xf numFmtId="180" fontId="49" fillId="0" borderId="50" xfId="0" applyNumberFormat="1" applyFont="1" applyBorder="1"/>
    <xf numFmtId="226" fontId="43" fillId="0" borderId="0" xfId="0" applyNumberFormat="1" applyFont="1"/>
    <xf numFmtId="0" fontId="44" fillId="0" borderId="0" xfId="0" applyFont="1" applyAlignment="1">
      <alignment horizontal="right"/>
    </xf>
    <xf numFmtId="222" fontId="46" fillId="0" borderId="0" xfId="0" applyNumberFormat="1" applyFont="1"/>
    <xf numFmtId="223" fontId="43" fillId="0" borderId="0" xfId="0" applyNumberFormat="1" applyFont="1" applyAlignment="1">
      <alignment horizontal="left" indent="1"/>
    </xf>
    <xf numFmtId="180" fontId="48" fillId="23" borderId="61" xfId="155" applyNumberFormat="1" applyFont="1" applyBorder="1"/>
    <xf numFmtId="180" fontId="43" fillId="0" borderId="62" xfId="0" applyNumberFormat="1" applyFont="1" applyBorder="1"/>
    <xf numFmtId="180" fontId="49" fillId="0" borderId="62" xfId="0" applyNumberFormat="1" applyFont="1" applyBorder="1"/>
    <xf numFmtId="223" fontId="38" fillId="0" borderId="0" xfId="0" applyNumberFormat="1" applyFont="1"/>
    <xf numFmtId="174" fontId="119" fillId="0" borderId="0" xfId="0" applyNumberFormat="1" applyFont="1" applyAlignment="1">
      <alignment horizontal="left" indent="1"/>
    </xf>
    <xf numFmtId="223" fontId="118" fillId="0" borderId="0" xfId="0" applyNumberFormat="1" applyFont="1"/>
    <xf numFmtId="180" fontId="120" fillId="0" borderId="0" xfId="0" applyNumberFormat="1" applyFont="1" applyAlignment="1">
      <alignment horizontal="left" indent="1"/>
    </xf>
    <xf numFmtId="180" fontId="45" fillId="34" borderId="1" xfId="0" applyNumberFormat="1" applyFont="1" applyFill="1" applyBorder="1" applyAlignment="1">
      <alignment horizontal="centerContinuous"/>
    </xf>
    <xf numFmtId="0" fontId="102" fillId="34" borderId="3" xfId="0" applyFont="1" applyFill="1" applyBorder="1" applyAlignment="1">
      <alignment horizontal="centerContinuous"/>
    </xf>
    <xf numFmtId="0" fontId="44" fillId="27" borderId="0" xfId="0" applyFont="1" applyFill="1"/>
    <xf numFmtId="223" fontId="44" fillId="27" borderId="0" xfId="0" applyNumberFormat="1" applyFont="1" applyFill="1"/>
    <xf numFmtId="223" fontId="44" fillId="28" borderId="0" xfId="0" applyNumberFormat="1" applyFont="1" applyFill="1"/>
    <xf numFmtId="223" fontId="49" fillId="0" borderId="0" xfId="0" applyNumberFormat="1" applyFont="1"/>
    <xf numFmtId="180" fontId="114" fillId="27" borderId="62" xfId="0" applyNumberFormat="1" applyFont="1" applyFill="1" applyBorder="1"/>
    <xf numFmtId="174" fontId="44" fillId="0" borderId="14" xfId="0" applyNumberFormat="1" applyFont="1" applyBorder="1"/>
    <xf numFmtId="174" fontId="38" fillId="0" borderId="5" xfId="0" applyNumberFormat="1" applyFont="1" applyBorder="1"/>
    <xf numFmtId="180" fontId="44" fillId="0" borderId="5" xfId="0" applyNumberFormat="1" applyFont="1" applyBorder="1"/>
    <xf numFmtId="177" fontId="43" fillId="0" borderId="6" xfId="0" applyNumberFormat="1" applyFont="1" applyBorder="1"/>
    <xf numFmtId="223" fontId="49" fillId="0" borderId="6" xfId="0" applyNumberFormat="1" applyFont="1" applyBorder="1"/>
    <xf numFmtId="180" fontId="117" fillId="0" borderId="6" xfId="0" applyNumberFormat="1" applyFont="1" applyBorder="1"/>
    <xf numFmtId="174" fontId="43" fillId="0" borderId="62" xfId="0" applyNumberFormat="1" applyFont="1" applyBorder="1"/>
    <xf numFmtId="223" fontId="45" fillId="23" borderId="61" xfId="155" applyNumberFormat="1" applyFont="1" applyBorder="1"/>
    <xf numFmtId="221" fontId="48" fillId="0" borderId="0" xfId="0" applyNumberFormat="1" applyFont="1"/>
    <xf numFmtId="0" fontId="44" fillId="0" borderId="33" xfId="0" applyFont="1" applyBorder="1"/>
    <xf numFmtId="0" fontId="43" fillId="0" borderId="55" xfId="0" applyFont="1" applyBorder="1" applyAlignment="1">
      <alignment horizontal="left" indent="1"/>
    </xf>
    <xf numFmtId="174" fontId="48" fillId="0" borderId="62" xfId="0" applyNumberFormat="1" applyFont="1" applyBorder="1"/>
    <xf numFmtId="0" fontId="44" fillId="0" borderId="4" xfId="0" applyFont="1" applyBorder="1" applyAlignment="1">
      <alignment horizontal="left"/>
    </xf>
    <xf numFmtId="173" fontId="44" fillId="0" borderId="6" xfId="0" applyNumberFormat="1" applyFont="1" applyBorder="1"/>
    <xf numFmtId="173" fontId="43" fillId="0" borderId="22" xfId="0" applyNumberFormat="1" applyFont="1" applyBorder="1"/>
    <xf numFmtId="173" fontId="43" fillId="0" borderId="63" xfId="0" applyNumberFormat="1" applyFont="1" applyBorder="1"/>
    <xf numFmtId="0" fontId="45" fillId="26" borderId="0" xfId="0" applyFont="1" applyFill="1"/>
    <xf numFmtId="173" fontId="43" fillId="0" borderId="21" xfId="0" applyNumberFormat="1" applyFont="1" applyBorder="1"/>
    <xf numFmtId="173" fontId="44" fillId="0" borderId="4" xfId="0" applyNumberFormat="1" applyFont="1" applyBorder="1"/>
    <xf numFmtId="173" fontId="43" fillId="0" borderId="20" xfId="0" applyNumberFormat="1" applyFont="1" applyBorder="1"/>
    <xf numFmtId="173" fontId="44" fillId="0" borderId="67" xfId="0" applyNumberFormat="1" applyFont="1" applyBorder="1"/>
    <xf numFmtId="173" fontId="44" fillId="0" borderId="28" xfId="0" applyNumberFormat="1" applyFont="1" applyBorder="1"/>
    <xf numFmtId="173" fontId="43" fillId="0" borderId="68" xfId="0" applyNumberFormat="1" applyFont="1" applyBorder="1"/>
    <xf numFmtId="0" fontId="43" fillId="3" borderId="64" xfId="0" applyFont="1" applyFill="1" applyBorder="1" applyAlignment="1">
      <alignment horizontal="center"/>
    </xf>
    <xf numFmtId="0" fontId="43" fillId="3" borderId="65" xfId="0" applyFont="1" applyFill="1" applyBorder="1" applyAlignment="1">
      <alignment horizontal="center"/>
    </xf>
    <xf numFmtId="0" fontId="43" fillId="3" borderId="66" xfId="0" applyFont="1" applyFill="1" applyBorder="1" applyAlignment="1">
      <alignment horizontal="center"/>
    </xf>
    <xf numFmtId="0" fontId="43" fillId="3" borderId="3" xfId="0" applyFont="1" applyFill="1" applyBorder="1" applyAlignment="1">
      <alignment horizontal="center"/>
    </xf>
    <xf numFmtId="173" fontId="43" fillId="0" borderId="6" xfId="0" applyNumberFormat="1" applyFont="1" applyBorder="1"/>
    <xf numFmtId="223" fontId="44" fillId="28" borderId="9" xfId="0" applyNumberFormat="1" applyFont="1" applyFill="1" applyBorder="1"/>
    <xf numFmtId="215" fontId="46" fillId="0" borderId="0" xfId="0" applyNumberFormat="1" applyFont="1"/>
    <xf numFmtId="0" fontId="102" fillId="28" borderId="0" xfId="0" applyFont="1" applyFill="1"/>
    <xf numFmtId="214" fontId="101" fillId="22" borderId="70" xfId="0" applyNumberFormat="1" applyFont="1" applyFill="1" applyBorder="1" applyAlignment="1">
      <alignment horizontal="centerContinuous"/>
    </xf>
    <xf numFmtId="214" fontId="101" fillId="22" borderId="71" xfId="0" applyNumberFormat="1" applyFont="1" applyFill="1" applyBorder="1" applyAlignment="1">
      <alignment horizontal="centerContinuous"/>
    </xf>
    <xf numFmtId="214" fontId="101" fillId="22" borderId="73" xfId="0" applyNumberFormat="1" applyFont="1" applyFill="1" applyBorder="1" applyAlignment="1">
      <alignment horizontal="centerContinuous"/>
    </xf>
    <xf numFmtId="214" fontId="101" fillId="22" borderId="74" xfId="0" applyNumberFormat="1" applyFont="1" applyFill="1" applyBorder="1" applyAlignment="1">
      <alignment horizontal="centerContinuous"/>
    </xf>
    <xf numFmtId="180" fontId="102" fillId="28" borderId="0" xfId="0" applyNumberFormat="1" applyFont="1" applyFill="1" applyAlignment="1">
      <alignment horizontal="right"/>
    </xf>
    <xf numFmtId="0" fontId="44" fillId="27" borderId="33" xfId="0" applyFont="1" applyFill="1" applyBorder="1"/>
    <xf numFmtId="223" fontId="44" fillId="27" borderId="33" xfId="0" applyNumberFormat="1" applyFont="1" applyFill="1" applyBorder="1"/>
    <xf numFmtId="0" fontId="44" fillId="28" borderId="33" xfId="0" applyFont="1" applyFill="1" applyBorder="1"/>
    <xf numFmtId="223" fontId="44" fillId="28" borderId="33" xfId="0" applyNumberFormat="1" applyFont="1" applyFill="1" applyBorder="1"/>
    <xf numFmtId="223" fontId="44" fillId="28" borderId="55" xfId="0" applyNumberFormat="1" applyFont="1" applyFill="1" applyBorder="1"/>
    <xf numFmtId="177" fontId="43" fillId="0" borderId="62" xfId="0" applyNumberFormat="1" applyFont="1" applyBorder="1"/>
    <xf numFmtId="222" fontId="102" fillId="27" borderId="0" xfId="0" applyNumberFormat="1" applyFont="1" applyFill="1"/>
    <xf numFmtId="174" fontId="102" fillId="27" borderId="0" xfId="0" applyNumberFormat="1" applyFont="1" applyFill="1" applyAlignment="1">
      <alignment horizontal="left"/>
    </xf>
    <xf numFmtId="174" fontId="114" fillId="27" borderId="0" xfId="0" applyNumberFormat="1" applyFont="1" applyFill="1" applyAlignment="1">
      <alignment horizontal="left" indent="1"/>
    </xf>
    <xf numFmtId="174" fontId="119" fillId="27" borderId="0" xfId="0" applyNumberFormat="1" applyFont="1" applyFill="1" applyAlignment="1">
      <alignment horizontal="left"/>
    </xf>
    <xf numFmtId="174" fontId="117" fillId="27" borderId="0" xfId="0" applyNumberFormat="1" applyFont="1" applyFill="1" applyAlignment="1">
      <alignment horizontal="left"/>
    </xf>
    <xf numFmtId="174" fontId="120" fillId="27" borderId="0" xfId="0" applyNumberFormat="1" applyFont="1" applyFill="1" applyAlignment="1">
      <alignment horizontal="left" indent="1"/>
    </xf>
    <xf numFmtId="173" fontId="108" fillId="23" borderId="46" xfId="155" applyNumberFormat="1" applyFont="1"/>
    <xf numFmtId="173" fontId="114" fillId="0" borderId="50" xfId="0" applyNumberFormat="1" applyFont="1" applyBorder="1"/>
    <xf numFmtId="174" fontId="108" fillId="23" borderId="46" xfId="155" applyNumberFormat="1" applyFont="1"/>
    <xf numFmtId="174" fontId="117" fillId="0" borderId="0" xfId="0" applyNumberFormat="1" applyFont="1" applyAlignment="1">
      <alignment horizontal="left"/>
    </xf>
    <xf numFmtId="0" fontId="119" fillId="28" borderId="0" xfId="0" applyFont="1" applyFill="1"/>
    <xf numFmtId="0" fontId="102" fillId="0" borderId="9" xfId="0" applyFont="1" applyBorder="1"/>
    <xf numFmtId="180" fontId="102" fillId="0" borderId="9" xfId="0" applyNumberFormat="1" applyFont="1" applyBorder="1"/>
    <xf numFmtId="214" fontId="101" fillId="22" borderId="75" xfId="0" applyNumberFormat="1" applyFont="1" applyFill="1" applyBorder="1" applyAlignment="1">
      <alignment horizontal="centerContinuous"/>
    </xf>
    <xf numFmtId="174" fontId="48" fillId="0" borderId="8" xfId="0" applyNumberFormat="1" applyFont="1" applyBorder="1"/>
    <xf numFmtId="174" fontId="48" fillId="0" borderId="9" xfId="0" applyNumberFormat="1" applyFont="1" applyBorder="1"/>
    <xf numFmtId="214" fontId="101" fillId="22" borderId="72" xfId="163" applyNumberFormat="1" applyFont="1" applyFill="1" applyBorder="1" applyAlignment="1">
      <alignment horizontal="centerContinuous" vertical="center"/>
    </xf>
    <xf numFmtId="222" fontId="46" fillId="0" borderId="62" xfId="0" applyNumberFormat="1" applyFont="1" applyBorder="1"/>
    <xf numFmtId="224" fontId="43" fillId="0" borderId="62" xfId="0" applyNumberFormat="1" applyFont="1" applyBorder="1"/>
    <xf numFmtId="224" fontId="49" fillId="0" borderId="62" xfId="0" applyNumberFormat="1" applyFont="1" applyBorder="1"/>
    <xf numFmtId="174" fontId="44" fillId="0" borderId="0" xfId="0" applyNumberFormat="1" applyFont="1" applyAlignment="1">
      <alignment horizontal="right" wrapText="1"/>
    </xf>
    <xf numFmtId="214" fontId="45" fillId="0" borderId="0" xfId="0" applyNumberFormat="1" applyFont="1" applyAlignment="1">
      <alignment horizontal="centerContinuous"/>
    </xf>
    <xf numFmtId="214" fontId="101" fillId="22" borderId="76" xfId="163" applyNumberFormat="1" applyFont="1" applyFill="1" applyBorder="1" applyAlignment="1">
      <alignment horizontal="centerContinuous" vertical="center"/>
    </xf>
    <xf numFmtId="214" fontId="101" fillId="22" borderId="77" xfId="0" applyNumberFormat="1" applyFont="1" applyFill="1" applyBorder="1" applyAlignment="1">
      <alignment horizontal="centerContinuous"/>
    </xf>
    <xf numFmtId="174" fontId="44" fillId="0" borderId="0" xfId="0" applyNumberFormat="1" applyFont="1" applyAlignment="1">
      <alignment wrapText="1"/>
    </xf>
    <xf numFmtId="174" fontId="44" fillId="0" borderId="6" xfId="0" applyNumberFormat="1" applyFont="1" applyBorder="1" applyAlignment="1">
      <alignment wrapText="1"/>
    </xf>
    <xf numFmtId="174" fontId="44" fillId="0" borderId="4" xfId="0" applyNumberFormat="1" applyFont="1" applyBorder="1" applyAlignment="1">
      <alignment wrapText="1"/>
    </xf>
    <xf numFmtId="174" fontId="44" fillId="0" borderId="9" xfId="0" applyNumberFormat="1" applyFont="1" applyBorder="1" applyAlignment="1">
      <alignment wrapText="1"/>
    </xf>
    <xf numFmtId="174" fontId="44" fillId="0" borderId="8" xfId="0" applyNumberFormat="1" applyFont="1" applyBorder="1" applyAlignment="1">
      <alignment wrapText="1"/>
    </xf>
    <xf numFmtId="0" fontId="0" fillId="0" borderId="0" xfId="0" pivotButton="1"/>
    <xf numFmtId="0" fontId="0" fillId="0" borderId="0" xfId="0" applyAlignment="1">
      <alignment horizontal="left"/>
    </xf>
    <xf numFmtId="174" fontId="106" fillId="0" borderId="62" xfId="0" applyNumberFormat="1" applyFont="1" applyBorder="1"/>
    <xf numFmtId="174" fontId="49" fillId="0" borderId="62" xfId="0" applyNumberFormat="1" applyFont="1" applyBorder="1"/>
    <xf numFmtId="0" fontId="11" fillId="0" borderId="1" xfId="0" applyFont="1" applyBorder="1"/>
    <xf numFmtId="0" fontId="2" fillId="0" borderId="2" xfId="0" applyFont="1" applyBorder="1"/>
    <xf numFmtId="0" fontId="2" fillId="0" borderId="1" xfId="0" applyFont="1" applyBorder="1"/>
    <xf numFmtId="0" fontId="2" fillId="0" borderId="3" xfId="0" applyFont="1" applyBorder="1"/>
    <xf numFmtId="0" fontId="2" fillId="0" borderId="4" xfId="0" applyFont="1" applyBorder="1"/>
    <xf numFmtId="0" fontId="2" fillId="0" borderId="0" xfId="0" applyFont="1"/>
    <xf numFmtId="0" fontId="2" fillId="0" borderId="6" xfId="0" applyFont="1" applyBorder="1"/>
    <xf numFmtId="174" fontId="10" fillId="0" borderId="0" xfId="0" applyNumberFormat="1" applyFont="1"/>
    <xf numFmtId="174" fontId="10" fillId="0" borderId="6" xfId="0" applyNumberFormat="1" applyFont="1" applyBorder="1"/>
    <xf numFmtId="0" fontId="11" fillId="0" borderId="8" xfId="0" applyFont="1" applyBorder="1" applyAlignment="1">
      <alignment horizontal="left" indent="1"/>
    </xf>
    <xf numFmtId="0" fontId="11" fillId="0" borderId="4" xfId="0" applyFont="1" applyBorder="1" applyAlignment="1">
      <alignment horizontal="left" indent="1"/>
    </xf>
    <xf numFmtId="0" fontId="2" fillId="0" borderId="4" xfId="0" quotePrefix="1" applyFont="1" applyBorder="1"/>
    <xf numFmtId="174" fontId="19" fillId="0" borderId="0" xfId="0" applyNumberFormat="1" applyFont="1"/>
    <xf numFmtId="174" fontId="19" fillId="0" borderId="6" xfId="0" applyNumberFormat="1" applyFont="1" applyBorder="1"/>
    <xf numFmtId="174" fontId="11" fillId="0" borderId="62" xfId="0" applyNumberFormat="1" applyFont="1" applyBorder="1"/>
    <xf numFmtId="174" fontId="11" fillId="0" borderId="58" xfId="0" applyNumberFormat="1" applyFont="1" applyBorder="1"/>
    <xf numFmtId="0" fontId="11" fillId="27" borderId="20" xfId="0" applyFont="1" applyFill="1" applyBorder="1" applyAlignment="1">
      <alignment horizontal="left" indent="1"/>
    </xf>
    <xf numFmtId="174" fontId="11" fillId="27" borderId="21" xfId="0" applyNumberFormat="1" applyFont="1" applyFill="1" applyBorder="1"/>
    <xf numFmtId="174" fontId="11" fillId="27" borderId="22" xfId="0" applyNumberFormat="1" applyFont="1" applyFill="1" applyBorder="1"/>
    <xf numFmtId="180" fontId="102" fillId="0" borderId="0" xfId="0" applyNumberFormat="1" applyFont="1" applyAlignment="1">
      <alignment horizontal="right"/>
    </xf>
    <xf numFmtId="0" fontId="44" fillId="27" borderId="14" xfId="0" applyFont="1" applyFill="1" applyBorder="1"/>
    <xf numFmtId="0" fontId="43" fillId="27" borderId="5" xfId="0" applyFont="1" applyFill="1" applyBorder="1"/>
    <xf numFmtId="0" fontId="44" fillId="27" borderId="5" xfId="0" applyFont="1" applyFill="1" applyBorder="1"/>
    <xf numFmtId="174" fontId="104" fillId="27" borderId="5" xfId="0" applyNumberFormat="1" applyFont="1" applyFill="1" applyBorder="1"/>
    <xf numFmtId="174" fontId="45" fillId="27" borderId="5" xfId="0" applyNumberFormat="1" applyFont="1" applyFill="1" applyBorder="1"/>
    <xf numFmtId="174" fontId="45" fillId="27" borderId="15" xfId="0" applyNumberFormat="1" applyFont="1" applyFill="1" applyBorder="1"/>
    <xf numFmtId="0" fontId="44" fillId="27" borderId="4" xfId="0" applyFont="1" applyFill="1" applyBorder="1"/>
    <xf numFmtId="174" fontId="45" fillId="27" borderId="0" xfId="0" applyNumberFormat="1" applyFont="1" applyFill="1"/>
    <xf numFmtId="174" fontId="45" fillId="27" borderId="6" xfId="0" applyNumberFormat="1" applyFont="1" applyFill="1" applyBorder="1"/>
    <xf numFmtId="0" fontId="102" fillId="28" borderId="4" xfId="0" applyFont="1" applyFill="1" applyBorder="1"/>
    <xf numFmtId="0" fontId="102" fillId="28" borderId="6" xfId="0" applyFont="1" applyFill="1" applyBorder="1"/>
    <xf numFmtId="180" fontId="102" fillId="28" borderId="6" xfId="0" applyNumberFormat="1" applyFont="1" applyFill="1" applyBorder="1" applyAlignment="1">
      <alignment horizontal="right"/>
    </xf>
    <xf numFmtId="180" fontId="102" fillId="0" borderId="6" xfId="0" applyNumberFormat="1" applyFont="1" applyBorder="1" applyAlignment="1">
      <alignment horizontal="right"/>
    </xf>
    <xf numFmtId="0" fontId="102" fillId="28" borderId="8" xfId="0" applyFont="1" applyFill="1" applyBorder="1"/>
    <xf numFmtId="0" fontId="102" fillId="28" borderId="9" xfId="0" applyFont="1" applyFill="1" applyBorder="1"/>
    <xf numFmtId="180" fontId="102" fillId="28" borderId="9" xfId="0" applyNumberFormat="1" applyFont="1" applyFill="1" applyBorder="1" applyAlignment="1">
      <alignment horizontal="right"/>
    </xf>
    <xf numFmtId="180" fontId="102" fillId="28" borderId="10" xfId="0" applyNumberFormat="1" applyFont="1" applyFill="1" applyBorder="1" applyAlignment="1">
      <alignment horizontal="right"/>
    </xf>
    <xf numFmtId="224" fontId="44" fillId="27" borderId="5" xfId="0" applyNumberFormat="1" applyFont="1" applyFill="1" applyBorder="1"/>
    <xf numFmtId="224" fontId="44" fillId="27" borderId="15" xfId="0" applyNumberFormat="1" applyFont="1" applyFill="1" applyBorder="1"/>
    <xf numFmtId="224" fontId="44" fillId="27" borderId="0" xfId="0" applyNumberFormat="1" applyFont="1" applyFill="1"/>
    <xf numFmtId="224" fontId="44" fillId="27" borderId="6" xfId="0" applyNumberFormat="1" applyFont="1" applyFill="1" applyBorder="1"/>
    <xf numFmtId="224" fontId="44" fillId="0" borderId="6" xfId="0" applyNumberFormat="1" applyFont="1" applyBorder="1"/>
    <xf numFmtId="174" fontId="44" fillId="27" borderId="0" xfId="0" applyNumberFormat="1" applyFont="1" applyFill="1"/>
    <xf numFmtId="174" fontId="44" fillId="27" borderId="6" xfId="0" applyNumberFormat="1" applyFont="1" applyFill="1" applyBorder="1"/>
    <xf numFmtId="224" fontId="43" fillId="0" borderId="0" xfId="0" applyNumberFormat="1" applyFont="1"/>
    <xf numFmtId="223" fontId="44" fillId="27" borderId="6" xfId="0" applyNumberFormat="1" applyFont="1" applyFill="1" applyBorder="1"/>
    <xf numFmtId="0" fontId="44" fillId="27" borderId="69" xfId="0" applyFont="1" applyFill="1" applyBorder="1"/>
    <xf numFmtId="0" fontId="44" fillId="27" borderId="62" xfId="0" applyFont="1" applyFill="1" applyBorder="1" applyAlignment="1">
      <alignment horizontal="left" indent="1"/>
    </xf>
    <xf numFmtId="0" fontId="44" fillId="27" borderId="62" xfId="0" applyFont="1" applyFill="1" applyBorder="1"/>
    <xf numFmtId="223" fontId="45" fillId="27" borderId="62" xfId="0" applyNumberFormat="1" applyFont="1" applyFill="1" applyBorder="1"/>
    <xf numFmtId="223" fontId="45" fillId="0" borderId="62" xfId="0" applyNumberFormat="1" applyFont="1" applyBorder="1"/>
    <xf numFmtId="223" fontId="45" fillId="27" borderId="58" xfId="0" applyNumberFormat="1" applyFont="1" applyFill="1" applyBorder="1"/>
    <xf numFmtId="0" fontId="44" fillId="27" borderId="16" xfId="0" applyFont="1" applyFill="1" applyBorder="1"/>
    <xf numFmtId="0" fontId="44" fillId="27" borderId="17" xfId="0" applyFont="1" applyFill="1" applyBorder="1" applyAlignment="1">
      <alignment horizontal="left" indent="1"/>
    </xf>
    <xf numFmtId="0" fontId="44" fillId="27" borderId="17" xfId="0" applyFont="1" applyFill="1" applyBorder="1"/>
    <xf numFmtId="223" fontId="45" fillId="27" borderId="17" xfId="0" applyNumberFormat="1" applyFont="1" applyFill="1" applyBorder="1"/>
    <xf numFmtId="223" fontId="45" fillId="0" borderId="17" xfId="0" applyNumberFormat="1" applyFont="1" applyBorder="1"/>
    <xf numFmtId="223" fontId="45" fillId="27" borderId="19" xfId="0" applyNumberFormat="1" applyFont="1" applyFill="1" applyBorder="1"/>
    <xf numFmtId="224" fontId="43" fillId="0" borderId="6" xfId="0" applyNumberFormat="1" applyFont="1" applyBorder="1"/>
    <xf numFmtId="180" fontId="119" fillId="0" borderId="6" xfId="0" applyNumberFormat="1" applyFont="1" applyBorder="1"/>
    <xf numFmtId="174" fontId="44" fillId="0" borderId="0" xfId="0" applyNumberFormat="1" applyFont="1" applyAlignment="1">
      <alignment horizontal="center"/>
    </xf>
    <xf numFmtId="0" fontId="102" fillId="35" borderId="0" xfId="0" applyFont="1" applyFill="1"/>
    <xf numFmtId="0" fontId="44" fillId="33" borderId="14" xfId="0" applyFont="1" applyFill="1" applyBorder="1"/>
    <xf numFmtId="0" fontId="43" fillId="33" borderId="5" xfId="0" applyFont="1" applyFill="1" applyBorder="1"/>
    <xf numFmtId="0" fontId="44" fillId="33" borderId="5" xfId="0" applyFont="1" applyFill="1" applyBorder="1"/>
    <xf numFmtId="224" fontId="44" fillId="33" borderId="5" xfId="0" applyNumberFormat="1" applyFont="1" applyFill="1" applyBorder="1"/>
    <xf numFmtId="224" fontId="44" fillId="33" borderId="15" xfId="0" applyNumberFormat="1" applyFont="1" applyFill="1" applyBorder="1"/>
    <xf numFmtId="0" fontId="44" fillId="33" borderId="4" xfId="0" applyFont="1" applyFill="1" applyBorder="1"/>
    <xf numFmtId="0" fontId="44" fillId="33" borderId="0" xfId="0" applyFont="1" applyFill="1"/>
    <xf numFmtId="224" fontId="44" fillId="33" borderId="0" xfId="0" applyNumberFormat="1" applyFont="1" applyFill="1"/>
    <xf numFmtId="224" fontId="44" fillId="33" borderId="6" xfId="0" applyNumberFormat="1" applyFont="1" applyFill="1" applyBorder="1"/>
    <xf numFmtId="0" fontId="102" fillId="36" borderId="0" xfId="0" applyFont="1" applyFill="1"/>
    <xf numFmtId="0" fontId="44" fillId="33" borderId="8" xfId="0" applyFont="1" applyFill="1" applyBorder="1"/>
    <xf numFmtId="0" fontId="44" fillId="33" borderId="9" xfId="0" applyFont="1" applyFill="1" applyBorder="1"/>
    <xf numFmtId="224" fontId="44" fillId="33" borderId="9" xfId="0" applyNumberFormat="1" applyFont="1" applyFill="1" applyBorder="1"/>
    <xf numFmtId="224" fontId="44" fillId="33" borderId="10" xfId="0" applyNumberFormat="1" applyFont="1" applyFill="1" applyBorder="1"/>
    <xf numFmtId="207" fontId="44" fillId="2" borderId="0" xfId="0" applyNumberFormat="1" applyFont="1" applyFill="1" applyAlignment="1">
      <alignment horizontal="center"/>
    </xf>
    <xf numFmtId="174" fontId="46" fillId="2" borderId="0" xfId="0" applyNumberFormat="1" applyFont="1" applyFill="1"/>
    <xf numFmtId="174" fontId="46" fillId="0" borderId="0" xfId="0" applyNumberFormat="1" applyFont="1" applyAlignment="1">
      <alignment horizontal="right" wrapText="1"/>
    </xf>
    <xf numFmtId="0" fontId="126" fillId="0" borderId="0" xfId="0" applyFont="1"/>
    <xf numFmtId="174" fontId="126" fillId="0" borderId="0" xfId="0" applyNumberFormat="1" applyFont="1"/>
    <xf numFmtId="189" fontId="126" fillId="0" borderId="0" xfId="0" applyNumberFormat="1" applyFont="1"/>
    <xf numFmtId="174" fontId="46" fillId="2" borderId="0" xfId="0" applyNumberFormat="1" applyFont="1" applyFill="1" applyAlignment="1">
      <alignment horizontal="right" wrapText="1"/>
    </xf>
    <xf numFmtId="180" fontId="0" fillId="0" borderId="0" xfId="0" applyNumberFormat="1"/>
    <xf numFmtId="180" fontId="108" fillId="0" borderId="0" xfId="155" applyNumberFormat="1" applyFont="1" applyFill="1" applyBorder="1"/>
    <xf numFmtId="0" fontId="102" fillId="26" borderId="0" xfId="0" applyFont="1" applyFill="1"/>
    <xf numFmtId="180" fontId="102" fillId="26" borderId="0" xfId="0" applyNumberFormat="1" applyFont="1" applyFill="1"/>
    <xf numFmtId="174" fontId="50" fillId="0" borderId="0" xfId="0" applyNumberFormat="1" applyFont="1"/>
    <xf numFmtId="171" fontId="6" fillId="21" borderId="5" xfId="2" applyFont="1" applyFill="1" applyBorder="1"/>
    <xf numFmtId="171" fontId="6" fillId="21" borderId="15" xfId="2" applyFont="1" applyFill="1" applyBorder="1"/>
    <xf numFmtId="0" fontId="2" fillId="0" borderId="8" xfId="0" applyFont="1" applyBorder="1"/>
    <xf numFmtId="0" fontId="2" fillId="0" borderId="9" xfId="0" applyFont="1" applyBorder="1"/>
    <xf numFmtId="0" fontId="2" fillId="0" borderId="10" xfId="0" applyFont="1" applyBorder="1"/>
    <xf numFmtId="171" fontId="6" fillId="21" borderId="1" xfId="2" applyFont="1" applyFill="1" applyBorder="1" applyAlignment="1">
      <alignment horizontal="centerContinuous"/>
    </xf>
    <xf numFmtId="0" fontId="11" fillId="0" borderId="8" xfId="0" applyFont="1" applyBorder="1"/>
    <xf numFmtId="171" fontId="6" fillId="21" borderId="2" xfId="2" applyFont="1" applyFill="1" applyBorder="1" applyAlignment="1">
      <alignment horizontal="centerContinuous"/>
    </xf>
    <xf numFmtId="171" fontId="6" fillId="21" borderId="3" xfId="2" applyFont="1" applyFill="1" applyBorder="1" applyAlignment="1">
      <alignment horizontal="centerContinuous"/>
    </xf>
    <xf numFmtId="180" fontId="102" fillId="29" borderId="0" xfId="0" applyNumberFormat="1" applyFont="1" applyFill="1" applyAlignment="1">
      <alignment horizontal="right"/>
    </xf>
    <xf numFmtId="0" fontId="43" fillId="29" borderId="0" xfId="0" applyFont="1" applyFill="1"/>
    <xf numFmtId="180" fontId="102" fillId="29" borderId="0" xfId="0" applyNumberFormat="1" applyFont="1" applyFill="1" applyAlignment="1">
      <alignment horizontal="left"/>
    </xf>
    <xf numFmtId="0" fontId="38" fillId="29" borderId="0" xfId="0" applyFont="1" applyFill="1"/>
    <xf numFmtId="0" fontId="44" fillId="0" borderId="0" xfId="0" applyFont="1" applyAlignment="1">
      <alignment horizontal="right" wrapText="1"/>
    </xf>
    <xf numFmtId="174" fontId="102" fillId="27" borderId="0" xfId="0" applyNumberFormat="1" applyFont="1" applyFill="1" applyAlignment="1">
      <alignment horizontal="left" indent="1"/>
    </xf>
    <xf numFmtId="0" fontId="128" fillId="40" borderId="0" xfId="0" applyFont="1" applyFill="1" applyAlignment="1">
      <alignment horizontal="center" vertical="center" wrapText="1"/>
    </xf>
    <xf numFmtId="0" fontId="129" fillId="41" borderId="79" xfId="0" applyFont="1" applyFill="1" applyBorder="1" applyAlignment="1">
      <alignment horizontal="left" vertical="top" wrapText="1"/>
    </xf>
    <xf numFmtId="4" fontId="129" fillId="41" borderId="79" xfId="0" applyNumberFormat="1" applyFont="1" applyFill="1" applyBorder="1" applyAlignment="1">
      <alignment horizontal="right" vertical="top" wrapText="1"/>
    </xf>
    <xf numFmtId="0" fontId="129" fillId="41" borderId="79" xfId="0" applyFont="1" applyFill="1" applyBorder="1" applyAlignment="1">
      <alignment horizontal="right" vertical="top" wrapText="1"/>
    </xf>
    <xf numFmtId="0" fontId="129" fillId="37" borderId="79" xfId="0" applyFont="1" applyFill="1" applyBorder="1" applyAlignment="1">
      <alignment horizontal="left" vertical="top" wrapText="1"/>
    </xf>
    <xf numFmtId="4" fontId="129" fillId="37" borderId="79" xfId="0" applyNumberFormat="1" applyFont="1" applyFill="1" applyBorder="1" applyAlignment="1">
      <alignment horizontal="right" vertical="top" wrapText="1"/>
    </xf>
    <xf numFmtId="0" fontId="129" fillId="37" borderId="79" xfId="0" applyFont="1" applyFill="1" applyBorder="1" applyAlignment="1">
      <alignment horizontal="right" vertical="top" wrapText="1"/>
    </xf>
    <xf numFmtId="3" fontId="129" fillId="41" borderId="79" xfId="0" applyNumberFormat="1" applyFont="1" applyFill="1" applyBorder="1" applyAlignment="1">
      <alignment horizontal="right" vertical="top" wrapText="1"/>
    </xf>
    <xf numFmtId="3" fontId="129" fillId="37" borderId="79" xfId="0" applyNumberFormat="1" applyFont="1" applyFill="1" applyBorder="1" applyAlignment="1">
      <alignment horizontal="right" vertical="top" wrapText="1"/>
    </xf>
    <xf numFmtId="3" fontId="129" fillId="0" borderId="0" xfId="0" applyNumberFormat="1" applyFont="1" applyAlignment="1">
      <alignment horizontal="right" vertical="top" wrapText="1"/>
    </xf>
    <xf numFmtId="0" fontId="129" fillId="0" borderId="0" xfId="0" applyFont="1" applyAlignment="1">
      <alignment horizontal="right" vertical="top" wrapText="1"/>
    </xf>
    <xf numFmtId="10" fontId="129" fillId="0" borderId="0" xfId="0" applyNumberFormat="1" applyFont="1" applyAlignment="1">
      <alignment horizontal="right" vertical="top"/>
    </xf>
    <xf numFmtId="0" fontId="130" fillId="0" borderId="0" xfId="0" applyFont="1" applyAlignment="1">
      <alignment horizontal="center" vertical="top" wrapText="1"/>
    </xf>
    <xf numFmtId="214" fontId="49" fillId="38" borderId="78" xfId="0" applyNumberFormat="1" applyFont="1" applyFill="1" applyBorder="1" applyAlignment="1">
      <alignment horizontal="centerContinuous" wrapText="1"/>
    </xf>
    <xf numFmtId="214" fontId="49" fillId="38" borderId="80" xfId="0" applyNumberFormat="1" applyFont="1" applyFill="1" applyBorder="1" applyAlignment="1">
      <alignment horizontal="centerContinuous" wrapText="1"/>
    </xf>
    <xf numFmtId="223" fontId="129" fillId="0" borderId="0" xfId="0" applyNumberFormat="1" applyFont="1" applyAlignment="1">
      <alignment horizontal="right" vertical="top" wrapText="1"/>
    </xf>
    <xf numFmtId="207" fontId="44" fillId="39" borderId="0" xfId="0" applyNumberFormat="1" applyFont="1" applyFill="1" applyAlignment="1">
      <alignment horizontal="center"/>
    </xf>
    <xf numFmtId="0" fontId="131" fillId="37" borderId="0" xfId="0" applyFont="1" applyFill="1" applyAlignment="1">
      <alignment horizontal="left" vertical="top" wrapText="1"/>
    </xf>
    <xf numFmtId="174" fontId="44" fillId="37" borderId="0" xfId="0" applyNumberFormat="1" applyFont="1" applyFill="1" applyAlignment="1">
      <alignment horizontal="right" wrapText="1"/>
    </xf>
    <xf numFmtId="214" fontId="45" fillId="0" borderId="80" xfId="0" applyNumberFormat="1" applyFont="1" applyBorder="1" applyAlignment="1">
      <alignment horizontal="centerContinuous"/>
    </xf>
    <xf numFmtId="223" fontId="44" fillId="0" borderId="0" xfId="0" applyNumberFormat="1" applyFont="1" applyAlignment="1">
      <alignment horizontal="right" wrapText="1"/>
    </xf>
    <xf numFmtId="174" fontId="48" fillId="0" borderId="0" xfId="0" applyNumberFormat="1" applyFont="1" applyAlignment="1">
      <alignment horizontal="right" wrapText="1"/>
    </xf>
    <xf numFmtId="174" fontId="48" fillId="2" borderId="0" xfId="0" applyNumberFormat="1" applyFont="1" applyFill="1" applyAlignment="1">
      <alignment horizontal="right" wrapText="1"/>
    </xf>
    <xf numFmtId="0" fontId="48" fillId="0" borderId="0" xfId="0" applyFont="1"/>
    <xf numFmtId="223" fontId="0" fillId="0" borderId="0" xfId="0" applyNumberFormat="1"/>
    <xf numFmtId="224" fontId="0" fillId="0" borderId="0" xfId="0" applyNumberFormat="1"/>
    <xf numFmtId="0" fontId="0" fillId="2" borderId="0" xfId="0" applyFill="1"/>
    <xf numFmtId="214" fontId="45" fillId="0" borderId="0" xfId="0" applyNumberFormat="1" applyFont="1" applyAlignment="1">
      <alignment horizontal="centerContinuous" wrapText="1"/>
    </xf>
    <xf numFmtId="0" fontId="46" fillId="26" borderId="0" xfId="0" applyFont="1" applyFill="1"/>
    <xf numFmtId="174" fontId="46" fillId="26" borderId="0" xfId="0" applyNumberFormat="1" applyFont="1" applyFill="1"/>
    <xf numFmtId="174" fontId="46" fillId="26" borderId="17" xfId="0" applyNumberFormat="1" applyFont="1" applyFill="1" applyBorder="1"/>
    <xf numFmtId="177" fontId="46" fillId="26" borderId="0" xfId="0" applyNumberFormat="1" applyFont="1" applyFill="1"/>
    <xf numFmtId="0" fontId="46" fillId="26" borderId="17" xfId="0" applyFont="1" applyFill="1" applyBorder="1"/>
    <xf numFmtId="180" fontId="114" fillId="0" borderId="81" xfId="0" applyNumberFormat="1" applyFont="1" applyBorder="1"/>
    <xf numFmtId="180" fontId="114" fillId="0" borderId="62" xfId="0" applyNumberFormat="1" applyFont="1" applyBorder="1"/>
    <xf numFmtId="171" fontId="2" fillId="0" borderId="6" xfId="3" applyFont="1" applyBorder="1" applyAlignment="1">
      <alignment horizontal="right"/>
    </xf>
    <xf numFmtId="173" fontId="9" fillId="2" borderId="0" xfId="3" applyNumberFormat="1" applyFont="1" applyFill="1" applyAlignment="1">
      <alignment horizontal="center"/>
    </xf>
    <xf numFmtId="180" fontId="133" fillId="0" borderId="0" xfId="3" applyNumberFormat="1" applyFont="1" applyAlignment="1">
      <alignment horizontal="center"/>
    </xf>
    <xf numFmtId="217" fontId="101" fillId="22" borderId="47" xfId="0" applyNumberFormat="1" applyFont="1" applyFill="1" applyBorder="1" applyAlignment="1">
      <alignment horizontal="centerContinuous"/>
    </xf>
    <xf numFmtId="217" fontId="101" fillId="22" borderId="49" xfId="0" applyNumberFormat="1" applyFont="1" applyFill="1" applyBorder="1" applyAlignment="1">
      <alignment horizontal="centerContinuous"/>
    </xf>
    <xf numFmtId="0" fontId="44" fillId="42" borderId="4" xfId="0" applyFont="1" applyFill="1" applyBorder="1"/>
    <xf numFmtId="0" fontId="44" fillId="42" borderId="6" xfId="0" applyFont="1" applyFill="1" applyBorder="1"/>
    <xf numFmtId="173" fontId="44" fillId="42" borderId="0" xfId="0" applyNumberFormat="1" applyFont="1" applyFill="1" applyAlignment="1">
      <alignment horizontal="center"/>
    </xf>
    <xf numFmtId="0" fontId="44" fillId="42" borderId="0" xfId="0" applyFont="1" applyFill="1" applyAlignment="1">
      <alignment horizontal="center"/>
    </xf>
    <xf numFmtId="173" fontId="38" fillId="0" borderId="21" xfId="0" applyNumberFormat="1" applyFont="1" applyBorder="1" applyAlignment="1">
      <alignment horizontal="center"/>
    </xf>
    <xf numFmtId="173" fontId="38" fillId="0" borderId="22" xfId="0" applyNumberFormat="1" applyFont="1" applyBorder="1" applyAlignment="1">
      <alignment horizontal="center"/>
    </xf>
    <xf numFmtId="217" fontId="38" fillId="22" borderId="49" xfId="0" applyNumberFormat="1" applyFont="1" applyFill="1" applyBorder="1" applyAlignment="1">
      <alignment horizontal="centerContinuous"/>
    </xf>
    <xf numFmtId="211" fontId="101" fillId="22" borderId="47" xfId="0" applyNumberFormat="1" applyFont="1" applyFill="1" applyBorder="1" applyAlignment="1">
      <alignment horizontal="centerContinuous"/>
    </xf>
    <xf numFmtId="0" fontId="134" fillId="0" borderId="0" xfId="0" applyFont="1" applyAlignment="1">
      <alignment horizontal="left" vertical="top"/>
    </xf>
    <xf numFmtId="0" fontId="107" fillId="0" borderId="0" xfId="0" applyFont="1" applyAlignment="1">
      <alignment horizontal="centerContinuous"/>
    </xf>
    <xf numFmtId="174" fontId="9" fillId="27" borderId="0" xfId="3" applyNumberFormat="1" applyFont="1" applyFill="1"/>
    <xf numFmtId="188" fontId="9" fillId="27" borderId="0" xfId="3" applyNumberFormat="1" applyFont="1" applyFill="1"/>
    <xf numFmtId="174" fontId="9" fillId="27" borderId="0" xfId="13" applyNumberFormat="1" applyFont="1" applyFill="1" applyAlignment="1">
      <alignment horizontal="left" indent="1"/>
    </xf>
    <xf numFmtId="173" fontId="9" fillId="27" borderId="0" xfId="13" applyNumberFormat="1" applyFont="1" applyFill="1" applyAlignment="1">
      <alignment horizontal="left" indent="1"/>
    </xf>
    <xf numFmtId="189" fontId="9" fillId="27" borderId="0" xfId="11" applyNumberFormat="1" applyFont="1" applyFill="1" applyAlignment="1">
      <alignment horizontal="center"/>
    </xf>
    <xf numFmtId="188" fontId="9" fillId="27" borderId="0" xfId="3" applyNumberFormat="1" applyFont="1" applyFill="1" applyAlignment="1">
      <alignment horizontal="center"/>
    </xf>
    <xf numFmtId="174" fontId="9" fillId="27" borderId="0" xfId="11" applyNumberFormat="1" applyFont="1" applyFill="1" applyAlignment="1">
      <alignment horizontal="center"/>
    </xf>
    <xf numFmtId="180" fontId="9" fillId="27" borderId="0" xfId="3" applyNumberFormat="1" applyFont="1" applyFill="1"/>
    <xf numFmtId="180" fontId="9" fillId="27" borderId="0" xfId="13" applyNumberFormat="1" applyFont="1" applyFill="1"/>
    <xf numFmtId="171" fontId="2" fillId="27" borderId="0" xfId="2" applyFont="1" applyFill="1"/>
    <xf numFmtId="0" fontId="36" fillId="0" borderId="4" xfId="0" applyFont="1" applyBorder="1" applyAlignment="1">
      <alignment horizontal="left" indent="1"/>
    </xf>
    <xf numFmtId="224" fontId="36" fillId="0" borderId="0" xfId="0" applyNumberFormat="1" applyFont="1"/>
    <xf numFmtId="224" fontId="36" fillId="0" borderId="6" xfId="0" applyNumberFormat="1" applyFont="1" applyBorder="1"/>
    <xf numFmtId="174" fontId="44" fillId="0" borderId="0" xfId="0" applyNumberFormat="1" applyFont="1" applyAlignment="1">
      <alignment horizontal="right"/>
    </xf>
    <xf numFmtId="209" fontId="101" fillId="22" borderId="44" xfId="0" applyNumberFormat="1" applyFont="1" applyFill="1" applyBorder="1" applyAlignment="1">
      <alignment horizontal="centerContinuous"/>
    </xf>
    <xf numFmtId="0" fontId="44" fillId="43" borderId="0" xfId="0" applyFont="1" applyFill="1"/>
    <xf numFmtId="208" fontId="101" fillId="22" borderId="44" xfId="0" applyNumberFormat="1" applyFont="1" applyFill="1" applyBorder="1" applyAlignment="1">
      <alignment horizontal="centerContinuous"/>
    </xf>
    <xf numFmtId="174" fontId="43" fillId="0" borderId="81" xfId="0" applyNumberFormat="1" applyFont="1" applyBorder="1"/>
    <xf numFmtId="209" fontId="101" fillId="22" borderId="48" xfId="0" applyNumberFormat="1" applyFont="1" applyFill="1" applyBorder="1" applyAlignment="1">
      <alignment horizontal="centerContinuous"/>
    </xf>
    <xf numFmtId="187" fontId="44" fillId="42" borderId="0" xfId="0" applyNumberFormat="1" applyFont="1" applyFill="1" applyAlignment="1" applyProtection="1">
      <alignment horizontal="center"/>
      <protection hidden="1"/>
    </xf>
    <xf numFmtId="174" fontId="47" fillId="0" borderId="0" xfId="0" applyNumberFormat="1" applyFont="1"/>
    <xf numFmtId="180" fontId="114" fillId="27" borderId="81" xfId="0" applyNumberFormat="1" applyFont="1" applyFill="1" applyBorder="1"/>
    <xf numFmtId="174" fontId="114" fillId="28" borderId="81" xfId="0" applyNumberFormat="1" applyFont="1" applyFill="1" applyBorder="1"/>
    <xf numFmtId="0" fontId="38" fillId="0" borderId="14" xfId="0" applyFont="1" applyBorder="1"/>
    <xf numFmtId="174" fontId="104" fillId="0" borderId="6" xfId="0" applyNumberFormat="1" applyFont="1" applyBorder="1"/>
    <xf numFmtId="0" fontId="43" fillId="0" borderId="4" xfId="0" applyFont="1" applyBorder="1" applyAlignment="1">
      <alignment horizontal="left" indent="1"/>
    </xf>
    <xf numFmtId="0" fontId="114" fillId="29" borderId="4" xfId="0" applyFont="1" applyFill="1" applyBorder="1"/>
    <xf numFmtId="0" fontId="102" fillId="29" borderId="4" xfId="0" applyFont="1" applyFill="1" applyBorder="1"/>
    <xf numFmtId="0" fontId="119" fillId="28" borderId="4" xfId="0" applyFont="1" applyFill="1" applyBorder="1"/>
    <xf numFmtId="180" fontId="44" fillId="28" borderId="0" xfId="0" applyNumberFormat="1" applyFont="1" applyFill="1"/>
    <xf numFmtId="180" fontId="44" fillId="28" borderId="6" xfId="0" applyNumberFormat="1" applyFont="1" applyFill="1" applyBorder="1"/>
    <xf numFmtId="180" fontId="102" fillId="28" borderId="6" xfId="0" applyNumberFormat="1" applyFont="1" applyFill="1" applyBorder="1"/>
    <xf numFmtId="0" fontId="114" fillId="28" borderId="4" xfId="0" applyFont="1" applyFill="1" applyBorder="1" applyAlignment="1">
      <alignment horizontal="left" indent="1"/>
    </xf>
    <xf numFmtId="180" fontId="114" fillId="28" borderId="0" xfId="0" applyNumberFormat="1" applyFont="1" applyFill="1"/>
    <xf numFmtId="180" fontId="114" fillId="28" borderId="6" xfId="0" applyNumberFormat="1" applyFont="1" applyFill="1" applyBorder="1"/>
    <xf numFmtId="0" fontId="102" fillId="29" borderId="8" xfId="0" applyFont="1" applyFill="1" applyBorder="1"/>
    <xf numFmtId="174" fontId="104" fillId="0" borderId="5" xfId="0" applyNumberFormat="1" applyFont="1" applyBorder="1"/>
    <xf numFmtId="9" fontId="44" fillId="0" borderId="4" xfId="164" applyFont="1" applyBorder="1"/>
    <xf numFmtId="9" fontId="44" fillId="0" borderId="0" xfId="164" applyFont="1" applyBorder="1"/>
    <xf numFmtId="9" fontId="44" fillId="0" borderId="0" xfId="164" applyFont="1" applyFill="1" applyBorder="1"/>
    <xf numFmtId="9" fontId="44" fillId="0" borderId="6" xfId="164" applyFont="1" applyBorder="1"/>
    <xf numFmtId="0" fontId="102" fillId="28" borderId="8" xfId="0" applyFont="1" applyFill="1" applyBorder="1" applyAlignment="1">
      <alignment horizontal="left" indent="1"/>
    </xf>
    <xf numFmtId="180" fontId="102" fillId="28" borderId="9" xfId="0" applyNumberFormat="1" applyFont="1" applyFill="1" applyBorder="1"/>
    <xf numFmtId="180" fontId="102" fillId="28" borderId="10" xfId="0" applyNumberFormat="1" applyFont="1" applyFill="1" applyBorder="1"/>
    <xf numFmtId="0" fontId="118" fillId="0" borderId="14" xfId="0" applyFont="1" applyBorder="1"/>
    <xf numFmtId="0" fontId="102" fillId="0" borderId="5" xfId="0" applyFont="1" applyBorder="1"/>
    <xf numFmtId="227" fontId="102" fillId="0" borderId="5" xfId="0" applyNumberFormat="1" applyFont="1" applyBorder="1"/>
    <xf numFmtId="0" fontId="102" fillId="0" borderId="15" xfId="0" applyFont="1" applyBorder="1"/>
    <xf numFmtId="0" fontId="114" fillId="0" borderId="4" xfId="0" applyFont="1" applyBorder="1" applyAlignment="1">
      <alignment horizontal="left" indent="1"/>
    </xf>
    <xf numFmtId="0" fontId="114" fillId="28" borderId="8" xfId="0" applyFont="1" applyFill="1" applyBorder="1" applyAlignment="1">
      <alignment horizontal="left" indent="1"/>
    </xf>
    <xf numFmtId="0" fontId="114" fillId="28" borderId="9" xfId="0" applyFont="1" applyFill="1" applyBorder="1"/>
    <xf numFmtId="180" fontId="114" fillId="28" borderId="9" xfId="0" applyNumberFormat="1" applyFont="1" applyFill="1" applyBorder="1"/>
    <xf numFmtId="180" fontId="114" fillId="28" borderId="10" xfId="0" applyNumberFormat="1" applyFont="1" applyFill="1" applyBorder="1"/>
    <xf numFmtId="224" fontId="44" fillId="0" borderId="5" xfId="0" applyNumberFormat="1" applyFont="1" applyBorder="1"/>
    <xf numFmtId="174" fontId="104" fillId="26" borderId="0" xfId="0" applyNumberFormat="1" applyFont="1" applyFill="1"/>
    <xf numFmtId="0" fontId="114" fillId="0" borderId="9" xfId="0" applyFont="1" applyBorder="1"/>
    <xf numFmtId="224" fontId="104" fillId="0" borderId="0" xfId="0" applyNumberFormat="1" applyFont="1"/>
    <xf numFmtId="174" fontId="104" fillId="0" borderId="15" xfId="0" applyNumberFormat="1" applyFont="1" applyBorder="1"/>
    <xf numFmtId="180" fontId="102" fillId="0" borderId="10" xfId="0" applyNumberFormat="1" applyFont="1" applyBorder="1"/>
    <xf numFmtId="180" fontId="114" fillId="0" borderId="6" xfId="0" applyNumberFormat="1" applyFont="1" applyBorder="1"/>
    <xf numFmtId="0" fontId="117" fillId="0" borderId="4" xfId="0" applyFont="1" applyBorder="1"/>
    <xf numFmtId="0" fontId="49" fillId="0" borderId="4" xfId="0" applyFont="1" applyBorder="1" applyAlignment="1">
      <alignment horizontal="left" indent="1"/>
    </xf>
    <xf numFmtId="224" fontId="104" fillId="0" borderId="6" xfId="0" applyNumberFormat="1" applyFont="1" applyBorder="1"/>
    <xf numFmtId="173" fontId="19" fillId="0" borderId="0" xfId="7" applyNumberFormat="1" applyFont="1" applyAlignment="1">
      <alignment horizontal="left"/>
    </xf>
    <xf numFmtId="173" fontId="38" fillId="0" borderId="21" xfId="0" applyNumberFormat="1" applyFont="1" applyBorder="1" applyAlignment="1">
      <alignment horizontal="center" vertical="center"/>
    </xf>
    <xf numFmtId="173" fontId="44" fillId="0" borderId="0" xfId="0" applyNumberFormat="1" applyFont="1" applyAlignment="1">
      <alignment horizontal="center" vertical="center"/>
    </xf>
    <xf numFmtId="173" fontId="44" fillId="0" borderId="6" xfId="0" applyNumberFormat="1" applyFont="1" applyBorder="1" applyAlignment="1">
      <alignment horizontal="center" vertical="center"/>
    </xf>
    <xf numFmtId="173" fontId="43" fillId="0" borderId="21" xfId="0" applyNumberFormat="1" applyFont="1" applyBorder="1" applyAlignment="1">
      <alignment horizontal="center" vertical="center"/>
    </xf>
    <xf numFmtId="173" fontId="43" fillId="0" borderId="22" xfId="0" applyNumberFormat="1" applyFont="1" applyBorder="1" applyAlignment="1">
      <alignment horizontal="center" vertical="center"/>
    </xf>
    <xf numFmtId="215" fontId="50" fillId="0" borderId="0" xfId="0" applyNumberFormat="1" applyFont="1"/>
    <xf numFmtId="174" fontId="50" fillId="2" borderId="0" xfId="0" applyNumberFormat="1" applyFont="1" applyFill="1"/>
    <xf numFmtId="215" fontId="30" fillId="0" borderId="0" xfId="0" applyNumberFormat="1" applyFont="1"/>
    <xf numFmtId="215" fontId="50" fillId="2" borderId="0" xfId="0" applyNumberFormat="1" applyFont="1" applyFill="1"/>
    <xf numFmtId="227" fontId="111" fillId="0" borderId="0" xfId="3" applyNumberFormat="1" applyFont="1" applyAlignment="1">
      <alignment horizontal="center"/>
    </xf>
    <xf numFmtId="174" fontId="30" fillId="0" borderId="0" xfId="0" applyNumberFormat="1" applyFont="1"/>
    <xf numFmtId="208" fontId="101" fillId="22" borderId="76" xfId="0" applyNumberFormat="1" applyFont="1" applyFill="1" applyBorder="1" applyAlignment="1">
      <alignment horizontal="centerContinuous"/>
    </xf>
    <xf numFmtId="208" fontId="101" fillId="22" borderId="82" xfId="0" applyNumberFormat="1" applyFont="1" applyFill="1" applyBorder="1" applyAlignment="1">
      <alignment horizontal="centerContinuous"/>
    </xf>
    <xf numFmtId="174" fontId="45" fillId="0" borderId="4" xfId="0" applyNumberFormat="1" applyFont="1" applyBorder="1"/>
    <xf numFmtId="0" fontId="119" fillId="0" borderId="8" xfId="0" applyFont="1" applyBorder="1"/>
    <xf numFmtId="180" fontId="45" fillId="34" borderId="56" xfId="0" applyNumberFormat="1" applyFont="1" applyFill="1" applyBorder="1"/>
    <xf numFmtId="209" fontId="101" fillId="22" borderId="83" xfId="0" applyNumberFormat="1" applyFont="1" applyFill="1" applyBorder="1" applyAlignment="1">
      <alignment horizontal="center"/>
    </xf>
    <xf numFmtId="209" fontId="101" fillId="22" borderId="84" xfId="0" applyNumberFormat="1" applyFont="1" applyFill="1" applyBorder="1" applyAlignment="1">
      <alignment horizontal="center"/>
    </xf>
    <xf numFmtId="222" fontId="43" fillId="0" borderId="0" xfId="0" applyNumberFormat="1" applyFont="1" applyAlignment="1">
      <alignment horizontal="left"/>
    </xf>
    <xf numFmtId="224" fontId="102" fillId="0" borderId="0" xfId="0" applyNumberFormat="1" applyFont="1"/>
    <xf numFmtId="174" fontId="10" fillId="2" borderId="0" xfId="0" applyNumberFormat="1" applyFont="1" applyFill="1"/>
    <xf numFmtId="181" fontId="46" fillId="2" borderId="50" xfId="3" applyNumberFormat="1" applyFont="1" applyFill="1" applyBorder="1" applyAlignment="1">
      <alignment horizontal="right"/>
    </xf>
    <xf numFmtId="181" fontId="46" fillId="2" borderId="0" xfId="3" applyNumberFormat="1" applyFont="1" applyFill="1" applyAlignment="1">
      <alignment horizontal="right"/>
    </xf>
    <xf numFmtId="173" fontId="9" fillId="0" borderId="0" xfId="3" applyNumberFormat="1" applyFont="1" applyAlignment="1">
      <alignment horizontal="left"/>
    </xf>
    <xf numFmtId="180" fontId="133" fillId="0" borderId="0" xfId="3" applyNumberFormat="1" applyFont="1"/>
    <xf numFmtId="14" fontId="9" fillId="0" borderId="0" xfId="3" applyNumberFormat="1" applyFont="1" applyAlignment="1">
      <alignment horizontal="left"/>
    </xf>
    <xf numFmtId="188" fontId="9" fillId="0" borderId="0" xfId="3" applyNumberFormat="1" applyFont="1" applyAlignment="1">
      <alignment horizontal="left"/>
    </xf>
    <xf numFmtId="173" fontId="136" fillId="0" borderId="0" xfId="3" applyNumberFormat="1" applyFont="1" applyAlignment="1">
      <alignment horizontal="center"/>
    </xf>
    <xf numFmtId="173" fontId="111" fillId="0" borderId="0" xfId="3" applyNumberFormat="1" applyFont="1" applyAlignment="1">
      <alignment horizontal="center"/>
    </xf>
    <xf numFmtId="180" fontId="136" fillId="0" borderId="0" xfId="3" applyNumberFormat="1" applyFont="1" applyAlignment="1">
      <alignment horizontal="center"/>
    </xf>
    <xf numFmtId="173" fontId="10" fillId="0" borderId="0" xfId="3" applyNumberFormat="1" applyFont="1" applyAlignment="1">
      <alignment horizontal="left"/>
    </xf>
    <xf numFmtId="180" fontId="10" fillId="0" borderId="0" xfId="3" applyNumberFormat="1" applyFont="1" applyAlignment="1">
      <alignment horizontal="left"/>
    </xf>
    <xf numFmtId="173" fontId="50" fillId="0" borderId="0" xfId="7" applyNumberFormat="1" applyFont="1"/>
    <xf numFmtId="173" fontId="8" fillId="0" borderId="0" xfId="3" applyNumberFormat="1" applyFont="1"/>
    <xf numFmtId="173" fontId="112" fillId="0" borderId="6" xfId="3" applyNumberFormat="1" applyFont="1" applyBorder="1" applyAlignment="1">
      <alignment horizontal="right"/>
    </xf>
    <xf numFmtId="214" fontId="101" fillId="22" borderId="47" xfId="0" applyNumberFormat="1" applyFont="1" applyFill="1" applyBorder="1" applyAlignment="1">
      <alignment horizontal="center"/>
    </xf>
    <xf numFmtId="180" fontId="41" fillId="0" borderId="0" xfId="3" applyNumberFormat="1" applyFont="1" applyAlignment="1">
      <alignment horizontal="center"/>
    </xf>
    <xf numFmtId="173" fontId="41" fillId="0" borderId="0" xfId="3" applyNumberFormat="1" applyFont="1" applyAlignment="1">
      <alignment horizontal="center"/>
    </xf>
    <xf numFmtId="174" fontId="136" fillId="0" borderId="0" xfId="3" applyNumberFormat="1" applyFont="1"/>
    <xf numFmtId="180" fontId="10" fillId="0" borderId="0" xfId="3" applyNumberFormat="1" applyFont="1"/>
    <xf numFmtId="180" fontId="136" fillId="0" borderId="0" xfId="3" applyNumberFormat="1" applyFont="1" applyAlignment="1">
      <alignment horizontal="left"/>
    </xf>
    <xf numFmtId="180" fontId="41" fillId="0" borderId="0" xfId="3" applyNumberFormat="1" applyFont="1" applyAlignment="1">
      <alignment horizontal="left"/>
    </xf>
    <xf numFmtId="174" fontId="44" fillId="5" borderId="14" xfId="0" applyNumberFormat="1" applyFont="1" applyFill="1" applyBorder="1" applyAlignment="1">
      <alignment horizontal="center"/>
    </xf>
    <xf numFmtId="174" fontId="47" fillId="5" borderId="5" xfId="0" applyNumberFormat="1" applyFont="1" applyFill="1" applyBorder="1"/>
    <xf numFmtId="174" fontId="44" fillId="5" borderId="5" xfId="0" applyNumberFormat="1" applyFont="1" applyFill="1" applyBorder="1"/>
    <xf numFmtId="174" fontId="44" fillId="5" borderId="15" xfId="0" applyNumberFormat="1" applyFont="1" applyFill="1" applyBorder="1"/>
    <xf numFmtId="214" fontId="101" fillId="22" borderId="85" xfId="0" applyNumberFormat="1" applyFont="1" applyFill="1" applyBorder="1" applyAlignment="1">
      <alignment horizontal="centerContinuous"/>
    </xf>
    <xf numFmtId="207" fontId="44" fillId="3" borderId="87" xfId="0" applyNumberFormat="1" applyFont="1" applyFill="1" applyBorder="1" applyAlignment="1">
      <alignment horizontal="center"/>
    </xf>
    <xf numFmtId="207" fontId="43" fillId="3" borderId="88" xfId="0" applyNumberFormat="1" applyFont="1" applyFill="1" applyBorder="1" applyAlignment="1">
      <alignment horizontal="center"/>
    </xf>
    <xf numFmtId="180" fontId="44" fillId="0" borderId="6" xfId="0" applyNumberFormat="1" applyFont="1" applyBorder="1"/>
    <xf numFmtId="0" fontId="46" fillId="0" borderId="6" xfId="0" applyFont="1" applyBorder="1"/>
    <xf numFmtId="174" fontId="44" fillId="5" borderId="4" xfId="0" applyNumberFormat="1" applyFont="1" applyFill="1" applyBorder="1" applyAlignment="1">
      <alignment horizontal="center"/>
    </xf>
    <xf numFmtId="174" fontId="44" fillId="5" borderId="6" xfId="0" applyNumberFormat="1" applyFont="1" applyFill="1" applyBorder="1"/>
    <xf numFmtId="180" fontId="104" fillId="0" borderId="0" xfId="0" applyNumberFormat="1" applyFont="1"/>
    <xf numFmtId="223" fontId="48" fillId="0" borderId="0" xfId="0" applyNumberFormat="1" applyFont="1"/>
    <xf numFmtId="180" fontId="48" fillId="0" borderId="9" xfId="0" applyNumberFormat="1" applyFont="1" applyBorder="1"/>
    <xf numFmtId="180" fontId="104" fillId="0" borderId="9" xfId="0" applyNumberFormat="1" applyFont="1" applyBorder="1"/>
    <xf numFmtId="228" fontId="44" fillId="0" borderId="0" xfId="0" applyNumberFormat="1" applyFont="1"/>
    <xf numFmtId="228" fontId="44" fillId="0" borderId="6" xfId="0" applyNumberFormat="1" applyFont="1" applyBorder="1"/>
    <xf numFmtId="174" fontId="104" fillId="0" borderId="9" xfId="0" applyNumberFormat="1" applyFont="1" applyBorder="1"/>
    <xf numFmtId="223" fontId="48" fillId="0" borderId="9" xfId="0" applyNumberFormat="1" applyFont="1" applyBorder="1"/>
    <xf numFmtId="223" fontId="104" fillId="0" borderId="9" xfId="0" applyNumberFormat="1" applyFont="1" applyBorder="1"/>
    <xf numFmtId="0" fontId="135" fillId="0" borderId="0" xfId="0" applyFont="1"/>
    <xf numFmtId="222" fontId="44" fillId="0" borderId="0" xfId="0" applyNumberFormat="1" applyFont="1" applyAlignment="1">
      <alignment horizontal="left" indent="1"/>
    </xf>
    <xf numFmtId="207" fontId="43" fillId="3" borderId="53" xfId="0" applyNumberFormat="1" applyFont="1" applyFill="1" applyBorder="1" applyAlignment="1">
      <alignment horizontal="center"/>
    </xf>
    <xf numFmtId="214" fontId="101" fillId="22" borderId="76" xfId="0" applyNumberFormat="1" applyFont="1" applyFill="1" applyBorder="1" applyAlignment="1">
      <alignment horizontal="centerContinuous"/>
    </xf>
    <xf numFmtId="214" fontId="101" fillId="22" borderId="70" xfId="0" applyNumberFormat="1" applyFont="1" applyFill="1" applyBorder="1" applyAlignment="1">
      <alignment horizontal="center"/>
    </xf>
    <xf numFmtId="224" fontId="48" fillId="0" borderId="0" xfId="0" applyNumberFormat="1" applyFont="1"/>
    <xf numFmtId="224" fontId="45" fillId="0" borderId="0" xfId="0" applyNumberFormat="1" applyFont="1"/>
    <xf numFmtId="174" fontId="19" fillId="0" borderId="5" xfId="0" applyNumberFormat="1" applyFont="1" applyBorder="1"/>
    <xf numFmtId="174" fontId="19" fillId="0" borderId="15" xfId="0" applyNumberFormat="1" applyFont="1" applyBorder="1"/>
    <xf numFmtId="174" fontId="49" fillId="0" borderId="81" xfId="0" applyNumberFormat="1" applyFont="1" applyBorder="1"/>
    <xf numFmtId="0" fontId="137" fillId="0" borderId="0" xfId="0" applyFont="1"/>
    <xf numFmtId="174" fontId="49" fillId="0" borderId="58" xfId="0" applyNumberFormat="1" applyFont="1" applyBorder="1"/>
    <xf numFmtId="0" fontId="11" fillId="0" borderId="14" xfId="0" applyFont="1" applyBorder="1"/>
    <xf numFmtId="0" fontId="2" fillId="0" borderId="5" xfId="0" applyFont="1" applyBorder="1"/>
    <xf numFmtId="0" fontId="2" fillId="0" borderId="14" xfId="0" applyFont="1" applyBorder="1"/>
    <xf numFmtId="0" fontId="2" fillId="0" borderId="15" xfId="0" applyFont="1" applyBorder="1"/>
    <xf numFmtId="174" fontId="11" fillId="0" borderId="9" xfId="0" applyNumberFormat="1" applyFont="1" applyBorder="1"/>
    <xf numFmtId="174" fontId="11" fillId="0" borderId="10" xfId="0" applyNumberFormat="1" applyFont="1" applyBorder="1"/>
    <xf numFmtId="174" fontId="11" fillId="0" borderId="81" xfId="0" applyNumberFormat="1" applyFont="1" applyBorder="1"/>
    <xf numFmtId="0" fontId="36" fillId="0" borderId="6" xfId="0" applyFont="1" applyBorder="1"/>
    <xf numFmtId="0" fontId="11" fillId="0" borderId="6" xfId="0" applyFont="1" applyBorder="1"/>
    <xf numFmtId="171" fontId="17" fillId="0" borderId="10" xfId="2" applyFont="1" applyBorder="1"/>
    <xf numFmtId="0" fontId="2" fillId="27" borderId="22" xfId="0" applyFont="1" applyFill="1" applyBorder="1"/>
    <xf numFmtId="0" fontId="11" fillId="0" borderId="4" xfId="0" applyFont="1" applyBorder="1"/>
    <xf numFmtId="174" fontId="26" fillId="0" borderId="0" xfId="0" applyNumberFormat="1" applyFont="1"/>
    <xf numFmtId="174" fontId="26" fillId="0" borderId="6" xfId="0" applyNumberFormat="1" applyFont="1" applyBorder="1"/>
    <xf numFmtId="0" fontId="38" fillId="33" borderId="5" xfId="0" applyFont="1" applyFill="1" applyBorder="1"/>
    <xf numFmtId="174" fontId="45" fillId="33" borderId="5" xfId="0" applyNumberFormat="1" applyFont="1" applyFill="1" applyBorder="1"/>
    <xf numFmtId="174" fontId="45" fillId="33" borderId="15" xfId="0" applyNumberFormat="1" applyFont="1" applyFill="1" applyBorder="1"/>
    <xf numFmtId="0" fontId="45" fillId="33" borderId="0" xfId="0" applyFont="1" applyFill="1"/>
    <xf numFmtId="174" fontId="45" fillId="33" borderId="0" xfId="0" applyNumberFormat="1" applyFont="1" applyFill="1"/>
    <xf numFmtId="174" fontId="45" fillId="33" borderId="6" xfId="0" applyNumberFormat="1" applyFont="1" applyFill="1" applyBorder="1"/>
    <xf numFmtId="0" fontId="43" fillId="33" borderId="4" xfId="0" applyFont="1" applyFill="1" applyBorder="1"/>
    <xf numFmtId="0" fontId="49" fillId="33" borderId="0" xfId="0" applyFont="1" applyFill="1" applyAlignment="1">
      <alignment horizontal="left" indent="1"/>
    </xf>
    <xf numFmtId="0" fontId="43" fillId="33" borderId="0" xfId="0" applyFont="1" applyFill="1"/>
    <xf numFmtId="0" fontId="44" fillId="33" borderId="6" xfId="0" applyFont="1" applyFill="1" applyBorder="1"/>
    <xf numFmtId="0" fontId="45" fillId="33" borderId="9" xfId="0" applyFont="1" applyFill="1" applyBorder="1"/>
    <xf numFmtId="0" fontId="44" fillId="33" borderId="10" xfId="0" applyFont="1" applyFill="1" applyBorder="1"/>
    <xf numFmtId="174" fontId="49" fillId="33" borderId="81" xfId="0" applyNumberFormat="1" applyFont="1" applyFill="1" applyBorder="1"/>
    <xf numFmtId="174" fontId="49" fillId="33" borderId="58" xfId="0" applyNumberFormat="1" applyFont="1" applyFill="1" applyBorder="1"/>
    <xf numFmtId="0" fontId="45" fillId="33" borderId="14" xfId="0" applyFont="1" applyFill="1" applyBorder="1"/>
    <xf numFmtId="173" fontId="45" fillId="33" borderId="15" xfId="0" applyNumberFormat="1" applyFont="1" applyFill="1" applyBorder="1"/>
    <xf numFmtId="0" fontId="45" fillId="33" borderId="8" xfId="0" applyFont="1" applyFill="1" applyBorder="1"/>
    <xf numFmtId="173" fontId="104" fillId="33" borderId="10" xfId="0" applyNumberFormat="1" applyFont="1" applyFill="1" applyBorder="1"/>
    <xf numFmtId="173" fontId="44" fillId="0" borderId="6" xfId="0" applyNumberFormat="1" applyFont="1" applyBorder="1" applyAlignment="1">
      <alignment horizontal="left"/>
    </xf>
    <xf numFmtId="173" fontId="44" fillId="42" borderId="6" xfId="0" applyNumberFormat="1" applyFont="1" applyFill="1" applyBorder="1" applyAlignment="1">
      <alignment horizontal="left"/>
    </xf>
    <xf numFmtId="209" fontId="101" fillId="22" borderId="76" xfId="0" applyNumberFormat="1" applyFont="1" applyFill="1" applyBorder="1" applyAlignment="1">
      <alignment horizontal="centerContinuous"/>
    </xf>
    <xf numFmtId="209" fontId="101" fillId="22" borderId="90" xfId="0" applyNumberFormat="1" applyFont="1" applyFill="1" applyBorder="1" applyAlignment="1">
      <alignment horizontal="centerContinuous"/>
    </xf>
    <xf numFmtId="209" fontId="101" fillId="22" borderId="82" xfId="0" applyNumberFormat="1" applyFont="1" applyFill="1" applyBorder="1" applyAlignment="1">
      <alignment horizontal="centerContinuous"/>
    </xf>
    <xf numFmtId="209" fontId="101" fillId="22" borderId="83" xfId="0" applyNumberFormat="1" applyFont="1" applyFill="1" applyBorder="1" applyAlignment="1">
      <alignment horizontal="centerContinuous"/>
    </xf>
    <xf numFmtId="209" fontId="101" fillId="22" borderId="84" xfId="0" applyNumberFormat="1" applyFont="1" applyFill="1" applyBorder="1" applyAlignment="1">
      <alignment horizontal="centerContinuous"/>
    </xf>
    <xf numFmtId="207" fontId="44" fillId="3" borderId="91" xfId="0" applyNumberFormat="1" applyFont="1" applyFill="1" applyBorder="1" applyAlignment="1">
      <alignment horizontal="center"/>
    </xf>
    <xf numFmtId="207" fontId="44" fillId="3" borderId="92" xfId="0" applyNumberFormat="1" applyFont="1" applyFill="1" applyBorder="1" applyAlignment="1">
      <alignment horizontal="center"/>
    </xf>
    <xf numFmtId="207" fontId="44" fillId="3" borderId="93" xfId="0" applyNumberFormat="1" applyFont="1" applyFill="1" applyBorder="1" applyAlignment="1">
      <alignment horizontal="center"/>
    </xf>
    <xf numFmtId="207" fontId="44" fillId="3" borderId="94" xfId="0" applyNumberFormat="1" applyFont="1" applyFill="1" applyBorder="1" applyAlignment="1">
      <alignment horizontal="center"/>
    </xf>
    <xf numFmtId="209" fontId="101" fillId="22" borderId="5" xfId="0" applyNumberFormat="1" applyFont="1" applyFill="1" applyBorder="1" applyAlignment="1">
      <alignment horizontal="centerContinuous"/>
    </xf>
    <xf numFmtId="207" fontId="44" fillId="3" borderId="56" xfId="0" applyNumberFormat="1" applyFont="1" applyFill="1" applyBorder="1" applyAlignment="1">
      <alignment horizontal="center"/>
    </xf>
    <xf numFmtId="0" fontId="44" fillId="44" borderId="54" xfId="0" applyFont="1" applyFill="1" applyBorder="1" applyAlignment="1">
      <alignment wrapText="1"/>
    </xf>
    <xf numFmtId="0" fontId="44" fillId="44" borderId="33" xfId="0" applyFont="1" applyFill="1" applyBorder="1" applyAlignment="1">
      <alignment wrapText="1"/>
    </xf>
    <xf numFmtId="174" fontId="44" fillId="44" borderId="33" xfId="0" applyNumberFormat="1" applyFont="1" applyFill="1" applyBorder="1" applyAlignment="1">
      <alignment wrapText="1"/>
    </xf>
    <xf numFmtId="0" fontId="43" fillId="44" borderId="33" xfId="0" applyFont="1" applyFill="1" applyBorder="1" applyAlignment="1">
      <alignment wrapText="1"/>
    </xf>
    <xf numFmtId="0" fontId="102" fillId="44" borderId="33" xfId="0" applyFont="1" applyFill="1" applyBorder="1" applyAlignment="1">
      <alignment wrapText="1"/>
    </xf>
    <xf numFmtId="0" fontId="45" fillId="44" borderId="33" xfId="0" applyFont="1" applyFill="1" applyBorder="1" applyAlignment="1">
      <alignment wrapText="1"/>
    </xf>
    <xf numFmtId="0" fontId="119" fillId="44" borderId="33" xfId="0" applyFont="1" applyFill="1" applyBorder="1" applyAlignment="1">
      <alignment wrapText="1"/>
    </xf>
    <xf numFmtId="209" fontId="101" fillId="22" borderId="14" xfId="0" applyNumberFormat="1" applyFont="1" applyFill="1" applyBorder="1" applyAlignment="1">
      <alignment horizontal="centerContinuous"/>
    </xf>
    <xf numFmtId="209" fontId="101" fillId="22" borderId="95" xfId="0" applyNumberFormat="1" applyFont="1" applyFill="1" applyBorder="1" applyAlignment="1">
      <alignment horizontal="centerContinuous"/>
    </xf>
    <xf numFmtId="209" fontId="101" fillId="22" borderId="72" xfId="0" applyNumberFormat="1" applyFont="1" applyFill="1" applyBorder="1" applyAlignment="1">
      <alignment horizontal="centerContinuous"/>
    </xf>
    <xf numFmtId="209" fontId="101" fillId="22" borderId="75" xfId="0" applyNumberFormat="1" applyFont="1" applyFill="1" applyBorder="1" applyAlignment="1">
      <alignment horizontal="centerContinuous"/>
    </xf>
    <xf numFmtId="209" fontId="101" fillId="22" borderId="96" xfId="0" applyNumberFormat="1" applyFont="1" applyFill="1" applyBorder="1" applyAlignment="1">
      <alignment horizontal="centerContinuous"/>
    </xf>
    <xf numFmtId="0" fontId="43" fillId="0" borderId="9" xfId="0" applyFont="1" applyBorder="1" applyAlignment="1">
      <alignment horizontal="left" indent="1"/>
    </xf>
    <xf numFmtId="223" fontId="44" fillId="23" borderId="97" xfId="155" applyNumberFormat="1" applyFont="1" applyBorder="1"/>
    <xf numFmtId="174" fontId="46" fillId="0" borderId="5" xfId="0" applyNumberFormat="1" applyFont="1" applyBorder="1"/>
    <xf numFmtId="0" fontId="44" fillId="0" borderId="4" xfId="0" quotePrefix="1" applyFont="1" applyBorder="1"/>
    <xf numFmtId="0" fontId="43" fillId="0" borderId="4" xfId="0" quotePrefix="1" applyFont="1" applyBorder="1" applyAlignment="1">
      <alignment horizontal="left" indent="1"/>
    </xf>
    <xf numFmtId="174" fontId="43" fillId="0" borderId="6" xfId="0" applyNumberFormat="1" applyFont="1" applyBorder="1"/>
    <xf numFmtId="0" fontId="44" fillId="0" borderId="4" xfId="0" applyFont="1" applyBorder="1" applyAlignment="1">
      <alignment horizontal="left" indent="1"/>
    </xf>
    <xf numFmtId="229" fontId="43" fillId="0" borderId="21" xfId="0" applyNumberFormat="1" applyFont="1" applyBorder="1"/>
    <xf numFmtId="229" fontId="43" fillId="0" borderId="22" xfId="0" applyNumberFormat="1" applyFont="1" applyBorder="1"/>
    <xf numFmtId="0" fontId="44" fillId="0" borderId="5" xfId="0" applyFont="1" applyBorder="1" applyAlignment="1">
      <alignment horizontal="right"/>
    </xf>
    <xf numFmtId="0" fontId="138" fillId="0" borderId="0" xfId="0" applyFont="1"/>
    <xf numFmtId="3" fontId="139" fillId="37" borderId="0" xfId="0" applyNumberFormat="1" applyFont="1" applyFill="1" applyAlignment="1">
      <alignment horizontal="right" wrapText="1"/>
    </xf>
    <xf numFmtId="3" fontId="140" fillId="0" borderId="0" xfId="0" applyNumberFormat="1" applyFont="1"/>
    <xf numFmtId="230" fontId="44" fillId="0" borderId="0" xfId="0" applyNumberFormat="1" applyFont="1"/>
    <xf numFmtId="3" fontId="138" fillId="0" borderId="0" xfId="0" applyNumberFormat="1" applyFont="1"/>
    <xf numFmtId="223" fontId="44" fillId="2" borderId="0" xfId="0" applyNumberFormat="1" applyFont="1" applyFill="1" applyAlignment="1">
      <alignment horizontal="right" wrapText="1"/>
    </xf>
    <xf numFmtId="174" fontId="44" fillId="2" borderId="0" xfId="0" applyNumberFormat="1" applyFont="1" applyFill="1" applyAlignment="1">
      <alignment horizontal="right" wrapText="1"/>
    </xf>
    <xf numFmtId="221" fontId="46" fillId="0" borderId="0" xfId="0" applyNumberFormat="1" applyFont="1"/>
    <xf numFmtId="171" fontId="24" fillId="21" borderId="5" xfId="3" applyFont="1" applyFill="1" applyBorder="1"/>
    <xf numFmtId="37" fontId="5" fillId="21" borderId="5" xfId="3" applyNumberFormat="1" applyFont="1" applyFill="1" applyBorder="1"/>
    <xf numFmtId="171" fontId="5" fillId="21" borderId="5" xfId="7" applyFont="1" applyFill="1" applyBorder="1"/>
    <xf numFmtId="171" fontId="15" fillId="21" borderId="5" xfId="2" applyFont="1" applyFill="1" applyBorder="1"/>
    <xf numFmtId="171" fontId="24" fillId="21" borderId="15" xfId="3" applyFont="1" applyFill="1" applyBorder="1" applyAlignment="1">
      <alignment horizontal="right"/>
    </xf>
    <xf numFmtId="171" fontId="25" fillId="0" borderId="5" xfId="3" applyFont="1" applyBorder="1" applyAlignment="1">
      <alignment horizontal="left"/>
    </xf>
    <xf numFmtId="171" fontId="16" fillId="0" borderId="98" xfId="3" applyFont="1" applyBorder="1"/>
    <xf numFmtId="171" fontId="2" fillId="0" borderId="5" xfId="7" applyFont="1" applyBorder="1"/>
    <xf numFmtId="173" fontId="18" fillId="0" borderId="5" xfId="7" applyNumberFormat="1" applyFont="1" applyBorder="1" applyAlignment="1">
      <alignment horizontal="right"/>
    </xf>
    <xf numFmtId="171" fontId="16" fillId="0" borderId="5" xfId="3" applyFont="1" applyBorder="1"/>
    <xf numFmtId="171" fontId="2" fillId="0" borderId="15" xfId="3" applyFont="1" applyBorder="1"/>
    <xf numFmtId="173" fontId="21" fillId="0" borderId="6" xfId="7" applyNumberFormat="1" applyFont="1" applyBorder="1" applyAlignment="1">
      <alignment horizontal="right"/>
    </xf>
    <xf numFmtId="174" fontId="19" fillId="0" borderId="14" xfId="0" applyNumberFormat="1" applyFont="1" applyBorder="1"/>
    <xf numFmtId="174" fontId="19" fillId="0" borderId="4" xfId="0" applyNumberFormat="1" applyFont="1" applyBorder="1"/>
    <xf numFmtId="224" fontId="36" fillId="0" borderId="4" xfId="0" applyNumberFormat="1" applyFont="1" applyBorder="1"/>
    <xf numFmtId="174" fontId="26" fillId="0" borderId="4" xfId="0" applyNumberFormat="1" applyFont="1" applyBorder="1"/>
    <xf numFmtId="174" fontId="11" fillId="0" borderId="8" xfId="0" applyNumberFormat="1" applyFont="1" applyBorder="1"/>
    <xf numFmtId="174" fontId="114" fillId="0" borderId="0" xfId="0" applyNumberFormat="1" applyFont="1"/>
    <xf numFmtId="174" fontId="44" fillId="33" borderId="0" xfId="0" applyNumberFormat="1" applyFont="1" applyFill="1"/>
    <xf numFmtId="174" fontId="43" fillId="33" borderId="0" xfId="0" applyNumberFormat="1" applyFont="1" applyFill="1"/>
    <xf numFmtId="174" fontId="44" fillId="33" borderId="9" xfId="0" applyNumberFormat="1" applyFont="1" applyFill="1" applyBorder="1"/>
    <xf numFmtId="174" fontId="102" fillId="0" borderId="0" xfId="0" applyNumberFormat="1" applyFont="1" applyAlignment="1">
      <alignment horizontal="left"/>
    </xf>
    <xf numFmtId="174" fontId="142" fillId="0" borderId="0" xfId="0" applyNumberFormat="1" applyFont="1"/>
    <xf numFmtId="0" fontId="44" fillId="3" borderId="92" xfId="0" applyFont="1" applyFill="1" applyBorder="1" applyAlignment="1">
      <alignment horizontal="center"/>
    </xf>
    <xf numFmtId="210" fontId="44" fillId="0" borderId="0" xfId="0" applyNumberFormat="1" applyFont="1"/>
    <xf numFmtId="173" fontId="50" fillId="0" borderId="0" xfId="7" applyNumberFormat="1" applyFont="1" applyAlignment="1">
      <alignment horizontal="left"/>
    </xf>
    <xf numFmtId="213" fontId="143" fillId="22" borderId="43" xfId="0" applyNumberFormat="1" applyFont="1" applyFill="1" applyBorder="1" applyAlignment="1">
      <alignment horizontal="centerContinuous"/>
    </xf>
    <xf numFmtId="207" fontId="102" fillId="3" borderId="42" xfId="0" applyNumberFormat="1" applyFont="1" applyFill="1" applyBorder="1" applyAlignment="1">
      <alignment horizontal="centerContinuous"/>
    </xf>
    <xf numFmtId="1" fontId="44" fillId="42" borderId="0" xfId="0" applyNumberFormat="1" applyFont="1" applyFill="1" applyAlignment="1">
      <alignment horizontal="center"/>
    </xf>
    <xf numFmtId="0" fontId="49" fillId="0" borderId="0" xfId="0" applyFont="1" applyAlignment="1">
      <alignment horizontal="left" indent="1"/>
    </xf>
    <xf numFmtId="174" fontId="114" fillId="0" borderId="0" xfId="0" applyNumberFormat="1" applyFont="1" applyAlignment="1">
      <alignment horizontal="left" indent="1"/>
    </xf>
    <xf numFmtId="0" fontId="102" fillId="0" borderId="0" xfId="0" applyFont="1" applyAlignment="1">
      <alignment horizontal="right"/>
    </xf>
    <xf numFmtId="176" fontId="43" fillId="28" borderId="0" xfId="164" applyNumberFormat="1" applyFont="1" applyFill="1" applyBorder="1"/>
    <xf numFmtId="169" fontId="50" fillId="23" borderId="99" xfId="1" applyFont="1" applyFill="1" applyBorder="1"/>
    <xf numFmtId="169" fontId="50" fillId="23" borderId="46" xfId="1" applyFont="1" applyFill="1" applyBorder="1"/>
    <xf numFmtId="169" fontId="50" fillId="23" borderId="57" xfId="1" applyFont="1" applyFill="1" applyBorder="1"/>
    <xf numFmtId="10" fontId="2" fillId="0" borderId="0" xfId="164" applyNumberFormat="1" applyFont="1"/>
    <xf numFmtId="10" fontId="2" fillId="0" borderId="0" xfId="164" applyNumberFormat="1" applyFont="1" applyAlignment="1">
      <alignment horizontal="right"/>
    </xf>
    <xf numFmtId="171" fontId="11" fillId="0" borderId="0" xfId="2" applyFont="1" applyAlignment="1">
      <alignment horizontal="left"/>
    </xf>
    <xf numFmtId="171" fontId="144" fillId="0" borderId="0" xfId="2" applyFont="1"/>
    <xf numFmtId="37" fontId="22" fillId="0" borderId="0" xfId="3" applyNumberFormat="1" applyFont="1"/>
    <xf numFmtId="183" fontId="2" fillId="0" borderId="9" xfId="165" applyNumberFormat="1" applyFont="1" applyFill="1" applyBorder="1"/>
    <xf numFmtId="178" fontId="18" fillId="0" borderId="4" xfId="3" applyNumberFormat="1" applyFont="1" applyBorder="1"/>
    <xf numFmtId="174" fontId="44" fillId="0" borderId="9" xfId="0" applyNumberFormat="1" applyFont="1" applyBorder="1" applyAlignment="1">
      <alignment horizontal="center"/>
    </xf>
    <xf numFmtId="0" fontId="145" fillId="0" borderId="0" xfId="0" applyFont="1" applyAlignment="1">
      <alignment horizontal="right" vertical="center" wrapText="1"/>
    </xf>
    <xf numFmtId="174" fontId="48" fillId="23" borderId="57" xfId="155" applyNumberFormat="1" applyFont="1" applyBorder="1"/>
    <xf numFmtId="174" fontId="43" fillId="0" borderId="100" xfId="0" applyNumberFormat="1" applyFont="1" applyBorder="1"/>
    <xf numFmtId="174" fontId="43" fillId="0" borderId="101" xfId="0" applyNumberFormat="1" applyFont="1" applyBorder="1"/>
    <xf numFmtId="223" fontId="45" fillId="0" borderId="6" xfId="0" applyNumberFormat="1" applyFont="1" applyBorder="1"/>
    <xf numFmtId="223" fontId="45" fillId="23" borderId="46" xfId="155" applyNumberFormat="1" applyFont="1"/>
    <xf numFmtId="223" fontId="45" fillId="23" borderId="57" xfId="155" applyNumberFormat="1" applyFont="1" applyBorder="1"/>
    <xf numFmtId="223" fontId="49" fillId="0" borderId="100" xfId="0" applyNumberFormat="1" applyFont="1" applyBorder="1"/>
    <xf numFmtId="223" fontId="49" fillId="0" borderId="101" xfId="0" applyNumberFormat="1" applyFont="1" applyBorder="1"/>
    <xf numFmtId="180" fontId="114" fillId="27" borderId="100" xfId="0" applyNumberFormat="1" applyFont="1" applyFill="1" applyBorder="1"/>
    <xf numFmtId="223" fontId="121" fillId="27" borderId="100" xfId="0" applyNumberFormat="1" applyFont="1" applyFill="1" applyBorder="1"/>
    <xf numFmtId="180" fontId="120" fillId="27" borderId="100" xfId="0" applyNumberFormat="1" applyFont="1" applyFill="1" applyBorder="1"/>
    <xf numFmtId="180" fontId="114" fillId="27" borderId="101" xfId="0" applyNumberFormat="1" applyFont="1" applyFill="1" applyBorder="1"/>
    <xf numFmtId="174" fontId="43" fillId="28" borderId="100" xfId="0" applyNumberFormat="1" applyFont="1" applyFill="1" applyBorder="1"/>
    <xf numFmtId="0" fontId="43" fillId="28" borderId="100" xfId="0" applyFont="1" applyFill="1" applyBorder="1"/>
    <xf numFmtId="174" fontId="43" fillId="28" borderId="101" xfId="0" applyNumberFormat="1" applyFont="1" applyFill="1" applyBorder="1"/>
    <xf numFmtId="223" fontId="108" fillId="23" borderId="46" xfId="155" applyNumberFormat="1" applyFont="1"/>
    <xf numFmtId="173" fontId="48" fillId="0" borderId="33" xfId="0" applyNumberFormat="1" applyFont="1" applyBorder="1"/>
    <xf numFmtId="173" fontId="48" fillId="0" borderId="0" xfId="0" applyNumberFormat="1" applyFont="1"/>
    <xf numFmtId="173" fontId="43" fillId="0" borderId="0" xfId="0" applyNumberFormat="1" applyFont="1"/>
    <xf numFmtId="180" fontId="48" fillId="26" borderId="0" xfId="0" applyNumberFormat="1" applyFont="1" applyFill="1"/>
    <xf numFmtId="0" fontId="118" fillId="33" borderId="0" xfId="0" applyFont="1" applyFill="1"/>
    <xf numFmtId="180" fontId="44" fillId="33" borderId="0" xfId="0" applyNumberFormat="1" applyFont="1" applyFill="1"/>
    <xf numFmtId="180" fontId="44" fillId="33" borderId="6" xfId="0" applyNumberFormat="1" applyFont="1" applyFill="1" applyBorder="1"/>
    <xf numFmtId="0" fontId="43" fillId="33" borderId="0" xfId="0" applyFont="1" applyFill="1" applyAlignment="1">
      <alignment horizontal="left" indent="1"/>
    </xf>
    <xf numFmtId="180" fontId="43" fillId="33" borderId="0" xfId="0" applyNumberFormat="1" applyFont="1" applyFill="1"/>
    <xf numFmtId="180" fontId="43" fillId="33" borderId="6" xfId="0" applyNumberFormat="1" applyFont="1" applyFill="1" applyBorder="1"/>
    <xf numFmtId="0" fontId="102" fillId="33" borderId="0" xfId="0" applyFont="1" applyFill="1"/>
    <xf numFmtId="180" fontId="102" fillId="33" borderId="0" xfId="0" applyNumberFormat="1" applyFont="1" applyFill="1"/>
    <xf numFmtId="174" fontId="102" fillId="33" borderId="0" xfId="0" applyNumberFormat="1" applyFont="1" applyFill="1"/>
    <xf numFmtId="0" fontId="44" fillId="45" borderId="27" xfId="0" applyFont="1" applyFill="1" applyBorder="1" applyAlignment="1">
      <alignment horizontal="center"/>
    </xf>
    <xf numFmtId="0" fontId="101" fillId="46" borderId="26" xfId="0" applyFont="1" applyFill="1" applyBorder="1" applyAlignment="1">
      <alignment horizontal="center"/>
    </xf>
    <xf numFmtId="0" fontId="0" fillId="0" borderId="0" xfId="0" applyAlignment="1">
      <alignment vertical="center"/>
    </xf>
    <xf numFmtId="214" fontId="101" fillId="22" borderId="43" xfId="0" applyNumberFormat="1" applyFont="1" applyFill="1" applyBorder="1" applyAlignment="1">
      <alignment horizontal="centerContinuous" vertical="center"/>
    </xf>
    <xf numFmtId="214" fontId="101" fillId="22" borderId="43" xfId="0" applyNumberFormat="1" applyFont="1" applyFill="1" applyBorder="1" applyAlignment="1">
      <alignment horizontal="center" vertical="center"/>
    </xf>
    <xf numFmtId="207" fontId="44" fillId="3" borderId="42" xfId="0" applyNumberFormat="1" applyFont="1" applyFill="1" applyBorder="1" applyAlignment="1">
      <alignment horizontal="center" vertical="center"/>
    </xf>
    <xf numFmtId="207" fontId="43" fillId="3" borderId="42" xfId="0" applyNumberFormat="1" applyFont="1" applyFill="1" applyBorder="1" applyAlignment="1">
      <alignment horizontal="center" vertical="center"/>
    </xf>
    <xf numFmtId="207" fontId="43" fillId="3" borderId="43" xfId="0" applyNumberFormat="1" applyFont="1" applyFill="1" applyBorder="1" applyAlignment="1">
      <alignment horizontal="center" vertical="center"/>
    </xf>
    <xf numFmtId="0" fontId="146" fillId="0" borderId="0" xfId="0" applyFont="1"/>
    <xf numFmtId="0" fontId="38" fillId="0" borderId="8" xfId="0" applyFont="1" applyBorder="1"/>
    <xf numFmtId="224" fontId="45" fillId="0" borderId="9" xfId="0" applyNumberFormat="1" applyFont="1" applyBorder="1"/>
    <xf numFmtId="0" fontId="104" fillId="0" borderId="9" xfId="0" applyFont="1" applyBorder="1"/>
    <xf numFmtId="224" fontId="45" fillId="0" borderId="10" xfId="0" applyNumberFormat="1" applyFont="1" applyBorder="1"/>
    <xf numFmtId="0" fontId="130" fillId="0" borderId="0" xfId="0" applyFont="1" applyAlignment="1">
      <alignment horizontal="center" vertical="top" wrapText="1"/>
    </xf>
    <xf numFmtId="211" fontId="101" fillId="22" borderId="47" xfId="0" applyNumberFormat="1" applyFont="1" applyFill="1" applyBorder="1" applyAlignment="1">
      <alignment horizontal="center"/>
    </xf>
    <xf numFmtId="211" fontId="101" fillId="22" borderId="49" xfId="0" applyNumberFormat="1" applyFont="1" applyFill="1" applyBorder="1" applyAlignment="1">
      <alignment horizontal="center"/>
    </xf>
    <xf numFmtId="214" fontId="101" fillId="22" borderId="47" xfId="0" applyNumberFormat="1" applyFont="1" applyFill="1" applyBorder="1" applyAlignment="1">
      <alignment horizontal="center"/>
    </xf>
    <xf numFmtId="214" fontId="101" fillId="22" borderId="49" xfId="0" applyNumberFormat="1" applyFont="1" applyFill="1" applyBorder="1" applyAlignment="1">
      <alignment horizontal="center"/>
    </xf>
    <xf numFmtId="210" fontId="101" fillId="22" borderId="47" xfId="0" applyNumberFormat="1" applyFont="1" applyFill="1" applyBorder="1" applyAlignment="1">
      <alignment horizontal="center"/>
    </xf>
    <xf numFmtId="210" fontId="101" fillId="22" borderId="49" xfId="0" applyNumberFormat="1" applyFont="1" applyFill="1" applyBorder="1" applyAlignment="1">
      <alignment horizontal="center"/>
    </xf>
    <xf numFmtId="214" fontId="101" fillId="22" borderId="86" xfId="0" applyNumberFormat="1" applyFont="1" applyFill="1" applyBorder="1" applyAlignment="1">
      <alignment horizontal="center"/>
    </xf>
    <xf numFmtId="214" fontId="101" fillId="22" borderId="70" xfId="0" applyNumberFormat="1" applyFont="1" applyFill="1" applyBorder="1" applyAlignment="1">
      <alignment horizontal="center"/>
    </xf>
    <xf numFmtId="214" fontId="101" fillId="22" borderId="82" xfId="0" applyNumberFormat="1" applyFont="1" applyFill="1" applyBorder="1" applyAlignment="1">
      <alignment horizontal="center"/>
    </xf>
    <xf numFmtId="214" fontId="101" fillId="22" borderId="89" xfId="0" applyNumberFormat="1" applyFont="1" applyFill="1" applyBorder="1" applyAlignment="1">
      <alignment horizontal="center"/>
    </xf>
    <xf numFmtId="214" fontId="101" fillId="22" borderId="48" xfId="0" applyNumberFormat="1" applyFont="1" applyFill="1" applyBorder="1" applyAlignment="1">
      <alignment horizontal="center"/>
    </xf>
    <xf numFmtId="213" fontId="101" fillId="22" borderId="43" xfId="0" applyNumberFormat="1" applyFont="1" applyFill="1" applyBorder="1" applyAlignment="1">
      <alignment horizontal="center" vertical="center"/>
    </xf>
    <xf numFmtId="213" fontId="101" fillId="22" borderId="53" xfId="0" applyNumberFormat="1" applyFont="1" applyFill="1" applyBorder="1" applyAlignment="1">
      <alignment horizontal="center" vertical="center"/>
    </xf>
    <xf numFmtId="214" fontId="101" fillId="22" borderId="43" xfId="0" applyNumberFormat="1" applyFont="1" applyFill="1" applyBorder="1" applyAlignment="1">
      <alignment horizontal="center" vertical="center"/>
    </xf>
    <xf numFmtId="214" fontId="101" fillId="22" borderId="44" xfId="0" applyNumberFormat="1" applyFont="1" applyFill="1" applyBorder="1" applyAlignment="1">
      <alignment horizontal="center" vertical="center"/>
    </xf>
  </cellXfs>
  <cellStyles count="166">
    <cellStyle name="_x000a_386grabber=M" xfId="18" xr:uid="{00000000-0005-0000-0000-000000000000}"/>
    <cellStyle name="%" xfId="19" xr:uid="{00000000-0005-0000-0000-000001000000}"/>
    <cellStyle name="?Q\?1@" xfId="20" xr:uid="{00000000-0005-0000-0000-000002000000}"/>
    <cellStyle name="_DB Model_DOV" xfId="21" xr:uid="{00000000-0005-0000-0000-000003000000}"/>
    <cellStyle name="_DB Model_ETN" xfId="22" xr:uid="{00000000-0005-0000-0000-000004000000}"/>
    <cellStyle name="_DB Model_HON" xfId="23" xr:uid="{00000000-0005-0000-0000-000005000000}"/>
    <cellStyle name="_DB Model_IR" xfId="24" xr:uid="{00000000-0005-0000-0000-000006000000}"/>
    <cellStyle name="_Multi Industry variance analysis 3Q07" xfId="25" xr:uid="{00000000-0005-0000-0000-000007000000}"/>
    <cellStyle name="_Quarterly Analysis" xfId="26" xr:uid="{00000000-0005-0000-0000-000008000000}"/>
    <cellStyle name="_SOTP" xfId="27" xr:uid="{00000000-0005-0000-0000-000009000000}"/>
    <cellStyle name="_Tyco_29 May 2007" xfId="28" xr:uid="{00000000-0005-0000-0000-00000A000000}"/>
    <cellStyle name="1st indent" xfId="29" xr:uid="{00000000-0005-0000-0000-00000B000000}"/>
    <cellStyle name="2nd indent" xfId="30" xr:uid="{00000000-0005-0000-0000-00000C000000}"/>
    <cellStyle name="2underline" xfId="31" xr:uid="{00000000-0005-0000-0000-00000D000000}"/>
    <cellStyle name="A_Block Space" xfId="32" xr:uid="{00000000-0005-0000-0000-00000E000000}"/>
    <cellStyle name="A_BlueLine" xfId="33" xr:uid="{00000000-0005-0000-0000-00000F000000}"/>
    <cellStyle name="A_Do not Change" xfId="34" xr:uid="{00000000-0005-0000-0000-000010000000}"/>
    <cellStyle name="A_Estimate" xfId="35" xr:uid="{00000000-0005-0000-0000-000011000000}"/>
    <cellStyle name="A_Memo" xfId="36" xr:uid="{00000000-0005-0000-0000-000012000000}"/>
    <cellStyle name="A_Normal" xfId="37" xr:uid="{00000000-0005-0000-0000-000013000000}"/>
    <cellStyle name="A_Normal Forecast" xfId="38" xr:uid="{00000000-0005-0000-0000-000014000000}"/>
    <cellStyle name="A_Normal Historical" xfId="39" xr:uid="{00000000-0005-0000-0000-000015000000}"/>
    <cellStyle name="A_Rate_Data" xfId="40" xr:uid="{00000000-0005-0000-0000-000016000000}"/>
    <cellStyle name="A_Rate_Data Historical" xfId="41" xr:uid="{00000000-0005-0000-0000-000017000000}"/>
    <cellStyle name="A_Rate_Title" xfId="42" xr:uid="{00000000-0005-0000-0000-000018000000}"/>
    <cellStyle name="A_Simple Title" xfId="43" xr:uid="{00000000-0005-0000-0000-000019000000}"/>
    <cellStyle name="A_Sum" xfId="44" xr:uid="{00000000-0005-0000-0000-00001A000000}"/>
    <cellStyle name="A_SUM_Row Major" xfId="45" xr:uid="{00000000-0005-0000-0000-00001B000000}"/>
    <cellStyle name="A_SUM_Row Minor" xfId="46" xr:uid="{00000000-0005-0000-0000-00001C000000}"/>
    <cellStyle name="A_Title" xfId="47" xr:uid="{00000000-0005-0000-0000-00001D000000}"/>
    <cellStyle name="A_YearHeadings" xfId="48" xr:uid="{00000000-0005-0000-0000-00001E000000}"/>
    <cellStyle name="AFE" xfId="49" xr:uid="{00000000-0005-0000-0000-00001F000000}"/>
    <cellStyle name="Agara" xfId="50" xr:uid="{00000000-0005-0000-0000-000020000000}"/>
    <cellStyle name="ArialNormal" xfId="51" xr:uid="{00000000-0005-0000-0000-000021000000}"/>
    <cellStyle name="blp_column_header" xfId="156" xr:uid="{00000000-0005-0000-0000-000022000000}"/>
    <cellStyle name="Border_Current" xfId="52" xr:uid="{00000000-0005-0000-0000-000023000000}"/>
    <cellStyle name="Comma" xfId="165" builtinId="3"/>
    <cellStyle name="Comma  - Style1" xfId="53" xr:uid="{00000000-0005-0000-0000-000025000000}"/>
    <cellStyle name="Comma 0" xfId="54" xr:uid="{00000000-0005-0000-0000-000026000000}"/>
    <cellStyle name="Comma 18" xfId="4" xr:uid="{00000000-0005-0000-0000-000027000000}"/>
    <cellStyle name="Comma 2" xfId="55" xr:uid="{00000000-0005-0000-0000-000028000000}"/>
    <cellStyle name="Curren - Style3" xfId="56" xr:uid="{00000000-0005-0000-0000-000029000000}"/>
    <cellStyle name="Curren - Style4" xfId="57" xr:uid="{00000000-0005-0000-0000-00002A000000}"/>
    <cellStyle name="Currency" xfId="1" builtinId="4"/>
    <cellStyle name="Currency 0" xfId="58" xr:uid="{00000000-0005-0000-0000-00002C000000}"/>
    <cellStyle name="Currency 2" xfId="59" xr:uid="{00000000-0005-0000-0000-00002D000000}"/>
    <cellStyle name="Date" xfId="60" xr:uid="{00000000-0005-0000-0000-00002E000000}"/>
    <cellStyle name="Date Aligned" xfId="61" xr:uid="{00000000-0005-0000-0000-00002F000000}"/>
    <cellStyle name="Date_Acquisitions" xfId="62" xr:uid="{00000000-0005-0000-0000-000030000000}"/>
    <cellStyle name="Dates" xfId="63" xr:uid="{00000000-0005-0000-0000-000031000000}"/>
    <cellStyle name="Dec_0" xfId="64" xr:uid="{00000000-0005-0000-0000-000032000000}"/>
    <cellStyle name="Dezimal [0]_Ergebnis" xfId="65" xr:uid="{00000000-0005-0000-0000-000033000000}"/>
    <cellStyle name="Dezimal_Ergebnis" xfId="66" xr:uid="{00000000-0005-0000-0000-000034000000}"/>
    <cellStyle name="Dotted Line" xfId="67" xr:uid="{00000000-0005-0000-0000-000035000000}"/>
    <cellStyle name="Download" xfId="68" xr:uid="{00000000-0005-0000-0000-000036000000}"/>
    <cellStyle name="Entry" xfId="69" xr:uid="{00000000-0005-0000-0000-000037000000}"/>
    <cellStyle name="EPS" xfId="70" xr:uid="{00000000-0005-0000-0000-000038000000}"/>
    <cellStyle name="Euro" xfId="71" xr:uid="{00000000-0005-0000-0000-000039000000}"/>
    <cellStyle name="ExchRate" xfId="72" xr:uid="{00000000-0005-0000-0000-00003A000000}"/>
    <cellStyle name="fa_column_header_bottom" xfId="157" xr:uid="{00000000-0005-0000-0000-00003B000000}"/>
    <cellStyle name="Financial" xfId="73" xr:uid="{00000000-0005-0000-0000-00003C000000}"/>
    <cellStyle name="Font_Actual" xfId="74" xr:uid="{00000000-0005-0000-0000-00003D000000}"/>
    <cellStyle name="Footnote" xfId="75" xr:uid="{00000000-0005-0000-0000-00003E000000}"/>
    <cellStyle name="Fyear" xfId="76" xr:uid="{00000000-0005-0000-0000-00003F000000}"/>
    <cellStyle name="Gilsans" xfId="77" xr:uid="{00000000-0005-0000-0000-000040000000}"/>
    <cellStyle name="Gilsansl" xfId="78" xr:uid="{00000000-0005-0000-0000-000041000000}"/>
    <cellStyle name="Grey" xfId="79" xr:uid="{00000000-0005-0000-0000-000042000000}"/>
    <cellStyle name="Hard Percent" xfId="80" xr:uid="{00000000-0005-0000-0000-000043000000}"/>
    <cellStyle name="Head 1" xfId="81" xr:uid="{00000000-0005-0000-0000-000044000000}"/>
    <cellStyle name="Head 2" xfId="82" xr:uid="{00000000-0005-0000-0000-000045000000}"/>
    <cellStyle name="Head 3" xfId="83" xr:uid="{00000000-0005-0000-0000-000046000000}"/>
    <cellStyle name="Header" xfId="84" xr:uid="{00000000-0005-0000-0000-000047000000}"/>
    <cellStyle name="Header1" xfId="85" xr:uid="{00000000-0005-0000-0000-000048000000}"/>
    <cellStyle name="Header2" xfId="86" xr:uid="{00000000-0005-0000-0000-000049000000}"/>
    <cellStyle name="heading" xfId="87" xr:uid="{00000000-0005-0000-0000-00004A000000}"/>
    <cellStyle name="Heading1" xfId="88" xr:uid="{00000000-0005-0000-0000-00004B000000}"/>
    <cellStyle name="Heading2" xfId="89" xr:uid="{00000000-0005-0000-0000-00004C000000}"/>
    <cellStyle name="Hyperlink" xfId="163" builtinId="8"/>
    <cellStyle name="Hyperlink 2" xfId="149" xr:uid="{00000000-0005-0000-0000-00004D000000}"/>
    <cellStyle name="Hyperlink 2 4" xfId="5" xr:uid="{00000000-0005-0000-0000-00004E000000}"/>
    <cellStyle name="Input [yellow]" xfId="90" xr:uid="{00000000-0005-0000-0000-00004F000000}"/>
    <cellStyle name="Invisible" xfId="158" xr:uid="{00000000-0005-0000-0000-000050000000}"/>
    <cellStyle name="Milliers [0]_AMP" xfId="91" xr:uid="{00000000-0005-0000-0000-000051000000}"/>
    <cellStyle name="Milliers_AMP" xfId="92" xr:uid="{00000000-0005-0000-0000-000052000000}"/>
    <cellStyle name="Monétaire [0]_AMP" xfId="93" xr:uid="{00000000-0005-0000-0000-000053000000}"/>
    <cellStyle name="Monétaire_AMP" xfId="94" xr:uid="{00000000-0005-0000-0000-000054000000}"/>
    <cellStyle name="Multiple" xfId="95" xr:uid="{00000000-0005-0000-0000-000055000000}"/>
    <cellStyle name="New" xfId="96" xr:uid="{00000000-0005-0000-0000-000056000000}"/>
    <cellStyle name="Normal" xfId="0" builtinId="0"/>
    <cellStyle name="Normal - Style1" xfId="97" xr:uid="{00000000-0005-0000-0000-000058000000}"/>
    <cellStyle name="Normal 13" xfId="147" xr:uid="{00000000-0005-0000-0000-000059000000}"/>
    <cellStyle name="Normal 2" xfId="98" xr:uid="{00000000-0005-0000-0000-00005A000000}"/>
    <cellStyle name="Normal 2 2" xfId="148" xr:uid="{00000000-0005-0000-0000-00005B000000}"/>
    <cellStyle name="Normal 2 2 2" xfId="154" xr:uid="{00000000-0005-0000-0000-00005C000000}"/>
    <cellStyle name="Normal 2 2 2 2" xfId="12" xr:uid="{00000000-0005-0000-0000-00005D000000}"/>
    <cellStyle name="Normal 2 2 3 3" xfId="3" xr:uid="{00000000-0005-0000-0000-00005E000000}"/>
    <cellStyle name="Normal 2 3" xfId="15" xr:uid="{00000000-0005-0000-0000-00005F000000}"/>
    <cellStyle name="Normal 2 3 5" xfId="16" xr:uid="{00000000-0005-0000-0000-000060000000}"/>
    <cellStyle name="Normal 2 3_RevVal" xfId="160" xr:uid="{00000000-0005-0000-0000-000061000000}"/>
    <cellStyle name="Normal 2 7" xfId="13" xr:uid="{00000000-0005-0000-0000-000062000000}"/>
    <cellStyle name="Normal 3" xfId="99" xr:uid="{00000000-0005-0000-0000-000063000000}"/>
    <cellStyle name="Normal 3 2" xfId="14" xr:uid="{00000000-0005-0000-0000-000064000000}"/>
    <cellStyle name="Normal 3 2 2" xfId="151" xr:uid="{00000000-0005-0000-0000-000065000000}"/>
    <cellStyle name="Normal 3 2 2 3" xfId="7" xr:uid="{00000000-0005-0000-0000-000066000000}"/>
    <cellStyle name="Normal 3 2 3 2" xfId="2" xr:uid="{00000000-0005-0000-0000-000067000000}"/>
    <cellStyle name="Normal 3 2_One Pager" xfId="159" xr:uid="{00000000-0005-0000-0000-000068000000}"/>
    <cellStyle name="Normal 3 9" xfId="11" xr:uid="{00000000-0005-0000-0000-00006A000000}"/>
    <cellStyle name="Normal 4" xfId="17" xr:uid="{00000000-0005-0000-0000-00006B000000}"/>
    <cellStyle name="Normal 4 2" xfId="146" xr:uid="{00000000-0005-0000-0000-00006C000000}"/>
    <cellStyle name="Normal 4 3" xfId="153" xr:uid="{00000000-0005-0000-0000-00006D000000}"/>
    <cellStyle name="Normal 4 3 4" xfId="8" xr:uid="{00000000-0005-0000-0000-00006E000000}"/>
    <cellStyle name="Normal 4 4" xfId="144" xr:uid="{00000000-0005-0000-0000-00006F000000}"/>
    <cellStyle name="Normal 4_RevVal" xfId="161" xr:uid="{00000000-0005-0000-0000-000070000000}"/>
    <cellStyle name="Normal 5" xfId="145" xr:uid="{00000000-0005-0000-0000-000071000000}"/>
    <cellStyle name="Normal 55" xfId="9" xr:uid="{00000000-0005-0000-0000-000072000000}"/>
    <cellStyle name="Normal 6" xfId="162" xr:uid="{77230399-B92F-4192-9879-2ADE0CB7BD49}"/>
    <cellStyle name="Normal_Freescale Semiconductor, Inc. (FSL) - Model New" xfId="10" xr:uid="{00000000-0005-0000-0000-000073000000}"/>
    <cellStyle name="Note" xfId="155" builtinId="10"/>
    <cellStyle name="Num_Date" xfId="100" xr:uid="{00000000-0005-0000-0000-000075000000}"/>
    <cellStyle name="Numbers" xfId="101" xr:uid="{00000000-0005-0000-0000-000076000000}"/>
    <cellStyle name="Numbers0" xfId="102" xr:uid="{00000000-0005-0000-0000-000077000000}"/>
    <cellStyle name="Numdec1" xfId="103" xr:uid="{00000000-0005-0000-0000-000078000000}"/>
    <cellStyle name="Numdec1bold" xfId="104" xr:uid="{00000000-0005-0000-0000-000079000000}"/>
    <cellStyle name="Page Number" xfId="105" xr:uid="{00000000-0005-0000-0000-00007A000000}"/>
    <cellStyle name="Pattern_Forecast" xfId="106" xr:uid="{00000000-0005-0000-0000-00007B000000}"/>
    <cellStyle name="Pctdec1itals" xfId="107" xr:uid="{00000000-0005-0000-0000-00007C000000}"/>
    <cellStyle name="Percent" xfId="164" builtinId="5"/>
    <cellStyle name="Percent [2]" xfId="108" xr:uid="{00000000-0005-0000-0000-00007D000000}"/>
    <cellStyle name="Percent 2" xfId="109" xr:uid="{00000000-0005-0000-0000-00007E000000}"/>
    <cellStyle name="Percent 2 2" xfId="150" xr:uid="{00000000-0005-0000-0000-00007F000000}"/>
    <cellStyle name="Percent 3" xfId="152" xr:uid="{00000000-0005-0000-0000-000080000000}"/>
    <cellStyle name="Percent 3 4" xfId="6" xr:uid="{00000000-0005-0000-0000-000081000000}"/>
    <cellStyle name="Percent 5" xfId="110" xr:uid="{00000000-0005-0000-0000-000082000000}"/>
    <cellStyle name="Percent1" xfId="111" xr:uid="{00000000-0005-0000-0000-000083000000}"/>
    <cellStyle name="Problem" xfId="112" xr:uid="{00000000-0005-0000-0000-000084000000}"/>
    <cellStyle name="RSSmall" xfId="113" xr:uid="{00000000-0005-0000-0000-000085000000}"/>
    <cellStyle name="RSTableHead" xfId="114" xr:uid="{00000000-0005-0000-0000-000086000000}"/>
    <cellStyle name="Share" xfId="115" xr:uid="{00000000-0005-0000-0000-000087000000}"/>
    <cellStyle name="Shares O/S" xfId="116" xr:uid="{00000000-0005-0000-0000-000088000000}"/>
    <cellStyle name="Source" xfId="117" xr:uid="{00000000-0005-0000-0000-000089000000}"/>
    <cellStyle name="Standard_BLUE" xfId="118" xr:uid="{00000000-0005-0000-0000-00008A000000}"/>
    <cellStyle name="Style 1" xfId="119" xr:uid="{00000000-0005-0000-0000-00008B000000}"/>
    <cellStyle name="Subheadbldun" xfId="120" xr:uid="{00000000-0005-0000-0000-00008C000000}"/>
    <cellStyle name="Table Head" xfId="121" xr:uid="{00000000-0005-0000-0000-00008D000000}"/>
    <cellStyle name="Table Head Aligned" xfId="122" xr:uid="{00000000-0005-0000-0000-00008E000000}"/>
    <cellStyle name="Table Head Blue" xfId="123" xr:uid="{00000000-0005-0000-0000-00008F000000}"/>
    <cellStyle name="Table Head Green" xfId="124" xr:uid="{00000000-0005-0000-0000-000090000000}"/>
    <cellStyle name="Table Title" xfId="125" xr:uid="{00000000-0005-0000-0000-000091000000}"/>
    <cellStyle name="Table Units" xfId="126" xr:uid="{00000000-0005-0000-0000-000092000000}"/>
    <cellStyle name="TableBody" xfId="127" xr:uid="{00000000-0005-0000-0000-000093000000}"/>
    <cellStyle name="TableBodyR" xfId="128" xr:uid="{00000000-0005-0000-0000-000094000000}"/>
    <cellStyle name="TableColHeads" xfId="129" xr:uid="{00000000-0005-0000-0000-000095000000}"/>
    <cellStyle name="Times New Roman" xfId="130" xr:uid="{00000000-0005-0000-0000-000096000000}"/>
    <cellStyle name="TOGGLEOFF" xfId="131" xr:uid="{00000000-0005-0000-0000-000097000000}"/>
    <cellStyle name="TOGGLEON" xfId="132" xr:uid="{00000000-0005-0000-0000-000098000000}"/>
    <cellStyle name="underline" xfId="133" xr:uid="{00000000-0005-0000-0000-000099000000}"/>
    <cellStyle name="underline(2)" xfId="134" xr:uid="{00000000-0005-0000-0000-00009A000000}"/>
    <cellStyle name="underline_2Q09 Results" xfId="135" xr:uid="{00000000-0005-0000-0000-00009B000000}"/>
    <cellStyle name="underlined(2)" xfId="136" xr:uid="{00000000-0005-0000-0000-00009C000000}"/>
    <cellStyle name="units" xfId="137" xr:uid="{00000000-0005-0000-0000-00009D000000}"/>
    <cellStyle name="Upload Only" xfId="138" xr:uid="{00000000-0005-0000-0000-00009E000000}"/>
    <cellStyle name="Validation" xfId="139" xr:uid="{00000000-0005-0000-0000-00009F000000}"/>
    <cellStyle name="Vpershare" xfId="140" xr:uid="{00000000-0005-0000-0000-0000A0000000}"/>
    <cellStyle name="Vstandard" xfId="141" xr:uid="{00000000-0005-0000-0000-0000A1000000}"/>
    <cellStyle name="Währung [0]_Ergebnis" xfId="142" xr:uid="{00000000-0005-0000-0000-0000A2000000}"/>
    <cellStyle name="Währung_Ergebnis" xfId="143" xr:uid="{00000000-0005-0000-0000-0000A3000000}"/>
  </cellStyles>
  <dxfs count="179">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92D050"/>
        </patternFill>
      </fill>
    </dxf>
    <dxf>
      <fill>
        <patternFill>
          <bgColor rgb="FFFF4B47"/>
        </patternFill>
      </fill>
    </dxf>
    <dxf>
      <fill>
        <patternFill>
          <bgColor rgb="FFFF4B47"/>
        </patternFill>
      </fill>
    </dxf>
    <dxf>
      <fill>
        <patternFill>
          <bgColor rgb="FF92D050"/>
        </patternFill>
      </fill>
    </dxf>
    <dxf>
      <fill>
        <patternFill>
          <bgColor rgb="FFFF4B47"/>
        </patternFill>
      </fill>
    </dxf>
    <dxf>
      <fill>
        <patternFill>
          <bgColor rgb="FF92D050"/>
        </patternFill>
      </fill>
    </dxf>
    <dxf>
      <fill>
        <patternFill>
          <bgColor rgb="FFFF4B47"/>
        </patternFill>
      </fill>
    </dxf>
    <dxf>
      <fill>
        <patternFill>
          <bgColor rgb="FF92D050"/>
        </patternFill>
      </fill>
    </dxf>
    <dxf>
      <numFmt numFmtId="165" formatCode="&quot;$&quot;#,##0_);[Red]\(&quot;$&quot;#,##0\)"/>
    </dxf>
    <dxf>
      <numFmt numFmtId="13" formatCode="0%"/>
    </dxf>
    <dxf>
      <numFmt numFmtId="165" formatCode="&quot;$&quot;#,##0_);[Red]\(&quot;$&quot;#,##0\)"/>
    </dxf>
    <dxf>
      <numFmt numFmtId="13" formatCode="0%"/>
    </dxf>
    <dxf>
      <numFmt numFmtId="165" formatCode="&quot;$&quot;#,##0_);[Red]\(&quot;$&quot;#,##0\)"/>
    </dxf>
    <dxf>
      <numFmt numFmtId="3" formatCode="#,##0"/>
    </dxf>
    <dxf>
      <font>
        <b/>
        <i val="0"/>
        <strike val="0"/>
        <condense val="0"/>
        <extend val="0"/>
        <outline val="0"/>
        <shadow val="0"/>
        <u val="none"/>
        <vertAlign val="baseline"/>
        <sz val="11"/>
        <color indexed="9"/>
        <name val="Calibri"/>
        <family val="2"/>
        <scheme val="minor"/>
      </font>
      <fill>
        <patternFill patternType="solid">
          <fgColor indexed="64"/>
          <bgColor indexed="32"/>
        </patternFill>
      </fill>
      <alignment horizontal="general" vertical="bottom" textRotation="0" wrapText="1" indent="0" justifyLastLine="0" shrinkToFit="0" readingOrder="0"/>
    </dxf>
    <dxf>
      <numFmt numFmtId="180" formatCode="0.0%_);\(0.0%\)"/>
    </dxf>
    <dxf>
      <numFmt numFmtId="180" formatCode="0.0%_);\(0.0%\)"/>
    </dxf>
    <dxf>
      <numFmt numFmtId="180" formatCode="0.0%_);\(0.0%\)"/>
    </dxf>
    <dxf>
      <numFmt numFmtId="224" formatCode="\¢#,##0.00_);\(\¢#,##0.00\);\-\ "/>
    </dxf>
    <dxf>
      <numFmt numFmtId="224" formatCode="\¢#,##0.00_);\(\¢#,##0.00\);\-\ "/>
    </dxf>
    <dxf>
      <numFmt numFmtId="174" formatCode="#,##0.0_);\(#,##0.0\);\-\ "/>
    </dxf>
    <dxf>
      <numFmt numFmtId="224" formatCode="\¢#,##0.00_);\(\¢#,##0.00\);\-\ "/>
    </dxf>
    <dxf>
      <numFmt numFmtId="174" formatCode="#,##0.0_);\(#,##0.0\);\-\ "/>
    </dxf>
    <dxf>
      <numFmt numFmtId="223" formatCode="&quot;$&quot;#,##0.00_);\(&quot;$&quot;#,##0.00\);\-\ "/>
    </dxf>
    <dxf>
      <numFmt numFmtId="180" formatCode="0.0%_);\(0.0%\)"/>
    </dxf>
    <dxf>
      <numFmt numFmtId="180" formatCode="0.0%_);\(0.0%\)"/>
    </dxf>
    <dxf>
      <numFmt numFmtId="224" formatCode="\¢#,##0.00_);\(\¢#,##0.00\);\-\ "/>
    </dxf>
    <dxf>
      <numFmt numFmtId="180" formatCode="0.0%_);\(0.0%\)"/>
    </dxf>
    <dxf>
      <numFmt numFmtId="180" formatCode="0.0%_);\(0.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0"/>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0"/>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0"/>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0"/>
        <name val="Calibri"/>
        <family val="2"/>
        <scheme val="minor"/>
      </font>
      <numFmt numFmtId="174" formatCode="#,##0.0_);\(#,##0.0\);\-\ "/>
      <alignment horizontal="right" vertical="bottom" textRotation="0" wrapText="1" indent="0" justifyLastLine="0" shrinkToFit="0" readingOrder="0"/>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0"/>
        <name val="Calibri"/>
        <family val="2"/>
        <scheme val="minor"/>
      </font>
      <numFmt numFmtId="174" formatCode="#,##0.0_);\(#,##0.0\);\-\ "/>
    </dxf>
    <dxf>
      <font>
        <b val="0"/>
        <i val="0"/>
        <strike val="0"/>
        <condense val="0"/>
        <extend val="0"/>
        <outline val="0"/>
        <shadow val="0"/>
        <u val="none"/>
        <vertAlign val="baseline"/>
        <sz val="8"/>
        <color indexed="10"/>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0"/>
        <name val="Calibri"/>
        <family val="2"/>
        <scheme val="minor"/>
      </font>
      <numFmt numFmtId="174" formatCode="#,##0.0_);\(#,##0.0\);\-\ "/>
    </dxf>
    <dxf>
      <font>
        <b val="0"/>
        <i val="0"/>
        <strike val="0"/>
        <condense val="0"/>
        <extend val="0"/>
        <outline val="0"/>
        <shadow val="0"/>
        <u val="none"/>
        <vertAlign val="baseline"/>
        <sz val="8"/>
        <color indexed="10"/>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indexed="12"/>
        <name val="Calibri"/>
        <family val="2"/>
        <scheme val="minor"/>
      </font>
      <numFmt numFmtId="174" formatCode="#,##0.0_);\(#,##0.0\);\-\ "/>
    </dxf>
    <dxf>
      <font>
        <b val="0"/>
        <i val="0"/>
        <strike val="0"/>
        <condense val="0"/>
        <extend val="0"/>
        <outline val="0"/>
        <shadow val="0"/>
        <u val="none"/>
        <vertAlign val="baseline"/>
        <sz val="8"/>
        <color theme="1"/>
        <name val="Calibri"/>
        <family val="2"/>
        <scheme val="minor"/>
      </font>
      <numFmt numFmtId="207" formatCode="[$-409]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207" formatCode="[$-409]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207" formatCode="[$-409]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207" formatCode="[$-409]mmm\-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8"/>
        <color indexed="8"/>
        <name val="Calibri"/>
        <family val="2"/>
        <scheme val="minor"/>
      </font>
      <numFmt numFmtId="214" formatCode="&quot;FY&quot;\ #"/>
      <fill>
        <patternFill patternType="none">
          <fgColor indexed="64"/>
          <bgColor indexed="65"/>
        </patternFill>
      </fill>
      <alignment horizontal="centerContinuous" vertical="bottom" textRotation="0" wrapText="0" indent="0" justifyLastLine="0" shrinkToFit="0" readingOrder="0"/>
    </dxf>
    <dxf>
      <font>
        <color theme="4" tint="0.79998168889431442"/>
      </font>
      <border>
        <bottom style="thin">
          <color theme="4"/>
        </bottom>
        <vertical/>
        <horizontal/>
      </border>
    </dxf>
    <dxf>
      <font>
        <color theme="1"/>
      </font>
      <fill>
        <patternFill patternType="solid">
          <bgColor rgb="FF1A4A5E"/>
        </patternFill>
      </fill>
      <border diagonalUp="0" diagonalDown="0">
        <left/>
        <right/>
        <top/>
        <bottom/>
        <vertical/>
        <horizontal/>
      </border>
    </dxf>
    <dxf>
      <font>
        <b/>
        <sz val="11"/>
        <color theme="1"/>
      </font>
    </dxf>
    <dxf>
      <font>
        <color theme="1"/>
      </font>
      <fill>
        <patternFill patternType="solid">
          <fgColor theme="0"/>
          <bgColor rgb="FF1A4A61"/>
        </patternFill>
      </fill>
      <border>
        <left style="thin">
          <color theme="1" tint="-0.499984740745262"/>
        </left>
        <right style="thin">
          <color theme="1" tint="-0.499984740745262"/>
        </right>
        <top style="thin">
          <color theme="1" tint="-0.499984740745262"/>
        </top>
        <bottom style="thin">
          <color theme="1" tint="-0.499984740745262"/>
        </bottom>
      </border>
    </dxf>
  </dxfs>
  <tableStyles count="3" defaultTableStyle="TableStyleMedium2" defaultPivotStyle="PivotStyleLight16">
    <tableStyle name="Bipu" pivot="0" table="0" count="8" xr9:uid="{D6D242BF-B356-4B58-91DF-2B3AB663613B}">
      <tableStyleElement type="wholeTable" dxfId="178"/>
      <tableStyleElement type="headerRow" dxfId="177"/>
    </tableStyle>
    <tableStyle name="Invisible" pivot="0" table="0" count="0" xr9:uid="{4CA74C84-C490-4E7E-9A9A-7313167D3582}"/>
    <tableStyle name="SlicerStyleDark1 2" pivot="0" table="0" count="10" xr9:uid="{11F3190B-EE27-4D49-8285-A6198FFEDBBE}">
      <tableStyleElement type="wholeTable" dxfId="176"/>
      <tableStyleElement type="headerRow" dxfId="175"/>
    </tableStyle>
  </tableStyles>
  <colors>
    <mruColors>
      <color rgb="FF1A4A61"/>
      <color rgb="FFD4EAF3"/>
      <color rgb="FF276F8B"/>
      <color rgb="FF0000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6">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x15:dxfs>
    </ext>
    <ext xmlns:x15="http://schemas.microsoft.com/office/spreadsheetml/2010/11/main" uri="{9260A510-F301-46a8-8635-F512D64BE5F5}">
      <x15:timelineStyles defaultTimelineStyle="TimeSlicerStyleLight1">
        <x15:timelineStyle name="Bipu">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pivotCacheDefinition" Target="pivotCache/pivotCacheDefinition1.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microsoft.com/office/2007/relationships/slicerCache" Target="slicerCaches/slicerCache1.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microsoft.com/office/2011/relationships/timelineCache" Target="timelineCaches/timelineCach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Table!Cost/USG</c:name>
    <c:fmtId val="8"/>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Table'!$AG$13</c:f>
              <c:strCache>
                <c:ptCount val="1"/>
                <c:pt idx="0">
                  <c:v>Sum of AAL CG</c:v>
                </c:pt>
              </c:strCache>
            </c:strRef>
          </c:tx>
          <c:spPr>
            <a:ln w="28575" cap="rnd">
              <a:solidFill>
                <a:schemeClr val="accent1"/>
              </a:solidFill>
              <a:round/>
            </a:ln>
            <a:effectLst/>
          </c:spPr>
          <c:marker>
            <c:symbol val="none"/>
          </c:marker>
          <c:cat>
            <c:strRef>
              <c:f>'Pivot Table'!$AF$14:$AF$33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Table'!$AG$14:$AG$33</c:f>
              <c:numCache>
                <c:formatCode>"$"#,##0.00_);\("$"#,##0.00\);\-\ </c:formatCode>
                <c:ptCount val="19"/>
                <c:pt idx="0">
                  <c:v>0.79089089623842979</c:v>
                </c:pt>
                <c:pt idx="1">
                  <c:v>1.1303121423429299</c:v>
                </c:pt>
                <c:pt idx="2">
                  <c:v>1.6715513173306167</c:v>
                </c:pt>
                <c:pt idx="3">
                  <c:v>1.9262004506563557</c:v>
                </c:pt>
                <c:pt idx="4">
                  <c:v>2.0060248575283923</c:v>
                </c:pt>
                <c:pt idx="5">
                  <c:v>2.8440756314418394</c:v>
                </c:pt>
                <c:pt idx="6">
                  <c:v>2.059002262161846</c:v>
                </c:pt>
                <c:pt idx="7">
                  <c:v>2.2570749915618</c:v>
                </c:pt>
                <c:pt idx="8">
                  <c:v>2.8838689247286551</c:v>
                </c:pt>
                <c:pt idx="9">
                  <c:v>3.1933454361775016</c:v>
                </c:pt>
                <c:pt idx="10">
                  <c:v>3.1541495691870742</c:v>
                </c:pt>
                <c:pt idx="11">
                  <c:v>2.9746452729251374</c:v>
                </c:pt>
                <c:pt idx="12">
                  <c:v>1.6528707802328364</c:v>
                </c:pt>
                <c:pt idx="13">
                  <c:v>1.2927721435164656</c:v>
                </c:pt>
                <c:pt idx="14">
                  <c:v>1.5805244880718308</c:v>
                </c:pt>
                <c:pt idx="15">
                  <c:v>2.0682519358852045</c:v>
                </c:pt>
                <c:pt idx="16">
                  <c:v>1.9234619832823843</c:v>
                </c:pt>
                <c:pt idx="17">
                  <c:v>1.3460803541432633</c:v>
                </c:pt>
                <c:pt idx="18">
                  <c:v>1.7764288840607714</c:v>
                </c:pt>
              </c:numCache>
            </c:numRef>
          </c:val>
          <c:smooth val="0"/>
          <c:extLst>
            <c:ext xmlns:c16="http://schemas.microsoft.com/office/drawing/2014/chart" uri="{C3380CC4-5D6E-409C-BE32-E72D297353CC}">
              <c16:uniqueId val="{00000000-B363-478C-854F-2798071E2D6F}"/>
            </c:ext>
          </c:extLst>
        </c:ser>
        <c:ser>
          <c:idx val="1"/>
          <c:order val="1"/>
          <c:tx>
            <c:strRef>
              <c:f>'Pivot Table'!$AH$13</c:f>
              <c:strCache>
                <c:ptCount val="1"/>
                <c:pt idx="0">
                  <c:v>Sum of DAL CG</c:v>
                </c:pt>
              </c:strCache>
            </c:strRef>
          </c:tx>
          <c:spPr>
            <a:ln w="28575" cap="rnd">
              <a:solidFill>
                <a:schemeClr val="accent2"/>
              </a:solidFill>
              <a:round/>
            </a:ln>
            <a:effectLst/>
          </c:spPr>
          <c:marker>
            <c:symbol val="none"/>
          </c:marker>
          <c:cat>
            <c:strRef>
              <c:f>'Pivot Table'!$AF$14:$AF$33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Table'!$AH$14:$AH$33</c:f>
              <c:numCache>
                <c:formatCode>"$"#,##0.00_);\("$"#,##0.00\);\-\ </c:formatCode>
                <c:ptCount val="19"/>
                <c:pt idx="0">
                  <c:v>0.79358417761479649</c:v>
                </c:pt>
                <c:pt idx="1">
                  <c:v>1.1322522718411663</c:v>
                </c:pt>
                <c:pt idx="2">
                  <c:v>1.7076297006415657</c:v>
                </c:pt>
                <c:pt idx="3">
                  <c:v>2.087823023576608</c:v>
                </c:pt>
                <c:pt idx="4">
                  <c:v>2.2623853472747246</c:v>
                </c:pt>
                <c:pt idx="5">
                  <c:v>3.2059914272772265</c:v>
                </c:pt>
                <c:pt idx="6">
                  <c:v>2.4194743719010443</c:v>
                </c:pt>
                <c:pt idx="7">
                  <c:v>2.3202558013907799</c:v>
                </c:pt>
                <c:pt idx="8">
                  <c:v>2.9955562627291239</c:v>
                </c:pt>
                <c:pt idx="9">
                  <c:v>3.2502278826419095</c:v>
                </c:pt>
                <c:pt idx="10">
                  <c:v>3.054555782676696</c:v>
                </c:pt>
                <c:pt idx="11">
                  <c:v>2.8506971964824235</c:v>
                </c:pt>
                <c:pt idx="12">
                  <c:v>2.3095964152137993</c:v>
                </c:pt>
                <c:pt idx="13">
                  <c:v>1.6415544104998498</c:v>
                </c:pt>
                <c:pt idx="14">
                  <c:v>1.7409641115737313</c:v>
                </c:pt>
                <c:pt idx="15">
                  <c:v>2.2061970345274893</c:v>
                </c:pt>
                <c:pt idx="16">
                  <c:v>2.0065128892274497</c:v>
                </c:pt>
                <c:pt idx="17">
                  <c:v>1.5751005339722861</c:v>
                </c:pt>
                <c:pt idx="18">
                  <c:v>2.1155912361775067</c:v>
                </c:pt>
              </c:numCache>
            </c:numRef>
          </c:val>
          <c:smooth val="0"/>
          <c:extLst>
            <c:ext xmlns:c16="http://schemas.microsoft.com/office/drawing/2014/chart" uri="{C3380CC4-5D6E-409C-BE32-E72D297353CC}">
              <c16:uniqueId val="{00000001-B363-478C-854F-2798071E2D6F}"/>
            </c:ext>
          </c:extLst>
        </c:ser>
        <c:ser>
          <c:idx val="2"/>
          <c:order val="2"/>
          <c:tx>
            <c:strRef>
              <c:f>'Pivot Table'!$AI$13</c:f>
              <c:strCache>
                <c:ptCount val="1"/>
                <c:pt idx="0">
                  <c:v>Sum of UAL CG</c:v>
                </c:pt>
              </c:strCache>
            </c:strRef>
          </c:tx>
          <c:spPr>
            <a:ln w="28575" cap="rnd">
              <a:solidFill>
                <a:schemeClr val="accent3"/>
              </a:solidFill>
              <a:round/>
            </a:ln>
            <a:effectLst/>
          </c:spPr>
          <c:marker>
            <c:symbol val="none"/>
          </c:marker>
          <c:cat>
            <c:strRef>
              <c:f>'Pivot Table'!$AF$14:$AF$33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Table'!$AI$14:$AI$33</c:f>
              <c:numCache>
                <c:formatCode>"$"#,##0.00_);\("$"#,##0.00\);\-\ </c:formatCode>
                <c:ptCount val="19"/>
                <c:pt idx="0">
                  <c:v>0.85075770650876759</c:v>
                </c:pt>
                <c:pt idx="1">
                  <c:v>1.187202545507728</c:v>
                </c:pt>
                <c:pt idx="2">
                  <c:v>1.7491573152864475</c:v>
                </c:pt>
                <c:pt idx="3">
                  <c:v>2.0659469569632729</c:v>
                </c:pt>
                <c:pt idx="4">
                  <c:v>2.1557684006213624</c:v>
                </c:pt>
                <c:pt idx="5">
                  <c:v>3.2071361900867643</c:v>
                </c:pt>
                <c:pt idx="6">
                  <c:v>1.7769427525739554</c:v>
                </c:pt>
                <c:pt idx="7">
                  <c:v>2.2375346183306908</c:v>
                </c:pt>
                <c:pt idx="8">
                  <c:v>3.0860517625407886</c:v>
                </c:pt>
                <c:pt idx="9">
                  <c:v>3.0845176398920784</c:v>
                </c:pt>
                <c:pt idx="10">
                  <c:v>2.9610669778097671</c:v>
                </c:pt>
                <c:pt idx="11">
                  <c:v>2.7996696551733624</c:v>
                </c:pt>
                <c:pt idx="12">
                  <c:v>1.6364575202393652</c:v>
                </c:pt>
                <c:pt idx="13">
                  <c:v>1.3132668841955306</c:v>
                </c:pt>
                <c:pt idx="14">
                  <c:v>1.6152038816926708</c:v>
                </c:pt>
                <c:pt idx="15">
                  <c:v>2.1139069975484626</c:v>
                </c:pt>
                <c:pt idx="16">
                  <c:v>1.9565209714834753</c:v>
                </c:pt>
                <c:pt idx="17">
                  <c:v>1.4562142021919653</c:v>
                </c:pt>
                <c:pt idx="18">
                  <c:v>1.8294515695138354</c:v>
                </c:pt>
              </c:numCache>
            </c:numRef>
          </c:val>
          <c:smooth val="0"/>
          <c:extLst>
            <c:ext xmlns:c16="http://schemas.microsoft.com/office/drawing/2014/chart" uri="{C3380CC4-5D6E-409C-BE32-E72D297353CC}">
              <c16:uniqueId val="{00000002-B363-478C-854F-2798071E2D6F}"/>
            </c:ext>
          </c:extLst>
        </c:ser>
        <c:ser>
          <c:idx val="3"/>
          <c:order val="3"/>
          <c:tx>
            <c:strRef>
              <c:f>'Pivot Table'!$AJ$13</c:f>
              <c:strCache>
                <c:ptCount val="1"/>
                <c:pt idx="0">
                  <c:v>Sum of LUV CG</c:v>
                </c:pt>
              </c:strCache>
            </c:strRef>
          </c:tx>
          <c:spPr>
            <a:ln w="28575" cap="rnd">
              <a:solidFill>
                <a:schemeClr val="accent4"/>
              </a:solidFill>
              <a:round/>
            </a:ln>
            <a:effectLst/>
          </c:spPr>
          <c:marker>
            <c:symbol val="none"/>
          </c:marker>
          <c:cat>
            <c:strRef>
              <c:f>'Pivot Table'!$AF$14:$AF$33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Table'!$AJ$14:$AJ$33</c:f>
              <c:numCache>
                <c:formatCode>"$"#,##0.00_);\("$"#,##0.00\);\-\ </c:formatCode>
                <c:ptCount val="19"/>
                <c:pt idx="0">
                  <c:v>0.72494250217914102</c:v>
                </c:pt>
                <c:pt idx="1">
                  <c:v>0.83076662943425894</c:v>
                </c:pt>
                <c:pt idx="2">
                  <c:v>1.0354922076539999</c:v>
                </c:pt>
                <c:pt idx="3">
                  <c:v>1.5346109461155044</c:v>
                </c:pt>
                <c:pt idx="4">
                  <c:v>1.6969482116289396</c:v>
                </c:pt>
                <c:pt idx="5">
                  <c:v>2.3238699770321882</c:v>
                </c:pt>
                <c:pt idx="6">
                  <c:v>2.0253748768269362</c:v>
                </c:pt>
                <c:pt idx="7">
                  <c:v>2.4044698173526471</c:v>
                </c:pt>
                <c:pt idx="8">
                  <c:v>3.0904257331192944</c:v>
                </c:pt>
                <c:pt idx="9">
                  <c:v>3.1776132015813867</c:v>
                </c:pt>
                <c:pt idx="10">
                  <c:v>3.0322582434036138</c:v>
                </c:pt>
                <c:pt idx="11">
                  <c:v>2.8146810464825367</c:v>
                </c:pt>
                <c:pt idx="12">
                  <c:v>1.8027369547142034</c:v>
                </c:pt>
                <c:pt idx="13">
                  <c:v>1.743509348851189</c:v>
                </c:pt>
                <c:pt idx="14">
                  <c:v>1.8311319952625096</c:v>
                </c:pt>
                <c:pt idx="15">
                  <c:v>2.0935128748559357</c:v>
                </c:pt>
                <c:pt idx="16">
                  <c:v>1.9895597063734427</c:v>
                </c:pt>
                <c:pt idx="17">
                  <c:v>1.4151514960321905</c:v>
                </c:pt>
                <c:pt idx="18">
                  <c:v>1.8100849190890647</c:v>
                </c:pt>
              </c:numCache>
            </c:numRef>
          </c:val>
          <c:smooth val="0"/>
          <c:extLst>
            <c:ext xmlns:c16="http://schemas.microsoft.com/office/drawing/2014/chart" uri="{C3380CC4-5D6E-409C-BE32-E72D297353CC}">
              <c16:uniqueId val="{00000003-B363-478C-854F-2798071E2D6F}"/>
            </c:ext>
          </c:extLst>
        </c:ser>
        <c:ser>
          <c:idx val="4"/>
          <c:order val="4"/>
          <c:tx>
            <c:strRef>
              <c:f>'Pivot Table'!$AK$13</c:f>
              <c:strCache>
                <c:ptCount val="1"/>
                <c:pt idx="0">
                  <c:v>Sum of Industry CG</c:v>
                </c:pt>
              </c:strCache>
            </c:strRef>
          </c:tx>
          <c:spPr>
            <a:ln w="28575" cap="rnd">
              <a:solidFill>
                <a:schemeClr val="accent5"/>
              </a:solidFill>
              <a:round/>
            </a:ln>
            <a:effectLst/>
          </c:spPr>
          <c:marker>
            <c:symbol val="none"/>
          </c:marker>
          <c:cat>
            <c:strRef>
              <c:f>'Pivot Table'!$AF$14:$AF$33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Table'!$AK$14:$AK$33</c:f>
              <c:numCache>
                <c:formatCode>"$"#,##0.00_);\("$"#,##0.00\);\-\ </c:formatCode>
                <c:ptCount val="19"/>
                <c:pt idx="0">
                  <c:v>0.83074816783442051</c:v>
                </c:pt>
                <c:pt idx="1">
                  <c:v>1.1316302812427601</c:v>
                </c:pt>
                <c:pt idx="2">
                  <c:v>1.6322322759368275</c:v>
                </c:pt>
                <c:pt idx="3">
                  <c:v>1.9283217991750705</c:v>
                </c:pt>
                <c:pt idx="4">
                  <c:v>2.0693822601738598</c:v>
                </c:pt>
                <c:pt idx="5">
                  <c:v>2.9828782228637873</c:v>
                </c:pt>
                <c:pt idx="6">
                  <c:v>1.8989199468943989</c:v>
                </c:pt>
                <c:pt idx="7">
                  <c:v>2.270421821865277</c:v>
                </c:pt>
                <c:pt idx="8">
                  <c:v>3.0567689622371423</c:v>
                </c:pt>
                <c:pt idx="9">
                  <c:v>3.1798673582012285</c:v>
                </c:pt>
                <c:pt idx="10">
                  <c:v>3.0476157655839229</c:v>
                </c:pt>
                <c:pt idx="11">
                  <c:v>2.8748736981190737</c:v>
                </c:pt>
                <c:pt idx="12">
                  <c:v>1.824687657102426</c:v>
                </c:pt>
                <c:pt idx="13">
                  <c:v>1.4578188102764318</c:v>
                </c:pt>
                <c:pt idx="14">
                  <c:v>1.697470988677648</c:v>
                </c:pt>
                <c:pt idx="15">
                  <c:v>2.1439688059147226</c:v>
                </c:pt>
                <c:pt idx="16">
                  <c:v>1.9967826921972074</c:v>
                </c:pt>
                <c:pt idx="17">
                  <c:v>1.4332900121667957</c:v>
                </c:pt>
                <c:pt idx="18">
                  <c:v>1.9873715774962517</c:v>
                </c:pt>
              </c:numCache>
            </c:numRef>
          </c:val>
          <c:smooth val="0"/>
          <c:extLst>
            <c:ext xmlns:c16="http://schemas.microsoft.com/office/drawing/2014/chart" uri="{C3380CC4-5D6E-409C-BE32-E72D297353CC}">
              <c16:uniqueId val="{00000000-A170-451E-AFA0-5ECC47018EEA}"/>
            </c:ext>
          </c:extLst>
        </c:ser>
        <c:dLbls>
          <c:showLegendKey val="0"/>
          <c:showVal val="0"/>
          <c:showCatName val="0"/>
          <c:showSerName val="0"/>
          <c:showPercent val="0"/>
          <c:showBubbleSize val="0"/>
        </c:dLbls>
        <c:smooth val="0"/>
        <c:axId val="1326125103"/>
        <c:axId val="1326128015"/>
      </c:lineChart>
      <c:catAx>
        <c:axId val="1326125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128015"/>
        <c:crosses val="autoZero"/>
        <c:auto val="1"/>
        <c:lblAlgn val="ctr"/>
        <c:lblOffset val="100"/>
        <c:noMultiLvlLbl val="0"/>
      </c:catAx>
      <c:valAx>
        <c:axId val="1326128015"/>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quot;$&quot;#,##0.00_);\(&quot;$&quot;#,##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1251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Table!Fuel Expense/ ASM</c:name>
    <c:fmtId val="1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Table'!$BE$13</c:f>
              <c:strCache>
                <c:ptCount val="1"/>
                <c:pt idx="0">
                  <c:v>Sum of AAL FA</c:v>
                </c:pt>
              </c:strCache>
            </c:strRef>
          </c:tx>
          <c:spPr>
            <a:ln w="28575" cap="rnd">
              <a:solidFill>
                <a:schemeClr val="accent1"/>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Table'!$BE$14:$BE$33</c:f>
              <c:numCache>
                <c:formatCode>\¢#,##0.00_);\(\¢#,##0.00\);\-\ </c:formatCode>
                <c:ptCount val="19"/>
                <c:pt idx="0">
                  <c:v>1.4599074270930494</c:v>
                </c:pt>
                <c:pt idx="1">
                  <c:v>2.040165194342328</c:v>
                </c:pt>
                <c:pt idx="2">
                  <c:v>2.9082034382414164</c:v>
                </c:pt>
                <c:pt idx="3">
                  <c:v>3.3055153493107481</c:v>
                </c:pt>
                <c:pt idx="4">
                  <c:v>3.4698830813665835</c:v>
                </c:pt>
                <c:pt idx="5">
                  <c:v>4.8598907531449385</c:v>
                </c:pt>
                <c:pt idx="6">
                  <c:v>3.5469835192605013</c:v>
                </c:pt>
                <c:pt idx="7">
                  <c:v>3.7562370896355342</c:v>
                </c:pt>
                <c:pt idx="8">
                  <c:v>4.679847316191748</c:v>
                </c:pt>
                <c:pt idx="9">
                  <c:v>5.1235119961924696</c:v>
                </c:pt>
                <c:pt idx="10">
                  <c:v>5.0073222287790227</c:v>
                </c:pt>
                <c:pt idx="11">
                  <c:v>4.5960249152686092</c:v>
                </c:pt>
                <c:pt idx="12">
                  <c:v>2.5012795278207065</c:v>
                </c:pt>
                <c:pt idx="13">
                  <c:v>1.9028139902550105</c:v>
                </c:pt>
                <c:pt idx="14">
                  <c:v>2.2928955506987343</c:v>
                </c:pt>
                <c:pt idx="15">
                  <c:v>3.0238943687955864</c:v>
                </c:pt>
                <c:pt idx="16">
                  <c:v>2.8625423349226087</c:v>
                </c:pt>
                <c:pt idx="17">
                  <c:v>1.8537055953269417</c:v>
                </c:pt>
                <c:pt idx="18">
                  <c:v>1.7312118879786766</c:v>
                </c:pt>
              </c:numCache>
            </c:numRef>
          </c:val>
          <c:smooth val="0"/>
          <c:extLst>
            <c:ext xmlns:c16="http://schemas.microsoft.com/office/drawing/2014/chart" uri="{C3380CC4-5D6E-409C-BE32-E72D297353CC}">
              <c16:uniqueId val="{00000000-6CF2-4A4A-9381-28466D67D793}"/>
            </c:ext>
          </c:extLst>
        </c:ser>
        <c:ser>
          <c:idx val="1"/>
          <c:order val="1"/>
          <c:tx>
            <c:strRef>
              <c:f>'Pivot Table'!$BF$13</c:f>
              <c:strCache>
                <c:ptCount val="1"/>
                <c:pt idx="0">
                  <c:v>Sum of DAL FA</c:v>
                </c:pt>
              </c:strCache>
            </c:strRef>
          </c:tx>
          <c:spPr>
            <a:ln w="28575" cap="rnd">
              <a:solidFill>
                <a:schemeClr val="accent2"/>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Table'!$BF$14:$BF$33</c:f>
              <c:numCache>
                <c:formatCode>\¢#,##0.00_);\(\¢#,##0.00\);\-\ </c:formatCode>
                <c:ptCount val="19"/>
                <c:pt idx="0">
                  <c:v>1.3201190386885493</c:v>
                </c:pt>
                <c:pt idx="1">
                  <c:v>1.8534589853611301</c:v>
                </c:pt>
                <c:pt idx="2">
                  <c:v>2.7009595236633834</c:v>
                </c:pt>
                <c:pt idx="3">
                  <c:v>3.2212824649423979</c:v>
                </c:pt>
                <c:pt idx="4">
                  <c:v>3.4636731000692564</c:v>
                </c:pt>
                <c:pt idx="5">
                  <c:v>4.8797487479785788</c:v>
                </c:pt>
                <c:pt idx="6">
                  <c:v>3.8214783763246629</c:v>
                </c:pt>
                <c:pt idx="7">
                  <c:v>3.535710492341134</c:v>
                </c:pt>
                <c:pt idx="8">
                  <c:v>4.3530062393898996</c:v>
                </c:pt>
                <c:pt idx="9">
                  <c:v>4.6050104651627839</c:v>
                </c:pt>
                <c:pt idx="10">
                  <c:v>4.3909873415608489</c:v>
                </c:pt>
                <c:pt idx="11">
                  <c:v>4.0551234224849129</c:v>
                </c:pt>
                <c:pt idx="12">
                  <c:v>3.3097616228986171</c:v>
                </c:pt>
                <c:pt idx="13">
                  <c:v>2.4332580594516364</c:v>
                </c:pt>
                <c:pt idx="14">
                  <c:v>2.6298238381219141</c:v>
                </c:pt>
                <c:pt idx="15">
                  <c:v>3.3028068163288524</c:v>
                </c:pt>
                <c:pt idx="16">
                  <c:v>2.9315296289381076</c:v>
                </c:pt>
                <c:pt idx="17">
                  <c:v>2.1017560604727539</c:v>
                </c:pt>
                <c:pt idx="18">
                  <c:v>2.0562664527996413</c:v>
                </c:pt>
              </c:numCache>
            </c:numRef>
          </c:val>
          <c:smooth val="0"/>
          <c:extLst>
            <c:ext xmlns:c16="http://schemas.microsoft.com/office/drawing/2014/chart" uri="{C3380CC4-5D6E-409C-BE32-E72D297353CC}">
              <c16:uniqueId val="{00000001-6CF2-4A4A-9381-28466D67D793}"/>
            </c:ext>
          </c:extLst>
        </c:ser>
        <c:ser>
          <c:idx val="2"/>
          <c:order val="2"/>
          <c:tx>
            <c:strRef>
              <c:f>'Pivot Table'!$BG$13</c:f>
              <c:strCache>
                <c:ptCount val="1"/>
                <c:pt idx="0">
                  <c:v>Sum of UAL FA</c:v>
                </c:pt>
              </c:strCache>
            </c:strRef>
          </c:tx>
          <c:spPr>
            <a:ln w="28575" cap="rnd">
              <a:solidFill>
                <a:schemeClr val="accent3"/>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Table'!$BG$14:$BG$33</c:f>
              <c:numCache>
                <c:formatCode>\¢#,##0.00_);\(\¢#,##0.00\);\-\ </c:formatCode>
                <c:ptCount val="19"/>
                <c:pt idx="0">
                  <c:v>1.3263512152913688</c:v>
                </c:pt>
                <c:pt idx="1">
                  <c:v>1.8168049512248519</c:v>
                </c:pt>
                <c:pt idx="2">
                  <c:v>2.611001641214322</c:v>
                </c:pt>
                <c:pt idx="3">
                  <c:v>3.1226136305749259</c:v>
                </c:pt>
                <c:pt idx="4">
                  <c:v>3.3487937183406578</c:v>
                </c:pt>
                <c:pt idx="5">
                  <c:v>4.9460040679475581</c:v>
                </c:pt>
                <c:pt idx="6">
                  <c:v>2.6942250281852673</c:v>
                </c:pt>
                <c:pt idx="7">
                  <c:v>3.3522790650770893</c:v>
                </c:pt>
                <c:pt idx="8">
                  <c:v>4.6440657577437721</c:v>
                </c:pt>
                <c:pt idx="9">
                  <c:v>4.4350248920776076</c:v>
                </c:pt>
                <c:pt idx="10">
                  <c:v>4.2290470331115859</c:v>
                </c:pt>
                <c:pt idx="11">
                  <c:v>3.9118478946400481</c:v>
                </c:pt>
                <c:pt idx="12">
                  <c:v>2.2074088111457142</c:v>
                </c:pt>
                <c:pt idx="13">
                  <c:v>1.7697336784481628</c:v>
                </c:pt>
                <c:pt idx="14">
                  <c:v>2.1654139248069999</c:v>
                </c:pt>
                <c:pt idx="15">
                  <c:v>2.8357715182638903</c:v>
                </c:pt>
                <c:pt idx="16">
                  <c:v>2.634195141627715</c:v>
                </c:pt>
                <c:pt idx="17">
                  <c:v>1.8331104613450155</c:v>
                </c:pt>
                <c:pt idx="18">
                  <c:v>1.598702876382555</c:v>
                </c:pt>
              </c:numCache>
            </c:numRef>
          </c:val>
          <c:smooth val="0"/>
          <c:extLst>
            <c:ext xmlns:c16="http://schemas.microsoft.com/office/drawing/2014/chart" uri="{C3380CC4-5D6E-409C-BE32-E72D297353CC}">
              <c16:uniqueId val="{00000002-6CF2-4A4A-9381-28466D67D793}"/>
            </c:ext>
          </c:extLst>
        </c:ser>
        <c:ser>
          <c:idx val="3"/>
          <c:order val="3"/>
          <c:tx>
            <c:strRef>
              <c:f>'Pivot Table'!$BH$13</c:f>
              <c:strCache>
                <c:ptCount val="1"/>
                <c:pt idx="0">
                  <c:v>Sum of LUV FA</c:v>
                </c:pt>
              </c:strCache>
            </c:strRef>
          </c:tx>
          <c:spPr>
            <a:ln w="28575" cap="rnd">
              <a:solidFill>
                <a:schemeClr val="accent4"/>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Table'!$BH$14:$BH$33</c:f>
              <c:numCache>
                <c:formatCode>\¢#,##0.00_);\(\¢#,##0.00\);\-\ </c:formatCode>
                <c:ptCount val="19"/>
                <c:pt idx="0">
                  <c:v>1.1536381513846798</c:v>
                </c:pt>
                <c:pt idx="1">
                  <c:v>1.2973796453917505</c:v>
                </c:pt>
                <c:pt idx="2">
                  <c:v>1.5646442540712004</c:v>
                </c:pt>
                <c:pt idx="3">
                  <c:v>2.3016898827169339</c:v>
                </c:pt>
                <c:pt idx="4">
                  <c:v>2.5388277851683148</c:v>
                </c:pt>
                <c:pt idx="5">
                  <c:v>3.3993922792568121</c:v>
                </c:pt>
                <c:pt idx="6">
                  <c:v>2.9506911137158363</c:v>
                </c:pt>
                <c:pt idx="7">
                  <c:v>3.5090773637246571</c:v>
                </c:pt>
                <c:pt idx="8">
                  <c:v>4.4859694860134605</c:v>
                </c:pt>
                <c:pt idx="9">
                  <c:v>5.2523993635562052</c:v>
                </c:pt>
                <c:pt idx="10">
                  <c:v>4.8576205774527059</c:v>
                </c:pt>
                <c:pt idx="11">
                  <c:v>4.1314694331905031</c:v>
                </c:pt>
                <c:pt idx="12">
                  <c:v>2.48714643015406</c:v>
                </c:pt>
                <c:pt idx="13">
                  <c:v>2.3976303412844691</c:v>
                </c:pt>
                <c:pt idx="14">
                  <c:v>2.4986062878239106</c:v>
                </c:pt>
                <c:pt idx="15">
                  <c:v>2.811653740507011</c:v>
                </c:pt>
                <c:pt idx="16">
                  <c:v>2.6850673361390904</c:v>
                </c:pt>
                <c:pt idx="17">
                  <c:v>1.7662427398108309</c:v>
                </c:pt>
                <c:pt idx="18">
                  <c:v>1.6814766673787904</c:v>
                </c:pt>
              </c:numCache>
            </c:numRef>
          </c:val>
          <c:smooth val="0"/>
          <c:extLst>
            <c:ext xmlns:c16="http://schemas.microsoft.com/office/drawing/2014/chart" uri="{C3380CC4-5D6E-409C-BE32-E72D297353CC}">
              <c16:uniqueId val="{00000003-6CF2-4A4A-9381-28466D67D793}"/>
            </c:ext>
          </c:extLst>
        </c:ser>
        <c:ser>
          <c:idx val="4"/>
          <c:order val="4"/>
          <c:tx>
            <c:strRef>
              <c:f>'Pivot Table'!$BI$13</c:f>
              <c:strCache>
                <c:ptCount val="1"/>
                <c:pt idx="0">
                  <c:v>Sum of Industry FA</c:v>
                </c:pt>
              </c:strCache>
            </c:strRef>
          </c:tx>
          <c:spPr>
            <a:ln w="28575" cap="rnd">
              <a:solidFill>
                <a:schemeClr val="accent5"/>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Table'!$BI$14:$BI$33</c:f>
              <c:numCache>
                <c:formatCode>\¢#,##0.00_);\(\¢#,##0.00\);\-\ </c:formatCode>
                <c:ptCount val="19"/>
                <c:pt idx="0">
                  <c:v>2.3403019779528824</c:v>
                </c:pt>
                <c:pt idx="1">
                  <c:v>3.180373461683041</c:v>
                </c:pt>
                <c:pt idx="2">
                  <c:v>4.4590543945759</c:v>
                </c:pt>
                <c:pt idx="3">
                  <c:v>5.1388978459102832</c:v>
                </c:pt>
                <c:pt idx="4">
                  <c:v>5.3845976694233677</c:v>
                </c:pt>
                <c:pt idx="5">
                  <c:v>7.7022541268452898</c:v>
                </c:pt>
                <c:pt idx="6">
                  <c:v>4.6692991137055575</c:v>
                </c:pt>
                <c:pt idx="7">
                  <c:v>5.0061747594833115</c:v>
                </c:pt>
                <c:pt idx="8">
                  <c:v>6.5501303377781239</c:v>
                </c:pt>
                <c:pt idx="9">
                  <c:v>5.7771200609492386</c:v>
                </c:pt>
                <c:pt idx="10">
                  <c:v>5.3657695357146142</c:v>
                </c:pt>
                <c:pt idx="11">
                  <c:v>4.9422132667884053</c:v>
                </c:pt>
                <c:pt idx="12">
                  <c:v>2.9059515082498732</c:v>
                </c:pt>
                <c:pt idx="13">
                  <c:v>2.1926373173211782</c:v>
                </c:pt>
                <c:pt idx="14">
                  <c:v>2.4800178008849647</c:v>
                </c:pt>
                <c:pt idx="15">
                  <c:v>3.0371797485307801</c:v>
                </c:pt>
                <c:pt idx="16">
                  <c:v>2.7856842676734273</c:v>
                </c:pt>
                <c:pt idx="17">
                  <c:v>2.0256889530470499</c:v>
                </c:pt>
                <c:pt idx="18">
                  <c:v>2.6933167681003902</c:v>
                </c:pt>
              </c:numCache>
            </c:numRef>
          </c:val>
          <c:smooth val="0"/>
          <c:extLst>
            <c:ext xmlns:c16="http://schemas.microsoft.com/office/drawing/2014/chart" uri="{C3380CC4-5D6E-409C-BE32-E72D297353CC}">
              <c16:uniqueId val="{00000004-6CF2-4A4A-9381-28466D67D793}"/>
            </c:ext>
          </c:extLst>
        </c:ser>
        <c:dLbls>
          <c:showLegendKey val="0"/>
          <c:showVal val="0"/>
          <c:showCatName val="0"/>
          <c:showSerName val="0"/>
          <c:showPercent val="0"/>
          <c:showBubbleSize val="0"/>
        </c:dLbls>
        <c:smooth val="0"/>
        <c:axId val="1273674847"/>
        <c:axId val="1273674431"/>
      </c:lineChart>
      <c:catAx>
        <c:axId val="127367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674431"/>
        <c:crosses val="autoZero"/>
        <c:auto val="1"/>
        <c:lblAlgn val="ctr"/>
        <c:lblOffset val="100"/>
        <c:noMultiLvlLbl val="0"/>
      </c:catAx>
      <c:valAx>
        <c:axId val="1273674431"/>
        <c:scaling>
          <c:orientation val="minMax"/>
        </c:scaling>
        <c:delete val="0"/>
        <c:axPos val="l"/>
        <c:majorGridlines>
          <c:spPr>
            <a:ln w="9525" cap="flat" cmpd="sng" algn="ctr">
              <a:solidFill>
                <a:schemeClr val="tx1">
                  <a:lumMod val="15000"/>
                  <a:lumOff val="85000"/>
                </a:schemeClr>
              </a:solidFill>
              <a:round/>
            </a:ln>
            <a:effectLst/>
          </c:spPr>
        </c:majorGridlines>
        <c:numFmt formatCode="\¢#,##0.00_);\(\¢#,##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67484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Table!Passenger Yield</c:name>
    <c:fmtId val="10"/>
  </c:pivotSource>
  <c:chart>
    <c:title>
      <c:tx>
        <c:strRef>
          <c:f>'Pivot Table'!$Q$12</c:f>
          <c:strCache>
            <c:ptCount val="1"/>
            <c:pt idx="0">
              <c:v>Passenger Yield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Table'!$Q$12</c:f>
              <c:strCache>
                <c:ptCount val="1"/>
                <c:pt idx="0">
                  <c:v>Sum of AAL PY</c:v>
                </c:pt>
              </c:strCache>
            </c:strRef>
          </c:tx>
          <c:spPr>
            <a:ln w="28575" cap="rnd">
              <a:solidFill>
                <a:schemeClr val="accent1"/>
              </a:solidFill>
              <a:round/>
            </a:ln>
            <a:effectLst/>
          </c:spPr>
          <c:marker>
            <c:symbol val="none"/>
          </c:marker>
          <c:cat>
            <c:strRef>
              <c:f>'Pivot Table'!$Q$12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Table'!$Q$12</c:f>
              <c:numCache>
                <c:formatCode>\¢#,##0.00_);\(\¢#,##0.00\);\-\ </c:formatCode>
                <c:ptCount val="19"/>
                <c:pt idx="0">
                  <c:v>14.537603952265949</c:v>
                </c:pt>
                <c:pt idx="1">
                  <c:v>14.050196320484563</c:v>
                </c:pt>
                <c:pt idx="2">
                  <c:v>14.682794637801056</c:v>
                </c:pt>
                <c:pt idx="3">
                  <c:v>15.841538256108961</c:v>
                </c:pt>
                <c:pt idx="4">
                  <c:v>16.023368912020338</c:v>
                </c:pt>
                <c:pt idx="5">
                  <c:v>17.347184563268392</c:v>
                </c:pt>
                <c:pt idx="6">
                  <c:v>15.947887903260716</c:v>
                </c:pt>
                <c:pt idx="7">
                  <c:v>17.320902529695442</c:v>
                </c:pt>
                <c:pt idx="8">
                  <c:v>18.508321227556639</c:v>
                </c:pt>
                <c:pt idx="9">
                  <c:v>19.436431573753193</c:v>
                </c:pt>
                <c:pt idx="10">
                  <c:v>19.778232251302605</c:v>
                </c:pt>
                <c:pt idx="11">
                  <c:v>21.040254890453724</c:v>
                </c:pt>
                <c:pt idx="12">
                  <c:v>20.3788278414088</c:v>
                </c:pt>
                <c:pt idx="13">
                  <c:v>21.520652580743043</c:v>
                </c:pt>
                <c:pt idx="14">
                  <c:v>23.603640218267689</c:v>
                </c:pt>
                <c:pt idx="15">
                  <c:v>23.690299198592044</c:v>
                </c:pt>
                <c:pt idx="16">
                  <c:v>23.885392406809771</c:v>
                </c:pt>
                <c:pt idx="17">
                  <c:v>22.694770411298684</c:v>
                </c:pt>
                <c:pt idx="18">
                  <c:v>23.106334900005784</c:v>
                </c:pt>
              </c:numCache>
            </c:numRef>
          </c:val>
          <c:smooth val="0"/>
          <c:extLst>
            <c:ext xmlns:c16="http://schemas.microsoft.com/office/drawing/2014/chart" uri="{C3380CC4-5D6E-409C-BE32-E72D297353CC}">
              <c16:uniqueId val="{00000000-73D8-406B-B011-F800B5C29E9E}"/>
            </c:ext>
          </c:extLst>
        </c:ser>
        <c:ser>
          <c:idx val="1"/>
          <c:order val="1"/>
          <c:tx>
            <c:strRef>
              <c:f>'Pivot Table'!$Q$12</c:f>
              <c:strCache>
                <c:ptCount val="1"/>
                <c:pt idx="0">
                  <c:v>Sum of DAL PY</c:v>
                </c:pt>
              </c:strCache>
            </c:strRef>
          </c:tx>
          <c:spPr>
            <a:ln w="28575" cap="rnd">
              <a:solidFill>
                <a:schemeClr val="accent2"/>
              </a:solidFill>
              <a:round/>
            </a:ln>
            <a:effectLst/>
          </c:spPr>
          <c:marker>
            <c:symbol val="none"/>
          </c:marker>
          <c:cat>
            <c:strRef>
              <c:f>'Pivot Table'!$Q$12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Table'!$Q$12</c:f>
              <c:numCache>
                <c:formatCode>\¢#,##0.00_);\(\¢#,##0.00\);\-\ </c:formatCode>
                <c:ptCount val="19"/>
                <c:pt idx="0">
                  <c:v>17.089005403135534</c:v>
                </c:pt>
                <c:pt idx="1">
                  <c:v>16.61192990371125</c:v>
                </c:pt>
                <c:pt idx="2">
                  <c:v>16.809983095868066</c:v>
                </c:pt>
                <c:pt idx="3">
                  <c:v>20.172563164113171</c:v>
                </c:pt>
                <c:pt idx="4">
                  <c:v>21.433359932213239</c:v>
                </c:pt>
                <c:pt idx="5">
                  <c:v>22.803048500015684</c:v>
                </c:pt>
                <c:pt idx="6">
                  <c:v>21.301889791181399</c:v>
                </c:pt>
                <c:pt idx="7">
                  <c:v>22.357585516559421</c:v>
                </c:pt>
                <c:pt idx="8">
                  <c:v>24.676073503572361</c:v>
                </c:pt>
                <c:pt idx="9">
                  <c:v>25.754339328347879</c:v>
                </c:pt>
                <c:pt idx="10">
                  <c:v>26.320104838955416</c:v>
                </c:pt>
                <c:pt idx="11">
                  <c:v>26.713356611455289</c:v>
                </c:pt>
                <c:pt idx="12">
                  <c:v>26.016278266284388</c:v>
                </c:pt>
                <c:pt idx="13">
                  <c:v>25.35883557349338</c:v>
                </c:pt>
                <c:pt idx="14">
                  <c:v>25.808503334383158</c:v>
                </c:pt>
                <c:pt idx="15">
                  <c:v>25.983522676193523</c:v>
                </c:pt>
                <c:pt idx="16">
                  <c:v>25.886904235403215</c:v>
                </c:pt>
                <c:pt idx="17">
                  <c:v>28.589540737103118</c:v>
                </c:pt>
                <c:pt idx="18">
                  <c:v>25.978451040483918</c:v>
                </c:pt>
              </c:numCache>
            </c:numRef>
          </c:val>
          <c:smooth val="0"/>
          <c:extLst>
            <c:ext xmlns:c16="http://schemas.microsoft.com/office/drawing/2014/chart" uri="{C3380CC4-5D6E-409C-BE32-E72D297353CC}">
              <c16:uniqueId val="{00000001-73D8-406B-B011-F800B5C29E9E}"/>
            </c:ext>
          </c:extLst>
        </c:ser>
        <c:ser>
          <c:idx val="2"/>
          <c:order val="2"/>
          <c:tx>
            <c:strRef>
              <c:f>'Pivot Table'!$Q$12</c:f>
              <c:strCache>
                <c:ptCount val="1"/>
                <c:pt idx="0">
                  <c:v>Sum of UAL PY</c:v>
                </c:pt>
              </c:strCache>
            </c:strRef>
          </c:tx>
          <c:spPr>
            <a:ln w="28575" cap="rnd">
              <a:solidFill>
                <a:schemeClr val="accent3"/>
              </a:solidFill>
              <a:round/>
            </a:ln>
            <a:effectLst/>
          </c:spPr>
          <c:marker>
            <c:symbol val="none"/>
          </c:marker>
          <c:cat>
            <c:strRef>
              <c:f>'Pivot Table'!$Q$12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Table'!$Q$12</c:f>
              <c:numCache>
                <c:formatCode>\¢#,##0.00_);\(\¢#,##0.00\);\-\ </c:formatCode>
                <c:ptCount val="19"/>
                <c:pt idx="0">
                  <c:v>13.828574494664618</c:v>
                </c:pt>
                <c:pt idx="1">
                  <c:v>14.710291156576805</c:v>
                </c:pt>
                <c:pt idx="2">
                  <c:v>16.951404214169099</c:v>
                </c:pt>
                <c:pt idx="3">
                  <c:v>18.587626961993383</c:v>
                </c:pt>
                <c:pt idx="4">
                  <c:v>18.940451679721647</c:v>
                </c:pt>
                <c:pt idx="5">
                  <c:v>20.684594716771905</c:v>
                </c:pt>
                <c:pt idx="6">
                  <c:v>19.020344935571899</c:v>
                </c:pt>
                <c:pt idx="7">
                  <c:v>22.002296928691798</c:v>
                </c:pt>
                <c:pt idx="8">
                  <c:v>24.713951506934333</c:v>
                </c:pt>
                <c:pt idx="9">
                  <c:v>23.262737166846886</c:v>
                </c:pt>
                <c:pt idx="10">
                  <c:v>24.448725619625243</c:v>
                </c:pt>
                <c:pt idx="11">
                  <c:v>24.902459479016507</c:v>
                </c:pt>
                <c:pt idx="12">
                  <c:v>23.609609335401316</c:v>
                </c:pt>
                <c:pt idx="13">
                  <c:v>23.248923234433544</c:v>
                </c:pt>
                <c:pt idx="14">
                  <c:v>22.653076992982836</c:v>
                </c:pt>
                <c:pt idx="15">
                  <c:v>23.573744999747824</c:v>
                </c:pt>
                <c:pt idx="16">
                  <c:v>24.100420847944044</c:v>
                </c:pt>
                <c:pt idx="17">
                  <c:v>26.262199427904427</c:v>
                </c:pt>
                <c:pt idx="18">
                  <c:v>24.158847166626437</c:v>
                </c:pt>
              </c:numCache>
            </c:numRef>
          </c:val>
          <c:smooth val="0"/>
          <c:extLst>
            <c:ext xmlns:c16="http://schemas.microsoft.com/office/drawing/2014/chart" uri="{C3380CC4-5D6E-409C-BE32-E72D297353CC}">
              <c16:uniqueId val="{00000002-73D8-406B-B011-F800B5C29E9E}"/>
            </c:ext>
          </c:extLst>
        </c:ser>
        <c:ser>
          <c:idx val="3"/>
          <c:order val="3"/>
          <c:tx>
            <c:strRef>
              <c:f>'Pivot Table'!$Q$12</c:f>
              <c:strCache>
                <c:ptCount val="1"/>
                <c:pt idx="0">
                  <c:v>Sum of LUV PY</c:v>
                </c:pt>
              </c:strCache>
            </c:strRef>
          </c:tx>
          <c:spPr>
            <a:ln w="28575" cap="rnd">
              <a:solidFill>
                <a:schemeClr val="accent4"/>
              </a:solidFill>
              <a:round/>
            </a:ln>
            <a:effectLst/>
          </c:spPr>
          <c:marker>
            <c:symbol val="none"/>
          </c:marker>
          <c:cat>
            <c:strRef>
              <c:f>'Pivot Table'!$Q$12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Table'!$Q$12</c:f>
              <c:numCache>
                <c:formatCode>\¢#,##0.00_);\(\¢#,##0.00\);\-\ </c:formatCode>
                <c:ptCount val="19"/>
                <c:pt idx="0">
                  <c:v>12.381469823924487</c:v>
                </c:pt>
                <c:pt idx="1">
                  <c:v>12.222338816435133</c:v>
                </c:pt>
                <c:pt idx="2">
                  <c:v>12.591672843509723</c:v>
                </c:pt>
                <c:pt idx="3">
                  <c:v>13.421898304473851</c:v>
                </c:pt>
                <c:pt idx="4">
                  <c:v>13.633921578352025</c:v>
                </c:pt>
                <c:pt idx="5">
                  <c:v>14.998057424980242</c:v>
                </c:pt>
                <c:pt idx="6">
                  <c:v>13.900086113257533</c:v>
                </c:pt>
                <c:pt idx="7">
                  <c:v>15.507107239981128</c:v>
                </c:pt>
                <c:pt idx="8">
                  <c:v>16.28418089346798</c:v>
                </c:pt>
                <c:pt idx="9">
                  <c:v>19.034835662850803</c:v>
                </c:pt>
                <c:pt idx="10">
                  <c:v>19.392261365473388</c:v>
                </c:pt>
                <c:pt idx="11">
                  <c:v>18.282416172888709</c:v>
                </c:pt>
                <c:pt idx="12">
                  <c:v>17.042854759904763</c:v>
                </c:pt>
                <c:pt idx="13">
                  <c:v>16.552210879321308</c:v>
                </c:pt>
                <c:pt idx="14">
                  <c:v>16.594520217426684</c:v>
                </c:pt>
                <c:pt idx="15">
                  <c:v>16.645987015151015</c:v>
                </c:pt>
                <c:pt idx="16">
                  <c:v>17.182295492724119</c:v>
                </c:pt>
                <c:pt idx="17">
                  <c:v>16.728377099380616</c:v>
                </c:pt>
                <c:pt idx="18">
                  <c:v>15.70407936982941</c:v>
                </c:pt>
              </c:numCache>
            </c:numRef>
          </c:val>
          <c:smooth val="0"/>
          <c:extLst>
            <c:ext xmlns:c16="http://schemas.microsoft.com/office/drawing/2014/chart" uri="{C3380CC4-5D6E-409C-BE32-E72D297353CC}">
              <c16:uniqueId val="{00000003-73D8-406B-B011-F800B5C29E9E}"/>
            </c:ext>
          </c:extLst>
        </c:ser>
        <c:ser>
          <c:idx val="4"/>
          <c:order val="4"/>
          <c:tx>
            <c:strRef>
              <c:f>'Pivot Table'!$Q$12</c:f>
              <c:strCache>
                <c:ptCount val="1"/>
                <c:pt idx="0">
                  <c:v>Sum of Industry PY</c:v>
                </c:pt>
              </c:strCache>
            </c:strRef>
          </c:tx>
          <c:spPr>
            <a:ln w="28575" cap="rnd">
              <a:solidFill>
                <a:schemeClr val="accent5"/>
              </a:solidFill>
              <a:round/>
            </a:ln>
            <a:effectLst/>
          </c:spPr>
          <c:marker>
            <c:symbol val="none"/>
          </c:marker>
          <c:cat>
            <c:strRef>
              <c:f>'Pivot Table'!$Q$12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Table'!$Q$12</c:f>
              <c:numCache>
                <c:formatCode>\¢#,##0.00_);\(\¢#,##0.00\);\-\ </c:formatCode>
                <c:ptCount val="19"/>
                <c:pt idx="0">
                  <c:v>27.740217263132138</c:v>
                </c:pt>
                <c:pt idx="1">
                  <c:v>28.346158269660947</c:v>
                </c:pt>
                <c:pt idx="2">
                  <c:v>29.646050922026966</c:v>
                </c:pt>
                <c:pt idx="3">
                  <c:v>31.314406810738348</c:v>
                </c:pt>
                <c:pt idx="4">
                  <c:v>31.28934899645872</c:v>
                </c:pt>
                <c:pt idx="5">
                  <c:v>33.930761743448315</c:v>
                </c:pt>
                <c:pt idx="6">
                  <c:v>29.966035993372564</c:v>
                </c:pt>
                <c:pt idx="7">
                  <c:v>28.822274850514106</c:v>
                </c:pt>
                <c:pt idx="8">
                  <c:v>31.54051526001961</c:v>
                </c:pt>
                <c:pt idx="9">
                  <c:v>28.771348265416076</c:v>
                </c:pt>
                <c:pt idx="10">
                  <c:v>28.812384395690952</c:v>
                </c:pt>
                <c:pt idx="11">
                  <c:v>28.738891735453755</c:v>
                </c:pt>
                <c:pt idx="12">
                  <c:v>25.55080089711144</c:v>
                </c:pt>
                <c:pt idx="13">
                  <c:v>23.989545942258964</c:v>
                </c:pt>
                <c:pt idx="14">
                  <c:v>24.401137036803519</c:v>
                </c:pt>
                <c:pt idx="15">
                  <c:v>24.263175401979797</c:v>
                </c:pt>
                <c:pt idx="16">
                  <c:v>24.107302396851335</c:v>
                </c:pt>
                <c:pt idx="17">
                  <c:v>30.778807773561329</c:v>
                </c:pt>
                <c:pt idx="18">
                  <c:v>25.201175741606541</c:v>
                </c:pt>
              </c:numCache>
            </c:numRef>
          </c:val>
          <c:smooth val="0"/>
          <c:extLst>
            <c:ext xmlns:c16="http://schemas.microsoft.com/office/drawing/2014/chart" uri="{C3380CC4-5D6E-409C-BE32-E72D297353CC}">
              <c16:uniqueId val="{00000004-73D8-406B-B011-F800B5C29E9E}"/>
            </c:ext>
          </c:extLst>
        </c:ser>
        <c:dLbls>
          <c:showLegendKey val="0"/>
          <c:showVal val="0"/>
          <c:showCatName val="0"/>
          <c:showSerName val="0"/>
          <c:showPercent val="0"/>
          <c:showBubbleSize val="0"/>
        </c:dLbls>
        <c:smooth val="0"/>
        <c:axId val="893541279"/>
        <c:axId val="893541695"/>
      </c:lineChart>
      <c:catAx>
        <c:axId val="893541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1695"/>
        <c:crosses val="autoZero"/>
        <c:auto val="1"/>
        <c:lblAlgn val="ctr"/>
        <c:lblOffset val="100"/>
        <c:noMultiLvlLbl val="0"/>
      </c:catAx>
      <c:valAx>
        <c:axId val="893541695"/>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_);\(\¢#,##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127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Table!Fuel Cost/ Revenue</c:name>
    <c:fmtId val="12"/>
  </c:pivotSource>
  <c:chart>
    <c:title>
      <c:tx>
        <c:strRef>
          <c:f>'Pivot Table'!$AN$12</c:f>
          <c:strCache>
            <c:ptCount val="1"/>
            <c:pt idx="0">
              <c:v>Fuel Expense as a % of Revenue</c:v>
            </c:pt>
          </c:strCache>
        </c:strRef>
      </c:tx>
      <c:layout>
        <c:manualLayout>
          <c:xMode val="edge"/>
          <c:yMode val="edge"/>
          <c:x val="0.35492010427647436"/>
          <c:y val="1.83752289741596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Table'!$AN$12</c:f>
              <c:strCache>
                <c:ptCount val="1"/>
                <c:pt idx="0">
                  <c:v>Sum of AAL FCR</c:v>
                </c:pt>
              </c:strCache>
            </c:strRef>
          </c:tx>
          <c:spPr>
            <a:ln w="28575" cap="rnd">
              <a:solidFill>
                <a:schemeClr val="accent1"/>
              </a:solidFill>
              <a:round/>
            </a:ln>
            <a:effectLst/>
          </c:spPr>
          <c:marker>
            <c:symbol val="none"/>
          </c:marker>
          <c:cat>
            <c:strRef>
              <c:f>'Pivot Table'!$AN$12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Table'!$AN$12</c:f>
              <c:numCache>
                <c:formatCode>0.0%_);\(0.0%\)</c:formatCode>
                <c:ptCount val="19"/>
                <c:pt idx="0">
                  <c:v>0.13743951181747202</c:v>
                </c:pt>
                <c:pt idx="1">
                  <c:v>0.1927330303749572</c:v>
                </c:pt>
                <c:pt idx="2">
                  <c:v>0.24678881924055793</c:v>
                </c:pt>
                <c:pt idx="3">
                  <c:v>0.25424077224469854</c:v>
                </c:pt>
                <c:pt idx="4">
                  <c:v>0.26054583061156855</c:v>
                </c:pt>
                <c:pt idx="5">
                  <c:v>0.34094184432592051</c:v>
                </c:pt>
                <c:pt idx="6">
                  <c:v>0.26843738054790917</c:v>
                </c:pt>
                <c:pt idx="7">
                  <c:v>0.26058959784069585</c:v>
                </c:pt>
                <c:pt idx="8">
                  <c:v>0.30262026438008183</c:v>
                </c:pt>
                <c:pt idx="9">
                  <c:v>0.31351551506656922</c:v>
                </c:pt>
                <c:pt idx="10">
                  <c:v>0.29950077379131684</c:v>
                </c:pt>
                <c:pt idx="11">
                  <c:v>0.25706197323860785</c:v>
                </c:pt>
                <c:pt idx="12">
                  <c:v>0.14237269978111042</c:v>
                </c:pt>
                <c:pt idx="13">
                  <c:v>0.10415087522340295</c:v>
                </c:pt>
                <c:pt idx="14">
                  <c:v>0.11424664108863196</c:v>
                </c:pt>
                <c:pt idx="15">
                  <c:v>0.14993342477262159</c:v>
                </c:pt>
                <c:pt idx="16">
                  <c:v>0.1378628132645959</c:v>
                </c:pt>
                <c:pt idx="17">
                  <c:v>0.12429714931265098</c:v>
                </c:pt>
                <c:pt idx="18">
                  <c:v>9.1581083394526669E-2</c:v>
                </c:pt>
              </c:numCache>
            </c:numRef>
          </c:val>
          <c:smooth val="0"/>
          <c:extLst>
            <c:ext xmlns:c16="http://schemas.microsoft.com/office/drawing/2014/chart" uri="{C3380CC4-5D6E-409C-BE32-E72D297353CC}">
              <c16:uniqueId val="{00000000-D376-4920-A6A9-A5CACD38D1AB}"/>
            </c:ext>
          </c:extLst>
        </c:ser>
        <c:ser>
          <c:idx val="1"/>
          <c:order val="1"/>
          <c:tx>
            <c:strRef>
              <c:f>'Pivot Table'!$AN$12</c:f>
              <c:strCache>
                <c:ptCount val="1"/>
                <c:pt idx="0">
                  <c:v>Sum of DAL FCR</c:v>
                </c:pt>
              </c:strCache>
            </c:strRef>
          </c:tx>
          <c:spPr>
            <a:ln w="28575" cap="rnd">
              <a:solidFill>
                <a:schemeClr val="accent2"/>
              </a:solidFill>
              <a:round/>
            </a:ln>
            <a:effectLst/>
          </c:spPr>
          <c:marker>
            <c:symbol val="none"/>
          </c:marker>
          <c:cat>
            <c:strRef>
              <c:f>'Pivot Table'!$AN$12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Table'!$AN$12</c:f>
              <c:numCache>
                <c:formatCode>0.0%_);\(0.0%\)</c:formatCode>
                <c:ptCount val="19"/>
                <c:pt idx="0">
                  <c:v>0.1048060017237866</c:v>
                </c:pt>
                <c:pt idx="1">
                  <c:v>0.14938865068371354</c:v>
                </c:pt>
                <c:pt idx="2">
                  <c:v>0.20830842747845116</c:v>
                </c:pt>
                <c:pt idx="3">
                  <c:v>0.20126200720737428</c:v>
                </c:pt>
                <c:pt idx="4">
                  <c:v>0.19652647724503733</c:v>
                </c:pt>
                <c:pt idx="5">
                  <c:v>0.25349580162218949</c:v>
                </c:pt>
                <c:pt idx="6">
                  <c:v>0.21228788399896351</c:v>
                </c:pt>
                <c:pt idx="7">
                  <c:v>0.18722072154987307</c:v>
                </c:pt>
                <c:pt idx="8">
                  <c:v>0.20785078185087083</c:v>
                </c:pt>
                <c:pt idx="9">
                  <c:v>0.20859976238513989</c:v>
                </c:pt>
                <c:pt idx="10">
                  <c:v>0.19663846646111827</c:v>
                </c:pt>
                <c:pt idx="11">
                  <c:v>0.17491061930772353</c:v>
                </c:pt>
                <c:pt idx="12">
                  <c:v>0.14580873138702322</c:v>
                </c:pt>
                <c:pt idx="13">
                  <c:v>0.11103702992803771</c:v>
                </c:pt>
                <c:pt idx="14">
                  <c:v>0.11720643134689551</c:v>
                </c:pt>
                <c:pt idx="15">
                  <c:v>0.14688081174542117</c:v>
                </c:pt>
                <c:pt idx="16">
                  <c:v>0.12906029770033181</c:v>
                </c:pt>
                <c:pt idx="17">
                  <c:v>0.13416265435209343</c:v>
                </c:pt>
                <c:pt idx="18">
                  <c:v>0.10610034028453501</c:v>
                </c:pt>
              </c:numCache>
            </c:numRef>
          </c:val>
          <c:smooth val="0"/>
          <c:extLst>
            <c:ext xmlns:c16="http://schemas.microsoft.com/office/drawing/2014/chart" uri="{C3380CC4-5D6E-409C-BE32-E72D297353CC}">
              <c16:uniqueId val="{00000001-D376-4920-A6A9-A5CACD38D1AB}"/>
            </c:ext>
          </c:extLst>
        </c:ser>
        <c:ser>
          <c:idx val="2"/>
          <c:order val="2"/>
          <c:tx>
            <c:strRef>
              <c:f>'Pivot Table'!$AN$12</c:f>
              <c:strCache>
                <c:ptCount val="1"/>
                <c:pt idx="0">
                  <c:v>Sum of UAL FCR</c:v>
                </c:pt>
              </c:strCache>
            </c:strRef>
          </c:tx>
          <c:spPr>
            <a:ln w="28575" cap="rnd">
              <a:solidFill>
                <a:schemeClr val="accent3"/>
              </a:solidFill>
              <a:round/>
            </a:ln>
            <a:effectLst/>
          </c:spPr>
          <c:marker>
            <c:symbol val="none"/>
          </c:marker>
          <c:cat>
            <c:strRef>
              <c:f>'Pivot Table'!$AN$12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Table'!$AN$12</c:f>
              <c:numCache>
                <c:formatCode>0.0%_);\(0.0%\)</c:formatCode>
                <c:ptCount val="19"/>
                <c:pt idx="0">
                  <c:v>0.12700249367552446</c:v>
                </c:pt>
                <c:pt idx="1">
                  <c:v>0.15869486168352434</c:v>
                </c:pt>
                <c:pt idx="2">
                  <c:v>0.1886660668144769</c:v>
                </c:pt>
                <c:pt idx="3">
                  <c:v>0.20506310141284112</c:v>
                </c:pt>
                <c:pt idx="4">
                  <c:v>0.21193134539529596</c:v>
                </c:pt>
                <c:pt idx="5">
                  <c:v>0.28862500262014429</c:v>
                </c:pt>
                <c:pt idx="6">
                  <c:v>0.16858718848971652</c:v>
                </c:pt>
                <c:pt idx="7">
                  <c:v>0.17898876589116341</c:v>
                </c:pt>
                <c:pt idx="8">
                  <c:v>0.21693452050903794</c:v>
                </c:pt>
                <c:pt idx="9">
                  <c:v>0.22417268729722886</c:v>
                </c:pt>
                <c:pt idx="10">
                  <c:v>0.20141631853651223</c:v>
                </c:pt>
                <c:pt idx="11">
                  <c:v>0.18240982423247176</c:v>
                </c:pt>
                <c:pt idx="12">
                  <c:v>0.10830797029600717</c:v>
                </c:pt>
                <c:pt idx="13">
                  <c:v>8.8774710301098014E-2</c:v>
                </c:pt>
                <c:pt idx="14">
                  <c:v>0.11132551593655834</c:v>
                </c:pt>
                <c:pt idx="15">
                  <c:v>0.140009574024026</c:v>
                </c:pt>
                <c:pt idx="16">
                  <c:v>0.12741836563050754</c:v>
                </c:pt>
                <c:pt idx="17">
                  <c:v>0.11120461041714783</c:v>
                </c:pt>
                <c:pt idx="18">
                  <c:v>8.3017977080243083E-2</c:v>
                </c:pt>
              </c:numCache>
            </c:numRef>
          </c:val>
          <c:smooth val="0"/>
          <c:extLst>
            <c:ext xmlns:c16="http://schemas.microsoft.com/office/drawing/2014/chart" uri="{C3380CC4-5D6E-409C-BE32-E72D297353CC}">
              <c16:uniqueId val="{00000002-D376-4920-A6A9-A5CACD38D1AB}"/>
            </c:ext>
          </c:extLst>
        </c:ser>
        <c:ser>
          <c:idx val="3"/>
          <c:order val="3"/>
          <c:tx>
            <c:strRef>
              <c:f>'Pivot Table'!$AN$12</c:f>
              <c:strCache>
                <c:ptCount val="1"/>
                <c:pt idx="0">
                  <c:v>Sum of LUV FCR</c:v>
                </c:pt>
              </c:strCache>
            </c:strRef>
          </c:tx>
          <c:spPr>
            <a:ln w="28575" cap="rnd">
              <a:solidFill>
                <a:schemeClr val="accent4"/>
              </a:solidFill>
              <a:round/>
            </a:ln>
            <a:effectLst/>
          </c:spPr>
          <c:marker>
            <c:symbol val="none"/>
          </c:marker>
          <c:cat>
            <c:strRef>
              <c:f>'Pivot Table'!$AN$12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Table'!$AN$12</c:f>
              <c:numCache>
                <c:formatCode>0.0%_);\(0.0%\)</c:formatCode>
                <c:ptCount val="19"/>
                <c:pt idx="0">
                  <c:v>0.13953165194916495</c:v>
                </c:pt>
                <c:pt idx="1">
                  <c:v>0.15274870513138589</c:v>
                </c:pt>
                <c:pt idx="2">
                  <c:v>0.17577434747081191</c:v>
                </c:pt>
                <c:pt idx="3">
                  <c:v>0.2347502542014081</c:v>
                </c:pt>
                <c:pt idx="4">
                  <c:v>0.25655234477830008</c:v>
                </c:pt>
                <c:pt idx="5">
                  <c:v>0.31850209598028462</c:v>
                </c:pt>
                <c:pt idx="6">
                  <c:v>0.27940826666723345</c:v>
                </c:pt>
                <c:pt idx="7">
                  <c:v>0.2854091018373705</c:v>
                </c:pt>
                <c:pt idx="8">
                  <c:v>0.34104961089786262</c:v>
                </c:pt>
                <c:pt idx="9">
                  <c:v>0.34305290144275541</c:v>
                </c:pt>
                <c:pt idx="10">
                  <c:v>0.31267549916315079</c:v>
                </c:pt>
                <c:pt idx="11">
                  <c:v>0.27362202239551631</c:v>
                </c:pt>
                <c:pt idx="12">
                  <c:v>0.1742672825781455</c:v>
                </c:pt>
                <c:pt idx="13">
                  <c:v>0.17221312784526369</c:v>
                </c:pt>
                <c:pt idx="14">
                  <c:v>0.17911775511283634</c:v>
                </c:pt>
                <c:pt idx="15">
                  <c:v>0.20236563425919543</c:v>
                </c:pt>
                <c:pt idx="16">
                  <c:v>0.18714794240109378</c:v>
                </c:pt>
                <c:pt idx="17">
                  <c:v>0.2024298390215572</c:v>
                </c:pt>
                <c:pt idx="18">
                  <c:v>0.13642400253324885</c:v>
                </c:pt>
              </c:numCache>
            </c:numRef>
          </c:val>
          <c:smooth val="0"/>
          <c:extLst>
            <c:ext xmlns:c16="http://schemas.microsoft.com/office/drawing/2014/chart" uri="{C3380CC4-5D6E-409C-BE32-E72D297353CC}">
              <c16:uniqueId val="{00000003-D376-4920-A6A9-A5CACD38D1AB}"/>
            </c:ext>
          </c:extLst>
        </c:ser>
        <c:ser>
          <c:idx val="4"/>
          <c:order val="4"/>
          <c:tx>
            <c:strRef>
              <c:f>'Pivot Table'!$AN$12</c:f>
              <c:strCache>
                <c:ptCount val="1"/>
                <c:pt idx="0">
                  <c:v>Sum of Industry FCR</c:v>
                </c:pt>
              </c:strCache>
            </c:strRef>
          </c:tx>
          <c:spPr>
            <a:ln w="28575" cap="rnd">
              <a:solidFill>
                <a:schemeClr val="accent5"/>
              </a:solidFill>
              <a:round/>
            </a:ln>
            <a:effectLst/>
          </c:spPr>
          <c:marker>
            <c:symbol val="none"/>
          </c:marker>
          <c:cat>
            <c:strRef>
              <c:f>'Pivot Table'!$AN$12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Table'!$AN$12</c:f>
              <c:numCache>
                <c:formatCode>0.0%_);\(0.0%\)</c:formatCode>
                <c:ptCount val="19"/>
                <c:pt idx="0">
                  <c:v>0.11607279010928494</c:v>
                </c:pt>
                <c:pt idx="1">
                  <c:v>0.15005672306863327</c:v>
                </c:pt>
                <c:pt idx="2">
                  <c:v>0.19384297932857092</c:v>
                </c:pt>
                <c:pt idx="3">
                  <c:v>0.2076423645077205</c:v>
                </c:pt>
                <c:pt idx="4">
                  <c:v>0.21605828577048175</c:v>
                </c:pt>
                <c:pt idx="5">
                  <c:v>0.2867145496537683</c:v>
                </c:pt>
                <c:pt idx="6">
                  <c:v>0.19299966921349759</c:v>
                </c:pt>
                <c:pt idx="7">
                  <c:v>0.21082440146234716</c:v>
                </c:pt>
                <c:pt idx="8">
                  <c:v>0.2491979948878385</c:v>
                </c:pt>
                <c:pt idx="9">
                  <c:v>0.2396801106345921</c:v>
                </c:pt>
                <c:pt idx="10">
                  <c:v>0.22244813077703507</c:v>
                </c:pt>
                <c:pt idx="11">
                  <c:v>0.20285261485353198</c:v>
                </c:pt>
                <c:pt idx="12">
                  <c:v>0.13339262953333789</c:v>
                </c:pt>
                <c:pt idx="13">
                  <c:v>0.10773732958867485</c:v>
                </c:pt>
                <c:pt idx="14">
                  <c:v>0.11990855431052409</c:v>
                </c:pt>
                <c:pt idx="15">
                  <c:v>0.14795968690601211</c:v>
                </c:pt>
                <c:pt idx="16">
                  <c:v>0.13565716035923692</c:v>
                </c:pt>
                <c:pt idx="17">
                  <c:v>0.11174297789263912</c:v>
                </c:pt>
                <c:pt idx="18">
                  <c:v>0.13749640639946545</c:v>
                </c:pt>
              </c:numCache>
            </c:numRef>
          </c:val>
          <c:smooth val="0"/>
          <c:extLst>
            <c:ext xmlns:c16="http://schemas.microsoft.com/office/drawing/2014/chart" uri="{C3380CC4-5D6E-409C-BE32-E72D297353CC}">
              <c16:uniqueId val="{00000004-D376-4920-A6A9-A5CACD38D1AB}"/>
            </c:ext>
          </c:extLst>
        </c:ser>
        <c:dLbls>
          <c:showLegendKey val="0"/>
          <c:showVal val="0"/>
          <c:showCatName val="0"/>
          <c:showSerName val="0"/>
          <c:showPercent val="0"/>
          <c:showBubbleSize val="0"/>
        </c:dLbls>
        <c:smooth val="0"/>
        <c:axId val="1368766799"/>
        <c:axId val="1368753903"/>
      </c:lineChart>
      <c:catAx>
        <c:axId val="1368766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53903"/>
        <c:crosses val="autoZero"/>
        <c:auto val="1"/>
        <c:lblAlgn val="ctr"/>
        <c:lblOffset val="100"/>
        <c:noMultiLvlLbl val="0"/>
      </c:catAx>
      <c:valAx>
        <c:axId val="1368753903"/>
        <c:scaling>
          <c:orientation val="minMax"/>
          <c:max val="0.35000000000000003"/>
          <c:min val="5.000000000000001E-2"/>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66799"/>
        <c:crosses val="autoZero"/>
        <c:crossBetween val="between"/>
        <c:majorUnit val="2.5000000000000005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Table!Effeciency</c:name>
    <c:fmtId val="18"/>
  </c:pivotSource>
  <c:chart>
    <c:title>
      <c:tx>
        <c:strRef>
          <c:f>'Pivot Table'!$AV$12</c:f>
          <c:strCache>
            <c:ptCount val="1"/>
            <c:pt idx="0">
              <c:v>Fuel Efficiency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Table'!$AV$12</c:f>
              <c:strCache>
                <c:ptCount val="1"/>
                <c:pt idx="0">
                  <c:v>Sum of AAL E</c:v>
                </c:pt>
              </c:strCache>
            </c:strRef>
          </c:tx>
          <c:spPr>
            <a:ln w="28575" cap="rnd">
              <a:solidFill>
                <a:schemeClr val="accent1"/>
              </a:solidFill>
              <a:round/>
            </a:ln>
            <a:effectLst/>
          </c:spPr>
          <c:marker>
            <c:symbol val="none"/>
          </c:marker>
          <c:cat>
            <c:strRef>
              <c:f>'Pivot Table'!$AV$12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Table'!$AV$12</c:f>
              <c:numCache>
                <c:formatCode>#,##0.0_);\(#,##0.0\);\-\ </c:formatCode>
                <c:ptCount val="19"/>
                <c:pt idx="0">
                  <c:v>54.174044296304629</c:v>
                </c:pt>
                <c:pt idx="1">
                  <c:v>55.402971557276267</c:v>
                </c:pt>
                <c:pt idx="2">
                  <c:v>57.477110966535392</c:v>
                </c:pt>
                <c:pt idx="3">
                  <c:v>58.272319051793204</c:v>
                </c:pt>
                <c:pt idx="4">
                  <c:v>57.812462566846392</c:v>
                </c:pt>
                <c:pt idx="5">
                  <c:v>58.521390210291827</c:v>
                </c:pt>
                <c:pt idx="6">
                  <c:v>58.049389036662923</c:v>
                </c:pt>
                <c:pt idx="7">
                  <c:v>60.088725437211501</c:v>
                </c:pt>
                <c:pt idx="8">
                  <c:v>61.623141309563479</c:v>
                </c:pt>
                <c:pt idx="9">
                  <c:v>62.327275481166652</c:v>
                </c:pt>
                <c:pt idx="10">
                  <c:v>62.990744854783941</c:v>
                </c:pt>
                <c:pt idx="11">
                  <c:v>64.722131140824942</c:v>
                </c:pt>
                <c:pt idx="12">
                  <c:v>66.081010212918329</c:v>
                </c:pt>
                <c:pt idx="13">
                  <c:v>67.940016740323188</c:v>
                </c:pt>
                <c:pt idx="14">
                  <c:v>68.931377514784032</c:v>
                </c:pt>
                <c:pt idx="15">
                  <c:v>68.396963770562763</c:v>
                </c:pt>
                <c:pt idx="16">
                  <c:v>67.194184687381622</c:v>
                </c:pt>
                <c:pt idx="17">
                  <c:v>72.615649299254159</c:v>
                </c:pt>
                <c:pt idx="18">
                  <c:v>102.61186954618762</c:v>
                </c:pt>
              </c:numCache>
            </c:numRef>
          </c:val>
          <c:smooth val="0"/>
          <c:extLst>
            <c:ext xmlns:c16="http://schemas.microsoft.com/office/drawing/2014/chart" uri="{C3380CC4-5D6E-409C-BE32-E72D297353CC}">
              <c16:uniqueId val="{00000000-6F98-4CCA-A2FB-5A5C59BA94E7}"/>
            </c:ext>
          </c:extLst>
        </c:ser>
        <c:ser>
          <c:idx val="1"/>
          <c:order val="1"/>
          <c:tx>
            <c:strRef>
              <c:f>'Pivot Table'!$AV$12</c:f>
              <c:strCache>
                <c:ptCount val="1"/>
                <c:pt idx="0">
                  <c:v>Sum of DAL E</c:v>
                </c:pt>
              </c:strCache>
            </c:strRef>
          </c:tx>
          <c:spPr>
            <a:ln w="28575" cap="rnd">
              <a:solidFill>
                <a:schemeClr val="accent2"/>
              </a:solidFill>
              <a:round/>
            </a:ln>
            <a:effectLst/>
          </c:spPr>
          <c:marker>
            <c:symbol val="none"/>
          </c:marker>
          <c:cat>
            <c:strRef>
              <c:f>'Pivot Table'!$AV$12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Table'!$AV$12</c:f>
              <c:numCache>
                <c:formatCode>#,##0.0_);\(#,##0.0\);\-\ </c:formatCode>
                <c:ptCount val="19"/>
                <c:pt idx="0">
                  <c:v>60.114592272161282</c:v>
                </c:pt>
                <c:pt idx="1">
                  <c:v>61.088606804026838</c:v>
                </c:pt>
                <c:pt idx="2">
                  <c:v>63.223076306062595</c:v>
                </c:pt>
                <c:pt idx="3">
                  <c:v>64.813410382313108</c:v>
                </c:pt>
                <c:pt idx="4">
                  <c:v>65.317519347581836</c:v>
                </c:pt>
                <c:pt idx="5">
                  <c:v>65.699928272030377</c:v>
                </c:pt>
                <c:pt idx="6">
                  <c:v>63.312522894032263</c:v>
                </c:pt>
                <c:pt idx="7">
                  <c:v>65.623466808631335</c:v>
                </c:pt>
                <c:pt idx="8">
                  <c:v>68.815804480651721</c:v>
                </c:pt>
                <c:pt idx="9">
                  <c:v>70.580249648292963</c:v>
                </c:pt>
                <c:pt idx="10">
                  <c:v>69.56421289957315</c:v>
                </c:pt>
                <c:pt idx="11">
                  <c:v>70.298654306693408</c:v>
                </c:pt>
                <c:pt idx="12">
                  <c:v>69.781352204788249</c:v>
                </c:pt>
                <c:pt idx="13">
                  <c:v>67.463227096833009</c:v>
                </c:pt>
                <c:pt idx="14">
                  <c:v>66.200788293752737</c:v>
                </c:pt>
                <c:pt idx="15">
                  <c:v>66.797640831434677</c:v>
                </c:pt>
                <c:pt idx="16">
                  <c:v>68.445935849342646</c:v>
                </c:pt>
                <c:pt idx="17">
                  <c:v>74.942119287525415</c:v>
                </c:pt>
                <c:pt idx="18">
                  <c:v>102.88507276365345</c:v>
                </c:pt>
              </c:numCache>
            </c:numRef>
          </c:val>
          <c:smooth val="0"/>
          <c:extLst>
            <c:ext xmlns:c16="http://schemas.microsoft.com/office/drawing/2014/chart" uri="{C3380CC4-5D6E-409C-BE32-E72D297353CC}">
              <c16:uniqueId val="{00000001-6F98-4CCA-A2FB-5A5C59BA94E7}"/>
            </c:ext>
          </c:extLst>
        </c:ser>
        <c:ser>
          <c:idx val="2"/>
          <c:order val="2"/>
          <c:tx>
            <c:strRef>
              <c:f>'Pivot Table'!$AV$12</c:f>
              <c:strCache>
                <c:ptCount val="1"/>
                <c:pt idx="0">
                  <c:v>Sum of UAL E</c:v>
                </c:pt>
              </c:strCache>
            </c:strRef>
          </c:tx>
          <c:spPr>
            <a:ln w="28575" cap="rnd">
              <a:solidFill>
                <a:schemeClr val="accent3"/>
              </a:solidFill>
              <a:round/>
            </a:ln>
            <a:effectLst/>
          </c:spPr>
          <c:marker>
            <c:symbol val="none"/>
          </c:marker>
          <c:cat>
            <c:strRef>
              <c:f>'Pivot Table'!$AV$12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Table'!$AV$12</c:f>
              <c:numCache>
                <c:formatCode>#,##0.0_);\(#,##0.0\);\-\ </c:formatCode>
                <c:ptCount val="19"/>
                <c:pt idx="0">
                  <c:v>64.142717004400353</c:v>
                </c:pt>
                <c:pt idx="1">
                  <c:v>65.345624730235386</c:v>
                </c:pt>
                <c:pt idx="2">
                  <c:v>66.99181217185874</c:v>
                </c:pt>
                <c:pt idx="3">
                  <c:v>66.160825557624236</c:v>
                </c:pt>
                <c:pt idx="4">
                  <c:v>64.374475764651024</c:v>
                </c:pt>
                <c:pt idx="5">
                  <c:v>64.842975178094193</c:v>
                </c:pt>
                <c:pt idx="6">
                  <c:v>65.953761619193315</c:v>
                </c:pt>
                <c:pt idx="7">
                  <c:v>66.746669203067555</c:v>
                </c:pt>
                <c:pt idx="8">
                  <c:v>66.451508732298535</c:v>
                </c:pt>
                <c:pt idx="9">
                  <c:v>69.54904910234049</c:v>
                </c:pt>
                <c:pt idx="10">
                  <c:v>70.017357447810568</c:v>
                </c:pt>
                <c:pt idx="11">
                  <c:v>71.568980455743841</c:v>
                </c:pt>
                <c:pt idx="12">
                  <c:v>74.134773403844136</c:v>
                </c:pt>
                <c:pt idx="13">
                  <c:v>74.20703466224947</c:v>
                </c:pt>
                <c:pt idx="14">
                  <c:v>74.590999124411354</c:v>
                </c:pt>
                <c:pt idx="15">
                  <c:v>74.54433419384344</c:v>
                </c:pt>
                <c:pt idx="16">
                  <c:v>74.273957178225857</c:v>
                </c:pt>
                <c:pt idx="17">
                  <c:v>79.439522761955729</c:v>
                </c:pt>
                <c:pt idx="18">
                  <c:v>114.43349458739976</c:v>
                </c:pt>
              </c:numCache>
            </c:numRef>
          </c:val>
          <c:smooth val="0"/>
          <c:extLst>
            <c:ext xmlns:c16="http://schemas.microsoft.com/office/drawing/2014/chart" uri="{C3380CC4-5D6E-409C-BE32-E72D297353CC}">
              <c16:uniqueId val="{00000002-6F98-4CCA-A2FB-5A5C59BA94E7}"/>
            </c:ext>
          </c:extLst>
        </c:ser>
        <c:ser>
          <c:idx val="3"/>
          <c:order val="3"/>
          <c:tx>
            <c:strRef>
              <c:f>'Pivot Table'!$AV$12</c:f>
              <c:strCache>
                <c:ptCount val="1"/>
                <c:pt idx="0">
                  <c:v>Sum of LUV E</c:v>
                </c:pt>
              </c:strCache>
            </c:strRef>
          </c:tx>
          <c:spPr>
            <a:ln w="28575" cap="rnd">
              <a:solidFill>
                <a:schemeClr val="accent4"/>
              </a:solidFill>
              <a:round/>
            </a:ln>
            <a:effectLst/>
          </c:spPr>
          <c:marker>
            <c:symbol val="none"/>
          </c:marker>
          <c:cat>
            <c:strRef>
              <c:f>'Pivot Table'!$AV$12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Table'!$AV$12</c:f>
              <c:numCache>
                <c:formatCode>#,##0.0_);\(#,##0.0\);\-\ </c:formatCode>
                <c:ptCount val="19"/>
                <c:pt idx="0">
                  <c:v>62.839678222240892</c:v>
                </c:pt>
                <c:pt idx="1">
                  <c:v>64.034196342228299</c:v>
                </c:pt>
                <c:pt idx="2">
                  <c:v>66.1806800465762</c:v>
                </c:pt>
                <c:pt idx="3">
                  <c:v>66.673228119855878</c:v>
                </c:pt>
                <c:pt idx="4">
                  <c:v>66.83983141914598</c:v>
                </c:pt>
                <c:pt idx="5">
                  <c:v>68.361335972094452</c:v>
                </c:pt>
                <c:pt idx="6">
                  <c:v>68.640694629549358</c:v>
                </c:pt>
                <c:pt idx="7">
                  <c:v>68.521425096209882</c:v>
                </c:pt>
                <c:pt idx="8">
                  <c:v>68.890921856574153</c:v>
                </c:pt>
                <c:pt idx="9">
                  <c:v>60.49831670510946</c:v>
                </c:pt>
                <c:pt idx="10">
                  <c:v>62.422706653505315</c:v>
                </c:pt>
                <c:pt idx="11">
                  <c:v>68.127843906348744</c:v>
                </c:pt>
                <c:pt idx="12">
                  <c:v>72.482139887619638</c:v>
                </c:pt>
                <c:pt idx="13">
                  <c:v>72.718021574466263</c:v>
                </c:pt>
                <c:pt idx="14">
                  <c:v>73.286135722378319</c:v>
                </c:pt>
                <c:pt idx="15">
                  <c:v>74.458417289976239</c:v>
                </c:pt>
                <c:pt idx="16">
                  <c:v>74.097199708751759</c:v>
                </c:pt>
                <c:pt idx="17">
                  <c:v>80.122140866309053</c:v>
                </c:pt>
                <c:pt idx="18">
                  <c:v>107.64853025946285</c:v>
                </c:pt>
              </c:numCache>
            </c:numRef>
          </c:val>
          <c:smooth val="0"/>
          <c:extLst>
            <c:ext xmlns:c16="http://schemas.microsoft.com/office/drawing/2014/chart" uri="{C3380CC4-5D6E-409C-BE32-E72D297353CC}">
              <c16:uniqueId val="{00000003-6F98-4CCA-A2FB-5A5C59BA94E7}"/>
            </c:ext>
          </c:extLst>
        </c:ser>
        <c:ser>
          <c:idx val="4"/>
          <c:order val="4"/>
          <c:tx>
            <c:strRef>
              <c:f>'Pivot Table'!$AV$12</c:f>
              <c:strCache>
                <c:ptCount val="1"/>
                <c:pt idx="0">
                  <c:v>Sum of Industry E</c:v>
                </c:pt>
              </c:strCache>
            </c:strRef>
          </c:tx>
          <c:spPr>
            <a:ln w="28575" cap="rnd">
              <a:solidFill>
                <a:schemeClr val="accent5"/>
              </a:solidFill>
              <a:round/>
            </a:ln>
            <a:effectLst/>
          </c:spPr>
          <c:marker>
            <c:symbol val="none"/>
          </c:marker>
          <c:cat>
            <c:strRef>
              <c:f>'Pivot Table'!$AV$12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Table'!$AV$12</c:f>
              <c:numCache>
                <c:formatCode>#,##0.0_);\(#,##0.0\);\-\ </c:formatCode>
                <c:ptCount val="19"/>
                <c:pt idx="0">
                  <c:v>35.497477490537172</c:v>
                </c:pt>
                <c:pt idx="1">
                  <c:v>35.581679160531849</c:v>
                </c:pt>
                <c:pt idx="2">
                  <c:v>36.604897171075407</c:v>
                </c:pt>
                <c:pt idx="3">
                  <c:v>37.524034471899405</c:v>
                </c:pt>
                <c:pt idx="4">
                  <c:v>38.431511270097701</c:v>
                </c:pt>
                <c:pt idx="5">
                  <c:v>38.727341032118382</c:v>
                </c:pt>
                <c:pt idx="6">
                  <c:v>40.668200958053752</c:v>
                </c:pt>
                <c:pt idx="7">
                  <c:v>45.352428369871923</c:v>
                </c:pt>
                <c:pt idx="8">
                  <c:v>46.66729980328958</c:v>
                </c:pt>
                <c:pt idx="9">
                  <c:v>55.042431603520185</c:v>
                </c:pt>
                <c:pt idx="10">
                  <c:v>56.797366068351657</c:v>
                </c:pt>
                <c:pt idx="11">
                  <c:v>58.169762066687397</c:v>
                </c:pt>
                <c:pt idx="12">
                  <c:v>62.791400748505779</c:v>
                </c:pt>
                <c:pt idx="13">
                  <c:v>66.487001692441325</c:v>
                </c:pt>
                <c:pt idx="14">
                  <c:v>68.445919544284152</c:v>
                </c:pt>
                <c:pt idx="15">
                  <c:v>70.590777742142407</c:v>
                </c:pt>
                <c:pt idx="16">
                  <c:v>71.680151098562888</c:v>
                </c:pt>
                <c:pt idx="17">
                  <c:v>70.755680925782542</c:v>
                </c:pt>
                <c:pt idx="18">
                  <c:v>73.789002505559537</c:v>
                </c:pt>
              </c:numCache>
            </c:numRef>
          </c:val>
          <c:smooth val="0"/>
          <c:extLst>
            <c:ext xmlns:c16="http://schemas.microsoft.com/office/drawing/2014/chart" uri="{C3380CC4-5D6E-409C-BE32-E72D297353CC}">
              <c16:uniqueId val="{00000004-6F98-4CCA-A2FB-5A5C59BA94E7}"/>
            </c:ext>
          </c:extLst>
        </c:ser>
        <c:dLbls>
          <c:showLegendKey val="0"/>
          <c:showVal val="0"/>
          <c:showCatName val="0"/>
          <c:showSerName val="0"/>
          <c:showPercent val="0"/>
          <c:showBubbleSize val="0"/>
        </c:dLbls>
        <c:smooth val="0"/>
        <c:axId val="1163566127"/>
        <c:axId val="1163564047"/>
      </c:lineChart>
      <c:catAx>
        <c:axId val="116356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3564047"/>
        <c:crosses val="autoZero"/>
        <c:auto val="1"/>
        <c:lblAlgn val="ctr"/>
        <c:lblOffset val="100"/>
        <c:noMultiLvlLbl val="0"/>
      </c:catAx>
      <c:valAx>
        <c:axId val="1163564047"/>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356612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Table!Benchmark Differential</c:name>
    <c:fmtId val="17"/>
  </c:pivotSource>
  <c:chart>
    <c:title>
      <c:tx>
        <c:strRef>
          <c:f>'Pivot Table'!$A$35</c:f>
          <c:strCache>
            <c:ptCount val="1"/>
            <c:pt idx="0">
              <c:v>Benchmark Differential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Table'!$A$35</c:f>
              <c:strCache>
                <c:ptCount val="1"/>
                <c:pt idx="0">
                  <c:v>Sum of AAL Diff</c:v>
                </c:pt>
              </c:strCache>
            </c:strRef>
          </c:tx>
          <c:spPr>
            <a:ln w="28575" cap="rnd">
              <a:solidFill>
                <a:schemeClr val="accent1"/>
              </a:solidFill>
              <a:round/>
            </a:ln>
            <a:effectLst/>
          </c:spPr>
          <c:marker>
            <c:symbol val="none"/>
          </c:marker>
          <c:cat>
            <c:strRef>
              <c:f>'Pivot Table'!$A$35</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Table'!$A$35</c:f>
              <c:numCache>
                <c:formatCode>0.0%_);\(0.0%\)</c:formatCode>
                <c:ptCount val="19"/>
                <c:pt idx="0">
                  <c:v>-4.1715077149411472E-2</c:v>
                </c:pt>
                <c:pt idx="1">
                  <c:v>-1.3018819867336884E-2</c:v>
                </c:pt>
                <c:pt idx="2">
                  <c:v>-1.9425346057731607E-2</c:v>
                </c:pt>
                <c:pt idx="3">
                  <c:v>1.4796594692065845E-3</c:v>
                </c:pt>
                <c:pt idx="4">
                  <c:v>-5.8983007731856718E-2</c:v>
                </c:pt>
                <c:pt idx="5">
                  <c:v>-4.2799615724546602E-2</c:v>
                </c:pt>
                <c:pt idx="6">
                  <c:v>0.2423986699817573</c:v>
                </c:pt>
                <c:pt idx="7">
                  <c:v>5.183040500169267E-2</c:v>
                </c:pt>
                <c:pt idx="8">
                  <c:v>-3.764909070686695E-2</c:v>
                </c:pt>
                <c:pt idx="9">
                  <c:v>4.6753484967293479E-2</c:v>
                </c:pt>
                <c:pt idx="10">
                  <c:v>8.2485706688235183E-2</c:v>
                </c:pt>
                <c:pt idx="11">
                  <c:v>0.105781535555032</c:v>
                </c:pt>
                <c:pt idx="12">
                  <c:v>0.10568730941716376</c:v>
                </c:pt>
                <c:pt idx="13">
                  <c:v>3.3360394580339348E-2</c:v>
                </c:pt>
                <c:pt idx="14">
                  <c:v>1.5264186657392154E-2</c:v>
                </c:pt>
                <c:pt idx="15">
                  <c:v>2.3276218002192817E-2</c:v>
                </c:pt>
                <c:pt idx="16">
                  <c:v>2.4302793904525721E-2</c:v>
                </c:pt>
                <c:pt idx="17">
                  <c:v>0.12728738339802392</c:v>
                </c:pt>
                <c:pt idx="18">
                  <c:v>2.1072358073372044E-2</c:v>
                </c:pt>
              </c:numCache>
            </c:numRef>
          </c:val>
          <c:smooth val="0"/>
          <c:extLst>
            <c:ext xmlns:c16="http://schemas.microsoft.com/office/drawing/2014/chart" uri="{C3380CC4-5D6E-409C-BE32-E72D297353CC}">
              <c16:uniqueId val="{00000000-59D4-4E3C-A3A0-BFAA43679D81}"/>
            </c:ext>
          </c:extLst>
        </c:ser>
        <c:ser>
          <c:idx val="1"/>
          <c:order val="1"/>
          <c:tx>
            <c:strRef>
              <c:f>'Pivot Table'!$A$35</c:f>
              <c:strCache>
                <c:ptCount val="1"/>
                <c:pt idx="0">
                  <c:v>Sum of DAL Diff</c:v>
                </c:pt>
              </c:strCache>
            </c:strRef>
          </c:tx>
          <c:spPr>
            <a:ln w="28575" cap="rnd">
              <a:solidFill>
                <a:schemeClr val="accent2"/>
              </a:solidFill>
              <a:round/>
            </a:ln>
            <a:effectLst/>
          </c:spPr>
          <c:marker>
            <c:symbol val="none"/>
          </c:marker>
          <c:cat>
            <c:strRef>
              <c:f>'Pivot Table'!$A$35</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Table'!$A$35</c:f>
              <c:numCache>
                <c:formatCode>0.0%_);\(0.0%\)</c:formatCode>
                <c:ptCount val="19"/>
                <c:pt idx="0">
                  <c:v>-4.0802219011974894E-2</c:v>
                </c:pt>
                <c:pt idx="1">
                  <c:v>-1.5284665687769983E-2</c:v>
                </c:pt>
                <c:pt idx="2">
                  <c:v>4.4243459018007414E-3</c:v>
                </c:pt>
                <c:pt idx="3">
                  <c:v>8.7384887521193555E-2</c:v>
                </c:pt>
                <c:pt idx="4">
                  <c:v>6.0976701967656144E-2</c:v>
                </c:pt>
                <c:pt idx="5">
                  <c:v>8.2078735833186256E-2</c:v>
                </c:pt>
                <c:pt idx="6">
                  <c:v>0.47262866271530624</c:v>
                </c:pt>
                <c:pt idx="7">
                  <c:v>8.1254004473906294E-2</c:v>
                </c:pt>
                <c:pt idx="8">
                  <c:v>-1.9710094222616936E-3</c:v>
                </c:pt>
                <c:pt idx="9">
                  <c:v>6.3410486420540479E-2</c:v>
                </c:pt>
                <c:pt idx="10">
                  <c:v>4.6697003221183975E-2</c:v>
                </c:pt>
                <c:pt idx="11">
                  <c:v>5.7827070157761895E-2</c:v>
                </c:pt>
                <c:pt idx="12">
                  <c:v>0.53913455936684818</c:v>
                </c:pt>
                <c:pt idx="13">
                  <c:v>0.30242148152840742</c:v>
                </c:pt>
                <c:pt idx="14">
                  <c:v>0.11814114432084444</c:v>
                </c:pt>
                <c:pt idx="15">
                  <c:v>9.2931458761370767E-2</c:v>
                </c:pt>
                <c:pt idx="16">
                  <c:v>6.9644906040630561E-2</c:v>
                </c:pt>
                <c:pt idx="17">
                  <c:v>0.36362152049552954</c:v>
                </c:pt>
                <c:pt idx="18">
                  <c:v>0.15693103197355152</c:v>
                </c:pt>
              </c:numCache>
            </c:numRef>
          </c:val>
          <c:smooth val="0"/>
          <c:extLst>
            <c:ext xmlns:c16="http://schemas.microsoft.com/office/drawing/2014/chart" uri="{C3380CC4-5D6E-409C-BE32-E72D297353CC}">
              <c16:uniqueId val="{00000001-59D4-4E3C-A3A0-BFAA43679D81}"/>
            </c:ext>
          </c:extLst>
        </c:ser>
        <c:ser>
          <c:idx val="2"/>
          <c:order val="2"/>
          <c:tx>
            <c:strRef>
              <c:f>'Pivot Table'!$A$35</c:f>
              <c:strCache>
                <c:ptCount val="1"/>
                <c:pt idx="0">
                  <c:v>Sum of UAL Diff</c:v>
                </c:pt>
              </c:strCache>
            </c:strRef>
          </c:tx>
          <c:spPr>
            <a:ln w="28575" cap="rnd">
              <a:solidFill>
                <a:schemeClr val="accent3"/>
              </a:solidFill>
              <a:round/>
            </a:ln>
            <a:effectLst/>
          </c:spPr>
          <c:marker>
            <c:symbol val="none"/>
          </c:marker>
          <c:cat>
            <c:strRef>
              <c:f>'Pivot Table'!$A$35</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Table'!$A$35</c:f>
              <c:numCache>
                <c:formatCode>0.0%_);\(0.0%\)</c:formatCode>
                <c:ptCount val="19"/>
                <c:pt idx="0">
                  <c:v>3.1946830309389718E-2</c:v>
                </c:pt>
                <c:pt idx="1">
                  <c:v>3.3004412949873219E-2</c:v>
                </c:pt>
                <c:pt idx="2">
                  <c:v>2.1639653762384414E-2</c:v>
                </c:pt>
                <c:pt idx="3">
                  <c:v>7.2850016552254537E-2</c:v>
                </c:pt>
                <c:pt idx="4">
                  <c:v>1.3507375502293195E-2</c:v>
                </c:pt>
                <c:pt idx="5">
                  <c:v>6.8840141348461836E-2</c:v>
                </c:pt>
                <c:pt idx="6">
                  <c:v>7.239751311025322E-2</c:v>
                </c:pt>
                <c:pt idx="7">
                  <c:v>4.3098740770891819E-2</c:v>
                </c:pt>
                <c:pt idx="8">
                  <c:v>2.8111738324910318E-2</c:v>
                </c:pt>
                <c:pt idx="9">
                  <c:v>1.0998538499068289E-2</c:v>
                </c:pt>
                <c:pt idx="10">
                  <c:v>1.4870550217291001E-2</c:v>
                </c:pt>
                <c:pt idx="11">
                  <c:v>3.7150095840347674E-2</c:v>
                </c:pt>
                <c:pt idx="12">
                  <c:v>7.1968032720189257E-2</c:v>
                </c:pt>
                <c:pt idx="13">
                  <c:v>4.3311530227660988E-2</c:v>
                </c:pt>
                <c:pt idx="14">
                  <c:v>3.6610545710490605E-2</c:v>
                </c:pt>
                <c:pt idx="15">
                  <c:v>4.4256121545695359E-2</c:v>
                </c:pt>
                <c:pt idx="16">
                  <c:v>4.1213655744290811E-2</c:v>
                </c:pt>
                <c:pt idx="17">
                  <c:v>0.18828627179263191</c:v>
                </c:pt>
                <c:pt idx="18">
                  <c:v>4.5093676214068124E-2</c:v>
                </c:pt>
              </c:numCache>
            </c:numRef>
          </c:val>
          <c:smooth val="0"/>
          <c:extLst>
            <c:ext xmlns:c16="http://schemas.microsoft.com/office/drawing/2014/chart" uri="{C3380CC4-5D6E-409C-BE32-E72D297353CC}">
              <c16:uniqueId val="{00000002-59D4-4E3C-A3A0-BFAA43679D81}"/>
            </c:ext>
          </c:extLst>
        </c:ser>
        <c:ser>
          <c:idx val="3"/>
          <c:order val="3"/>
          <c:tx>
            <c:strRef>
              <c:f>'Pivot Table'!$A$35</c:f>
              <c:strCache>
                <c:ptCount val="1"/>
                <c:pt idx="0">
                  <c:v>Sum of LUV Diff</c:v>
                </c:pt>
              </c:strCache>
            </c:strRef>
          </c:tx>
          <c:spPr>
            <a:ln w="28575" cap="rnd">
              <a:solidFill>
                <a:schemeClr val="accent4"/>
              </a:solidFill>
              <a:round/>
            </a:ln>
            <a:effectLst/>
          </c:spPr>
          <c:marker>
            <c:symbol val="none"/>
          </c:marker>
          <c:cat>
            <c:strRef>
              <c:f>'Pivot Table'!$A$35</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Table'!$A$35</c:f>
              <c:numCache>
                <c:formatCode>0.0%_);\(0.0%\)</c:formatCode>
                <c:ptCount val="19"/>
                <c:pt idx="0">
                  <c:v>-0.12301973973525215</c:v>
                </c:pt>
                <c:pt idx="1">
                  <c:v>-0.27834295898055261</c:v>
                </c:pt>
                <c:pt idx="2">
                  <c:v>-0.39564981819829004</c:v>
                </c:pt>
                <c:pt idx="3">
                  <c:v>-0.20168284927805114</c:v>
                </c:pt>
                <c:pt idx="4">
                  <c:v>-0.20407125020382055</c:v>
                </c:pt>
                <c:pt idx="5">
                  <c:v>-0.21654653356363518</c:v>
                </c:pt>
                <c:pt idx="6">
                  <c:v>0.22306250754263734</c:v>
                </c:pt>
                <c:pt idx="7">
                  <c:v>0.12041785536583971</c:v>
                </c:pt>
                <c:pt idx="8">
                  <c:v>2.9309363969276525E-2</c:v>
                </c:pt>
                <c:pt idx="9">
                  <c:v>4.3229898677663581E-2</c:v>
                </c:pt>
                <c:pt idx="10">
                  <c:v>3.9215289736852954E-2</c:v>
                </c:pt>
                <c:pt idx="11">
                  <c:v>4.3769705308215556E-2</c:v>
                </c:pt>
                <c:pt idx="12">
                  <c:v>0.18258771027447818</c:v>
                </c:pt>
                <c:pt idx="13">
                  <c:v>0.39629879495797216</c:v>
                </c:pt>
                <c:pt idx="14">
                  <c:v>0.17524555049358193</c:v>
                </c:pt>
                <c:pt idx="15">
                  <c:v>3.6384999887890013E-2</c:v>
                </c:pt>
                <c:pt idx="16">
                  <c:v>5.9121160398179162E-2</c:v>
                </c:pt>
                <c:pt idx="17">
                  <c:v>0.23133122717586918</c:v>
                </c:pt>
                <c:pt idx="18">
                  <c:v>3.5867157101484137E-2</c:v>
                </c:pt>
              </c:numCache>
            </c:numRef>
          </c:val>
          <c:smooth val="0"/>
          <c:extLst>
            <c:ext xmlns:c16="http://schemas.microsoft.com/office/drawing/2014/chart" uri="{C3380CC4-5D6E-409C-BE32-E72D297353CC}">
              <c16:uniqueId val="{00000003-59D4-4E3C-A3A0-BFAA43679D81}"/>
            </c:ext>
          </c:extLst>
        </c:ser>
        <c:ser>
          <c:idx val="4"/>
          <c:order val="4"/>
          <c:tx>
            <c:strRef>
              <c:f>'Pivot Table'!$A$35</c:f>
              <c:strCache>
                <c:ptCount val="1"/>
                <c:pt idx="0">
                  <c:v>Sum of Industry Diff</c:v>
                </c:pt>
              </c:strCache>
            </c:strRef>
          </c:tx>
          <c:spPr>
            <a:ln w="28575" cap="rnd">
              <a:solidFill>
                <a:schemeClr val="accent5"/>
              </a:solidFill>
              <a:round/>
            </a:ln>
            <a:effectLst/>
          </c:spPr>
          <c:marker>
            <c:symbol val="none"/>
          </c:marker>
          <c:cat>
            <c:strRef>
              <c:f>'Pivot Table'!$A$35</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Table'!$A$35</c:f>
              <c:numCache>
                <c:formatCode>0.0%_);\(0.0%\)</c:formatCode>
                <c:ptCount val="19"/>
                <c:pt idx="0">
                  <c:v>6.3501539825872033E-3</c:v>
                </c:pt>
                <c:pt idx="1">
                  <c:v>-1.7092692106387086E-2</c:v>
                </c:pt>
                <c:pt idx="2">
                  <c:v>-4.4797510157863818E-2</c:v>
                </c:pt>
                <c:pt idx="3">
                  <c:v>2.3036731325662974E-3</c:v>
                </c:pt>
                <c:pt idx="4">
                  <c:v>-2.9352678499882101E-2</c:v>
                </c:pt>
                <c:pt idx="5">
                  <c:v>2.2886538063950912E-3</c:v>
                </c:pt>
                <c:pt idx="6">
                  <c:v>0.14608034728555563</c:v>
                </c:pt>
                <c:pt idx="7">
                  <c:v>5.7726549865158239E-2</c:v>
                </c:pt>
                <c:pt idx="8">
                  <c:v>1.8524273564566318E-2</c:v>
                </c:pt>
                <c:pt idx="9">
                  <c:v>4.1354689696380342E-2</c:v>
                </c:pt>
                <c:pt idx="10">
                  <c:v>4.4020454862888858E-2</c:v>
                </c:pt>
                <c:pt idx="11">
                  <c:v>6.7245405911015022E-2</c:v>
                </c:pt>
                <c:pt idx="12">
                  <c:v>0.20008130484579234</c:v>
                </c:pt>
                <c:pt idx="13">
                  <c:v>0.16256426997304696</c:v>
                </c:pt>
                <c:pt idx="14">
                  <c:v>8.8910547873283896E-2</c:v>
                </c:pt>
                <c:pt idx="15">
                  <c:v>6.0989166748129486E-2</c:v>
                </c:pt>
                <c:pt idx="16">
                  <c:v>6.3195424108589249E-2</c:v>
                </c:pt>
                <c:pt idx="17">
                  <c:v>0.23208723881497062</c:v>
                </c:pt>
                <c:pt idx="18">
                  <c:v>5.3213918954617689E-2</c:v>
                </c:pt>
              </c:numCache>
            </c:numRef>
          </c:val>
          <c:smooth val="0"/>
          <c:extLst>
            <c:ext xmlns:c16="http://schemas.microsoft.com/office/drawing/2014/chart" uri="{C3380CC4-5D6E-409C-BE32-E72D297353CC}">
              <c16:uniqueId val="{00000004-59D4-4E3C-A3A0-BFAA43679D81}"/>
            </c:ext>
          </c:extLst>
        </c:ser>
        <c:dLbls>
          <c:showLegendKey val="0"/>
          <c:showVal val="0"/>
          <c:showCatName val="0"/>
          <c:showSerName val="0"/>
          <c:showPercent val="0"/>
          <c:showBubbleSize val="0"/>
        </c:dLbls>
        <c:smooth val="0"/>
        <c:axId val="1281109119"/>
        <c:axId val="1281101215"/>
      </c:lineChart>
      <c:catAx>
        <c:axId val="1281109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01215"/>
        <c:crosses val="autoZero"/>
        <c:auto val="1"/>
        <c:lblAlgn val="ctr"/>
        <c:lblOffset val="100"/>
        <c:noMultiLvlLbl val="0"/>
      </c:catAx>
      <c:valAx>
        <c:axId val="1281101215"/>
        <c:scaling>
          <c:orientation val="minMax"/>
          <c:max val="0.60000000000000009"/>
          <c:min val="-0.4"/>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1091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Table!Fuel Expense/ ASM</c:name>
    <c:fmtId val="18"/>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Table'!$BE$13</c:f>
              <c:strCache>
                <c:ptCount val="1"/>
                <c:pt idx="0">
                  <c:v>Sum of AAL FA</c:v>
                </c:pt>
              </c:strCache>
            </c:strRef>
          </c:tx>
          <c:spPr>
            <a:ln w="28575" cap="rnd">
              <a:solidFill>
                <a:schemeClr val="accent1"/>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Table'!$BE$14:$BE$33</c:f>
              <c:numCache>
                <c:formatCode>\¢#,##0.00_);\(\¢#,##0.00\);\-\ </c:formatCode>
                <c:ptCount val="19"/>
                <c:pt idx="0">
                  <c:v>1.4599074270930494</c:v>
                </c:pt>
                <c:pt idx="1">
                  <c:v>2.040165194342328</c:v>
                </c:pt>
                <c:pt idx="2">
                  <c:v>2.9082034382414164</c:v>
                </c:pt>
                <c:pt idx="3">
                  <c:v>3.3055153493107481</c:v>
                </c:pt>
                <c:pt idx="4">
                  <c:v>3.4698830813665835</c:v>
                </c:pt>
                <c:pt idx="5">
                  <c:v>4.8598907531449385</c:v>
                </c:pt>
                <c:pt idx="6">
                  <c:v>3.5469835192605013</c:v>
                </c:pt>
                <c:pt idx="7">
                  <c:v>3.7562370896355342</c:v>
                </c:pt>
                <c:pt idx="8">
                  <c:v>4.679847316191748</c:v>
                </c:pt>
                <c:pt idx="9">
                  <c:v>5.1235119961924696</c:v>
                </c:pt>
                <c:pt idx="10">
                  <c:v>5.0073222287790227</c:v>
                </c:pt>
                <c:pt idx="11">
                  <c:v>4.5960249152686092</c:v>
                </c:pt>
                <c:pt idx="12">
                  <c:v>2.5012795278207065</c:v>
                </c:pt>
                <c:pt idx="13">
                  <c:v>1.9028139902550105</c:v>
                </c:pt>
                <c:pt idx="14">
                  <c:v>2.2928955506987343</c:v>
                </c:pt>
                <c:pt idx="15">
                  <c:v>3.0238943687955864</c:v>
                </c:pt>
                <c:pt idx="16">
                  <c:v>2.8625423349226087</c:v>
                </c:pt>
                <c:pt idx="17">
                  <c:v>1.8537055953269417</c:v>
                </c:pt>
                <c:pt idx="18">
                  <c:v>1.7312118879786766</c:v>
                </c:pt>
              </c:numCache>
            </c:numRef>
          </c:val>
          <c:smooth val="0"/>
          <c:extLst>
            <c:ext xmlns:c16="http://schemas.microsoft.com/office/drawing/2014/chart" uri="{C3380CC4-5D6E-409C-BE32-E72D297353CC}">
              <c16:uniqueId val="{00000000-DE16-4497-BB9A-B249FCBD7B64}"/>
            </c:ext>
          </c:extLst>
        </c:ser>
        <c:ser>
          <c:idx val="1"/>
          <c:order val="1"/>
          <c:tx>
            <c:strRef>
              <c:f>'Pivot Table'!$BF$13</c:f>
              <c:strCache>
                <c:ptCount val="1"/>
                <c:pt idx="0">
                  <c:v>Sum of DAL FA</c:v>
                </c:pt>
              </c:strCache>
            </c:strRef>
          </c:tx>
          <c:spPr>
            <a:ln w="28575" cap="rnd">
              <a:solidFill>
                <a:schemeClr val="accent2"/>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Table'!$BF$14:$BF$33</c:f>
              <c:numCache>
                <c:formatCode>\¢#,##0.00_);\(\¢#,##0.00\);\-\ </c:formatCode>
                <c:ptCount val="19"/>
                <c:pt idx="0">
                  <c:v>1.3201190386885493</c:v>
                </c:pt>
                <c:pt idx="1">
                  <c:v>1.8534589853611301</c:v>
                </c:pt>
                <c:pt idx="2">
                  <c:v>2.7009595236633834</c:v>
                </c:pt>
                <c:pt idx="3">
                  <c:v>3.2212824649423979</c:v>
                </c:pt>
                <c:pt idx="4">
                  <c:v>3.4636731000692564</c:v>
                </c:pt>
                <c:pt idx="5">
                  <c:v>4.8797487479785788</c:v>
                </c:pt>
                <c:pt idx="6">
                  <c:v>3.8214783763246629</c:v>
                </c:pt>
                <c:pt idx="7">
                  <c:v>3.535710492341134</c:v>
                </c:pt>
                <c:pt idx="8">
                  <c:v>4.3530062393898996</c:v>
                </c:pt>
                <c:pt idx="9">
                  <c:v>4.6050104651627839</c:v>
                </c:pt>
                <c:pt idx="10">
                  <c:v>4.3909873415608489</c:v>
                </c:pt>
                <c:pt idx="11">
                  <c:v>4.0551234224849129</c:v>
                </c:pt>
                <c:pt idx="12">
                  <c:v>3.3097616228986171</c:v>
                </c:pt>
                <c:pt idx="13">
                  <c:v>2.4332580594516364</c:v>
                </c:pt>
                <c:pt idx="14">
                  <c:v>2.6298238381219141</c:v>
                </c:pt>
                <c:pt idx="15">
                  <c:v>3.3028068163288524</c:v>
                </c:pt>
                <c:pt idx="16">
                  <c:v>2.9315296289381076</c:v>
                </c:pt>
                <c:pt idx="17">
                  <c:v>2.1017560604727539</c:v>
                </c:pt>
                <c:pt idx="18">
                  <c:v>2.0562664527996413</c:v>
                </c:pt>
              </c:numCache>
            </c:numRef>
          </c:val>
          <c:smooth val="0"/>
          <c:extLst>
            <c:ext xmlns:c16="http://schemas.microsoft.com/office/drawing/2014/chart" uri="{C3380CC4-5D6E-409C-BE32-E72D297353CC}">
              <c16:uniqueId val="{00000001-DE16-4497-BB9A-B249FCBD7B64}"/>
            </c:ext>
          </c:extLst>
        </c:ser>
        <c:ser>
          <c:idx val="2"/>
          <c:order val="2"/>
          <c:tx>
            <c:strRef>
              <c:f>'Pivot Table'!$BG$13</c:f>
              <c:strCache>
                <c:ptCount val="1"/>
                <c:pt idx="0">
                  <c:v>Sum of UAL FA</c:v>
                </c:pt>
              </c:strCache>
            </c:strRef>
          </c:tx>
          <c:spPr>
            <a:ln w="28575" cap="rnd">
              <a:solidFill>
                <a:schemeClr val="accent3"/>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Table'!$BG$14:$BG$33</c:f>
              <c:numCache>
                <c:formatCode>\¢#,##0.00_);\(\¢#,##0.00\);\-\ </c:formatCode>
                <c:ptCount val="19"/>
                <c:pt idx="0">
                  <c:v>1.3263512152913688</c:v>
                </c:pt>
                <c:pt idx="1">
                  <c:v>1.8168049512248519</c:v>
                </c:pt>
                <c:pt idx="2">
                  <c:v>2.611001641214322</c:v>
                </c:pt>
                <c:pt idx="3">
                  <c:v>3.1226136305749259</c:v>
                </c:pt>
                <c:pt idx="4">
                  <c:v>3.3487937183406578</c:v>
                </c:pt>
                <c:pt idx="5">
                  <c:v>4.9460040679475581</c:v>
                </c:pt>
                <c:pt idx="6">
                  <c:v>2.6942250281852673</c:v>
                </c:pt>
                <c:pt idx="7">
                  <c:v>3.3522790650770893</c:v>
                </c:pt>
                <c:pt idx="8">
                  <c:v>4.6440657577437721</c:v>
                </c:pt>
                <c:pt idx="9">
                  <c:v>4.4350248920776076</c:v>
                </c:pt>
                <c:pt idx="10">
                  <c:v>4.2290470331115859</c:v>
                </c:pt>
                <c:pt idx="11">
                  <c:v>3.9118478946400481</c:v>
                </c:pt>
                <c:pt idx="12">
                  <c:v>2.2074088111457142</c:v>
                </c:pt>
                <c:pt idx="13">
                  <c:v>1.7697336784481628</c:v>
                </c:pt>
                <c:pt idx="14">
                  <c:v>2.1654139248069999</c:v>
                </c:pt>
                <c:pt idx="15">
                  <c:v>2.8357715182638903</c:v>
                </c:pt>
                <c:pt idx="16">
                  <c:v>2.634195141627715</c:v>
                </c:pt>
                <c:pt idx="17">
                  <c:v>1.8331104613450155</c:v>
                </c:pt>
                <c:pt idx="18">
                  <c:v>1.598702876382555</c:v>
                </c:pt>
              </c:numCache>
            </c:numRef>
          </c:val>
          <c:smooth val="0"/>
          <c:extLst>
            <c:ext xmlns:c16="http://schemas.microsoft.com/office/drawing/2014/chart" uri="{C3380CC4-5D6E-409C-BE32-E72D297353CC}">
              <c16:uniqueId val="{00000002-DE16-4497-BB9A-B249FCBD7B64}"/>
            </c:ext>
          </c:extLst>
        </c:ser>
        <c:ser>
          <c:idx val="3"/>
          <c:order val="3"/>
          <c:tx>
            <c:strRef>
              <c:f>'Pivot Table'!$BH$13</c:f>
              <c:strCache>
                <c:ptCount val="1"/>
                <c:pt idx="0">
                  <c:v>Sum of LUV FA</c:v>
                </c:pt>
              </c:strCache>
            </c:strRef>
          </c:tx>
          <c:spPr>
            <a:ln w="28575" cap="rnd">
              <a:solidFill>
                <a:schemeClr val="accent4"/>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Table'!$BH$14:$BH$33</c:f>
              <c:numCache>
                <c:formatCode>\¢#,##0.00_);\(\¢#,##0.00\);\-\ </c:formatCode>
                <c:ptCount val="19"/>
                <c:pt idx="0">
                  <c:v>1.1536381513846798</c:v>
                </c:pt>
                <c:pt idx="1">
                  <c:v>1.2973796453917505</c:v>
                </c:pt>
                <c:pt idx="2">
                  <c:v>1.5646442540712004</c:v>
                </c:pt>
                <c:pt idx="3">
                  <c:v>2.3016898827169339</c:v>
                </c:pt>
                <c:pt idx="4">
                  <c:v>2.5388277851683148</c:v>
                </c:pt>
                <c:pt idx="5">
                  <c:v>3.3993922792568121</c:v>
                </c:pt>
                <c:pt idx="6">
                  <c:v>2.9506911137158363</c:v>
                </c:pt>
                <c:pt idx="7">
                  <c:v>3.5090773637246571</c:v>
                </c:pt>
                <c:pt idx="8">
                  <c:v>4.4859694860134605</c:v>
                </c:pt>
                <c:pt idx="9">
                  <c:v>5.2523993635562052</c:v>
                </c:pt>
                <c:pt idx="10">
                  <c:v>4.8576205774527059</c:v>
                </c:pt>
                <c:pt idx="11">
                  <c:v>4.1314694331905031</c:v>
                </c:pt>
                <c:pt idx="12">
                  <c:v>2.48714643015406</c:v>
                </c:pt>
                <c:pt idx="13">
                  <c:v>2.3976303412844691</c:v>
                </c:pt>
                <c:pt idx="14">
                  <c:v>2.4986062878239106</c:v>
                </c:pt>
                <c:pt idx="15">
                  <c:v>2.811653740507011</c:v>
                </c:pt>
                <c:pt idx="16">
                  <c:v>2.6850673361390904</c:v>
                </c:pt>
                <c:pt idx="17">
                  <c:v>1.7662427398108309</c:v>
                </c:pt>
                <c:pt idx="18">
                  <c:v>1.6814766673787904</c:v>
                </c:pt>
              </c:numCache>
            </c:numRef>
          </c:val>
          <c:smooth val="0"/>
          <c:extLst>
            <c:ext xmlns:c16="http://schemas.microsoft.com/office/drawing/2014/chart" uri="{C3380CC4-5D6E-409C-BE32-E72D297353CC}">
              <c16:uniqueId val="{00000003-DE16-4497-BB9A-B249FCBD7B64}"/>
            </c:ext>
          </c:extLst>
        </c:ser>
        <c:ser>
          <c:idx val="4"/>
          <c:order val="4"/>
          <c:tx>
            <c:strRef>
              <c:f>'Pivot Table'!$BI$13</c:f>
              <c:strCache>
                <c:ptCount val="1"/>
                <c:pt idx="0">
                  <c:v>Sum of Industry FA</c:v>
                </c:pt>
              </c:strCache>
            </c:strRef>
          </c:tx>
          <c:spPr>
            <a:ln w="28575" cap="rnd">
              <a:solidFill>
                <a:schemeClr val="accent5"/>
              </a:solidFill>
              <a:round/>
            </a:ln>
            <a:effectLst/>
          </c:spPr>
          <c:marker>
            <c:symbol val="none"/>
          </c:marker>
          <c:cat>
            <c:strRef>
              <c:f>'Pivot Table'!$BD$14:$BD$33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Table'!$BI$14:$BI$33</c:f>
              <c:numCache>
                <c:formatCode>\¢#,##0.00_);\(\¢#,##0.00\);\-\ </c:formatCode>
                <c:ptCount val="19"/>
                <c:pt idx="0">
                  <c:v>2.3403019779528824</c:v>
                </c:pt>
                <c:pt idx="1">
                  <c:v>3.180373461683041</c:v>
                </c:pt>
                <c:pt idx="2">
                  <c:v>4.4590543945759</c:v>
                </c:pt>
                <c:pt idx="3">
                  <c:v>5.1388978459102832</c:v>
                </c:pt>
                <c:pt idx="4">
                  <c:v>5.3845976694233677</c:v>
                </c:pt>
                <c:pt idx="5">
                  <c:v>7.7022541268452898</c:v>
                </c:pt>
                <c:pt idx="6">
                  <c:v>4.6692991137055575</c:v>
                </c:pt>
                <c:pt idx="7">
                  <c:v>5.0061747594833115</c:v>
                </c:pt>
                <c:pt idx="8">
                  <c:v>6.5501303377781239</c:v>
                </c:pt>
                <c:pt idx="9">
                  <c:v>5.7771200609492386</c:v>
                </c:pt>
                <c:pt idx="10">
                  <c:v>5.3657695357146142</c:v>
                </c:pt>
                <c:pt idx="11">
                  <c:v>4.9422132667884053</c:v>
                </c:pt>
                <c:pt idx="12">
                  <c:v>2.9059515082498732</c:v>
                </c:pt>
                <c:pt idx="13">
                  <c:v>2.1926373173211782</c:v>
                </c:pt>
                <c:pt idx="14">
                  <c:v>2.4800178008849647</c:v>
                </c:pt>
                <c:pt idx="15">
                  <c:v>3.0371797485307801</c:v>
                </c:pt>
                <c:pt idx="16">
                  <c:v>2.7856842676734273</c:v>
                </c:pt>
                <c:pt idx="17">
                  <c:v>2.0256889530470499</c:v>
                </c:pt>
                <c:pt idx="18">
                  <c:v>2.6933167681003902</c:v>
                </c:pt>
              </c:numCache>
            </c:numRef>
          </c:val>
          <c:smooth val="0"/>
          <c:extLst>
            <c:ext xmlns:c16="http://schemas.microsoft.com/office/drawing/2014/chart" uri="{C3380CC4-5D6E-409C-BE32-E72D297353CC}">
              <c16:uniqueId val="{00000004-DE16-4497-BB9A-B249FCBD7B64}"/>
            </c:ext>
          </c:extLst>
        </c:ser>
        <c:dLbls>
          <c:showLegendKey val="0"/>
          <c:showVal val="0"/>
          <c:showCatName val="0"/>
          <c:showSerName val="0"/>
          <c:showPercent val="0"/>
          <c:showBubbleSize val="0"/>
        </c:dLbls>
        <c:smooth val="0"/>
        <c:axId val="1097184111"/>
        <c:axId val="1097167887"/>
      </c:lineChart>
      <c:catAx>
        <c:axId val="109718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167887"/>
        <c:crosses val="autoZero"/>
        <c:auto val="1"/>
        <c:lblAlgn val="ctr"/>
        <c:lblOffset val="100"/>
        <c:noMultiLvlLbl val="0"/>
      </c:catAx>
      <c:valAx>
        <c:axId val="1097167887"/>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0_);\(\¢#,##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1841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Table!RASM</c:name>
    <c:fmtId val="15"/>
  </c:pivotSource>
  <c:chart>
    <c:title>
      <c:tx>
        <c:strRef>
          <c:f>'Pivot Table'!$Y$12</c:f>
          <c:strCache>
            <c:ptCount val="1"/>
            <c:pt idx="0">
              <c:v>Revenue/ ASM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Table'!$Y$12</c:f>
              <c:strCache>
                <c:ptCount val="1"/>
                <c:pt idx="0">
                  <c:v>Sum of AAL RASM</c:v>
                </c:pt>
              </c:strCache>
            </c:strRef>
          </c:tx>
          <c:spPr>
            <a:ln w="28575" cap="rnd">
              <a:solidFill>
                <a:schemeClr val="accent1"/>
              </a:solidFill>
              <a:round/>
            </a:ln>
            <a:effectLst/>
          </c:spPr>
          <c:marker>
            <c:symbol val="none"/>
          </c:marker>
          <c:cat>
            <c:strRef>
              <c:f>'Pivot Table'!$Y$12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Table'!$Y$12</c:f>
              <c:numCache>
                <c:formatCode>\¢#,##0.00_);\(\¢#,##0.00\);\-\ </c:formatCode>
                <c:ptCount val="19"/>
                <c:pt idx="0">
                  <c:v>10.622181407570006</c:v>
                </c:pt>
                <c:pt idx="1">
                  <c:v>10.585446564988047</c:v>
                </c:pt>
                <c:pt idx="2">
                  <c:v>11.784178258929304</c:v>
                </c:pt>
                <c:pt idx="3">
                  <c:v>13.001515532407586</c:v>
                </c:pt>
                <c:pt idx="4">
                  <c:v>13.317745569836481</c:v>
                </c:pt>
                <c:pt idx="5">
                  <c:v>14.254310035641051</c:v>
                </c:pt>
                <c:pt idx="6">
                  <c:v>13.213448559290558</c:v>
                </c:pt>
                <c:pt idx="7">
                  <c:v>14.414378473893668</c:v>
                </c:pt>
                <c:pt idx="8">
                  <c:v>15.464421478113582</c:v>
                </c:pt>
                <c:pt idx="9">
                  <c:v>16.342132207092163</c:v>
                </c:pt>
                <c:pt idx="10">
                  <c:v>16.718895799140654</c:v>
                </c:pt>
                <c:pt idx="11">
                  <c:v>17.87905405597477</c:v>
                </c:pt>
                <c:pt idx="12">
                  <c:v>17.568533375192544</c:v>
                </c:pt>
                <c:pt idx="13">
                  <c:v>18.269783966514794</c:v>
                </c:pt>
                <c:pt idx="14">
                  <c:v>20.069697707085474</c:v>
                </c:pt>
                <c:pt idx="15">
                  <c:v>20.168247162908536</c:v>
                </c:pt>
                <c:pt idx="16">
                  <c:v>20.763701734626714</c:v>
                </c:pt>
                <c:pt idx="17">
                  <c:v>14.913500475093127</c:v>
                </c:pt>
                <c:pt idx="18">
                  <c:v>18.903596941747278</c:v>
                </c:pt>
              </c:numCache>
            </c:numRef>
          </c:val>
          <c:smooth val="0"/>
          <c:extLst>
            <c:ext xmlns:c16="http://schemas.microsoft.com/office/drawing/2014/chart" uri="{C3380CC4-5D6E-409C-BE32-E72D297353CC}">
              <c16:uniqueId val="{00000000-2BC8-4B3C-9B81-7B652A74447A}"/>
            </c:ext>
          </c:extLst>
        </c:ser>
        <c:ser>
          <c:idx val="1"/>
          <c:order val="1"/>
          <c:tx>
            <c:strRef>
              <c:f>'Pivot Table'!$Y$12</c:f>
              <c:strCache>
                <c:ptCount val="1"/>
                <c:pt idx="0">
                  <c:v>Sum of DAL RASM</c:v>
                </c:pt>
              </c:strCache>
            </c:strRef>
          </c:tx>
          <c:spPr>
            <a:ln w="28575" cap="rnd">
              <a:solidFill>
                <a:schemeClr val="accent2"/>
              </a:solidFill>
              <a:round/>
            </a:ln>
            <a:effectLst/>
          </c:spPr>
          <c:marker>
            <c:symbol val="none"/>
          </c:marker>
          <c:cat>
            <c:strRef>
              <c:f>'Pivot Table'!$Y$12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Table'!$Y$12</c:f>
              <c:numCache>
                <c:formatCode>\¢#,##0.00_);\(\¢#,##0.00\);\-\ </c:formatCode>
                <c:ptCount val="19"/>
                <c:pt idx="0">
                  <c:v>17.089005403135534</c:v>
                </c:pt>
                <c:pt idx="1">
                  <c:v>16.61192990371125</c:v>
                </c:pt>
                <c:pt idx="2">
                  <c:v>16.809983095868066</c:v>
                </c:pt>
                <c:pt idx="3">
                  <c:v>20.172563164113171</c:v>
                </c:pt>
                <c:pt idx="4">
                  <c:v>21.433359932213239</c:v>
                </c:pt>
                <c:pt idx="5">
                  <c:v>22.803048500015684</c:v>
                </c:pt>
                <c:pt idx="6">
                  <c:v>21.301889791181399</c:v>
                </c:pt>
                <c:pt idx="7">
                  <c:v>22.357585516559421</c:v>
                </c:pt>
                <c:pt idx="8">
                  <c:v>24.676073503572361</c:v>
                </c:pt>
                <c:pt idx="9">
                  <c:v>25.754339328347879</c:v>
                </c:pt>
                <c:pt idx="10">
                  <c:v>26.320104838955416</c:v>
                </c:pt>
                <c:pt idx="11">
                  <c:v>26.713356611455289</c:v>
                </c:pt>
                <c:pt idx="12">
                  <c:v>26.016278266284388</c:v>
                </c:pt>
                <c:pt idx="13">
                  <c:v>25.35883557349338</c:v>
                </c:pt>
                <c:pt idx="14">
                  <c:v>25.808503334383158</c:v>
                </c:pt>
                <c:pt idx="15">
                  <c:v>25.983522676193523</c:v>
                </c:pt>
                <c:pt idx="16">
                  <c:v>25.886904235403215</c:v>
                </c:pt>
                <c:pt idx="17">
                  <c:v>28.589540737103118</c:v>
                </c:pt>
                <c:pt idx="18">
                  <c:v>25.978451040483918</c:v>
                </c:pt>
              </c:numCache>
            </c:numRef>
          </c:val>
          <c:smooth val="0"/>
          <c:extLst>
            <c:ext xmlns:c16="http://schemas.microsoft.com/office/drawing/2014/chart" uri="{C3380CC4-5D6E-409C-BE32-E72D297353CC}">
              <c16:uniqueId val="{00000001-2BC8-4B3C-9B81-7B652A74447A}"/>
            </c:ext>
          </c:extLst>
        </c:ser>
        <c:ser>
          <c:idx val="2"/>
          <c:order val="2"/>
          <c:tx>
            <c:strRef>
              <c:f>'Pivot Table'!$Y$12</c:f>
              <c:strCache>
                <c:ptCount val="1"/>
                <c:pt idx="0">
                  <c:v>Sum of UAL RASM</c:v>
                </c:pt>
              </c:strCache>
            </c:strRef>
          </c:tx>
          <c:spPr>
            <a:ln w="28575" cap="rnd">
              <a:solidFill>
                <a:schemeClr val="accent3"/>
              </a:solidFill>
              <a:round/>
            </a:ln>
            <a:effectLst/>
          </c:spPr>
          <c:marker>
            <c:symbol val="none"/>
          </c:marker>
          <c:cat>
            <c:strRef>
              <c:f>'Pivot Table'!$Y$12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Table'!$Y$12</c:f>
              <c:numCache>
                <c:formatCode>\¢#,##0.00_);\(\¢#,##0.00\);\-\ </c:formatCode>
                <c:ptCount val="19"/>
                <c:pt idx="0">
                  <c:v>10.443505295888368</c:v>
                </c:pt>
                <c:pt idx="1">
                  <c:v>11.4484169931601</c:v>
                </c:pt>
                <c:pt idx="2">
                  <c:v>13.839275314844125</c:v>
                </c:pt>
                <c:pt idx="3">
                  <c:v>15.22757438593673</c:v>
                </c:pt>
                <c:pt idx="4">
                  <c:v>15.801313921234552</c:v>
                </c:pt>
                <c:pt idx="5">
                  <c:v>17.136436632473355</c:v>
                </c:pt>
                <c:pt idx="6">
                  <c:v>15.981196746451525</c:v>
                </c:pt>
                <c:pt idx="7">
                  <c:v>18.728991444722787</c:v>
                </c:pt>
                <c:pt idx="8">
                  <c:v>21.407684433286356</c:v>
                </c:pt>
                <c:pt idx="9">
                  <c:v>19.783966305392244</c:v>
                </c:pt>
                <c:pt idx="10">
                  <c:v>20.996546177786264</c:v>
                </c:pt>
                <c:pt idx="11">
                  <c:v>21.445379442143437</c:v>
                </c:pt>
                <c:pt idx="12">
                  <c:v>20.380852905957294</c:v>
                </c:pt>
                <c:pt idx="13">
                  <c:v>19.935110713915485</c:v>
                </c:pt>
                <c:pt idx="14">
                  <c:v>19.451191459476512</c:v>
                </c:pt>
                <c:pt idx="15">
                  <c:v>20.254125748409642</c:v>
                </c:pt>
                <c:pt idx="16">
                  <c:v>20.673590722913929</c:v>
                </c:pt>
                <c:pt idx="17">
                  <c:v>16.484122865668063</c:v>
                </c:pt>
                <c:pt idx="18">
                  <c:v>19.257309472107337</c:v>
                </c:pt>
              </c:numCache>
            </c:numRef>
          </c:val>
          <c:smooth val="0"/>
          <c:extLst>
            <c:ext xmlns:c16="http://schemas.microsoft.com/office/drawing/2014/chart" uri="{C3380CC4-5D6E-409C-BE32-E72D297353CC}">
              <c16:uniqueId val="{00000002-2BC8-4B3C-9B81-7B652A74447A}"/>
            </c:ext>
          </c:extLst>
        </c:ser>
        <c:ser>
          <c:idx val="3"/>
          <c:order val="3"/>
          <c:tx>
            <c:strRef>
              <c:f>'Pivot Table'!$Y$12</c:f>
              <c:strCache>
                <c:ptCount val="1"/>
                <c:pt idx="0">
                  <c:v>Sum of LUV RASM</c:v>
                </c:pt>
              </c:strCache>
            </c:strRef>
          </c:tx>
          <c:spPr>
            <a:ln w="28575" cap="rnd">
              <a:solidFill>
                <a:schemeClr val="accent4"/>
              </a:solidFill>
              <a:round/>
            </a:ln>
            <a:effectLst/>
          </c:spPr>
          <c:marker>
            <c:symbol val="none"/>
          </c:marker>
          <c:cat>
            <c:strRef>
              <c:f>'Pivot Table'!$Y$12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Table'!$Y$12</c:f>
              <c:numCache>
                <c:formatCode>\¢#,##0.00_);\(\¢#,##0.00\);\-\ </c:formatCode>
                <c:ptCount val="19"/>
                <c:pt idx="0">
                  <c:v>8.2679315787430134</c:v>
                </c:pt>
                <c:pt idx="1">
                  <c:v>8.4935557671393518</c:v>
                </c:pt>
                <c:pt idx="2">
                  <c:v>8.9014368511936386</c:v>
                </c:pt>
                <c:pt idx="3">
                  <c:v>9.8048451131480299</c:v>
                </c:pt>
                <c:pt idx="4">
                  <c:v>9.895944577556854</c:v>
                </c:pt>
                <c:pt idx="5">
                  <c:v>10.673060937932526</c:v>
                </c:pt>
                <c:pt idx="6">
                  <c:v>10.560500406489465</c:v>
                </c:pt>
                <c:pt idx="7">
                  <c:v>12.294903495138605</c:v>
                </c:pt>
                <c:pt idx="8">
                  <c:v>13.153422090714296</c:v>
                </c:pt>
                <c:pt idx="9">
                  <c:v>15.310756275392302</c:v>
                </c:pt>
                <c:pt idx="10">
                  <c:v>15.535661062199347</c:v>
                </c:pt>
                <c:pt idx="11">
                  <c:v>15.099184623445728</c:v>
                </c:pt>
                <c:pt idx="12">
                  <c:v>14.272021651790926</c:v>
                </c:pt>
                <c:pt idx="13">
                  <c:v>13.922459752538604</c:v>
                </c:pt>
                <c:pt idx="14">
                  <c:v>13.949517658089775</c:v>
                </c:pt>
                <c:pt idx="15">
                  <c:v>13.893928931163122</c:v>
                </c:pt>
                <c:pt idx="16">
                  <c:v>14.347298194625504</c:v>
                </c:pt>
                <c:pt idx="17">
                  <c:v>8.7252094273648062</c:v>
                </c:pt>
                <c:pt idx="18">
                  <c:v>12.325372633521628</c:v>
                </c:pt>
              </c:numCache>
            </c:numRef>
          </c:val>
          <c:smooth val="0"/>
          <c:extLst>
            <c:ext xmlns:c16="http://schemas.microsoft.com/office/drawing/2014/chart" uri="{C3380CC4-5D6E-409C-BE32-E72D297353CC}">
              <c16:uniqueId val="{00000003-2BC8-4B3C-9B81-7B652A74447A}"/>
            </c:ext>
          </c:extLst>
        </c:ser>
        <c:ser>
          <c:idx val="4"/>
          <c:order val="4"/>
          <c:tx>
            <c:strRef>
              <c:f>'Pivot Table'!$Y$12</c:f>
              <c:strCache>
                <c:ptCount val="1"/>
                <c:pt idx="0">
                  <c:v>Sum of Industry RASM</c:v>
                </c:pt>
              </c:strCache>
            </c:strRef>
          </c:tx>
          <c:spPr>
            <a:ln w="28575" cap="rnd">
              <a:solidFill>
                <a:schemeClr val="accent5"/>
              </a:solidFill>
              <a:round/>
            </a:ln>
            <a:effectLst/>
          </c:spPr>
          <c:marker>
            <c:symbol val="none"/>
          </c:marker>
          <c:cat>
            <c:strRef>
              <c:f>'Pivot Table'!$Y$12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Table'!$Y$12</c:f>
              <c:numCache>
                <c:formatCode>\¢#,##0.00_);\(\¢#,##0.00\);\-\ </c:formatCode>
                <c:ptCount val="19"/>
                <c:pt idx="0">
                  <c:v>20.162365148192261</c:v>
                </c:pt>
                <c:pt idx="1">
                  <c:v>21.19447497349649</c:v>
                </c:pt>
                <c:pt idx="2">
                  <c:v>23.003435100002463</c:v>
                </c:pt>
                <c:pt idx="3">
                  <c:v>24.748792752835413</c:v>
                </c:pt>
                <c:pt idx="4">
                  <c:v>24.921967932039475</c:v>
                </c:pt>
                <c:pt idx="5">
                  <c:v>26.86384118331771</c:v>
                </c:pt>
                <c:pt idx="6">
                  <c:v>24.193301121880921</c:v>
                </c:pt>
                <c:pt idx="7">
                  <c:v>23.745708394089309</c:v>
                </c:pt>
                <c:pt idx="8">
                  <c:v>26.284843667085973</c:v>
                </c:pt>
                <c:pt idx="9">
                  <c:v>24.103460423367515</c:v>
                </c:pt>
                <c:pt idx="10">
                  <c:v>24.12144133093593</c:v>
                </c:pt>
                <c:pt idx="11">
                  <c:v>24.363566968840349</c:v>
                </c:pt>
                <c:pt idx="12">
                  <c:v>21.784948077087041</c:v>
                </c:pt>
                <c:pt idx="13">
                  <c:v>20.351695421562258</c:v>
                </c:pt>
                <c:pt idx="14">
                  <c:v>20.68257611097976</c:v>
                </c:pt>
                <c:pt idx="15">
                  <c:v>20.527076070795395</c:v>
                </c:pt>
                <c:pt idx="16">
                  <c:v>20.53473816123374</c:v>
                </c:pt>
                <c:pt idx="17">
                  <c:v>18.128109624868774</c:v>
                </c:pt>
                <c:pt idx="18">
                  <c:v>19.588270258318992</c:v>
                </c:pt>
              </c:numCache>
            </c:numRef>
          </c:val>
          <c:smooth val="0"/>
          <c:extLst>
            <c:ext xmlns:c16="http://schemas.microsoft.com/office/drawing/2014/chart" uri="{C3380CC4-5D6E-409C-BE32-E72D297353CC}">
              <c16:uniqueId val="{00000004-2BC8-4B3C-9B81-7B652A74447A}"/>
            </c:ext>
          </c:extLst>
        </c:ser>
        <c:dLbls>
          <c:showLegendKey val="0"/>
          <c:showVal val="0"/>
          <c:showCatName val="0"/>
          <c:showSerName val="0"/>
          <c:showPercent val="0"/>
          <c:showBubbleSize val="0"/>
        </c:dLbls>
        <c:smooth val="0"/>
        <c:axId val="463238464"/>
        <c:axId val="463256352"/>
      </c:lineChart>
      <c:catAx>
        <c:axId val="4632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256352"/>
        <c:crosses val="autoZero"/>
        <c:auto val="1"/>
        <c:lblAlgn val="ctr"/>
        <c:lblOffset val="100"/>
        <c:noMultiLvlLbl val="0"/>
      </c:catAx>
      <c:valAx>
        <c:axId val="463256352"/>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00_);\(\¢#,##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2384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[Airlines One Pager - 7.22.22.xlsx]Pivot Table!ASM Market Share</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ASM</a:t>
            </a:r>
            <a:r>
              <a:rPr lang="en-US" baseline="0"/>
              <a:t> Market Share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percentStacked"/>
        <c:varyColors val="0"/>
        <c:ser>
          <c:idx val="0"/>
          <c:order val="0"/>
          <c:tx>
            <c:strRef>
              <c:f>'Pivot Table'!$B$13</c:f>
              <c:strCache>
                <c:ptCount val="1"/>
                <c:pt idx="0">
                  <c:v>Sum of AAL ASM MS</c:v>
                </c:pt>
              </c:strCache>
            </c:strRef>
          </c:tx>
          <c:spPr>
            <a:solidFill>
              <a:schemeClr val="accent1"/>
            </a:solidFill>
            <a:ln>
              <a:noFill/>
            </a:ln>
            <a:effectLst/>
          </c:spPr>
          <c:cat>
            <c:strRef>
              <c:f>'Pivot Table'!$A$14:$A$33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Table'!$B$14:$B$33</c:f>
              <c:numCache>
                <c:formatCode>0.0%_);\(0.0%\)</c:formatCode>
                <c:ptCount val="19"/>
                <c:pt idx="0">
                  <c:v>0.2576770147230118</c:v>
                </c:pt>
                <c:pt idx="1">
                  <c:v>0.24118574957854338</c:v>
                </c:pt>
                <c:pt idx="2">
                  <c:v>0.23019140470783758</c:v>
                </c:pt>
                <c:pt idx="3">
                  <c:v>0.22180108153275097</c:v>
                </c:pt>
                <c:pt idx="4">
                  <c:v>0.21157374930018738</c:v>
                </c:pt>
                <c:pt idx="5">
                  <c:v>0.2054284836862105</c:v>
                </c:pt>
                <c:pt idx="6">
                  <c:v>0.19958134727631582</c:v>
                </c:pt>
                <c:pt idx="7">
                  <c:v>0.18070532789800547</c:v>
                </c:pt>
                <c:pt idx="8">
                  <c:v>0.17637681354074511</c:v>
                </c:pt>
                <c:pt idx="9">
                  <c:v>0.15480576462524961</c:v>
                </c:pt>
                <c:pt idx="10">
                  <c:v>0.15040831447576583</c:v>
                </c:pt>
                <c:pt idx="11">
                  <c:v>0.14512420058942557</c:v>
                </c:pt>
                <c:pt idx="12">
                  <c:v>0.17456836678186116</c:v>
                </c:pt>
                <c:pt idx="13">
                  <c:v>0.19994961913426892</c:v>
                </c:pt>
                <c:pt idx="14">
                  <c:v>0.19005706470715319</c:v>
                </c:pt>
                <c:pt idx="15">
                  <c:v>0.18042825138341242</c:v>
                </c:pt>
                <c:pt idx="16">
                  <c:v>0.17489259781081165</c:v>
                </c:pt>
                <c:pt idx="17">
                  <c:v>0.17443434301312069</c:v>
                </c:pt>
                <c:pt idx="18">
                  <c:v>0.1774363436137141</c:v>
                </c:pt>
              </c:numCache>
            </c:numRef>
          </c:val>
          <c:extLst>
            <c:ext xmlns:c16="http://schemas.microsoft.com/office/drawing/2014/chart" uri="{C3380CC4-5D6E-409C-BE32-E72D297353CC}">
              <c16:uniqueId val="{00000000-CF2D-4B44-85F1-50AC4B311ABE}"/>
            </c:ext>
          </c:extLst>
        </c:ser>
        <c:ser>
          <c:idx val="1"/>
          <c:order val="1"/>
          <c:tx>
            <c:strRef>
              <c:f>'Pivot Table'!$C$13</c:f>
              <c:strCache>
                <c:ptCount val="1"/>
                <c:pt idx="0">
                  <c:v>Sum of DAL ASM MS</c:v>
                </c:pt>
              </c:strCache>
            </c:strRef>
          </c:tx>
          <c:spPr>
            <a:solidFill>
              <a:schemeClr val="accent2"/>
            </a:solidFill>
            <a:ln>
              <a:noFill/>
            </a:ln>
            <a:effectLst/>
          </c:spPr>
          <c:cat>
            <c:strRef>
              <c:f>'Pivot Table'!$A$14:$A$33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Table'!$C$14:$C$33</c:f>
              <c:numCache>
                <c:formatCode>0.0%_);\(0.0%\)</c:formatCode>
                <c:ptCount val="19"/>
                <c:pt idx="0">
                  <c:v>0.20931468365047301</c:v>
                </c:pt>
                <c:pt idx="1">
                  <c:v>0.20536518632865011</c:v>
                </c:pt>
                <c:pt idx="2">
                  <c:v>0.20099447057636213</c:v>
                </c:pt>
                <c:pt idx="3">
                  <c:v>0.16773327443744643</c:v>
                </c:pt>
                <c:pt idx="4">
                  <c:v>0.15581806289619793</c:v>
                </c:pt>
                <c:pt idx="5">
                  <c:v>0.14927406881264449</c:v>
                </c:pt>
                <c:pt idx="6">
                  <c:v>0.14792539392446774</c:v>
                </c:pt>
                <c:pt idx="7">
                  <c:v>0.21730508077999697</c:v>
                </c:pt>
                <c:pt idx="8">
                  <c:v>0.21397090853580972</c:v>
                </c:pt>
                <c:pt idx="9">
                  <c:v>0.19167663749189509</c:v>
                </c:pt>
                <c:pt idx="10">
                  <c:v>0.19191377655525238</c:v>
                </c:pt>
                <c:pt idx="11">
                  <c:v>0.19287692057421429</c:v>
                </c:pt>
                <c:pt idx="12">
                  <c:v>0.18154877523300036</c:v>
                </c:pt>
                <c:pt idx="13">
                  <c:v>0.17335674635426754</c:v>
                </c:pt>
                <c:pt idx="14">
                  <c:v>0.170490520440509</c:v>
                </c:pt>
                <c:pt idx="15">
                  <c:v>0.16807910621639158</c:v>
                </c:pt>
                <c:pt idx="16">
                  <c:v>0.17160565182075491</c:v>
                </c:pt>
                <c:pt idx="17">
                  <c:v>0.16794793328110971</c:v>
                </c:pt>
                <c:pt idx="18">
                  <c:v>0.17263155993904925</c:v>
                </c:pt>
              </c:numCache>
            </c:numRef>
          </c:val>
          <c:extLst>
            <c:ext xmlns:c16="http://schemas.microsoft.com/office/drawing/2014/chart" uri="{C3380CC4-5D6E-409C-BE32-E72D297353CC}">
              <c16:uniqueId val="{00000001-CF2D-4B44-85F1-50AC4B311ABE}"/>
            </c:ext>
          </c:extLst>
        </c:ser>
        <c:ser>
          <c:idx val="2"/>
          <c:order val="2"/>
          <c:tx>
            <c:strRef>
              <c:f>'Pivot Table'!$D$13</c:f>
              <c:strCache>
                <c:ptCount val="1"/>
                <c:pt idx="0">
                  <c:v>Sum of UAL ASM MS</c:v>
                </c:pt>
              </c:strCache>
            </c:strRef>
          </c:tx>
          <c:spPr>
            <a:solidFill>
              <a:schemeClr val="accent3"/>
            </a:solidFill>
            <a:ln>
              <a:noFill/>
            </a:ln>
            <a:effectLst/>
          </c:spPr>
          <c:cat>
            <c:strRef>
              <c:f>'Pivot Table'!$A$14:$A$33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Table'!$D$14:$D$33</c:f>
              <c:numCache>
                <c:formatCode>0.0%_);\(0.0%\)</c:formatCode>
                <c:ptCount val="19"/>
                <c:pt idx="0">
                  <c:v>0.19730107375334383</c:v>
                </c:pt>
                <c:pt idx="1">
                  <c:v>0.19239227638855444</c:v>
                </c:pt>
                <c:pt idx="2">
                  <c:v>0.16888160002295038</c:v>
                </c:pt>
                <c:pt idx="3">
                  <c:v>0.1736291369674115</c:v>
                </c:pt>
                <c:pt idx="4">
                  <c:v>0.16358295783715243</c:v>
                </c:pt>
                <c:pt idx="5">
                  <c:v>0.15565437426459858</c:v>
                </c:pt>
                <c:pt idx="6">
                  <c:v>0.14890195999810185</c:v>
                </c:pt>
                <c:pt idx="7">
                  <c:v>0.13154619379577412</c:v>
                </c:pt>
                <c:pt idx="8">
                  <c:v>0.12061928370443044</c:v>
                </c:pt>
                <c:pt idx="9">
                  <c:v>0.19125170530652869</c:v>
                </c:pt>
                <c:pt idx="10">
                  <c:v>0.18246524104247636</c:v>
                </c:pt>
                <c:pt idx="11">
                  <c:v>0.17383190829941869</c:v>
                </c:pt>
                <c:pt idx="12">
                  <c:v>0.15954339935392478</c:v>
                </c:pt>
                <c:pt idx="13">
                  <c:v>0.14999683614498729</c:v>
                </c:pt>
                <c:pt idx="14">
                  <c:v>0.15321306094714218</c:v>
                </c:pt>
                <c:pt idx="15">
                  <c:v>0.15083835198733433</c:v>
                </c:pt>
                <c:pt idx="16">
                  <c:v>0.14931949754600612</c:v>
                </c:pt>
                <c:pt idx="17">
                  <c:v>0.11748476154493855</c:v>
                </c:pt>
                <c:pt idx="18">
                  <c:v>0.12796675858842171</c:v>
                </c:pt>
              </c:numCache>
            </c:numRef>
          </c:val>
          <c:extLst>
            <c:ext xmlns:c16="http://schemas.microsoft.com/office/drawing/2014/chart" uri="{C3380CC4-5D6E-409C-BE32-E72D297353CC}">
              <c16:uniqueId val="{00000002-CF2D-4B44-85F1-50AC4B311ABE}"/>
            </c:ext>
          </c:extLst>
        </c:ser>
        <c:ser>
          <c:idx val="3"/>
          <c:order val="3"/>
          <c:tx>
            <c:strRef>
              <c:f>'Pivot Table'!$E$13</c:f>
              <c:strCache>
                <c:ptCount val="1"/>
                <c:pt idx="0">
                  <c:v>Sum of LUV ASM MS</c:v>
                </c:pt>
              </c:strCache>
            </c:strRef>
          </c:tx>
          <c:spPr>
            <a:solidFill>
              <a:schemeClr val="accent4"/>
            </a:solidFill>
            <a:ln>
              <a:noFill/>
            </a:ln>
            <a:effectLst/>
          </c:spPr>
          <c:cat>
            <c:strRef>
              <c:f>'Pivot Table'!$A$14:$A$33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Table'!$E$14:$E$33</c:f>
              <c:numCache>
                <c:formatCode>0.0%_);\(0.0%\)</c:formatCode>
                <c:ptCount val="19"/>
                <c:pt idx="0">
                  <c:v>0.16290475575343594</c:v>
                </c:pt>
                <c:pt idx="1">
                  <c:v>0.16148011801117784</c:v>
                </c:pt>
                <c:pt idx="2">
                  <c:v>0.17520813960608356</c:v>
                </c:pt>
                <c:pt idx="3">
                  <c:v>0.18969204812718846</c:v>
                </c:pt>
                <c:pt idx="4">
                  <c:v>0.19946042527690472</c:v>
                </c:pt>
                <c:pt idx="5">
                  <c:v>0.21387187295393667</c:v>
                </c:pt>
                <c:pt idx="6">
                  <c:v>0.21618905188410681</c:v>
                </c:pt>
                <c:pt idx="7">
                  <c:v>0.19631947561637567</c:v>
                </c:pt>
                <c:pt idx="8">
                  <c:v>0.2054360228066123</c:v>
                </c:pt>
                <c:pt idx="9">
                  <c:v>0.18878079834479908</c:v>
                </c:pt>
                <c:pt idx="10">
                  <c:v>0.19513592354507975</c:v>
                </c:pt>
                <c:pt idx="11">
                  <c:v>0.20330048352518165</c:v>
                </c:pt>
                <c:pt idx="12">
                  <c:v>0.20291999310294473</c:v>
                </c:pt>
                <c:pt idx="13">
                  <c:v>0.19388608177660266</c:v>
                </c:pt>
                <c:pt idx="14">
                  <c:v>0.1910048283099394</c:v>
                </c:pt>
                <c:pt idx="15">
                  <c:v>0.18414822208107104</c:v>
                </c:pt>
                <c:pt idx="16">
                  <c:v>0.17408314751026949</c:v>
                </c:pt>
                <c:pt idx="17">
                  <c:v>0.19851268897934252</c:v>
                </c:pt>
                <c:pt idx="18">
                  <c:v>0.17470116856589296</c:v>
                </c:pt>
              </c:numCache>
            </c:numRef>
          </c:val>
          <c:extLst>
            <c:ext xmlns:c16="http://schemas.microsoft.com/office/drawing/2014/chart" uri="{C3380CC4-5D6E-409C-BE32-E72D297353CC}">
              <c16:uniqueId val="{00000003-CF2D-4B44-85F1-50AC4B311ABE}"/>
            </c:ext>
          </c:extLst>
        </c:ser>
        <c:ser>
          <c:idx val="4"/>
          <c:order val="4"/>
          <c:tx>
            <c:strRef>
              <c:f>'Pivot Table'!$F$13</c:f>
              <c:strCache>
                <c:ptCount val="1"/>
                <c:pt idx="0">
                  <c:v>Sum of Other ASM MS</c:v>
                </c:pt>
              </c:strCache>
            </c:strRef>
          </c:tx>
          <c:spPr>
            <a:solidFill>
              <a:schemeClr val="accent5"/>
            </a:solidFill>
            <a:ln>
              <a:noFill/>
            </a:ln>
            <a:effectLst/>
          </c:spPr>
          <c:cat>
            <c:strRef>
              <c:f>'Pivot Table'!$A$14:$A$33</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'Pivot Table'!$F$14:$F$33</c:f>
              <c:numCache>
                <c:formatCode>0.0%_);\(0.0%\)</c:formatCode>
                <c:ptCount val="19"/>
                <c:pt idx="0">
                  <c:v>0.17280247211973523</c:v>
                </c:pt>
                <c:pt idx="1">
                  <c:v>0.19957666969307419</c:v>
                </c:pt>
                <c:pt idx="2">
                  <c:v>0.22472438508676651</c:v>
                </c:pt>
                <c:pt idx="3">
                  <c:v>0.24714445893520276</c:v>
                </c:pt>
                <c:pt idx="4">
                  <c:v>0.26956480468955762</c:v>
                </c:pt>
                <c:pt idx="5">
                  <c:v>0.27577120028260965</c:v>
                </c:pt>
                <c:pt idx="6">
                  <c:v>0.28740224691700783</c:v>
                </c:pt>
                <c:pt idx="7">
                  <c:v>0.27412392190984786</c:v>
                </c:pt>
                <c:pt idx="8">
                  <c:v>0.28359697141240253</c:v>
                </c:pt>
                <c:pt idx="9">
                  <c:v>0.27348509423152739</c:v>
                </c:pt>
                <c:pt idx="10">
                  <c:v>0.28007674438142566</c:v>
                </c:pt>
                <c:pt idx="11">
                  <c:v>0.28486648701175982</c:v>
                </c:pt>
                <c:pt idx="12">
                  <c:v>0.28141946552826902</c:v>
                </c:pt>
                <c:pt idx="13">
                  <c:v>0.2828107165898735</c:v>
                </c:pt>
                <c:pt idx="14">
                  <c:v>0.29523452559525626</c:v>
                </c:pt>
                <c:pt idx="15">
                  <c:v>0.31650606833179051</c:v>
                </c:pt>
                <c:pt idx="16">
                  <c:v>0.33009910531215764</c:v>
                </c:pt>
                <c:pt idx="17">
                  <c:v>0.34162027318148852</c:v>
                </c:pt>
                <c:pt idx="18">
                  <c:v>0.34726416929292203</c:v>
                </c:pt>
              </c:numCache>
            </c:numRef>
          </c:val>
          <c:extLst>
            <c:ext xmlns:c16="http://schemas.microsoft.com/office/drawing/2014/chart" uri="{C3380CC4-5D6E-409C-BE32-E72D297353CC}">
              <c16:uniqueId val="{00000004-CF2D-4B44-85F1-50AC4B311ABE}"/>
            </c:ext>
          </c:extLst>
        </c:ser>
        <c:dLbls>
          <c:showLegendKey val="0"/>
          <c:showVal val="0"/>
          <c:showCatName val="0"/>
          <c:showSerName val="0"/>
          <c:showPercent val="0"/>
          <c:showBubbleSize val="0"/>
        </c:dLbls>
        <c:axId val="1886649264"/>
        <c:axId val="1886655504"/>
      </c:areaChart>
      <c:catAx>
        <c:axId val="18866492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55504"/>
        <c:crosses val="autoZero"/>
        <c:auto val="1"/>
        <c:lblAlgn val="ctr"/>
        <c:lblOffset val="100"/>
        <c:noMultiLvlLbl val="0"/>
      </c:catAx>
      <c:valAx>
        <c:axId val="188665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49264"/>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bts.gov/"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2.png"/><Relationship Id="rId4"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4.png"/><Relationship Id="rId5" Type="http://schemas.openxmlformats.org/officeDocument/2006/relationships/chart" Target="../charts/chart7.xml"/><Relationship Id="rId10" Type="http://schemas.openxmlformats.org/officeDocument/2006/relationships/image" Target="../media/image3.png"/><Relationship Id="rId4" Type="http://schemas.openxmlformats.org/officeDocument/2006/relationships/chart" Target="../charts/chart6.xm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6.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304800</xdr:colOff>
      <xdr:row>4</xdr:row>
      <xdr:rowOff>25400</xdr:rowOff>
    </xdr:to>
    <xdr:sp macro="" textlink="">
      <xdr:nvSpPr>
        <xdr:cNvPr id="11266" name="AutoShape 2" descr="Home">
          <a:hlinkClick xmlns:r="http://schemas.openxmlformats.org/officeDocument/2006/relationships" r:id="rId1" tooltip="Home"/>
          <a:extLst>
            <a:ext uri="{FF2B5EF4-FFF2-40B4-BE49-F238E27FC236}">
              <a16:creationId xmlns:a16="http://schemas.microsoft.com/office/drawing/2014/main" id="{CD890168-46F7-448A-997D-1EFE96320C12}"/>
            </a:ext>
          </a:extLst>
        </xdr:cNvPr>
        <xdr:cNvSpPr>
          <a:spLocks noChangeAspect="1" noChangeArrowheads="1"/>
        </xdr:cNvSpPr>
      </xdr:nvSpPr>
      <xdr:spPr bwMode="auto">
        <a:xfrm>
          <a:off x="2984500" y="1423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34</xdr:col>
      <xdr:colOff>511175</xdr:colOff>
      <xdr:row>24</xdr:row>
      <xdr:rowOff>59006</xdr:rowOff>
    </xdr:from>
    <xdr:to>
      <xdr:col>48</xdr:col>
      <xdr:colOff>97432</xdr:colOff>
      <xdr:row>34</xdr:row>
      <xdr:rowOff>133736</xdr:rowOff>
    </xdr:to>
    <xdr:pic>
      <xdr:nvPicPr>
        <xdr:cNvPr id="2" name="Picture 1">
          <a:extLst>
            <a:ext uri="{FF2B5EF4-FFF2-40B4-BE49-F238E27FC236}">
              <a16:creationId xmlns:a16="http://schemas.microsoft.com/office/drawing/2014/main" id="{B1625A1A-78DD-4F8B-A70D-386316B7C7BA}"/>
            </a:ext>
          </a:extLst>
        </xdr:cNvPr>
        <xdr:cNvPicPr>
          <a:picLocks noChangeAspect="1"/>
        </xdr:cNvPicPr>
      </xdr:nvPicPr>
      <xdr:blipFill>
        <a:blip xmlns:r="http://schemas.openxmlformats.org/officeDocument/2006/relationships" r:embed="rId1"/>
        <a:stretch>
          <a:fillRect/>
        </a:stretch>
      </xdr:blipFill>
      <xdr:spPr>
        <a:xfrm>
          <a:off x="12198350" y="3526106"/>
          <a:ext cx="8520707" cy="1503480"/>
        </a:xfrm>
        <a:prstGeom prst="rect">
          <a:avLst/>
        </a:prstGeom>
      </xdr:spPr>
    </xdr:pic>
    <xdr:clientData/>
  </xdr:twoCellAnchor>
  <xdr:twoCellAnchor editAs="oneCell">
    <xdr:from>
      <xdr:col>31</xdr:col>
      <xdr:colOff>9525</xdr:colOff>
      <xdr:row>36</xdr:row>
      <xdr:rowOff>35324</xdr:rowOff>
    </xdr:from>
    <xdr:to>
      <xdr:col>43</xdr:col>
      <xdr:colOff>92076</xdr:colOff>
      <xdr:row>64</xdr:row>
      <xdr:rowOff>79374</xdr:rowOff>
    </xdr:to>
    <xdr:pic>
      <xdr:nvPicPr>
        <xdr:cNvPr id="4" name="Picture 3">
          <a:extLst>
            <a:ext uri="{FF2B5EF4-FFF2-40B4-BE49-F238E27FC236}">
              <a16:creationId xmlns:a16="http://schemas.microsoft.com/office/drawing/2014/main" id="{7F23C4EC-7E71-4E8E-A271-8D2BE952FC2C}"/>
            </a:ext>
          </a:extLst>
        </xdr:cNvPr>
        <xdr:cNvPicPr>
          <a:picLocks noChangeAspect="1"/>
        </xdr:cNvPicPr>
      </xdr:nvPicPr>
      <xdr:blipFill>
        <a:blip xmlns:r="http://schemas.openxmlformats.org/officeDocument/2006/relationships" r:embed="rId2"/>
        <a:stretch>
          <a:fillRect/>
        </a:stretch>
      </xdr:blipFill>
      <xdr:spPr>
        <a:xfrm>
          <a:off x="9782175" y="5216924"/>
          <a:ext cx="7740651" cy="4044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69273</xdr:colOff>
      <xdr:row>13</xdr:row>
      <xdr:rowOff>68036</xdr:rowOff>
    </xdr:from>
    <xdr:to>
      <xdr:col>11</xdr:col>
      <xdr:colOff>639536</xdr:colOff>
      <xdr:row>23</xdr:row>
      <xdr:rowOff>163286</xdr:rowOff>
    </xdr:to>
    <xdr:sp macro="" textlink="">
      <xdr:nvSpPr>
        <xdr:cNvPr id="3" name="TextBox 2">
          <a:extLst>
            <a:ext uri="{FF2B5EF4-FFF2-40B4-BE49-F238E27FC236}">
              <a16:creationId xmlns:a16="http://schemas.microsoft.com/office/drawing/2014/main" id="{4E3B04EE-2380-4C37-A85D-1CAE66F4D2E2}"/>
            </a:ext>
          </a:extLst>
        </xdr:cNvPr>
        <xdr:cNvSpPr txBox="1"/>
      </xdr:nvSpPr>
      <xdr:spPr>
        <a:xfrm>
          <a:off x="370898" y="3036661"/>
          <a:ext cx="9599963" cy="247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0" i="0">
              <a:solidFill>
                <a:schemeClr val="dk1"/>
              </a:solidFill>
              <a:effectLst/>
              <a:latin typeface="+mn-lt"/>
              <a:ea typeface="+mn-ea"/>
              <a:cs typeface="+mn-cs"/>
            </a:rPr>
            <a:t>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Mexico City, London-Heathrow, Paris-Charles de Gaulle, and Seoul-Incheon. The company sells its tickets through various distribution channels, including delta.com and the Fly Delta app, reservations, online travel agencies, traditional brick and mortar, and other agencies. It also provides aircraft maintenance and engineering support, repair, and overhaul services; and vacation packages to third-party consumers, as well as aircraft charters, and management and programs. The company operates through a fleet of approximately 1,200 aircrafts. Delta Air Lines, Inc. was founded in 1924 and is based in Atlanta, Georgia.</a:t>
          </a:r>
          <a:endParaRPr lang="en-US" sz="2400">
            <a:effectLst/>
          </a:endParaRPr>
        </a:p>
      </xdr:txBody>
    </xdr:sp>
    <xdr:clientData/>
  </xdr:twoCellAnchor>
  <xdr:twoCellAnchor>
    <xdr:from>
      <xdr:col>16</xdr:col>
      <xdr:colOff>34636</xdr:colOff>
      <xdr:row>34</xdr:row>
      <xdr:rowOff>103909</xdr:rowOff>
    </xdr:from>
    <xdr:to>
      <xdr:col>22</xdr:col>
      <xdr:colOff>848591</xdr:colOff>
      <xdr:row>39</xdr:row>
      <xdr:rowOff>103909</xdr:rowOff>
    </xdr:to>
    <xdr:sp macro="" textlink="">
      <xdr:nvSpPr>
        <xdr:cNvPr id="5" name="TextBox 4">
          <a:extLst>
            <a:ext uri="{FF2B5EF4-FFF2-40B4-BE49-F238E27FC236}">
              <a16:creationId xmlns:a16="http://schemas.microsoft.com/office/drawing/2014/main" id="{52A69810-9BE6-4F53-B268-A3CEEF1953A3}"/>
            </a:ext>
          </a:extLst>
        </xdr:cNvPr>
        <xdr:cNvSpPr txBox="1"/>
      </xdr:nvSpPr>
      <xdr:spPr>
        <a:xfrm>
          <a:off x="13585536" y="8079509"/>
          <a:ext cx="7109980"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Other</a:t>
          </a:r>
          <a:r>
            <a:rPr lang="en-US" sz="1400" b="1" u="sng" baseline="0">
              <a:solidFill>
                <a:schemeClr val="dk1"/>
              </a:solidFill>
              <a:effectLst/>
              <a:latin typeface="+mn-lt"/>
              <a:ea typeface="+mn-ea"/>
              <a:cs typeface="+mn-cs"/>
            </a:rPr>
            <a:t> Liquidity Considerations</a:t>
          </a:r>
          <a:endParaRPr lang="en-US" sz="1400">
            <a:effectLst/>
          </a:endParaRPr>
        </a:p>
        <a:p>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working capital? </a:t>
          </a:r>
          <a:endParaRPr lang="en-US" sz="1400">
            <a:effectLst/>
          </a:endParaRPr>
        </a:p>
        <a:p>
          <a:r>
            <a:rPr lang="en-US" sz="1400" b="0" baseline="0">
              <a:solidFill>
                <a:schemeClr val="dk1"/>
              </a:solidFill>
              <a:effectLst/>
              <a:latin typeface="+mn-lt"/>
              <a:ea typeface="+mn-ea"/>
              <a:cs typeface="+mn-cs"/>
            </a:rPr>
            <a:t>•seasonality?</a:t>
          </a:r>
          <a:endParaRPr lang="en-US" sz="1400">
            <a:effectLst/>
          </a:endParaRPr>
        </a:p>
        <a:p>
          <a:r>
            <a:rPr lang="en-US" sz="1400" b="0" baseline="0">
              <a:solidFill>
                <a:schemeClr val="dk1"/>
              </a:solidFill>
              <a:effectLst/>
              <a:latin typeface="+mn-lt"/>
              <a:ea typeface="+mn-ea"/>
              <a:cs typeface="+mn-cs"/>
            </a:rPr>
            <a:t>•leases?</a:t>
          </a:r>
          <a:endParaRPr lang="en-US" sz="1400">
            <a:effectLst/>
          </a:endParaRPr>
        </a:p>
        <a:p>
          <a:r>
            <a:rPr lang="en-US" sz="1400" b="1">
              <a:solidFill>
                <a:schemeClr val="dk1"/>
              </a:solidFill>
              <a:effectLst/>
              <a:latin typeface="+mn-lt"/>
              <a:ea typeface="+mn-ea"/>
              <a:cs typeface="+mn-cs"/>
            </a:rPr>
            <a:t>•</a:t>
          </a:r>
          <a:r>
            <a:rPr lang="en-US" sz="1400" b="0">
              <a:solidFill>
                <a:schemeClr val="dk1"/>
              </a:solidFill>
              <a:effectLst/>
              <a:latin typeface="+mn-lt"/>
              <a:ea typeface="+mn-ea"/>
              <a:cs typeface="+mn-cs"/>
            </a:rPr>
            <a:t>assets</a:t>
          </a:r>
          <a:r>
            <a:rPr lang="en-US" sz="1400" b="0" baseline="0">
              <a:solidFill>
                <a:schemeClr val="dk1"/>
              </a:solidFill>
              <a:effectLst/>
              <a:latin typeface="+mn-lt"/>
              <a:ea typeface="+mn-ea"/>
              <a:cs typeface="+mn-cs"/>
            </a:rPr>
            <a:t> for sale?</a:t>
          </a:r>
          <a:endParaRPr lang="en-US" sz="1400">
            <a:effectLst/>
          </a:endParaRPr>
        </a:p>
      </xdr:txBody>
    </xdr:sp>
    <xdr:clientData/>
  </xdr:twoCellAnchor>
  <xdr:twoCellAnchor>
    <xdr:from>
      <xdr:col>16</xdr:col>
      <xdr:colOff>95249</xdr:colOff>
      <xdr:row>41</xdr:row>
      <xdr:rowOff>95249</xdr:rowOff>
    </xdr:from>
    <xdr:to>
      <xdr:col>22</xdr:col>
      <xdr:colOff>1006929</xdr:colOff>
      <xdr:row>54</xdr:row>
      <xdr:rowOff>64225</xdr:rowOff>
    </xdr:to>
    <xdr:sp macro="" textlink="">
      <xdr:nvSpPr>
        <xdr:cNvPr id="6" name="TextBox 5">
          <a:extLst>
            <a:ext uri="{FF2B5EF4-FFF2-40B4-BE49-F238E27FC236}">
              <a16:creationId xmlns:a16="http://schemas.microsoft.com/office/drawing/2014/main" id="{58E8174D-C1A8-496A-A616-2D2AAC884E5B}"/>
            </a:ext>
          </a:extLst>
        </xdr:cNvPr>
        <xdr:cNvSpPr txBox="1"/>
      </xdr:nvSpPr>
      <xdr:spPr>
        <a:xfrm>
          <a:off x="13649324" y="9734549"/>
          <a:ext cx="7207705" cy="3067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85750" indent="-285750">
            <a:buFont typeface="Arial" panose="020B0604020202020204" pitchFamily="34" charset="0"/>
            <a:buChar char="•"/>
          </a:pPr>
          <a:r>
            <a:rPr lang="en-US" sz="1400"/>
            <a:t>Issuer (holdco /</a:t>
          </a:r>
          <a:r>
            <a:rPr lang="en-US" sz="1400" baseline="0"/>
            <a:t> opco?)</a:t>
          </a:r>
        </a:p>
        <a:p>
          <a:pPr marL="285750" indent="-285750">
            <a:buFont typeface="Arial" panose="020B0604020202020204" pitchFamily="34" charset="0"/>
            <a:buChar char="•"/>
          </a:pPr>
          <a:r>
            <a:rPr lang="en-US" sz="1400" baseline="0"/>
            <a:t>Structural subordination? </a:t>
          </a:r>
        </a:p>
        <a:p>
          <a:pPr marL="285750" indent="-285750">
            <a:buFont typeface="Arial" panose="020B0604020202020204" pitchFamily="34" charset="0"/>
            <a:buChar char="•"/>
          </a:pPr>
          <a:r>
            <a:rPr lang="en-US" sz="1400" baseline="0"/>
            <a:t>Significant non-US, non-restricted assets and operations? </a:t>
          </a:r>
        </a:p>
        <a:p>
          <a:pPr marL="285750" indent="-285750">
            <a:buFont typeface="Arial" panose="020B0604020202020204" pitchFamily="34" charset="0"/>
            <a:buChar char="•"/>
          </a:pPr>
          <a:r>
            <a:rPr lang="en-US" sz="1400" baseline="0"/>
            <a:t>Guarantors? (% of ebitda / revenue?)</a:t>
          </a:r>
        </a:p>
        <a:p>
          <a:pPr marL="285750" indent="-285750">
            <a:buFont typeface="Arial" panose="020B0604020202020204" pitchFamily="34" charset="0"/>
            <a:buChar char="•"/>
          </a:pPr>
          <a:r>
            <a:rPr lang="en-US" sz="1400" baseline="0"/>
            <a:t>Covenants? (rp, incurrence, fixed charge incurrence, etc.)</a:t>
          </a:r>
        </a:p>
        <a:p>
          <a:pPr marL="285750" indent="-285750">
            <a:buFont typeface="Arial" panose="020B0604020202020204" pitchFamily="34" charset="0"/>
            <a:buChar char="•"/>
          </a:pPr>
          <a:r>
            <a:rPr lang="en-US" sz="1400" baseline="0"/>
            <a:t>Collateral? negative pledge? lien limitations: ratable security?</a:t>
          </a:r>
        </a:p>
        <a:p>
          <a:endParaRPr lang="en-US" sz="1400" baseline="0"/>
        </a:p>
        <a:p>
          <a:endParaRPr lang="en-US" sz="1400" baseline="0"/>
        </a:p>
        <a:p>
          <a:endParaRPr lang="en-US" sz="1400" baseline="0"/>
        </a:p>
        <a:p>
          <a:endParaRPr lang="en-US" sz="1100"/>
        </a:p>
      </xdr:txBody>
    </xdr:sp>
    <xdr:clientData/>
  </xdr:twoCellAnchor>
  <xdr:twoCellAnchor editAs="oneCell">
    <xdr:from>
      <xdr:col>23</xdr:col>
      <xdr:colOff>1081315</xdr:colOff>
      <xdr:row>28</xdr:row>
      <xdr:rowOff>44864</xdr:rowOff>
    </xdr:from>
    <xdr:to>
      <xdr:col>34</xdr:col>
      <xdr:colOff>577850</xdr:colOff>
      <xdr:row>38</xdr:row>
      <xdr:rowOff>78482</xdr:rowOff>
    </xdr:to>
    <xdr:pic>
      <xdr:nvPicPr>
        <xdr:cNvPr id="2" name="Picture 1">
          <a:extLst>
            <a:ext uri="{FF2B5EF4-FFF2-40B4-BE49-F238E27FC236}">
              <a16:creationId xmlns:a16="http://schemas.microsoft.com/office/drawing/2014/main" id="{2206EA0E-6F27-476B-808B-6F5BE13CDDAC}"/>
            </a:ext>
          </a:extLst>
        </xdr:cNvPr>
        <xdr:cNvPicPr>
          <a:picLocks noChangeAspect="1"/>
        </xdr:cNvPicPr>
      </xdr:nvPicPr>
      <xdr:blipFill>
        <a:blip xmlns:r="http://schemas.openxmlformats.org/officeDocument/2006/relationships" r:embed="rId1"/>
        <a:stretch>
          <a:fillRect/>
        </a:stretch>
      </xdr:blipFill>
      <xdr:spPr>
        <a:xfrm>
          <a:off x="22145172" y="6766793"/>
          <a:ext cx="10790464" cy="24829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30</xdr:col>
      <xdr:colOff>590550</xdr:colOff>
      <xdr:row>173</xdr:row>
      <xdr:rowOff>104775</xdr:rowOff>
    </xdr:from>
    <xdr:to>
      <xdr:col>40</xdr:col>
      <xdr:colOff>373743</xdr:colOff>
      <xdr:row>187</xdr:row>
      <xdr:rowOff>120737</xdr:rowOff>
    </xdr:to>
    <xdr:pic>
      <xdr:nvPicPr>
        <xdr:cNvPr id="4" name="Picture 3">
          <a:extLst>
            <a:ext uri="{FF2B5EF4-FFF2-40B4-BE49-F238E27FC236}">
              <a16:creationId xmlns:a16="http://schemas.microsoft.com/office/drawing/2014/main" id="{BE246E31-9BF1-4CC8-B8A9-A469BA666C0A}"/>
            </a:ext>
          </a:extLst>
        </xdr:cNvPr>
        <xdr:cNvPicPr>
          <a:picLocks noChangeAspect="1"/>
        </xdr:cNvPicPr>
      </xdr:nvPicPr>
      <xdr:blipFill>
        <a:blip xmlns:r="http://schemas.openxmlformats.org/officeDocument/2006/relationships" r:embed="rId1"/>
        <a:stretch>
          <a:fillRect/>
        </a:stretch>
      </xdr:blipFill>
      <xdr:spPr>
        <a:xfrm>
          <a:off x="20574000" y="24860250"/>
          <a:ext cx="6161768" cy="20193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31</xdr:col>
      <xdr:colOff>142875</xdr:colOff>
      <xdr:row>239</xdr:row>
      <xdr:rowOff>112543</xdr:rowOff>
    </xdr:from>
    <xdr:to>
      <xdr:col>39</xdr:col>
      <xdr:colOff>351369</xdr:colOff>
      <xdr:row>260</xdr:row>
      <xdr:rowOff>117255</xdr:rowOff>
    </xdr:to>
    <xdr:pic>
      <xdr:nvPicPr>
        <xdr:cNvPr id="3" name="Picture 2">
          <a:extLst>
            <a:ext uri="{FF2B5EF4-FFF2-40B4-BE49-F238E27FC236}">
              <a16:creationId xmlns:a16="http://schemas.microsoft.com/office/drawing/2014/main" id="{68F60A57-6054-EA4E-61CA-27824D97A119}"/>
            </a:ext>
          </a:extLst>
        </xdr:cNvPr>
        <xdr:cNvPicPr>
          <a:picLocks noChangeAspect="1"/>
        </xdr:cNvPicPr>
      </xdr:nvPicPr>
      <xdr:blipFill>
        <a:blip xmlns:r="http://schemas.openxmlformats.org/officeDocument/2006/relationships" r:embed="rId1"/>
        <a:stretch>
          <a:fillRect/>
        </a:stretch>
      </xdr:blipFill>
      <xdr:spPr>
        <a:xfrm>
          <a:off x="20126325" y="34192993"/>
          <a:ext cx="5317069" cy="3005087"/>
        </a:xfrm>
        <a:prstGeom prst="rect">
          <a:avLst/>
        </a:prstGeom>
      </xdr:spPr>
    </xdr:pic>
    <xdr:clientData/>
  </xdr:twoCellAnchor>
  <xdr:twoCellAnchor editAs="oneCell">
    <xdr:from>
      <xdr:col>30</xdr:col>
      <xdr:colOff>609601</xdr:colOff>
      <xdr:row>122</xdr:row>
      <xdr:rowOff>38988</xdr:rowOff>
    </xdr:from>
    <xdr:to>
      <xdr:col>37</xdr:col>
      <xdr:colOff>627042</xdr:colOff>
      <xdr:row>140</xdr:row>
      <xdr:rowOff>6350</xdr:rowOff>
    </xdr:to>
    <xdr:pic>
      <xdr:nvPicPr>
        <xdr:cNvPr id="4" name="Picture 3">
          <a:extLst>
            <a:ext uri="{FF2B5EF4-FFF2-40B4-BE49-F238E27FC236}">
              <a16:creationId xmlns:a16="http://schemas.microsoft.com/office/drawing/2014/main" id="{AB391164-6CD2-4B49-3B38-A35BEE372DE5}"/>
            </a:ext>
          </a:extLst>
        </xdr:cNvPr>
        <xdr:cNvPicPr>
          <a:picLocks noChangeAspect="1"/>
        </xdr:cNvPicPr>
      </xdr:nvPicPr>
      <xdr:blipFill>
        <a:blip xmlns:r="http://schemas.openxmlformats.org/officeDocument/2006/relationships" r:embed="rId2"/>
        <a:stretch>
          <a:fillRect/>
        </a:stretch>
      </xdr:blipFill>
      <xdr:spPr>
        <a:xfrm>
          <a:off x="19954876" y="17403063"/>
          <a:ext cx="4484666" cy="2539112"/>
        </a:xfrm>
        <a:prstGeom prst="rect">
          <a:avLst/>
        </a:prstGeom>
      </xdr:spPr>
    </xdr:pic>
    <xdr:clientData/>
  </xdr:twoCellAnchor>
  <xdr:twoCellAnchor editAs="oneCell">
    <xdr:from>
      <xdr:col>31</xdr:col>
      <xdr:colOff>112365</xdr:colOff>
      <xdr:row>75</xdr:row>
      <xdr:rowOff>114301</xdr:rowOff>
    </xdr:from>
    <xdr:to>
      <xdr:col>35</xdr:col>
      <xdr:colOff>8938</xdr:colOff>
      <xdr:row>99</xdr:row>
      <xdr:rowOff>131095</xdr:rowOff>
    </xdr:to>
    <xdr:pic>
      <xdr:nvPicPr>
        <xdr:cNvPr id="5" name="Picture 4">
          <a:extLst>
            <a:ext uri="{FF2B5EF4-FFF2-40B4-BE49-F238E27FC236}">
              <a16:creationId xmlns:a16="http://schemas.microsoft.com/office/drawing/2014/main" id="{83BD2E7F-C1B8-6A0C-E234-F3594CAD471E}"/>
            </a:ext>
          </a:extLst>
        </xdr:cNvPr>
        <xdr:cNvPicPr>
          <a:picLocks noChangeAspect="1"/>
        </xdr:cNvPicPr>
      </xdr:nvPicPr>
      <xdr:blipFill>
        <a:blip xmlns:r="http://schemas.openxmlformats.org/officeDocument/2006/relationships" r:embed="rId3"/>
        <a:stretch>
          <a:fillRect/>
        </a:stretch>
      </xdr:blipFill>
      <xdr:spPr>
        <a:xfrm>
          <a:off x="20095815" y="11010901"/>
          <a:ext cx="2449273" cy="3445794"/>
        </a:xfrm>
        <a:prstGeom prst="rect">
          <a:avLst/>
        </a:prstGeom>
      </xdr:spPr>
    </xdr:pic>
    <xdr:clientData/>
  </xdr:twoCellAnchor>
  <xdr:twoCellAnchor editAs="oneCell">
    <xdr:from>
      <xdr:col>31</xdr:col>
      <xdr:colOff>105655</xdr:colOff>
      <xdr:row>100</xdr:row>
      <xdr:rowOff>57257</xdr:rowOff>
    </xdr:from>
    <xdr:to>
      <xdr:col>35</xdr:col>
      <xdr:colOff>92076</xdr:colOff>
      <xdr:row>117</xdr:row>
      <xdr:rowOff>16557</xdr:rowOff>
    </xdr:to>
    <xdr:pic>
      <xdr:nvPicPr>
        <xdr:cNvPr id="6" name="Picture 5">
          <a:extLst>
            <a:ext uri="{FF2B5EF4-FFF2-40B4-BE49-F238E27FC236}">
              <a16:creationId xmlns:a16="http://schemas.microsoft.com/office/drawing/2014/main" id="{97549CFA-8378-6875-5DE9-876EE3494D17}"/>
            </a:ext>
          </a:extLst>
        </xdr:cNvPr>
        <xdr:cNvPicPr>
          <a:picLocks noChangeAspect="1"/>
        </xdr:cNvPicPr>
      </xdr:nvPicPr>
      <xdr:blipFill>
        <a:blip xmlns:r="http://schemas.openxmlformats.org/officeDocument/2006/relationships" r:embed="rId4"/>
        <a:stretch>
          <a:fillRect/>
        </a:stretch>
      </xdr:blipFill>
      <xdr:spPr>
        <a:xfrm>
          <a:off x="20089105" y="14525732"/>
          <a:ext cx="2542296" cy="228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32</xdr:col>
      <xdr:colOff>285750</xdr:colOff>
      <xdr:row>35</xdr:row>
      <xdr:rowOff>6350</xdr:rowOff>
    </xdr:from>
    <xdr:to>
      <xdr:col>49</xdr:col>
      <xdr:colOff>230414</xdr:colOff>
      <xdr:row>52</xdr:row>
      <xdr:rowOff>57204</xdr:rowOff>
    </xdr:to>
    <xdr:pic>
      <xdr:nvPicPr>
        <xdr:cNvPr id="2" name="Picture 1">
          <a:extLst>
            <a:ext uri="{FF2B5EF4-FFF2-40B4-BE49-F238E27FC236}">
              <a16:creationId xmlns:a16="http://schemas.microsoft.com/office/drawing/2014/main" id="{B29A2267-CB45-4776-AB31-822E9C332AEE}"/>
            </a:ext>
          </a:extLst>
        </xdr:cNvPr>
        <xdr:cNvPicPr>
          <a:picLocks noChangeAspect="1"/>
        </xdr:cNvPicPr>
      </xdr:nvPicPr>
      <xdr:blipFill>
        <a:blip xmlns:r="http://schemas.openxmlformats.org/officeDocument/2006/relationships" r:embed="rId1"/>
        <a:stretch>
          <a:fillRect/>
        </a:stretch>
      </xdr:blipFill>
      <xdr:spPr>
        <a:xfrm>
          <a:off x="10696575" y="5045075"/>
          <a:ext cx="10793639" cy="24797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69273</xdr:colOff>
      <xdr:row>13</xdr:row>
      <xdr:rowOff>68036</xdr:rowOff>
    </xdr:from>
    <xdr:to>
      <xdr:col>11</xdr:col>
      <xdr:colOff>639536</xdr:colOff>
      <xdr:row>23</xdr:row>
      <xdr:rowOff>163286</xdr:rowOff>
    </xdr:to>
    <xdr:sp macro="" textlink="">
      <xdr:nvSpPr>
        <xdr:cNvPr id="3" name="TextBox 2">
          <a:extLst>
            <a:ext uri="{FF2B5EF4-FFF2-40B4-BE49-F238E27FC236}">
              <a16:creationId xmlns:a16="http://schemas.microsoft.com/office/drawing/2014/main" id="{7A5C0ED4-2947-4B22-BD11-39415CBEF2BA}"/>
            </a:ext>
          </a:extLst>
        </xdr:cNvPr>
        <xdr:cNvSpPr txBox="1"/>
      </xdr:nvSpPr>
      <xdr:spPr>
        <a:xfrm>
          <a:off x="361373" y="3036661"/>
          <a:ext cx="9542813" cy="247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0" i="0">
              <a:solidFill>
                <a:schemeClr val="dk1"/>
              </a:solidFill>
              <a:effectLst/>
              <a:latin typeface="+mn-lt"/>
              <a:ea typeface="+mn-ea"/>
              <a:cs typeface="+mn-cs"/>
            </a:rPr>
            <a:t>United Airlines Holdings, Inc. is a holding company and its principal, wholly owned subsidiary is United Airlines, Inc. (United). It transports people and cargo throughout North America and to destinations in Asia, Europe, Africa, the Pacific, the Middle East and Latin America. The Company, through its wholly owned subsidiary, United and its regional carriers, operates across six continents, with hubs at Newark Liberty International Airport (EWR), Chicago O'Hare International Airport (ORD), Denver International Airport (DEN), George Bush Intercontinental Airport (IAH), Los Angeles International Airport (LAX), A.B. Won Pat International Airport (GUM), San Francisco International Airport (SFO) and Washington Dulles International Airport (IAD). Its hub and spoke system allows it to transport passengers between several destinations with more frequent service. United has contractual relationships with various regional carriers to provide regional aircraft service branded as United Express.</a:t>
          </a:r>
          <a:endParaRPr lang="en-US" sz="2400">
            <a:effectLst/>
          </a:endParaRPr>
        </a:p>
      </xdr:txBody>
    </xdr:sp>
    <xdr:clientData/>
  </xdr:twoCellAnchor>
  <xdr:twoCellAnchor>
    <xdr:from>
      <xdr:col>16</xdr:col>
      <xdr:colOff>34636</xdr:colOff>
      <xdr:row>34</xdr:row>
      <xdr:rowOff>103909</xdr:rowOff>
    </xdr:from>
    <xdr:to>
      <xdr:col>22</xdr:col>
      <xdr:colOff>848591</xdr:colOff>
      <xdr:row>39</xdr:row>
      <xdr:rowOff>103909</xdr:rowOff>
    </xdr:to>
    <xdr:sp macro="" textlink="">
      <xdr:nvSpPr>
        <xdr:cNvPr id="5" name="TextBox 4">
          <a:extLst>
            <a:ext uri="{FF2B5EF4-FFF2-40B4-BE49-F238E27FC236}">
              <a16:creationId xmlns:a16="http://schemas.microsoft.com/office/drawing/2014/main" id="{E11B6942-42CE-45A7-B182-9DAABE097D75}"/>
            </a:ext>
          </a:extLst>
        </xdr:cNvPr>
        <xdr:cNvSpPr txBox="1"/>
      </xdr:nvSpPr>
      <xdr:spPr>
        <a:xfrm>
          <a:off x="13490286" y="8079509"/>
          <a:ext cx="7100455"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Other</a:t>
          </a:r>
          <a:r>
            <a:rPr lang="en-US" sz="1400" b="1" u="sng" baseline="0">
              <a:solidFill>
                <a:schemeClr val="dk1"/>
              </a:solidFill>
              <a:effectLst/>
              <a:latin typeface="+mn-lt"/>
              <a:ea typeface="+mn-ea"/>
              <a:cs typeface="+mn-cs"/>
            </a:rPr>
            <a:t> Liquidity Considerations</a:t>
          </a:r>
          <a:endParaRPr lang="en-US" sz="1400">
            <a:effectLst/>
          </a:endParaRPr>
        </a:p>
        <a:p>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working capital? </a:t>
          </a:r>
          <a:endParaRPr lang="en-US" sz="1400">
            <a:effectLst/>
          </a:endParaRPr>
        </a:p>
        <a:p>
          <a:r>
            <a:rPr lang="en-US" sz="1400" b="0" baseline="0">
              <a:solidFill>
                <a:schemeClr val="dk1"/>
              </a:solidFill>
              <a:effectLst/>
              <a:latin typeface="+mn-lt"/>
              <a:ea typeface="+mn-ea"/>
              <a:cs typeface="+mn-cs"/>
            </a:rPr>
            <a:t>•seasonality?</a:t>
          </a:r>
          <a:endParaRPr lang="en-US" sz="1400">
            <a:effectLst/>
          </a:endParaRPr>
        </a:p>
        <a:p>
          <a:r>
            <a:rPr lang="en-US" sz="1400" b="0" baseline="0">
              <a:solidFill>
                <a:schemeClr val="dk1"/>
              </a:solidFill>
              <a:effectLst/>
              <a:latin typeface="+mn-lt"/>
              <a:ea typeface="+mn-ea"/>
              <a:cs typeface="+mn-cs"/>
            </a:rPr>
            <a:t>•leases?</a:t>
          </a:r>
          <a:endParaRPr lang="en-US" sz="1400">
            <a:effectLst/>
          </a:endParaRPr>
        </a:p>
        <a:p>
          <a:r>
            <a:rPr lang="en-US" sz="1400" b="1">
              <a:solidFill>
                <a:schemeClr val="dk1"/>
              </a:solidFill>
              <a:effectLst/>
              <a:latin typeface="+mn-lt"/>
              <a:ea typeface="+mn-ea"/>
              <a:cs typeface="+mn-cs"/>
            </a:rPr>
            <a:t>•</a:t>
          </a:r>
          <a:r>
            <a:rPr lang="en-US" sz="1400" b="0">
              <a:solidFill>
                <a:schemeClr val="dk1"/>
              </a:solidFill>
              <a:effectLst/>
              <a:latin typeface="+mn-lt"/>
              <a:ea typeface="+mn-ea"/>
              <a:cs typeface="+mn-cs"/>
            </a:rPr>
            <a:t>assets</a:t>
          </a:r>
          <a:r>
            <a:rPr lang="en-US" sz="1400" b="0" baseline="0">
              <a:solidFill>
                <a:schemeClr val="dk1"/>
              </a:solidFill>
              <a:effectLst/>
              <a:latin typeface="+mn-lt"/>
              <a:ea typeface="+mn-ea"/>
              <a:cs typeface="+mn-cs"/>
            </a:rPr>
            <a:t> for sale?</a:t>
          </a:r>
          <a:endParaRPr lang="en-US" sz="1400">
            <a:effectLst/>
          </a:endParaRPr>
        </a:p>
      </xdr:txBody>
    </xdr:sp>
    <xdr:clientData/>
  </xdr:twoCellAnchor>
  <xdr:twoCellAnchor>
    <xdr:from>
      <xdr:col>16</xdr:col>
      <xdr:colOff>95249</xdr:colOff>
      <xdr:row>41</xdr:row>
      <xdr:rowOff>95249</xdr:rowOff>
    </xdr:from>
    <xdr:to>
      <xdr:col>22</xdr:col>
      <xdr:colOff>1006929</xdr:colOff>
      <xdr:row>54</xdr:row>
      <xdr:rowOff>64225</xdr:rowOff>
    </xdr:to>
    <xdr:sp macro="" textlink="">
      <xdr:nvSpPr>
        <xdr:cNvPr id="6" name="TextBox 5">
          <a:extLst>
            <a:ext uri="{FF2B5EF4-FFF2-40B4-BE49-F238E27FC236}">
              <a16:creationId xmlns:a16="http://schemas.microsoft.com/office/drawing/2014/main" id="{FD4A22F8-863F-422A-A466-0AEEF83EB4E9}"/>
            </a:ext>
          </a:extLst>
        </xdr:cNvPr>
        <xdr:cNvSpPr txBox="1"/>
      </xdr:nvSpPr>
      <xdr:spPr>
        <a:xfrm>
          <a:off x="13443856" y="9769928"/>
          <a:ext cx="7089323" cy="31530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85750" indent="-285750">
            <a:buFont typeface="Arial" panose="020B0604020202020204" pitchFamily="34" charset="0"/>
            <a:buChar char="•"/>
          </a:pPr>
          <a:r>
            <a:rPr lang="en-US" sz="1400"/>
            <a:t>Issuer (holdco /</a:t>
          </a:r>
          <a:r>
            <a:rPr lang="en-US" sz="1400" baseline="0"/>
            <a:t> opco?)</a:t>
          </a:r>
        </a:p>
        <a:p>
          <a:pPr marL="285750" indent="-285750">
            <a:buFont typeface="Arial" panose="020B0604020202020204" pitchFamily="34" charset="0"/>
            <a:buChar char="•"/>
          </a:pPr>
          <a:r>
            <a:rPr lang="en-US" sz="1400" baseline="0"/>
            <a:t>Structural subordination? </a:t>
          </a:r>
        </a:p>
        <a:p>
          <a:pPr marL="285750" indent="-285750">
            <a:buFont typeface="Arial" panose="020B0604020202020204" pitchFamily="34" charset="0"/>
            <a:buChar char="•"/>
          </a:pPr>
          <a:r>
            <a:rPr lang="en-US" sz="1400" baseline="0"/>
            <a:t>Significant non-US, non-restricted assets and operations? </a:t>
          </a:r>
        </a:p>
        <a:p>
          <a:pPr marL="285750" indent="-285750">
            <a:buFont typeface="Arial" panose="020B0604020202020204" pitchFamily="34" charset="0"/>
            <a:buChar char="•"/>
          </a:pPr>
          <a:r>
            <a:rPr lang="en-US" sz="1400" baseline="0"/>
            <a:t>Guarantors? (% of ebitda / revenue?)</a:t>
          </a:r>
        </a:p>
        <a:p>
          <a:pPr marL="285750" indent="-285750">
            <a:buFont typeface="Arial" panose="020B0604020202020204" pitchFamily="34" charset="0"/>
            <a:buChar char="•"/>
          </a:pPr>
          <a:r>
            <a:rPr lang="en-US" sz="1400" baseline="0"/>
            <a:t>Covenants? (rp, incurrence, fixed charge incurrence, etc.)</a:t>
          </a:r>
        </a:p>
        <a:p>
          <a:pPr marL="285750" indent="-285750">
            <a:buFont typeface="Arial" panose="020B0604020202020204" pitchFamily="34" charset="0"/>
            <a:buChar char="•"/>
          </a:pPr>
          <a:r>
            <a:rPr lang="en-US" sz="1400" baseline="0"/>
            <a:t>Collateral? negative pledge? lien limitations: ratable security?</a:t>
          </a:r>
        </a:p>
        <a:p>
          <a:endParaRPr lang="en-US" sz="1400" baseline="0"/>
        </a:p>
        <a:p>
          <a:endParaRPr lang="en-US" sz="1400" baseline="0"/>
        </a:p>
        <a:p>
          <a:endParaRPr lang="en-US" sz="1400" baseline="0"/>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30</xdr:col>
      <xdr:colOff>622300</xdr:colOff>
      <xdr:row>183</xdr:row>
      <xdr:rowOff>71936</xdr:rowOff>
    </xdr:from>
    <xdr:to>
      <xdr:col>43</xdr:col>
      <xdr:colOff>398777</xdr:colOff>
      <xdr:row>195</xdr:row>
      <xdr:rowOff>119270</xdr:rowOff>
    </xdr:to>
    <xdr:pic>
      <xdr:nvPicPr>
        <xdr:cNvPr id="3" name="Picture 2">
          <a:extLst>
            <a:ext uri="{FF2B5EF4-FFF2-40B4-BE49-F238E27FC236}">
              <a16:creationId xmlns:a16="http://schemas.microsoft.com/office/drawing/2014/main" id="{C046D6FA-09E3-5012-ADF4-240A73B51EE0}"/>
            </a:ext>
          </a:extLst>
        </xdr:cNvPr>
        <xdr:cNvPicPr>
          <a:picLocks noChangeAspect="1"/>
        </xdr:cNvPicPr>
      </xdr:nvPicPr>
      <xdr:blipFill>
        <a:blip xmlns:r="http://schemas.openxmlformats.org/officeDocument/2006/relationships" r:embed="rId1"/>
        <a:stretch>
          <a:fillRect/>
        </a:stretch>
      </xdr:blipFill>
      <xdr:spPr>
        <a:xfrm>
          <a:off x="20053300" y="21807986"/>
          <a:ext cx="8114027" cy="17237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31</xdr:col>
      <xdr:colOff>60324</xdr:colOff>
      <xdr:row>173</xdr:row>
      <xdr:rowOff>101600</xdr:rowOff>
    </xdr:from>
    <xdr:to>
      <xdr:col>38</xdr:col>
      <xdr:colOff>231774</xdr:colOff>
      <xdr:row>183</xdr:row>
      <xdr:rowOff>92075</xdr:rowOff>
    </xdr:to>
    <xdr:pic>
      <xdr:nvPicPr>
        <xdr:cNvPr id="2" name="Picture 1">
          <a:extLst>
            <a:ext uri="{FF2B5EF4-FFF2-40B4-BE49-F238E27FC236}">
              <a16:creationId xmlns:a16="http://schemas.microsoft.com/office/drawing/2014/main" id="{70678D98-A640-4BA3-B19C-EDA525C9958A}"/>
            </a:ext>
          </a:extLst>
        </xdr:cNvPr>
        <xdr:cNvPicPr>
          <a:picLocks noChangeAspect="1"/>
        </xdr:cNvPicPr>
      </xdr:nvPicPr>
      <xdr:blipFill>
        <a:blip xmlns:r="http://schemas.openxmlformats.org/officeDocument/2006/relationships" r:embed="rId1"/>
        <a:stretch>
          <a:fillRect/>
        </a:stretch>
      </xdr:blipFill>
      <xdr:spPr>
        <a:xfrm>
          <a:off x="20234274" y="24857075"/>
          <a:ext cx="4638675" cy="1419225"/>
        </a:xfrm>
        <a:prstGeom prst="rect">
          <a:avLst/>
        </a:prstGeom>
      </xdr:spPr>
    </xdr:pic>
    <xdr:clientData/>
  </xdr:twoCellAnchor>
  <xdr:twoCellAnchor>
    <xdr:from>
      <xdr:col>31</xdr:col>
      <xdr:colOff>6350</xdr:colOff>
      <xdr:row>225</xdr:row>
      <xdr:rowOff>95250</xdr:rowOff>
    </xdr:from>
    <xdr:to>
      <xdr:col>42</xdr:col>
      <xdr:colOff>151130</xdr:colOff>
      <xdr:row>238</xdr:row>
      <xdr:rowOff>102031</xdr:rowOff>
    </xdr:to>
    <xdr:grpSp>
      <xdr:nvGrpSpPr>
        <xdr:cNvPr id="7" name="Group 6">
          <a:extLst>
            <a:ext uri="{FF2B5EF4-FFF2-40B4-BE49-F238E27FC236}">
              <a16:creationId xmlns:a16="http://schemas.microsoft.com/office/drawing/2014/main" id="{0B698EEC-9890-4F3A-B12E-A21F463BFF2F}"/>
            </a:ext>
          </a:extLst>
        </xdr:cNvPr>
        <xdr:cNvGrpSpPr/>
      </xdr:nvGrpSpPr>
      <xdr:grpSpPr>
        <a:xfrm>
          <a:off x="20756563" y="32280225"/>
          <a:ext cx="7374255" cy="1864156"/>
          <a:chOff x="20173950" y="1473200"/>
          <a:chExt cx="7199630" cy="1822881"/>
        </a:xfrm>
      </xdr:grpSpPr>
      <xdr:pic>
        <xdr:nvPicPr>
          <xdr:cNvPr id="8" name="Picture 7" descr="Regional Capacity Purchase Agreement&#10;">
            <a:extLst>
              <a:ext uri="{FF2B5EF4-FFF2-40B4-BE49-F238E27FC236}">
                <a16:creationId xmlns:a16="http://schemas.microsoft.com/office/drawing/2014/main" id="{DD47DD08-5F90-3FAE-A729-9C034D69A7A2}"/>
              </a:ext>
            </a:extLst>
          </xdr:cNvPr>
          <xdr:cNvPicPr>
            <a:picLocks noChangeAspect="1"/>
          </xdr:cNvPicPr>
        </xdr:nvPicPr>
        <xdr:blipFill>
          <a:blip xmlns:r="http://schemas.openxmlformats.org/officeDocument/2006/relationships" r:embed="rId2"/>
          <a:stretch>
            <a:fillRect/>
          </a:stretch>
        </xdr:blipFill>
        <xdr:spPr>
          <a:xfrm>
            <a:off x="20173950" y="1668251"/>
            <a:ext cx="7199630" cy="1627830"/>
          </a:xfrm>
          <a:prstGeom prst="rect">
            <a:avLst/>
          </a:prstGeom>
        </xdr:spPr>
      </xdr:pic>
      <xdr:sp macro="" textlink="">
        <xdr:nvSpPr>
          <xdr:cNvPr id="9" name="TextBox 8">
            <a:extLst>
              <a:ext uri="{FF2B5EF4-FFF2-40B4-BE49-F238E27FC236}">
                <a16:creationId xmlns:a16="http://schemas.microsoft.com/office/drawing/2014/main" id="{6F61BC38-A154-A1F6-9B7C-AE0B1C40A891}"/>
              </a:ext>
            </a:extLst>
          </xdr:cNvPr>
          <xdr:cNvSpPr txBox="1"/>
        </xdr:nvSpPr>
        <xdr:spPr>
          <a:xfrm>
            <a:off x="20173950" y="1473200"/>
            <a:ext cx="362585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Regional Capacity Purchase Agreement Schedule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31</xdr:col>
      <xdr:colOff>514350</xdr:colOff>
      <xdr:row>39</xdr:row>
      <xdr:rowOff>20953</xdr:rowOff>
    </xdr:from>
    <xdr:to>
      <xdr:col>44</xdr:col>
      <xdr:colOff>181500</xdr:colOff>
      <xdr:row>51</xdr:row>
      <xdr:rowOff>50799</xdr:rowOff>
    </xdr:to>
    <xdr:pic>
      <xdr:nvPicPr>
        <xdr:cNvPr id="2" name="Picture 1">
          <a:extLst>
            <a:ext uri="{FF2B5EF4-FFF2-40B4-BE49-F238E27FC236}">
              <a16:creationId xmlns:a16="http://schemas.microsoft.com/office/drawing/2014/main" id="{4773F638-29D0-4614-8E33-173821617AF2}"/>
            </a:ext>
          </a:extLst>
        </xdr:cNvPr>
        <xdr:cNvPicPr>
          <a:picLocks noChangeAspect="1"/>
        </xdr:cNvPicPr>
      </xdr:nvPicPr>
      <xdr:blipFill>
        <a:blip xmlns:r="http://schemas.openxmlformats.org/officeDocument/2006/relationships" r:embed="rId1"/>
        <a:stretch>
          <a:fillRect/>
        </a:stretch>
      </xdr:blipFill>
      <xdr:spPr>
        <a:xfrm>
          <a:off x="10287000" y="5621653"/>
          <a:ext cx="7960250" cy="1741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xdr:colOff>
      <xdr:row>106</xdr:row>
      <xdr:rowOff>92392</xdr:rowOff>
    </xdr:from>
    <xdr:to>
      <xdr:col>20</xdr:col>
      <xdr:colOff>596265</xdr:colOff>
      <xdr:row>128</xdr:row>
      <xdr:rowOff>38100</xdr:rowOff>
    </xdr:to>
    <xdr:graphicFrame macro="">
      <xdr:nvGraphicFramePr>
        <xdr:cNvPr id="6" name="Chart 9">
          <a:extLst>
            <a:ext uri="{FF2B5EF4-FFF2-40B4-BE49-F238E27FC236}">
              <a16:creationId xmlns:a16="http://schemas.microsoft.com/office/drawing/2014/main" id="{825BF674-39DF-46D2-A03C-218CA971F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390207</xdr:colOff>
      <xdr:row>164</xdr:row>
      <xdr:rowOff>58101</xdr:rowOff>
    </xdr:from>
    <xdr:to>
      <xdr:col>19</xdr:col>
      <xdr:colOff>238125</xdr:colOff>
      <xdr:row>186</xdr:row>
      <xdr:rowOff>161924</xdr:rowOff>
    </xdr:to>
    <xdr:graphicFrame macro="">
      <xdr:nvGraphicFramePr>
        <xdr:cNvPr id="26" name="Chart 12">
          <a:extLst>
            <a:ext uri="{FF2B5EF4-FFF2-40B4-BE49-F238E27FC236}">
              <a16:creationId xmlns:a16="http://schemas.microsoft.com/office/drawing/2014/main" id="{28A61C8E-34CD-42AA-8ADD-6FD5F6D288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58016</xdr:rowOff>
    </xdr:from>
    <xdr:to>
      <xdr:col>18</xdr:col>
      <xdr:colOff>371475</xdr:colOff>
      <xdr:row>9</xdr:row>
      <xdr:rowOff>114300</xdr:rowOff>
    </xdr:to>
    <xdr:grpSp>
      <xdr:nvGrpSpPr>
        <xdr:cNvPr id="33" name="Group 32">
          <a:extLst>
            <a:ext uri="{FF2B5EF4-FFF2-40B4-BE49-F238E27FC236}">
              <a16:creationId xmlns:a16="http://schemas.microsoft.com/office/drawing/2014/main" id="{2DAC92FA-29D1-4AA8-ABF5-B6F12CB31305}"/>
            </a:ext>
          </a:extLst>
        </xdr:cNvPr>
        <xdr:cNvGrpSpPr/>
      </xdr:nvGrpSpPr>
      <xdr:grpSpPr>
        <a:xfrm>
          <a:off x="0" y="524741"/>
          <a:ext cx="11687175" cy="1123084"/>
          <a:chOff x="6350" y="515216"/>
          <a:chExt cx="11518899" cy="1109930"/>
        </a:xfrm>
      </xdr:grpSpPr>
      <mc:AlternateContent xmlns:mc="http://schemas.openxmlformats.org/markup-compatibility/2006" xmlns:a14="http://schemas.microsoft.com/office/drawing/2010/main">
        <mc:Choice Requires="a14">
          <xdr:graphicFrame macro="">
            <xdr:nvGraphicFramePr>
              <xdr:cNvPr id="3" name="Regions">
                <a:extLst>
                  <a:ext uri="{FF2B5EF4-FFF2-40B4-BE49-F238E27FC236}">
                    <a16:creationId xmlns:a16="http://schemas.microsoft.com/office/drawing/2014/main" id="{CB063DA9-7404-4DA1-AE87-A5FBAAC376AE}"/>
                  </a:ext>
                </a:extLst>
              </xdr:cNvPr>
              <xdr:cNvGraphicFramePr>
                <a:graphicFrameLocks/>
              </xdr:cNvGraphicFramePr>
            </xdr:nvGraphicFramePr>
            <xdr:xfrm>
              <a:off x="6350" y="515216"/>
              <a:ext cx="1580359" cy="1109930"/>
            </xdr:xfrm>
            <a:graphic>
              <a:graphicData uri="http://schemas.microsoft.com/office/drawing/2010/slicer">
                <sle:slicer xmlns:sle="http://schemas.microsoft.com/office/drawing/2010/slicer" name="Regions"/>
              </a:graphicData>
            </a:graphic>
          </xdr:graphicFrame>
        </mc:Choice>
        <mc:Fallback xmlns="">
          <xdr:sp macro="" textlink="">
            <xdr:nvSpPr>
              <xdr:cNvPr id="0" name=""/>
              <xdr:cNvSpPr>
                <a:spLocks noTextEdit="1"/>
              </xdr:cNvSpPr>
            </xdr:nvSpPr>
            <xdr:spPr>
              <a:xfrm>
                <a:off x="0" y="534266"/>
                <a:ext cx="1579488" cy="11230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tsle="http://schemas.microsoft.com/office/drawing/2012/timeslicer">
        <mc:Choice Requires="tsle">
          <xdr:graphicFrame macro="">
            <xdr:nvGraphicFramePr>
              <xdr:cNvPr id="4" name="Period">
                <a:extLst>
                  <a:ext uri="{FF2B5EF4-FFF2-40B4-BE49-F238E27FC236}">
                    <a16:creationId xmlns:a16="http://schemas.microsoft.com/office/drawing/2014/main" id="{E885748E-7EC1-472B-BF82-5E433E377B92}"/>
                  </a:ext>
                </a:extLst>
              </xdr:cNvPr>
              <xdr:cNvGraphicFramePr/>
            </xdr:nvGraphicFramePr>
            <xdr:xfrm>
              <a:off x="1614126" y="518722"/>
              <a:ext cx="9911123" cy="1106424"/>
            </xdr:xfrm>
            <a:graphic>
              <a:graphicData uri="http://schemas.microsoft.com/office/drawing/2012/timeslicer">
                <tsle:timeslicer name="Period"/>
              </a:graphicData>
            </a:graphic>
          </xdr:graphicFrame>
        </mc:Choice>
        <mc:Fallback xmlns="">
          <xdr:sp macro="" textlink="">
            <xdr:nvSpPr>
              <xdr:cNvPr id="0" name=""/>
              <xdr:cNvSpPr>
                <a:spLocks noTextEdit="1"/>
              </xdr:cNvSpPr>
            </xdr:nvSpPr>
            <xdr:spPr>
              <a:xfrm>
                <a:off x="1606890" y="537814"/>
                <a:ext cx="9905660" cy="1119536"/>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clientData/>
  </xdr:twoCellAnchor>
  <xdr:twoCellAnchor>
    <xdr:from>
      <xdr:col>0</xdr:col>
      <xdr:colOff>0</xdr:colOff>
      <xdr:row>31</xdr:row>
      <xdr:rowOff>37102</xdr:rowOff>
    </xdr:from>
    <xdr:to>
      <xdr:col>18</xdr:col>
      <xdr:colOff>386712</xdr:colOff>
      <xdr:row>51</xdr:row>
      <xdr:rowOff>27214</xdr:rowOff>
    </xdr:to>
    <xdr:grpSp>
      <xdr:nvGrpSpPr>
        <xdr:cNvPr id="35" name="Group 34">
          <a:extLst>
            <a:ext uri="{FF2B5EF4-FFF2-40B4-BE49-F238E27FC236}">
              <a16:creationId xmlns:a16="http://schemas.microsoft.com/office/drawing/2014/main" id="{85F0F588-040F-4AD4-A835-8125C2C5CA7F}"/>
            </a:ext>
          </a:extLst>
        </xdr:cNvPr>
        <xdr:cNvGrpSpPr/>
      </xdr:nvGrpSpPr>
      <xdr:grpSpPr>
        <a:xfrm>
          <a:off x="0" y="4504327"/>
          <a:ext cx="11702412" cy="2657112"/>
          <a:chOff x="0" y="4600031"/>
          <a:chExt cx="11490141" cy="2711540"/>
        </a:xfrm>
      </xdr:grpSpPr>
      <xdr:graphicFrame macro="">
        <xdr:nvGraphicFramePr>
          <xdr:cNvPr id="5" name="Chart 10">
            <a:extLst>
              <a:ext uri="{FF2B5EF4-FFF2-40B4-BE49-F238E27FC236}">
                <a16:creationId xmlns:a16="http://schemas.microsoft.com/office/drawing/2014/main" id="{9E85E515-C4F1-473C-8A66-5A7394471A77}"/>
              </a:ext>
            </a:extLst>
          </xdr:cNvPr>
          <xdr:cNvGraphicFramePr>
            <a:graphicFrameLocks/>
          </xdr:cNvGraphicFramePr>
        </xdr:nvGraphicFramePr>
        <xdr:xfrm>
          <a:off x="0" y="4600031"/>
          <a:ext cx="5623560" cy="271154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12">
            <a:extLst>
              <a:ext uri="{FF2B5EF4-FFF2-40B4-BE49-F238E27FC236}">
                <a16:creationId xmlns:a16="http://schemas.microsoft.com/office/drawing/2014/main" id="{E8F64C44-1A6C-4364-A5B2-2098DBC2275E}"/>
              </a:ext>
            </a:extLst>
          </xdr:cNvPr>
          <xdr:cNvGraphicFramePr>
            <a:graphicFrameLocks/>
          </xdr:cNvGraphicFramePr>
        </xdr:nvGraphicFramePr>
        <xdr:xfrm>
          <a:off x="5866581" y="4600031"/>
          <a:ext cx="5623560" cy="26933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51</xdr:row>
      <xdr:rowOff>121556</xdr:rowOff>
    </xdr:from>
    <xdr:to>
      <xdr:col>9</xdr:col>
      <xdr:colOff>71846</xdr:colOff>
      <xdr:row>71</xdr:row>
      <xdr:rowOff>117928</xdr:rowOff>
    </xdr:to>
    <xdr:graphicFrame macro="">
      <xdr:nvGraphicFramePr>
        <xdr:cNvPr id="8" name="Chart 13">
          <a:extLst>
            <a:ext uri="{FF2B5EF4-FFF2-40B4-BE49-F238E27FC236}">
              <a16:creationId xmlns:a16="http://schemas.microsoft.com/office/drawing/2014/main" id="{BE76A8EC-ED10-4930-A2F6-82073ACF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72</xdr:row>
      <xdr:rowOff>44451</xdr:rowOff>
    </xdr:from>
    <xdr:to>
      <xdr:col>18</xdr:col>
      <xdr:colOff>425902</xdr:colOff>
      <xdr:row>94</xdr:row>
      <xdr:rowOff>69397</xdr:rowOff>
    </xdr:to>
    <xdr:graphicFrame macro="">
      <xdr:nvGraphicFramePr>
        <xdr:cNvPr id="9" name="Chart 8">
          <a:extLst>
            <a:ext uri="{FF2B5EF4-FFF2-40B4-BE49-F238E27FC236}">
              <a16:creationId xmlns:a16="http://schemas.microsoft.com/office/drawing/2014/main" id="{5F67B11B-B351-48EB-8A33-247D9A4D8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340179</xdr:colOff>
      <xdr:row>51</xdr:row>
      <xdr:rowOff>119287</xdr:rowOff>
    </xdr:from>
    <xdr:to>
      <xdr:col>18</xdr:col>
      <xdr:colOff>412024</xdr:colOff>
      <xdr:row>71</xdr:row>
      <xdr:rowOff>108857</xdr:rowOff>
    </xdr:to>
    <xdr:graphicFrame macro="">
      <xdr:nvGraphicFramePr>
        <xdr:cNvPr id="10" name="Chart 9">
          <a:extLst>
            <a:ext uri="{FF2B5EF4-FFF2-40B4-BE49-F238E27FC236}">
              <a16:creationId xmlns:a16="http://schemas.microsoft.com/office/drawing/2014/main" id="{9544EDE5-D28F-4FA0-9CCF-FFDAA8FAB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xdr:row>
      <xdr:rowOff>6350</xdr:rowOff>
    </xdr:from>
    <xdr:to>
      <xdr:col>18</xdr:col>
      <xdr:colOff>408939</xdr:colOff>
      <xdr:row>30</xdr:row>
      <xdr:rowOff>127000</xdr:rowOff>
    </xdr:to>
    <xdr:grpSp>
      <xdr:nvGrpSpPr>
        <xdr:cNvPr id="34" name="Group 33">
          <a:extLst>
            <a:ext uri="{FF2B5EF4-FFF2-40B4-BE49-F238E27FC236}">
              <a16:creationId xmlns:a16="http://schemas.microsoft.com/office/drawing/2014/main" id="{23518B03-3C7B-44F4-B0C8-0437AD661B03}"/>
            </a:ext>
          </a:extLst>
        </xdr:cNvPr>
        <xdr:cNvGrpSpPr/>
      </xdr:nvGrpSpPr>
      <xdr:grpSpPr>
        <a:xfrm>
          <a:off x="0" y="1806575"/>
          <a:ext cx="11724639" cy="2654300"/>
          <a:chOff x="0" y="1847850"/>
          <a:chExt cx="11512368" cy="2706007"/>
        </a:xfrm>
      </xdr:grpSpPr>
      <xdr:graphicFrame macro="">
        <xdr:nvGraphicFramePr>
          <xdr:cNvPr id="6" name="Chart 11">
            <a:extLst>
              <a:ext uri="{FF2B5EF4-FFF2-40B4-BE49-F238E27FC236}">
                <a16:creationId xmlns:a16="http://schemas.microsoft.com/office/drawing/2014/main" id="{24C2DFE1-C6DA-4CD1-84A7-B1FDB2856093}"/>
              </a:ext>
            </a:extLst>
          </xdr:cNvPr>
          <xdr:cNvGraphicFramePr>
            <a:graphicFrameLocks/>
          </xdr:cNvGraphicFramePr>
        </xdr:nvGraphicFramePr>
        <xdr:xfrm>
          <a:off x="5880643" y="1847850"/>
          <a:ext cx="5631725" cy="270237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4" name="Chart 13">
            <a:extLst>
              <a:ext uri="{FF2B5EF4-FFF2-40B4-BE49-F238E27FC236}">
                <a16:creationId xmlns:a16="http://schemas.microsoft.com/office/drawing/2014/main" id="{8BC9047E-93AC-45FE-B498-D3932508574B}"/>
              </a:ext>
            </a:extLst>
          </xdr:cNvPr>
          <xdr:cNvGraphicFramePr>
            <a:graphicFrameLocks/>
          </xdr:cNvGraphicFramePr>
        </xdr:nvGraphicFramePr>
        <xdr:xfrm>
          <a:off x="0" y="1847850"/>
          <a:ext cx="5623560" cy="2706007"/>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10</xdr:col>
      <xdr:colOff>0</xdr:colOff>
      <xdr:row>0</xdr:row>
      <xdr:rowOff>44449</xdr:rowOff>
    </xdr:from>
    <xdr:to>
      <xdr:col>10</xdr:col>
      <xdr:colOff>612648</xdr:colOff>
      <xdr:row>0</xdr:row>
      <xdr:rowOff>409843</xdr:rowOff>
    </xdr:to>
    <xdr:grpSp>
      <xdr:nvGrpSpPr>
        <xdr:cNvPr id="29" name="Group 28">
          <a:extLst>
            <a:ext uri="{FF2B5EF4-FFF2-40B4-BE49-F238E27FC236}">
              <a16:creationId xmlns:a16="http://schemas.microsoft.com/office/drawing/2014/main" id="{DB4FEC51-FFDD-4CAE-84A6-F7F0EF6B2CBB}"/>
            </a:ext>
          </a:extLst>
        </xdr:cNvPr>
        <xdr:cNvGrpSpPr/>
      </xdr:nvGrpSpPr>
      <xdr:grpSpPr>
        <a:xfrm>
          <a:off x="6286500" y="44449"/>
          <a:ext cx="612648" cy="365394"/>
          <a:chOff x="5543550" y="44449"/>
          <a:chExt cx="612648" cy="365394"/>
        </a:xfrm>
      </xdr:grpSpPr>
      <xdr:pic>
        <xdr:nvPicPr>
          <xdr:cNvPr id="20" name="Picture 19">
            <a:extLst>
              <a:ext uri="{FF2B5EF4-FFF2-40B4-BE49-F238E27FC236}">
                <a16:creationId xmlns:a16="http://schemas.microsoft.com/office/drawing/2014/main" id="{D9754AB0-B5D9-42C1-935B-5D9554802645}"/>
              </a:ext>
            </a:extLst>
          </xdr:cNvPr>
          <xdr:cNvPicPr>
            <a:picLocks noChangeAspect="1"/>
          </xdr:cNvPicPr>
        </xdr:nvPicPr>
        <xdr:blipFill>
          <a:blip xmlns:r="http://schemas.openxmlformats.org/officeDocument/2006/relationships" r:embed="rId8"/>
          <a:stretch>
            <a:fillRect/>
          </a:stretch>
        </xdr:blipFill>
        <xdr:spPr>
          <a:xfrm>
            <a:off x="5543550" y="44449"/>
            <a:ext cx="608009" cy="165101"/>
          </a:xfrm>
          <a:prstGeom prst="rect">
            <a:avLst/>
          </a:prstGeom>
        </xdr:spPr>
      </xdr:pic>
      <xdr:pic>
        <xdr:nvPicPr>
          <xdr:cNvPr id="21" name="Picture 20">
            <a:extLst>
              <a:ext uri="{FF2B5EF4-FFF2-40B4-BE49-F238E27FC236}">
                <a16:creationId xmlns:a16="http://schemas.microsoft.com/office/drawing/2014/main" id="{98F1F1DA-74C2-4667-A6F2-B7D7F62DB1C5}"/>
              </a:ext>
            </a:extLst>
          </xdr:cNvPr>
          <xdr:cNvPicPr>
            <a:picLocks noChangeAspect="1"/>
          </xdr:cNvPicPr>
        </xdr:nvPicPr>
        <xdr:blipFill>
          <a:blip xmlns:r="http://schemas.openxmlformats.org/officeDocument/2006/relationships" r:embed="rId9"/>
          <a:stretch>
            <a:fillRect/>
          </a:stretch>
        </xdr:blipFill>
        <xdr:spPr>
          <a:xfrm>
            <a:off x="5543550" y="241300"/>
            <a:ext cx="612648" cy="168543"/>
          </a:xfrm>
          <a:prstGeom prst="rect">
            <a:avLst/>
          </a:prstGeom>
        </xdr:spPr>
      </xdr:pic>
    </xdr:grpSp>
    <xdr:clientData/>
  </xdr:twoCellAnchor>
  <xdr:twoCellAnchor>
    <xdr:from>
      <xdr:col>11</xdr:col>
      <xdr:colOff>31750</xdr:colOff>
      <xdr:row>0</xdr:row>
      <xdr:rowOff>50800</xdr:rowOff>
    </xdr:from>
    <xdr:to>
      <xdr:col>11</xdr:col>
      <xdr:colOff>577850</xdr:colOff>
      <xdr:row>0</xdr:row>
      <xdr:rowOff>209550</xdr:rowOff>
    </xdr:to>
    <xdr:sp macro="" textlink="">
      <xdr:nvSpPr>
        <xdr:cNvPr id="23" name="TextBox 22">
          <a:extLst>
            <a:ext uri="{FF2B5EF4-FFF2-40B4-BE49-F238E27FC236}">
              <a16:creationId xmlns:a16="http://schemas.microsoft.com/office/drawing/2014/main" id="{4DAB5CBA-7147-414A-B748-E085A4529362}"/>
            </a:ext>
          </a:extLst>
        </xdr:cNvPr>
        <xdr:cNvSpPr txBox="1"/>
      </xdr:nvSpPr>
      <xdr:spPr>
        <a:xfrm>
          <a:off x="6191250" y="50800"/>
          <a:ext cx="5461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AAL</a:t>
          </a:r>
        </a:p>
        <a:p>
          <a:endParaRPr lang="en-US" sz="1100"/>
        </a:p>
      </xdr:txBody>
    </xdr:sp>
    <xdr:clientData/>
  </xdr:twoCellAnchor>
  <xdr:twoCellAnchor>
    <xdr:from>
      <xdr:col>11</xdr:col>
      <xdr:colOff>25400</xdr:colOff>
      <xdr:row>0</xdr:row>
      <xdr:rowOff>241300</xdr:rowOff>
    </xdr:from>
    <xdr:to>
      <xdr:col>11</xdr:col>
      <xdr:colOff>571500</xdr:colOff>
      <xdr:row>0</xdr:row>
      <xdr:rowOff>400050</xdr:rowOff>
    </xdr:to>
    <xdr:sp macro="" textlink="">
      <xdr:nvSpPr>
        <xdr:cNvPr id="25" name="TextBox 24">
          <a:extLst>
            <a:ext uri="{FF2B5EF4-FFF2-40B4-BE49-F238E27FC236}">
              <a16:creationId xmlns:a16="http://schemas.microsoft.com/office/drawing/2014/main" id="{950D24EE-5A79-4978-90B2-DD8D43C723B8}"/>
            </a:ext>
          </a:extLst>
        </xdr:cNvPr>
        <xdr:cNvSpPr txBox="1"/>
      </xdr:nvSpPr>
      <xdr:spPr>
        <a:xfrm>
          <a:off x="6184900" y="241300"/>
          <a:ext cx="5461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DAL</a:t>
          </a:r>
        </a:p>
      </xdr:txBody>
    </xdr:sp>
    <xdr:clientData/>
  </xdr:twoCellAnchor>
  <xdr:twoCellAnchor>
    <xdr:from>
      <xdr:col>13</xdr:col>
      <xdr:colOff>20986</xdr:colOff>
      <xdr:row>0</xdr:row>
      <xdr:rowOff>44449</xdr:rowOff>
    </xdr:from>
    <xdr:to>
      <xdr:col>14</xdr:col>
      <xdr:colOff>22257</xdr:colOff>
      <xdr:row>0</xdr:row>
      <xdr:rowOff>403633</xdr:rowOff>
    </xdr:to>
    <xdr:grpSp>
      <xdr:nvGrpSpPr>
        <xdr:cNvPr id="28" name="Group 27">
          <a:extLst>
            <a:ext uri="{FF2B5EF4-FFF2-40B4-BE49-F238E27FC236}">
              <a16:creationId xmlns:a16="http://schemas.microsoft.com/office/drawing/2014/main" id="{0131B43D-41FC-43B6-8F99-D8DB19DDD892}"/>
            </a:ext>
          </a:extLst>
        </xdr:cNvPr>
        <xdr:cNvGrpSpPr/>
      </xdr:nvGrpSpPr>
      <xdr:grpSpPr>
        <a:xfrm>
          <a:off x="8193436" y="44449"/>
          <a:ext cx="629921" cy="359184"/>
          <a:chOff x="6872636" y="44449"/>
          <a:chExt cx="617221" cy="359184"/>
        </a:xfrm>
      </xdr:grpSpPr>
      <xdr:pic>
        <xdr:nvPicPr>
          <xdr:cNvPr id="22" name="Picture 21">
            <a:extLst>
              <a:ext uri="{FF2B5EF4-FFF2-40B4-BE49-F238E27FC236}">
                <a16:creationId xmlns:a16="http://schemas.microsoft.com/office/drawing/2014/main" id="{C1F70107-7B36-4050-9EB8-B1900DB8B3C2}"/>
              </a:ext>
            </a:extLst>
          </xdr:cNvPr>
          <xdr:cNvPicPr>
            <a:picLocks noChangeAspect="1"/>
          </xdr:cNvPicPr>
        </xdr:nvPicPr>
        <xdr:blipFill>
          <a:blip xmlns:r="http://schemas.openxmlformats.org/officeDocument/2006/relationships" r:embed="rId10"/>
          <a:stretch>
            <a:fillRect/>
          </a:stretch>
        </xdr:blipFill>
        <xdr:spPr>
          <a:xfrm>
            <a:off x="6872636" y="44449"/>
            <a:ext cx="617221" cy="164592"/>
          </a:xfrm>
          <a:prstGeom prst="rect">
            <a:avLst/>
          </a:prstGeom>
        </xdr:spPr>
      </xdr:pic>
      <xdr:pic>
        <xdr:nvPicPr>
          <xdr:cNvPr id="26" name="Picture 25">
            <a:extLst>
              <a:ext uri="{FF2B5EF4-FFF2-40B4-BE49-F238E27FC236}">
                <a16:creationId xmlns:a16="http://schemas.microsoft.com/office/drawing/2014/main" id="{5B63FCD0-CDD8-4127-A25F-020275ED4138}"/>
              </a:ext>
            </a:extLst>
          </xdr:cNvPr>
          <xdr:cNvPicPr>
            <a:picLocks noChangeAspect="1"/>
          </xdr:cNvPicPr>
        </xdr:nvPicPr>
        <xdr:blipFill>
          <a:blip xmlns:r="http://schemas.openxmlformats.org/officeDocument/2006/relationships" r:embed="rId11"/>
          <a:stretch>
            <a:fillRect/>
          </a:stretch>
        </xdr:blipFill>
        <xdr:spPr>
          <a:xfrm>
            <a:off x="6872636" y="241300"/>
            <a:ext cx="612648" cy="162333"/>
          </a:xfrm>
          <a:prstGeom prst="rect">
            <a:avLst/>
          </a:prstGeom>
        </xdr:spPr>
      </xdr:pic>
    </xdr:grpSp>
    <xdr:clientData/>
  </xdr:twoCellAnchor>
  <xdr:twoCellAnchor editAs="oneCell">
    <xdr:from>
      <xdr:col>16</xdr:col>
      <xdr:colOff>25400</xdr:colOff>
      <xdr:row>0</xdr:row>
      <xdr:rowOff>141491</xdr:rowOff>
    </xdr:from>
    <xdr:to>
      <xdr:col>17</xdr:col>
      <xdr:colOff>22098</xdr:colOff>
      <xdr:row>0</xdr:row>
      <xdr:rowOff>306591</xdr:rowOff>
    </xdr:to>
    <xdr:pic>
      <xdr:nvPicPr>
        <xdr:cNvPr id="27" name="Picture 26">
          <a:extLst>
            <a:ext uri="{FF2B5EF4-FFF2-40B4-BE49-F238E27FC236}">
              <a16:creationId xmlns:a16="http://schemas.microsoft.com/office/drawing/2014/main" id="{3382216C-3713-4793-83E5-D037CDB605B3}"/>
            </a:ext>
          </a:extLst>
        </xdr:cNvPr>
        <xdr:cNvPicPr>
          <a:picLocks noChangeAspect="1"/>
        </xdr:cNvPicPr>
      </xdr:nvPicPr>
      <xdr:blipFill>
        <a:blip xmlns:r="http://schemas.openxmlformats.org/officeDocument/2006/relationships" r:embed="rId12"/>
        <a:stretch>
          <a:fillRect/>
        </a:stretch>
      </xdr:blipFill>
      <xdr:spPr>
        <a:xfrm>
          <a:off x="9264650" y="141491"/>
          <a:ext cx="612648" cy="165100"/>
        </a:xfrm>
        <a:prstGeom prst="rect">
          <a:avLst/>
        </a:prstGeom>
      </xdr:spPr>
    </xdr:pic>
    <xdr:clientData/>
  </xdr:twoCellAnchor>
  <xdr:twoCellAnchor>
    <xdr:from>
      <xdr:col>14</xdr:col>
      <xdr:colOff>69850</xdr:colOff>
      <xdr:row>0</xdr:row>
      <xdr:rowOff>44450</xdr:rowOff>
    </xdr:from>
    <xdr:to>
      <xdr:col>15</xdr:col>
      <xdr:colOff>0</xdr:colOff>
      <xdr:row>0</xdr:row>
      <xdr:rowOff>203200</xdr:rowOff>
    </xdr:to>
    <xdr:sp macro="" textlink="">
      <xdr:nvSpPr>
        <xdr:cNvPr id="30" name="TextBox 29">
          <a:extLst>
            <a:ext uri="{FF2B5EF4-FFF2-40B4-BE49-F238E27FC236}">
              <a16:creationId xmlns:a16="http://schemas.microsoft.com/office/drawing/2014/main" id="{E8139D61-5504-432B-8C9E-C21DF4FF7CF4}"/>
            </a:ext>
          </a:extLst>
        </xdr:cNvPr>
        <xdr:cNvSpPr txBox="1"/>
      </xdr:nvSpPr>
      <xdr:spPr>
        <a:xfrm>
          <a:off x="8077200" y="44450"/>
          <a:ext cx="5461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UAL</a:t>
          </a:r>
        </a:p>
      </xdr:txBody>
    </xdr:sp>
    <xdr:clientData/>
  </xdr:twoCellAnchor>
  <xdr:twoCellAnchor>
    <xdr:from>
      <xdr:col>14</xdr:col>
      <xdr:colOff>69850</xdr:colOff>
      <xdr:row>0</xdr:row>
      <xdr:rowOff>234950</xdr:rowOff>
    </xdr:from>
    <xdr:to>
      <xdr:col>15</xdr:col>
      <xdr:colOff>0</xdr:colOff>
      <xdr:row>0</xdr:row>
      <xdr:rowOff>393700</xdr:rowOff>
    </xdr:to>
    <xdr:sp macro="" textlink="">
      <xdr:nvSpPr>
        <xdr:cNvPr id="31" name="TextBox 30">
          <a:extLst>
            <a:ext uri="{FF2B5EF4-FFF2-40B4-BE49-F238E27FC236}">
              <a16:creationId xmlns:a16="http://schemas.microsoft.com/office/drawing/2014/main" id="{E7BAC447-A26C-46FF-9C6C-1E4DB19988D7}"/>
            </a:ext>
          </a:extLst>
        </xdr:cNvPr>
        <xdr:cNvSpPr txBox="1"/>
      </xdr:nvSpPr>
      <xdr:spPr>
        <a:xfrm>
          <a:off x="8077200" y="234950"/>
          <a:ext cx="5461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LUV</a:t>
          </a:r>
        </a:p>
      </xdr:txBody>
    </xdr:sp>
    <xdr:clientData/>
  </xdr:twoCellAnchor>
  <xdr:twoCellAnchor>
    <xdr:from>
      <xdr:col>16</xdr:col>
      <xdr:colOff>609600</xdr:colOff>
      <xdr:row>0</xdr:row>
      <xdr:rowOff>139700</xdr:rowOff>
    </xdr:from>
    <xdr:to>
      <xdr:col>18</xdr:col>
      <xdr:colOff>203200</xdr:colOff>
      <xdr:row>0</xdr:row>
      <xdr:rowOff>304800</xdr:rowOff>
    </xdr:to>
    <xdr:sp macro="" textlink="">
      <xdr:nvSpPr>
        <xdr:cNvPr id="32" name="TextBox 31">
          <a:extLst>
            <a:ext uri="{FF2B5EF4-FFF2-40B4-BE49-F238E27FC236}">
              <a16:creationId xmlns:a16="http://schemas.microsoft.com/office/drawing/2014/main" id="{2D897477-0A5C-4577-BA00-EB46A9EFBEA7}"/>
            </a:ext>
          </a:extLst>
        </xdr:cNvPr>
        <xdr:cNvSpPr txBox="1"/>
      </xdr:nvSpPr>
      <xdr:spPr>
        <a:xfrm>
          <a:off x="9848850" y="139700"/>
          <a:ext cx="825500" cy="16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Industry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504825</xdr:colOff>
      <xdr:row>27</xdr:row>
      <xdr:rowOff>15875</xdr:rowOff>
    </xdr:from>
    <xdr:to>
      <xdr:col>20</xdr:col>
      <xdr:colOff>190500</xdr:colOff>
      <xdr:row>56</xdr:row>
      <xdr:rowOff>95250</xdr:rowOff>
    </xdr:to>
    <xdr:pic>
      <xdr:nvPicPr>
        <xdr:cNvPr id="3" name="Picture 2">
          <a:extLst>
            <a:ext uri="{FF2B5EF4-FFF2-40B4-BE49-F238E27FC236}">
              <a16:creationId xmlns:a16="http://schemas.microsoft.com/office/drawing/2014/main" id="{C907BE12-4F5C-44C8-848C-CE82762B0247}"/>
            </a:ext>
          </a:extLst>
        </xdr:cNvPr>
        <xdr:cNvPicPr>
          <a:picLocks noChangeAspect="1"/>
        </xdr:cNvPicPr>
      </xdr:nvPicPr>
      <xdr:blipFill rotWithShape="1">
        <a:blip xmlns:r="http://schemas.openxmlformats.org/officeDocument/2006/relationships" r:embed="rId1"/>
        <a:srcRect l="2319" t="14265" r="1780" b="2351"/>
        <a:stretch/>
      </xdr:blipFill>
      <xdr:spPr>
        <a:xfrm>
          <a:off x="7762875" y="3730625"/>
          <a:ext cx="5514975" cy="3965575"/>
        </a:xfrm>
        <a:prstGeom prst="rect">
          <a:avLst/>
        </a:prstGeom>
      </xdr:spPr>
    </xdr:pic>
    <xdr:clientData/>
  </xdr:twoCellAnchor>
  <xdr:twoCellAnchor editAs="oneCell">
    <xdr:from>
      <xdr:col>0</xdr:col>
      <xdr:colOff>352425</xdr:colOff>
      <xdr:row>70</xdr:row>
      <xdr:rowOff>121283</xdr:rowOff>
    </xdr:from>
    <xdr:to>
      <xdr:col>9</xdr:col>
      <xdr:colOff>344700</xdr:colOff>
      <xdr:row>93</xdr:row>
      <xdr:rowOff>112017</xdr:rowOff>
    </xdr:to>
    <xdr:pic>
      <xdr:nvPicPr>
        <xdr:cNvPr id="5" name="Picture 4">
          <a:extLst>
            <a:ext uri="{FF2B5EF4-FFF2-40B4-BE49-F238E27FC236}">
              <a16:creationId xmlns:a16="http://schemas.microsoft.com/office/drawing/2014/main" id="{0A69A52C-E79E-492F-979D-C0B64BFD23E0}"/>
            </a:ext>
          </a:extLst>
        </xdr:cNvPr>
        <xdr:cNvPicPr>
          <a:picLocks noChangeAspect="1"/>
        </xdr:cNvPicPr>
      </xdr:nvPicPr>
      <xdr:blipFill>
        <a:blip xmlns:r="http://schemas.openxmlformats.org/officeDocument/2006/relationships" r:embed="rId2"/>
        <a:stretch>
          <a:fillRect/>
        </a:stretch>
      </xdr:blipFill>
      <xdr:spPr>
        <a:xfrm>
          <a:off x="352425" y="9589133"/>
          <a:ext cx="6602625" cy="3248284"/>
        </a:xfrm>
        <a:prstGeom prst="rect">
          <a:avLst/>
        </a:prstGeom>
      </xdr:spPr>
    </xdr:pic>
    <xdr:clientData/>
  </xdr:twoCellAnchor>
  <xdr:twoCellAnchor editAs="oneCell">
    <xdr:from>
      <xdr:col>12</xdr:col>
      <xdr:colOff>66675</xdr:colOff>
      <xdr:row>63</xdr:row>
      <xdr:rowOff>19050</xdr:rowOff>
    </xdr:from>
    <xdr:to>
      <xdr:col>20</xdr:col>
      <xdr:colOff>219075</xdr:colOff>
      <xdr:row>86</xdr:row>
      <xdr:rowOff>6350</xdr:rowOff>
    </xdr:to>
    <xdr:pic>
      <xdr:nvPicPr>
        <xdr:cNvPr id="7" name="Picture 6">
          <a:extLst>
            <a:ext uri="{FF2B5EF4-FFF2-40B4-BE49-F238E27FC236}">
              <a16:creationId xmlns:a16="http://schemas.microsoft.com/office/drawing/2014/main" id="{412C74A5-007A-47A9-83AF-1DD990C530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43850" y="8553450"/>
          <a:ext cx="53594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514350</xdr:colOff>
      <xdr:row>88</xdr:row>
      <xdr:rowOff>123825</xdr:rowOff>
    </xdr:from>
    <xdr:to>
      <xdr:col>26</xdr:col>
      <xdr:colOff>620711</xdr:colOff>
      <xdr:row>127</xdr:row>
      <xdr:rowOff>57887</xdr:rowOff>
    </xdr:to>
    <xdr:pic>
      <xdr:nvPicPr>
        <xdr:cNvPr id="6" name="Picture 5">
          <a:extLst>
            <a:ext uri="{FF2B5EF4-FFF2-40B4-BE49-F238E27FC236}">
              <a16:creationId xmlns:a16="http://schemas.microsoft.com/office/drawing/2014/main" id="{FCCAEAAB-B29E-485F-94CD-AE7EE32B30CF}"/>
            </a:ext>
          </a:extLst>
        </xdr:cNvPr>
        <xdr:cNvPicPr>
          <a:picLocks noChangeAspect="1"/>
        </xdr:cNvPicPr>
      </xdr:nvPicPr>
      <xdr:blipFill>
        <a:blip xmlns:r="http://schemas.openxmlformats.org/officeDocument/2006/relationships" r:embed="rId4"/>
        <a:stretch>
          <a:fillRect/>
        </a:stretch>
      </xdr:blipFill>
      <xdr:spPr>
        <a:xfrm>
          <a:off x="5467350" y="12182475"/>
          <a:ext cx="11361736" cy="5277587"/>
        </a:xfrm>
        <a:prstGeom prst="rect">
          <a:avLst/>
        </a:prstGeom>
      </xdr:spPr>
    </xdr:pic>
    <xdr:clientData/>
  </xdr:twoCellAnchor>
  <xdr:twoCellAnchor editAs="oneCell">
    <xdr:from>
      <xdr:col>22</xdr:col>
      <xdr:colOff>501650</xdr:colOff>
      <xdr:row>35</xdr:row>
      <xdr:rowOff>76858</xdr:rowOff>
    </xdr:from>
    <xdr:to>
      <xdr:col>32</xdr:col>
      <xdr:colOff>18143</xdr:colOff>
      <xdr:row>50</xdr:row>
      <xdr:rowOff>95995</xdr:rowOff>
    </xdr:to>
    <xdr:pic>
      <xdr:nvPicPr>
        <xdr:cNvPr id="8" name="Picture 7">
          <a:extLst>
            <a:ext uri="{FF2B5EF4-FFF2-40B4-BE49-F238E27FC236}">
              <a16:creationId xmlns:a16="http://schemas.microsoft.com/office/drawing/2014/main" id="{66198D4D-3F7D-55B5-3B87-EC53B74A021A}"/>
            </a:ext>
          </a:extLst>
        </xdr:cNvPr>
        <xdr:cNvPicPr>
          <a:picLocks noChangeAspect="1"/>
        </xdr:cNvPicPr>
      </xdr:nvPicPr>
      <xdr:blipFill>
        <a:blip xmlns:r="http://schemas.openxmlformats.org/officeDocument/2006/relationships" r:embed="rId5"/>
        <a:stretch>
          <a:fillRect/>
        </a:stretch>
      </xdr:blipFill>
      <xdr:spPr>
        <a:xfrm>
          <a:off x="14236700" y="4877458"/>
          <a:ext cx="6164943" cy="2019387"/>
        </a:xfrm>
        <a:prstGeom prst="rect">
          <a:avLst/>
        </a:prstGeom>
      </xdr:spPr>
    </xdr:pic>
    <xdr:clientData/>
  </xdr:twoCellAnchor>
  <xdr:twoCellAnchor editAs="oneCell">
    <xdr:from>
      <xdr:col>22</xdr:col>
      <xdr:colOff>469000</xdr:colOff>
      <xdr:row>53</xdr:row>
      <xdr:rowOff>79138</xdr:rowOff>
    </xdr:from>
    <xdr:to>
      <xdr:col>32</xdr:col>
      <xdr:colOff>0</xdr:colOff>
      <xdr:row>66</xdr:row>
      <xdr:rowOff>102300</xdr:rowOff>
    </xdr:to>
    <xdr:pic>
      <xdr:nvPicPr>
        <xdr:cNvPr id="10" name="Picture 9">
          <a:extLst>
            <a:ext uri="{FF2B5EF4-FFF2-40B4-BE49-F238E27FC236}">
              <a16:creationId xmlns:a16="http://schemas.microsoft.com/office/drawing/2014/main" id="{CED3AE6B-3959-CAB5-C0AD-0EDA1F861DA4}"/>
            </a:ext>
          </a:extLst>
        </xdr:cNvPr>
        <xdr:cNvPicPr>
          <a:picLocks noChangeAspect="1"/>
        </xdr:cNvPicPr>
      </xdr:nvPicPr>
      <xdr:blipFill>
        <a:blip xmlns:r="http://schemas.openxmlformats.org/officeDocument/2006/relationships" r:embed="rId6"/>
        <a:stretch>
          <a:fillRect/>
        </a:stretch>
      </xdr:blipFill>
      <xdr:spPr>
        <a:xfrm>
          <a:off x="14204050" y="7280038"/>
          <a:ext cx="6176275" cy="17567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352425</xdr:colOff>
      <xdr:row>134</xdr:row>
      <xdr:rowOff>47625</xdr:rowOff>
    </xdr:from>
    <xdr:to>
      <xdr:col>32</xdr:col>
      <xdr:colOff>97369</xdr:colOff>
      <xdr:row>157</xdr:row>
      <xdr:rowOff>45987</xdr:rowOff>
    </xdr:to>
    <xdr:pic>
      <xdr:nvPicPr>
        <xdr:cNvPr id="2" name="Picture 1">
          <a:extLst>
            <a:ext uri="{FF2B5EF4-FFF2-40B4-BE49-F238E27FC236}">
              <a16:creationId xmlns:a16="http://schemas.microsoft.com/office/drawing/2014/main" id="{709B7F8D-C95D-44FD-A2BE-B3CEE55863D2}"/>
            </a:ext>
          </a:extLst>
        </xdr:cNvPr>
        <xdr:cNvPicPr>
          <a:picLocks noChangeAspect="1"/>
        </xdr:cNvPicPr>
      </xdr:nvPicPr>
      <xdr:blipFill>
        <a:blip xmlns:r="http://schemas.openxmlformats.org/officeDocument/2006/relationships" r:embed="rId1"/>
        <a:stretch>
          <a:fillRect/>
        </a:stretch>
      </xdr:blipFill>
      <xdr:spPr>
        <a:xfrm>
          <a:off x="13658850" y="17973675"/>
          <a:ext cx="5317069" cy="30082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587375</xdr:colOff>
      <xdr:row>158</xdr:row>
      <xdr:rowOff>95250</xdr:rowOff>
    </xdr:from>
    <xdr:to>
      <xdr:col>25</xdr:col>
      <xdr:colOff>0</xdr:colOff>
      <xdr:row>169</xdr:row>
      <xdr:rowOff>34925</xdr:rowOff>
    </xdr:to>
    <xdr:pic>
      <xdr:nvPicPr>
        <xdr:cNvPr id="2" name="Picture 1">
          <a:extLst>
            <a:ext uri="{FF2B5EF4-FFF2-40B4-BE49-F238E27FC236}">
              <a16:creationId xmlns:a16="http://schemas.microsoft.com/office/drawing/2014/main" id="{4028CD63-CBD3-4ADD-99AC-88BA3B2D38BA}"/>
            </a:ext>
          </a:extLst>
        </xdr:cNvPr>
        <xdr:cNvPicPr>
          <a:picLocks noChangeAspect="1"/>
        </xdr:cNvPicPr>
      </xdr:nvPicPr>
      <xdr:blipFill>
        <a:blip xmlns:r="http://schemas.openxmlformats.org/officeDocument/2006/relationships" r:embed="rId1"/>
        <a:stretch>
          <a:fillRect/>
        </a:stretch>
      </xdr:blipFill>
      <xdr:spPr>
        <a:xfrm>
          <a:off x="10321925" y="19069050"/>
          <a:ext cx="4641850" cy="1416050"/>
        </a:xfrm>
        <a:prstGeom prst="rect">
          <a:avLst/>
        </a:prstGeom>
      </xdr:spPr>
    </xdr:pic>
    <xdr:clientData/>
  </xdr:twoCellAnchor>
  <xdr:twoCellAnchor editAs="oneCell">
    <xdr:from>
      <xdr:col>17</xdr:col>
      <xdr:colOff>114840</xdr:colOff>
      <xdr:row>104</xdr:row>
      <xdr:rowOff>82550</xdr:rowOff>
    </xdr:from>
    <xdr:to>
      <xdr:col>26</xdr:col>
      <xdr:colOff>611058</xdr:colOff>
      <xdr:row>128</xdr:row>
      <xdr:rowOff>9660</xdr:rowOff>
    </xdr:to>
    <xdr:pic>
      <xdr:nvPicPr>
        <xdr:cNvPr id="3" name="Picture 2">
          <a:extLst>
            <a:ext uri="{FF2B5EF4-FFF2-40B4-BE49-F238E27FC236}">
              <a16:creationId xmlns:a16="http://schemas.microsoft.com/office/drawing/2014/main" id="{7EBE74E8-3AF4-40FF-BE45-3C70B5881A0F}"/>
            </a:ext>
          </a:extLst>
        </xdr:cNvPr>
        <xdr:cNvPicPr>
          <a:picLocks noChangeAspect="1"/>
        </xdr:cNvPicPr>
      </xdr:nvPicPr>
      <xdr:blipFill>
        <a:blip xmlns:r="http://schemas.openxmlformats.org/officeDocument/2006/relationships" r:embed="rId2"/>
        <a:stretch>
          <a:fillRect/>
        </a:stretch>
      </xdr:blipFill>
      <xdr:spPr>
        <a:xfrm>
          <a:off x="10487565" y="13436600"/>
          <a:ext cx="5725443" cy="2613160"/>
        </a:xfrm>
        <a:prstGeom prst="rect">
          <a:avLst/>
        </a:prstGeom>
      </xdr:spPr>
    </xdr:pic>
    <xdr:clientData/>
  </xdr:twoCellAnchor>
  <xdr:twoCellAnchor editAs="oneCell">
    <xdr:from>
      <xdr:col>17</xdr:col>
      <xdr:colOff>38100</xdr:colOff>
      <xdr:row>61</xdr:row>
      <xdr:rowOff>15875</xdr:rowOff>
    </xdr:from>
    <xdr:to>
      <xdr:col>33</xdr:col>
      <xdr:colOff>313052</xdr:colOff>
      <xdr:row>84</xdr:row>
      <xdr:rowOff>25609</xdr:rowOff>
    </xdr:to>
    <xdr:pic>
      <xdr:nvPicPr>
        <xdr:cNvPr id="5" name="Picture 4">
          <a:extLst>
            <a:ext uri="{FF2B5EF4-FFF2-40B4-BE49-F238E27FC236}">
              <a16:creationId xmlns:a16="http://schemas.microsoft.com/office/drawing/2014/main" id="{6E2A194C-B559-4848-8745-0BC4392DB39C}"/>
            </a:ext>
          </a:extLst>
        </xdr:cNvPr>
        <xdr:cNvPicPr>
          <a:picLocks noChangeAspect="1"/>
        </xdr:cNvPicPr>
      </xdr:nvPicPr>
      <xdr:blipFill>
        <a:blip xmlns:r="http://schemas.openxmlformats.org/officeDocument/2006/relationships" r:embed="rId3"/>
        <a:stretch>
          <a:fillRect/>
        </a:stretch>
      </xdr:blipFill>
      <xdr:spPr>
        <a:xfrm>
          <a:off x="10410825" y="8150225"/>
          <a:ext cx="9974577" cy="2451309"/>
        </a:xfrm>
        <a:prstGeom prst="rect">
          <a:avLst/>
        </a:prstGeom>
      </xdr:spPr>
    </xdr:pic>
    <xdr:clientData/>
  </xdr:twoCellAnchor>
  <xdr:twoCellAnchor editAs="oneCell">
    <xdr:from>
      <xdr:col>19</xdr:col>
      <xdr:colOff>409575</xdr:colOff>
      <xdr:row>10</xdr:row>
      <xdr:rowOff>19050</xdr:rowOff>
    </xdr:from>
    <xdr:to>
      <xdr:col>28</xdr:col>
      <xdr:colOff>468484</xdr:colOff>
      <xdr:row>68</xdr:row>
      <xdr:rowOff>66782</xdr:rowOff>
    </xdr:to>
    <xdr:pic>
      <xdr:nvPicPr>
        <xdr:cNvPr id="6" name="Picture 5">
          <a:extLst>
            <a:ext uri="{FF2B5EF4-FFF2-40B4-BE49-F238E27FC236}">
              <a16:creationId xmlns:a16="http://schemas.microsoft.com/office/drawing/2014/main" id="{A71C7D5F-474A-4EB8-98CC-9611AA5E29E0}"/>
            </a:ext>
          </a:extLst>
        </xdr:cNvPr>
        <xdr:cNvPicPr>
          <a:picLocks noChangeAspect="1"/>
        </xdr:cNvPicPr>
      </xdr:nvPicPr>
      <xdr:blipFill>
        <a:blip xmlns:r="http://schemas.openxmlformats.org/officeDocument/2006/relationships" r:embed="rId4"/>
        <a:stretch>
          <a:fillRect/>
        </a:stretch>
      </xdr:blipFill>
      <xdr:spPr>
        <a:xfrm>
          <a:off x="12058650" y="1352550"/>
          <a:ext cx="5288134" cy="21813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69273</xdr:colOff>
      <xdr:row>13</xdr:row>
      <xdr:rowOff>68036</xdr:rowOff>
    </xdr:from>
    <xdr:to>
      <xdr:col>11</xdr:col>
      <xdr:colOff>639536</xdr:colOff>
      <xdr:row>23</xdr:row>
      <xdr:rowOff>163286</xdr:rowOff>
    </xdr:to>
    <xdr:sp macro="" textlink="">
      <xdr:nvSpPr>
        <xdr:cNvPr id="3" name="TextBox 2">
          <a:extLst>
            <a:ext uri="{FF2B5EF4-FFF2-40B4-BE49-F238E27FC236}">
              <a16:creationId xmlns:a16="http://schemas.microsoft.com/office/drawing/2014/main" id="{9D06C40B-64FC-4151-B985-80D5D89F41D4}"/>
            </a:ext>
          </a:extLst>
        </xdr:cNvPr>
        <xdr:cNvSpPr txBox="1"/>
      </xdr:nvSpPr>
      <xdr:spPr>
        <a:xfrm>
          <a:off x="370898" y="3036661"/>
          <a:ext cx="9599963" cy="247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600" b="0" i="0">
              <a:solidFill>
                <a:schemeClr val="dk1"/>
              </a:solidFill>
              <a:effectLst/>
              <a:latin typeface="+mn-lt"/>
              <a:ea typeface="+mn-ea"/>
              <a:cs typeface="+mn-cs"/>
            </a:rPr>
            <a:t>American Airlines Group Inc. is a holding company. The Company's primary business activity is the operation of a network air carrier, providing scheduled air transportation for passengers and cargo.</a:t>
          </a:r>
          <a:r>
            <a:rPr lang="en-US" sz="1600" b="0" i="0" baseline="0">
              <a:solidFill>
                <a:schemeClr val="dk1"/>
              </a:solidFill>
              <a:effectLst/>
              <a:latin typeface="+mn-lt"/>
              <a:ea typeface="+mn-ea"/>
              <a:cs typeface="+mn-cs"/>
            </a:rPr>
            <a:t> </a:t>
          </a:r>
          <a:r>
            <a:rPr lang="en-US" sz="1600" b="0" i="0">
              <a:solidFill>
                <a:schemeClr val="dk1"/>
              </a:solidFill>
              <a:effectLst/>
              <a:latin typeface="+mn-lt"/>
              <a:ea typeface="+mn-ea"/>
              <a:cs typeface="+mn-cs"/>
            </a:rPr>
            <a:t>The Company together with its regional airline subsidiaries and third-party regional carriers operates under American Eagle brand, providing scheduled air transportation for passengers and cargo through its hubs in Charlotte, Chicago, Dallas/Fort Worth, Los Angeles, Miami, New York, Philadelphia, Phoenix and Washington, District of Columbia (D.C.) and partner gateways, including in London, Madrid, Seattle/Tacoma, Sydney and Tokyo. Its subsidiaries include American Airlines, Inc., Envoy Aviation Group Inc., PSA Airlines, Inc. and Piedmont Airlines, Inc. Its cargo division provides a range of freight and mail services with facilities and interline connections available across the globe.</a:t>
          </a:r>
          <a:endParaRPr lang="en-US" sz="2800">
            <a:effectLst/>
          </a:endParaRPr>
        </a:p>
      </xdr:txBody>
    </xdr:sp>
    <xdr:clientData/>
  </xdr:twoCellAnchor>
  <xdr:twoCellAnchor>
    <xdr:from>
      <xdr:col>16</xdr:col>
      <xdr:colOff>34636</xdr:colOff>
      <xdr:row>34</xdr:row>
      <xdr:rowOff>103909</xdr:rowOff>
    </xdr:from>
    <xdr:to>
      <xdr:col>22</xdr:col>
      <xdr:colOff>848591</xdr:colOff>
      <xdr:row>39</xdr:row>
      <xdr:rowOff>103909</xdr:rowOff>
    </xdr:to>
    <xdr:sp macro="" textlink="">
      <xdr:nvSpPr>
        <xdr:cNvPr id="5" name="TextBox 4">
          <a:extLst>
            <a:ext uri="{FF2B5EF4-FFF2-40B4-BE49-F238E27FC236}">
              <a16:creationId xmlns:a16="http://schemas.microsoft.com/office/drawing/2014/main" id="{E564672D-D6B1-4C61-8C20-E5D1A9C88098}"/>
            </a:ext>
          </a:extLst>
        </xdr:cNvPr>
        <xdr:cNvSpPr txBox="1"/>
      </xdr:nvSpPr>
      <xdr:spPr>
        <a:xfrm>
          <a:off x="13585536" y="8079509"/>
          <a:ext cx="7109980"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Other</a:t>
          </a:r>
          <a:r>
            <a:rPr lang="en-US" sz="1400" b="1" u="sng" baseline="0">
              <a:solidFill>
                <a:schemeClr val="dk1"/>
              </a:solidFill>
              <a:effectLst/>
              <a:latin typeface="+mn-lt"/>
              <a:ea typeface="+mn-ea"/>
              <a:cs typeface="+mn-cs"/>
            </a:rPr>
            <a:t> Liquidity Considerations</a:t>
          </a:r>
          <a:endParaRPr lang="en-US" sz="1400">
            <a:effectLst/>
          </a:endParaRPr>
        </a:p>
        <a:p>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working capital? </a:t>
          </a:r>
          <a:endParaRPr lang="en-US" sz="1400">
            <a:effectLst/>
          </a:endParaRPr>
        </a:p>
        <a:p>
          <a:r>
            <a:rPr lang="en-US" sz="1400" b="0" baseline="0">
              <a:solidFill>
                <a:schemeClr val="dk1"/>
              </a:solidFill>
              <a:effectLst/>
              <a:latin typeface="+mn-lt"/>
              <a:ea typeface="+mn-ea"/>
              <a:cs typeface="+mn-cs"/>
            </a:rPr>
            <a:t>•seasonality?</a:t>
          </a:r>
          <a:endParaRPr lang="en-US" sz="1400">
            <a:effectLst/>
          </a:endParaRPr>
        </a:p>
        <a:p>
          <a:r>
            <a:rPr lang="en-US" sz="1400" b="0" baseline="0">
              <a:solidFill>
                <a:schemeClr val="dk1"/>
              </a:solidFill>
              <a:effectLst/>
              <a:latin typeface="+mn-lt"/>
              <a:ea typeface="+mn-ea"/>
              <a:cs typeface="+mn-cs"/>
            </a:rPr>
            <a:t>•leases?</a:t>
          </a:r>
          <a:endParaRPr lang="en-US" sz="1400">
            <a:effectLst/>
          </a:endParaRPr>
        </a:p>
        <a:p>
          <a:r>
            <a:rPr lang="en-US" sz="1400" b="1">
              <a:solidFill>
                <a:schemeClr val="dk1"/>
              </a:solidFill>
              <a:effectLst/>
              <a:latin typeface="+mn-lt"/>
              <a:ea typeface="+mn-ea"/>
              <a:cs typeface="+mn-cs"/>
            </a:rPr>
            <a:t>•</a:t>
          </a:r>
          <a:r>
            <a:rPr lang="en-US" sz="1400" b="0">
              <a:solidFill>
                <a:schemeClr val="dk1"/>
              </a:solidFill>
              <a:effectLst/>
              <a:latin typeface="+mn-lt"/>
              <a:ea typeface="+mn-ea"/>
              <a:cs typeface="+mn-cs"/>
            </a:rPr>
            <a:t>assets</a:t>
          </a:r>
          <a:r>
            <a:rPr lang="en-US" sz="1400" b="0" baseline="0">
              <a:solidFill>
                <a:schemeClr val="dk1"/>
              </a:solidFill>
              <a:effectLst/>
              <a:latin typeface="+mn-lt"/>
              <a:ea typeface="+mn-ea"/>
              <a:cs typeface="+mn-cs"/>
            </a:rPr>
            <a:t> for sale?</a:t>
          </a:r>
          <a:endParaRPr lang="en-US" sz="1400">
            <a:effectLst/>
          </a:endParaRPr>
        </a:p>
      </xdr:txBody>
    </xdr:sp>
    <xdr:clientData/>
  </xdr:twoCellAnchor>
  <xdr:twoCellAnchor>
    <xdr:from>
      <xdr:col>16</xdr:col>
      <xdr:colOff>95249</xdr:colOff>
      <xdr:row>41</xdr:row>
      <xdr:rowOff>95249</xdr:rowOff>
    </xdr:from>
    <xdr:to>
      <xdr:col>22</xdr:col>
      <xdr:colOff>1006929</xdr:colOff>
      <xdr:row>54</xdr:row>
      <xdr:rowOff>64225</xdr:rowOff>
    </xdr:to>
    <xdr:sp macro="" textlink="">
      <xdr:nvSpPr>
        <xdr:cNvPr id="6" name="TextBox 5">
          <a:extLst>
            <a:ext uri="{FF2B5EF4-FFF2-40B4-BE49-F238E27FC236}">
              <a16:creationId xmlns:a16="http://schemas.microsoft.com/office/drawing/2014/main" id="{61587599-D788-4A26-9449-02AB015DCFE9}"/>
            </a:ext>
          </a:extLst>
        </xdr:cNvPr>
        <xdr:cNvSpPr txBox="1"/>
      </xdr:nvSpPr>
      <xdr:spPr>
        <a:xfrm>
          <a:off x="13649324" y="9734549"/>
          <a:ext cx="7207705" cy="3067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85750" indent="-285750">
            <a:buFont typeface="Arial" panose="020B0604020202020204" pitchFamily="34" charset="0"/>
            <a:buChar char="•"/>
          </a:pPr>
          <a:r>
            <a:rPr lang="en-US" sz="1400"/>
            <a:t>Issuer (holdco /</a:t>
          </a:r>
          <a:r>
            <a:rPr lang="en-US" sz="1400" baseline="0"/>
            <a:t> opco?)</a:t>
          </a:r>
        </a:p>
        <a:p>
          <a:pPr marL="285750" indent="-285750">
            <a:buFont typeface="Arial" panose="020B0604020202020204" pitchFamily="34" charset="0"/>
            <a:buChar char="•"/>
          </a:pPr>
          <a:r>
            <a:rPr lang="en-US" sz="1400" baseline="0"/>
            <a:t>Structural subordination? </a:t>
          </a:r>
        </a:p>
        <a:p>
          <a:pPr marL="285750" indent="-285750">
            <a:buFont typeface="Arial" panose="020B0604020202020204" pitchFamily="34" charset="0"/>
            <a:buChar char="•"/>
          </a:pPr>
          <a:r>
            <a:rPr lang="en-US" sz="1400" baseline="0"/>
            <a:t>Significant non-US, non-restricted assets and operations? </a:t>
          </a:r>
        </a:p>
        <a:p>
          <a:pPr marL="285750" indent="-285750">
            <a:buFont typeface="Arial" panose="020B0604020202020204" pitchFamily="34" charset="0"/>
            <a:buChar char="•"/>
          </a:pPr>
          <a:r>
            <a:rPr lang="en-US" sz="1400" baseline="0"/>
            <a:t>Guarantors? (% of ebitda / revenue?)</a:t>
          </a:r>
        </a:p>
        <a:p>
          <a:pPr marL="285750" indent="-285750">
            <a:buFont typeface="Arial" panose="020B0604020202020204" pitchFamily="34" charset="0"/>
            <a:buChar char="•"/>
          </a:pPr>
          <a:r>
            <a:rPr lang="en-US" sz="1400" baseline="0"/>
            <a:t>Covenants? (rp, incurrence, fixed charge incurrence, etc.)</a:t>
          </a:r>
        </a:p>
        <a:p>
          <a:pPr marL="285750" indent="-285750">
            <a:buFont typeface="Arial" panose="020B0604020202020204" pitchFamily="34" charset="0"/>
            <a:buChar char="•"/>
          </a:pPr>
          <a:r>
            <a:rPr lang="en-US" sz="1400" baseline="0"/>
            <a:t>Collateral? negative pledge? lien limitations: ratable security?</a:t>
          </a:r>
        </a:p>
        <a:p>
          <a:endParaRPr lang="en-US" sz="1400" baseline="0"/>
        </a:p>
        <a:p>
          <a:endParaRPr lang="en-US" sz="1400" baseline="0"/>
        </a:p>
        <a:p>
          <a:endParaRPr lang="en-US" sz="1400" baseline="0"/>
        </a:p>
        <a:p>
          <a:endParaRPr lang="en-US" sz="1100"/>
        </a:p>
      </xdr:txBody>
    </xdr:sp>
    <xdr:clientData/>
  </xdr:twoCellAnchor>
  <xdr:twoCellAnchor editAs="oneCell">
    <xdr:from>
      <xdr:col>23</xdr:col>
      <xdr:colOff>962934</xdr:colOff>
      <xdr:row>17</xdr:row>
      <xdr:rowOff>72115</xdr:rowOff>
    </xdr:from>
    <xdr:to>
      <xdr:col>29</xdr:col>
      <xdr:colOff>440672</xdr:colOff>
      <xdr:row>22</xdr:row>
      <xdr:rowOff>218619</xdr:rowOff>
    </xdr:to>
    <xdr:pic>
      <xdr:nvPicPr>
        <xdr:cNvPr id="2" name="Picture 1">
          <a:extLst>
            <a:ext uri="{FF2B5EF4-FFF2-40B4-BE49-F238E27FC236}">
              <a16:creationId xmlns:a16="http://schemas.microsoft.com/office/drawing/2014/main" id="{3E6B2CB1-6D4D-4D37-BA3A-BD269C53E023}"/>
            </a:ext>
          </a:extLst>
        </xdr:cNvPr>
        <xdr:cNvPicPr>
          <a:picLocks noChangeAspect="1"/>
        </xdr:cNvPicPr>
      </xdr:nvPicPr>
      <xdr:blipFill>
        <a:blip xmlns:r="http://schemas.openxmlformats.org/officeDocument/2006/relationships" r:embed="rId1"/>
        <a:stretch>
          <a:fillRect/>
        </a:stretch>
      </xdr:blipFill>
      <xdr:spPr>
        <a:xfrm>
          <a:off x="22135648" y="4099829"/>
          <a:ext cx="6811988" cy="13743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30</xdr:col>
      <xdr:colOff>482600</xdr:colOff>
      <xdr:row>134</xdr:row>
      <xdr:rowOff>47625</xdr:rowOff>
    </xdr:from>
    <xdr:to>
      <xdr:col>44</xdr:col>
      <xdr:colOff>40310</xdr:colOff>
      <xdr:row>172</xdr:row>
      <xdr:rowOff>34926</xdr:rowOff>
    </xdr:to>
    <xdr:pic>
      <xdr:nvPicPr>
        <xdr:cNvPr id="3" name="Picture 2">
          <a:extLst>
            <a:ext uri="{FF2B5EF4-FFF2-40B4-BE49-F238E27FC236}">
              <a16:creationId xmlns:a16="http://schemas.microsoft.com/office/drawing/2014/main" id="{6C4754A1-4646-482E-B647-91143C623B23}"/>
            </a:ext>
          </a:extLst>
        </xdr:cNvPr>
        <xdr:cNvPicPr>
          <a:picLocks noChangeAspect="1"/>
        </xdr:cNvPicPr>
      </xdr:nvPicPr>
      <xdr:blipFill>
        <a:blip xmlns:r="http://schemas.openxmlformats.org/officeDocument/2006/relationships" r:embed="rId1"/>
        <a:stretch>
          <a:fillRect/>
        </a:stretch>
      </xdr:blipFill>
      <xdr:spPr>
        <a:xfrm>
          <a:off x="19827875" y="18154650"/>
          <a:ext cx="8488985" cy="4019551"/>
        </a:xfrm>
        <a:prstGeom prst="rect">
          <a:avLst/>
        </a:prstGeom>
      </xdr:spPr>
    </xdr:pic>
    <xdr:clientData/>
  </xdr:twoCellAnchor>
  <xdr:twoCellAnchor editAs="oneCell">
    <xdr:from>
      <xdr:col>30</xdr:col>
      <xdr:colOff>628650</xdr:colOff>
      <xdr:row>173</xdr:row>
      <xdr:rowOff>95251</xdr:rowOff>
    </xdr:from>
    <xdr:to>
      <xdr:col>40</xdr:col>
      <xdr:colOff>170178</xdr:colOff>
      <xdr:row>183</xdr:row>
      <xdr:rowOff>30684</xdr:rowOff>
    </xdr:to>
    <xdr:pic>
      <xdr:nvPicPr>
        <xdr:cNvPr id="2" name="Picture 1">
          <a:extLst>
            <a:ext uri="{FF2B5EF4-FFF2-40B4-BE49-F238E27FC236}">
              <a16:creationId xmlns:a16="http://schemas.microsoft.com/office/drawing/2014/main" id="{EBE37D3C-0D83-4AF6-ABA9-F8764B705B4B}"/>
            </a:ext>
          </a:extLst>
        </xdr:cNvPr>
        <xdr:cNvPicPr>
          <a:picLocks noChangeAspect="1"/>
        </xdr:cNvPicPr>
      </xdr:nvPicPr>
      <xdr:blipFill>
        <a:blip xmlns:r="http://schemas.openxmlformats.org/officeDocument/2006/relationships" r:embed="rId2"/>
        <a:stretch>
          <a:fillRect/>
        </a:stretch>
      </xdr:blipFill>
      <xdr:spPr>
        <a:xfrm>
          <a:off x="20059650" y="16662401"/>
          <a:ext cx="5955028" cy="12689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30</xdr:col>
      <xdr:colOff>571500</xdr:colOff>
      <xdr:row>198</xdr:row>
      <xdr:rowOff>111742</xdr:rowOff>
    </xdr:from>
    <xdr:to>
      <xdr:col>39</xdr:col>
      <xdr:colOff>287509</xdr:colOff>
      <xdr:row>214</xdr:row>
      <xdr:rowOff>7074</xdr:rowOff>
    </xdr:to>
    <xdr:pic>
      <xdr:nvPicPr>
        <xdr:cNvPr id="2" name="Picture 1">
          <a:extLst>
            <a:ext uri="{FF2B5EF4-FFF2-40B4-BE49-F238E27FC236}">
              <a16:creationId xmlns:a16="http://schemas.microsoft.com/office/drawing/2014/main" id="{F11E710C-556A-444E-B8AB-92A6C2016688}"/>
            </a:ext>
          </a:extLst>
        </xdr:cNvPr>
        <xdr:cNvPicPr>
          <a:picLocks noChangeAspect="1"/>
        </xdr:cNvPicPr>
      </xdr:nvPicPr>
      <xdr:blipFill>
        <a:blip xmlns:r="http://schemas.openxmlformats.org/officeDocument/2006/relationships" r:embed="rId1"/>
        <a:stretch>
          <a:fillRect/>
        </a:stretch>
      </xdr:blipFill>
      <xdr:spPr>
        <a:xfrm>
          <a:off x="19478625" y="27905692"/>
          <a:ext cx="5288134" cy="2181332"/>
        </a:xfrm>
        <a:prstGeom prst="rect">
          <a:avLst/>
        </a:prstGeom>
      </xdr:spPr>
    </xdr:pic>
    <xdr:clientData/>
  </xdr:twoCellAnchor>
  <xdr:twoCellAnchor editAs="oneCell">
    <xdr:from>
      <xdr:col>31</xdr:col>
      <xdr:colOff>111125</xdr:colOff>
      <xdr:row>259</xdr:row>
      <xdr:rowOff>126790</xdr:rowOff>
    </xdr:from>
    <xdr:to>
      <xdr:col>47</xdr:col>
      <xdr:colOff>179702</xdr:colOff>
      <xdr:row>277</xdr:row>
      <xdr:rowOff>6349</xdr:rowOff>
    </xdr:to>
    <xdr:pic>
      <xdr:nvPicPr>
        <xdr:cNvPr id="3" name="Picture 2">
          <a:extLst>
            <a:ext uri="{FF2B5EF4-FFF2-40B4-BE49-F238E27FC236}">
              <a16:creationId xmlns:a16="http://schemas.microsoft.com/office/drawing/2014/main" id="{5F19AA5D-74B7-46DD-A8AC-FD1FA68A7752}"/>
            </a:ext>
          </a:extLst>
        </xdr:cNvPr>
        <xdr:cNvPicPr>
          <a:picLocks noChangeAspect="1"/>
        </xdr:cNvPicPr>
      </xdr:nvPicPr>
      <xdr:blipFill>
        <a:blip xmlns:r="http://schemas.openxmlformats.org/officeDocument/2006/relationships" r:embed="rId2"/>
        <a:stretch>
          <a:fillRect/>
        </a:stretch>
      </xdr:blipFill>
      <xdr:spPr>
        <a:xfrm>
          <a:off x="19707225" y="35826490"/>
          <a:ext cx="9923777" cy="2394159"/>
        </a:xfrm>
        <a:prstGeom prst="rect">
          <a:avLst/>
        </a:prstGeom>
      </xdr:spPr>
    </xdr:pic>
    <xdr:clientData/>
  </xdr:twoCellAnchor>
  <xdr:twoCellAnchor editAs="oneCell">
    <xdr:from>
      <xdr:col>31</xdr:col>
      <xdr:colOff>28574</xdr:colOff>
      <xdr:row>85</xdr:row>
      <xdr:rowOff>140009</xdr:rowOff>
    </xdr:from>
    <xdr:to>
      <xdr:col>39</xdr:col>
      <xdr:colOff>217332</xdr:colOff>
      <xdr:row>106</xdr:row>
      <xdr:rowOff>134154</xdr:rowOff>
    </xdr:to>
    <xdr:pic>
      <xdr:nvPicPr>
        <xdr:cNvPr id="4" name="Picture 3">
          <a:extLst>
            <a:ext uri="{FF2B5EF4-FFF2-40B4-BE49-F238E27FC236}">
              <a16:creationId xmlns:a16="http://schemas.microsoft.com/office/drawing/2014/main" id="{711F1097-F3F8-4A39-B01B-5E57B34AA7DE}"/>
            </a:ext>
          </a:extLst>
        </xdr:cNvPr>
        <xdr:cNvPicPr>
          <a:picLocks noChangeAspect="1"/>
        </xdr:cNvPicPr>
      </xdr:nvPicPr>
      <xdr:blipFill>
        <a:blip xmlns:r="http://schemas.openxmlformats.org/officeDocument/2006/relationships" r:embed="rId3"/>
        <a:stretch>
          <a:fillRect/>
        </a:stretch>
      </xdr:blipFill>
      <xdr:spPr>
        <a:xfrm>
          <a:off x="19554824" y="12322484"/>
          <a:ext cx="5144933" cy="2889745"/>
        </a:xfrm>
        <a:prstGeom prst="rect">
          <a:avLst/>
        </a:prstGeom>
      </xdr:spPr>
    </xdr:pic>
    <xdr:clientData/>
  </xdr:twoCellAnchor>
  <xdr:twoCellAnchor editAs="oneCell">
    <xdr:from>
      <xdr:col>31</xdr:col>
      <xdr:colOff>15875</xdr:colOff>
      <xdr:row>30</xdr:row>
      <xdr:rowOff>114083</xdr:rowOff>
    </xdr:from>
    <xdr:to>
      <xdr:col>42</xdr:col>
      <xdr:colOff>116031</xdr:colOff>
      <xdr:row>39</xdr:row>
      <xdr:rowOff>292</xdr:rowOff>
    </xdr:to>
    <xdr:pic>
      <xdr:nvPicPr>
        <xdr:cNvPr id="5" name="Picture 4">
          <a:extLst>
            <a:ext uri="{FF2B5EF4-FFF2-40B4-BE49-F238E27FC236}">
              <a16:creationId xmlns:a16="http://schemas.microsoft.com/office/drawing/2014/main" id="{8B0C876D-7E0C-4924-8F22-BB8301DDD4D9}"/>
            </a:ext>
          </a:extLst>
        </xdr:cNvPr>
        <xdr:cNvPicPr>
          <a:picLocks noChangeAspect="1"/>
        </xdr:cNvPicPr>
      </xdr:nvPicPr>
      <xdr:blipFill>
        <a:blip xmlns:r="http://schemas.openxmlformats.org/officeDocument/2006/relationships" r:embed="rId4"/>
        <a:stretch>
          <a:fillRect/>
        </a:stretch>
      </xdr:blipFill>
      <xdr:spPr>
        <a:xfrm>
          <a:off x="19675475" y="4438433"/>
          <a:ext cx="6910531" cy="1168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g.ads.db.com\nyc-ge-g\Inch%20-%20CapGoods\Joe\Quarterly%20Preview\PriceInventoryWeekly.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chwang/EM/KS08679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HEALTH/Pharma/Risinger/models/WYE/WYE_Charts.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Small%20Caps/Healthcare/DROG/Reports/1Q11/DROG%20Support_1Q1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HEALTH/Pharma/Risinger/models/PFE/PFE_Charts.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na/ny/users/johndasc/Docs/ID/Charts/Sandbox/BtoB.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Small%20Caps/Healthcare/Reports%20&amp;%20Presentations/Labs%20Support%20Oct%2010.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Small%20Caps/Agri/Reports/Farmers-update-oct10/SLC%20Performance.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HEALTH/Pharma/Risinger/models/PFE/PFEw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HEALTH/Pharma/Risinger/models/LLY/LLY_Charts.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chwang/EM/OLD/OLD_2007/Copy%20of%20KS00527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TEMP/TEMP/P.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chwang/EM/OLD/OLD_2008/BF%202Q08/Copy%20of%20KS00494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chwang/EM/Open%20Platform/OPCh%20WFH.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HEALTH/Pharma/Risinger/models/BMY/BMY_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OMER\Rdrive\FERGUS\Bp10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ony\c\business\&#38750;&#37444;\&#38750;&#37444;&#20250;~1\&#21516;&#21644;&#37489;&#26989;\5714work.wk4"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tresvista-my.sharepoint.com/V/Autoparts/TRW/TRW_12_06_200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resvista-my.sharepoint.com/Users/Public/Morgan%20Stanley/ModelWare/MWAnalytics/GEG/rr%20shee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vedang.poddar/Desktop/Vedang%20Poddar%20Backup/Desktop/Rimrock/First%20Energy/Client/FE%20One%20Pager%205.2.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tresvista-my.sharepoint.com/personal/bipu_shrivastava_tresvista_com/Documents/Rimrock/Airlines/DAL/DAL%20One%20Pager%2004.19.22_v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rimrockcapital-my.sharepoint.com/personal/jmaldonado_rimrockcapital_com/Documents/Rimrock%20DM%20Credit/Portfolio/Healthcare/Holdings/Davita/2020_9_10%20Davita%20Master%20Spreadsheet.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GVAT/Modelware/Tier%201%20-%20Energy/XOMModelw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GMG%20Research\Credit%20OAS%20(HG%20data)\DailyData\Prototype%20(11-14-02%20253%20HG%20+%2012%20H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rimrockcapital-my.sharepoint.com/Users/bipu.shrivastava.TRESVISTADOM/Desktop/Rimrock/Antero%20Resources/Versions/2020.08.04/2020_8_4%20Antero%20Resources%20%20Midstream%20Master%20Spreadsheet_v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tresvista-my.sharepoint.com/Users/bipu.shrivastava.TRESVISTADOM/Documents/DHER%20-%20Valuation%20and%20Financial%20Analysis_2022.04.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rimrockcapital-my.sharepoint.com/personal/jmaldonado_rimrockcapital_com/Documents/Rimrock%20DM%20Credit/Credit%20Templates%20&amp;%20Org%20Documents/2020_7_13%20DM%20Credit%20Templates%20v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EMP/data/exce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R\Rdrive\Research\RESEARCH%20DATA\E&amp;P%20Group\Users\Victor\Files\Links%20Fix.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na/ny/users/johndasc/Docs/ID/Charts/Chart_Gallery/From%20Vlad/B11_BarSingle_AverageLine.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HEALTH/Pharma/Risinger/models/LLY/LLYwk.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hwang/EM/OLD/OLD_2008/BF%202Q08/Copy%20of%20KS0555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rpage"/>
      <sheetName val="Aluminum"/>
      <sheetName val="Copper"/>
      <sheetName val="NF_INV_W"/>
      <sheetName val="PRICE_W"/>
      <sheetName val="Financials"/>
    </sheetNames>
    <sheetDataSet>
      <sheetData sheetId="0"/>
      <sheetData sheetId="1"/>
      <sheetData sheetId="2"/>
      <sheetData sheetId="3"/>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Results"/>
      <sheetName val="Cover"/>
      <sheetName val="AFFILIATES (2)"/>
      <sheetName val="Charts"/>
      <sheetName val="For report"/>
      <sheetName val="valuationExhibits"/>
      <sheetName val="Exhibits"/>
      <sheetName val="目標株価"/>
      <sheetName val="Annual"/>
      <sheetName val="CREDIT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HANA FINANCIAL GROUP (086790.KS)</v>
          </cell>
          <cell r="P2" t="str">
            <v>Foreign exchange rate</v>
          </cell>
          <cell r="X2">
            <v>1343</v>
          </cell>
        </row>
        <row r="3">
          <cell r="P3" t="str">
            <v>Current share price</v>
          </cell>
          <cell r="X3">
            <v>22050</v>
          </cell>
          <cell r="Y3">
            <v>16.418466120625464</v>
          </cell>
        </row>
        <row r="5">
          <cell r="B5" t="str">
            <v>Profit and Loss Statements</v>
          </cell>
          <cell r="P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v>2008</v>
          </cell>
          <cell r="L6" t="str">
            <v>2009E</v>
          </cell>
          <cell r="M6" t="str">
            <v>2010E</v>
          </cell>
          <cell r="N6" t="str">
            <v>2011E</v>
          </cell>
          <cell r="P6" t="str">
            <v>Won billions, Year ending Dec 31</v>
          </cell>
          <cell r="Q6">
            <v>2000</v>
          </cell>
          <cell r="R6">
            <v>2001</v>
          </cell>
          <cell r="S6">
            <v>2002</v>
          </cell>
          <cell r="T6">
            <v>2003</v>
          </cell>
          <cell r="U6">
            <v>2004</v>
          </cell>
          <cell r="V6">
            <v>2005</v>
          </cell>
          <cell r="W6">
            <v>2006</v>
          </cell>
          <cell r="X6">
            <v>2007</v>
          </cell>
          <cell r="Y6">
            <v>2008</v>
          </cell>
          <cell r="Z6" t="str">
            <v>2009E</v>
          </cell>
          <cell r="AA6" t="str">
            <v>2010E</v>
          </cell>
          <cell r="AB6" t="str">
            <v>2011E</v>
          </cell>
        </row>
        <row r="7">
          <cell r="B7" t="str">
            <v>Avg Earning Assets</v>
          </cell>
          <cell r="C7">
            <v>41630.420756499996</v>
          </cell>
          <cell r="D7">
            <v>57006.342904999998</v>
          </cell>
          <cell r="E7">
            <v>44447.248813375001</v>
          </cell>
          <cell r="F7">
            <v>66999.274650250009</v>
          </cell>
          <cell r="G7">
            <v>71044.64224999999</v>
          </cell>
          <cell r="H7">
            <v>76006.012629992125</v>
          </cell>
          <cell r="I7">
            <v>88759.657000000007</v>
          </cell>
          <cell r="J7">
            <v>99423.021999999997</v>
          </cell>
          <cell r="K7">
            <v>114830.74400000001</v>
          </cell>
          <cell r="L7">
            <v>123180.26802796163</v>
          </cell>
          <cell r="M7">
            <v>126804.02161527581</v>
          </cell>
          <cell r="N7">
            <v>131886.61177515215</v>
          </cell>
          <cell r="P7" t="str">
            <v>Book Value Per Share (Won)</v>
          </cell>
          <cell r="Q7">
            <v>9373.0969626120514</v>
          </cell>
          <cell r="R7">
            <v>10328.444430835849</v>
          </cell>
          <cell r="S7">
            <v>13830.078535870867</v>
          </cell>
          <cell r="T7">
            <v>16486.216283571532</v>
          </cell>
          <cell r="U7">
            <v>25270.053906182126</v>
          </cell>
          <cell r="V7">
            <v>30662.088049269507</v>
          </cell>
          <cell r="W7">
            <v>36739.657652704125</v>
          </cell>
          <cell r="X7">
            <v>44009.756395836928</v>
          </cell>
          <cell r="Y7">
            <v>42182.042973828371</v>
          </cell>
          <cell r="Z7">
            <v>43024.536958237666</v>
          </cell>
          <cell r="AA7">
            <v>44577.155484940078</v>
          </cell>
          <cell r="AB7">
            <v>46562.852459314177</v>
          </cell>
        </row>
        <row r="8">
          <cell r="B8" t="str">
            <v>Net Interest Margin (%)</v>
          </cell>
          <cell r="C8">
            <v>2.5959599671623828</v>
          </cell>
          <cell r="D8">
            <v>1.9422254990907144</v>
          </cell>
          <cell r="E8">
            <v>2.1527687372678668</v>
          </cell>
          <cell r="F8">
            <v>2.3246983017810745</v>
          </cell>
          <cell r="G8">
            <v>2.4383864498944683</v>
          </cell>
          <cell r="H8">
            <v>2.4167443290863639</v>
          </cell>
          <cell r="I8">
            <v>2.4020890481809785</v>
          </cell>
          <cell r="J8">
            <v>2.312278337305016</v>
          </cell>
          <cell r="K8">
            <v>2.0556045513386207</v>
          </cell>
          <cell r="L8">
            <v>1.6942136697422991</v>
          </cell>
          <cell r="M8">
            <v>1.8341097125864336</v>
          </cell>
          <cell r="N8">
            <v>1.8411394865284065</v>
          </cell>
          <cell r="P8" t="str">
            <v>Price/Book (x)</v>
          </cell>
          <cell r="Q8">
            <v>2.3524775309542094</v>
          </cell>
          <cell r="R8">
            <v>2.1348810217896057</v>
          </cell>
          <cell r="S8">
            <v>1.5943510329901054</v>
          </cell>
          <cell r="T8">
            <v>1.33748093684618</v>
          </cell>
          <cell r="U8">
            <v>0.87257431590225598</v>
          </cell>
          <cell r="V8">
            <v>0.71912910707740663</v>
          </cell>
          <cell r="W8">
            <v>0.60016890218292684</v>
          </cell>
          <cell r="X8">
            <v>0.50102526816271598</v>
          </cell>
          <cell r="Y8">
            <v>0.52273428325130689</v>
          </cell>
          <cell r="Z8">
            <v>0.51249825236708824</v>
          </cell>
          <cell r="AA8">
            <v>0.49464798191193154</v>
          </cell>
          <cell r="AB8">
            <v>0.47355346237146689</v>
          </cell>
        </row>
        <row r="9">
          <cell r="B9" t="str">
            <v xml:space="preserve">  Interest Income</v>
          </cell>
          <cell r="C9">
            <v>4431.0066329999991</v>
          </cell>
          <cell r="D9">
            <v>4190.6223290000007</v>
          </cell>
          <cell r="E9">
            <v>5124.4074480300005</v>
          </cell>
          <cell r="F9">
            <v>4338.7250000000004</v>
          </cell>
          <cell r="G9">
            <v>4424.4849299999996</v>
          </cell>
          <cell r="H9">
            <v>4480.9417508030001</v>
          </cell>
          <cell r="I9">
            <v>5786.2309999999998</v>
          </cell>
          <cell r="J9">
            <v>6967.6370000000006</v>
          </cell>
          <cell r="K9">
            <v>8617.6710000000003</v>
          </cell>
          <cell r="L9">
            <v>8465.5523646520851</v>
          </cell>
          <cell r="M9">
            <v>9093.7525957058497</v>
          </cell>
          <cell r="N9">
            <v>9585.4567269284453</v>
          </cell>
          <cell r="P9" t="str">
            <v>ROAA (%)</v>
          </cell>
          <cell r="Q9">
            <v>-1.0700583280595537</v>
          </cell>
          <cell r="R9">
            <v>0.66709903372522805</v>
          </cell>
          <cell r="S9">
            <v>0.87173232301160242</v>
          </cell>
          <cell r="T9">
            <v>0.72095581488141292</v>
          </cell>
          <cell r="U9">
            <v>1.6879745001747535</v>
          </cell>
          <cell r="V9">
            <v>1.0700503839549005</v>
          </cell>
          <cell r="W9">
            <v>1.0216945239813493</v>
          </cell>
          <cell r="X9">
            <v>1.0048569482589882</v>
          </cell>
          <cell r="Y9">
            <v>0.35849393984133643</v>
          </cell>
          <cell r="Z9">
            <v>3.851526571592942E-2</v>
          </cell>
          <cell r="AA9">
            <v>0.24799761331347236</v>
          </cell>
          <cell r="AB9">
            <v>0.29237241187453444</v>
          </cell>
        </row>
        <row r="10">
          <cell r="B10" t="str">
            <v xml:space="preserve">  Interest Expense</v>
          </cell>
          <cell r="C10">
            <v>3350.2975759999999</v>
          </cell>
          <cell r="D10">
            <v>3083.4306010000005</v>
          </cell>
          <cell r="E10">
            <v>3481.8585419999999</v>
          </cell>
          <cell r="F10">
            <v>2610.1930000000002</v>
          </cell>
          <cell r="G10">
            <v>2534.1690000000003</v>
          </cell>
          <cell r="H10">
            <v>2484.7829999999999</v>
          </cell>
          <cell r="I10">
            <v>3374.9969999999998</v>
          </cell>
          <cell r="J10">
            <v>4308.1169999999993</v>
          </cell>
          <cell r="K10">
            <v>5741.3739999999998</v>
          </cell>
          <cell r="L10">
            <v>5916.3122235986975</v>
          </cell>
          <cell r="M10">
            <v>6282.4635590898115</v>
          </cell>
          <cell r="N10">
            <v>6647.5463636071399</v>
          </cell>
          <cell r="P10" t="str">
            <v>ROAE (Reported, %)</v>
          </cell>
          <cell r="R10">
            <v>17.332831389844287</v>
          </cell>
          <cell r="S10">
            <v>22.954300184803195</v>
          </cell>
          <cell r="T10">
            <v>17.28037851266204</v>
          </cell>
          <cell r="U10">
            <v>32.819505718058295</v>
          </cell>
          <cell r="V10">
            <v>16.303057435303739</v>
          </cell>
          <cell r="W10">
            <v>14.619218084149038</v>
          </cell>
          <cell r="X10">
            <v>15.265262678924973</v>
          </cell>
          <cell r="Y10">
            <v>5.2951746096768195</v>
          </cell>
          <cell r="Z10">
            <v>0.28253815545441691</v>
          </cell>
          <cell r="AA10">
            <v>3.9959033986742982</v>
          </cell>
          <cell r="AB10">
            <v>4.7911296032005888</v>
          </cell>
        </row>
        <row r="11">
          <cell r="B11" t="str">
            <v>Net Interest Income (NII)</v>
          </cell>
          <cell r="C11">
            <v>1080.7090569999991</v>
          </cell>
          <cell r="D11">
            <v>1107.1917280000002</v>
          </cell>
          <cell r="E11">
            <v>1642.5489060300006</v>
          </cell>
          <cell r="F11">
            <v>1728.5320000000002</v>
          </cell>
          <cell r="G11">
            <v>1890.3159299999993</v>
          </cell>
          <cell r="H11">
            <v>1996.1587508030002</v>
          </cell>
          <cell r="I11">
            <v>2411.2339999999999</v>
          </cell>
          <cell r="J11">
            <v>2659.5200000000013</v>
          </cell>
          <cell r="K11">
            <v>2876.2970000000005</v>
          </cell>
          <cell r="L11">
            <v>2549.2401410533876</v>
          </cell>
          <cell r="M11">
            <v>2811.2890366160382</v>
          </cell>
          <cell r="N11">
            <v>2937.9103633213053</v>
          </cell>
          <cell r="P11" t="str">
            <v>ROAE (ModelWare, %)</v>
          </cell>
          <cell r="U11">
            <v>33.900054363817652</v>
          </cell>
          <cell r="V11">
            <v>17.155381375830554</v>
          </cell>
          <cell r="W11">
            <v>15.421409246407078</v>
          </cell>
          <cell r="X11">
            <v>14.235437974355611</v>
          </cell>
          <cell r="Y11">
            <v>5.5781010489121483</v>
          </cell>
          <cell r="Z11">
            <v>0.68742033471675812</v>
          </cell>
          <cell r="AA11">
            <v>4.4852467307741648</v>
          </cell>
          <cell r="AB11">
            <v>5.3233592181627225</v>
          </cell>
        </row>
        <row r="12">
          <cell r="B12" t="str">
            <v>Loan Loss Prov Exp (LLPE)</v>
          </cell>
          <cell r="C12">
            <v>1503.88949</v>
          </cell>
          <cell r="D12">
            <v>604.04272100000003</v>
          </cell>
          <cell r="E12">
            <v>356.85102099999995</v>
          </cell>
          <cell r="F12">
            <v>829.11900000000003</v>
          </cell>
          <cell r="G12">
            <v>353.24399999999997</v>
          </cell>
          <cell r="H12">
            <v>211.80599999999998</v>
          </cell>
          <cell r="I12">
            <v>322.286</v>
          </cell>
          <cell r="J12">
            <v>400.44299999999998</v>
          </cell>
          <cell r="K12">
            <v>1233.181</v>
          </cell>
          <cell r="L12">
            <v>1104.880062482757</v>
          </cell>
          <cell r="M12">
            <v>992.04354474518652</v>
          </cell>
          <cell r="N12">
            <v>960.10671873845263</v>
          </cell>
        </row>
        <row r="13">
          <cell r="B13" t="str">
            <v>NII After LLPE</v>
          </cell>
          <cell r="C13">
            <v>-423.1804330000009</v>
          </cell>
          <cell r="D13">
            <v>503.14900700000021</v>
          </cell>
          <cell r="E13">
            <v>1285.6978850300006</v>
          </cell>
          <cell r="F13">
            <v>899.41300000000012</v>
          </cell>
          <cell r="G13">
            <v>1537.0719299999994</v>
          </cell>
          <cell r="H13">
            <v>1784.3527508030002</v>
          </cell>
          <cell r="I13">
            <v>2088.9479999999999</v>
          </cell>
          <cell r="J13">
            <v>2259.0770000000011</v>
          </cell>
          <cell r="K13">
            <v>1643.1160000000004</v>
          </cell>
          <cell r="L13">
            <v>1444.3600785706305</v>
          </cell>
          <cell r="M13">
            <v>1819.2454918708518</v>
          </cell>
          <cell r="N13">
            <v>1977.8036445828527</v>
          </cell>
          <cell r="P13" t="str">
            <v>MW EPS Growth (%)</v>
          </cell>
          <cell r="T13">
            <v>-9.3836346492542013</v>
          </cell>
          <cell r="U13">
            <v>152.72110914950119</v>
          </cell>
          <cell r="V13">
            <v>-34.679647272624173</v>
          </cell>
          <cell r="W13">
            <v>9.4407569435800642</v>
          </cell>
          <cell r="X13">
            <v>12.423377316454175</v>
          </cell>
          <cell r="Y13">
            <v>-58.174406557708537</v>
          </cell>
          <cell r="Z13">
            <v>-87.81731026163429</v>
          </cell>
          <cell r="AA13">
            <v>570.81586674355322</v>
          </cell>
          <cell r="AB13">
            <v>23.479823560583334</v>
          </cell>
        </row>
        <row r="14">
          <cell r="P14" t="str">
            <v>Current P/MW EPS</v>
          </cell>
          <cell r="Q14" t="e">
            <v>#DIV/0!</v>
          </cell>
          <cell r="R14" t="e">
            <v>#DIV/0!</v>
          </cell>
          <cell r="S14">
            <v>7.0609115486004113</v>
          </cell>
          <cell r="T14">
            <v>7.7920930962856128</v>
          </cell>
          <cell r="U14">
            <v>3.0832775000508867</v>
          </cell>
          <cell r="V14">
            <v>4.7202401262580471</v>
          </cell>
          <cell r="W14">
            <v>4.3130550793718188</v>
          </cell>
          <cell r="X14">
            <v>3.8364396999311325</v>
          </cell>
          <cell r="Y14">
            <v>9.172469256711036</v>
          </cell>
          <cell r="Z14">
            <v>75.291002674270743</v>
          </cell>
          <cell r="AA14">
            <v>11.223795739920057</v>
          </cell>
          <cell r="AB14">
            <v>9.0895786989955383</v>
          </cell>
        </row>
        <row r="15">
          <cell r="B15" t="str">
            <v>Non-interest Income</v>
          </cell>
        </row>
        <row r="16">
          <cell r="B16" t="str">
            <v>Fees and Commissions</v>
          </cell>
          <cell r="C16">
            <v>443.29103599999996</v>
          </cell>
          <cell r="D16">
            <v>538.598837</v>
          </cell>
          <cell r="E16">
            <v>438.30765497000004</v>
          </cell>
          <cell r="F16">
            <v>270.185</v>
          </cell>
          <cell r="G16">
            <v>216.66806999999994</v>
          </cell>
          <cell r="H16">
            <v>258.62900000000002</v>
          </cell>
          <cell r="I16">
            <v>581.46600000000012</v>
          </cell>
          <cell r="J16">
            <v>620.41000000000008</v>
          </cell>
          <cell r="K16">
            <v>565.20400000000018</v>
          </cell>
          <cell r="L16">
            <v>486.45910292548109</v>
          </cell>
          <cell r="M16">
            <v>530.85512883276374</v>
          </cell>
          <cell r="N16">
            <v>539.64632580209764</v>
          </cell>
          <cell r="P16" t="str">
            <v>Gross Dividends</v>
          </cell>
          <cell r="Q16">
            <v>0</v>
          </cell>
          <cell r="R16">
            <v>0</v>
          </cell>
          <cell r="S16">
            <v>86.068103771932897</v>
          </cell>
          <cell r="T16">
            <v>84.962999999999965</v>
          </cell>
          <cell r="U16">
            <v>135.19027875</v>
          </cell>
          <cell r="V16">
            <v>75.806999999999988</v>
          </cell>
          <cell r="W16">
            <v>188.72295789999998</v>
          </cell>
          <cell r="X16">
            <v>275.40699999999998</v>
          </cell>
          <cell r="Y16">
            <v>42.0718216</v>
          </cell>
          <cell r="Z16">
            <v>0</v>
          </cell>
          <cell r="AA16">
            <v>41.8663186</v>
          </cell>
          <cell r="AB16">
            <v>41.8663186</v>
          </cell>
        </row>
        <row r="17">
          <cell r="B17" t="str">
            <v>Dividend Income</v>
          </cell>
          <cell r="C17">
            <v>8.3889549999999993</v>
          </cell>
          <cell r="D17">
            <v>6.6682290000000002</v>
          </cell>
          <cell r="E17">
            <v>7.1389420000000001</v>
          </cell>
          <cell r="F17">
            <v>93.081000000000003</v>
          </cell>
          <cell r="G17">
            <v>11.289</v>
          </cell>
          <cell r="H17">
            <v>13.642000000000001</v>
          </cell>
          <cell r="I17">
            <v>25.193000000000001</v>
          </cell>
          <cell r="J17">
            <v>57.429000000000002</v>
          </cell>
          <cell r="K17">
            <v>155.94200000000001</v>
          </cell>
          <cell r="L17">
            <v>33.313522691045925</v>
          </cell>
          <cell r="M17">
            <v>29.157752253437081</v>
          </cell>
          <cell r="N17">
            <v>22.79618953624977</v>
          </cell>
          <cell r="P17" t="str">
            <v>Gross DPS (Won)</v>
          </cell>
          <cell r="Q17">
            <v>0</v>
          </cell>
          <cell r="R17">
            <v>0</v>
          </cell>
          <cell r="S17">
            <v>511.19178775156371</v>
          </cell>
          <cell r="T17">
            <v>499.68769739459287</v>
          </cell>
          <cell r="U17">
            <v>750</v>
          </cell>
          <cell r="V17">
            <v>400</v>
          </cell>
          <cell r="W17">
            <v>900</v>
          </cell>
          <cell r="X17">
            <v>1300</v>
          </cell>
          <cell r="Y17">
            <v>200</v>
          </cell>
          <cell r="Z17">
            <v>0</v>
          </cell>
          <cell r="AA17">
            <v>200</v>
          </cell>
          <cell r="AB17">
            <v>200</v>
          </cell>
        </row>
        <row r="18">
          <cell r="B18" t="str">
            <v>Forex Income</v>
          </cell>
          <cell r="C18">
            <v>53.629543000000012</v>
          </cell>
          <cell r="D18">
            <v>44.452679999999987</v>
          </cell>
          <cell r="E18">
            <v>42.158178000000021</v>
          </cell>
          <cell r="F18">
            <v>36.711999999999989</v>
          </cell>
          <cell r="G18">
            <v>49.080999999999989</v>
          </cell>
          <cell r="H18">
            <v>-5.8139999999999645</v>
          </cell>
          <cell r="I18">
            <v>24.173000000000002</v>
          </cell>
          <cell r="J18">
            <v>49.385999999999967</v>
          </cell>
          <cell r="K18">
            <v>213.33300000000008</v>
          </cell>
          <cell r="L18">
            <v>-126.83634938645719</v>
          </cell>
          <cell r="M18">
            <v>0</v>
          </cell>
          <cell r="N18">
            <v>0</v>
          </cell>
          <cell r="P18" t="str">
            <v>Dividend Yield (Current Price, %)</v>
          </cell>
          <cell r="Q18">
            <v>0</v>
          </cell>
          <cell r="R18">
            <v>0</v>
          </cell>
          <cell r="S18">
            <v>2.3183301031816947</v>
          </cell>
          <cell r="T18">
            <v>2.2661573577986074</v>
          </cell>
          <cell r="U18">
            <v>3.4013605442176873</v>
          </cell>
          <cell r="V18">
            <v>1.8140589569160999</v>
          </cell>
          <cell r="W18">
            <v>4.0816326530612246</v>
          </cell>
          <cell r="X18">
            <v>5.895691609977324</v>
          </cell>
          <cell r="Y18">
            <v>0.90702947845804993</v>
          </cell>
          <cell r="Z18">
            <v>0</v>
          </cell>
          <cell r="AA18">
            <v>0.90702947845804993</v>
          </cell>
          <cell r="AB18">
            <v>0.90702947845804993</v>
          </cell>
        </row>
        <row r="19">
          <cell r="B19" t="str">
            <v>Other trading income</v>
          </cell>
          <cell r="C19">
            <v>-33.562145999999956</v>
          </cell>
          <cell r="D19">
            <v>55.459299000000016</v>
          </cell>
          <cell r="E19">
            <v>33.583663999999985</v>
          </cell>
          <cell r="F19">
            <v>37.261999999999944</v>
          </cell>
          <cell r="G19">
            <v>107.50399999999995</v>
          </cell>
          <cell r="H19">
            <v>57.330999999999996</v>
          </cell>
          <cell r="I19">
            <v>62.304000000000002</v>
          </cell>
          <cell r="J19">
            <v>123.79300000000043</v>
          </cell>
          <cell r="K19">
            <v>-1089.5950000000012</v>
          </cell>
          <cell r="L19">
            <v>181.54678016587911</v>
          </cell>
          <cell r="M19">
            <v>99.501461253457819</v>
          </cell>
          <cell r="N19">
            <v>119.74632637549075</v>
          </cell>
          <cell r="P19" t="str">
            <v>Dividend Payout Ratio (%)</v>
          </cell>
          <cell r="Q19">
            <v>0</v>
          </cell>
          <cell r="R19">
            <v>0</v>
          </cell>
          <cell r="S19">
            <v>14.030838929715959</v>
          </cell>
          <cell r="T19">
            <v>16.429050702792804</v>
          </cell>
          <cell r="U19">
            <v>10.15121126850458</v>
          </cell>
          <cell r="V19">
            <v>8.3602793266516073</v>
          </cell>
          <cell r="W19">
            <v>18.381008202756707</v>
          </cell>
          <cell r="X19">
            <v>21.092573672786958</v>
          </cell>
          <cell r="Y19">
            <v>8.7024862342433806</v>
          </cell>
          <cell r="Z19">
            <v>0</v>
          </cell>
          <cell r="AA19">
            <v>11.291081923139069</v>
          </cell>
          <cell r="AB19">
            <v>9.0514061898298479</v>
          </cell>
        </row>
        <row r="20">
          <cell r="B20" t="str">
            <v>Other Income</v>
          </cell>
          <cell r="C20">
            <v>-255.41181200000014</v>
          </cell>
          <cell r="D20">
            <v>0.33494699999985755</v>
          </cell>
          <cell r="E20">
            <v>-90.1765809999998</v>
          </cell>
          <cell r="F20">
            <v>-179.56100000000032</v>
          </cell>
          <cell r="G20">
            <v>-143.6659999999994</v>
          </cell>
          <cell r="H20">
            <v>-139.47475080300023</v>
          </cell>
          <cell r="I20">
            <v>-98.478999999999616</v>
          </cell>
          <cell r="J20">
            <v>162.35799999999929</v>
          </cell>
          <cell r="K20">
            <v>770.61999999999762</v>
          </cell>
          <cell r="L20">
            <v>-213.99433881707222</v>
          </cell>
          <cell r="M20">
            <v>-206.15842549332541</v>
          </cell>
          <cell r="N20">
            <v>-208.19256801537165</v>
          </cell>
        </row>
        <row r="21">
          <cell r="B21" t="str">
            <v>Total Non-interest Income</v>
          </cell>
          <cell r="C21">
            <v>216.33557599999986</v>
          </cell>
          <cell r="D21">
            <v>645.5139919999998</v>
          </cell>
          <cell r="E21">
            <v>431.01185797000016</v>
          </cell>
          <cell r="F21">
            <v>257.67899999999963</v>
          </cell>
          <cell r="G21">
            <v>240.87607000000051</v>
          </cell>
          <cell r="H21">
            <v>184.31324919699983</v>
          </cell>
          <cell r="I21">
            <v>594.65700000000049</v>
          </cell>
          <cell r="J21">
            <v>1013.3759999999997</v>
          </cell>
          <cell r="K21">
            <v>615.50399999999672</v>
          </cell>
          <cell r="L21">
            <v>360.48871757887667</v>
          </cell>
          <cell r="M21">
            <v>453.35591684633329</v>
          </cell>
          <cell r="N21">
            <v>473.99627369846655</v>
          </cell>
          <cell r="P21" t="str">
            <v>Issued Shares (m)</v>
          </cell>
          <cell r="Q21">
            <v>246.363</v>
          </cell>
          <cell r="R21">
            <v>253.108</v>
          </cell>
          <cell r="S21">
            <v>197.43220299999999</v>
          </cell>
          <cell r="T21">
            <v>197.43220299999999</v>
          </cell>
          <cell r="U21">
            <v>192.35344799999999</v>
          </cell>
          <cell r="V21">
            <v>204.25624300000001</v>
          </cell>
          <cell r="W21">
            <v>211.85159300000001</v>
          </cell>
          <cell r="X21">
            <v>211.85159300000001</v>
          </cell>
          <cell r="Y21">
            <v>211.85159300000001</v>
          </cell>
          <cell r="Z21">
            <v>211.85159300000001</v>
          </cell>
          <cell r="AA21">
            <v>211.85159300000001</v>
          </cell>
          <cell r="AB21">
            <v>211.85159300000001</v>
          </cell>
        </row>
        <row r="22">
          <cell r="P22" t="str">
            <v>Market Cap (Wonbn)</v>
          </cell>
          <cell r="Q22">
            <v>5432.3041499999999</v>
          </cell>
          <cell r="R22">
            <v>5581.0314000000008</v>
          </cell>
          <cell r="S22">
            <v>4353.3800761499997</v>
          </cell>
          <cell r="T22">
            <v>4353.3800761499997</v>
          </cell>
          <cell r="U22">
            <v>4241.393528399999</v>
          </cell>
          <cell r="V22">
            <v>4503.8501581500004</v>
          </cell>
          <cell r="W22">
            <v>4671.3276256499994</v>
          </cell>
          <cell r="X22">
            <v>4671.3276256499994</v>
          </cell>
          <cell r="Y22">
            <v>4671.3276256499994</v>
          </cell>
          <cell r="Z22">
            <v>4671.3276256499994</v>
          </cell>
          <cell r="AA22">
            <v>4671.3276256499994</v>
          </cell>
          <cell r="AB22">
            <v>4671.3276256499994</v>
          </cell>
        </row>
        <row r="23">
          <cell r="B23" t="str">
            <v>Non-interest Expense</v>
          </cell>
          <cell r="P23" t="str">
            <v>Market Cap (US$mn)</v>
          </cell>
          <cell r="Q23">
            <v>4044.9025688756519</v>
          </cell>
          <cell r="R23">
            <v>4155.6451228592714</v>
          </cell>
          <cell r="S23">
            <v>3241.533936075949</v>
          </cell>
          <cell r="T23">
            <v>3241.533936075949</v>
          </cell>
          <cell r="U23">
            <v>3158.1485691734915</v>
          </cell>
          <cell r="V23">
            <v>3353.5742056217427</v>
          </cell>
          <cell r="W23">
            <v>3478.2782022710344</v>
          </cell>
          <cell r="X23">
            <v>3478.2782022710344</v>
          </cell>
          <cell r="Y23">
            <v>3478.2782022710344</v>
          </cell>
          <cell r="Z23">
            <v>3478.2782022710344</v>
          </cell>
          <cell r="AA23">
            <v>3478.2782022710344</v>
          </cell>
          <cell r="AB23">
            <v>3478.2782022710344</v>
          </cell>
        </row>
        <row r="24">
          <cell r="B24" t="str">
            <v>Salaries &amp; Benefits</v>
          </cell>
          <cell r="C24">
            <v>421.96628399999997</v>
          </cell>
          <cell r="D24">
            <v>412.35855699999996</v>
          </cell>
          <cell r="E24">
            <v>434.26188100000002</v>
          </cell>
          <cell r="F24">
            <v>451.20699999999999</v>
          </cell>
          <cell r="G24">
            <v>487.63099999999997</v>
          </cell>
          <cell r="H24">
            <v>594.47199999999998</v>
          </cell>
          <cell r="I24">
            <v>796.83200000000011</v>
          </cell>
          <cell r="J24">
            <v>878.59899999999993</v>
          </cell>
          <cell r="K24">
            <v>917.33600000000001</v>
          </cell>
          <cell r="L24">
            <v>1027.1199059611799</v>
          </cell>
          <cell r="M24">
            <v>1012.5506193600037</v>
          </cell>
          <cell r="N24">
            <v>1052.8843644440062</v>
          </cell>
        </row>
        <row r="25">
          <cell r="B25" t="str">
            <v>Net Occupancy &amp; Equipment</v>
          </cell>
          <cell r="C25">
            <v>17.354278999999998</v>
          </cell>
          <cell r="D25">
            <v>20.735520999999999</v>
          </cell>
          <cell r="E25">
            <v>25.628824000000002</v>
          </cell>
          <cell r="F25">
            <v>38.527000000000001</v>
          </cell>
          <cell r="G25">
            <v>35.698999999999998</v>
          </cell>
          <cell r="H25">
            <v>37.822999999999993</v>
          </cell>
          <cell r="I25">
            <v>47.731000000000002</v>
          </cell>
          <cell r="J25">
            <v>60.82</v>
          </cell>
          <cell r="K25">
            <v>84.622</v>
          </cell>
          <cell r="L25">
            <v>90.507531535980704</v>
          </cell>
          <cell r="M25">
            <v>87.794604901773923</v>
          </cell>
          <cell r="N25">
            <v>85.751821183419111</v>
          </cell>
          <cell r="P25" t="str">
            <v>PERFORMANCE RATIOS</v>
          </cell>
        </row>
        <row r="26">
          <cell r="B26" t="str">
            <v>Other Expenses</v>
          </cell>
          <cell r="C26">
            <v>266.59823499999993</v>
          </cell>
          <cell r="D26">
            <v>319.07631100000015</v>
          </cell>
          <cell r="E26">
            <v>393.24414200000001</v>
          </cell>
          <cell r="F26">
            <v>392.26</v>
          </cell>
          <cell r="G26">
            <v>402.10500000000002</v>
          </cell>
          <cell r="H26">
            <v>408.57899999999995</v>
          </cell>
          <cell r="I26">
            <v>541.15600000000006</v>
          </cell>
          <cell r="J26">
            <v>657.49699999999984</v>
          </cell>
          <cell r="K26">
            <v>689.16600000000005</v>
          </cell>
          <cell r="L26">
            <v>705.42558679668764</v>
          </cell>
          <cell r="M26">
            <v>742.59184764250529</v>
          </cell>
          <cell r="N26">
            <v>767.12382766224027</v>
          </cell>
          <cell r="P26" t="str">
            <v>Won billions, Year ending Dec 31</v>
          </cell>
          <cell r="Q26">
            <v>2000</v>
          </cell>
          <cell r="R26">
            <v>2001</v>
          </cell>
          <cell r="S26">
            <v>2002</v>
          </cell>
          <cell r="T26">
            <v>2003</v>
          </cell>
          <cell r="U26">
            <v>2004</v>
          </cell>
          <cell r="V26">
            <v>2005</v>
          </cell>
          <cell r="W26">
            <v>2006</v>
          </cell>
          <cell r="X26">
            <v>2007</v>
          </cell>
          <cell r="Y26">
            <v>2008</v>
          </cell>
          <cell r="Z26" t="str">
            <v>2009E</v>
          </cell>
          <cell r="AA26" t="str">
            <v>2010E</v>
          </cell>
          <cell r="AB26" t="str">
            <v>2011E</v>
          </cell>
        </row>
        <row r="27">
          <cell r="B27" t="str">
            <v>Total Non-interest Expense</v>
          </cell>
          <cell r="C27">
            <v>705.91879799999992</v>
          </cell>
          <cell r="D27">
            <v>752.17038900000011</v>
          </cell>
          <cell r="E27">
            <v>853.13484700000004</v>
          </cell>
          <cell r="F27">
            <v>881.99399999999991</v>
          </cell>
          <cell r="G27">
            <v>925.43499999999995</v>
          </cell>
          <cell r="H27">
            <v>1040.8739999999998</v>
          </cell>
          <cell r="I27">
            <v>1385.7190000000001</v>
          </cell>
          <cell r="J27">
            <v>1596.9159999999997</v>
          </cell>
          <cell r="K27">
            <v>1691.124</v>
          </cell>
          <cell r="L27">
            <v>1823.0530242938482</v>
          </cell>
          <cell r="M27">
            <v>1842.9370719042827</v>
          </cell>
          <cell r="N27">
            <v>1905.7600132896655</v>
          </cell>
          <cell r="P27" t="str">
            <v>Growth (%)</v>
          </cell>
        </row>
        <row r="28">
          <cell r="P28" t="str">
            <v>Net Interest Income</v>
          </cell>
          <cell r="Q28">
            <v>106.65613880989694</v>
          </cell>
          <cell r="R28">
            <v>2.45049033580933</v>
          </cell>
          <cell r="S28">
            <v>48.352707529440679</v>
          </cell>
          <cell r="T28">
            <v>5.2347356997618055</v>
          </cell>
          <cell r="U28">
            <v>9.3596144011218296</v>
          </cell>
          <cell r="V28">
            <v>5.5992132914523429</v>
          </cell>
          <cell r="W28">
            <v>20.793699350316007</v>
          </cell>
          <cell r="X28">
            <v>10.297051219417174</v>
          </cell>
          <cell r="Y28">
            <v>8.1509821321140272</v>
          </cell>
          <cell r="Z28">
            <v>-11.370761049593025</v>
          </cell>
          <cell r="AA28">
            <v>10.27949039961249</v>
          </cell>
          <cell r="AB28">
            <v>4.5040308931621587</v>
          </cell>
        </row>
        <row r="29">
          <cell r="B29" t="str">
            <v>Pre-tax Operating Profit</v>
          </cell>
          <cell r="C29">
            <v>-912.76365500000099</v>
          </cell>
          <cell r="D29">
            <v>396.49261000000001</v>
          </cell>
          <cell r="E29">
            <v>863.57489600000076</v>
          </cell>
          <cell r="F29">
            <v>275.09799999999973</v>
          </cell>
          <cell r="G29">
            <v>852.51299999999992</v>
          </cell>
          <cell r="H29">
            <v>927.79200000000014</v>
          </cell>
          <cell r="I29">
            <v>1297.8860000000004</v>
          </cell>
          <cell r="J29">
            <v>1675.5370000000012</v>
          </cell>
          <cell r="K29">
            <v>567.49599999999714</v>
          </cell>
          <cell r="L29">
            <v>-18.204228144340959</v>
          </cell>
          <cell r="M29">
            <v>429.66433681290255</v>
          </cell>
          <cell r="N29">
            <v>546.03990499165366</v>
          </cell>
          <cell r="P29" t="str">
            <v>Non-interest Income</v>
          </cell>
          <cell r="Q29">
            <v>-14.398329944294208</v>
          </cell>
          <cell r="R29">
            <v>198.38550086648726</v>
          </cell>
          <cell r="S29">
            <v>-33.229664529099736</v>
          </cell>
          <cell r="T29">
            <v>-40.215333932196607</v>
          </cell>
          <cell r="U29">
            <v>-6.5208767497542119</v>
          </cell>
          <cell r="V29">
            <v>-23.48212539460668</v>
          </cell>
          <cell r="W29">
            <v>222.63388692389242</v>
          </cell>
          <cell r="X29">
            <v>70.41353250697442</v>
          </cell>
          <cell r="Y29">
            <v>-39.26203107237621</v>
          </cell>
          <cell r="Z29">
            <v>-41.431945595986605</v>
          </cell>
          <cell r="AA29">
            <v>25.761471785073773</v>
          </cell>
          <cell r="AB29">
            <v>4.5527930893045854</v>
          </cell>
        </row>
        <row r="30">
          <cell r="B30" t="str">
            <v>Associate Profit/Loss</v>
          </cell>
          <cell r="C30">
            <v>426.75069199999996</v>
          </cell>
          <cell r="D30">
            <v>140.88274299999995</v>
          </cell>
          <cell r="E30">
            <v>11.490430000000039</v>
          </cell>
          <cell r="F30">
            <v>217.70100000000002</v>
          </cell>
          <cell r="G30">
            <v>157.06899999999999</v>
          </cell>
          <cell r="H30">
            <v>240.27599999999995</v>
          </cell>
          <cell r="I30">
            <v>158.91</v>
          </cell>
          <cell r="J30">
            <v>81.469999999999956</v>
          </cell>
          <cell r="K30">
            <v>81.254999999999981</v>
          </cell>
          <cell r="L30">
            <v>48.462601086322643</v>
          </cell>
          <cell r="M30">
            <v>52.190825755326848</v>
          </cell>
          <cell r="N30">
            <v>53.441358901211217</v>
          </cell>
          <cell r="P30" t="str">
            <v>Non-interest Expense</v>
          </cell>
          <cell r="Q30">
            <v>136.11256364542524</v>
          </cell>
          <cell r="R30">
            <v>6.5519704434900516</v>
          </cell>
          <cell r="S30">
            <v>13.423083316830752</v>
          </cell>
          <cell r="T30">
            <v>3.3827188165483468</v>
          </cell>
          <cell r="U30">
            <v>4.9253169522695206</v>
          </cell>
          <cell r="V30">
            <v>12.474025728441207</v>
          </cell>
          <cell r="W30">
            <v>33.130330856568648</v>
          </cell>
          <cell r="X30">
            <v>15.240968767838181</v>
          </cell>
          <cell r="Y30">
            <v>5.8993710376751496</v>
          </cell>
          <cell r="Z30">
            <v>7.8012626095926851</v>
          </cell>
          <cell r="AA30">
            <v>1.0907004538793563</v>
          </cell>
          <cell r="AB30">
            <v>3.4088489695673019</v>
          </cell>
        </row>
        <row r="31">
          <cell r="P31" t="str">
            <v>Recurrent Net Profit After Tax (FD)</v>
          </cell>
          <cell r="Q31" t="str">
            <v>NM</v>
          </cell>
          <cell r="R31" t="str">
            <v>NM</v>
          </cell>
          <cell r="S31">
            <v>92.289899611111579</v>
          </cell>
          <cell r="T31">
            <v>-52.311149447730983</v>
          </cell>
          <cell r="U31">
            <v>289.53996825160164</v>
          </cell>
          <cell r="V31">
            <v>-35.955179788548044</v>
          </cell>
          <cell r="W31">
            <v>28.763167392692047</v>
          </cell>
          <cell r="X31">
            <v>36.061672010486603</v>
          </cell>
          <cell r="Y31">
            <v>-66.470062224641623</v>
          </cell>
          <cell r="Z31" t="str">
            <v>NM</v>
          </cell>
          <cell r="AA31" t="str">
            <v>NM</v>
          </cell>
          <cell r="AB31">
            <v>27.085228679201911</v>
          </cell>
        </row>
        <row r="32">
          <cell r="B32" t="str">
            <v>Profit Before Tax</v>
          </cell>
          <cell r="C32">
            <v>-486.01296300000104</v>
          </cell>
          <cell r="D32">
            <v>537.3753529999999</v>
          </cell>
          <cell r="E32">
            <v>875.06532600000082</v>
          </cell>
          <cell r="F32">
            <v>492.79899999999975</v>
          </cell>
          <cell r="G32">
            <v>1009.5819999999999</v>
          </cell>
          <cell r="H32">
            <v>1168.0680000000002</v>
          </cell>
          <cell r="I32">
            <v>1456.7960000000005</v>
          </cell>
          <cell r="J32">
            <v>1757.0070000000012</v>
          </cell>
          <cell r="K32">
            <v>648.75099999999713</v>
          </cell>
          <cell r="L32">
            <v>30.258372941981683</v>
          </cell>
          <cell r="M32">
            <v>481.85516256822939</v>
          </cell>
          <cell r="N32">
            <v>599.48126389286483</v>
          </cell>
          <cell r="P32" t="str">
            <v>Net Profit</v>
          </cell>
          <cell r="Q32" t="str">
            <v>NM</v>
          </cell>
          <cell r="R32" t="str">
            <v>NM</v>
          </cell>
          <cell r="S32">
            <v>43.765372177739323</v>
          </cell>
          <cell r="T32">
            <v>-15.693943919469033</v>
          </cell>
          <cell r="U32">
            <v>157.5195639184688</v>
          </cell>
          <cell r="V32">
            <v>-31.913513269983795</v>
          </cell>
          <cell r="W32">
            <v>13.231401750423522</v>
          </cell>
          <cell r="X32">
            <v>27.171558582214629</v>
          </cell>
          <cell r="Y32">
            <v>-62.974360231170209</v>
          </cell>
          <cell r="Z32">
            <v>-94.725224184289218</v>
          </cell>
          <cell r="AA32">
            <v>1354.0429599715058</v>
          </cell>
          <cell r="AB32">
            <v>24.743953440358467</v>
          </cell>
        </row>
        <row r="33">
          <cell r="B33" t="str">
            <v>Effective Tax</v>
          </cell>
          <cell r="C33">
            <v>13.252741000000006</v>
          </cell>
          <cell r="D33">
            <v>110.69337200000005</v>
          </cell>
          <cell r="E33">
            <v>261.64438800000005</v>
          </cell>
          <cell r="F33">
            <v>-24.351999999999972</v>
          </cell>
          <cell r="G33">
            <v>-322.18300000000005</v>
          </cell>
          <cell r="H33">
            <v>261.31600000000003</v>
          </cell>
          <cell r="I33">
            <v>415.85799999999995</v>
          </cell>
          <cell r="J33">
            <v>433.82999999999993</v>
          </cell>
          <cell r="K33">
            <v>165.084</v>
          </cell>
          <cell r="L33">
            <v>7.9436802519606671</v>
          </cell>
          <cell r="M33">
            <v>106.00813576501041</v>
          </cell>
          <cell r="N33">
            <v>131.88587805643027</v>
          </cell>
        </row>
        <row r="34">
          <cell r="B34" t="str">
            <v xml:space="preserve">Minority Interests </v>
          </cell>
          <cell r="C34">
            <v>0</v>
          </cell>
          <cell r="D34">
            <v>0</v>
          </cell>
          <cell r="E34">
            <v>0</v>
          </cell>
          <cell r="F34">
            <v>0</v>
          </cell>
          <cell r="G34">
            <v>0</v>
          </cell>
          <cell r="H34">
            <v>0</v>
          </cell>
          <cell r="I34">
            <v>14.21</v>
          </cell>
          <cell r="J34">
            <v>17.471</v>
          </cell>
          <cell r="K34">
            <v>0.22100000000000009</v>
          </cell>
          <cell r="L34">
            <v>-3.1859999999999991</v>
          </cell>
          <cell r="M34">
            <v>5.056</v>
          </cell>
          <cell r="N34">
            <v>5.056</v>
          </cell>
          <cell r="P34" t="str">
            <v>Gross Customer Loans</v>
          </cell>
          <cell r="Q34">
            <v>98.571347450617594</v>
          </cell>
          <cell r="R34">
            <v>18.111401357876588</v>
          </cell>
          <cell r="S34">
            <v>24.253726023955458</v>
          </cell>
          <cell r="T34">
            <v>8.5218154890679187</v>
          </cell>
          <cell r="U34">
            <v>6.1168569832166675</v>
          </cell>
          <cell r="V34">
            <v>12.339403243774028</v>
          </cell>
          <cell r="W34">
            <v>25.987519316939967</v>
          </cell>
          <cell r="X34">
            <v>5.6257915515370183</v>
          </cell>
          <cell r="Y34">
            <v>16.919757601310792</v>
          </cell>
          <cell r="Z34">
            <v>3.112279736774437</v>
          </cell>
          <cell r="AA34">
            <v>2.9666312698659603</v>
          </cell>
          <cell r="AB34">
            <v>4.9842277604434049</v>
          </cell>
        </row>
        <row r="35">
          <cell r="B35" t="str">
            <v>Preference Dividend</v>
          </cell>
          <cell r="C35">
            <v>0</v>
          </cell>
          <cell r="D35">
            <v>0</v>
          </cell>
          <cell r="E35">
            <v>0</v>
          </cell>
          <cell r="F35">
            <v>0</v>
          </cell>
          <cell r="G35">
            <v>0</v>
          </cell>
          <cell r="H35">
            <v>0</v>
          </cell>
          <cell r="I35">
            <v>0</v>
          </cell>
          <cell r="J35">
            <v>0</v>
          </cell>
          <cell r="K35">
            <v>0</v>
          </cell>
          <cell r="L35">
            <v>0</v>
          </cell>
          <cell r="M35">
            <v>0</v>
          </cell>
          <cell r="N35">
            <v>0</v>
          </cell>
          <cell r="P35" t="str">
            <v>Total Deposits</v>
          </cell>
          <cell r="Q35">
            <v>80.822132561453813</v>
          </cell>
          <cell r="R35">
            <v>17.588712031559051</v>
          </cell>
          <cell r="S35">
            <v>11.708149820740065</v>
          </cell>
          <cell r="T35">
            <v>5.3625104341374019</v>
          </cell>
          <cell r="U35">
            <v>-2.0612986597465577</v>
          </cell>
          <cell r="V35">
            <v>12.055952603807384</v>
          </cell>
          <cell r="W35">
            <v>24.206983569405228</v>
          </cell>
          <cell r="X35">
            <v>1.805147296187859</v>
          </cell>
          <cell r="Y35">
            <v>16.897689626140068</v>
          </cell>
          <cell r="Z35">
            <v>3.7894857993363118</v>
          </cell>
          <cell r="AA35">
            <v>4.2068846213306532</v>
          </cell>
          <cell r="AB35">
            <v>4.2104445396361045</v>
          </cell>
        </row>
        <row r="36">
          <cell r="B36" t="str">
            <v>Net Profit</v>
          </cell>
          <cell r="C36">
            <v>-499.26570400000105</v>
          </cell>
          <cell r="D36">
            <v>426.68198099999984</v>
          </cell>
          <cell r="E36">
            <v>613.42093800000077</v>
          </cell>
          <cell r="F36">
            <v>517.15099999999973</v>
          </cell>
          <cell r="G36">
            <v>1331.7649999999999</v>
          </cell>
          <cell r="H36">
            <v>906.75200000000018</v>
          </cell>
          <cell r="I36">
            <v>1026.7280000000005</v>
          </cell>
          <cell r="J36">
            <v>1305.7060000000013</v>
          </cell>
          <cell r="K36">
            <v>483.44599999999713</v>
          </cell>
          <cell r="L36">
            <v>25.500692690021015</v>
          </cell>
          <cell r="M36">
            <v>370.79102680321898</v>
          </cell>
          <cell r="N36">
            <v>462.53938583643458</v>
          </cell>
          <cell r="P36" t="str">
            <v>Avg Earning Assets</v>
          </cell>
          <cell r="Q36">
            <v>88.167259551365262</v>
          </cell>
          <cell r="R36">
            <v>36.93434240896849</v>
          </cell>
          <cell r="S36">
            <v>-22.031046812728349</v>
          </cell>
          <cell r="T36">
            <v>50.738856597325956</v>
          </cell>
          <cell r="U36">
            <v>6.03792745648013</v>
          </cell>
          <cell r="V36">
            <v>6.9834546601466485</v>
          </cell>
          <cell r="W36">
            <v>16.779783504884538</v>
          </cell>
          <cell r="X36">
            <v>12.013751923354077</v>
          </cell>
          <cell r="Y36">
            <v>15.497137071532595</v>
          </cell>
          <cell r="Z36">
            <v>7.2711573025788567</v>
          </cell>
          <cell r="AA36">
            <v>2.9418296008997036</v>
          </cell>
          <cell r="AB36">
            <v>4.0082247354085832</v>
          </cell>
        </row>
        <row r="37">
          <cell r="B37" t="str">
            <v>EPS - Reported (Won)</v>
          </cell>
          <cell r="C37">
            <v>-2026.5449925516457</v>
          </cell>
          <cell r="D37">
            <v>1685.7704260631817</v>
          </cell>
          <cell r="E37">
            <v>3106.995356780782</v>
          </cell>
          <cell r="F37">
            <v>2619.3852479070993</v>
          </cell>
          <cell r="G37">
            <v>6923.5306871130269</v>
          </cell>
          <cell r="H37">
            <v>4439.2865876809456</v>
          </cell>
          <cell r="I37">
            <v>4846.4492782926609</v>
          </cell>
          <cell r="J37">
            <v>6163.3050831012688</v>
          </cell>
          <cell r="K37">
            <v>2282.0031379230513</v>
          </cell>
          <cell r="L37">
            <v>120.37054963292636</v>
          </cell>
          <cell r="M37">
            <v>1750.2395028165729</v>
          </cell>
          <cell r="N37">
            <v>2183.3179504882673</v>
          </cell>
          <cell r="P37" t="str">
            <v>Total Interest-bearing Liab</v>
          </cell>
          <cell r="Q37" t="e">
            <v>#DIV/0!</v>
          </cell>
          <cell r="R37" t="e">
            <v>#DIV/0!</v>
          </cell>
          <cell r="S37" t="e">
            <v>#DIV/0!</v>
          </cell>
          <cell r="T37">
            <v>50.468167415994799</v>
          </cell>
          <cell r="U37">
            <v>6.4602573761064264</v>
          </cell>
          <cell r="V37">
            <v>5.2918044571224954</v>
          </cell>
          <cell r="W37">
            <v>14.958415408508486</v>
          </cell>
          <cell r="X37">
            <v>12.049283619728568</v>
          </cell>
          <cell r="Y37">
            <v>16.479162767203981</v>
          </cell>
          <cell r="Z37">
            <v>6.9575956644489789</v>
          </cell>
          <cell r="AA37">
            <v>4.0218286723957553</v>
          </cell>
          <cell r="AB37">
            <v>3.7208456411233382</v>
          </cell>
        </row>
        <row r="38">
          <cell r="B38" t="str">
            <v>EPS - ModelWare (Won)</v>
          </cell>
          <cell r="E38">
            <v>3122.8262595033743</v>
          </cell>
          <cell r="F38">
            <v>2829.7916525806068</v>
          </cell>
          <cell r="G38">
            <v>7151.4808510217081</v>
          </cell>
          <cell r="H38">
            <v>4671.3725171181186</v>
          </cell>
          <cell r="I38">
            <v>5112.3854423884386</v>
          </cell>
          <cell r="J38">
            <v>5747.5163757678292</v>
          </cell>
          <cell r="K38">
            <v>2403.9328323577774</v>
          </cell>
          <cell r="L38">
            <v>292.8636784848552</v>
          </cell>
          <cell r="M38">
            <v>1964.5760232052346</v>
          </cell>
          <cell r="N38">
            <v>2425.8550071673485</v>
          </cell>
          <cell r="P38" t="str">
            <v>Risk-weighted Assets</v>
          </cell>
          <cell r="Q38" t="e">
            <v>#DIV/0!</v>
          </cell>
          <cell r="R38" t="e">
            <v>#DIV/0!</v>
          </cell>
          <cell r="S38" t="e">
            <v>#DIV/0!</v>
          </cell>
          <cell r="T38">
            <v>5.3618152214711223</v>
          </cell>
          <cell r="U38">
            <v>8.5345539660518064</v>
          </cell>
          <cell r="V38">
            <v>11.382386358592678</v>
          </cell>
          <cell r="W38">
            <v>31.04489215718278</v>
          </cell>
          <cell r="X38">
            <v>9.2516041331763823</v>
          </cell>
          <cell r="Y38">
            <v>3.7383962970121143</v>
          </cell>
          <cell r="Z38">
            <v>2.3509569004365849</v>
          </cell>
          <cell r="AA38">
            <v>4.282723025312074</v>
          </cell>
          <cell r="AB38">
            <v>5.1759185747033198</v>
          </cell>
        </row>
        <row r="40">
          <cell r="B40" t="str">
            <v>Selective Balance Sheet Data</v>
          </cell>
          <cell r="P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v>2008</v>
          </cell>
          <cell r="L41" t="str">
            <v>2009E</v>
          </cell>
          <cell r="M41" t="str">
            <v>2010E</v>
          </cell>
          <cell r="N41" t="str">
            <v>2011E</v>
          </cell>
          <cell r="P41" t="str">
            <v>NII/Operating Income</v>
          </cell>
          <cell r="Q41">
            <v>83.320884224344184</v>
          </cell>
          <cell r="R41">
            <v>63.170429317706592</v>
          </cell>
          <cell r="S41">
            <v>79.213926813576606</v>
          </cell>
          <cell r="T41">
            <v>87.026604927673873</v>
          </cell>
          <cell r="U41">
            <v>88.697589424134435</v>
          </cell>
          <cell r="V41">
            <v>91.547093968782917</v>
          </cell>
          <cell r="W41">
            <v>80.216947321110439</v>
          </cell>
          <cell r="X41">
            <v>72.40934673892211</v>
          </cell>
          <cell r="Y41">
            <v>82.372878637700225</v>
          </cell>
          <cell r="Z41">
            <v>87.610917199057283</v>
          </cell>
          <cell r="AA41">
            <v>86.113163198175059</v>
          </cell>
          <cell r="AB41">
            <v>86.107583702451706</v>
          </cell>
        </row>
        <row r="42">
          <cell r="B42" t="str">
            <v>Total Assets</v>
          </cell>
          <cell r="C42">
            <v>60913.659992000001</v>
          </cell>
          <cell r="D42">
            <v>67033.145632</v>
          </cell>
          <cell r="E42">
            <v>74420.016474000004</v>
          </cell>
          <cell r="F42">
            <v>80566.457999999999</v>
          </cell>
          <cell r="G42">
            <v>82423.207999999984</v>
          </cell>
          <cell r="H42">
            <v>95915.497224970997</v>
          </cell>
          <cell r="I42">
            <v>116098.363</v>
          </cell>
          <cell r="J42">
            <v>126248.67</v>
          </cell>
          <cell r="K42">
            <v>157871.61400000003</v>
          </cell>
          <cell r="L42">
            <v>164305.24582727591</v>
          </cell>
          <cell r="M42">
            <v>171341.98442211625</v>
          </cell>
          <cell r="N42">
            <v>180210.50602008583</v>
          </cell>
          <cell r="P42" t="str">
            <v>Non-interest Inc/Opg Income</v>
          </cell>
          <cell r="Q42">
            <v>16.679115775655813</v>
          </cell>
          <cell r="R42">
            <v>36.829570682293422</v>
          </cell>
          <cell r="S42">
            <v>20.786073186423391</v>
          </cell>
          <cell r="T42">
            <v>12.973395072326136</v>
          </cell>
          <cell r="U42">
            <v>11.302410575865549</v>
          </cell>
          <cell r="V42">
            <v>8.4529060312170863</v>
          </cell>
          <cell r="W42">
            <v>19.783052678889568</v>
          </cell>
          <cell r="X42">
            <v>27.59065326107789</v>
          </cell>
          <cell r="Y42">
            <v>17.627121362299778</v>
          </cell>
          <cell r="Z42">
            <v>12.389082800942717</v>
          </cell>
          <cell r="AA42">
            <v>13.88683680182494</v>
          </cell>
          <cell r="AB42">
            <v>13.892416297548287</v>
          </cell>
        </row>
        <row r="43">
          <cell r="B43" t="str">
            <v>RWA</v>
          </cell>
          <cell r="C43">
            <v>0</v>
          </cell>
          <cell r="D43">
            <v>0</v>
          </cell>
          <cell r="E43">
            <v>48529.675000000003</v>
          </cell>
          <cell r="F43">
            <v>51131.746501080474</v>
          </cell>
          <cell r="G43">
            <v>55495.612999999998</v>
          </cell>
          <cell r="H43">
            <v>61812.338083729388</v>
          </cell>
          <cell r="I43">
            <v>81001.911781656396</v>
          </cell>
          <cell r="J43">
            <v>88495.888000000006</v>
          </cell>
          <cell r="K43">
            <v>91804.214999999997</v>
          </cell>
          <cell r="L43">
            <v>93962.492527434137</v>
          </cell>
          <cell r="M43">
            <v>97986.645830063688</v>
          </cell>
          <cell r="N43">
            <v>103058.35483231071</v>
          </cell>
          <cell r="P43" t="str">
            <v>Forex Income/Operating Income</v>
          </cell>
          <cell r="Q43">
            <v>4.1347492318716563</v>
          </cell>
          <cell r="R43">
            <v>2.5362318096388701</v>
          </cell>
          <cell r="S43">
            <v>2.0331296160655943</v>
          </cell>
          <cell r="T43">
            <v>1.8483434035960928</v>
          </cell>
          <cell r="U43">
            <v>2.3029834946827874</v>
          </cell>
          <cell r="V43">
            <v>-0.2666395165817293</v>
          </cell>
          <cell r="W43">
            <v>0.80418751045862935</v>
          </cell>
          <cell r="X43">
            <v>1.3446065448082372</v>
          </cell>
          <cell r="Y43">
            <v>6.1095406066955205</v>
          </cell>
          <cell r="Z43">
            <v>-4.3590435930197762</v>
          </cell>
          <cell r="AA43">
            <v>0</v>
          </cell>
          <cell r="AB43">
            <v>0</v>
          </cell>
        </row>
        <row r="44">
          <cell r="B44" t="str">
            <v>Total Liquid Assets</v>
          </cell>
          <cell r="C44">
            <v>25970.409538</v>
          </cell>
          <cell r="D44">
            <v>25632.494008999998</v>
          </cell>
          <cell r="E44">
            <v>21427.787038999999</v>
          </cell>
          <cell r="F44">
            <v>22380.150999999998</v>
          </cell>
          <cell r="G44">
            <v>21344.007000000001</v>
          </cell>
          <cell r="H44">
            <v>29272.919657278002</v>
          </cell>
          <cell r="I44">
            <v>28502.98</v>
          </cell>
          <cell r="J44">
            <v>32248.152000000002</v>
          </cell>
          <cell r="K44">
            <v>37034.952000000005</v>
          </cell>
          <cell r="L44">
            <v>37956.005942415839</v>
          </cell>
          <cell r="M44">
            <v>39498.546464023035</v>
          </cell>
          <cell r="N44">
            <v>40536.405440138929</v>
          </cell>
        </row>
        <row r="45">
          <cell r="B45" t="str">
            <v>Gross Customer Loans</v>
          </cell>
          <cell r="C45">
            <v>35416.187191999998</v>
          </cell>
          <cell r="D45">
            <v>41830.555</v>
          </cell>
          <cell r="E45">
            <v>51976.023203999997</v>
          </cell>
          <cell r="F45">
            <v>56405.324000000001</v>
          </cell>
          <cell r="G45">
            <v>59855.556999999993</v>
          </cell>
          <cell r="H45">
            <v>67241.375542037</v>
          </cell>
          <cell r="I45">
            <v>84715.741000000009</v>
          </cell>
          <cell r="J45">
            <v>89481.671999999991</v>
          </cell>
          <cell r="K45">
            <v>104621.75399999999</v>
          </cell>
          <cell r="L45">
            <v>107877.87564999999</v>
          </cell>
          <cell r="M45">
            <v>111078.21444230001</v>
          </cell>
          <cell r="N45">
            <v>116614.60564233798</v>
          </cell>
          <cell r="P45" t="str">
            <v>Efficiency (%)</v>
          </cell>
        </row>
        <row r="46">
          <cell r="B46" t="str">
            <v>Total Customer Deposits</v>
          </cell>
          <cell r="C46">
            <v>37867.318066</v>
          </cell>
          <cell r="D46">
            <v>44748.851478999997</v>
          </cell>
          <cell r="E46">
            <v>48922.024000000005</v>
          </cell>
          <cell r="F46">
            <v>53861.928999999996</v>
          </cell>
          <cell r="G46">
            <v>53017.877</v>
          </cell>
          <cell r="H46">
            <v>57070.172606144006</v>
          </cell>
          <cell r="I46">
            <v>69649.535000000003</v>
          </cell>
          <cell r="J46">
            <v>69313.578000000009</v>
          </cell>
          <cell r="K46">
            <v>79464.37000000001</v>
          </cell>
          <cell r="L46">
            <v>82642.944800000012</v>
          </cell>
          <cell r="M46">
            <v>85948.662592000022</v>
          </cell>
          <cell r="N46">
            <v>89386.609095680033</v>
          </cell>
          <cell r="P46" t="str">
            <v>Cost/Income</v>
          </cell>
          <cell r="Q46">
            <v>54.425173971634663</v>
          </cell>
          <cell r="R46">
            <v>42.914813389209463</v>
          </cell>
          <cell r="S46">
            <v>41.143469813455617</v>
          </cell>
          <cell r="T46">
            <v>37.9</v>
          </cell>
          <cell r="U46">
            <v>43.423351814383686</v>
          </cell>
          <cell r="V46">
            <v>47.736178221962938</v>
          </cell>
          <cell r="W46">
            <v>46.100108087751678</v>
          </cell>
          <cell r="X46">
            <v>43.478388715607501</v>
          </cell>
          <cell r="Y46">
            <v>48.431282309616194</v>
          </cell>
          <cell r="Z46">
            <v>62.653708055491656</v>
          </cell>
          <cell r="AA46">
            <v>56.451378271616527</v>
          </cell>
          <cell r="AB46">
            <v>55.856159503658233</v>
          </cell>
        </row>
        <row r="47">
          <cell r="B47" t="str">
            <v>Certificates of Deposits</v>
          </cell>
          <cell r="C47">
            <v>2050.8671610000001</v>
          </cell>
          <cell r="D47">
            <v>2741.2278759999999</v>
          </cell>
          <cell r="E47">
            <v>4536.4353770000016</v>
          </cell>
          <cell r="F47">
            <v>2192.4790000000066</v>
          </cell>
          <cell r="G47">
            <v>1569.5350000000035</v>
          </cell>
          <cell r="H47">
            <v>3993.2857669409932</v>
          </cell>
          <cell r="I47">
            <v>6969.4489999999932</v>
          </cell>
          <cell r="J47">
            <v>8384.7350000000006</v>
          </cell>
          <cell r="K47">
            <v>9836.7279999999882</v>
          </cell>
          <cell r="L47">
            <v>10033.462559999989</v>
          </cell>
          <cell r="M47">
            <v>10635.470313599988</v>
          </cell>
          <cell r="N47">
            <v>11273.598532415988</v>
          </cell>
          <cell r="P47" t="str">
            <v>Expenses/Avg Assets</v>
          </cell>
          <cell r="Q47">
            <v>1.5133501595664849</v>
          </cell>
          <cell r="R47">
            <v>1.1757548542640748</v>
          </cell>
          <cell r="S47">
            <v>1.2062435852239075</v>
          </cell>
          <cell r="T47">
            <v>1.1381560913535849</v>
          </cell>
          <cell r="U47">
            <v>1.1355750615502214</v>
          </cell>
          <cell r="V47">
            <v>1.167300164803772</v>
          </cell>
          <cell r="W47">
            <v>1.3071966130229349</v>
          </cell>
          <cell r="X47">
            <v>1.3178754286626646</v>
          </cell>
          <cell r="Y47">
            <v>1.1904282061044258</v>
          </cell>
          <cell r="Z47">
            <v>1.1317094748960028</v>
          </cell>
          <cell r="AA47">
            <v>1.0981392997254564</v>
          </cell>
          <cell r="AB47">
            <v>1.0841965652938459</v>
          </cell>
        </row>
        <row r="48">
          <cell r="B48" t="str">
            <v>Other Interest Bearing Liability</v>
          </cell>
          <cell r="C48">
            <v>12510.805729</v>
          </cell>
          <cell r="D48">
            <v>9952.527562999996</v>
          </cell>
          <cell r="E48">
            <v>12105.286842000001</v>
          </cell>
          <cell r="F48">
            <v>13721.209999999992</v>
          </cell>
          <cell r="G48">
            <v>15615.631999999998</v>
          </cell>
          <cell r="H48">
            <v>20422.343376655008</v>
          </cell>
          <cell r="I48">
            <v>22728.152999999991</v>
          </cell>
          <cell r="J48">
            <v>27214.11</v>
          </cell>
          <cell r="K48">
            <v>34422.557000000001</v>
          </cell>
          <cell r="L48">
            <v>34502.425195289237</v>
          </cell>
          <cell r="M48">
            <v>34489.549009130031</v>
          </cell>
          <cell r="N48">
            <v>36124.470438170771</v>
          </cell>
        </row>
        <row r="49">
          <cell r="B49" t="str">
            <v>EOP Shareholders' Equity</v>
          </cell>
          <cell r="C49">
            <v>2309.1842869999932</v>
          </cell>
          <cell r="D49">
            <v>2614.2119130000001</v>
          </cell>
          <cell r="E49">
            <v>2730.5028729999995</v>
          </cell>
          <cell r="F49">
            <v>3254.91</v>
          </cell>
          <cell r="G49">
            <v>4860.7820000000002</v>
          </cell>
          <cell r="H49">
            <v>6629.1442996239894</v>
          </cell>
          <cell r="I49">
            <v>8006.2560000000103</v>
          </cell>
          <cell r="J49">
            <v>9569.4559999999929</v>
          </cell>
          <cell r="K49">
            <v>9300.2389999999996</v>
          </cell>
          <cell r="L49">
            <v>9481.8816926900254</v>
          </cell>
          <cell r="M49">
            <v>9810.8064008932433</v>
          </cell>
          <cell r="N49">
            <v>10231.479468129677</v>
          </cell>
          <cell r="P49" t="str">
            <v>Rev Per Employee</v>
          </cell>
          <cell r="Q49">
            <v>6.5454412242632168E-2</v>
          </cell>
          <cell r="R49">
            <v>9.1599243251718102E-2</v>
          </cell>
          <cell r="S49">
            <v>0.16006490130842571</v>
          </cell>
          <cell r="T49">
            <v>0.27943317388857625</v>
          </cell>
          <cell r="U49">
            <v>0.30981130978339877</v>
          </cell>
          <cell r="V49">
            <v>0.31418904899135447</v>
          </cell>
          <cell r="W49">
            <v>0.41320929273489593</v>
          </cell>
          <cell r="X49">
            <v>0.48368947125831319</v>
          </cell>
          <cell r="Y49">
            <v>0.42518124809741215</v>
          </cell>
          <cell r="Z49">
            <v>0.34491807238409961</v>
          </cell>
          <cell r="AA49">
            <v>0.39420937673879991</v>
          </cell>
          <cell r="AB49">
            <v>0.40975382957014084</v>
          </cell>
        </row>
        <row r="50">
          <cell r="P50" t="str">
            <v>Exp Per Employee</v>
          </cell>
          <cell r="Q50">
            <v>3.5623677735163499E-2</v>
          </cell>
          <cell r="R50">
            <v>3.9309644307402865E-2</v>
          </cell>
          <cell r="S50">
            <v>6.5856254351769658E-2</v>
          </cell>
          <cell r="T50">
            <v>0.12408469330332018</v>
          </cell>
          <cell r="U50">
            <v>0.13453045500799535</v>
          </cell>
          <cell r="V50">
            <v>0.14998184438040343</v>
          </cell>
          <cell r="W50">
            <v>0.19048993057942126</v>
          </cell>
          <cell r="X50">
            <v>0.210300388490156</v>
          </cell>
          <cell r="Y50">
            <v>0.2059207305936073</v>
          </cell>
          <cell r="Z50">
            <v>0.21610396210216315</v>
          </cell>
          <cell r="AA50">
            <v>0.22253662644500183</v>
          </cell>
          <cell r="AB50">
            <v>0.22887275261704582</v>
          </cell>
        </row>
        <row r="51">
          <cell r="B51" t="str">
            <v>Avg Loans</v>
          </cell>
          <cell r="C51">
            <v>26625.842215500001</v>
          </cell>
          <cell r="D51">
            <v>38623.371096000003</v>
          </cell>
          <cell r="E51">
            <v>46903.289101999995</v>
          </cell>
          <cell r="F51">
            <v>54190.673601999995</v>
          </cell>
          <cell r="G51">
            <v>58130.440499999997</v>
          </cell>
          <cell r="H51">
            <v>63548.466271018493</v>
          </cell>
          <cell r="I51">
            <v>75978.558271018497</v>
          </cell>
          <cell r="J51">
            <v>87098.7065</v>
          </cell>
          <cell r="K51">
            <v>97051.712999999989</v>
          </cell>
          <cell r="L51">
            <v>106249.81482499998</v>
          </cell>
          <cell r="M51">
            <v>109478.04504615</v>
          </cell>
          <cell r="N51">
            <v>113846.410042319</v>
          </cell>
          <cell r="P51" t="str">
            <v>Rev Per Branch</v>
          </cell>
          <cell r="Q51">
            <v>1.1362633666228639</v>
          </cell>
          <cell r="R51">
            <v>1.536113689745837</v>
          </cell>
          <cell r="S51">
            <v>2.4366166439482968</v>
          </cell>
          <cell r="T51">
            <v>3.5468053571428566</v>
          </cell>
          <cell r="U51">
            <v>3.8961462522851922</v>
          </cell>
          <cell r="V51">
            <v>3.9681019108280258</v>
          </cell>
          <cell r="W51">
            <v>5.2967242290748908</v>
          </cell>
          <cell r="X51">
            <v>6.1729344537815143</v>
          </cell>
          <cell r="Y51">
            <v>5.6228679549114284</v>
          </cell>
          <cell r="Z51">
            <v>4.5967280547113178</v>
          </cell>
          <cell r="AA51">
            <v>5.1574169880922138</v>
          </cell>
          <cell r="AB51">
            <v>5.3900578783882658</v>
          </cell>
        </row>
        <row r="52">
          <cell r="B52" t="str">
            <v>Avg Total Assets</v>
          </cell>
          <cell r="C52">
            <v>46646.097966000001</v>
          </cell>
          <cell r="D52">
            <v>63973.402812</v>
          </cell>
          <cell r="E52">
            <v>70726.581053000002</v>
          </cell>
          <cell r="F52">
            <v>77493.237236999994</v>
          </cell>
          <cell r="G52">
            <v>81494.832999999984</v>
          </cell>
          <cell r="H52">
            <v>89169.352612485498</v>
          </cell>
          <cell r="I52">
            <v>106006.9301124855</v>
          </cell>
          <cell r="J52">
            <v>121173.5165</v>
          </cell>
          <cell r="K52">
            <v>142060.14200000002</v>
          </cell>
          <cell r="L52">
            <v>161088.42991363799</v>
          </cell>
          <cell r="M52">
            <v>167823.61512469608</v>
          </cell>
          <cell r="N52">
            <v>175776.24522110104</v>
          </cell>
          <cell r="P52" t="str">
            <v>Exp Per Branch</v>
          </cell>
          <cell r="Q52">
            <v>0.61841331406044675</v>
          </cell>
          <cell r="R52">
            <v>0.65922032340052594</v>
          </cell>
          <cell r="S52">
            <v>1.0025086333725031</v>
          </cell>
          <cell r="T52">
            <v>1.5749892857142855</v>
          </cell>
          <cell r="U52">
            <v>1.6918372943327238</v>
          </cell>
          <cell r="V52">
            <v>1.8942202001819832</v>
          </cell>
          <cell r="W52">
            <v>2.4417955947136565</v>
          </cell>
          <cell r="X52">
            <v>2.6838924369747894</v>
          </cell>
          <cell r="Y52">
            <v>2.7232270531400968</v>
          </cell>
          <cell r="Z52">
            <v>2.8800205755037096</v>
          </cell>
          <cell r="AA52">
            <v>2.9114329729925479</v>
          </cell>
          <cell r="AB52">
            <v>3.0106793258920468</v>
          </cell>
        </row>
        <row r="53">
          <cell r="B53" t="str">
            <v>Avg Total Deposits</v>
          </cell>
          <cell r="C53">
            <v>32322.240476500003</v>
          </cell>
          <cell r="D53">
            <v>45285.3858415</v>
          </cell>
          <cell r="E53">
            <v>51811.351515000002</v>
          </cell>
          <cell r="F53">
            <v>56142.709453000003</v>
          </cell>
          <cell r="G53">
            <v>57014.987000000001</v>
          </cell>
          <cell r="H53">
            <v>59822.302157279497</v>
          </cell>
          <cell r="I53">
            <v>70875.595657279497</v>
          </cell>
          <cell r="J53">
            <v>79236.601500000004</v>
          </cell>
          <cell r="K53">
            <v>86699.833500000008</v>
          </cell>
          <cell r="L53">
            <v>95225.012599999987</v>
          </cell>
          <cell r="M53">
            <v>99035.9804496</v>
          </cell>
          <cell r="N53">
            <v>103204.10899632002</v>
          </cell>
          <cell r="P53" t="str">
            <v>Net Profit Per Branch</v>
          </cell>
          <cell r="Q53">
            <v>-0.43737687604029879</v>
          </cell>
          <cell r="R53">
            <v>0.37395440929009627</v>
          </cell>
          <cell r="S53">
            <v>0.72082366392479524</v>
          </cell>
          <cell r="T53">
            <v>0.92348392857142814</v>
          </cell>
          <cell r="U53">
            <v>2.4346709323583178</v>
          </cell>
          <cell r="V53">
            <v>1.6501401273885354</v>
          </cell>
          <cell r="W53">
            <v>1.809212334801763</v>
          </cell>
          <cell r="X53">
            <v>2.1944638655462207</v>
          </cell>
          <cell r="Y53">
            <v>0.77849597423510009</v>
          </cell>
          <cell r="Z53">
            <v>4.0285454486605081E-2</v>
          </cell>
          <cell r="AA53">
            <v>0.58576781485500629</v>
          </cell>
          <cell r="AB53">
            <v>0.73070993023133424</v>
          </cell>
        </row>
        <row r="54">
          <cell r="B54" t="str">
            <v>Avg Shareholders' Equity</v>
          </cell>
          <cell r="D54">
            <v>2461.6980999999969</v>
          </cell>
          <cell r="E54">
            <v>2672.3573929999998</v>
          </cell>
          <cell r="F54">
            <v>2992.7064364999997</v>
          </cell>
          <cell r="G54">
            <v>4057.846</v>
          </cell>
          <cell r="H54">
            <v>5744.9631498119943</v>
          </cell>
          <cell r="I54">
            <v>7317.7001498119998</v>
          </cell>
          <cell r="J54">
            <v>8787.8560000000016</v>
          </cell>
          <cell r="K54">
            <v>9434.8474999999962</v>
          </cell>
          <cell r="L54">
            <v>9391.0603463450134</v>
          </cell>
          <cell r="M54">
            <v>9646.3440467916334</v>
          </cell>
          <cell r="N54">
            <v>10021.142934511459</v>
          </cell>
        </row>
        <row r="55">
          <cell r="B55" t="str">
            <v>Avg Equity/Avg Assets (%)</v>
          </cell>
          <cell r="C55">
            <v>4.3677219356804979</v>
          </cell>
          <cell r="D55">
            <v>3.8480024381917617</v>
          </cell>
          <cell r="E55">
            <v>3.7784342933209647</v>
          </cell>
          <cell r="F55">
            <v>3.861893686732059</v>
          </cell>
          <cell r="G55">
            <v>4.9792678267099477</v>
          </cell>
          <cell r="H55">
            <v>6.442755253342038</v>
          </cell>
          <cell r="I55">
            <v>6.9030393975630471</v>
          </cell>
          <cell r="J55">
            <v>7.2522909739934818</v>
          </cell>
          <cell r="K55">
            <v>6.6414459166174806</v>
          </cell>
          <cell r="L55">
            <v>5.8297547200501656</v>
          </cell>
          <cell r="M55">
            <v>5.7479062405038883</v>
          </cell>
          <cell r="N55">
            <v>5.7010791884343153</v>
          </cell>
          <cell r="P55" t="str">
            <v>Net Interest Margin Analysis (%)</v>
          </cell>
        </row>
        <row r="56">
          <cell r="B56" t="str">
            <v>Avg EA/Avg Assets (%)</v>
          </cell>
          <cell r="C56">
            <v>89.247380963878484</v>
          </cell>
          <cell r="D56">
            <v>89.109442986057431</v>
          </cell>
          <cell r="E56">
            <v>62.843768427131806</v>
          </cell>
          <cell r="F56">
            <v>86.458221438528923</v>
          </cell>
          <cell r="G56">
            <v>87.176867090457137</v>
          </cell>
          <cell r="H56">
            <v>85.237820398114849</v>
          </cell>
          <cell r="I56">
            <v>83.730051333262693</v>
          </cell>
          <cell r="J56">
            <v>82.050125202069211</v>
          </cell>
          <cell r="K56">
            <v>80.832485722842648</v>
          </cell>
          <cell r="L56">
            <v>76.467483166854691</v>
          </cell>
          <cell r="M56">
            <v>75.557913301449304</v>
          </cell>
          <cell r="N56">
            <v>75.030964286020506</v>
          </cell>
          <cell r="P56" t="str">
            <v>Int Income/Avg EA</v>
          </cell>
          <cell r="Q56">
            <v>10.643674871597739</v>
          </cell>
          <cell r="R56">
            <v>7.3511509692589723</v>
          </cell>
          <cell r="S56">
            <v>6.7593665687715969</v>
          </cell>
          <cell r="T56">
            <v>6.3411313363885</v>
          </cell>
          <cell r="U56">
            <v>6.1076173974259129</v>
          </cell>
          <cell r="V56">
            <v>5.8021686014085239</v>
          </cell>
          <cell r="W56">
            <v>6.2075262413418288</v>
          </cell>
          <cell r="X56">
            <v>6.5828234430452133</v>
          </cell>
          <cell r="Y56">
            <v>6.8408134671669467</v>
          </cell>
          <cell r="Z56">
            <v>6.2134847638400847</v>
          </cell>
          <cell r="AA56">
            <v>6.4918681354455359</v>
          </cell>
          <cell r="AB56">
            <v>6.5820049613349196</v>
          </cell>
        </row>
        <row r="57">
          <cell r="B57" t="str">
            <v>Avg Loans/Avg EA (%)</v>
          </cell>
          <cell r="C57">
            <v>63.957658202007863</v>
          </cell>
          <cell r="D57">
            <v>67.752760706585107</v>
          </cell>
          <cell r="E57">
            <v>105.5257419844756</v>
          </cell>
          <cell r="F57">
            <v>80.882478034107763</v>
          </cell>
          <cell r="G57">
            <v>81.822412864637954</v>
          </cell>
          <cell r="H57">
            <v>83.609788320802053</v>
          </cell>
          <cell r="I57">
            <v>85.600328841985601</v>
          </cell>
          <cell r="J57">
            <v>87.604163249031004</v>
          </cell>
          <cell r="K57">
            <v>84.517185571836038</v>
          </cell>
          <cell r="L57">
            <v>86.255547683076585</v>
          </cell>
          <cell r="M57">
            <v>86.336413980864961</v>
          </cell>
          <cell r="N57">
            <v>86.321430591007115</v>
          </cell>
          <cell r="P57" t="str">
            <v>Int Exp/Avg Int Bearing Liab.</v>
          </cell>
          <cell r="Q57" t="e">
            <v>#DIV/0!</v>
          </cell>
          <cell r="R57" t="e">
            <v>#DIV/0!</v>
          </cell>
          <cell r="S57">
            <v>4.6313369340110055</v>
          </cell>
          <cell r="T57">
            <v>4.0452670229563381</v>
          </cell>
          <cell r="U57">
            <v>3.6809119629991809</v>
          </cell>
          <cell r="V57">
            <v>3.4507662002186983</v>
          </cell>
          <cell r="W57">
            <v>3.9403417237731766</v>
          </cell>
          <cell r="X57">
            <v>4.4205356988732829</v>
          </cell>
          <cell r="Y57">
            <v>4.9115149565837148</v>
          </cell>
          <cell r="Z57">
            <v>4.6521562826867413</v>
          </cell>
          <cell r="AA57">
            <v>4.7449349222804189</v>
          </cell>
          <cell r="AB57">
            <v>4.8429787934421542</v>
          </cell>
        </row>
        <row r="58">
          <cell r="P58" t="str">
            <v xml:space="preserve">Net Interest Spread </v>
          </cell>
          <cell r="Q58">
            <v>0</v>
          </cell>
          <cell r="R58">
            <v>0</v>
          </cell>
          <cell r="S58">
            <v>2.1280296347605914</v>
          </cell>
          <cell r="T58">
            <v>2.2958643134321619</v>
          </cell>
          <cell r="U58">
            <v>2.426705434426732</v>
          </cell>
          <cell r="V58">
            <v>2.351402401189826</v>
          </cell>
          <cell r="W58">
            <v>2.2671845175686522</v>
          </cell>
          <cell r="X58">
            <v>2.1622877441719299</v>
          </cell>
          <cell r="Y58">
            <v>1.9292985105832314</v>
          </cell>
          <cell r="Z58">
            <v>1.561328481153343</v>
          </cell>
          <cell r="AA58">
            <v>1.7469332131651174</v>
          </cell>
          <cell r="AB58">
            <v>1.7390261678927654</v>
          </cell>
        </row>
        <row r="59">
          <cell r="B59" t="str">
            <v>Asset Quality</v>
          </cell>
          <cell r="P59" t="str">
            <v>Contribution From Free Funds</v>
          </cell>
          <cell r="Q59">
            <v>2.5959599671623828</v>
          </cell>
          <cell r="R59">
            <v>1.9422254990907144</v>
          </cell>
          <cell r="S59">
            <v>2.4739102507275401E-2</v>
          </cell>
          <cell r="T59">
            <v>2.8833988348912598E-2</v>
          </cell>
          <cell r="U59">
            <v>1.1681015467736255E-2</v>
          </cell>
          <cell r="V59">
            <v>6.5341927896537921E-2</v>
          </cell>
          <cell r="W59">
            <v>0.13490453061232621</v>
          </cell>
          <cell r="X59">
            <v>0.14999059313308605</v>
          </cell>
          <cell r="Y59">
            <v>0.12630604075538931</v>
          </cell>
          <cell r="Z59">
            <v>0.13288518858895615</v>
          </cell>
          <cell r="AA59">
            <v>8.7176499421316223E-2</v>
          </cell>
          <cell r="AB59">
            <v>0.1021133186356411</v>
          </cell>
        </row>
        <row r="60">
          <cell r="B60" t="str">
            <v>Won billions, Year ending Dec 31</v>
          </cell>
          <cell r="C60">
            <v>2000</v>
          </cell>
          <cell r="D60">
            <v>2001</v>
          </cell>
          <cell r="E60">
            <v>2002</v>
          </cell>
          <cell r="F60">
            <v>2003</v>
          </cell>
          <cell r="G60">
            <v>2004</v>
          </cell>
          <cell r="H60">
            <v>2005</v>
          </cell>
          <cell r="I60">
            <v>2006</v>
          </cell>
          <cell r="J60">
            <v>2007</v>
          </cell>
          <cell r="K60">
            <v>2008</v>
          </cell>
          <cell r="L60" t="str">
            <v>2009E</v>
          </cell>
          <cell r="M60" t="str">
            <v>2010E</v>
          </cell>
          <cell r="N60" t="str">
            <v>2011E</v>
          </cell>
          <cell r="P60" t="str">
            <v>Net Interest Margin</v>
          </cell>
          <cell r="Q60">
            <v>2.5959599671623828</v>
          </cell>
          <cell r="R60">
            <v>1.9422254990907144</v>
          </cell>
          <cell r="S60">
            <v>2.1527687372678668</v>
          </cell>
          <cell r="T60">
            <v>2.3246983017810745</v>
          </cell>
          <cell r="U60">
            <v>2.4383864498944683</v>
          </cell>
          <cell r="V60">
            <v>2.4167443290863639</v>
          </cell>
          <cell r="W60">
            <v>2.4020890481809785</v>
          </cell>
          <cell r="X60">
            <v>2.312278337305016</v>
          </cell>
          <cell r="Y60">
            <v>2.0556045513386207</v>
          </cell>
          <cell r="Z60">
            <v>1.6942136697422991</v>
          </cell>
          <cell r="AA60">
            <v>1.8341097125864336</v>
          </cell>
          <cell r="AB60">
            <v>1.8411394865284065</v>
          </cell>
        </row>
        <row r="61">
          <cell r="B61" t="str">
            <v>Non-performing Loans (NPL)</v>
          </cell>
          <cell r="C61">
            <v>0</v>
          </cell>
          <cell r="D61">
            <v>0</v>
          </cell>
          <cell r="E61">
            <v>979.94100000000003</v>
          </cell>
          <cell r="F61">
            <v>1134.2430000000002</v>
          </cell>
          <cell r="G61">
            <v>862.82200000000012</v>
          </cell>
          <cell r="H61">
            <v>635.66500000000008</v>
          </cell>
          <cell r="I61">
            <v>573.048</v>
          </cell>
          <cell r="J61">
            <v>687.15685434600005</v>
          </cell>
          <cell r="K61">
            <v>1257.5650000000001</v>
          </cell>
          <cell r="L61">
            <v>1943.6494220151201</v>
          </cell>
          <cell r="M61">
            <v>2010.8178262311749</v>
          </cell>
          <cell r="N61">
            <v>1646.4485325195558</v>
          </cell>
        </row>
        <row r="62">
          <cell r="B62" t="str">
            <v>Gross NPL Ratio (%)</v>
          </cell>
          <cell r="C62">
            <v>0</v>
          </cell>
          <cell r="D62">
            <v>0</v>
          </cell>
          <cell r="E62">
            <v>1.7407534800600934</v>
          </cell>
          <cell r="F62">
            <v>1.9842182085651967</v>
          </cell>
          <cell r="G62">
            <v>1.4362584111901322</v>
          </cell>
          <cell r="H62">
            <v>0.97864373109768032</v>
          </cell>
          <cell r="I62">
            <v>0.68631426610592261</v>
          </cell>
          <cell r="J62">
            <v>0.77334405874766943</v>
          </cell>
          <cell r="K62">
            <v>1.1987012754904474</v>
          </cell>
          <cell r="L62">
            <v>1.790020931506711</v>
          </cell>
          <cell r="M62">
            <v>1.796198119035552</v>
          </cell>
          <cell r="N62">
            <v>1.4033577174790395</v>
          </cell>
          <cell r="P62" t="str">
            <v>Liquidity (%)</v>
          </cell>
        </row>
        <row r="63">
          <cell r="B63" t="str">
            <v>Loan Loss Reserve (LLR)</v>
          </cell>
          <cell r="C63">
            <v>2315.1305339999999</v>
          </cell>
          <cell r="D63">
            <v>0</v>
          </cell>
          <cell r="E63">
            <v>915.74700000000007</v>
          </cell>
          <cell r="F63">
            <v>1081.7809999999999</v>
          </cell>
          <cell r="G63">
            <v>953.59899999999993</v>
          </cell>
          <cell r="H63">
            <v>811.20899999999995</v>
          </cell>
          <cell r="I63">
            <v>990.77899999999977</v>
          </cell>
          <cell r="J63">
            <v>1161.7883185707453</v>
          </cell>
          <cell r="K63">
            <v>1595.05</v>
          </cell>
          <cell r="L63">
            <v>1857.0001307794321</v>
          </cell>
          <cell r="M63">
            <v>1935.5941774127398</v>
          </cell>
          <cell r="N63">
            <v>1926.4274624788422</v>
          </cell>
          <cell r="P63" t="str">
            <v>Avg Loans/Avg EA</v>
          </cell>
          <cell r="Q63">
            <v>63.957658202007863</v>
          </cell>
          <cell r="R63">
            <v>67.752760706585107</v>
          </cell>
          <cell r="S63">
            <v>105.5257419844756</v>
          </cell>
          <cell r="T63">
            <v>80.882478034107763</v>
          </cell>
          <cell r="U63">
            <v>81.822412864637954</v>
          </cell>
          <cell r="V63">
            <v>83.609788320802053</v>
          </cell>
          <cell r="W63">
            <v>85.600328841985601</v>
          </cell>
          <cell r="X63">
            <v>87.604163249031004</v>
          </cell>
          <cell r="Y63">
            <v>84.517185571836038</v>
          </cell>
          <cell r="Z63">
            <v>86.255547683076585</v>
          </cell>
          <cell r="AA63">
            <v>86.336413980864961</v>
          </cell>
          <cell r="AB63">
            <v>86.321430591007115</v>
          </cell>
        </row>
        <row r="64">
          <cell r="B64" t="str">
            <v>LLR/NPL (%)</v>
          </cell>
          <cell r="C64" t="str">
            <v>na</v>
          </cell>
          <cell r="D64" t="str">
            <v>na</v>
          </cell>
          <cell r="E64">
            <v>93.449197451683318</v>
          </cell>
          <cell r="F64">
            <v>95.374712473429398</v>
          </cell>
          <cell r="G64">
            <v>110.52094174696516</v>
          </cell>
          <cell r="H64">
            <v>127.61580392187706</v>
          </cell>
          <cell r="I64">
            <v>172.89633678156102</v>
          </cell>
          <cell r="J64">
            <v>169.07177905930587</v>
          </cell>
          <cell r="K64">
            <v>126.83638619077342</v>
          </cell>
          <cell r="L64">
            <v>95.541927970433449</v>
          </cell>
          <cell r="M64">
            <v>96.25905202166301</v>
          </cell>
          <cell r="N64">
            <v>117.00502168329766</v>
          </cell>
          <cell r="P64" t="str">
            <v>Avg Liquid Assets/AEA</v>
          </cell>
          <cell r="Q64">
            <v>47.761146864929366</v>
          </cell>
          <cell r="R64">
            <v>45.260668302293368</v>
          </cell>
          <cell r="S64">
            <v>52.939475788025248</v>
          </cell>
          <cell r="T64">
            <v>32.692845010402309</v>
          </cell>
          <cell r="U64">
            <v>30.772312038773059</v>
          </cell>
          <cell r="V64">
            <v>33.297975321826357</v>
          </cell>
          <cell r="W64">
            <v>32.546261223879</v>
          </cell>
          <cell r="X64">
            <v>30.551843415099572</v>
          </cell>
          <cell r="Y64">
            <v>30.167488943553305</v>
          </cell>
          <cell r="Z64">
            <v>30.439517279420546</v>
          </cell>
          <cell r="AA64">
            <v>30.541047286905641</v>
          </cell>
          <cell r="AB64">
            <v>30.34233377706682</v>
          </cell>
        </row>
        <row r="65">
          <cell r="B65" t="str">
            <v>LLR/Total Credit (%)</v>
          </cell>
          <cell r="C65">
            <v>3.0002086490841178</v>
          </cell>
          <cell r="D65">
            <v>0</v>
          </cell>
          <cell r="E65">
            <v>1.6267201567284058</v>
          </cell>
          <cell r="F65">
            <v>1.8924424112644882</v>
          </cell>
          <cell r="G65">
            <v>1.5873663219673337</v>
          </cell>
          <cell r="H65">
            <v>1.2489040649713576</v>
          </cell>
          <cell r="I65">
            <v>1.1866122249063951</v>
          </cell>
          <cell r="J65">
            <v>1.3075065583741283</v>
          </cell>
          <cell r="K65">
            <v>1.5203893790547909</v>
          </cell>
          <cell r="L65">
            <v>1.7102205090358233</v>
          </cell>
          <cell r="M65">
            <v>1.7290032818145646</v>
          </cell>
          <cell r="N65">
            <v>1.641999001630581</v>
          </cell>
          <cell r="P65" t="str">
            <v>Avg Loans/Avg Deposits</v>
          </cell>
          <cell r="Q65">
            <v>82.376227090007617</v>
          </cell>
          <cell r="R65">
            <v>85.288819733551094</v>
          </cell>
          <cell r="S65">
            <v>90.527051950036338</v>
          </cell>
          <cell r="T65">
            <v>96.523082213133733</v>
          </cell>
          <cell r="U65">
            <v>101.95642156333386</v>
          </cell>
          <cell r="V65">
            <v>106.22872069340042</v>
          </cell>
          <cell r="W65">
            <v>107.19988674016159</v>
          </cell>
          <cell r="X65">
            <v>109.92231475248215</v>
          </cell>
          <cell r="Y65">
            <v>111.93990701262418</v>
          </cell>
          <cell r="Z65">
            <v>111.57763272902943</v>
          </cell>
          <cell r="AA65">
            <v>110.54370800303637</v>
          </cell>
          <cell r="AB65">
            <v>110.31189663812557</v>
          </cell>
        </row>
        <row r="66">
          <cell r="P66" t="str">
            <v>Avg Loans/Avg Depo &amp; Equity</v>
          </cell>
          <cell r="Q66">
            <v>85.085608734411295</v>
          </cell>
          <cell r="R66">
            <v>88.24208977346008</v>
          </cell>
          <cell r="S66">
            <v>94.739200112771243</v>
          </cell>
          <cell r="T66">
            <v>99.643264750248647</v>
          </cell>
          <cell r="U66">
            <v>101.10037612081126</v>
          </cell>
          <cell r="V66">
            <v>104.53943783415723</v>
          </cell>
          <cell r="W66">
            <v>107.50026567369369</v>
          </cell>
          <cell r="X66">
            <v>111.28064427467115</v>
          </cell>
          <cell r="Y66">
            <v>115.78058750280189</v>
          </cell>
          <cell r="Z66">
            <v>117.47487025497811</v>
          </cell>
          <cell r="AA66">
            <v>116.53772846017398</v>
          </cell>
          <cell r="AB66">
            <v>116.53990505974896</v>
          </cell>
        </row>
        <row r="67">
          <cell r="B67" t="str">
            <v>Specific Reserve</v>
          </cell>
          <cell r="C67">
            <v>0</v>
          </cell>
          <cell r="D67">
            <v>0</v>
          </cell>
          <cell r="E67">
            <v>271.33365500000002</v>
          </cell>
          <cell r="F67">
            <v>272.97055499999999</v>
          </cell>
          <cell r="G67">
            <v>289.30635000000001</v>
          </cell>
          <cell r="H67">
            <v>316.29219499999999</v>
          </cell>
          <cell r="I67">
            <v>409.67789499999998</v>
          </cell>
          <cell r="J67">
            <v>435.00255018420506</v>
          </cell>
          <cell r="K67">
            <v>509.20642999999995</v>
          </cell>
          <cell r="L67">
            <v>512.72478065445353</v>
          </cell>
          <cell r="M67">
            <v>528.58508210394768</v>
          </cell>
          <cell r="N67">
            <v>565.71621933927167</v>
          </cell>
          <cell r="P67" t="str">
            <v>Period-End Loans/Deposits</v>
          </cell>
          <cell r="Q67">
            <v>85.084430804538599</v>
          </cell>
          <cell r="R67">
            <v>85.462636527256279</v>
          </cell>
          <cell r="S67">
            <v>95.060665147378742</v>
          </cell>
          <cell r="T67">
            <v>97.911068376076543</v>
          </cell>
          <cell r="U67">
            <v>106.08691658920026</v>
          </cell>
          <cell r="V67">
            <v>106.3552682804809</v>
          </cell>
          <cell r="W67">
            <v>107.87989557332733</v>
          </cell>
          <cell r="X67">
            <v>111.92851899008586</v>
          </cell>
          <cell r="Y67">
            <v>111.94964888397743</v>
          </cell>
          <cell r="Z67">
            <v>111.21919935585782</v>
          </cell>
          <cell r="AA67">
            <v>109.89548657767077</v>
          </cell>
          <cell r="AB67">
            <v>110.71148236323631</v>
          </cell>
        </row>
        <row r="68">
          <cell r="B68" t="str">
            <v>Specific Reserve/NPLs (%)</v>
          </cell>
          <cell r="C68" t="str">
            <v>na</v>
          </cell>
          <cell r="D68" t="str">
            <v>na</v>
          </cell>
          <cell r="E68">
            <v>27.688774630309375</v>
          </cell>
          <cell r="F68">
            <v>24.066320444560819</v>
          </cell>
          <cell r="G68">
            <v>33.530247258414825</v>
          </cell>
          <cell r="H68">
            <v>49.757686045322608</v>
          </cell>
          <cell r="I68">
            <v>71.491026057154016</v>
          </cell>
          <cell r="J68">
            <v>63.304694908154225</v>
          </cell>
          <cell r="K68">
            <v>40.491460083574204</v>
          </cell>
          <cell r="L68">
            <v>26.379488751776808</v>
          </cell>
          <cell r="M68">
            <v>26.287069629507982</v>
          </cell>
          <cell r="N68">
            <v>34.359787637792586</v>
          </cell>
        </row>
        <row r="69">
          <cell r="B69" t="str">
            <v>General Reserve</v>
          </cell>
          <cell r="C69">
            <v>2315.1305339999999</v>
          </cell>
          <cell r="D69">
            <v>0</v>
          </cell>
          <cell r="E69">
            <v>644.41334500000005</v>
          </cell>
          <cell r="F69">
            <v>808.81044499999996</v>
          </cell>
          <cell r="G69">
            <v>664.29264999999987</v>
          </cell>
          <cell r="H69">
            <v>494.91680499999995</v>
          </cell>
          <cell r="I69">
            <v>581.10110499999973</v>
          </cell>
          <cell r="J69">
            <v>726.78576838654021</v>
          </cell>
          <cell r="K69">
            <v>1085.84357</v>
          </cell>
          <cell r="L69">
            <v>1344.2753501249786</v>
          </cell>
          <cell r="M69">
            <v>1407.009095308792</v>
          </cell>
          <cell r="N69">
            <v>1360.7112431395706</v>
          </cell>
          <cell r="P69" t="str">
            <v>Capital Information</v>
          </cell>
        </row>
        <row r="70">
          <cell r="B70" t="str">
            <v>General Reserve/NPLs (%)</v>
          </cell>
          <cell r="C70" t="e">
            <v>#DIV/0!</v>
          </cell>
          <cell r="D70" t="e">
            <v>#DIV/0!</v>
          </cell>
          <cell r="E70">
            <v>65.760422821373936</v>
          </cell>
          <cell r="F70">
            <v>71.308392028868582</v>
          </cell>
          <cell r="G70">
            <v>76.990694488550332</v>
          </cell>
          <cell r="H70">
            <v>77.858117876554459</v>
          </cell>
          <cell r="I70">
            <v>101.40531072440699</v>
          </cell>
          <cell r="J70">
            <v>105.76708415115161</v>
          </cell>
          <cell r="K70">
            <v>86.344926107199228</v>
          </cell>
          <cell r="L70">
            <v>69.162439218656644</v>
          </cell>
          <cell r="M70">
            <v>69.971982392155013</v>
          </cell>
          <cell r="N70">
            <v>82.645234045505063</v>
          </cell>
          <cell r="P70" t="str">
            <v>Tier 1 Ratio (%)</v>
          </cell>
          <cell r="Q70" t="e">
            <v>#DIV/0!</v>
          </cell>
          <cell r="R70" t="e">
            <v>#DIV/0!</v>
          </cell>
          <cell r="S70">
            <v>5.7077502037031973</v>
          </cell>
          <cell r="T70">
            <v>6.2119320704425416</v>
          </cell>
          <cell r="U70">
            <v>7.5772079497527098</v>
          </cell>
          <cell r="V70">
            <v>9.2980198827211868</v>
          </cell>
          <cell r="W70">
            <v>7.932598629672249</v>
          </cell>
          <cell r="X70">
            <v>7.827630364023241</v>
          </cell>
          <cell r="Y70">
            <v>9.4265824287043909</v>
          </cell>
          <cell r="Z70">
            <v>9.4371844064279333</v>
          </cell>
          <cell r="AA70">
            <v>9.3639344054147635</v>
          </cell>
          <cell r="AB70">
            <v>9.3113055457209093</v>
          </cell>
        </row>
        <row r="71">
          <cell r="B71" t="str">
            <v>Net Charge-offs (NCO)</v>
          </cell>
          <cell r="C71">
            <v>1255.2463950000001</v>
          </cell>
          <cell r="D71">
            <v>1785.11</v>
          </cell>
          <cell r="E71">
            <v>0</v>
          </cell>
          <cell r="F71">
            <v>518.6</v>
          </cell>
          <cell r="G71">
            <v>362.79999999999995</v>
          </cell>
          <cell r="H71">
            <v>241.79999999999998</v>
          </cell>
          <cell r="I71">
            <v>101</v>
          </cell>
          <cell r="J71">
            <v>155.20000000000002</v>
          </cell>
          <cell r="K71">
            <v>280.79999999999995</v>
          </cell>
          <cell r="L71">
            <v>850.1833707658252</v>
          </cell>
          <cell r="M71">
            <v>887.31673532359741</v>
          </cell>
          <cell r="N71">
            <v>940.95577388195045</v>
          </cell>
          <cell r="P71" t="str">
            <v>Tier 2 Ratio (%)</v>
          </cell>
          <cell r="Q71" t="e">
            <v>#DIV/0!</v>
          </cell>
          <cell r="R71" t="e">
            <v>#DIV/0!</v>
          </cell>
          <cell r="S71">
            <v>4.6314151605852496</v>
          </cell>
          <cell r="T71">
            <v>5.0509747591367109</v>
          </cell>
          <cell r="U71">
            <v>4.3502069253654341</v>
          </cell>
          <cell r="V71">
            <v>4.2285330041382272</v>
          </cell>
          <cell r="W71">
            <v>3.6511106009102186</v>
          </cell>
          <cell r="X71">
            <v>3.9915990220924158</v>
          </cell>
          <cell r="Y71">
            <v>4.0834464953488245</v>
          </cell>
          <cell r="Z71">
            <v>3.8642036961024111</v>
          </cell>
          <cell r="AA71">
            <v>3.7124508741334834</v>
          </cell>
          <cell r="AB71">
            <v>3.52898392388565</v>
          </cell>
        </row>
        <row r="72">
          <cell r="B72" t="str">
            <v>NCO/Avg Total Credit (%)</v>
          </cell>
          <cell r="C72" t="e">
            <v>#DIV/0!</v>
          </cell>
          <cell r="D72" t="e">
            <v>#DIV/0!</v>
          </cell>
          <cell r="E72">
            <v>0</v>
          </cell>
          <cell r="F72">
            <v>0.91417660337207063</v>
          </cell>
          <cell r="G72">
            <v>0.61891456476394158</v>
          </cell>
          <cell r="H72">
            <v>0.38679349750221864</v>
          </cell>
          <cell r="I72">
            <v>0.13607265002314481</v>
          </cell>
          <cell r="J72">
            <v>0.18009685961682195</v>
          </cell>
          <cell r="K72">
            <v>0.28983430566297252</v>
          </cell>
          <cell r="L72">
            <v>0.79645036177194206</v>
          </cell>
          <cell r="M72">
            <v>0.80470911527782285</v>
          </cell>
          <cell r="N72">
            <v>0.82082535934199907</v>
          </cell>
          <cell r="P72" t="str">
            <v>Total CAR (%)</v>
          </cell>
          <cell r="Q72" t="e">
            <v>#DIV/0!</v>
          </cell>
          <cell r="R72" t="e">
            <v>#DIV/0!</v>
          </cell>
          <cell r="S72">
            <v>10.339165364288448</v>
          </cell>
          <cell r="T72">
            <v>11.262906829579252</v>
          </cell>
          <cell r="U72">
            <v>11.927414875118144</v>
          </cell>
          <cell r="V72">
            <v>13.526552886859413</v>
          </cell>
          <cell r="W72">
            <v>11.583709230582468</v>
          </cell>
          <cell r="X72">
            <v>11.819229386115657</v>
          </cell>
          <cell r="Y72">
            <v>13.510028924053216</v>
          </cell>
          <cell r="Z72">
            <v>13.301388102530344</v>
          </cell>
          <cell r="AA72">
            <v>13.076385279548248</v>
          </cell>
          <cell r="AB72">
            <v>12.84028946960656</v>
          </cell>
        </row>
        <row r="73">
          <cell r="B73" t="str">
            <v>LLPE/Avg Loans (%)</v>
          </cell>
          <cell r="C73">
            <v>5.6482325622906453</v>
          </cell>
          <cell r="D73">
            <v>1.5639306043447803</v>
          </cell>
          <cell r="E73">
            <v>0.76082302079916075</v>
          </cell>
          <cell r="F73">
            <v>1.530003125795063</v>
          </cell>
          <cell r="G73">
            <v>0.60767473454807208</v>
          </cell>
          <cell r="H73">
            <v>0.33329836647307864</v>
          </cell>
          <cell r="I73">
            <v>0.42418019943257312</v>
          </cell>
          <cell r="J73">
            <v>0.45975768882400109</v>
          </cell>
          <cell r="K73">
            <v>1.2706432085335786</v>
          </cell>
          <cell r="L73">
            <v>1.0398889299737253</v>
          </cell>
          <cell r="M73">
            <v>0.90615752622089185</v>
          </cell>
          <cell r="N73">
            <v>0.84333508485824171</v>
          </cell>
        </row>
        <row r="152">
          <cell r="P152">
            <v>3810988.7930000001</v>
          </cell>
          <cell r="Q152">
            <v>0</v>
          </cell>
        </row>
        <row r="167">
          <cell r="C167">
            <v>2891795.6310000001</v>
          </cell>
          <cell r="D167">
            <v>3078048.412</v>
          </cell>
          <cell r="E167">
            <v>4094917.1359999999</v>
          </cell>
          <cell r="F167">
            <v>4859382.1409999998</v>
          </cell>
        </row>
        <row r="171">
          <cell r="A171" t="str">
            <v>Contra Account of Guarantee Issued</v>
          </cell>
        </row>
        <row r="188">
          <cell r="P188">
            <v>2791587</v>
          </cell>
          <cell r="Q188">
            <v>0</v>
          </cell>
        </row>
        <row r="192">
          <cell r="P192">
            <v>2348914.6860000002</v>
          </cell>
        </row>
        <row r="203">
          <cell r="C203">
            <v>331599</v>
          </cell>
          <cell r="D203">
            <v>316714</v>
          </cell>
          <cell r="E203">
            <v>620630</v>
          </cell>
          <cell r="F203">
            <v>1055526</v>
          </cell>
        </row>
        <row r="207">
          <cell r="A207" t="str">
            <v xml:space="preserve">    Guarantee Payment</v>
          </cell>
        </row>
      </sheetData>
      <sheetData sheetId="9" refreshError="1">
        <row r="1">
          <cell r="A1" t="str">
            <v>Summary of 2Q06 results</v>
          </cell>
        </row>
        <row r="3">
          <cell r="A3" t="str">
            <v>(Won billions)</v>
          </cell>
          <cell r="B3" t="str">
            <v>2Q06A</v>
          </cell>
          <cell r="C3" t="str">
            <v>2Q05</v>
          </cell>
          <cell r="D3" t="str">
            <v>Change (y-y)</v>
          </cell>
          <cell r="E3" t="str">
            <v>1Q06</v>
          </cell>
          <cell r="F3" t="str">
            <v>Change (q-q)</v>
          </cell>
          <cell r="G3" t="str">
            <v>2Q06E</v>
          </cell>
          <cell r="H3" t="str">
            <v>Difference</v>
          </cell>
          <cell r="V3" t="str">
            <v>1Q05</v>
          </cell>
          <cell r="W3" t="str">
            <v>2Q05</v>
          </cell>
          <cell r="X3" t="str">
            <v>3Q05</v>
          </cell>
          <cell r="Y3" t="str">
            <v>4Q05</v>
          </cell>
        </row>
        <row r="4">
          <cell r="A4" t="str">
            <v>Income statement</v>
          </cell>
        </row>
        <row r="5">
          <cell r="A5" t="str">
            <v>Net operating revenue</v>
          </cell>
          <cell r="B5">
            <v>696.29200000000003</v>
          </cell>
          <cell r="C5">
            <v>522.69100000000026</v>
          </cell>
          <cell r="D5">
            <v>0.33212930775544192</v>
          </cell>
          <cell r="E5">
            <v>769.59800000000007</v>
          </cell>
          <cell r="F5">
            <v>-9.525232653931015E-2</v>
          </cell>
          <cell r="G5">
            <v>700.58100000000002</v>
          </cell>
          <cell r="H5">
            <v>-6.1220615460596539E-3</v>
          </cell>
          <cell r="K5" t="str">
            <v>Provisioning expenses</v>
          </cell>
          <cell r="V5">
            <v>505.05099999999993</v>
          </cell>
          <cell r="W5">
            <v>522.69100000000026</v>
          </cell>
          <cell r="X5">
            <v>573.55799999999988</v>
          </cell>
          <cell r="Y5">
            <v>579.17199999999991</v>
          </cell>
        </row>
        <row r="6">
          <cell r="A6" t="str">
            <v xml:space="preserve">   Net interest income</v>
          </cell>
          <cell r="B6">
            <v>591.87300000000005</v>
          </cell>
          <cell r="C6">
            <v>491.70000000000005</v>
          </cell>
          <cell r="D6">
            <v>0.20372788285539967</v>
          </cell>
          <cell r="E6">
            <v>581.80199999999991</v>
          </cell>
          <cell r="F6">
            <v>1.7310012684728093E-2</v>
          </cell>
          <cell r="G6">
            <v>591.87300000000005</v>
          </cell>
          <cell r="H6">
            <v>0</v>
          </cell>
          <cell r="V6">
            <v>450.30029676699996</v>
          </cell>
          <cell r="W6">
            <v>491.70000000000005</v>
          </cell>
          <cell r="X6">
            <v>510.80000000000007</v>
          </cell>
          <cell r="Y6">
            <v>543.35845403600013</v>
          </cell>
        </row>
        <row r="7">
          <cell r="A7" t="str">
            <v xml:space="preserve">   Non-interest income</v>
          </cell>
          <cell r="B7">
            <v>104.419</v>
          </cell>
          <cell r="C7">
            <v>30.991000000000167</v>
          </cell>
          <cell r="D7">
            <v>2.3693330321706121</v>
          </cell>
          <cell r="E7">
            <v>187.79600000000019</v>
          </cell>
          <cell r="F7">
            <v>-0.44397644252273805</v>
          </cell>
          <cell r="G7">
            <v>108.70800000000001</v>
          </cell>
          <cell r="H7">
            <v>-3.9454317989476517E-2</v>
          </cell>
          <cell r="K7" t="str">
            <v>Actual</v>
          </cell>
          <cell r="L7" t="str">
            <v>Expected</v>
          </cell>
          <cell r="V7">
            <v>54.750703232999982</v>
          </cell>
          <cell r="W7">
            <v>30.991000000000167</v>
          </cell>
          <cell r="X7">
            <v>62.757999999999853</v>
          </cell>
          <cell r="Y7">
            <v>35.8135459639998</v>
          </cell>
        </row>
        <row r="8">
          <cell r="A8" t="str">
            <v>Loan loss prov. Expenses</v>
          </cell>
          <cell r="B8">
            <v>59.65</v>
          </cell>
          <cell r="C8">
            <v>23.966999999999999</v>
          </cell>
          <cell r="D8">
            <v>1.4888388200442275</v>
          </cell>
          <cell r="E8">
            <v>43.924999999999997</v>
          </cell>
          <cell r="F8">
            <v>0.35799658508821852</v>
          </cell>
          <cell r="G8">
            <v>63.939000000000007</v>
          </cell>
          <cell r="H8">
            <v>-6.7079560205821287E-2</v>
          </cell>
          <cell r="J8" t="str">
            <v>Corp</v>
          </cell>
          <cell r="K8">
            <v>35.9</v>
          </cell>
          <cell r="L8">
            <v>36</v>
          </cell>
          <cell r="V8">
            <v>62.860999999999997</v>
          </cell>
          <cell r="W8">
            <v>23.966999999999999</v>
          </cell>
          <cell r="X8">
            <v>29.13</v>
          </cell>
          <cell r="Y8">
            <v>95.847999999999999</v>
          </cell>
        </row>
        <row r="9">
          <cell r="A9" t="str">
            <v>SG&amp;A expenses</v>
          </cell>
          <cell r="B9">
            <v>324.84399999999999</v>
          </cell>
          <cell r="C9">
            <v>245.69799999999995</v>
          </cell>
          <cell r="D9">
            <v>0.32212716424228138</v>
          </cell>
          <cell r="E9">
            <v>340.69400000000002</v>
          </cell>
          <cell r="F9">
            <v>-4.6522686046716499E-2</v>
          </cell>
          <cell r="G9">
            <v>324.84399999999999</v>
          </cell>
          <cell r="H9">
            <v>0</v>
          </cell>
          <cell r="J9" t="str">
            <v>Retail</v>
          </cell>
          <cell r="K9">
            <v>22.8</v>
          </cell>
          <cell r="L9">
            <v>22.8</v>
          </cell>
          <cell r="V9">
            <v>250.036</v>
          </cell>
          <cell r="W9">
            <v>245.69799999999995</v>
          </cell>
          <cell r="X9">
            <v>238.11399999999998</v>
          </cell>
          <cell r="Y9">
            <v>307.02600000000007</v>
          </cell>
        </row>
        <row r="10">
          <cell r="A10" t="str">
            <v>Operating profits</v>
          </cell>
          <cell r="B10">
            <v>311.79800000000006</v>
          </cell>
          <cell r="C10">
            <v>253.02600000000032</v>
          </cell>
          <cell r="D10">
            <v>0.23227652494209949</v>
          </cell>
          <cell r="E10">
            <v>384.9790000000001</v>
          </cell>
          <cell r="F10">
            <v>-0.19009088807441454</v>
          </cell>
          <cell r="G10">
            <v>311.79800000000006</v>
          </cell>
          <cell r="H10">
            <v>0</v>
          </cell>
          <cell r="J10" t="str">
            <v>C/C</v>
          </cell>
          <cell r="K10">
            <v>2.6</v>
          </cell>
          <cell r="L10">
            <v>2.6</v>
          </cell>
          <cell r="V10">
            <v>192.15399999999994</v>
          </cell>
          <cell r="W10">
            <v>253.02600000000032</v>
          </cell>
          <cell r="X10">
            <v>306.31399999999991</v>
          </cell>
          <cell r="Y10">
            <v>176.29799999999983</v>
          </cell>
        </row>
        <row r="11">
          <cell r="A11" t="str">
            <v>Non-operating income</v>
          </cell>
          <cell r="B11">
            <v>34.134999999999934</v>
          </cell>
          <cell r="C11">
            <v>45.23599999999999</v>
          </cell>
          <cell r="D11">
            <v>-0.24540189229817089</v>
          </cell>
          <cell r="E11">
            <v>30.067999999999998</v>
          </cell>
          <cell r="F11">
            <v>0.13526007715843869</v>
          </cell>
          <cell r="G11">
            <v>34.134999999999998</v>
          </cell>
          <cell r="H11">
            <v>-1.8873791418627661E-15</v>
          </cell>
          <cell r="V11">
            <v>72.852000000000004</v>
          </cell>
          <cell r="W11">
            <v>45.23599999999999</v>
          </cell>
          <cell r="X11">
            <v>16.148000000000003</v>
          </cell>
          <cell r="Y11">
            <v>106.03999999999996</v>
          </cell>
        </row>
        <row r="12">
          <cell r="A12" t="str">
            <v>Pretax profits</v>
          </cell>
          <cell r="B12">
            <v>345.93299999999999</v>
          </cell>
          <cell r="C12">
            <v>298.26200000000028</v>
          </cell>
          <cell r="D12">
            <v>0.15982927761498167</v>
          </cell>
          <cell r="E12">
            <v>415.04700000000008</v>
          </cell>
          <cell r="F12">
            <v>-0.16652090004264597</v>
          </cell>
          <cell r="G12">
            <v>345.93300000000005</v>
          </cell>
          <cell r="H12">
            <v>0</v>
          </cell>
          <cell r="V12">
            <v>265.00599999999997</v>
          </cell>
          <cell r="W12">
            <v>298.26200000000028</v>
          </cell>
          <cell r="X12">
            <v>322.46199999999993</v>
          </cell>
          <cell r="Y12">
            <v>282.33799999999979</v>
          </cell>
        </row>
        <row r="13">
          <cell r="A13" t="str">
            <v>Net profits</v>
          </cell>
          <cell r="B13">
            <v>244.09899999999999</v>
          </cell>
          <cell r="C13">
            <v>261.39100000000025</v>
          </cell>
          <cell r="D13">
            <v>-6.6153769640118654E-2</v>
          </cell>
          <cell r="E13">
            <v>288.28800000000012</v>
          </cell>
          <cell r="F13">
            <v>-0.15328074703074746</v>
          </cell>
          <cell r="G13">
            <v>244.09899999999999</v>
          </cell>
          <cell r="H13">
            <v>0</v>
          </cell>
          <cell r="V13">
            <v>204.90199999999999</v>
          </cell>
          <cell r="W13">
            <v>261.39100000000025</v>
          </cell>
          <cell r="X13">
            <v>235.19699999999995</v>
          </cell>
          <cell r="Y13">
            <v>205.26199999999977</v>
          </cell>
        </row>
        <row r="14">
          <cell r="A14" t="str">
            <v xml:space="preserve">   Net interest margin *</v>
          </cell>
          <cell r="B14">
            <v>2.46E-2</v>
          </cell>
          <cell r="C14">
            <v>2.4447579188013619E-2</v>
          </cell>
          <cell r="D14">
            <v>1.5242081198638124</v>
          </cell>
          <cell r="E14">
            <v>2.6724603208946176E-2</v>
          </cell>
          <cell r="F14">
            <v>-21.246032089461757</v>
          </cell>
          <cell r="G14">
            <v>2.4622077189826692E-2</v>
          </cell>
          <cell r="H14">
            <v>-0.22077189826691379</v>
          </cell>
          <cell r="V14">
            <v>2.2953968171109906E-2</v>
          </cell>
          <cell r="W14">
            <v>2.4447579188013619E-2</v>
          </cell>
          <cell r="X14">
            <v>2.4129847724601534E-2</v>
          </cell>
          <cell r="Y14">
            <v>2.5017312347218826E-2</v>
          </cell>
        </row>
        <row r="15">
          <cell r="A15" t="str">
            <v xml:space="preserve">   Cost / income</v>
          </cell>
          <cell r="B15">
            <v>0.46653415521074487</v>
          </cell>
          <cell r="C15">
            <v>0.47006357484632377</v>
          </cell>
          <cell r="E15">
            <v>0.44269085938373021</v>
          </cell>
          <cell r="G15">
            <v>0.46367800439920576</v>
          </cell>
        </row>
        <row r="16">
          <cell r="A16" t="str">
            <v xml:space="preserve">   LLPE / Avg. total credit (annualized)</v>
          </cell>
          <cell r="B16">
            <v>3.2501023574513922E-3</v>
          </cell>
          <cell r="C16">
            <v>1.5305366756734784E-3</v>
          </cell>
          <cell r="D16">
            <v>17.195656817779138</v>
          </cell>
          <cell r="E16">
            <v>2.6354667997069902E-3</v>
          </cell>
          <cell r="F16">
            <v>6.1463555774440195</v>
          </cell>
          <cell r="G16">
            <v>3.4837940542824112E-3</v>
          </cell>
          <cell r="H16">
            <v>-2.3369169683101894</v>
          </cell>
        </row>
        <row r="17">
          <cell r="A17" t="str">
            <v>Balance sheet</v>
          </cell>
        </row>
        <row r="18">
          <cell r="A18" t="str">
            <v>Total assets</v>
          </cell>
          <cell r="B18">
            <v>110710.629</v>
          </cell>
          <cell r="C18">
            <v>88273.888000000006</v>
          </cell>
          <cell r="D18">
            <v>0.2541718905595276</v>
          </cell>
          <cell r="E18">
            <v>97381.525999999998</v>
          </cell>
          <cell r="F18">
            <v>0.13687506806989247</v>
          </cell>
          <cell r="G18">
            <v>110710.62899999999</v>
          </cell>
          <cell r="H18">
            <v>0</v>
          </cell>
          <cell r="V18">
            <v>86033.645000000004</v>
          </cell>
          <cell r="W18">
            <v>88273.888000000006</v>
          </cell>
          <cell r="X18">
            <v>92580.868000000002</v>
          </cell>
          <cell r="Y18">
            <v>95915.497224970997</v>
          </cell>
        </row>
        <row r="19">
          <cell r="A19" t="str">
            <v xml:space="preserve">   Net loans</v>
          </cell>
          <cell r="B19">
            <v>80782.680999999997</v>
          </cell>
          <cell r="C19">
            <v>63077.800999999999</v>
          </cell>
          <cell r="D19">
            <v>0.28068321532007756</v>
          </cell>
          <cell r="E19">
            <v>67832.312999999995</v>
          </cell>
          <cell r="F19">
            <v>0.19091738770576794</v>
          </cell>
          <cell r="G19">
            <v>80782.680999999997</v>
          </cell>
          <cell r="H19">
            <v>0</v>
          </cell>
          <cell r="V19">
            <v>59929.012999999999</v>
          </cell>
          <cell r="W19">
            <v>63077.800999999999</v>
          </cell>
          <cell r="X19">
            <v>66676.78</v>
          </cell>
          <cell r="Y19">
            <v>66446.510872058003</v>
          </cell>
        </row>
        <row r="20">
          <cell r="A20" t="str">
            <v>Total liabilities</v>
          </cell>
          <cell r="B20">
            <v>103317.999</v>
          </cell>
          <cell r="C20">
            <v>82868.596000000005</v>
          </cell>
          <cell r="D20">
            <v>0.24676902936789213</v>
          </cell>
          <cell r="E20">
            <v>90348.698999999993</v>
          </cell>
          <cell r="F20">
            <v>0.14354716939532253</v>
          </cell>
          <cell r="G20">
            <v>103317.999</v>
          </cell>
          <cell r="H20">
            <v>0</v>
          </cell>
        </row>
        <row r="21">
          <cell r="A21" t="str">
            <v xml:space="preserve">   Deposits</v>
          </cell>
          <cell r="B21">
            <v>71485.498000000007</v>
          </cell>
          <cell r="C21">
            <v>59354.055</v>
          </cell>
          <cell r="D21">
            <v>0.20439114058845687</v>
          </cell>
          <cell r="E21">
            <v>62083.572</v>
          </cell>
          <cell r="F21">
            <v>0.15143983661249405</v>
          </cell>
          <cell r="G21">
            <v>71485.498000000007</v>
          </cell>
          <cell r="H21">
            <v>0</v>
          </cell>
          <cell r="V21">
            <v>57649.256000000001</v>
          </cell>
          <cell r="W21">
            <v>59354.055</v>
          </cell>
          <cell r="X21">
            <v>63542.572999999997</v>
          </cell>
          <cell r="Y21">
            <v>63223.361314558999</v>
          </cell>
        </row>
        <row r="22">
          <cell r="A22" t="str">
            <v>Shareholders' equity</v>
          </cell>
          <cell r="B22">
            <v>7392.63</v>
          </cell>
          <cell r="C22">
            <v>5405.2920000000004</v>
          </cell>
          <cell r="D22">
            <v>0.36766524361681108</v>
          </cell>
          <cell r="E22">
            <v>7032.8269999999993</v>
          </cell>
          <cell r="F22">
            <v>5.1160507716171644E-2</v>
          </cell>
          <cell r="G22">
            <v>7392.63</v>
          </cell>
          <cell r="H22">
            <v>0</v>
          </cell>
        </row>
        <row r="23">
          <cell r="A23" t="str">
            <v xml:space="preserve">   Tier 1 ratio</v>
          </cell>
          <cell r="B23" t="str">
            <v>NA</v>
          </cell>
          <cell r="C23">
            <v>8.3606358453860011E-2</v>
          </cell>
          <cell r="D23" t="str">
            <v>NA</v>
          </cell>
          <cell r="E23">
            <v>9.3579741492587729E-2</v>
          </cell>
          <cell r="F23" t="str">
            <v>NA</v>
          </cell>
          <cell r="G23">
            <v>8.4619620457365624E-2</v>
          </cell>
          <cell r="H23" t="str">
            <v>NA</v>
          </cell>
          <cell r="V23">
            <v>7.9892089447319251E-2</v>
          </cell>
          <cell r="W23">
            <v>8.3606358453860011E-2</v>
          </cell>
          <cell r="X23">
            <v>8.7889852683509823E-2</v>
          </cell>
          <cell r="Y23">
            <v>9.2980198827211868E-2</v>
          </cell>
        </row>
        <row r="24">
          <cell r="A24" t="str">
            <v xml:space="preserve">   BIS ratio</v>
          </cell>
          <cell r="B24" t="str">
            <v>NA</v>
          </cell>
          <cell r="C24">
            <v>0.11712397502112852</v>
          </cell>
          <cell r="D24" t="str">
            <v>NA</v>
          </cell>
          <cell r="E24">
            <v>0.1319079489647719</v>
          </cell>
          <cell r="F24" t="str">
            <v>NA</v>
          </cell>
          <cell r="G24">
            <v>0.11669748249537576</v>
          </cell>
          <cell r="H24" t="str">
            <v>NA</v>
          </cell>
          <cell r="V24">
            <v>0.11827261065988857</v>
          </cell>
          <cell r="W24">
            <v>0.11712397502112852</v>
          </cell>
          <cell r="X24">
            <v>0.13044302643290387</v>
          </cell>
          <cell r="Y24">
            <v>0.13464044330804373</v>
          </cell>
        </row>
        <row r="25">
          <cell r="A25" t="str">
            <v>Asset quality</v>
          </cell>
        </row>
        <row r="26">
          <cell r="A26" t="str">
            <v>Precautionary &amp; below</v>
          </cell>
          <cell r="B26">
            <v>1566.4</v>
          </cell>
          <cell r="C26">
            <v>1908.8370000000002</v>
          </cell>
          <cell r="D26">
            <v>-0.17939562152242439</v>
          </cell>
          <cell r="E26">
            <v>1649.21</v>
          </cell>
          <cell r="F26">
            <v>-5.0211919646376058E-2</v>
          </cell>
          <cell r="G26">
            <v>1566.3759179810002</v>
          </cell>
          <cell r="H26">
            <v>1.5374354727759609E-5</v>
          </cell>
          <cell r="V26">
            <v>2221.1600000000003</v>
          </cell>
          <cell r="W26">
            <v>1908.8370000000002</v>
          </cell>
          <cell r="X26">
            <v>1874.9870000000001</v>
          </cell>
          <cell r="Y26">
            <v>1695.2289999999998</v>
          </cell>
        </row>
        <row r="27">
          <cell r="A27" t="str">
            <v xml:space="preserve">   % of total credit</v>
          </cell>
          <cell r="B27">
            <v>1.9968181447336218E-2</v>
          </cell>
          <cell r="C27">
            <v>2.9904687705499693E-2</v>
          </cell>
          <cell r="D27">
            <v>-99.365062581634746</v>
          </cell>
          <cell r="E27">
            <v>2.4117835061594643E-2</v>
          </cell>
          <cell r="F27">
            <v>-41.496536142584247</v>
          </cell>
          <cell r="G27">
            <v>1.9967878177901553E-2</v>
          </cell>
          <cell r="H27">
            <v>3.0326943466565948E-3</v>
          </cell>
          <cell r="V27">
            <v>3.6149921691661924E-2</v>
          </cell>
          <cell r="W27">
            <v>2.9904687705499693E-2</v>
          </cell>
          <cell r="X27">
            <v>2.9374997091855124E-2</v>
          </cell>
          <cell r="Y27">
            <v>2.6099049556369932E-2</v>
          </cell>
        </row>
        <row r="28">
          <cell r="A28" t="str">
            <v xml:space="preserve">   Coverage ratio</v>
          </cell>
          <cell r="B28">
            <v>0.54973186925434114</v>
          </cell>
          <cell r="C28">
            <v>0.46288394451700166</v>
          </cell>
          <cell r="D28">
            <v>868.47924737339486</v>
          </cell>
          <cell r="E28">
            <v>0.50597013115370382</v>
          </cell>
          <cell r="F28">
            <v>437.61738100637325</v>
          </cell>
          <cell r="G28">
            <v>0.549738405778047</v>
          </cell>
          <cell r="H28">
            <v>-6.5365237058578884E-2</v>
          </cell>
          <cell r="V28">
            <v>0.4323758756685695</v>
          </cell>
          <cell r="W28">
            <v>0.46288394451700166</v>
          </cell>
          <cell r="X28">
            <v>0.46133546525922575</v>
          </cell>
          <cell r="Y28">
            <v>0.47852473028717657</v>
          </cell>
        </row>
        <row r="29">
          <cell r="A29" t="str">
            <v>Substandard &amp; below</v>
          </cell>
          <cell r="B29">
            <v>581.70000000000005</v>
          </cell>
          <cell r="C29">
            <v>698.13900000000001</v>
          </cell>
          <cell r="D29">
            <v>-0.16678483797639143</v>
          </cell>
          <cell r="E29">
            <v>627.81100000000004</v>
          </cell>
          <cell r="F29">
            <v>-7.3447263587289813E-2</v>
          </cell>
          <cell r="G29">
            <v>581.64281241800006</v>
          </cell>
          <cell r="H29">
            <v>9.832079203775379E-5</v>
          </cell>
          <cell r="V29">
            <v>849.53700000000003</v>
          </cell>
          <cell r="W29">
            <v>698.13900000000001</v>
          </cell>
          <cell r="X29">
            <v>684.29499999999985</v>
          </cell>
          <cell r="Y29">
            <v>635.66500000000008</v>
          </cell>
        </row>
        <row r="30">
          <cell r="A30" t="str">
            <v xml:space="preserve">   % of total credit</v>
          </cell>
          <cell r="B30">
            <v>7.4154054825813828E-3</v>
          </cell>
          <cell r="C30">
            <v>1.0937355452576542E-2</v>
          </cell>
          <cell r="D30">
            <v>-35.219499699951591</v>
          </cell>
          <cell r="E30">
            <v>9.1810273693797607E-3</v>
          </cell>
          <cell r="F30">
            <v>-17.656218867983778</v>
          </cell>
          <cell r="G30">
            <v>7.4146778484598412E-3</v>
          </cell>
          <cell r="H30">
            <v>7.2763412154158019E-3</v>
          </cell>
          <cell r="V30">
            <v>1.3826422240707285E-2</v>
          </cell>
          <cell r="W30">
            <v>1.0937355452576542E-2</v>
          </cell>
          <cell r="X30">
            <v>1.0720694935469418E-2</v>
          </cell>
          <cell r="Y30">
            <v>9.7864373109768036E-3</v>
          </cell>
        </row>
        <row r="31">
          <cell r="A31" t="str">
            <v xml:space="preserve">   Coverage ratio</v>
          </cell>
          <cell r="B31">
            <v>1.4803163142513323</v>
          </cell>
          <cell r="C31">
            <v>1.2656075652556296</v>
          </cell>
          <cell r="D31">
            <v>2147.0874899570267</v>
          </cell>
          <cell r="E31">
            <v>1.3291436435487749</v>
          </cell>
          <cell r="F31">
            <v>1511.7267070255734</v>
          </cell>
          <cell r="G31">
            <v>1.4804567023191699</v>
          </cell>
          <cell r="H31">
            <v>-1.4038806783767122</v>
          </cell>
          <cell r="V31">
            <v>1.1304698912466438</v>
          </cell>
          <cell r="W31">
            <v>1.2656075652556296</v>
          </cell>
          <cell r="X31">
            <v>1.2640717819069263</v>
          </cell>
          <cell r="Y31">
            <v>1.2761580392187706</v>
          </cell>
        </row>
        <row r="33">
          <cell r="B33">
            <v>861.1</v>
          </cell>
        </row>
        <row r="34">
          <cell r="B34">
            <v>78444.800000000003</v>
          </cell>
        </row>
        <row r="37">
          <cell r="A37" t="str">
            <v>In line bottom line, however…</v>
          </cell>
        </row>
        <row r="39">
          <cell r="A39" t="str">
            <v>XXX</v>
          </cell>
        </row>
        <row r="40">
          <cell r="A40" t="str">
            <v>XXX</v>
          </cell>
        </row>
        <row r="41">
          <cell r="A41" t="str">
            <v>XXX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ipeline-handout"/>
      <sheetName val="summary"/>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WYE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777.7528584280044</v>
          </cell>
          <cell r="E12">
            <v>801.12416082795426</v>
          </cell>
          <cell r="F12">
            <v>480.32922347793647</v>
          </cell>
          <cell r="G12">
            <v>302.52535042870295</v>
          </cell>
          <cell r="H12">
            <v>-140.85209419635794</v>
          </cell>
          <cell r="BA12" t="str">
            <v>.</v>
          </cell>
        </row>
        <row r="13">
          <cell r="C13" t="str">
            <v>Pipeline products launching 2010–2015</v>
          </cell>
          <cell r="D13">
            <v>336.15000000000003</v>
          </cell>
          <cell r="E13">
            <v>486.05249999999995</v>
          </cell>
          <cell r="F13">
            <v>643.90925000000004</v>
          </cell>
          <cell r="G13">
            <v>903.77877650000028</v>
          </cell>
          <cell r="H13">
            <v>877.75910161390948</v>
          </cell>
          <cell r="BA13" t="str">
            <v>.</v>
          </cell>
        </row>
        <row r="14">
          <cell r="C14" t="str">
            <v>Products expiring 2010–15</v>
          </cell>
          <cell r="D14">
            <v>-1897.5856368349996</v>
          </cell>
          <cell r="E14">
            <v>-405.26704991404949</v>
          </cell>
          <cell r="F14">
            <v>-247.4564255044188</v>
          </cell>
          <cell r="G14">
            <v>-486.45018457921105</v>
          </cell>
          <cell r="H14">
            <v>-467.41580692871912</v>
          </cell>
          <cell r="BA14" t="str">
            <v>.</v>
          </cell>
        </row>
        <row r="15">
          <cell r="C15" t="str">
            <v>Net YOY change</v>
          </cell>
          <cell r="D15">
            <v>-783.68277840699375</v>
          </cell>
          <cell r="E15">
            <v>881.90961091390272</v>
          </cell>
          <cell r="F15">
            <v>876.78204797351646</v>
          </cell>
          <cell r="G15">
            <v>719.85394234949126</v>
          </cell>
          <cell r="H15">
            <v>269.4912004888356</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PE FY1"/>
      <sheetName val="EVEBITDA FY1"/>
      <sheetName val="Results"/>
    </sheetNames>
    <sheetDataSet>
      <sheetData sheetId="0"/>
      <sheetData sheetId="1">
        <row r="1">
          <cell r="B1" t="str">
            <v>DROG3-BR</v>
          </cell>
          <cell r="C1" t="str">
            <v>IBOVESPA-BSP</v>
          </cell>
          <cell r="D1" t="str">
            <v>USDBRL</v>
          </cell>
          <cell r="F1" t="str">
            <v>DROG (base 100)</v>
          </cell>
          <cell r="G1" t="str">
            <v>Ibovespa (base 100)</v>
          </cell>
        </row>
        <row r="2">
          <cell r="A2">
            <v>40181</v>
          </cell>
          <cell r="B2">
            <v>28</v>
          </cell>
          <cell r="C2">
            <v>68588.41</v>
          </cell>
          <cell r="D2">
            <v>1.7432000000000001</v>
          </cell>
          <cell r="F2">
            <v>100</v>
          </cell>
          <cell r="G2">
            <v>100</v>
          </cell>
        </row>
        <row r="3">
          <cell r="A3">
            <v>40182</v>
          </cell>
          <cell r="B3">
            <v>28.4</v>
          </cell>
          <cell r="C3">
            <v>70045.08</v>
          </cell>
          <cell r="D3">
            <v>1.7235</v>
          </cell>
          <cell r="F3">
            <v>101.42857142857142</v>
          </cell>
          <cell r="G3">
            <v>102.1237844702917</v>
          </cell>
        </row>
        <row r="4">
          <cell r="A4">
            <v>40183</v>
          </cell>
          <cell r="B4">
            <v>27.71</v>
          </cell>
          <cell r="C4">
            <v>70239.820000000007</v>
          </cell>
          <cell r="D4">
            <v>1.7233000000000001</v>
          </cell>
          <cell r="F4">
            <v>98.964285714285722</v>
          </cell>
          <cell r="G4">
            <v>102.40770999065293</v>
          </cell>
        </row>
        <row r="5">
          <cell r="A5">
            <v>40184</v>
          </cell>
          <cell r="B5">
            <v>27.99</v>
          </cell>
          <cell r="C5">
            <v>70729.34</v>
          </cell>
          <cell r="D5">
            <v>1.7302500000000001</v>
          </cell>
          <cell r="F5">
            <v>99.964285714285708</v>
          </cell>
          <cell r="G5">
            <v>103.1214165775238</v>
          </cell>
        </row>
        <row r="6">
          <cell r="A6">
            <v>40185</v>
          </cell>
          <cell r="B6">
            <v>27.8</v>
          </cell>
          <cell r="C6">
            <v>70451.12</v>
          </cell>
          <cell r="D6">
            <v>1.7359</v>
          </cell>
          <cell r="F6">
            <v>99.285714285714292</v>
          </cell>
          <cell r="G6">
            <v>102.715779531848</v>
          </cell>
        </row>
        <row r="7">
          <cell r="A7">
            <v>40186</v>
          </cell>
          <cell r="B7">
            <v>28.29</v>
          </cell>
          <cell r="C7">
            <v>70262.7</v>
          </cell>
          <cell r="D7">
            <v>1.7364999999999999</v>
          </cell>
          <cell r="F7">
            <v>101.03571428571428</v>
          </cell>
          <cell r="G7">
            <v>102.44106839624945</v>
          </cell>
        </row>
        <row r="8">
          <cell r="A8">
            <v>40187</v>
          </cell>
          <cell r="B8">
            <v>28.29</v>
          </cell>
          <cell r="C8">
            <v>70262.7</v>
          </cell>
          <cell r="D8">
            <v>1.7364999999999999</v>
          </cell>
          <cell r="F8">
            <v>101.03571428571428</v>
          </cell>
          <cell r="G8">
            <v>102.44106839624945</v>
          </cell>
        </row>
        <row r="9">
          <cell r="A9">
            <v>40188</v>
          </cell>
          <cell r="B9">
            <v>28.29</v>
          </cell>
          <cell r="C9">
            <v>70262.7</v>
          </cell>
          <cell r="D9">
            <v>1.7364999999999999</v>
          </cell>
          <cell r="F9">
            <v>101.03571428571428</v>
          </cell>
          <cell r="G9">
            <v>102.44106839624945</v>
          </cell>
        </row>
        <row r="10">
          <cell r="A10">
            <v>40189</v>
          </cell>
          <cell r="B10">
            <v>29.05</v>
          </cell>
          <cell r="C10">
            <v>70433.490000000005</v>
          </cell>
          <cell r="D10">
            <v>1.73075</v>
          </cell>
          <cell r="F10">
            <v>103.75000000000001</v>
          </cell>
          <cell r="G10">
            <v>102.69007548068252</v>
          </cell>
        </row>
        <row r="11">
          <cell r="A11">
            <v>40190</v>
          </cell>
          <cell r="B11">
            <v>29.19</v>
          </cell>
          <cell r="C11">
            <v>70075.78</v>
          </cell>
          <cell r="D11">
            <v>1.7364999999999999</v>
          </cell>
          <cell r="F11">
            <v>104.25</v>
          </cell>
          <cell r="G11">
            <v>102.16854421905974</v>
          </cell>
        </row>
        <row r="12">
          <cell r="A12">
            <v>40191</v>
          </cell>
          <cell r="B12">
            <v>29.9</v>
          </cell>
          <cell r="C12">
            <v>70385.47</v>
          </cell>
          <cell r="D12">
            <v>1.7474499999999999</v>
          </cell>
          <cell r="F12">
            <v>106.78571428571428</v>
          </cell>
          <cell r="G12">
            <v>102.62006365215348</v>
          </cell>
        </row>
        <row r="13">
          <cell r="A13">
            <v>40192</v>
          </cell>
          <cell r="B13">
            <v>29.9</v>
          </cell>
          <cell r="C13">
            <v>69801.42</v>
          </cell>
          <cell r="D13">
            <v>1.7695000000000001</v>
          </cell>
          <cell r="F13">
            <v>106.78571428571428</v>
          </cell>
          <cell r="G13">
            <v>101.7685349463561</v>
          </cell>
        </row>
        <row r="14">
          <cell r="A14">
            <v>40193</v>
          </cell>
          <cell r="B14">
            <v>29.79</v>
          </cell>
          <cell r="C14">
            <v>68978.3</v>
          </cell>
          <cell r="D14">
            <v>1.7683500000000001</v>
          </cell>
          <cell r="F14">
            <v>106.39285714285714</v>
          </cell>
          <cell r="G14">
            <v>100.56844880935422</v>
          </cell>
        </row>
        <row r="15">
          <cell r="A15">
            <v>40194</v>
          </cell>
          <cell r="B15">
            <v>29.79</v>
          </cell>
          <cell r="C15">
            <v>68978.3</v>
          </cell>
          <cell r="D15">
            <v>1.7683500000000001</v>
          </cell>
          <cell r="F15">
            <v>106.39285714285714</v>
          </cell>
          <cell r="G15">
            <v>100.56844880935422</v>
          </cell>
        </row>
        <row r="16">
          <cell r="A16">
            <v>40195</v>
          </cell>
          <cell r="B16">
            <v>29.79</v>
          </cell>
          <cell r="C16">
            <v>68978.3</v>
          </cell>
          <cell r="D16">
            <v>1.7683500000000001</v>
          </cell>
          <cell r="F16">
            <v>106.39285714285714</v>
          </cell>
          <cell r="G16">
            <v>100.56844880935422</v>
          </cell>
        </row>
        <row r="17">
          <cell r="A17">
            <v>40196</v>
          </cell>
          <cell r="B17">
            <v>29.79</v>
          </cell>
          <cell r="C17">
            <v>68978.3</v>
          </cell>
          <cell r="D17">
            <v>1.7683500000000001</v>
          </cell>
          <cell r="F17">
            <v>106.39285714285714</v>
          </cell>
          <cell r="G17">
            <v>100.56844880935422</v>
          </cell>
        </row>
        <row r="18">
          <cell r="A18">
            <v>40197</v>
          </cell>
          <cell r="B18">
            <v>28.99</v>
          </cell>
          <cell r="C18">
            <v>69908.59</v>
          </cell>
          <cell r="D18">
            <v>1.772</v>
          </cell>
          <cell r="F18">
            <v>103.53571428571429</v>
          </cell>
          <cell r="G18">
            <v>101.92478583480793</v>
          </cell>
        </row>
        <row r="19">
          <cell r="A19">
            <v>40198</v>
          </cell>
          <cell r="B19">
            <v>28.69</v>
          </cell>
          <cell r="C19">
            <v>68200.070000000007</v>
          </cell>
          <cell r="D19">
            <v>1.7904</v>
          </cell>
          <cell r="F19">
            <v>102.46428571428572</v>
          </cell>
          <cell r="G19">
            <v>99.433811047668257</v>
          </cell>
        </row>
        <row r="20">
          <cell r="A20">
            <v>40199</v>
          </cell>
          <cell r="B20">
            <v>27.99</v>
          </cell>
          <cell r="C20">
            <v>66270.14</v>
          </cell>
          <cell r="D20">
            <v>1.7985</v>
          </cell>
          <cell r="F20">
            <v>99.964285714285708</v>
          </cell>
          <cell r="G20">
            <v>96.62002661965775</v>
          </cell>
        </row>
        <row r="21">
          <cell r="A21">
            <v>40200</v>
          </cell>
          <cell r="B21">
            <v>28.2</v>
          </cell>
          <cell r="C21">
            <v>66220.039999999994</v>
          </cell>
          <cell r="D21">
            <v>1.8169</v>
          </cell>
          <cell r="F21">
            <v>100.71428571428571</v>
          </cell>
          <cell r="G21">
            <v>96.546982208801737</v>
          </cell>
        </row>
        <row r="22">
          <cell r="A22">
            <v>40201</v>
          </cell>
          <cell r="B22">
            <v>28.2</v>
          </cell>
          <cell r="C22">
            <v>66220.039999999994</v>
          </cell>
          <cell r="D22">
            <v>1.8169</v>
          </cell>
          <cell r="F22">
            <v>100.71428571428571</v>
          </cell>
          <cell r="G22">
            <v>96.546982208801737</v>
          </cell>
        </row>
        <row r="23">
          <cell r="A23">
            <v>40202</v>
          </cell>
          <cell r="B23">
            <v>28.2</v>
          </cell>
          <cell r="C23">
            <v>66220.039999999994</v>
          </cell>
          <cell r="D23">
            <v>1.8169</v>
          </cell>
          <cell r="F23">
            <v>100.71428571428571</v>
          </cell>
          <cell r="G23">
            <v>96.546982208801737</v>
          </cell>
        </row>
        <row r="24">
          <cell r="A24">
            <v>40203</v>
          </cell>
          <cell r="B24">
            <v>28.2</v>
          </cell>
          <cell r="C24">
            <v>66220.039999999994</v>
          </cell>
          <cell r="D24">
            <v>1.8240000000000001</v>
          </cell>
          <cell r="F24">
            <v>100.71428571428571</v>
          </cell>
          <cell r="G24">
            <v>96.546982208801737</v>
          </cell>
        </row>
        <row r="25">
          <cell r="A25">
            <v>40204</v>
          </cell>
          <cell r="B25">
            <v>27.43</v>
          </cell>
          <cell r="C25">
            <v>65523.73</v>
          </cell>
          <cell r="D25">
            <v>1.84355</v>
          </cell>
          <cell r="F25">
            <v>97.964285714285708</v>
          </cell>
          <cell r="G25">
            <v>95.531781535685113</v>
          </cell>
        </row>
        <row r="26">
          <cell r="A26">
            <v>40205</v>
          </cell>
          <cell r="B26">
            <v>26.8</v>
          </cell>
          <cell r="C26">
            <v>65069.79</v>
          </cell>
          <cell r="D26">
            <v>1.8621000000000001</v>
          </cell>
          <cell r="F26">
            <v>95.714285714285722</v>
          </cell>
          <cell r="G26">
            <v>94.869949602272456</v>
          </cell>
        </row>
        <row r="27">
          <cell r="A27">
            <v>40206</v>
          </cell>
          <cell r="B27">
            <v>26.5</v>
          </cell>
          <cell r="C27">
            <v>65587.81</v>
          </cell>
          <cell r="D27">
            <v>1.86175</v>
          </cell>
          <cell r="F27">
            <v>94.642857142857139</v>
          </cell>
          <cell r="G27">
            <v>95.625208398911695</v>
          </cell>
        </row>
        <row r="28">
          <cell r="A28">
            <v>40207</v>
          </cell>
          <cell r="B28">
            <v>27</v>
          </cell>
          <cell r="C28">
            <v>65401.77</v>
          </cell>
          <cell r="D28">
            <v>1.8714</v>
          </cell>
          <cell r="F28">
            <v>96.428571428571431</v>
          </cell>
          <cell r="G28">
            <v>95.353967237321868</v>
          </cell>
        </row>
        <row r="29">
          <cell r="A29">
            <v>40208</v>
          </cell>
          <cell r="B29">
            <v>27</v>
          </cell>
          <cell r="C29">
            <v>65401.77</v>
          </cell>
          <cell r="D29">
            <v>1.8714</v>
          </cell>
          <cell r="F29">
            <v>96.428571428571431</v>
          </cell>
          <cell r="G29">
            <v>95.353967237321868</v>
          </cell>
        </row>
        <row r="30">
          <cell r="A30">
            <v>40209</v>
          </cell>
          <cell r="B30">
            <v>27</v>
          </cell>
          <cell r="C30">
            <v>65401.77</v>
          </cell>
          <cell r="D30">
            <v>1.8714</v>
          </cell>
          <cell r="F30">
            <v>96.428571428571431</v>
          </cell>
          <cell r="G30">
            <v>95.353967237321868</v>
          </cell>
        </row>
        <row r="31">
          <cell r="A31">
            <v>40210</v>
          </cell>
          <cell r="B31">
            <v>28.19</v>
          </cell>
          <cell r="C31">
            <v>66571.740000000005</v>
          </cell>
          <cell r="D31">
            <v>1.8684499999999999</v>
          </cell>
          <cell r="F31">
            <v>100.67857142857144</v>
          </cell>
          <cell r="G31">
            <v>97.05975105706635</v>
          </cell>
        </row>
        <row r="32">
          <cell r="A32">
            <v>40211</v>
          </cell>
          <cell r="B32">
            <v>28.47</v>
          </cell>
          <cell r="C32">
            <v>67163.210000000006</v>
          </cell>
          <cell r="D32">
            <v>1.839</v>
          </cell>
          <cell r="F32">
            <v>101.67857142857142</v>
          </cell>
          <cell r="G32">
            <v>97.922097917126237</v>
          </cell>
        </row>
        <row r="33">
          <cell r="A33">
            <v>40212</v>
          </cell>
          <cell r="B33">
            <v>29.31</v>
          </cell>
          <cell r="C33">
            <v>67108.56</v>
          </cell>
          <cell r="D33">
            <v>1.8459000000000001</v>
          </cell>
          <cell r="F33">
            <v>104.67857142857142</v>
          </cell>
          <cell r="G33">
            <v>97.842419732430002</v>
          </cell>
        </row>
        <row r="34">
          <cell r="A34">
            <v>40213</v>
          </cell>
          <cell r="B34">
            <v>28.2</v>
          </cell>
          <cell r="C34">
            <v>63934.01</v>
          </cell>
          <cell r="D34">
            <v>1.8857999999999999</v>
          </cell>
          <cell r="F34">
            <v>100.71428571428571</v>
          </cell>
          <cell r="G34">
            <v>93.214013854527309</v>
          </cell>
        </row>
        <row r="35">
          <cell r="A35">
            <v>40214</v>
          </cell>
          <cell r="B35">
            <v>27.5</v>
          </cell>
          <cell r="C35">
            <v>62762.7</v>
          </cell>
          <cell r="D35">
            <v>1.875</v>
          </cell>
          <cell r="F35">
            <v>98.214285714285708</v>
          </cell>
          <cell r="G35">
            <v>91.506276351937586</v>
          </cell>
        </row>
        <row r="36">
          <cell r="A36">
            <v>40215</v>
          </cell>
          <cell r="B36">
            <v>27.5</v>
          </cell>
          <cell r="C36">
            <v>62762.7</v>
          </cell>
          <cell r="D36">
            <v>1.875</v>
          </cell>
          <cell r="F36">
            <v>98.214285714285708</v>
          </cell>
          <cell r="G36">
            <v>91.506276351937586</v>
          </cell>
        </row>
        <row r="37">
          <cell r="A37">
            <v>40216</v>
          </cell>
          <cell r="B37">
            <v>27.5</v>
          </cell>
          <cell r="C37">
            <v>62762.7</v>
          </cell>
          <cell r="D37">
            <v>1.875</v>
          </cell>
          <cell r="F37">
            <v>98.214285714285708</v>
          </cell>
          <cell r="G37">
            <v>91.506276351937586</v>
          </cell>
        </row>
        <row r="38">
          <cell r="A38">
            <v>40217</v>
          </cell>
          <cell r="B38">
            <v>28.3</v>
          </cell>
          <cell r="C38">
            <v>63153.09</v>
          </cell>
          <cell r="D38">
            <v>1.8654999999999999</v>
          </cell>
          <cell r="F38">
            <v>101.07142857142857</v>
          </cell>
          <cell r="G38">
            <v>92.075454147428104</v>
          </cell>
        </row>
        <row r="39">
          <cell r="A39">
            <v>40218</v>
          </cell>
          <cell r="B39">
            <v>29</v>
          </cell>
          <cell r="C39">
            <v>64718.17</v>
          </cell>
          <cell r="D39">
            <v>1.85425</v>
          </cell>
          <cell r="F39">
            <v>103.57142857142858</v>
          </cell>
          <cell r="G39">
            <v>94.357297391789658</v>
          </cell>
        </row>
        <row r="40">
          <cell r="A40">
            <v>40219</v>
          </cell>
          <cell r="B40">
            <v>28.99</v>
          </cell>
          <cell r="C40">
            <v>65051.42</v>
          </cell>
          <cell r="D40">
            <v>1.85595</v>
          </cell>
          <cell r="F40">
            <v>103.53571428571429</v>
          </cell>
          <cell r="G40">
            <v>94.843166651625239</v>
          </cell>
        </row>
        <row r="41">
          <cell r="A41">
            <v>40220</v>
          </cell>
          <cell r="B41">
            <v>29</v>
          </cell>
          <cell r="C41">
            <v>66128.94</v>
          </cell>
          <cell r="D41">
            <v>1.8623499999999999</v>
          </cell>
          <cell r="F41">
            <v>103.57142857142858</v>
          </cell>
          <cell r="G41">
            <v>96.41416093477018</v>
          </cell>
        </row>
        <row r="42">
          <cell r="A42">
            <v>40221</v>
          </cell>
          <cell r="B42">
            <v>28.49</v>
          </cell>
          <cell r="C42">
            <v>65854.97</v>
          </cell>
          <cell r="D42">
            <v>1.8629</v>
          </cell>
          <cell r="F42">
            <v>101.74999999999999</v>
          </cell>
          <cell r="G42">
            <v>96.014720271252813</v>
          </cell>
        </row>
        <row r="43">
          <cell r="A43">
            <v>40222</v>
          </cell>
          <cell r="B43">
            <v>28.49</v>
          </cell>
          <cell r="C43">
            <v>65854.97</v>
          </cell>
          <cell r="D43">
            <v>1.8629</v>
          </cell>
          <cell r="F43">
            <v>101.74999999999999</v>
          </cell>
          <cell r="G43">
            <v>96.014720271252813</v>
          </cell>
        </row>
        <row r="44">
          <cell r="A44">
            <v>40223</v>
          </cell>
          <cell r="B44">
            <v>28.49</v>
          </cell>
          <cell r="C44">
            <v>65854.97</v>
          </cell>
          <cell r="D44">
            <v>1.8629</v>
          </cell>
          <cell r="F44">
            <v>101.74999999999999</v>
          </cell>
          <cell r="G44">
            <v>96.014720271252813</v>
          </cell>
        </row>
        <row r="45">
          <cell r="A45">
            <v>40224</v>
          </cell>
          <cell r="B45">
            <v>28.49</v>
          </cell>
          <cell r="C45">
            <v>65854.97</v>
          </cell>
          <cell r="D45">
            <v>1.8629</v>
          </cell>
          <cell r="F45">
            <v>101.74999999999999</v>
          </cell>
          <cell r="G45">
            <v>96.014720271252813</v>
          </cell>
        </row>
        <row r="46">
          <cell r="A46">
            <v>40225</v>
          </cell>
          <cell r="B46">
            <v>28.49</v>
          </cell>
          <cell r="C46">
            <v>65854.97</v>
          </cell>
          <cell r="D46">
            <v>1.8445</v>
          </cell>
          <cell r="F46">
            <v>101.74999999999999</v>
          </cell>
          <cell r="G46">
            <v>96.014720271252813</v>
          </cell>
        </row>
        <row r="47">
          <cell r="A47">
            <v>40226</v>
          </cell>
          <cell r="B47">
            <v>28.85</v>
          </cell>
          <cell r="C47">
            <v>67284.570000000007</v>
          </cell>
          <cell r="D47">
            <v>1.8366499999999999</v>
          </cell>
          <cell r="F47">
            <v>103.03571428571429</v>
          </cell>
          <cell r="G47">
            <v>98.099037432125925</v>
          </cell>
        </row>
        <row r="48">
          <cell r="A48">
            <v>40227</v>
          </cell>
          <cell r="B48">
            <v>28.75</v>
          </cell>
          <cell r="C48">
            <v>67836.08</v>
          </cell>
          <cell r="D48">
            <v>1.8209500000000001</v>
          </cell>
          <cell r="F48">
            <v>102.67857142857142</v>
          </cell>
          <cell r="G48">
            <v>98.90312372017371</v>
          </cell>
        </row>
        <row r="49">
          <cell r="A49">
            <v>40228</v>
          </cell>
          <cell r="B49">
            <v>28.7</v>
          </cell>
          <cell r="C49">
            <v>67597.429999999993</v>
          </cell>
          <cell r="D49">
            <v>1.8131999999999999</v>
          </cell>
          <cell r="F49">
            <v>102.49999999999999</v>
          </cell>
          <cell r="G49">
            <v>98.555178637323692</v>
          </cell>
        </row>
        <row r="50">
          <cell r="A50">
            <v>40229</v>
          </cell>
          <cell r="B50">
            <v>28.7</v>
          </cell>
          <cell r="C50">
            <v>67597.429999999993</v>
          </cell>
          <cell r="D50">
            <v>1.8131999999999999</v>
          </cell>
          <cell r="F50">
            <v>102.49999999999999</v>
          </cell>
          <cell r="G50">
            <v>98.555178637323692</v>
          </cell>
        </row>
        <row r="51">
          <cell r="A51">
            <v>40230</v>
          </cell>
          <cell r="B51">
            <v>28.7</v>
          </cell>
          <cell r="C51">
            <v>67597.429999999993</v>
          </cell>
          <cell r="D51">
            <v>1.8131999999999999</v>
          </cell>
          <cell r="F51">
            <v>102.49999999999999</v>
          </cell>
          <cell r="G51">
            <v>98.555178637323692</v>
          </cell>
        </row>
        <row r="52">
          <cell r="A52">
            <v>40231</v>
          </cell>
          <cell r="B52">
            <v>28.8</v>
          </cell>
          <cell r="C52">
            <v>67184.160000000003</v>
          </cell>
          <cell r="D52">
            <v>1.8109999999999999</v>
          </cell>
          <cell r="F52">
            <v>102.85714285714288</v>
          </cell>
          <cell r="G52">
            <v>97.952642436236687</v>
          </cell>
        </row>
        <row r="53">
          <cell r="A53">
            <v>40232</v>
          </cell>
          <cell r="B53">
            <v>27.19</v>
          </cell>
          <cell r="C53">
            <v>66108.33</v>
          </cell>
          <cell r="D53">
            <v>1.8220000000000001</v>
          </cell>
          <cell r="F53">
            <v>97.107142857142861</v>
          </cell>
          <cell r="G53">
            <v>96.384112126232395</v>
          </cell>
        </row>
        <row r="54">
          <cell r="A54">
            <v>40233</v>
          </cell>
          <cell r="B54">
            <v>28</v>
          </cell>
          <cell r="C54">
            <v>65794.77</v>
          </cell>
          <cell r="D54">
            <v>1.81955</v>
          </cell>
          <cell r="F54">
            <v>100</v>
          </cell>
          <cell r="G54">
            <v>95.926950340443824</v>
          </cell>
        </row>
        <row r="55">
          <cell r="A55">
            <v>40234</v>
          </cell>
          <cell r="B55">
            <v>27.8</v>
          </cell>
          <cell r="C55">
            <v>66121.039999999994</v>
          </cell>
          <cell r="D55">
            <v>1.8353999999999999</v>
          </cell>
          <cell r="F55">
            <v>99.285714285714292</v>
          </cell>
          <cell r="G55">
            <v>96.402642953816823</v>
          </cell>
        </row>
        <row r="56">
          <cell r="A56">
            <v>40235</v>
          </cell>
          <cell r="B56">
            <v>27.8</v>
          </cell>
          <cell r="C56">
            <v>66503.27</v>
          </cell>
          <cell r="D56">
            <v>1.8089999999999999</v>
          </cell>
          <cell r="F56">
            <v>99.285714285714292</v>
          </cell>
          <cell r="G56">
            <v>96.959923695563148</v>
          </cell>
        </row>
        <row r="57">
          <cell r="A57">
            <v>40236</v>
          </cell>
          <cell r="B57">
            <v>27.8</v>
          </cell>
          <cell r="C57">
            <v>66503.27</v>
          </cell>
          <cell r="D57">
            <v>1.8089999999999999</v>
          </cell>
          <cell r="F57">
            <v>99.285714285714292</v>
          </cell>
          <cell r="G57">
            <v>96.959923695563148</v>
          </cell>
        </row>
        <row r="58">
          <cell r="A58">
            <v>40237</v>
          </cell>
          <cell r="B58">
            <v>27.8</v>
          </cell>
          <cell r="C58">
            <v>66503.27</v>
          </cell>
          <cell r="D58">
            <v>1.8089999999999999</v>
          </cell>
          <cell r="F58">
            <v>99.285714285714292</v>
          </cell>
          <cell r="G58">
            <v>96.959923695563148</v>
          </cell>
        </row>
        <row r="59">
          <cell r="A59">
            <v>40238</v>
          </cell>
          <cell r="B59">
            <v>27.78</v>
          </cell>
          <cell r="C59">
            <v>67227.929999999993</v>
          </cell>
          <cell r="D59">
            <v>1.8001</v>
          </cell>
          <cell r="F59">
            <v>99.214285714285722</v>
          </cell>
          <cell r="G59">
            <v>98.01645788260727</v>
          </cell>
        </row>
        <row r="60">
          <cell r="A60">
            <v>40239</v>
          </cell>
          <cell r="B60">
            <v>28.8</v>
          </cell>
          <cell r="C60">
            <v>67779.16</v>
          </cell>
          <cell r="D60">
            <v>1.7820499999999999</v>
          </cell>
          <cell r="F60">
            <v>102.85714285714288</v>
          </cell>
          <cell r="G60">
            <v>98.820135938418758</v>
          </cell>
        </row>
        <row r="61">
          <cell r="A61">
            <v>40240</v>
          </cell>
          <cell r="B61">
            <v>28.75</v>
          </cell>
          <cell r="C61">
            <v>67641.34</v>
          </cell>
          <cell r="D61">
            <v>1.7785</v>
          </cell>
          <cell r="F61">
            <v>102.67857142857142</v>
          </cell>
          <cell r="G61">
            <v>98.619198199812459</v>
          </cell>
        </row>
        <row r="62">
          <cell r="A62">
            <v>40241</v>
          </cell>
          <cell r="B62">
            <v>28.8</v>
          </cell>
          <cell r="C62">
            <v>67814.710000000006</v>
          </cell>
          <cell r="D62">
            <v>1.7904500000000001</v>
          </cell>
          <cell r="F62">
            <v>102.85714285714288</v>
          </cell>
          <cell r="G62">
            <v>98.871966852708795</v>
          </cell>
        </row>
        <row r="63">
          <cell r="A63">
            <v>40242</v>
          </cell>
          <cell r="B63">
            <v>28.5</v>
          </cell>
          <cell r="C63">
            <v>68846.5</v>
          </cell>
          <cell r="D63">
            <v>1.7779499999999999</v>
          </cell>
          <cell r="F63">
            <v>101.78571428571428</v>
          </cell>
          <cell r="G63">
            <v>100.37628806382885</v>
          </cell>
        </row>
        <row r="64">
          <cell r="A64">
            <v>40243</v>
          </cell>
          <cell r="B64">
            <v>28.5</v>
          </cell>
          <cell r="C64">
            <v>68846.5</v>
          </cell>
          <cell r="D64">
            <v>1.7779499999999999</v>
          </cell>
          <cell r="F64">
            <v>101.78571428571428</v>
          </cell>
          <cell r="G64">
            <v>100.37628806382885</v>
          </cell>
        </row>
        <row r="65">
          <cell r="A65">
            <v>40244</v>
          </cell>
          <cell r="B65">
            <v>28.5</v>
          </cell>
          <cell r="C65">
            <v>68846.5</v>
          </cell>
          <cell r="D65">
            <v>1.7779499999999999</v>
          </cell>
          <cell r="F65">
            <v>101.78571428571428</v>
          </cell>
          <cell r="G65">
            <v>100.37628806382885</v>
          </cell>
        </row>
        <row r="66">
          <cell r="A66">
            <v>40245</v>
          </cell>
          <cell r="B66">
            <v>28.75</v>
          </cell>
          <cell r="C66">
            <v>68575.47</v>
          </cell>
          <cell r="D66">
            <v>1.7879499999999999</v>
          </cell>
          <cell r="F66">
            <v>102.67857142857142</v>
          </cell>
          <cell r="G66">
            <v>99.981133838792886</v>
          </cell>
        </row>
        <row r="67">
          <cell r="A67">
            <v>40246</v>
          </cell>
          <cell r="B67">
            <v>28.8</v>
          </cell>
          <cell r="C67">
            <v>69576.38</v>
          </cell>
          <cell r="D67">
            <v>1.7927999999999999</v>
          </cell>
          <cell r="F67">
            <v>102.85714285714288</v>
          </cell>
          <cell r="G67">
            <v>101.44043286613584</v>
          </cell>
        </row>
        <row r="68">
          <cell r="A68">
            <v>40247</v>
          </cell>
          <cell r="B68">
            <v>28.95</v>
          </cell>
          <cell r="C68">
            <v>69979.28</v>
          </cell>
          <cell r="D68">
            <v>1.7675000000000001</v>
          </cell>
          <cell r="F68">
            <v>103.39285714285712</v>
          </cell>
          <cell r="G68">
            <v>102.02784989475626</v>
          </cell>
        </row>
        <row r="69">
          <cell r="A69">
            <v>40248</v>
          </cell>
          <cell r="B69">
            <v>29</v>
          </cell>
          <cell r="C69">
            <v>69884.61</v>
          </cell>
          <cell r="D69">
            <v>1.7692000000000001</v>
          </cell>
          <cell r="F69">
            <v>103.57142857142858</v>
          </cell>
          <cell r="G69">
            <v>101.8898236597116</v>
          </cell>
        </row>
        <row r="70">
          <cell r="A70">
            <v>40249</v>
          </cell>
          <cell r="B70">
            <v>28.7</v>
          </cell>
          <cell r="C70">
            <v>69341.38</v>
          </cell>
          <cell r="D70">
            <v>1.7661</v>
          </cell>
          <cell r="F70">
            <v>102.49999999999999</v>
          </cell>
          <cell r="G70">
            <v>101.09780938208073</v>
          </cell>
        </row>
        <row r="71">
          <cell r="A71">
            <v>40250</v>
          </cell>
          <cell r="B71">
            <v>28.7</v>
          </cell>
          <cell r="C71">
            <v>69341.38</v>
          </cell>
          <cell r="D71">
            <v>1.7661</v>
          </cell>
          <cell r="F71">
            <v>102.49999999999999</v>
          </cell>
          <cell r="G71">
            <v>101.09780938208073</v>
          </cell>
        </row>
        <row r="72">
          <cell r="A72">
            <v>40251</v>
          </cell>
          <cell r="B72">
            <v>28.7</v>
          </cell>
          <cell r="C72">
            <v>69341.38</v>
          </cell>
          <cell r="D72">
            <v>1.7661</v>
          </cell>
          <cell r="F72">
            <v>102.49999999999999</v>
          </cell>
          <cell r="G72">
            <v>101.09780938208073</v>
          </cell>
        </row>
        <row r="73">
          <cell r="A73">
            <v>40252</v>
          </cell>
          <cell r="B73">
            <v>28.5</v>
          </cell>
          <cell r="C73">
            <v>69023.75</v>
          </cell>
          <cell r="D73">
            <v>1.7669999999999999</v>
          </cell>
          <cell r="F73">
            <v>101.78571428571428</v>
          </cell>
          <cell r="G73">
            <v>100.63471364914275</v>
          </cell>
        </row>
        <row r="74">
          <cell r="A74">
            <v>40253</v>
          </cell>
          <cell r="B74">
            <v>28.45</v>
          </cell>
          <cell r="C74">
            <v>69942.210000000006</v>
          </cell>
          <cell r="D74">
            <v>1.7621500000000001</v>
          </cell>
          <cell r="F74">
            <v>101.60714285714285</v>
          </cell>
          <cell r="G74">
            <v>101.97380286261193</v>
          </cell>
        </row>
        <row r="75">
          <cell r="A75">
            <v>40254</v>
          </cell>
          <cell r="B75">
            <v>27.98</v>
          </cell>
          <cell r="C75">
            <v>69723.240000000005</v>
          </cell>
          <cell r="D75">
            <v>1.7656499999999999</v>
          </cell>
          <cell r="F75">
            <v>99.928571428571431</v>
          </cell>
          <cell r="G75">
            <v>101.6545506740862</v>
          </cell>
        </row>
        <row r="76">
          <cell r="A76">
            <v>40255</v>
          </cell>
          <cell r="B76">
            <v>28.5</v>
          </cell>
          <cell r="C76">
            <v>69697.33</v>
          </cell>
          <cell r="D76">
            <v>1.78975</v>
          </cell>
          <cell r="F76">
            <v>101.78571428571428</v>
          </cell>
          <cell r="G76">
            <v>101.61677461250378</v>
          </cell>
        </row>
        <row r="77">
          <cell r="A77">
            <v>40256</v>
          </cell>
          <cell r="B77">
            <v>28.5</v>
          </cell>
          <cell r="C77">
            <v>68828.98</v>
          </cell>
          <cell r="D77">
            <v>1.7983499999999999</v>
          </cell>
          <cell r="F77">
            <v>101.78571428571428</v>
          </cell>
          <cell r="G77">
            <v>100.35074438961334</v>
          </cell>
        </row>
        <row r="78">
          <cell r="A78">
            <v>40257</v>
          </cell>
          <cell r="B78">
            <v>28.5</v>
          </cell>
          <cell r="C78">
            <v>68828.98</v>
          </cell>
          <cell r="D78">
            <v>1.7983499999999999</v>
          </cell>
          <cell r="F78">
            <v>101.78571428571428</v>
          </cell>
          <cell r="G78">
            <v>100.35074438961334</v>
          </cell>
        </row>
        <row r="79">
          <cell r="A79">
            <v>40258</v>
          </cell>
          <cell r="B79">
            <v>28.5</v>
          </cell>
          <cell r="C79">
            <v>68828.98</v>
          </cell>
          <cell r="D79">
            <v>1.7983499999999999</v>
          </cell>
          <cell r="F79">
            <v>101.78571428571428</v>
          </cell>
          <cell r="G79">
            <v>100.35074438961334</v>
          </cell>
        </row>
        <row r="80">
          <cell r="A80">
            <v>40259</v>
          </cell>
          <cell r="B80">
            <v>28.3</v>
          </cell>
          <cell r="C80">
            <v>69041.73</v>
          </cell>
          <cell r="D80">
            <v>1.8027</v>
          </cell>
          <cell r="F80">
            <v>101.07142857142857</v>
          </cell>
          <cell r="G80">
            <v>100.66092799060364</v>
          </cell>
        </row>
        <row r="81">
          <cell r="A81">
            <v>40260</v>
          </cell>
          <cell r="B81">
            <v>28.4</v>
          </cell>
          <cell r="C81">
            <v>69386.720000000001</v>
          </cell>
          <cell r="D81">
            <v>1.78295</v>
          </cell>
          <cell r="F81">
            <v>101.42857142857142</v>
          </cell>
          <cell r="G81">
            <v>101.16391384491928</v>
          </cell>
        </row>
        <row r="82">
          <cell r="A82">
            <v>40261</v>
          </cell>
          <cell r="B82">
            <v>28.59</v>
          </cell>
          <cell r="C82">
            <v>68913.399999999994</v>
          </cell>
          <cell r="D82">
            <v>1.7886</v>
          </cell>
          <cell r="F82">
            <v>102.10714285714286</v>
          </cell>
          <cell r="G82">
            <v>100.47382640886411</v>
          </cell>
        </row>
        <row r="83">
          <cell r="A83">
            <v>40262</v>
          </cell>
          <cell r="B83">
            <v>28.55</v>
          </cell>
          <cell r="C83">
            <v>68441.66</v>
          </cell>
          <cell r="D83">
            <v>1.8047</v>
          </cell>
          <cell r="F83">
            <v>101.96428571428571</v>
          </cell>
          <cell r="G83">
            <v>99.786042568999633</v>
          </cell>
        </row>
        <row r="84">
          <cell r="A84">
            <v>40263</v>
          </cell>
          <cell r="B84">
            <v>28.59</v>
          </cell>
          <cell r="C84">
            <v>68682.66</v>
          </cell>
          <cell r="D84">
            <v>1.8210999999999999</v>
          </cell>
          <cell r="F84">
            <v>102.10714285714286</v>
          </cell>
          <cell r="G84">
            <v>100.1374138866902</v>
          </cell>
        </row>
        <row r="85">
          <cell r="A85">
            <v>40264</v>
          </cell>
          <cell r="B85">
            <v>28.59</v>
          </cell>
          <cell r="C85">
            <v>68682.66</v>
          </cell>
          <cell r="D85">
            <v>1.8210999999999999</v>
          </cell>
          <cell r="F85">
            <v>102.10714285714286</v>
          </cell>
          <cell r="G85">
            <v>100.1374138866902</v>
          </cell>
        </row>
        <row r="86">
          <cell r="A86">
            <v>40265</v>
          </cell>
          <cell r="B86">
            <v>28.59</v>
          </cell>
          <cell r="C86">
            <v>68682.66</v>
          </cell>
          <cell r="D86">
            <v>1.8210999999999999</v>
          </cell>
          <cell r="F86">
            <v>102.10714285714286</v>
          </cell>
          <cell r="G86">
            <v>100.1374138866902</v>
          </cell>
        </row>
        <row r="87">
          <cell r="A87">
            <v>40266</v>
          </cell>
          <cell r="B87">
            <v>28.52</v>
          </cell>
          <cell r="C87">
            <v>69939.12</v>
          </cell>
          <cell r="D87">
            <v>1.80975</v>
          </cell>
          <cell r="F87">
            <v>101.85714285714285</v>
          </cell>
          <cell r="G87">
            <v>101.96929772828965</v>
          </cell>
        </row>
        <row r="88">
          <cell r="A88">
            <v>40267</v>
          </cell>
          <cell r="B88">
            <v>28.5</v>
          </cell>
          <cell r="C88">
            <v>69959.58</v>
          </cell>
          <cell r="D88">
            <v>1.79495</v>
          </cell>
          <cell r="F88">
            <v>101.78571428571428</v>
          </cell>
          <cell r="G88">
            <v>101.99912784098655</v>
          </cell>
        </row>
        <row r="89">
          <cell r="A89">
            <v>40268</v>
          </cell>
          <cell r="B89">
            <v>28.59</v>
          </cell>
          <cell r="C89">
            <v>70371.539999999994</v>
          </cell>
          <cell r="D89">
            <v>1.7847</v>
          </cell>
          <cell r="F89">
            <v>102.10714285714286</v>
          </cell>
          <cell r="G89">
            <v>102.5997540983965</v>
          </cell>
        </row>
        <row r="90">
          <cell r="A90">
            <v>40269</v>
          </cell>
          <cell r="B90">
            <v>28.5</v>
          </cell>
          <cell r="C90">
            <v>71136.34</v>
          </cell>
          <cell r="D90">
            <v>1.76905</v>
          </cell>
          <cell r="F90">
            <v>101.78571428571428</v>
          </cell>
          <cell r="G90">
            <v>103.71481129246179</v>
          </cell>
        </row>
        <row r="91">
          <cell r="A91">
            <v>40270</v>
          </cell>
          <cell r="B91">
            <v>28.5</v>
          </cell>
          <cell r="C91">
            <v>71136.34</v>
          </cell>
          <cell r="D91">
            <v>1.76905</v>
          </cell>
          <cell r="F91">
            <v>101.78571428571428</v>
          </cell>
          <cell r="G91">
            <v>103.71481129246179</v>
          </cell>
        </row>
        <row r="92">
          <cell r="A92">
            <v>40271</v>
          </cell>
          <cell r="B92">
            <v>28.5</v>
          </cell>
          <cell r="C92">
            <v>71136.34</v>
          </cell>
          <cell r="D92">
            <v>1.76905</v>
          </cell>
          <cell r="F92">
            <v>101.78571428571428</v>
          </cell>
          <cell r="G92">
            <v>103.71481129246179</v>
          </cell>
        </row>
        <row r="93">
          <cell r="A93">
            <v>40272</v>
          </cell>
          <cell r="B93">
            <v>28.5</v>
          </cell>
          <cell r="C93">
            <v>71136.34</v>
          </cell>
          <cell r="D93">
            <v>1.76905</v>
          </cell>
          <cell r="F93">
            <v>101.78571428571428</v>
          </cell>
          <cell r="G93">
            <v>103.71481129246179</v>
          </cell>
        </row>
        <row r="94">
          <cell r="A94">
            <v>40273</v>
          </cell>
          <cell r="B94">
            <v>28.39</v>
          </cell>
          <cell r="C94">
            <v>71289.679999999993</v>
          </cell>
          <cell r="D94">
            <v>1.75925</v>
          </cell>
          <cell r="F94">
            <v>101.39285714285715</v>
          </cell>
          <cell r="G94">
            <v>103.93837676073842</v>
          </cell>
        </row>
        <row r="95">
          <cell r="A95">
            <v>40274</v>
          </cell>
          <cell r="B95">
            <v>27.7</v>
          </cell>
          <cell r="C95">
            <v>71095.649999999994</v>
          </cell>
          <cell r="D95">
            <v>1.7604</v>
          </cell>
          <cell r="F95">
            <v>98.928571428571416</v>
          </cell>
          <cell r="G95">
            <v>103.65548640069071</v>
          </cell>
        </row>
        <row r="96">
          <cell r="A96">
            <v>40275</v>
          </cell>
          <cell r="B96">
            <v>27.64</v>
          </cell>
          <cell r="C96">
            <v>70792.94</v>
          </cell>
          <cell r="D96">
            <v>1.7637499999999999</v>
          </cell>
          <cell r="F96">
            <v>98.714285714285722</v>
          </cell>
          <cell r="G96">
            <v>103.21414361405958</v>
          </cell>
        </row>
        <row r="97">
          <cell r="A97">
            <v>40276</v>
          </cell>
          <cell r="B97">
            <v>27.9</v>
          </cell>
          <cell r="C97">
            <v>71784.78</v>
          </cell>
          <cell r="D97">
            <v>1.7839499999999999</v>
          </cell>
          <cell r="F97">
            <v>99.642857142857139</v>
          </cell>
          <cell r="G97">
            <v>104.66021883289028</v>
          </cell>
        </row>
        <row r="98">
          <cell r="A98">
            <v>40277</v>
          </cell>
          <cell r="B98">
            <v>27.2</v>
          </cell>
          <cell r="C98">
            <v>71417.27</v>
          </cell>
          <cell r="D98">
            <v>1.7742</v>
          </cell>
          <cell r="F98">
            <v>97.142857142857139</v>
          </cell>
          <cell r="G98">
            <v>104.12439944299628</v>
          </cell>
        </row>
        <row r="99">
          <cell r="A99">
            <v>40278</v>
          </cell>
          <cell r="B99">
            <v>27.2</v>
          </cell>
          <cell r="C99">
            <v>71417.27</v>
          </cell>
          <cell r="D99">
            <v>1.7742</v>
          </cell>
          <cell r="F99">
            <v>97.142857142857139</v>
          </cell>
          <cell r="G99">
            <v>104.12439944299628</v>
          </cell>
        </row>
        <row r="100">
          <cell r="A100">
            <v>40279</v>
          </cell>
          <cell r="B100">
            <v>27.2</v>
          </cell>
          <cell r="C100">
            <v>71417.27</v>
          </cell>
          <cell r="D100">
            <v>1.7742</v>
          </cell>
          <cell r="F100">
            <v>97.142857142857139</v>
          </cell>
          <cell r="G100">
            <v>104.12439944299628</v>
          </cell>
        </row>
        <row r="101">
          <cell r="A101">
            <v>40280</v>
          </cell>
          <cell r="B101">
            <v>27.19</v>
          </cell>
          <cell r="C101">
            <v>70614.36</v>
          </cell>
          <cell r="D101">
            <v>1.75875</v>
          </cell>
          <cell r="F101">
            <v>97.107142857142861</v>
          </cell>
          <cell r="G101">
            <v>102.95377892562314</v>
          </cell>
        </row>
        <row r="102">
          <cell r="A102">
            <v>40281</v>
          </cell>
          <cell r="B102">
            <v>27.3</v>
          </cell>
          <cell r="C102">
            <v>70792.399999999994</v>
          </cell>
          <cell r="D102">
            <v>1.7659</v>
          </cell>
          <cell r="F102">
            <v>97.5</v>
          </cell>
          <cell r="G102">
            <v>103.21335630903236</v>
          </cell>
        </row>
        <row r="103">
          <cell r="A103">
            <v>40282</v>
          </cell>
          <cell r="B103">
            <v>27.15</v>
          </cell>
          <cell r="C103">
            <v>71034.850000000006</v>
          </cell>
          <cell r="D103">
            <v>1.74275</v>
          </cell>
          <cell r="F103">
            <v>96.964285714285708</v>
          </cell>
          <cell r="G103">
            <v>103.56684168651817</v>
          </cell>
        </row>
        <row r="104">
          <cell r="A104">
            <v>40283</v>
          </cell>
          <cell r="B104">
            <v>27.9</v>
          </cell>
          <cell r="C104">
            <v>70524.350000000006</v>
          </cell>
          <cell r="D104">
            <v>1.74</v>
          </cell>
          <cell r="F104">
            <v>99.642857142857139</v>
          </cell>
          <cell r="G104">
            <v>102.82254684136869</v>
          </cell>
        </row>
        <row r="105">
          <cell r="A105">
            <v>40284</v>
          </cell>
          <cell r="B105">
            <v>28</v>
          </cell>
          <cell r="C105">
            <v>69421.350000000006</v>
          </cell>
          <cell r="D105">
            <v>1.7518</v>
          </cell>
          <cell r="F105">
            <v>100</v>
          </cell>
          <cell r="G105">
            <v>101.21440342471854</v>
          </cell>
        </row>
        <row r="106">
          <cell r="A106">
            <v>40285</v>
          </cell>
          <cell r="B106">
            <v>28</v>
          </cell>
          <cell r="C106">
            <v>69421.350000000006</v>
          </cell>
          <cell r="D106">
            <v>1.7518</v>
          </cell>
          <cell r="F106">
            <v>100</v>
          </cell>
          <cell r="G106">
            <v>101.21440342471854</v>
          </cell>
        </row>
        <row r="107">
          <cell r="A107">
            <v>40286</v>
          </cell>
          <cell r="B107">
            <v>28</v>
          </cell>
          <cell r="C107">
            <v>69421.350000000006</v>
          </cell>
          <cell r="D107">
            <v>1.7518</v>
          </cell>
          <cell r="F107">
            <v>100</v>
          </cell>
          <cell r="G107">
            <v>101.21440342471854</v>
          </cell>
        </row>
        <row r="108">
          <cell r="A108">
            <v>40287</v>
          </cell>
          <cell r="B108">
            <v>28.3</v>
          </cell>
          <cell r="C108">
            <v>69097.58</v>
          </cell>
          <cell r="D108">
            <v>1.7575499999999999</v>
          </cell>
          <cell r="F108">
            <v>101.07142857142857</v>
          </cell>
          <cell r="G108">
            <v>100.74235574202697</v>
          </cell>
        </row>
        <row r="109">
          <cell r="A109">
            <v>40288</v>
          </cell>
          <cell r="B109">
            <v>28.49</v>
          </cell>
          <cell r="C109">
            <v>69318.44</v>
          </cell>
          <cell r="D109">
            <v>1.7511000000000001</v>
          </cell>
          <cell r="F109">
            <v>101.74999999999999</v>
          </cell>
          <cell r="G109">
            <v>101.06436349814787</v>
          </cell>
        </row>
        <row r="110">
          <cell r="A110">
            <v>40289</v>
          </cell>
          <cell r="B110">
            <v>28.49</v>
          </cell>
          <cell r="C110">
            <v>69318.44</v>
          </cell>
          <cell r="D110">
            <v>1.7511000000000001</v>
          </cell>
          <cell r="F110">
            <v>101.74999999999999</v>
          </cell>
          <cell r="G110">
            <v>101.06436349814787</v>
          </cell>
        </row>
        <row r="111">
          <cell r="A111">
            <v>40290</v>
          </cell>
          <cell r="B111">
            <v>29.67</v>
          </cell>
          <cell r="C111">
            <v>69386.41</v>
          </cell>
          <cell r="D111">
            <v>1.7662500000000001</v>
          </cell>
          <cell r="F111">
            <v>105.96428571428571</v>
          </cell>
          <cell r="G111">
            <v>101.16346187351479</v>
          </cell>
        </row>
        <row r="112">
          <cell r="A112">
            <v>40291</v>
          </cell>
          <cell r="B112">
            <v>29.9</v>
          </cell>
          <cell r="C112">
            <v>69509.490000000005</v>
          </cell>
          <cell r="D112">
            <v>1.7623</v>
          </cell>
          <cell r="F112">
            <v>106.78571428571428</v>
          </cell>
          <cell r="G112">
            <v>101.34290910082331</v>
          </cell>
        </row>
        <row r="113">
          <cell r="A113">
            <v>40292</v>
          </cell>
          <cell r="B113">
            <v>29.9</v>
          </cell>
          <cell r="C113">
            <v>69509.490000000005</v>
          </cell>
          <cell r="D113">
            <v>1.7623</v>
          </cell>
          <cell r="F113">
            <v>106.78571428571428</v>
          </cell>
          <cell r="G113">
            <v>101.34290910082331</v>
          </cell>
        </row>
        <row r="114">
          <cell r="A114">
            <v>40293</v>
          </cell>
          <cell r="B114">
            <v>29.9</v>
          </cell>
          <cell r="C114">
            <v>69509.490000000005</v>
          </cell>
          <cell r="D114">
            <v>1.7623</v>
          </cell>
          <cell r="F114">
            <v>106.78571428571428</v>
          </cell>
          <cell r="G114">
            <v>101.34290910082331</v>
          </cell>
        </row>
        <row r="115">
          <cell r="A115">
            <v>40294</v>
          </cell>
          <cell r="B115">
            <v>29.2</v>
          </cell>
          <cell r="C115">
            <v>68871.94</v>
          </cell>
          <cell r="D115">
            <v>1.7442500000000001</v>
          </cell>
          <cell r="F115">
            <v>104.28571428571429</v>
          </cell>
          <cell r="G115">
            <v>100.41337887844317</v>
          </cell>
        </row>
        <row r="116">
          <cell r="A116">
            <v>40295</v>
          </cell>
          <cell r="B116">
            <v>29.05</v>
          </cell>
          <cell r="C116">
            <v>66511.100000000006</v>
          </cell>
          <cell r="D116">
            <v>1.7515000000000001</v>
          </cell>
          <cell r="F116">
            <v>103.75000000000001</v>
          </cell>
          <cell r="G116">
            <v>96.971339618457407</v>
          </cell>
        </row>
        <row r="117">
          <cell r="A117">
            <v>40296</v>
          </cell>
          <cell r="B117">
            <v>29.37</v>
          </cell>
          <cell r="C117">
            <v>66655.710000000006</v>
          </cell>
          <cell r="D117">
            <v>1.7576499999999999</v>
          </cell>
          <cell r="F117">
            <v>104.89285714285714</v>
          </cell>
          <cell r="G117">
            <v>97.182176988794467</v>
          </cell>
        </row>
        <row r="118">
          <cell r="A118">
            <v>40297</v>
          </cell>
          <cell r="B118">
            <v>29.3</v>
          </cell>
          <cell r="C118">
            <v>67978.05</v>
          </cell>
          <cell r="D118">
            <v>1.7309000000000001</v>
          </cell>
          <cell r="F118">
            <v>104.64285714285715</v>
          </cell>
          <cell r="G118">
            <v>99.110112043711169</v>
          </cell>
        </row>
        <row r="119">
          <cell r="A119">
            <v>40298</v>
          </cell>
          <cell r="B119">
            <v>29.95</v>
          </cell>
          <cell r="C119">
            <v>67529.73</v>
          </cell>
          <cell r="D119">
            <v>1.73075</v>
          </cell>
          <cell r="F119">
            <v>106.96428571428571</v>
          </cell>
          <cell r="G119">
            <v>98.456473914470379</v>
          </cell>
        </row>
        <row r="120">
          <cell r="A120">
            <v>40299</v>
          </cell>
          <cell r="B120">
            <v>29.95</v>
          </cell>
          <cell r="C120">
            <v>67529.73</v>
          </cell>
          <cell r="D120">
            <v>1.73075</v>
          </cell>
          <cell r="F120">
            <v>106.96428571428571</v>
          </cell>
          <cell r="G120">
            <v>98.456473914470379</v>
          </cell>
        </row>
        <row r="121">
          <cell r="A121">
            <v>40300</v>
          </cell>
          <cell r="B121">
            <v>29.95</v>
          </cell>
          <cell r="C121">
            <v>67529.73</v>
          </cell>
          <cell r="D121">
            <v>1.73075</v>
          </cell>
          <cell r="F121">
            <v>106.96428571428571</v>
          </cell>
          <cell r="G121">
            <v>98.456473914470379</v>
          </cell>
        </row>
        <row r="122">
          <cell r="A122">
            <v>40301</v>
          </cell>
          <cell r="B122">
            <v>29.5</v>
          </cell>
          <cell r="C122">
            <v>67119.41</v>
          </cell>
          <cell r="D122">
            <v>1.7344999999999999</v>
          </cell>
          <cell r="F122">
            <v>105.35714285714286</v>
          </cell>
          <cell r="G122">
            <v>97.858238731587448</v>
          </cell>
        </row>
        <row r="123">
          <cell r="A123">
            <v>40302</v>
          </cell>
          <cell r="B123">
            <v>28.6</v>
          </cell>
          <cell r="C123">
            <v>64869.32</v>
          </cell>
          <cell r="D123">
            <v>1.7555000000000001</v>
          </cell>
          <cell r="F123">
            <v>102.14285714285715</v>
          </cell>
          <cell r="G123">
            <v>94.577669900789346</v>
          </cell>
        </row>
        <row r="124">
          <cell r="A124">
            <v>40303</v>
          </cell>
          <cell r="B124">
            <v>28.5</v>
          </cell>
          <cell r="C124">
            <v>64914.17</v>
          </cell>
          <cell r="D124">
            <v>1.7878499999999999</v>
          </cell>
          <cell r="F124">
            <v>101.78571428571428</v>
          </cell>
          <cell r="G124">
            <v>94.643059957214334</v>
          </cell>
        </row>
        <row r="125">
          <cell r="A125">
            <v>40304</v>
          </cell>
          <cell r="B125">
            <v>27.9</v>
          </cell>
          <cell r="C125">
            <v>63414.22</v>
          </cell>
          <cell r="D125">
            <v>1.8084499999999999</v>
          </cell>
          <cell r="F125">
            <v>99.642857142857139</v>
          </cell>
          <cell r="G125">
            <v>92.456174446965605</v>
          </cell>
        </row>
        <row r="126">
          <cell r="A126">
            <v>40305</v>
          </cell>
          <cell r="B126">
            <v>27.99</v>
          </cell>
          <cell r="C126">
            <v>62870.879999999997</v>
          </cell>
          <cell r="D126">
            <v>1.84975</v>
          </cell>
          <cell r="F126">
            <v>99.964285714285708</v>
          </cell>
          <cell r="G126">
            <v>91.663999792384743</v>
          </cell>
        </row>
        <row r="127">
          <cell r="A127">
            <v>40306</v>
          </cell>
          <cell r="B127">
            <v>27.99</v>
          </cell>
          <cell r="C127">
            <v>62870.879999999997</v>
          </cell>
          <cell r="D127">
            <v>1.84975</v>
          </cell>
          <cell r="F127">
            <v>99.964285714285708</v>
          </cell>
          <cell r="G127">
            <v>91.663999792384743</v>
          </cell>
        </row>
        <row r="128">
          <cell r="A128">
            <v>40307</v>
          </cell>
          <cell r="B128">
            <v>27.99</v>
          </cell>
          <cell r="C128">
            <v>62870.879999999997</v>
          </cell>
          <cell r="D128">
            <v>1.84975</v>
          </cell>
          <cell r="F128">
            <v>99.964285714285708</v>
          </cell>
          <cell r="G128">
            <v>91.663999792384743</v>
          </cell>
        </row>
        <row r="129">
          <cell r="A129">
            <v>40308</v>
          </cell>
          <cell r="B129">
            <v>29</v>
          </cell>
          <cell r="C129">
            <v>65452.68</v>
          </cell>
          <cell r="D129">
            <v>1.7876000000000001</v>
          </cell>
          <cell r="F129">
            <v>103.57142857142858</v>
          </cell>
          <cell r="G129">
            <v>95.42819260571865</v>
          </cell>
        </row>
        <row r="130">
          <cell r="A130">
            <v>40309</v>
          </cell>
          <cell r="B130">
            <v>29</v>
          </cell>
          <cell r="C130">
            <v>64424.89</v>
          </cell>
          <cell r="D130">
            <v>1.78285</v>
          </cell>
          <cell r="F130">
            <v>103.57142857142858</v>
          </cell>
          <cell r="G130">
            <v>93.92970328368888</v>
          </cell>
        </row>
        <row r="131">
          <cell r="A131">
            <v>40310</v>
          </cell>
          <cell r="B131">
            <v>29.28</v>
          </cell>
          <cell r="C131">
            <v>65223.63</v>
          </cell>
          <cell r="D131">
            <v>1.77155</v>
          </cell>
          <cell r="F131">
            <v>104.57142857142858</v>
          </cell>
          <cell r="G131">
            <v>95.094244056685369</v>
          </cell>
        </row>
        <row r="132">
          <cell r="A132">
            <v>40311</v>
          </cell>
          <cell r="B132">
            <v>28.9</v>
          </cell>
          <cell r="C132">
            <v>64788.22</v>
          </cell>
          <cell r="D132">
            <v>1.7722500000000001</v>
          </cell>
          <cell r="F132">
            <v>103.21428571428571</v>
          </cell>
          <cell r="G132">
            <v>94.459428349483531</v>
          </cell>
        </row>
        <row r="133">
          <cell r="A133">
            <v>40312</v>
          </cell>
          <cell r="B133">
            <v>28.68</v>
          </cell>
          <cell r="C133">
            <v>63412.47</v>
          </cell>
          <cell r="D133">
            <v>1.7946</v>
          </cell>
          <cell r="F133">
            <v>102.42857142857143</v>
          </cell>
          <cell r="G133">
            <v>92.453622995488587</v>
          </cell>
        </row>
        <row r="134">
          <cell r="A134">
            <v>40313</v>
          </cell>
          <cell r="B134">
            <v>28.68</v>
          </cell>
          <cell r="C134">
            <v>63412.47</v>
          </cell>
          <cell r="D134">
            <v>1.7946</v>
          </cell>
          <cell r="F134">
            <v>102.42857142857143</v>
          </cell>
          <cell r="G134">
            <v>92.453622995488587</v>
          </cell>
        </row>
        <row r="135">
          <cell r="A135">
            <v>40314</v>
          </cell>
          <cell r="B135">
            <v>28.68</v>
          </cell>
          <cell r="C135">
            <v>63412.47</v>
          </cell>
          <cell r="D135">
            <v>1.7946</v>
          </cell>
          <cell r="F135">
            <v>102.42857142857143</v>
          </cell>
          <cell r="G135">
            <v>92.453622995488587</v>
          </cell>
        </row>
        <row r="136">
          <cell r="A136">
            <v>40315</v>
          </cell>
          <cell r="B136">
            <v>28.7</v>
          </cell>
          <cell r="C136">
            <v>62866.26</v>
          </cell>
          <cell r="D136">
            <v>1.8073999999999999</v>
          </cell>
          <cell r="F136">
            <v>102.49999999999999</v>
          </cell>
          <cell r="G136">
            <v>91.657263960485452</v>
          </cell>
        </row>
        <row r="137">
          <cell r="A137">
            <v>40316</v>
          </cell>
          <cell r="B137">
            <v>28.11</v>
          </cell>
          <cell r="C137">
            <v>60841.08</v>
          </cell>
          <cell r="D137">
            <v>1.7967500000000001</v>
          </cell>
          <cell r="F137">
            <v>100.39285714285715</v>
          </cell>
          <cell r="G137">
            <v>88.704607673512186</v>
          </cell>
        </row>
        <row r="138">
          <cell r="A138">
            <v>40317</v>
          </cell>
          <cell r="B138">
            <v>27</v>
          </cell>
          <cell r="C138">
            <v>59689.32</v>
          </cell>
          <cell r="D138">
            <v>1.83765</v>
          </cell>
          <cell r="F138">
            <v>96.428571428571431</v>
          </cell>
          <cell r="G138">
            <v>87.025373528851304</v>
          </cell>
        </row>
        <row r="139">
          <cell r="A139">
            <v>40318</v>
          </cell>
          <cell r="B139">
            <v>25.01</v>
          </cell>
          <cell r="C139">
            <v>58192.08</v>
          </cell>
          <cell r="D139">
            <v>1.8864000000000001</v>
          </cell>
          <cell r="F139">
            <v>89.321428571428569</v>
          </cell>
          <cell r="G139">
            <v>84.842439123461233</v>
          </cell>
        </row>
        <row r="140">
          <cell r="A140">
            <v>40319</v>
          </cell>
          <cell r="B140">
            <v>26</v>
          </cell>
          <cell r="C140">
            <v>60259.33</v>
          </cell>
          <cell r="D140">
            <v>1.8728</v>
          </cell>
          <cell r="F140">
            <v>92.857142857142861</v>
          </cell>
          <cell r="G140">
            <v>87.856432303941716</v>
          </cell>
        </row>
        <row r="141">
          <cell r="A141">
            <v>40320</v>
          </cell>
          <cell r="B141">
            <v>26</v>
          </cell>
          <cell r="C141">
            <v>60259.33</v>
          </cell>
          <cell r="D141">
            <v>1.8728</v>
          </cell>
          <cell r="F141">
            <v>92.857142857142861</v>
          </cell>
          <cell r="G141">
            <v>87.856432303941716</v>
          </cell>
        </row>
        <row r="142">
          <cell r="A142">
            <v>40321</v>
          </cell>
          <cell r="B142">
            <v>26</v>
          </cell>
          <cell r="C142">
            <v>60259.33</v>
          </cell>
          <cell r="D142">
            <v>1.8728</v>
          </cell>
          <cell r="F142">
            <v>92.857142857142861</v>
          </cell>
          <cell r="G142">
            <v>87.856432303941716</v>
          </cell>
        </row>
        <row r="143">
          <cell r="A143">
            <v>40322</v>
          </cell>
          <cell r="B143">
            <v>26.84</v>
          </cell>
          <cell r="C143">
            <v>59915.14</v>
          </cell>
          <cell r="D143">
            <v>1.8485</v>
          </cell>
          <cell r="F143">
            <v>95.857142857142847</v>
          </cell>
          <cell r="G143">
            <v>87.354612827444171</v>
          </cell>
        </row>
        <row r="144">
          <cell r="A144">
            <v>40323</v>
          </cell>
          <cell r="B144">
            <v>28.9</v>
          </cell>
          <cell r="C144">
            <v>59184.08</v>
          </cell>
          <cell r="D144">
            <v>1.8866000000000001</v>
          </cell>
          <cell r="F144">
            <v>103.21428571428571</v>
          </cell>
          <cell r="G144">
            <v>86.288747617855549</v>
          </cell>
        </row>
        <row r="145">
          <cell r="A145">
            <v>40324</v>
          </cell>
          <cell r="B145">
            <v>28.5</v>
          </cell>
          <cell r="C145">
            <v>60190.36</v>
          </cell>
          <cell r="D145">
            <v>1.8408</v>
          </cell>
          <cell r="F145">
            <v>101.78571428571428</v>
          </cell>
          <cell r="G145">
            <v>87.755875956302233</v>
          </cell>
        </row>
        <row r="146">
          <cell r="A146">
            <v>40325</v>
          </cell>
          <cell r="B146">
            <v>29.5</v>
          </cell>
          <cell r="C146">
            <v>62091.77</v>
          </cell>
          <cell r="D146">
            <v>1.8319000000000001</v>
          </cell>
          <cell r="F146">
            <v>105.35714285714286</v>
          </cell>
          <cell r="G146">
            <v>90.528079015098896</v>
          </cell>
        </row>
        <row r="147">
          <cell r="A147">
            <v>40326</v>
          </cell>
          <cell r="B147">
            <v>29.7</v>
          </cell>
          <cell r="C147">
            <v>61946.99</v>
          </cell>
          <cell r="D147">
            <v>1.8245</v>
          </cell>
          <cell r="F147">
            <v>106.07142857142857</v>
          </cell>
          <cell r="G147">
            <v>90.316993789475504</v>
          </cell>
        </row>
        <row r="148">
          <cell r="A148">
            <v>40327</v>
          </cell>
          <cell r="B148">
            <v>29.7</v>
          </cell>
          <cell r="C148">
            <v>61946.99</v>
          </cell>
          <cell r="D148">
            <v>1.8245</v>
          </cell>
          <cell r="F148">
            <v>106.07142857142857</v>
          </cell>
          <cell r="G148">
            <v>90.316993789475504</v>
          </cell>
        </row>
        <row r="149">
          <cell r="A149">
            <v>40328</v>
          </cell>
          <cell r="B149">
            <v>29.7</v>
          </cell>
          <cell r="C149">
            <v>61946.99</v>
          </cell>
          <cell r="D149">
            <v>1.8245</v>
          </cell>
          <cell r="F149">
            <v>106.07142857142857</v>
          </cell>
          <cell r="G149">
            <v>90.316993789475504</v>
          </cell>
        </row>
        <row r="150">
          <cell r="A150">
            <v>40329</v>
          </cell>
          <cell r="B150">
            <v>29.7</v>
          </cell>
          <cell r="C150">
            <v>61946.99</v>
          </cell>
          <cell r="D150">
            <v>1.8245</v>
          </cell>
          <cell r="F150">
            <v>106.07142857142857</v>
          </cell>
          <cell r="G150">
            <v>90.316993789475504</v>
          </cell>
        </row>
        <row r="151">
          <cell r="A151">
            <v>40330</v>
          </cell>
          <cell r="B151">
            <v>29.5</v>
          </cell>
          <cell r="C151">
            <v>61840.99</v>
          </cell>
          <cell r="D151">
            <v>1.8204</v>
          </cell>
          <cell r="F151">
            <v>105.35714285714286</v>
          </cell>
          <cell r="G151">
            <v>90.162448728582561</v>
          </cell>
        </row>
        <row r="152">
          <cell r="A152">
            <v>40331</v>
          </cell>
          <cell r="B152">
            <v>29.7</v>
          </cell>
          <cell r="C152">
            <v>62942.91</v>
          </cell>
          <cell r="D152">
            <v>1.83365</v>
          </cell>
          <cell r="F152">
            <v>106.07142857142857</v>
          </cell>
          <cell r="G152">
            <v>91.769017535178321</v>
          </cell>
        </row>
        <row r="153">
          <cell r="A153">
            <v>40332</v>
          </cell>
          <cell r="B153">
            <v>29.7</v>
          </cell>
          <cell r="C153">
            <v>62942.91</v>
          </cell>
          <cell r="D153">
            <v>1.8191999999999999</v>
          </cell>
          <cell r="F153">
            <v>106.07142857142857</v>
          </cell>
          <cell r="G153">
            <v>91.769017535178321</v>
          </cell>
        </row>
        <row r="154">
          <cell r="A154">
            <v>40333</v>
          </cell>
          <cell r="B154">
            <v>30</v>
          </cell>
          <cell r="C154">
            <v>61675.75</v>
          </cell>
          <cell r="D154">
            <v>1.83975</v>
          </cell>
          <cell r="F154">
            <v>107.14285714285714</v>
          </cell>
          <cell r="G154">
            <v>89.921533390262283</v>
          </cell>
        </row>
        <row r="155">
          <cell r="A155">
            <v>40334</v>
          </cell>
          <cell r="B155">
            <v>30</v>
          </cell>
          <cell r="C155">
            <v>61675.75</v>
          </cell>
          <cell r="D155">
            <v>1.83975</v>
          </cell>
          <cell r="F155">
            <v>107.14285714285714</v>
          </cell>
          <cell r="G155">
            <v>89.921533390262283</v>
          </cell>
        </row>
        <row r="156">
          <cell r="A156">
            <v>40335</v>
          </cell>
          <cell r="B156">
            <v>30</v>
          </cell>
          <cell r="C156">
            <v>61675.75</v>
          </cell>
          <cell r="D156">
            <v>1.83975</v>
          </cell>
          <cell r="F156">
            <v>107.14285714285714</v>
          </cell>
          <cell r="G156">
            <v>89.921533390262283</v>
          </cell>
        </row>
        <row r="157">
          <cell r="A157">
            <v>40336</v>
          </cell>
          <cell r="B157">
            <v>30.49</v>
          </cell>
          <cell r="C157">
            <v>61182.92</v>
          </cell>
          <cell r="D157">
            <v>1.8701000000000001</v>
          </cell>
          <cell r="F157">
            <v>108.89285714285715</v>
          </cell>
          <cell r="G157">
            <v>89.203000915169184</v>
          </cell>
        </row>
        <row r="158">
          <cell r="A158">
            <v>40337</v>
          </cell>
          <cell r="B158">
            <v>30.45</v>
          </cell>
          <cell r="C158">
            <v>61793</v>
          </cell>
          <cell r="D158">
            <v>1.8734999999999999</v>
          </cell>
          <cell r="F158">
            <v>108.74999999999999</v>
          </cell>
          <cell r="G158">
            <v>90.092480639221691</v>
          </cell>
        </row>
        <row r="159">
          <cell r="A159">
            <v>40338</v>
          </cell>
          <cell r="B159">
            <v>30</v>
          </cell>
          <cell r="C159">
            <v>61478.61</v>
          </cell>
          <cell r="D159">
            <v>1.8412500000000001</v>
          </cell>
          <cell r="F159">
            <v>107.14285714285714</v>
          </cell>
          <cell r="G159">
            <v>89.634108736446876</v>
          </cell>
        </row>
        <row r="160">
          <cell r="A160">
            <v>40339</v>
          </cell>
          <cell r="B160">
            <v>29.9</v>
          </cell>
          <cell r="C160">
            <v>63048.800000000003</v>
          </cell>
          <cell r="D160">
            <v>1.8202499999999999</v>
          </cell>
          <cell r="F160">
            <v>106.78571428571428</v>
          </cell>
          <cell r="G160">
            <v>91.923402219121272</v>
          </cell>
        </row>
        <row r="161">
          <cell r="A161">
            <v>40340</v>
          </cell>
          <cell r="B161">
            <v>30.9</v>
          </cell>
          <cell r="C161">
            <v>63605.38</v>
          </cell>
          <cell r="D161">
            <v>1.8079000000000001</v>
          </cell>
          <cell r="F161">
            <v>110.35714285714285</v>
          </cell>
          <cell r="G161">
            <v>92.734880426591019</v>
          </cell>
        </row>
        <row r="162">
          <cell r="A162">
            <v>40341</v>
          </cell>
          <cell r="B162">
            <v>30.9</v>
          </cell>
          <cell r="C162">
            <v>63605.38</v>
          </cell>
          <cell r="D162">
            <v>1.8079000000000001</v>
          </cell>
          <cell r="F162">
            <v>110.35714285714285</v>
          </cell>
          <cell r="G162">
            <v>92.734880426591019</v>
          </cell>
        </row>
        <row r="163">
          <cell r="A163">
            <v>40342</v>
          </cell>
          <cell r="B163">
            <v>30.9</v>
          </cell>
          <cell r="C163">
            <v>63605.38</v>
          </cell>
          <cell r="D163">
            <v>1.8079000000000001</v>
          </cell>
          <cell r="F163">
            <v>110.35714285714285</v>
          </cell>
          <cell r="G163">
            <v>92.734880426591019</v>
          </cell>
        </row>
        <row r="164">
          <cell r="A164">
            <v>40343</v>
          </cell>
          <cell r="B164">
            <v>31.5</v>
          </cell>
          <cell r="C164">
            <v>63532.85</v>
          </cell>
          <cell r="D164">
            <v>1.8010999999999999</v>
          </cell>
          <cell r="F164">
            <v>112.5</v>
          </cell>
          <cell r="G164">
            <v>92.62913369766116</v>
          </cell>
        </row>
        <row r="165">
          <cell r="A165">
            <v>40344</v>
          </cell>
          <cell r="B165">
            <v>32.79</v>
          </cell>
          <cell r="C165">
            <v>64442.27</v>
          </cell>
          <cell r="D165">
            <v>1.7940499999999999</v>
          </cell>
          <cell r="F165">
            <v>117.10714285714286</v>
          </cell>
          <cell r="G165">
            <v>93.955042841786224</v>
          </cell>
        </row>
        <row r="166">
          <cell r="A166">
            <v>40345</v>
          </cell>
          <cell r="B166">
            <v>33.99</v>
          </cell>
          <cell r="C166">
            <v>64750.71</v>
          </cell>
          <cell r="D166">
            <v>1.7903500000000001</v>
          </cell>
          <cell r="F166">
            <v>121.39285714285715</v>
          </cell>
          <cell r="G166">
            <v>94.404739809539237</v>
          </cell>
        </row>
        <row r="167">
          <cell r="A167">
            <v>40346</v>
          </cell>
          <cell r="B167">
            <v>32.520000000000003</v>
          </cell>
          <cell r="C167">
            <v>64540.91</v>
          </cell>
          <cell r="D167">
            <v>1.7837000000000001</v>
          </cell>
          <cell r="F167">
            <v>116.14285714285715</v>
          </cell>
          <cell r="G167">
            <v>94.098857226753026</v>
          </cell>
        </row>
        <row r="168">
          <cell r="A168">
            <v>40347</v>
          </cell>
          <cell r="B168">
            <v>32.75</v>
          </cell>
          <cell r="C168">
            <v>64437.58</v>
          </cell>
          <cell r="D168">
            <v>1.7732000000000001</v>
          </cell>
          <cell r="F168">
            <v>116.96428571428572</v>
          </cell>
          <cell r="G168">
            <v>93.948204951827861</v>
          </cell>
        </row>
        <row r="169">
          <cell r="A169">
            <v>40348</v>
          </cell>
          <cell r="B169">
            <v>32.75</v>
          </cell>
          <cell r="C169">
            <v>64437.58</v>
          </cell>
          <cell r="D169">
            <v>1.7732000000000001</v>
          </cell>
          <cell r="F169">
            <v>116.96428571428572</v>
          </cell>
          <cell r="G169">
            <v>93.948204951827861</v>
          </cell>
        </row>
        <row r="170">
          <cell r="A170">
            <v>40349</v>
          </cell>
          <cell r="B170">
            <v>32.75</v>
          </cell>
          <cell r="C170">
            <v>64437.58</v>
          </cell>
          <cell r="D170">
            <v>1.7732000000000001</v>
          </cell>
          <cell r="F170">
            <v>116.96428571428572</v>
          </cell>
          <cell r="G170">
            <v>93.948204951827861</v>
          </cell>
        </row>
        <row r="171">
          <cell r="A171">
            <v>40350</v>
          </cell>
          <cell r="B171">
            <v>33.35</v>
          </cell>
          <cell r="C171">
            <v>64829.03</v>
          </cell>
          <cell r="D171">
            <v>1.7637</v>
          </cell>
          <cell r="F171">
            <v>119.10714285714286</v>
          </cell>
          <cell r="G171">
            <v>94.518928197927309</v>
          </cell>
        </row>
        <row r="172">
          <cell r="A172">
            <v>40351</v>
          </cell>
          <cell r="B172">
            <v>33.49</v>
          </cell>
          <cell r="C172">
            <v>64810.62</v>
          </cell>
          <cell r="D172">
            <v>1.7641500000000001</v>
          </cell>
          <cell r="F172">
            <v>119.60714285714286</v>
          </cell>
          <cell r="G172">
            <v>94.492086928389213</v>
          </cell>
        </row>
        <row r="173">
          <cell r="A173">
            <v>40352</v>
          </cell>
          <cell r="B173">
            <v>33</v>
          </cell>
          <cell r="C173">
            <v>65160.33</v>
          </cell>
          <cell r="D173">
            <v>1.7968500000000001</v>
          </cell>
          <cell r="F173">
            <v>117.85714285714286</v>
          </cell>
          <cell r="G173">
            <v>95.001954411831377</v>
          </cell>
        </row>
        <row r="174">
          <cell r="A174">
            <v>40353</v>
          </cell>
          <cell r="B174">
            <v>33.99</v>
          </cell>
          <cell r="C174">
            <v>63936.7</v>
          </cell>
          <cell r="D174">
            <v>1.7924</v>
          </cell>
          <cell r="F174">
            <v>121.39285714285715</v>
          </cell>
          <cell r="G174">
            <v>93.217935799940534</v>
          </cell>
        </row>
        <row r="175">
          <cell r="A175">
            <v>40354</v>
          </cell>
          <cell r="B175">
            <v>34</v>
          </cell>
          <cell r="C175">
            <v>64823.83</v>
          </cell>
          <cell r="D175">
            <v>1.7867999999999999</v>
          </cell>
          <cell r="F175">
            <v>121.42857142857142</v>
          </cell>
          <cell r="G175">
            <v>94.511346742109922</v>
          </cell>
        </row>
        <row r="176">
          <cell r="A176">
            <v>40355</v>
          </cell>
          <cell r="B176">
            <v>34</v>
          </cell>
          <cell r="C176">
            <v>64823.83</v>
          </cell>
          <cell r="D176">
            <v>1.7867999999999999</v>
          </cell>
          <cell r="F176">
            <v>121.42857142857142</v>
          </cell>
          <cell r="G176">
            <v>94.511346742109922</v>
          </cell>
        </row>
        <row r="177">
          <cell r="A177">
            <v>40356</v>
          </cell>
          <cell r="B177">
            <v>34</v>
          </cell>
          <cell r="C177">
            <v>64823.83</v>
          </cell>
          <cell r="D177">
            <v>1.7867999999999999</v>
          </cell>
          <cell r="F177">
            <v>121.42857142857142</v>
          </cell>
          <cell r="G177">
            <v>94.511346742109922</v>
          </cell>
        </row>
        <row r="178">
          <cell r="A178">
            <v>40357</v>
          </cell>
          <cell r="B178">
            <v>34.89</v>
          </cell>
          <cell r="C178">
            <v>64225.22</v>
          </cell>
          <cell r="D178">
            <v>1.7789999999999999</v>
          </cell>
          <cell r="F178">
            <v>124.60714285714285</v>
          </cell>
          <cell r="G178">
            <v>93.63858996002385</v>
          </cell>
        </row>
        <row r="179">
          <cell r="A179">
            <v>40358</v>
          </cell>
          <cell r="B179">
            <v>35</v>
          </cell>
          <cell r="C179">
            <v>61977.91</v>
          </cell>
          <cell r="D179">
            <v>1.8023</v>
          </cell>
          <cell r="F179">
            <v>125</v>
          </cell>
          <cell r="G179">
            <v>90.362074292143518</v>
          </cell>
        </row>
        <row r="180">
          <cell r="A180">
            <v>40359</v>
          </cell>
          <cell r="B180">
            <v>34.5</v>
          </cell>
          <cell r="C180">
            <v>60935.9</v>
          </cell>
          <cell r="D180">
            <v>1.8025</v>
          </cell>
          <cell r="F180">
            <v>123.21428571428572</v>
          </cell>
          <cell r="G180">
            <v>88.842852604397734</v>
          </cell>
        </row>
        <row r="181">
          <cell r="A181">
            <v>40360</v>
          </cell>
          <cell r="B181">
            <v>34</v>
          </cell>
          <cell r="C181">
            <v>61236.2</v>
          </cell>
          <cell r="D181">
            <v>1.8050999999999999</v>
          </cell>
          <cell r="F181">
            <v>121.42857142857142</v>
          </cell>
          <cell r="G181">
            <v>89.280681677851987</v>
          </cell>
        </row>
        <row r="182">
          <cell r="A182">
            <v>40361</v>
          </cell>
          <cell r="B182">
            <v>34.700000000000003</v>
          </cell>
          <cell r="C182">
            <v>61429.79</v>
          </cell>
          <cell r="D182">
            <v>1.7716000000000001</v>
          </cell>
          <cell r="F182">
            <v>123.92857142857143</v>
          </cell>
          <cell r="G182">
            <v>89.562930530099763</v>
          </cell>
        </row>
        <row r="183">
          <cell r="A183">
            <v>40362</v>
          </cell>
          <cell r="B183">
            <v>34.700000000000003</v>
          </cell>
          <cell r="C183">
            <v>61429.79</v>
          </cell>
          <cell r="D183">
            <v>1.7716000000000001</v>
          </cell>
          <cell r="F183">
            <v>123.92857142857143</v>
          </cell>
          <cell r="G183">
            <v>89.562930530099763</v>
          </cell>
        </row>
        <row r="184">
          <cell r="A184">
            <v>40363</v>
          </cell>
          <cell r="B184">
            <v>34.700000000000003</v>
          </cell>
          <cell r="C184">
            <v>61429.79</v>
          </cell>
          <cell r="D184">
            <v>1.7716000000000001</v>
          </cell>
          <cell r="F184">
            <v>123.92857142857143</v>
          </cell>
          <cell r="G184">
            <v>89.562930530099763</v>
          </cell>
        </row>
        <row r="185">
          <cell r="A185">
            <v>40364</v>
          </cell>
          <cell r="B185">
            <v>34.700000000000003</v>
          </cell>
          <cell r="C185">
            <v>61429.79</v>
          </cell>
          <cell r="D185">
            <v>1.7716000000000001</v>
          </cell>
          <cell r="F185">
            <v>123.92857142857143</v>
          </cell>
          <cell r="G185">
            <v>89.562930530099763</v>
          </cell>
        </row>
        <row r="186">
          <cell r="A186">
            <v>40365</v>
          </cell>
          <cell r="B186">
            <v>34.43</v>
          </cell>
          <cell r="C186">
            <v>62064.75</v>
          </cell>
          <cell r="D186">
            <v>1.7646500000000001</v>
          </cell>
          <cell r="F186">
            <v>122.96428571428571</v>
          </cell>
          <cell r="G186">
            <v>90.488684604293923</v>
          </cell>
        </row>
        <row r="187">
          <cell r="A187">
            <v>40366</v>
          </cell>
          <cell r="B187">
            <v>35</v>
          </cell>
          <cell r="C187">
            <v>63283.8</v>
          </cell>
          <cell r="D187">
            <v>1.7698</v>
          </cell>
          <cell r="F187">
            <v>125</v>
          </cell>
          <cell r="G187">
            <v>92.266025703176382</v>
          </cell>
        </row>
        <row r="188">
          <cell r="A188">
            <v>40367</v>
          </cell>
          <cell r="B188">
            <v>35</v>
          </cell>
          <cell r="C188">
            <v>63476.32</v>
          </cell>
          <cell r="D188">
            <v>1.7686999999999999</v>
          </cell>
          <cell r="F188">
            <v>125</v>
          </cell>
          <cell r="G188">
            <v>92.546714525092497</v>
          </cell>
        </row>
        <row r="189">
          <cell r="A189">
            <v>40368</v>
          </cell>
          <cell r="B189">
            <v>35</v>
          </cell>
          <cell r="C189">
            <v>63476.32</v>
          </cell>
          <cell r="D189">
            <v>1.76075</v>
          </cell>
          <cell r="F189">
            <v>125</v>
          </cell>
          <cell r="G189">
            <v>92.546714525092497</v>
          </cell>
        </row>
        <row r="190">
          <cell r="A190">
            <v>40369</v>
          </cell>
          <cell r="B190">
            <v>35</v>
          </cell>
          <cell r="C190">
            <v>63476.32</v>
          </cell>
          <cell r="D190">
            <v>1.76075</v>
          </cell>
          <cell r="F190">
            <v>125</v>
          </cell>
          <cell r="G190">
            <v>92.546714525092497</v>
          </cell>
        </row>
        <row r="191">
          <cell r="A191">
            <v>40370</v>
          </cell>
          <cell r="B191">
            <v>35</v>
          </cell>
          <cell r="C191">
            <v>63476.32</v>
          </cell>
          <cell r="D191">
            <v>1.76075</v>
          </cell>
          <cell r="F191">
            <v>125</v>
          </cell>
          <cell r="G191">
            <v>92.546714525092497</v>
          </cell>
        </row>
        <row r="192">
          <cell r="A192">
            <v>40371</v>
          </cell>
          <cell r="B192">
            <v>34.75</v>
          </cell>
          <cell r="C192">
            <v>62960.1</v>
          </cell>
          <cell r="D192">
            <v>1.76315</v>
          </cell>
          <cell r="F192">
            <v>124.10714285714286</v>
          </cell>
          <cell r="G192">
            <v>91.794080078543871</v>
          </cell>
        </row>
        <row r="193">
          <cell r="A193">
            <v>40372</v>
          </cell>
          <cell r="B193">
            <v>34.75</v>
          </cell>
          <cell r="C193">
            <v>63685.56</v>
          </cell>
          <cell r="D193">
            <v>1.7516499999999999</v>
          </cell>
          <cell r="F193">
            <v>124.10714285714286</v>
          </cell>
          <cell r="G193">
            <v>92.851780643406073</v>
          </cell>
        </row>
        <row r="194">
          <cell r="A194">
            <v>40373</v>
          </cell>
          <cell r="B194">
            <v>34.74</v>
          </cell>
          <cell r="C194">
            <v>63479.46</v>
          </cell>
          <cell r="D194">
            <v>1.7649999999999999</v>
          </cell>
          <cell r="F194">
            <v>124.07142857142858</v>
          </cell>
          <cell r="G194">
            <v>92.551292558028393</v>
          </cell>
        </row>
        <row r="195">
          <cell r="A195">
            <v>40374</v>
          </cell>
          <cell r="B195">
            <v>35</v>
          </cell>
          <cell r="C195">
            <v>63489.37</v>
          </cell>
          <cell r="D195">
            <v>1.7693000000000001</v>
          </cell>
          <cell r="F195">
            <v>125</v>
          </cell>
          <cell r="G195">
            <v>92.565741063249604</v>
          </cell>
        </row>
        <row r="196">
          <cell r="A196">
            <v>40375</v>
          </cell>
          <cell r="B196">
            <v>34.4</v>
          </cell>
          <cell r="C196">
            <v>62339.27</v>
          </cell>
          <cell r="D196">
            <v>1.7783500000000001</v>
          </cell>
          <cell r="F196">
            <v>122.85714285714285</v>
          </cell>
          <cell r="G196">
            <v>90.888927152561195</v>
          </cell>
        </row>
        <row r="197">
          <cell r="A197">
            <v>40376</v>
          </cell>
          <cell r="B197">
            <v>34.4</v>
          </cell>
          <cell r="C197">
            <v>62339.27</v>
          </cell>
          <cell r="D197">
            <v>1.7783500000000001</v>
          </cell>
          <cell r="F197">
            <v>122.85714285714285</v>
          </cell>
          <cell r="G197">
            <v>90.888927152561195</v>
          </cell>
        </row>
        <row r="198">
          <cell r="A198">
            <v>40377</v>
          </cell>
          <cell r="B198">
            <v>34.4</v>
          </cell>
          <cell r="C198">
            <v>62339.27</v>
          </cell>
          <cell r="D198">
            <v>1.7783500000000001</v>
          </cell>
          <cell r="F198">
            <v>122.85714285714285</v>
          </cell>
          <cell r="G198">
            <v>90.888927152561195</v>
          </cell>
        </row>
        <row r="199">
          <cell r="A199">
            <v>40378</v>
          </cell>
          <cell r="B199">
            <v>34.49</v>
          </cell>
          <cell r="C199">
            <v>63297.04</v>
          </cell>
          <cell r="D199">
            <v>1.7847999999999999</v>
          </cell>
          <cell r="F199">
            <v>123.17857142857143</v>
          </cell>
          <cell r="G199">
            <v>92.285329256065268</v>
          </cell>
        </row>
        <row r="200">
          <cell r="A200">
            <v>40379</v>
          </cell>
          <cell r="B200">
            <v>34.4</v>
          </cell>
          <cell r="C200">
            <v>64462.5</v>
          </cell>
          <cell r="D200">
            <v>1.7808999999999999</v>
          </cell>
          <cell r="F200">
            <v>122.85714285714285</v>
          </cell>
          <cell r="G200">
            <v>93.984537620860436</v>
          </cell>
        </row>
        <row r="201">
          <cell r="A201">
            <v>40380</v>
          </cell>
          <cell r="B201">
            <v>34.799999999999997</v>
          </cell>
          <cell r="C201">
            <v>64476.84</v>
          </cell>
          <cell r="D201">
            <v>1.77495</v>
          </cell>
          <cell r="F201">
            <v>124.28571428571426</v>
          </cell>
          <cell r="G201">
            <v>94.005444943249145</v>
          </cell>
        </row>
        <row r="202">
          <cell r="A202">
            <v>40381</v>
          </cell>
          <cell r="B202">
            <v>34.9</v>
          </cell>
          <cell r="C202">
            <v>65748.100000000006</v>
          </cell>
          <cell r="D202">
            <v>1.7615000000000001</v>
          </cell>
          <cell r="F202">
            <v>124.64285714285714</v>
          </cell>
          <cell r="G202">
            <v>95.858906774482747</v>
          </cell>
        </row>
        <row r="203">
          <cell r="A203">
            <v>40382</v>
          </cell>
          <cell r="B203">
            <v>34.200000000000003</v>
          </cell>
          <cell r="C203">
            <v>66322.990000000005</v>
          </cell>
          <cell r="D203">
            <v>1.7618</v>
          </cell>
          <cell r="F203">
            <v>122.14285714285715</v>
          </cell>
          <cell r="G203">
            <v>96.697080454263343</v>
          </cell>
        </row>
        <row r="204">
          <cell r="A204">
            <v>40383</v>
          </cell>
          <cell r="B204">
            <v>34.200000000000003</v>
          </cell>
          <cell r="C204">
            <v>66322.990000000005</v>
          </cell>
          <cell r="D204">
            <v>1.7618</v>
          </cell>
          <cell r="F204">
            <v>122.14285714285715</v>
          </cell>
          <cell r="G204">
            <v>96.697080454263343</v>
          </cell>
        </row>
        <row r="205">
          <cell r="A205">
            <v>40384</v>
          </cell>
          <cell r="B205">
            <v>34.200000000000003</v>
          </cell>
          <cell r="C205">
            <v>66322.990000000005</v>
          </cell>
          <cell r="D205">
            <v>1.7618</v>
          </cell>
          <cell r="F205">
            <v>122.14285714285715</v>
          </cell>
          <cell r="G205">
            <v>96.697080454263343</v>
          </cell>
        </row>
        <row r="206">
          <cell r="A206">
            <v>40385</v>
          </cell>
          <cell r="B206">
            <v>34.15</v>
          </cell>
          <cell r="C206">
            <v>66443.259999999995</v>
          </cell>
          <cell r="D206">
            <v>1.7714000000000001</v>
          </cell>
          <cell r="F206">
            <v>121.96428571428571</v>
          </cell>
          <cell r="G206">
            <v>96.87243077948591</v>
          </cell>
        </row>
        <row r="207">
          <cell r="A207">
            <v>40386</v>
          </cell>
          <cell r="B207">
            <v>34.700000000000003</v>
          </cell>
          <cell r="C207">
            <v>66674.44</v>
          </cell>
          <cell r="D207">
            <v>1.76675</v>
          </cell>
          <cell r="F207">
            <v>123.92857142857143</v>
          </cell>
          <cell r="G207">
            <v>97.209484809459795</v>
          </cell>
        </row>
        <row r="208">
          <cell r="A208">
            <v>40387</v>
          </cell>
          <cell r="B208">
            <v>35</v>
          </cell>
          <cell r="C208">
            <v>66808.25</v>
          </cell>
          <cell r="D208">
            <v>1.7639</v>
          </cell>
          <cell r="F208">
            <v>125</v>
          </cell>
          <cell r="G208">
            <v>97.404576079253033</v>
          </cell>
        </row>
        <row r="209">
          <cell r="A209">
            <v>40388</v>
          </cell>
          <cell r="B209">
            <v>35</v>
          </cell>
          <cell r="C209">
            <v>66953.83</v>
          </cell>
          <cell r="D209">
            <v>1.7637499999999999</v>
          </cell>
          <cell r="F209">
            <v>125</v>
          </cell>
          <cell r="G209">
            <v>97.616827682694492</v>
          </cell>
        </row>
        <row r="210">
          <cell r="A210">
            <v>40389</v>
          </cell>
          <cell r="B210">
            <v>36.6</v>
          </cell>
          <cell r="C210">
            <v>67515.399999999994</v>
          </cell>
          <cell r="D210">
            <v>1.75925</v>
          </cell>
          <cell r="F210">
            <v>130.71428571428572</v>
          </cell>
          <cell r="G210">
            <v>98.435581171804373</v>
          </cell>
        </row>
        <row r="211">
          <cell r="A211">
            <v>40390</v>
          </cell>
          <cell r="B211">
            <v>36.6</v>
          </cell>
          <cell r="C211">
            <v>67515.399999999994</v>
          </cell>
          <cell r="D211">
            <v>1.75925</v>
          </cell>
          <cell r="F211">
            <v>130.71428571428572</v>
          </cell>
          <cell r="G211">
            <v>98.435581171804373</v>
          </cell>
        </row>
        <row r="212">
          <cell r="A212">
            <v>40391</v>
          </cell>
          <cell r="B212">
            <v>36.6</v>
          </cell>
          <cell r="C212">
            <v>67515.399999999994</v>
          </cell>
          <cell r="D212">
            <v>1.75925</v>
          </cell>
          <cell r="F212">
            <v>130.71428571428572</v>
          </cell>
          <cell r="G212">
            <v>98.435581171804373</v>
          </cell>
        </row>
        <row r="213">
          <cell r="A213">
            <v>40392</v>
          </cell>
          <cell r="B213">
            <v>36.5</v>
          </cell>
          <cell r="C213">
            <v>68517.460000000006</v>
          </cell>
          <cell r="D213">
            <v>1.7472000000000001</v>
          </cell>
          <cell r="F213">
            <v>130.35714285714286</v>
          </cell>
          <cell r="G213">
            <v>99.896556867260813</v>
          </cell>
        </row>
        <row r="214">
          <cell r="A214">
            <v>40393</v>
          </cell>
          <cell r="B214">
            <v>36</v>
          </cell>
          <cell r="C214">
            <v>67997.36</v>
          </cell>
          <cell r="D214">
            <v>1.7615000000000001</v>
          </cell>
          <cell r="F214">
            <v>128.57142857142858</v>
          </cell>
          <cell r="G214">
            <v>99.138265488294593</v>
          </cell>
        </row>
        <row r="215">
          <cell r="A215">
            <v>40394</v>
          </cell>
          <cell r="B215">
            <v>35.950000000000003</v>
          </cell>
          <cell r="C215">
            <v>68272</v>
          </cell>
          <cell r="D215">
            <v>1.75925</v>
          </cell>
          <cell r="F215">
            <v>128.39285714285717</v>
          </cell>
          <cell r="G215">
            <v>99.538682993234559</v>
          </cell>
        </row>
        <row r="216">
          <cell r="A216">
            <v>40395</v>
          </cell>
          <cell r="B216">
            <v>36.25</v>
          </cell>
          <cell r="C216">
            <v>68411.72</v>
          </cell>
          <cell r="D216">
            <v>1.7563500000000001</v>
          </cell>
          <cell r="F216">
            <v>129.46428571428572</v>
          </cell>
          <cell r="G216">
            <v>99.742390879158734</v>
          </cell>
        </row>
        <row r="217">
          <cell r="A217">
            <v>40396</v>
          </cell>
          <cell r="B217">
            <v>36.36</v>
          </cell>
          <cell r="C217">
            <v>68094.759999999995</v>
          </cell>
          <cell r="D217">
            <v>1.75875</v>
          </cell>
          <cell r="F217">
            <v>129.85714285714286</v>
          </cell>
          <cell r="G217">
            <v>99.280271987643374</v>
          </cell>
        </row>
        <row r="218">
          <cell r="A218">
            <v>40397</v>
          </cell>
          <cell r="B218">
            <v>36.36</v>
          </cell>
          <cell r="C218">
            <v>68094.759999999995</v>
          </cell>
          <cell r="D218">
            <v>1.75875</v>
          </cell>
          <cell r="F218">
            <v>129.85714285714286</v>
          </cell>
          <cell r="G218">
            <v>99.280271987643374</v>
          </cell>
        </row>
        <row r="219">
          <cell r="A219">
            <v>40398</v>
          </cell>
          <cell r="B219">
            <v>36.36</v>
          </cell>
          <cell r="C219">
            <v>68094.759999999995</v>
          </cell>
          <cell r="D219">
            <v>1.75875</v>
          </cell>
          <cell r="F219">
            <v>129.85714285714286</v>
          </cell>
          <cell r="G219">
            <v>99.280271987643374</v>
          </cell>
        </row>
        <row r="220">
          <cell r="A220">
            <v>40399</v>
          </cell>
          <cell r="B220">
            <v>36.5</v>
          </cell>
          <cell r="C220">
            <v>67862.28</v>
          </cell>
          <cell r="D220">
            <v>1.7544999999999999</v>
          </cell>
          <cell r="F220">
            <v>130.35714285714286</v>
          </cell>
          <cell r="G220">
            <v>98.941322593715171</v>
          </cell>
        </row>
        <row r="221">
          <cell r="A221">
            <v>40400</v>
          </cell>
          <cell r="B221">
            <v>36.5</v>
          </cell>
          <cell r="C221">
            <v>67223.23</v>
          </cell>
          <cell r="D221">
            <v>1.7614000000000001</v>
          </cell>
          <cell r="F221">
            <v>130.35714285714286</v>
          </cell>
          <cell r="G221">
            <v>98.009605412926177</v>
          </cell>
        </row>
        <row r="222">
          <cell r="A222">
            <v>40401</v>
          </cell>
          <cell r="B222">
            <v>36</v>
          </cell>
          <cell r="C222">
            <v>65790.289999999994</v>
          </cell>
          <cell r="D222">
            <v>1.7721</v>
          </cell>
          <cell r="F222">
            <v>128.57142857142858</v>
          </cell>
          <cell r="G222">
            <v>95.920418624662659</v>
          </cell>
        </row>
        <row r="223">
          <cell r="A223">
            <v>40402</v>
          </cell>
          <cell r="B223">
            <v>35.799999999999997</v>
          </cell>
          <cell r="C223">
            <v>65966.17</v>
          </cell>
          <cell r="D223">
            <v>1.76925</v>
          </cell>
          <cell r="F223">
            <v>127.85714285714285</v>
          </cell>
          <cell r="G223">
            <v>96.176846787963143</v>
          </cell>
        </row>
        <row r="224">
          <cell r="A224">
            <v>40403</v>
          </cell>
          <cell r="B224">
            <v>38</v>
          </cell>
          <cell r="C224">
            <v>66264.429999999993</v>
          </cell>
          <cell r="D224">
            <v>1.7709999999999999</v>
          </cell>
          <cell r="F224">
            <v>135.71428571428572</v>
          </cell>
          <cell r="G224">
            <v>96.611701597981337</v>
          </cell>
        </row>
        <row r="225">
          <cell r="A225">
            <v>40404</v>
          </cell>
          <cell r="B225">
            <v>38</v>
          </cell>
          <cell r="C225">
            <v>66264.429999999993</v>
          </cell>
          <cell r="D225">
            <v>1.7709999999999999</v>
          </cell>
          <cell r="F225">
            <v>135.71428571428572</v>
          </cell>
          <cell r="G225">
            <v>96.611701597981337</v>
          </cell>
        </row>
        <row r="226">
          <cell r="A226">
            <v>40405</v>
          </cell>
          <cell r="B226">
            <v>38</v>
          </cell>
          <cell r="C226">
            <v>66264.429999999993</v>
          </cell>
          <cell r="D226">
            <v>1.7709999999999999</v>
          </cell>
          <cell r="F226">
            <v>135.71428571428572</v>
          </cell>
          <cell r="G226">
            <v>96.611701597981337</v>
          </cell>
        </row>
        <row r="227">
          <cell r="A227">
            <v>40406</v>
          </cell>
          <cell r="B227">
            <v>37.5</v>
          </cell>
          <cell r="C227">
            <v>66701.89</v>
          </cell>
          <cell r="D227">
            <v>1.76315</v>
          </cell>
          <cell r="F227">
            <v>133.92857142857142</v>
          </cell>
          <cell r="G227">
            <v>97.249506148341965</v>
          </cell>
        </row>
        <row r="228">
          <cell r="A228">
            <v>40407</v>
          </cell>
          <cell r="B228">
            <v>36.76</v>
          </cell>
          <cell r="C228">
            <v>67583.77</v>
          </cell>
          <cell r="D228">
            <v>1.75065</v>
          </cell>
          <cell r="F228">
            <v>131.28571428571428</v>
          </cell>
          <cell r="G228">
            <v>98.535262736080341</v>
          </cell>
        </row>
        <row r="229">
          <cell r="A229">
            <v>40408</v>
          </cell>
          <cell r="B229">
            <v>36.799999999999997</v>
          </cell>
          <cell r="C229">
            <v>67638.38</v>
          </cell>
          <cell r="D229">
            <v>1.7533000000000001</v>
          </cell>
          <cell r="F229">
            <v>131.42857142857142</v>
          </cell>
          <cell r="G229">
            <v>98.614882601885654</v>
          </cell>
        </row>
        <row r="230">
          <cell r="A230">
            <v>40409</v>
          </cell>
          <cell r="B230">
            <v>36.89</v>
          </cell>
          <cell r="C230">
            <v>66887.13</v>
          </cell>
          <cell r="D230">
            <v>1.76325</v>
          </cell>
          <cell r="F230">
            <v>131.75</v>
          </cell>
          <cell r="G230">
            <v>97.51958093211374</v>
          </cell>
        </row>
        <row r="231">
          <cell r="A231">
            <v>40410</v>
          </cell>
          <cell r="B231">
            <v>36.799999999999997</v>
          </cell>
          <cell r="C231">
            <v>66677.16</v>
          </cell>
          <cell r="D231">
            <v>1.764</v>
          </cell>
          <cell r="F231">
            <v>131.42857142857142</v>
          </cell>
          <cell r="G231">
            <v>97.213450494041197</v>
          </cell>
        </row>
        <row r="232">
          <cell r="A232">
            <v>40411</v>
          </cell>
          <cell r="B232">
            <v>36.799999999999997</v>
          </cell>
          <cell r="C232">
            <v>66677.16</v>
          </cell>
          <cell r="D232">
            <v>1.764</v>
          </cell>
          <cell r="F232">
            <v>131.42857142857142</v>
          </cell>
          <cell r="G232">
            <v>97.213450494041197</v>
          </cell>
        </row>
        <row r="233">
          <cell r="A233">
            <v>40412</v>
          </cell>
          <cell r="B233">
            <v>36.799999999999997</v>
          </cell>
          <cell r="C233">
            <v>66677.16</v>
          </cell>
          <cell r="D233">
            <v>1.764</v>
          </cell>
          <cell r="F233">
            <v>131.42857142857142</v>
          </cell>
          <cell r="G233">
            <v>97.213450494041197</v>
          </cell>
        </row>
        <row r="234">
          <cell r="A234">
            <v>40413</v>
          </cell>
          <cell r="B234">
            <v>37.299999999999997</v>
          </cell>
          <cell r="C234">
            <v>65981.86</v>
          </cell>
          <cell r="D234">
            <v>1.7623</v>
          </cell>
          <cell r="F234">
            <v>133.21428571428569</v>
          </cell>
          <cell r="G234">
            <v>96.199722372919851</v>
          </cell>
        </row>
        <row r="235">
          <cell r="A235">
            <v>40414</v>
          </cell>
          <cell r="B235">
            <v>37.299999999999997</v>
          </cell>
          <cell r="C235">
            <v>65156.36</v>
          </cell>
          <cell r="D235">
            <v>1.768</v>
          </cell>
          <cell r="F235">
            <v>133.21428571428569</v>
          </cell>
          <cell r="G235">
            <v>94.996166261909266</v>
          </cell>
        </row>
        <row r="236">
          <cell r="A236">
            <v>40415</v>
          </cell>
          <cell r="B236">
            <v>36.99</v>
          </cell>
          <cell r="C236">
            <v>64803.43</v>
          </cell>
          <cell r="D236">
            <v>1.7704</v>
          </cell>
          <cell r="F236">
            <v>132.10714285714286</v>
          </cell>
          <cell r="G236">
            <v>94.481604107749391</v>
          </cell>
        </row>
        <row r="237">
          <cell r="A237">
            <v>40416</v>
          </cell>
          <cell r="B237">
            <v>36.46</v>
          </cell>
          <cell r="C237">
            <v>63867.48</v>
          </cell>
          <cell r="D237">
            <v>1.7578</v>
          </cell>
          <cell r="F237">
            <v>130.21428571428572</v>
          </cell>
          <cell r="G237">
            <v>93.117014959232918</v>
          </cell>
        </row>
        <row r="238">
          <cell r="A238">
            <v>40417</v>
          </cell>
          <cell r="B238">
            <v>36.86</v>
          </cell>
          <cell r="C238">
            <v>65585.14</v>
          </cell>
          <cell r="D238">
            <v>1.75265</v>
          </cell>
          <cell r="F238">
            <v>131.64285714285714</v>
          </cell>
          <cell r="G238">
            <v>95.621315612943931</v>
          </cell>
        </row>
        <row r="239">
          <cell r="A239">
            <v>40418</v>
          </cell>
          <cell r="B239">
            <v>36.86</v>
          </cell>
          <cell r="C239">
            <v>65585.14</v>
          </cell>
          <cell r="D239">
            <v>1.75265</v>
          </cell>
          <cell r="F239">
            <v>131.64285714285714</v>
          </cell>
          <cell r="G239">
            <v>95.621315612943931</v>
          </cell>
        </row>
        <row r="240">
          <cell r="A240">
            <v>40419</v>
          </cell>
          <cell r="B240">
            <v>36.86</v>
          </cell>
          <cell r="C240">
            <v>65585.14</v>
          </cell>
          <cell r="D240">
            <v>1.75265</v>
          </cell>
          <cell r="F240">
            <v>131.64285714285714</v>
          </cell>
          <cell r="G240">
            <v>95.621315612943931</v>
          </cell>
        </row>
        <row r="241">
          <cell r="A241">
            <v>40420</v>
          </cell>
          <cell r="B241">
            <v>36.75</v>
          </cell>
          <cell r="C241">
            <v>64260.79</v>
          </cell>
          <cell r="D241">
            <v>1.7556</v>
          </cell>
          <cell r="F241">
            <v>131.25</v>
          </cell>
          <cell r="G241">
            <v>93.690450033759348</v>
          </cell>
        </row>
        <row r="242">
          <cell r="A242">
            <v>40421</v>
          </cell>
          <cell r="B242">
            <v>36.99</v>
          </cell>
          <cell r="C242">
            <v>65145.45</v>
          </cell>
          <cell r="D242">
            <v>1.7539499999999999</v>
          </cell>
          <cell r="F242">
            <v>132.10714285714286</v>
          </cell>
          <cell r="G242">
            <v>94.980259784415466</v>
          </cell>
        </row>
        <row r="243">
          <cell r="A243">
            <v>40422</v>
          </cell>
          <cell r="B243">
            <v>37.1</v>
          </cell>
          <cell r="C243">
            <v>67072.53</v>
          </cell>
          <cell r="D243">
            <v>1.7400500000000001</v>
          </cell>
          <cell r="F243">
            <v>132.5</v>
          </cell>
          <cell r="G243">
            <v>97.789888991449132</v>
          </cell>
        </row>
        <row r="244">
          <cell r="A244">
            <v>40423</v>
          </cell>
          <cell r="B244">
            <v>37.25</v>
          </cell>
          <cell r="C244">
            <v>66808.08</v>
          </cell>
          <cell r="D244">
            <v>1.7364999999999999</v>
          </cell>
          <cell r="F244">
            <v>133.03571428571428</v>
          </cell>
          <cell r="G244">
            <v>97.404328223966701</v>
          </cell>
        </row>
        <row r="245">
          <cell r="A245">
            <v>40424</v>
          </cell>
          <cell r="B245">
            <v>37.71</v>
          </cell>
          <cell r="C245">
            <v>66678.62</v>
          </cell>
          <cell r="D245">
            <v>1.72525</v>
          </cell>
          <cell r="F245">
            <v>134.67857142857142</v>
          </cell>
          <cell r="G245">
            <v>97.215579133559132</v>
          </cell>
        </row>
        <row r="246">
          <cell r="A246">
            <v>40425</v>
          </cell>
          <cell r="B246">
            <v>37.71</v>
          </cell>
          <cell r="C246">
            <v>66678.62</v>
          </cell>
          <cell r="D246">
            <v>1.72525</v>
          </cell>
          <cell r="F246">
            <v>134.67857142857142</v>
          </cell>
          <cell r="G246">
            <v>97.215579133559132</v>
          </cell>
        </row>
        <row r="247">
          <cell r="A247">
            <v>40426</v>
          </cell>
          <cell r="B247">
            <v>37.71</v>
          </cell>
          <cell r="C247">
            <v>66678.62</v>
          </cell>
          <cell r="D247">
            <v>1.72525</v>
          </cell>
          <cell r="F247">
            <v>134.67857142857142</v>
          </cell>
          <cell r="G247">
            <v>97.215579133559132</v>
          </cell>
        </row>
        <row r="248">
          <cell r="A248">
            <v>40427</v>
          </cell>
          <cell r="B248">
            <v>37.71</v>
          </cell>
          <cell r="C248">
            <v>66678.62</v>
          </cell>
          <cell r="D248">
            <v>1.72525</v>
          </cell>
          <cell r="F248">
            <v>134.67857142857142</v>
          </cell>
          <cell r="G248">
            <v>97.215579133559132</v>
          </cell>
        </row>
        <row r="249">
          <cell r="A249">
            <v>40428</v>
          </cell>
          <cell r="B249">
            <v>37.1</v>
          </cell>
          <cell r="C249">
            <v>66747.3</v>
          </cell>
          <cell r="D249">
            <v>1.72695</v>
          </cell>
          <cell r="F249">
            <v>132.5</v>
          </cell>
          <cell r="G249">
            <v>97.315712669239602</v>
          </cell>
        </row>
        <row r="250">
          <cell r="A250">
            <v>40429</v>
          </cell>
          <cell r="B250">
            <v>37.549999999999997</v>
          </cell>
          <cell r="C250">
            <v>66407.28</v>
          </cell>
          <cell r="D250">
            <v>1.7230000000000001</v>
          </cell>
          <cell r="F250">
            <v>134.10714285714283</v>
          </cell>
          <cell r="G250">
            <v>96.819972937118663</v>
          </cell>
        </row>
        <row r="251">
          <cell r="A251">
            <v>40430</v>
          </cell>
          <cell r="B251">
            <v>37.549999999999997</v>
          </cell>
          <cell r="C251">
            <v>66624.100000000006</v>
          </cell>
          <cell r="D251">
            <v>1.722</v>
          </cell>
          <cell r="F251">
            <v>134.10714285714283</v>
          </cell>
          <cell r="G251">
            <v>97.136090485258379</v>
          </cell>
        </row>
        <row r="252">
          <cell r="A252">
            <v>40431</v>
          </cell>
          <cell r="B252">
            <v>39</v>
          </cell>
          <cell r="C252">
            <v>66806.789999999994</v>
          </cell>
          <cell r="D252">
            <v>1.7174</v>
          </cell>
          <cell r="F252">
            <v>139.28571428571428</v>
          </cell>
          <cell r="G252">
            <v>97.402447439735056</v>
          </cell>
        </row>
        <row r="253">
          <cell r="A253">
            <v>40432</v>
          </cell>
          <cell r="B253">
            <v>39</v>
          </cell>
          <cell r="C253">
            <v>66806.789999999994</v>
          </cell>
          <cell r="D253">
            <v>1.7174</v>
          </cell>
          <cell r="F253">
            <v>139.28571428571428</v>
          </cell>
          <cell r="G253">
            <v>97.402447439735056</v>
          </cell>
        </row>
        <row r="254">
          <cell r="A254">
            <v>40433</v>
          </cell>
          <cell r="B254">
            <v>39</v>
          </cell>
          <cell r="C254">
            <v>66806.789999999994</v>
          </cell>
          <cell r="D254">
            <v>1.7174</v>
          </cell>
          <cell r="F254">
            <v>139.28571428571428</v>
          </cell>
          <cell r="G254">
            <v>97.402447439735056</v>
          </cell>
        </row>
        <row r="255">
          <cell r="A255">
            <v>40434</v>
          </cell>
          <cell r="B255">
            <v>40.5</v>
          </cell>
          <cell r="C255">
            <v>68030.58</v>
          </cell>
          <cell r="D255">
            <v>1.7152000000000001</v>
          </cell>
          <cell r="F255">
            <v>144.64285714285714</v>
          </cell>
          <cell r="G255">
            <v>99.18669932718953</v>
          </cell>
        </row>
        <row r="256">
          <cell r="A256">
            <v>40435</v>
          </cell>
          <cell r="B256">
            <v>40.4</v>
          </cell>
          <cell r="C256">
            <v>67691.850000000006</v>
          </cell>
          <cell r="D256">
            <v>1.70675</v>
          </cell>
          <cell r="F256">
            <v>144.28571428571428</v>
          </cell>
          <cell r="G256">
            <v>98.692840379300236</v>
          </cell>
        </row>
        <row r="257">
          <cell r="A257">
            <v>40436</v>
          </cell>
          <cell r="B257">
            <v>41.74</v>
          </cell>
          <cell r="C257">
            <v>68106.850000000006</v>
          </cell>
          <cell r="D257">
            <v>1.7116</v>
          </cell>
          <cell r="F257">
            <v>149.07142857142858</v>
          </cell>
          <cell r="G257">
            <v>99.297898872418827</v>
          </cell>
        </row>
        <row r="258">
          <cell r="A258">
            <v>40437</v>
          </cell>
          <cell r="B258">
            <v>40.25</v>
          </cell>
          <cell r="C258">
            <v>67662.990000000005</v>
          </cell>
          <cell r="D258">
            <v>1.71715</v>
          </cell>
          <cell r="F258">
            <v>143.75</v>
          </cell>
          <cell r="G258">
            <v>98.650763299513727</v>
          </cell>
        </row>
        <row r="259">
          <cell r="A259">
            <v>40438</v>
          </cell>
          <cell r="B259">
            <v>41.01</v>
          </cell>
          <cell r="C259">
            <v>67089.119999999995</v>
          </cell>
          <cell r="D259">
            <v>1.7159</v>
          </cell>
          <cell r="F259">
            <v>146.46428571428572</v>
          </cell>
          <cell r="G259">
            <v>97.81407675145114</v>
          </cell>
        </row>
        <row r="260">
          <cell r="A260">
            <v>40439</v>
          </cell>
          <cell r="B260">
            <v>41.01</v>
          </cell>
          <cell r="C260">
            <v>67089.119999999995</v>
          </cell>
          <cell r="D260">
            <v>1.7159</v>
          </cell>
          <cell r="F260">
            <v>146.46428571428572</v>
          </cell>
          <cell r="G260">
            <v>97.81407675145114</v>
          </cell>
        </row>
        <row r="261">
          <cell r="A261">
            <v>40440</v>
          </cell>
          <cell r="B261">
            <v>41.01</v>
          </cell>
          <cell r="C261">
            <v>67089.119999999995</v>
          </cell>
          <cell r="D261">
            <v>1.7159</v>
          </cell>
          <cell r="F261">
            <v>146.46428571428572</v>
          </cell>
          <cell r="G261">
            <v>97.81407675145114</v>
          </cell>
        </row>
        <row r="262">
          <cell r="A262">
            <v>40441</v>
          </cell>
          <cell r="B262">
            <v>41</v>
          </cell>
          <cell r="C262">
            <v>68190.460000000006</v>
          </cell>
          <cell r="D262">
            <v>1.7173</v>
          </cell>
          <cell r="F262">
            <v>146.42857142857142</v>
          </cell>
          <cell r="G262">
            <v>99.419799934128818</v>
          </cell>
        </row>
        <row r="263">
          <cell r="A263">
            <v>40442</v>
          </cell>
          <cell r="B263">
            <v>41</v>
          </cell>
          <cell r="C263">
            <v>67719.13</v>
          </cell>
          <cell r="D263">
            <v>1.7299</v>
          </cell>
          <cell r="F263">
            <v>146.42857142857142</v>
          </cell>
          <cell r="G263">
            <v>98.732613862896073</v>
          </cell>
        </row>
        <row r="264">
          <cell r="A264">
            <v>40443</v>
          </cell>
          <cell r="B264">
            <v>41.1</v>
          </cell>
          <cell r="C264">
            <v>68325.179999999993</v>
          </cell>
          <cell r="D264">
            <v>1.7190000000000001</v>
          </cell>
          <cell r="F264">
            <v>146.78571428571431</v>
          </cell>
          <cell r="G264">
            <v>99.616217958690086</v>
          </cell>
        </row>
        <row r="265">
          <cell r="A265">
            <v>40444</v>
          </cell>
          <cell r="B265">
            <v>41</v>
          </cell>
          <cell r="C265">
            <v>68794.320000000007</v>
          </cell>
          <cell r="D265">
            <v>1.7211000000000001</v>
          </cell>
          <cell r="F265">
            <v>146.42857142857142</v>
          </cell>
          <cell r="G265">
            <v>100.3002110706459</v>
          </cell>
        </row>
        <row r="266">
          <cell r="A266">
            <v>40445</v>
          </cell>
          <cell r="B266">
            <v>41</v>
          </cell>
          <cell r="C266">
            <v>68196.479999999996</v>
          </cell>
          <cell r="D266">
            <v>1.7124999999999999</v>
          </cell>
          <cell r="F266">
            <v>146.42857142857142</v>
          </cell>
          <cell r="G266">
            <v>99.428576927209704</v>
          </cell>
        </row>
        <row r="267">
          <cell r="A267">
            <v>40446</v>
          </cell>
          <cell r="B267">
            <v>41</v>
          </cell>
          <cell r="C267">
            <v>68196.479999999996</v>
          </cell>
          <cell r="D267">
            <v>1.7124999999999999</v>
          </cell>
          <cell r="F267">
            <v>146.42857142857142</v>
          </cell>
          <cell r="G267">
            <v>99.428576927209704</v>
          </cell>
        </row>
        <row r="268">
          <cell r="A268">
            <v>40447</v>
          </cell>
          <cell r="B268">
            <v>41</v>
          </cell>
          <cell r="C268">
            <v>68196.479999999996</v>
          </cell>
          <cell r="D268">
            <v>1.7124999999999999</v>
          </cell>
          <cell r="F268">
            <v>146.42857142857142</v>
          </cell>
          <cell r="G268">
            <v>99.428576927209704</v>
          </cell>
        </row>
        <row r="269">
          <cell r="A269">
            <v>40448</v>
          </cell>
          <cell r="B269">
            <v>40.5</v>
          </cell>
          <cell r="C269">
            <v>68815.97</v>
          </cell>
          <cell r="D269">
            <v>1.7117500000000001</v>
          </cell>
          <cell r="F269">
            <v>144.64285714285714</v>
          </cell>
          <cell r="G269">
            <v>100.33177617034714</v>
          </cell>
        </row>
        <row r="270">
          <cell r="A270">
            <v>40449</v>
          </cell>
          <cell r="B270">
            <v>41.25</v>
          </cell>
          <cell r="C270">
            <v>69227.63</v>
          </cell>
          <cell r="D270">
            <v>1.7088000000000001</v>
          </cell>
          <cell r="F270">
            <v>147.32142857142858</v>
          </cell>
          <cell r="G270">
            <v>100.93196503607533</v>
          </cell>
        </row>
        <row r="271">
          <cell r="A271">
            <v>40450</v>
          </cell>
          <cell r="B271">
            <v>42.9</v>
          </cell>
          <cell r="C271">
            <v>69228.240000000005</v>
          </cell>
          <cell r="D271">
            <v>1.7072499999999999</v>
          </cell>
          <cell r="F271">
            <v>153.21428571428569</v>
          </cell>
          <cell r="G271">
            <v>100.93285439916161</v>
          </cell>
        </row>
        <row r="272">
          <cell r="A272">
            <v>40451</v>
          </cell>
          <cell r="B272">
            <v>43.2</v>
          </cell>
          <cell r="C272">
            <v>69429.78</v>
          </cell>
          <cell r="D272">
            <v>1.6941999999999999</v>
          </cell>
          <cell r="F272">
            <v>154.28571428571431</v>
          </cell>
          <cell r="G272">
            <v>101.22669413097636</v>
          </cell>
        </row>
        <row r="273">
          <cell r="A273">
            <v>40452</v>
          </cell>
          <cell r="B273">
            <v>43.85</v>
          </cell>
          <cell r="C273">
            <v>70229.350000000006</v>
          </cell>
          <cell r="D273">
            <v>1.6854</v>
          </cell>
          <cell r="F273">
            <v>156.60714285714286</v>
          </cell>
          <cell r="G273">
            <v>102.39244502095907</v>
          </cell>
        </row>
        <row r="274">
          <cell r="A274">
            <v>40453</v>
          </cell>
          <cell r="B274">
            <v>43.85</v>
          </cell>
          <cell r="C274">
            <v>70229.350000000006</v>
          </cell>
          <cell r="D274">
            <v>1.6854</v>
          </cell>
          <cell r="F274">
            <v>156.60714285714286</v>
          </cell>
          <cell r="G274">
            <v>102.39244502095907</v>
          </cell>
        </row>
        <row r="275">
          <cell r="A275">
            <v>40454</v>
          </cell>
          <cell r="B275">
            <v>43.85</v>
          </cell>
          <cell r="C275">
            <v>70229.350000000006</v>
          </cell>
          <cell r="D275">
            <v>1.6854</v>
          </cell>
          <cell r="F275">
            <v>156.60714285714286</v>
          </cell>
          <cell r="G275">
            <v>102.39244502095907</v>
          </cell>
        </row>
        <row r="276">
          <cell r="A276">
            <v>40455</v>
          </cell>
          <cell r="B276">
            <v>44.35</v>
          </cell>
          <cell r="C276">
            <v>70384.92</v>
          </cell>
          <cell r="D276">
            <v>1.6857</v>
          </cell>
          <cell r="F276">
            <v>158.39285714285717</v>
          </cell>
          <cell r="G276">
            <v>102.61926176740354</v>
          </cell>
        </row>
        <row r="277">
          <cell r="A277">
            <v>40456</v>
          </cell>
          <cell r="B277">
            <v>46</v>
          </cell>
          <cell r="C277">
            <v>71283.11</v>
          </cell>
          <cell r="D277">
            <v>1.6820999999999999</v>
          </cell>
          <cell r="F277">
            <v>164.28571428571428</v>
          </cell>
          <cell r="G277">
            <v>103.9287978829076</v>
          </cell>
        </row>
        <row r="278">
          <cell r="A278">
            <v>40457</v>
          </cell>
          <cell r="B278">
            <v>45.4</v>
          </cell>
          <cell r="C278">
            <v>70541.37</v>
          </cell>
          <cell r="D278">
            <v>1.6806000000000001</v>
          </cell>
          <cell r="F278">
            <v>162.14285714285714</v>
          </cell>
          <cell r="G278">
            <v>102.84736152944789</v>
          </cell>
        </row>
        <row r="279">
          <cell r="A279">
            <v>40458</v>
          </cell>
          <cell r="B279">
            <v>44</v>
          </cell>
          <cell r="C279">
            <v>69918.399999999994</v>
          </cell>
          <cell r="D279">
            <v>1.6775500000000001</v>
          </cell>
          <cell r="F279">
            <v>157.14285714285714</v>
          </cell>
          <cell r="G279">
            <v>101.9390885428019</v>
          </cell>
        </row>
        <row r="280">
          <cell r="A280">
            <v>40459</v>
          </cell>
          <cell r="B280">
            <v>45.23</v>
          </cell>
          <cell r="C280">
            <v>70808.800000000003</v>
          </cell>
          <cell r="D280">
            <v>1.6810499999999999</v>
          </cell>
          <cell r="F280">
            <v>161.53571428571428</v>
          </cell>
          <cell r="G280">
            <v>103.23726705430261</v>
          </cell>
        </row>
        <row r="281">
          <cell r="A281">
            <v>40460</v>
          </cell>
          <cell r="B281">
            <v>45.23</v>
          </cell>
          <cell r="C281">
            <v>70808.800000000003</v>
          </cell>
          <cell r="D281">
            <v>1.6810499999999999</v>
          </cell>
          <cell r="F281">
            <v>161.53571428571428</v>
          </cell>
          <cell r="G281">
            <v>103.23726705430261</v>
          </cell>
        </row>
        <row r="282">
          <cell r="A282">
            <v>40461</v>
          </cell>
          <cell r="B282">
            <v>45.23</v>
          </cell>
          <cell r="C282">
            <v>70808.800000000003</v>
          </cell>
          <cell r="D282">
            <v>1.6810499999999999</v>
          </cell>
          <cell r="F282">
            <v>161.53571428571428</v>
          </cell>
          <cell r="G282">
            <v>103.23726705430261</v>
          </cell>
        </row>
        <row r="283">
          <cell r="A283">
            <v>40462</v>
          </cell>
          <cell r="B283">
            <v>47</v>
          </cell>
          <cell r="C283">
            <v>70946.490000000005</v>
          </cell>
          <cell r="D283">
            <v>1.6640999999999999</v>
          </cell>
          <cell r="F283">
            <v>167.85714285714286</v>
          </cell>
          <cell r="G283">
            <v>103.43801525651347</v>
          </cell>
        </row>
        <row r="284">
          <cell r="A284">
            <v>40463</v>
          </cell>
          <cell r="B284">
            <v>47</v>
          </cell>
          <cell r="C284">
            <v>70946.490000000005</v>
          </cell>
          <cell r="D284">
            <v>1.66995</v>
          </cell>
          <cell r="F284">
            <v>167.85714285714286</v>
          </cell>
          <cell r="G284">
            <v>103.43801525651347</v>
          </cell>
        </row>
        <row r="285">
          <cell r="A285">
            <v>40464</v>
          </cell>
          <cell r="B285">
            <v>49.4</v>
          </cell>
          <cell r="C285">
            <v>71674.899999999994</v>
          </cell>
          <cell r="D285">
            <v>1.6567000000000001</v>
          </cell>
          <cell r="F285">
            <v>176.42857142857142</v>
          </cell>
          <cell r="G285">
            <v>104.50001683957973</v>
          </cell>
        </row>
        <row r="286">
          <cell r="A286">
            <v>40465</v>
          </cell>
          <cell r="B286">
            <v>49.5</v>
          </cell>
          <cell r="C286">
            <v>71692.289999999994</v>
          </cell>
          <cell r="D286">
            <v>1.65615</v>
          </cell>
          <cell r="F286">
            <v>176.78571428571428</v>
          </cell>
          <cell r="G286">
            <v>104.5253709773998</v>
          </cell>
        </row>
        <row r="287">
          <cell r="A287">
            <v>40466</v>
          </cell>
          <cell r="B287">
            <v>49.5</v>
          </cell>
          <cell r="C287">
            <v>71830.179999999993</v>
          </cell>
          <cell r="D287">
            <v>1.66235</v>
          </cell>
          <cell r="F287">
            <v>176.78571428571428</v>
          </cell>
          <cell r="G287">
            <v>104.72641077406517</v>
          </cell>
        </row>
        <row r="288">
          <cell r="A288">
            <v>40467</v>
          </cell>
          <cell r="B288">
            <v>49.5</v>
          </cell>
          <cell r="C288">
            <v>71830.179999999993</v>
          </cell>
          <cell r="D288">
            <v>1.66235</v>
          </cell>
          <cell r="F288">
            <v>176.78571428571428</v>
          </cell>
          <cell r="G288">
            <v>104.72641077406517</v>
          </cell>
        </row>
        <row r="289">
          <cell r="A289">
            <v>40468</v>
          </cell>
          <cell r="B289">
            <v>49.5</v>
          </cell>
          <cell r="C289">
            <v>71830.179999999993</v>
          </cell>
          <cell r="D289">
            <v>1.66235</v>
          </cell>
          <cell r="F289">
            <v>176.78571428571428</v>
          </cell>
          <cell r="G289">
            <v>104.72641077406517</v>
          </cell>
        </row>
        <row r="290">
          <cell r="A290">
            <v>40469</v>
          </cell>
          <cell r="B290">
            <v>48.29</v>
          </cell>
          <cell r="C290">
            <v>71735.53</v>
          </cell>
          <cell r="D290">
            <v>1.6594500000000001</v>
          </cell>
          <cell r="F290">
            <v>172.46428571428572</v>
          </cell>
          <cell r="G290">
            <v>104.58841369846597</v>
          </cell>
        </row>
        <row r="291">
          <cell r="A291">
            <v>40470</v>
          </cell>
          <cell r="B291">
            <v>46.6</v>
          </cell>
          <cell r="C291">
            <v>69863.58</v>
          </cell>
          <cell r="D291">
            <v>1.6898500000000001</v>
          </cell>
          <cell r="F291">
            <v>166.42857142857144</v>
          </cell>
          <cell r="G291">
            <v>101.85916250281934</v>
          </cell>
        </row>
        <row r="292">
          <cell r="A292">
            <v>40471</v>
          </cell>
          <cell r="B292">
            <v>46</v>
          </cell>
          <cell r="C292">
            <v>70404.679999999993</v>
          </cell>
          <cell r="D292">
            <v>1.6756500000000001</v>
          </cell>
          <cell r="F292">
            <v>164.28571428571428</v>
          </cell>
          <cell r="G292">
            <v>102.64807129950964</v>
          </cell>
        </row>
        <row r="293">
          <cell r="A293">
            <v>40472</v>
          </cell>
          <cell r="B293">
            <v>45.45</v>
          </cell>
          <cell r="C293">
            <v>69652.100000000006</v>
          </cell>
          <cell r="D293">
            <v>1.69085</v>
          </cell>
          <cell r="F293">
            <v>162.32142857142858</v>
          </cell>
          <cell r="G293">
            <v>101.55083052661521</v>
          </cell>
        </row>
        <row r="294">
          <cell r="A294">
            <v>40473</v>
          </cell>
          <cell r="B294">
            <v>45</v>
          </cell>
          <cell r="C294">
            <v>69529.73</v>
          </cell>
          <cell r="D294">
            <v>1.69495</v>
          </cell>
          <cell r="F294">
            <v>160.71428571428572</v>
          </cell>
          <cell r="G294">
            <v>101.37241845962022</v>
          </cell>
        </row>
        <row r="295">
          <cell r="A295">
            <v>40474</v>
          </cell>
          <cell r="B295">
            <v>45</v>
          </cell>
          <cell r="C295">
            <v>69529.73</v>
          </cell>
          <cell r="D295">
            <v>1.69495</v>
          </cell>
          <cell r="F295">
            <v>160.71428571428572</v>
          </cell>
          <cell r="G295">
            <v>101.37241845962022</v>
          </cell>
        </row>
        <row r="296">
          <cell r="A296">
            <v>40475</v>
          </cell>
          <cell r="B296">
            <v>45</v>
          </cell>
          <cell r="C296">
            <v>69529.73</v>
          </cell>
          <cell r="D296">
            <v>1.69495</v>
          </cell>
          <cell r="F296">
            <v>160.71428571428572</v>
          </cell>
          <cell r="G296">
            <v>101.37241845962022</v>
          </cell>
        </row>
        <row r="297">
          <cell r="A297">
            <v>40476</v>
          </cell>
          <cell r="B297">
            <v>43.85</v>
          </cell>
          <cell r="C297">
            <v>69580.28</v>
          </cell>
          <cell r="D297">
            <v>1.7056500000000001</v>
          </cell>
          <cell r="F297">
            <v>156.60714285714286</v>
          </cell>
          <cell r="G297">
            <v>101.44611895799886</v>
          </cell>
        </row>
        <row r="298">
          <cell r="A298">
            <v>40477</v>
          </cell>
          <cell r="B298">
            <v>42.7</v>
          </cell>
          <cell r="C298">
            <v>70740.39</v>
          </cell>
          <cell r="D298">
            <v>1.70705</v>
          </cell>
          <cell r="F298">
            <v>152.5</v>
          </cell>
          <cell r="G298">
            <v>103.13752717113576</v>
          </cell>
        </row>
        <row r="299">
          <cell r="A299">
            <v>40478</v>
          </cell>
          <cell r="B299">
            <v>40.89</v>
          </cell>
          <cell r="C299">
            <v>70568.94</v>
          </cell>
          <cell r="D299">
            <v>1.7161500000000001</v>
          </cell>
          <cell r="F299">
            <v>146.03571428571428</v>
          </cell>
          <cell r="G299">
            <v>102.88755782500279</v>
          </cell>
        </row>
        <row r="300">
          <cell r="A300">
            <v>40479</v>
          </cell>
          <cell r="B300">
            <v>42.64</v>
          </cell>
          <cell r="C300">
            <v>70320.13</v>
          </cell>
          <cell r="D300">
            <v>1.7134</v>
          </cell>
          <cell r="F300">
            <v>152.28571428571428</v>
          </cell>
          <cell r="G300">
            <v>102.52479974386344</v>
          </cell>
        </row>
        <row r="301">
          <cell r="A301">
            <v>40480</v>
          </cell>
          <cell r="B301">
            <v>43.03</v>
          </cell>
          <cell r="C301">
            <v>70673.3</v>
          </cell>
          <cell r="D301">
            <v>1.69665</v>
          </cell>
          <cell r="F301">
            <v>153.67857142857144</v>
          </cell>
          <cell r="G301">
            <v>103.0397118113687</v>
          </cell>
        </row>
        <row r="302">
          <cell r="A302">
            <v>40481</v>
          </cell>
          <cell r="B302">
            <v>43.03</v>
          </cell>
          <cell r="C302">
            <v>70673.3</v>
          </cell>
          <cell r="D302">
            <v>1.69665</v>
          </cell>
          <cell r="F302">
            <v>153.67857142857144</v>
          </cell>
          <cell r="G302">
            <v>103.0397118113687</v>
          </cell>
        </row>
        <row r="303">
          <cell r="A303">
            <v>40482</v>
          </cell>
          <cell r="B303">
            <v>43.03</v>
          </cell>
          <cell r="C303">
            <v>70673.3</v>
          </cell>
          <cell r="D303">
            <v>1.69665</v>
          </cell>
          <cell r="F303">
            <v>153.67857142857144</v>
          </cell>
          <cell r="G303">
            <v>103.0397118113687</v>
          </cell>
        </row>
        <row r="304">
          <cell r="A304">
            <v>40483</v>
          </cell>
          <cell r="B304">
            <v>43.89</v>
          </cell>
          <cell r="C304">
            <v>71560.929999999993</v>
          </cell>
          <cell r="D304">
            <v>1.7047000000000001</v>
          </cell>
          <cell r="F304">
            <v>156.75</v>
          </cell>
          <cell r="G304">
            <v>104.33385173967437</v>
          </cell>
        </row>
        <row r="305">
          <cell r="A305">
            <v>40484</v>
          </cell>
          <cell r="B305">
            <v>43.89</v>
          </cell>
          <cell r="C305">
            <v>71560.929999999993</v>
          </cell>
          <cell r="D305">
            <v>1.7038</v>
          </cell>
          <cell r="F305">
            <v>156.75</v>
          </cell>
          <cell r="G305">
            <v>104.33385173967437</v>
          </cell>
        </row>
        <row r="306">
          <cell r="A306">
            <v>40485</v>
          </cell>
          <cell r="B306">
            <v>45.5</v>
          </cell>
          <cell r="C306">
            <v>71904.77</v>
          </cell>
          <cell r="D306">
            <v>1.6991499999999999</v>
          </cell>
          <cell r="F306">
            <v>162.5</v>
          </cell>
          <cell r="G306">
            <v>104.83516092587655</v>
          </cell>
        </row>
        <row r="307">
          <cell r="A307">
            <v>40486</v>
          </cell>
          <cell r="B307">
            <v>43.01</v>
          </cell>
          <cell r="C307">
            <v>72995.69</v>
          </cell>
          <cell r="D307">
            <v>1.6793</v>
          </cell>
          <cell r="F307">
            <v>153.60714285714286</v>
          </cell>
          <cell r="G307">
            <v>106.42569203747397</v>
          </cell>
        </row>
      </sheetData>
      <sheetData sheetId="2">
        <row r="1">
          <cell r="C1" t="str">
            <v>Mean</v>
          </cell>
          <cell r="D1" t="str">
            <v>StdDev</v>
          </cell>
          <cell r="F1" t="e">
            <v>#DIV/0!</v>
          </cell>
        </row>
        <row r="2">
          <cell r="B2" t="str">
            <v>DROG3-BR</v>
          </cell>
          <cell r="C2" t="e">
            <v>#DIV/0!</v>
          </cell>
          <cell r="D2" t="e">
            <v>#DIV/0!</v>
          </cell>
          <cell r="F2" t="e">
            <v>#DIV/0!</v>
          </cell>
        </row>
        <row r="3">
          <cell r="B3" t="str">
            <v>PE</v>
          </cell>
          <cell r="C3" t="str">
            <v>Mean</v>
          </cell>
          <cell r="D3" t="str">
            <v>+1 StdDev</v>
          </cell>
          <cell r="E3" t="str">
            <v>-1 StdDev</v>
          </cell>
          <cell r="F3" t="e">
            <v>#DIV/0!</v>
          </cell>
        </row>
        <row r="4">
          <cell r="A4">
            <v>39448</v>
          </cell>
          <cell r="B4" t="str">
            <v>#Calc</v>
          </cell>
          <cell r="C4" t="e">
            <v>#DIV/0!</v>
          </cell>
          <cell r="D4" t="e">
            <v>#DIV/0!</v>
          </cell>
          <cell r="E4" t="e">
            <v>#DIV/0!</v>
          </cell>
        </row>
        <row r="5">
          <cell r="A5">
            <v>39449</v>
          </cell>
          <cell r="B5" t="str">
            <v>#Calc</v>
          </cell>
          <cell r="C5" t="e">
            <v>#DIV/0!</v>
          </cell>
          <cell r="D5" t="e">
            <v>#DIV/0!</v>
          </cell>
          <cell r="E5" t="e">
            <v>#DIV/0!</v>
          </cell>
        </row>
        <row r="6">
          <cell r="A6">
            <v>39450</v>
          </cell>
          <cell r="B6" t="str">
            <v>#Calc</v>
          </cell>
          <cell r="C6" t="e">
            <v>#DIV/0!</v>
          </cell>
          <cell r="D6" t="e">
            <v>#DIV/0!</v>
          </cell>
          <cell r="E6" t="e">
            <v>#DIV/0!</v>
          </cell>
        </row>
        <row r="7">
          <cell r="A7">
            <v>39451</v>
          </cell>
          <cell r="B7" t="str">
            <v>#Calc</v>
          </cell>
          <cell r="C7" t="e">
            <v>#DIV/0!</v>
          </cell>
          <cell r="D7" t="e">
            <v>#DIV/0!</v>
          </cell>
          <cell r="E7" t="e">
            <v>#DIV/0!</v>
          </cell>
        </row>
        <row r="8">
          <cell r="A8">
            <v>39452</v>
          </cell>
          <cell r="B8" t="str">
            <v>#Calc</v>
          </cell>
          <cell r="C8" t="e">
            <v>#DIV/0!</v>
          </cell>
          <cell r="D8" t="e">
            <v>#DIV/0!</v>
          </cell>
          <cell r="E8" t="e">
            <v>#DIV/0!</v>
          </cell>
        </row>
        <row r="9">
          <cell r="A9">
            <v>39453</v>
          </cell>
          <cell r="B9" t="str">
            <v>#Calc</v>
          </cell>
          <cell r="C9" t="e">
            <v>#DIV/0!</v>
          </cell>
          <cell r="D9" t="e">
            <v>#DIV/0!</v>
          </cell>
          <cell r="E9" t="e">
            <v>#DIV/0!</v>
          </cell>
        </row>
        <row r="10">
          <cell r="A10">
            <v>39454</v>
          </cell>
          <cell r="B10" t="str">
            <v>#Calc</v>
          </cell>
          <cell r="C10" t="e">
            <v>#DIV/0!</v>
          </cell>
          <cell r="D10" t="e">
            <v>#DIV/0!</v>
          </cell>
          <cell r="E10" t="e">
            <v>#DIV/0!</v>
          </cell>
        </row>
        <row r="11">
          <cell r="A11">
            <v>39455</v>
          </cell>
          <cell r="B11" t="str">
            <v>#Calc</v>
          </cell>
          <cell r="C11" t="e">
            <v>#DIV/0!</v>
          </cell>
          <cell r="D11" t="e">
            <v>#DIV/0!</v>
          </cell>
          <cell r="E11" t="e">
            <v>#DIV/0!</v>
          </cell>
        </row>
        <row r="12">
          <cell r="A12">
            <v>39456</v>
          </cell>
          <cell r="B12" t="str">
            <v>#Calc</v>
          </cell>
          <cell r="C12" t="e">
            <v>#DIV/0!</v>
          </cell>
          <cell r="D12" t="e">
            <v>#DIV/0!</v>
          </cell>
          <cell r="E12" t="e">
            <v>#DIV/0!</v>
          </cell>
        </row>
        <row r="13">
          <cell r="A13">
            <v>39457</v>
          </cell>
          <cell r="B13" t="str">
            <v>#Calc</v>
          </cell>
          <cell r="C13" t="e">
            <v>#DIV/0!</v>
          </cell>
          <cell r="D13" t="e">
            <v>#DIV/0!</v>
          </cell>
          <cell r="E13" t="e">
            <v>#DIV/0!</v>
          </cell>
        </row>
        <row r="14">
          <cell r="A14">
            <v>39458</v>
          </cell>
          <cell r="B14" t="str">
            <v>#Calc</v>
          </cell>
          <cell r="C14" t="e">
            <v>#DIV/0!</v>
          </cell>
          <cell r="D14" t="e">
            <v>#DIV/0!</v>
          </cell>
          <cell r="E14" t="e">
            <v>#DIV/0!</v>
          </cell>
        </row>
        <row r="15">
          <cell r="A15">
            <v>39459</v>
          </cell>
          <cell r="B15" t="str">
            <v>#Calc</v>
          </cell>
          <cell r="C15" t="e">
            <v>#DIV/0!</v>
          </cell>
          <cell r="D15" t="e">
            <v>#DIV/0!</v>
          </cell>
          <cell r="E15" t="e">
            <v>#DIV/0!</v>
          </cell>
        </row>
        <row r="16">
          <cell r="A16">
            <v>39460</v>
          </cell>
          <cell r="B16" t="str">
            <v>#Calc</v>
          </cell>
          <cell r="C16" t="e">
            <v>#DIV/0!</v>
          </cell>
          <cell r="D16" t="e">
            <v>#DIV/0!</v>
          </cell>
          <cell r="E16" t="e">
            <v>#DIV/0!</v>
          </cell>
        </row>
        <row r="17">
          <cell r="A17">
            <v>39461</v>
          </cell>
          <cell r="B17" t="str">
            <v>#Calc</v>
          </cell>
          <cell r="C17" t="e">
            <v>#DIV/0!</v>
          </cell>
          <cell r="D17" t="e">
            <v>#DIV/0!</v>
          </cell>
          <cell r="E17" t="e">
            <v>#DIV/0!</v>
          </cell>
        </row>
        <row r="18">
          <cell r="A18">
            <v>39462</v>
          </cell>
          <cell r="B18" t="str">
            <v>#Calc</v>
          </cell>
          <cell r="C18" t="e">
            <v>#DIV/0!</v>
          </cell>
          <cell r="D18" t="e">
            <v>#DIV/0!</v>
          </cell>
          <cell r="E18" t="e">
            <v>#DIV/0!</v>
          </cell>
        </row>
        <row r="19">
          <cell r="A19">
            <v>39463</v>
          </cell>
          <cell r="B19" t="str">
            <v>#Calc</v>
          </cell>
          <cell r="C19" t="e">
            <v>#DIV/0!</v>
          </cell>
          <cell r="D19" t="e">
            <v>#DIV/0!</v>
          </cell>
          <cell r="E19" t="e">
            <v>#DIV/0!</v>
          </cell>
        </row>
        <row r="20">
          <cell r="A20">
            <v>39464</v>
          </cell>
          <cell r="B20" t="str">
            <v>#Calc</v>
          </cell>
          <cell r="C20" t="e">
            <v>#DIV/0!</v>
          </cell>
          <cell r="D20" t="e">
            <v>#DIV/0!</v>
          </cell>
          <cell r="E20" t="e">
            <v>#DIV/0!</v>
          </cell>
        </row>
        <row r="21">
          <cell r="A21">
            <v>39465</v>
          </cell>
          <cell r="B21" t="str">
            <v>#Calc</v>
          </cell>
          <cell r="C21" t="e">
            <v>#DIV/0!</v>
          </cell>
          <cell r="D21" t="e">
            <v>#DIV/0!</v>
          </cell>
          <cell r="E21" t="e">
            <v>#DIV/0!</v>
          </cell>
        </row>
        <row r="22">
          <cell r="A22">
            <v>39466</v>
          </cell>
          <cell r="B22" t="str">
            <v>#Calc</v>
          </cell>
          <cell r="C22" t="e">
            <v>#DIV/0!</v>
          </cell>
          <cell r="D22" t="e">
            <v>#DIV/0!</v>
          </cell>
          <cell r="E22" t="e">
            <v>#DIV/0!</v>
          </cell>
        </row>
        <row r="23">
          <cell r="A23">
            <v>39467</v>
          </cell>
          <cell r="B23" t="str">
            <v>#Calc</v>
          </cell>
          <cell r="C23" t="e">
            <v>#DIV/0!</v>
          </cell>
          <cell r="D23" t="e">
            <v>#DIV/0!</v>
          </cell>
          <cell r="E23" t="e">
            <v>#DIV/0!</v>
          </cell>
        </row>
        <row r="24">
          <cell r="A24">
            <v>39468</v>
          </cell>
          <cell r="B24" t="str">
            <v>#Calc</v>
          </cell>
          <cell r="C24" t="e">
            <v>#DIV/0!</v>
          </cell>
          <cell r="D24" t="e">
            <v>#DIV/0!</v>
          </cell>
          <cell r="E24" t="e">
            <v>#DIV/0!</v>
          </cell>
        </row>
        <row r="25">
          <cell r="A25">
            <v>39469</v>
          </cell>
          <cell r="B25" t="str">
            <v>#Calc</v>
          </cell>
          <cell r="C25" t="e">
            <v>#DIV/0!</v>
          </cell>
          <cell r="D25" t="e">
            <v>#DIV/0!</v>
          </cell>
          <cell r="E25" t="e">
            <v>#DIV/0!</v>
          </cell>
        </row>
        <row r="26">
          <cell r="A26">
            <v>39470</v>
          </cell>
          <cell r="B26" t="str">
            <v>#Calc</v>
          </cell>
          <cell r="C26" t="e">
            <v>#DIV/0!</v>
          </cell>
          <cell r="D26" t="e">
            <v>#DIV/0!</v>
          </cell>
          <cell r="E26" t="e">
            <v>#DIV/0!</v>
          </cell>
        </row>
        <row r="27">
          <cell r="A27">
            <v>39471</v>
          </cell>
          <cell r="B27" t="str">
            <v>#Calc</v>
          </cell>
          <cell r="C27" t="e">
            <v>#DIV/0!</v>
          </cell>
          <cell r="D27" t="e">
            <v>#DIV/0!</v>
          </cell>
          <cell r="E27" t="e">
            <v>#DIV/0!</v>
          </cell>
        </row>
        <row r="28">
          <cell r="A28">
            <v>39472</v>
          </cell>
          <cell r="B28" t="str">
            <v>#Calc</v>
          </cell>
          <cell r="C28" t="e">
            <v>#DIV/0!</v>
          </cell>
          <cell r="D28" t="e">
            <v>#DIV/0!</v>
          </cell>
          <cell r="E28" t="e">
            <v>#DIV/0!</v>
          </cell>
        </row>
        <row r="29">
          <cell r="A29">
            <v>39473</v>
          </cell>
          <cell r="B29" t="str">
            <v>#Calc</v>
          </cell>
          <cell r="C29" t="e">
            <v>#DIV/0!</v>
          </cell>
          <cell r="D29" t="e">
            <v>#DIV/0!</v>
          </cell>
          <cell r="E29" t="e">
            <v>#DIV/0!</v>
          </cell>
        </row>
        <row r="30">
          <cell r="A30">
            <v>39474</v>
          </cell>
          <cell r="B30" t="str">
            <v>#Calc</v>
          </cell>
          <cell r="C30" t="e">
            <v>#DIV/0!</v>
          </cell>
          <cell r="D30" t="e">
            <v>#DIV/0!</v>
          </cell>
          <cell r="E30" t="e">
            <v>#DIV/0!</v>
          </cell>
        </row>
        <row r="31">
          <cell r="A31">
            <v>39475</v>
          </cell>
          <cell r="B31" t="str">
            <v>#Calc</v>
          </cell>
          <cell r="C31" t="e">
            <v>#DIV/0!</v>
          </cell>
          <cell r="D31" t="e">
            <v>#DIV/0!</v>
          </cell>
          <cell r="E31" t="e">
            <v>#DIV/0!</v>
          </cell>
        </row>
        <row r="32">
          <cell r="A32">
            <v>39476</v>
          </cell>
          <cell r="B32" t="str">
            <v>#Calc</v>
          </cell>
          <cell r="C32" t="e">
            <v>#DIV/0!</v>
          </cell>
          <cell r="D32" t="e">
            <v>#DIV/0!</v>
          </cell>
          <cell r="E32" t="e">
            <v>#DIV/0!</v>
          </cell>
        </row>
        <row r="33">
          <cell r="A33">
            <v>39477</v>
          </cell>
          <cell r="B33" t="str">
            <v>#Calc</v>
          </cell>
          <cell r="C33" t="e">
            <v>#DIV/0!</v>
          </cell>
          <cell r="D33" t="e">
            <v>#DIV/0!</v>
          </cell>
          <cell r="E33" t="e">
            <v>#DIV/0!</v>
          </cell>
        </row>
        <row r="34">
          <cell r="A34">
            <v>39478</v>
          </cell>
          <cell r="B34" t="str">
            <v>#Calc</v>
          </cell>
          <cell r="C34" t="e">
            <v>#DIV/0!</v>
          </cell>
          <cell r="D34" t="e">
            <v>#DIV/0!</v>
          </cell>
          <cell r="E34" t="e">
            <v>#DIV/0!</v>
          </cell>
        </row>
        <row r="35">
          <cell r="A35">
            <v>39479</v>
          </cell>
          <cell r="B35" t="str">
            <v>#Calc</v>
          </cell>
          <cell r="C35" t="e">
            <v>#DIV/0!</v>
          </cell>
          <cell r="D35" t="e">
            <v>#DIV/0!</v>
          </cell>
          <cell r="E35" t="e">
            <v>#DIV/0!</v>
          </cell>
        </row>
        <row r="36">
          <cell r="A36">
            <v>39480</v>
          </cell>
          <cell r="B36" t="str">
            <v>#Calc</v>
          </cell>
          <cell r="C36" t="e">
            <v>#DIV/0!</v>
          </cell>
          <cell r="D36" t="e">
            <v>#DIV/0!</v>
          </cell>
          <cell r="E36" t="e">
            <v>#DIV/0!</v>
          </cell>
        </row>
        <row r="37">
          <cell r="A37">
            <v>39481</v>
          </cell>
          <cell r="B37" t="str">
            <v>#Calc</v>
          </cell>
          <cell r="C37" t="e">
            <v>#DIV/0!</v>
          </cell>
          <cell r="D37" t="e">
            <v>#DIV/0!</v>
          </cell>
          <cell r="E37" t="e">
            <v>#DIV/0!</v>
          </cell>
        </row>
        <row r="38">
          <cell r="A38">
            <v>39482</v>
          </cell>
          <cell r="B38" t="str">
            <v>#Calc</v>
          </cell>
          <cell r="C38" t="e">
            <v>#DIV/0!</v>
          </cell>
          <cell r="D38" t="e">
            <v>#DIV/0!</v>
          </cell>
          <cell r="E38" t="e">
            <v>#DIV/0!</v>
          </cell>
        </row>
        <row r="39">
          <cell r="A39">
            <v>39483</v>
          </cell>
          <cell r="B39" t="str">
            <v>#Calc</v>
          </cell>
          <cell r="C39" t="e">
            <v>#DIV/0!</v>
          </cell>
          <cell r="D39" t="e">
            <v>#DIV/0!</v>
          </cell>
          <cell r="E39" t="e">
            <v>#DIV/0!</v>
          </cell>
        </row>
        <row r="40">
          <cell r="A40">
            <v>39484</v>
          </cell>
          <cell r="B40" t="str">
            <v>#Calc</v>
          </cell>
          <cell r="C40" t="e">
            <v>#DIV/0!</v>
          </cell>
          <cell r="D40" t="e">
            <v>#DIV/0!</v>
          </cell>
          <cell r="E40" t="e">
            <v>#DIV/0!</v>
          </cell>
        </row>
        <row r="41">
          <cell r="A41">
            <v>39485</v>
          </cell>
          <cell r="B41" t="str">
            <v>#Calc</v>
          </cell>
          <cell r="C41" t="e">
            <v>#DIV/0!</v>
          </cell>
          <cell r="D41" t="e">
            <v>#DIV/0!</v>
          </cell>
          <cell r="E41" t="e">
            <v>#DIV/0!</v>
          </cell>
        </row>
        <row r="42">
          <cell r="A42">
            <v>39486</v>
          </cell>
          <cell r="B42" t="str">
            <v>#Calc</v>
          </cell>
          <cell r="C42" t="e">
            <v>#DIV/0!</v>
          </cell>
          <cell r="D42" t="e">
            <v>#DIV/0!</v>
          </cell>
          <cell r="E42" t="e">
            <v>#DIV/0!</v>
          </cell>
        </row>
        <row r="43">
          <cell r="A43">
            <v>39487</v>
          </cell>
          <cell r="B43" t="str">
            <v>#Calc</v>
          </cell>
          <cell r="C43" t="e">
            <v>#DIV/0!</v>
          </cell>
          <cell r="D43" t="e">
            <v>#DIV/0!</v>
          </cell>
          <cell r="E43" t="e">
            <v>#DIV/0!</v>
          </cell>
        </row>
        <row r="44">
          <cell r="A44">
            <v>39488</v>
          </cell>
          <cell r="B44" t="str">
            <v>#Calc</v>
          </cell>
          <cell r="C44" t="e">
            <v>#DIV/0!</v>
          </cell>
          <cell r="D44" t="e">
            <v>#DIV/0!</v>
          </cell>
          <cell r="E44" t="e">
            <v>#DIV/0!</v>
          </cell>
        </row>
        <row r="45">
          <cell r="A45">
            <v>39489</v>
          </cell>
          <cell r="B45" t="str">
            <v>#Calc</v>
          </cell>
          <cell r="C45" t="e">
            <v>#DIV/0!</v>
          </cell>
          <cell r="D45" t="e">
            <v>#DIV/0!</v>
          </cell>
          <cell r="E45" t="e">
            <v>#DIV/0!</v>
          </cell>
        </row>
        <row r="46">
          <cell r="A46">
            <v>39490</v>
          </cell>
          <cell r="B46" t="str">
            <v>#Calc</v>
          </cell>
          <cell r="C46" t="e">
            <v>#DIV/0!</v>
          </cell>
          <cell r="D46" t="e">
            <v>#DIV/0!</v>
          </cell>
          <cell r="E46" t="e">
            <v>#DIV/0!</v>
          </cell>
        </row>
        <row r="47">
          <cell r="A47">
            <v>39491</v>
          </cell>
          <cell r="B47" t="str">
            <v>#Calc</v>
          </cell>
          <cell r="C47" t="e">
            <v>#DIV/0!</v>
          </cell>
          <cell r="D47" t="e">
            <v>#DIV/0!</v>
          </cell>
          <cell r="E47" t="e">
            <v>#DIV/0!</v>
          </cell>
        </row>
        <row r="48">
          <cell r="A48">
            <v>39492</v>
          </cell>
          <cell r="B48" t="str">
            <v>#Calc</v>
          </cell>
          <cell r="C48" t="e">
            <v>#DIV/0!</v>
          </cell>
          <cell r="D48" t="e">
            <v>#DIV/0!</v>
          </cell>
          <cell r="E48" t="e">
            <v>#DIV/0!</v>
          </cell>
        </row>
        <row r="49">
          <cell r="A49">
            <v>39493</v>
          </cell>
          <cell r="B49" t="str">
            <v>#Calc</v>
          </cell>
          <cell r="C49" t="e">
            <v>#DIV/0!</v>
          </cell>
          <cell r="D49" t="e">
            <v>#DIV/0!</v>
          </cell>
          <cell r="E49" t="e">
            <v>#DIV/0!</v>
          </cell>
        </row>
        <row r="50">
          <cell r="A50">
            <v>39494</v>
          </cell>
          <cell r="B50" t="str">
            <v>#Calc</v>
          </cell>
          <cell r="C50" t="e">
            <v>#DIV/0!</v>
          </cell>
          <cell r="D50" t="e">
            <v>#DIV/0!</v>
          </cell>
          <cell r="E50" t="e">
            <v>#DIV/0!</v>
          </cell>
        </row>
        <row r="51">
          <cell r="A51">
            <v>39495</v>
          </cell>
          <cell r="B51" t="str">
            <v>#Calc</v>
          </cell>
          <cell r="C51" t="e">
            <v>#DIV/0!</v>
          </cell>
          <cell r="D51" t="e">
            <v>#DIV/0!</v>
          </cell>
          <cell r="E51" t="e">
            <v>#DIV/0!</v>
          </cell>
        </row>
        <row r="52">
          <cell r="A52">
            <v>39496</v>
          </cell>
          <cell r="B52" t="str">
            <v>#Calc</v>
          </cell>
          <cell r="C52" t="e">
            <v>#DIV/0!</v>
          </cell>
          <cell r="D52" t="e">
            <v>#DIV/0!</v>
          </cell>
          <cell r="E52" t="e">
            <v>#DIV/0!</v>
          </cell>
        </row>
        <row r="53">
          <cell r="A53">
            <v>39497</v>
          </cell>
          <cell r="B53" t="str">
            <v>#Calc</v>
          </cell>
          <cell r="C53" t="e">
            <v>#DIV/0!</v>
          </cell>
          <cell r="D53" t="e">
            <v>#DIV/0!</v>
          </cell>
          <cell r="E53" t="e">
            <v>#DIV/0!</v>
          </cell>
        </row>
        <row r="54">
          <cell r="A54">
            <v>39498</v>
          </cell>
          <cell r="B54" t="str">
            <v>#Calc</v>
          </cell>
          <cell r="C54" t="e">
            <v>#DIV/0!</v>
          </cell>
          <cell r="D54" t="e">
            <v>#DIV/0!</v>
          </cell>
          <cell r="E54" t="e">
            <v>#DIV/0!</v>
          </cell>
        </row>
        <row r="55">
          <cell r="A55">
            <v>39499</v>
          </cell>
          <cell r="B55" t="str">
            <v>#Calc</v>
          </cell>
          <cell r="C55" t="e">
            <v>#DIV/0!</v>
          </cell>
          <cell r="D55" t="e">
            <v>#DIV/0!</v>
          </cell>
          <cell r="E55" t="e">
            <v>#DIV/0!</v>
          </cell>
        </row>
        <row r="56">
          <cell r="A56">
            <v>39500</v>
          </cell>
          <cell r="B56" t="str">
            <v>#Calc</v>
          </cell>
          <cell r="C56" t="e">
            <v>#DIV/0!</v>
          </cell>
          <cell r="D56" t="e">
            <v>#DIV/0!</v>
          </cell>
          <cell r="E56" t="e">
            <v>#DIV/0!</v>
          </cell>
        </row>
        <row r="57">
          <cell r="A57">
            <v>39501</v>
          </cell>
          <cell r="B57" t="str">
            <v>#Calc</v>
          </cell>
          <cell r="C57" t="e">
            <v>#DIV/0!</v>
          </cell>
          <cell r="D57" t="e">
            <v>#DIV/0!</v>
          </cell>
          <cell r="E57" t="e">
            <v>#DIV/0!</v>
          </cell>
        </row>
        <row r="58">
          <cell r="A58">
            <v>39502</v>
          </cell>
          <cell r="B58" t="str">
            <v>#Calc</v>
          </cell>
          <cell r="C58" t="e">
            <v>#DIV/0!</v>
          </cell>
          <cell r="D58" t="e">
            <v>#DIV/0!</v>
          </cell>
          <cell r="E58" t="e">
            <v>#DIV/0!</v>
          </cell>
        </row>
        <row r="59">
          <cell r="A59">
            <v>39503</v>
          </cell>
          <cell r="B59" t="str">
            <v>#Calc</v>
          </cell>
          <cell r="C59" t="e">
            <v>#DIV/0!</v>
          </cell>
          <cell r="D59" t="e">
            <v>#DIV/0!</v>
          </cell>
          <cell r="E59" t="e">
            <v>#DIV/0!</v>
          </cell>
        </row>
        <row r="60">
          <cell r="A60">
            <v>39504</v>
          </cell>
          <cell r="B60" t="str">
            <v>#Calc</v>
          </cell>
          <cell r="C60" t="e">
            <v>#DIV/0!</v>
          </cell>
          <cell r="D60" t="e">
            <v>#DIV/0!</v>
          </cell>
          <cell r="E60" t="e">
            <v>#DIV/0!</v>
          </cell>
        </row>
        <row r="61">
          <cell r="A61">
            <v>39505</v>
          </cell>
          <cell r="B61" t="str">
            <v>#Calc</v>
          </cell>
          <cell r="C61" t="e">
            <v>#DIV/0!</v>
          </cell>
          <cell r="D61" t="e">
            <v>#DIV/0!</v>
          </cell>
          <cell r="E61" t="e">
            <v>#DIV/0!</v>
          </cell>
        </row>
        <row r="62">
          <cell r="A62">
            <v>39506</v>
          </cell>
          <cell r="B62" t="str">
            <v>#Calc</v>
          </cell>
          <cell r="C62" t="e">
            <v>#DIV/0!</v>
          </cell>
          <cell r="D62" t="e">
            <v>#DIV/0!</v>
          </cell>
          <cell r="E62" t="e">
            <v>#DIV/0!</v>
          </cell>
        </row>
        <row r="63">
          <cell r="A63">
            <v>39507</v>
          </cell>
          <cell r="B63" t="str">
            <v>#Calc</v>
          </cell>
          <cell r="C63" t="e">
            <v>#DIV/0!</v>
          </cell>
          <cell r="D63" t="e">
            <v>#DIV/0!</v>
          </cell>
          <cell r="E63" t="e">
            <v>#DIV/0!</v>
          </cell>
        </row>
        <row r="64">
          <cell r="A64">
            <v>39508</v>
          </cell>
          <cell r="B64" t="str">
            <v>#Calc</v>
          </cell>
          <cell r="C64" t="e">
            <v>#DIV/0!</v>
          </cell>
          <cell r="D64" t="e">
            <v>#DIV/0!</v>
          </cell>
          <cell r="E64" t="e">
            <v>#DIV/0!</v>
          </cell>
        </row>
        <row r="65">
          <cell r="A65">
            <v>39509</v>
          </cell>
          <cell r="B65" t="str">
            <v>#Calc</v>
          </cell>
          <cell r="C65" t="e">
            <v>#DIV/0!</v>
          </cell>
          <cell r="D65" t="e">
            <v>#DIV/0!</v>
          </cell>
          <cell r="E65" t="e">
            <v>#DIV/0!</v>
          </cell>
        </row>
        <row r="66">
          <cell r="A66">
            <v>39510</v>
          </cell>
          <cell r="B66" t="str">
            <v>#Calc</v>
          </cell>
          <cell r="C66" t="e">
            <v>#DIV/0!</v>
          </cell>
          <cell r="D66" t="e">
            <v>#DIV/0!</v>
          </cell>
          <cell r="E66" t="e">
            <v>#DIV/0!</v>
          </cell>
        </row>
        <row r="67">
          <cell r="A67">
            <v>39511</v>
          </cell>
          <cell r="B67" t="str">
            <v>#Calc</v>
          </cell>
          <cell r="C67" t="e">
            <v>#DIV/0!</v>
          </cell>
          <cell r="D67" t="e">
            <v>#DIV/0!</v>
          </cell>
          <cell r="E67" t="e">
            <v>#DIV/0!</v>
          </cell>
        </row>
        <row r="68">
          <cell r="A68">
            <v>39512</v>
          </cell>
          <cell r="B68" t="str">
            <v>#Calc</v>
          </cell>
          <cell r="C68" t="e">
            <v>#DIV/0!</v>
          </cell>
          <cell r="D68" t="e">
            <v>#DIV/0!</v>
          </cell>
          <cell r="E68" t="e">
            <v>#DIV/0!</v>
          </cell>
        </row>
        <row r="69">
          <cell r="A69">
            <v>39513</v>
          </cell>
          <cell r="B69" t="str">
            <v>#Calc</v>
          </cell>
          <cell r="C69" t="e">
            <v>#DIV/0!</v>
          </cell>
          <cell r="D69" t="e">
            <v>#DIV/0!</v>
          </cell>
          <cell r="E69" t="e">
            <v>#DIV/0!</v>
          </cell>
        </row>
        <row r="70">
          <cell r="A70">
            <v>39514</v>
          </cell>
          <cell r="B70" t="str">
            <v>#Calc</v>
          </cell>
          <cell r="C70" t="e">
            <v>#DIV/0!</v>
          </cell>
          <cell r="D70" t="e">
            <v>#DIV/0!</v>
          </cell>
          <cell r="E70" t="e">
            <v>#DIV/0!</v>
          </cell>
        </row>
        <row r="71">
          <cell r="A71">
            <v>39515</v>
          </cell>
          <cell r="B71" t="str">
            <v>#Calc</v>
          </cell>
          <cell r="C71" t="e">
            <v>#DIV/0!</v>
          </cell>
          <cell r="D71" t="e">
            <v>#DIV/0!</v>
          </cell>
          <cell r="E71" t="e">
            <v>#DIV/0!</v>
          </cell>
        </row>
        <row r="72">
          <cell r="A72">
            <v>39516</v>
          </cell>
          <cell r="B72" t="str">
            <v>#Calc</v>
          </cell>
          <cell r="C72" t="e">
            <v>#DIV/0!</v>
          </cell>
          <cell r="D72" t="e">
            <v>#DIV/0!</v>
          </cell>
          <cell r="E72" t="e">
            <v>#DIV/0!</v>
          </cell>
        </row>
        <row r="73">
          <cell r="A73">
            <v>39517</v>
          </cell>
          <cell r="B73" t="str">
            <v>#Calc</v>
          </cell>
          <cell r="C73" t="e">
            <v>#DIV/0!</v>
          </cell>
          <cell r="D73" t="e">
            <v>#DIV/0!</v>
          </cell>
          <cell r="E73" t="e">
            <v>#DIV/0!</v>
          </cell>
        </row>
        <row r="74">
          <cell r="A74">
            <v>39518</v>
          </cell>
          <cell r="B74" t="str">
            <v>#Calc</v>
          </cell>
          <cell r="C74" t="e">
            <v>#DIV/0!</v>
          </cell>
          <cell r="D74" t="e">
            <v>#DIV/0!</v>
          </cell>
          <cell r="E74" t="e">
            <v>#DIV/0!</v>
          </cell>
        </row>
        <row r="75">
          <cell r="A75">
            <v>39519</v>
          </cell>
          <cell r="B75" t="str">
            <v>#Calc</v>
          </cell>
          <cell r="C75" t="e">
            <v>#DIV/0!</v>
          </cell>
          <cell r="D75" t="e">
            <v>#DIV/0!</v>
          </cell>
          <cell r="E75" t="e">
            <v>#DIV/0!</v>
          </cell>
        </row>
        <row r="76">
          <cell r="A76">
            <v>39520</v>
          </cell>
          <cell r="B76" t="str">
            <v>#Calc</v>
          </cell>
          <cell r="C76" t="e">
            <v>#DIV/0!</v>
          </cell>
          <cell r="D76" t="e">
            <v>#DIV/0!</v>
          </cell>
          <cell r="E76" t="e">
            <v>#DIV/0!</v>
          </cell>
        </row>
        <row r="77">
          <cell r="A77">
            <v>39521</v>
          </cell>
          <cell r="B77" t="str">
            <v>#Calc</v>
          </cell>
          <cell r="C77" t="e">
            <v>#DIV/0!</v>
          </cell>
          <cell r="D77" t="e">
            <v>#DIV/0!</v>
          </cell>
          <cell r="E77" t="e">
            <v>#DIV/0!</v>
          </cell>
        </row>
        <row r="78">
          <cell r="A78">
            <v>39522</v>
          </cell>
          <cell r="B78" t="str">
            <v>#Calc</v>
          </cell>
          <cell r="C78" t="e">
            <v>#DIV/0!</v>
          </cell>
          <cell r="D78" t="e">
            <v>#DIV/0!</v>
          </cell>
          <cell r="E78" t="e">
            <v>#DIV/0!</v>
          </cell>
        </row>
        <row r="79">
          <cell r="A79">
            <v>39523</v>
          </cell>
          <cell r="B79" t="str">
            <v>#Calc</v>
          </cell>
          <cell r="C79" t="e">
            <v>#DIV/0!</v>
          </cell>
          <cell r="D79" t="e">
            <v>#DIV/0!</v>
          </cell>
          <cell r="E79" t="e">
            <v>#DIV/0!</v>
          </cell>
        </row>
        <row r="80">
          <cell r="A80">
            <v>39524</v>
          </cell>
          <cell r="B80" t="str">
            <v>#Calc</v>
          </cell>
          <cell r="C80" t="e">
            <v>#DIV/0!</v>
          </cell>
          <cell r="D80" t="e">
            <v>#DIV/0!</v>
          </cell>
          <cell r="E80" t="e">
            <v>#DIV/0!</v>
          </cell>
        </row>
        <row r="81">
          <cell r="A81">
            <v>39525</v>
          </cell>
          <cell r="B81" t="str">
            <v>#Calc</v>
          </cell>
          <cell r="C81" t="e">
            <v>#DIV/0!</v>
          </cell>
          <cell r="D81" t="e">
            <v>#DIV/0!</v>
          </cell>
          <cell r="E81" t="e">
            <v>#DIV/0!</v>
          </cell>
        </row>
        <row r="82">
          <cell r="A82">
            <v>39526</v>
          </cell>
          <cell r="B82" t="str">
            <v>#Calc</v>
          </cell>
          <cell r="C82" t="e">
            <v>#DIV/0!</v>
          </cell>
          <cell r="D82" t="e">
            <v>#DIV/0!</v>
          </cell>
          <cell r="E82" t="e">
            <v>#DIV/0!</v>
          </cell>
        </row>
        <row r="83">
          <cell r="A83">
            <v>39527</v>
          </cell>
          <cell r="B83" t="str">
            <v>#Calc</v>
          </cell>
          <cell r="C83" t="e">
            <v>#DIV/0!</v>
          </cell>
          <cell r="D83" t="e">
            <v>#DIV/0!</v>
          </cell>
          <cell r="E83" t="e">
            <v>#DIV/0!</v>
          </cell>
        </row>
        <row r="84">
          <cell r="A84">
            <v>39528</v>
          </cell>
          <cell r="B84" t="str">
            <v>#Calc</v>
          </cell>
          <cell r="C84" t="e">
            <v>#DIV/0!</v>
          </cell>
          <cell r="D84" t="e">
            <v>#DIV/0!</v>
          </cell>
          <cell r="E84" t="e">
            <v>#DIV/0!</v>
          </cell>
        </row>
        <row r="85">
          <cell r="A85">
            <v>39529</v>
          </cell>
          <cell r="B85" t="str">
            <v>#Calc</v>
          </cell>
          <cell r="C85" t="e">
            <v>#DIV/0!</v>
          </cell>
          <cell r="D85" t="e">
            <v>#DIV/0!</v>
          </cell>
          <cell r="E85" t="e">
            <v>#DIV/0!</v>
          </cell>
        </row>
        <row r="86">
          <cell r="A86">
            <v>39530</v>
          </cell>
          <cell r="B86" t="str">
            <v>#Calc</v>
          </cell>
          <cell r="C86" t="e">
            <v>#DIV/0!</v>
          </cell>
          <cell r="D86" t="e">
            <v>#DIV/0!</v>
          </cell>
          <cell r="E86" t="e">
            <v>#DIV/0!</v>
          </cell>
        </row>
        <row r="87">
          <cell r="A87">
            <v>39531</v>
          </cell>
          <cell r="B87" t="str">
            <v>#Calc</v>
          </cell>
          <cell r="C87" t="e">
            <v>#DIV/0!</v>
          </cell>
          <cell r="D87" t="e">
            <v>#DIV/0!</v>
          </cell>
          <cell r="E87" t="e">
            <v>#DIV/0!</v>
          </cell>
        </row>
        <row r="88">
          <cell r="A88">
            <v>39532</v>
          </cell>
          <cell r="B88" t="str">
            <v>#Calc</v>
          </cell>
          <cell r="C88" t="e">
            <v>#DIV/0!</v>
          </cell>
          <cell r="D88" t="e">
            <v>#DIV/0!</v>
          </cell>
          <cell r="E88" t="e">
            <v>#DIV/0!</v>
          </cell>
        </row>
        <row r="89">
          <cell r="A89">
            <v>39533</v>
          </cell>
          <cell r="B89" t="str">
            <v>#Calc</v>
          </cell>
          <cell r="C89" t="e">
            <v>#DIV/0!</v>
          </cell>
          <cell r="D89" t="e">
            <v>#DIV/0!</v>
          </cell>
          <cell r="E89" t="e">
            <v>#DIV/0!</v>
          </cell>
        </row>
        <row r="90">
          <cell r="A90">
            <v>39534</v>
          </cell>
          <cell r="B90" t="str">
            <v>#Calc</v>
          </cell>
          <cell r="C90" t="e">
            <v>#DIV/0!</v>
          </cell>
          <cell r="D90" t="e">
            <v>#DIV/0!</v>
          </cell>
          <cell r="E90" t="e">
            <v>#DIV/0!</v>
          </cell>
        </row>
        <row r="91">
          <cell r="A91">
            <v>39535</v>
          </cell>
          <cell r="B91" t="str">
            <v>#Calc</v>
          </cell>
          <cell r="C91" t="e">
            <v>#DIV/0!</v>
          </cell>
          <cell r="D91" t="e">
            <v>#DIV/0!</v>
          </cell>
          <cell r="E91" t="e">
            <v>#DIV/0!</v>
          </cell>
        </row>
        <row r="92">
          <cell r="A92">
            <v>39536</v>
          </cell>
          <cell r="B92" t="str">
            <v>#Calc</v>
          </cell>
          <cell r="C92" t="e">
            <v>#DIV/0!</v>
          </cell>
          <cell r="D92" t="e">
            <v>#DIV/0!</v>
          </cell>
          <cell r="E92" t="e">
            <v>#DIV/0!</v>
          </cell>
        </row>
        <row r="93">
          <cell r="A93">
            <v>39537</v>
          </cell>
          <cell r="B93" t="str">
            <v>#Calc</v>
          </cell>
          <cell r="C93" t="e">
            <v>#DIV/0!</v>
          </cell>
          <cell r="D93" t="e">
            <v>#DIV/0!</v>
          </cell>
          <cell r="E93" t="e">
            <v>#DIV/0!</v>
          </cell>
        </row>
        <row r="94">
          <cell r="A94">
            <v>39538</v>
          </cell>
          <cell r="B94" t="str">
            <v>#Calc</v>
          </cell>
          <cell r="C94" t="e">
            <v>#DIV/0!</v>
          </cell>
          <cell r="D94" t="e">
            <v>#DIV/0!</v>
          </cell>
          <cell r="E94" t="e">
            <v>#DIV/0!</v>
          </cell>
        </row>
        <row r="95">
          <cell r="A95">
            <v>39539</v>
          </cell>
          <cell r="B95" t="str">
            <v>#Calc</v>
          </cell>
          <cell r="C95" t="e">
            <v>#DIV/0!</v>
          </cell>
          <cell r="D95" t="e">
            <v>#DIV/0!</v>
          </cell>
          <cell r="E95" t="e">
            <v>#DIV/0!</v>
          </cell>
        </row>
        <row r="96">
          <cell r="A96">
            <v>39540</v>
          </cell>
          <cell r="B96" t="str">
            <v>#Calc</v>
          </cell>
          <cell r="C96" t="e">
            <v>#DIV/0!</v>
          </cell>
          <cell r="D96" t="e">
            <v>#DIV/0!</v>
          </cell>
          <cell r="E96" t="e">
            <v>#DIV/0!</v>
          </cell>
        </row>
        <row r="97">
          <cell r="A97">
            <v>39541</v>
          </cell>
          <cell r="B97" t="str">
            <v>#Calc</v>
          </cell>
          <cell r="C97" t="e">
            <v>#DIV/0!</v>
          </cell>
          <cell r="D97" t="e">
            <v>#DIV/0!</v>
          </cell>
          <cell r="E97" t="e">
            <v>#DIV/0!</v>
          </cell>
        </row>
        <row r="98">
          <cell r="A98">
            <v>39542</v>
          </cell>
          <cell r="B98" t="str">
            <v>#Calc</v>
          </cell>
          <cell r="C98" t="e">
            <v>#DIV/0!</v>
          </cell>
          <cell r="D98" t="e">
            <v>#DIV/0!</v>
          </cell>
          <cell r="E98" t="e">
            <v>#DIV/0!</v>
          </cell>
        </row>
        <row r="99">
          <cell r="A99">
            <v>39543</v>
          </cell>
          <cell r="B99" t="str">
            <v>#Calc</v>
          </cell>
          <cell r="C99" t="e">
            <v>#DIV/0!</v>
          </cell>
          <cell r="D99" t="e">
            <v>#DIV/0!</v>
          </cell>
          <cell r="E99" t="e">
            <v>#DIV/0!</v>
          </cell>
        </row>
        <row r="100">
          <cell r="A100">
            <v>39544</v>
          </cell>
          <cell r="B100" t="str">
            <v>#Calc</v>
          </cell>
          <cell r="C100" t="e">
            <v>#DIV/0!</v>
          </cell>
          <cell r="D100" t="e">
            <v>#DIV/0!</v>
          </cell>
          <cell r="E100" t="e">
            <v>#DIV/0!</v>
          </cell>
        </row>
        <row r="101">
          <cell r="A101">
            <v>39545</v>
          </cell>
          <cell r="B101" t="str">
            <v>#Calc</v>
          </cell>
          <cell r="C101" t="e">
            <v>#DIV/0!</v>
          </cell>
          <cell r="D101" t="e">
            <v>#DIV/0!</v>
          </cell>
          <cell r="E101" t="e">
            <v>#DIV/0!</v>
          </cell>
        </row>
        <row r="102">
          <cell r="A102">
            <v>39546</v>
          </cell>
          <cell r="B102" t="str">
            <v>#Calc</v>
          </cell>
          <cell r="C102" t="e">
            <v>#DIV/0!</v>
          </cell>
          <cell r="D102" t="e">
            <v>#DIV/0!</v>
          </cell>
          <cell r="E102" t="e">
            <v>#DIV/0!</v>
          </cell>
        </row>
        <row r="103">
          <cell r="A103">
            <v>39547</v>
          </cell>
          <cell r="B103" t="str">
            <v>#Calc</v>
          </cell>
          <cell r="C103" t="e">
            <v>#DIV/0!</v>
          </cell>
          <cell r="D103" t="e">
            <v>#DIV/0!</v>
          </cell>
          <cell r="E103" t="e">
            <v>#DIV/0!</v>
          </cell>
        </row>
        <row r="104">
          <cell r="A104">
            <v>39548</v>
          </cell>
          <cell r="B104" t="str">
            <v>#Calc</v>
          </cell>
          <cell r="C104" t="e">
            <v>#DIV/0!</v>
          </cell>
          <cell r="D104" t="e">
            <v>#DIV/0!</v>
          </cell>
          <cell r="E104" t="e">
            <v>#DIV/0!</v>
          </cell>
        </row>
        <row r="105">
          <cell r="A105">
            <v>39549</v>
          </cell>
          <cell r="B105" t="str">
            <v>#Calc</v>
          </cell>
          <cell r="C105" t="e">
            <v>#DIV/0!</v>
          </cell>
          <cell r="D105" t="e">
            <v>#DIV/0!</v>
          </cell>
          <cell r="E105" t="e">
            <v>#DIV/0!</v>
          </cell>
        </row>
        <row r="106">
          <cell r="A106">
            <v>39550</v>
          </cell>
          <cell r="B106" t="str">
            <v>#Calc</v>
          </cell>
          <cell r="C106" t="e">
            <v>#DIV/0!</v>
          </cell>
          <cell r="D106" t="e">
            <v>#DIV/0!</v>
          </cell>
          <cell r="E106" t="e">
            <v>#DIV/0!</v>
          </cell>
        </row>
        <row r="107">
          <cell r="A107">
            <v>39551</v>
          </cell>
          <cell r="B107" t="str">
            <v>#Calc</v>
          </cell>
          <cell r="C107" t="e">
            <v>#DIV/0!</v>
          </cell>
          <cell r="D107" t="e">
            <v>#DIV/0!</v>
          </cell>
          <cell r="E107" t="e">
            <v>#DIV/0!</v>
          </cell>
        </row>
        <row r="108">
          <cell r="A108">
            <v>39552</v>
          </cell>
          <cell r="B108" t="str">
            <v>#Calc</v>
          </cell>
          <cell r="C108" t="e">
            <v>#DIV/0!</v>
          </cell>
          <cell r="D108" t="e">
            <v>#DIV/0!</v>
          </cell>
          <cell r="E108" t="e">
            <v>#DIV/0!</v>
          </cell>
        </row>
        <row r="109">
          <cell r="A109">
            <v>39553</v>
          </cell>
          <cell r="B109" t="str">
            <v>#Calc</v>
          </cell>
          <cell r="C109" t="e">
            <v>#DIV/0!</v>
          </cell>
          <cell r="D109" t="e">
            <v>#DIV/0!</v>
          </cell>
          <cell r="E109" t="e">
            <v>#DIV/0!</v>
          </cell>
        </row>
        <row r="110">
          <cell r="A110">
            <v>39554</v>
          </cell>
          <cell r="B110" t="str">
            <v>#Calc</v>
          </cell>
          <cell r="C110" t="e">
            <v>#DIV/0!</v>
          </cell>
          <cell r="D110" t="e">
            <v>#DIV/0!</v>
          </cell>
          <cell r="E110" t="e">
            <v>#DIV/0!</v>
          </cell>
        </row>
        <row r="111">
          <cell r="A111">
            <v>39555</v>
          </cell>
          <cell r="B111" t="str">
            <v>#Calc</v>
          </cell>
          <cell r="C111" t="e">
            <v>#DIV/0!</v>
          </cell>
          <cell r="D111" t="e">
            <v>#DIV/0!</v>
          </cell>
          <cell r="E111" t="e">
            <v>#DIV/0!</v>
          </cell>
        </row>
        <row r="112">
          <cell r="A112">
            <v>39556</v>
          </cell>
          <cell r="B112" t="str">
            <v>#Calc</v>
          </cell>
          <cell r="C112" t="e">
            <v>#DIV/0!</v>
          </cell>
          <cell r="D112" t="e">
            <v>#DIV/0!</v>
          </cell>
          <cell r="E112" t="e">
            <v>#DIV/0!</v>
          </cell>
        </row>
        <row r="113">
          <cell r="A113">
            <v>39557</v>
          </cell>
          <cell r="B113" t="str">
            <v>#Calc</v>
          </cell>
          <cell r="C113" t="e">
            <v>#DIV/0!</v>
          </cell>
          <cell r="D113" t="e">
            <v>#DIV/0!</v>
          </cell>
          <cell r="E113" t="e">
            <v>#DIV/0!</v>
          </cell>
        </row>
        <row r="114">
          <cell r="A114">
            <v>39558</v>
          </cell>
          <cell r="B114" t="str">
            <v>#Calc</v>
          </cell>
          <cell r="C114" t="e">
            <v>#DIV/0!</v>
          </cell>
          <cell r="D114" t="e">
            <v>#DIV/0!</v>
          </cell>
          <cell r="E114" t="e">
            <v>#DIV/0!</v>
          </cell>
        </row>
        <row r="115">
          <cell r="A115">
            <v>39559</v>
          </cell>
          <cell r="B115" t="str">
            <v>#Calc</v>
          </cell>
          <cell r="C115" t="e">
            <v>#DIV/0!</v>
          </cell>
          <cell r="D115" t="e">
            <v>#DIV/0!</v>
          </cell>
          <cell r="E115" t="e">
            <v>#DIV/0!</v>
          </cell>
        </row>
        <row r="116">
          <cell r="A116">
            <v>39560</v>
          </cell>
          <cell r="B116" t="str">
            <v>#Calc</v>
          </cell>
          <cell r="C116" t="e">
            <v>#DIV/0!</v>
          </cell>
          <cell r="D116" t="e">
            <v>#DIV/0!</v>
          </cell>
          <cell r="E116" t="e">
            <v>#DIV/0!</v>
          </cell>
        </row>
        <row r="117">
          <cell r="A117">
            <v>39561</v>
          </cell>
          <cell r="B117" t="str">
            <v>#Calc</v>
          </cell>
          <cell r="C117" t="e">
            <v>#DIV/0!</v>
          </cell>
          <cell r="D117" t="e">
            <v>#DIV/0!</v>
          </cell>
          <cell r="E117" t="e">
            <v>#DIV/0!</v>
          </cell>
        </row>
        <row r="118">
          <cell r="A118">
            <v>39562</v>
          </cell>
          <cell r="B118" t="str">
            <v>#Calc</v>
          </cell>
          <cell r="C118" t="e">
            <v>#DIV/0!</v>
          </cell>
          <cell r="D118" t="e">
            <v>#DIV/0!</v>
          </cell>
          <cell r="E118" t="e">
            <v>#DIV/0!</v>
          </cell>
        </row>
        <row r="119">
          <cell r="A119">
            <v>39563</v>
          </cell>
          <cell r="B119" t="str">
            <v>#Calc</v>
          </cell>
          <cell r="C119" t="e">
            <v>#DIV/0!</v>
          </cell>
          <cell r="D119" t="e">
            <v>#DIV/0!</v>
          </cell>
          <cell r="E119" t="e">
            <v>#DIV/0!</v>
          </cell>
        </row>
        <row r="120">
          <cell r="A120">
            <v>39564</v>
          </cell>
          <cell r="B120" t="str">
            <v>#Calc</v>
          </cell>
          <cell r="C120" t="e">
            <v>#DIV/0!</v>
          </cell>
          <cell r="D120" t="e">
            <v>#DIV/0!</v>
          </cell>
          <cell r="E120" t="e">
            <v>#DIV/0!</v>
          </cell>
        </row>
        <row r="121">
          <cell r="A121">
            <v>39565</v>
          </cell>
          <cell r="B121" t="str">
            <v>#Calc</v>
          </cell>
          <cell r="C121" t="e">
            <v>#DIV/0!</v>
          </cell>
          <cell r="D121" t="e">
            <v>#DIV/0!</v>
          </cell>
          <cell r="E121" t="e">
            <v>#DIV/0!</v>
          </cell>
        </row>
        <row r="122">
          <cell r="A122">
            <v>39566</v>
          </cell>
          <cell r="B122" t="str">
            <v>#Calc</v>
          </cell>
          <cell r="C122" t="e">
            <v>#DIV/0!</v>
          </cell>
          <cell r="D122" t="e">
            <v>#DIV/0!</v>
          </cell>
          <cell r="E122" t="e">
            <v>#DIV/0!</v>
          </cell>
        </row>
        <row r="123">
          <cell r="A123">
            <v>39567</v>
          </cell>
          <cell r="B123" t="str">
            <v>#Calc</v>
          </cell>
          <cell r="C123" t="e">
            <v>#DIV/0!</v>
          </cell>
          <cell r="D123" t="e">
            <v>#DIV/0!</v>
          </cell>
          <cell r="E123" t="e">
            <v>#DIV/0!</v>
          </cell>
        </row>
        <row r="124">
          <cell r="A124">
            <v>39568</v>
          </cell>
          <cell r="B124" t="str">
            <v>#Calc</v>
          </cell>
          <cell r="C124" t="e">
            <v>#DIV/0!</v>
          </cell>
          <cell r="D124" t="e">
            <v>#DIV/0!</v>
          </cell>
          <cell r="E124" t="e">
            <v>#DIV/0!</v>
          </cell>
        </row>
        <row r="125">
          <cell r="A125">
            <v>39569</v>
          </cell>
          <cell r="B125" t="str">
            <v>#Calc</v>
          </cell>
          <cell r="C125" t="e">
            <v>#DIV/0!</v>
          </cell>
          <cell r="D125" t="e">
            <v>#DIV/0!</v>
          </cell>
          <cell r="E125" t="e">
            <v>#DIV/0!</v>
          </cell>
        </row>
        <row r="126">
          <cell r="A126">
            <v>39570</v>
          </cell>
          <cell r="B126" t="str">
            <v>#Calc</v>
          </cell>
          <cell r="C126" t="e">
            <v>#DIV/0!</v>
          </cell>
          <cell r="D126" t="e">
            <v>#DIV/0!</v>
          </cell>
          <cell r="E126" t="e">
            <v>#DIV/0!</v>
          </cell>
        </row>
        <row r="127">
          <cell r="A127">
            <v>39571</v>
          </cell>
          <cell r="B127" t="str">
            <v>#Calc</v>
          </cell>
          <cell r="C127" t="e">
            <v>#DIV/0!</v>
          </cell>
          <cell r="D127" t="e">
            <v>#DIV/0!</v>
          </cell>
          <cell r="E127" t="e">
            <v>#DIV/0!</v>
          </cell>
        </row>
        <row r="128">
          <cell r="A128">
            <v>39572</v>
          </cell>
          <cell r="B128" t="str">
            <v>#Calc</v>
          </cell>
          <cell r="C128" t="e">
            <v>#DIV/0!</v>
          </cell>
          <cell r="D128" t="e">
            <v>#DIV/0!</v>
          </cell>
          <cell r="E128" t="e">
            <v>#DIV/0!</v>
          </cell>
        </row>
        <row r="129">
          <cell r="A129">
            <v>39573</v>
          </cell>
          <cell r="B129" t="str">
            <v>#Calc</v>
          </cell>
          <cell r="C129" t="e">
            <v>#DIV/0!</v>
          </cell>
          <cell r="D129" t="e">
            <v>#DIV/0!</v>
          </cell>
          <cell r="E129" t="e">
            <v>#DIV/0!</v>
          </cell>
        </row>
        <row r="130">
          <cell r="A130">
            <v>39574</v>
          </cell>
          <cell r="B130" t="str">
            <v>#Calc</v>
          </cell>
          <cell r="C130" t="e">
            <v>#DIV/0!</v>
          </cell>
          <cell r="D130" t="e">
            <v>#DIV/0!</v>
          </cell>
          <cell r="E130" t="e">
            <v>#DIV/0!</v>
          </cell>
        </row>
        <row r="131">
          <cell r="A131">
            <v>39575</v>
          </cell>
          <cell r="B131" t="str">
            <v>#Calc</v>
          </cell>
          <cell r="C131" t="e">
            <v>#DIV/0!</v>
          </cell>
          <cell r="D131" t="e">
            <v>#DIV/0!</v>
          </cell>
          <cell r="E131" t="e">
            <v>#DIV/0!</v>
          </cell>
        </row>
        <row r="132">
          <cell r="A132">
            <v>39576</v>
          </cell>
          <cell r="B132" t="str">
            <v>#Calc</v>
          </cell>
          <cell r="C132" t="e">
            <v>#DIV/0!</v>
          </cell>
          <cell r="D132" t="e">
            <v>#DIV/0!</v>
          </cell>
          <cell r="E132" t="e">
            <v>#DIV/0!</v>
          </cell>
        </row>
        <row r="133">
          <cell r="A133">
            <v>39577</v>
          </cell>
          <cell r="B133" t="str">
            <v>#Calc</v>
          </cell>
          <cell r="C133" t="e">
            <v>#DIV/0!</v>
          </cell>
          <cell r="D133" t="e">
            <v>#DIV/0!</v>
          </cell>
          <cell r="E133" t="e">
            <v>#DIV/0!</v>
          </cell>
        </row>
        <row r="134">
          <cell r="A134">
            <v>39578</v>
          </cell>
          <cell r="B134" t="str">
            <v>#Calc</v>
          </cell>
          <cell r="C134" t="e">
            <v>#DIV/0!</v>
          </cell>
          <cell r="D134" t="e">
            <v>#DIV/0!</v>
          </cell>
          <cell r="E134" t="e">
            <v>#DIV/0!</v>
          </cell>
        </row>
        <row r="135">
          <cell r="A135">
            <v>39579</v>
          </cell>
          <cell r="B135" t="str">
            <v>#Calc</v>
          </cell>
          <cell r="C135" t="e">
            <v>#DIV/0!</v>
          </cell>
          <cell r="D135" t="e">
            <v>#DIV/0!</v>
          </cell>
          <cell r="E135" t="e">
            <v>#DIV/0!</v>
          </cell>
        </row>
        <row r="136">
          <cell r="A136">
            <v>39580</v>
          </cell>
          <cell r="B136" t="str">
            <v>#Calc</v>
          </cell>
          <cell r="C136" t="e">
            <v>#DIV/0!</v>
          </cell>
          <cell r="D136" t="e">
            <v>#DIV/0!</v>
          </cell>
          <cell r="E136" t="e">
            <v>#DIV/0!</v>
          </cell>
        </row>
        <row r="137">
          <cell r="A137">
            <v>39581</v>
          </cell>
          <cell r="B137" t="str">
            <v>#Calc</v>
          </cell>
          <cell r="C137" t="e">
            <v>#DIV/0!</v>
          </cell>
          <cell r="D137" t="e">
            <v>#DIV/0!</v>
          </cell>
          <cell r="E137" t="e">
            <v>#DIV/0!</v>
          </cell>
        </row>
        <row r="138">
          <cell r="A138">
            <v>39582</v>
          </cell>
          <cell r="B138" t="str">
            <v>#Calc</v>
          </cell>
          <cell r="C138" t="e">
            <v>#DIV/0!</v>
          </cell>
          <cell r="D138" t="e">
            <v>#DIV/0!</v>
          </cell>
          <cell r="E138" t="e">
            <v>#DIV/0!</v>
          </cell>
        </row>
        <row r="139">
          <cell r="A139">
            <v>39583</v>
          </cell>
          <cell r="B139" t="str">
            <v>#Calc</v>
          </cell>
          <cell r="C139" t="e">
            <v>#DIV/0!</v>
          </cell>
          <cell r="D139" t="e">
            <v>#DIV/0!</v>
          </cell>
          <cell r="E139" t="e">
            <v>#DIV/0!</v>
          </cell>
        </row>
        <row r="140">
          <cell r="A140">
            <v>39584</v>
          </cell>
          <cell r="B140" t="str">
            <v>#Calc</v>
          </cell>
          <cell r="C140" t="e">
            <v>#DIV/0!</v>
          </cell>
          <cell r="D140" t="e">
            <v>#DIV/0!</v>
          </cell>
          <cell r="E140" t="e">
            <v>#DIV/0!</v>
          </cell>
        </row>
        <row r="141">
          <cell r="A141">
            <v>39585</v>
          </cell>
          <cell r="B141" t="str">
            <v>#Calc</v>
          </cell>
          <cell r="C141" t="e">
            <v>#DIV/0!</v>
          </cell>
          <cell r="D141" t="e">
            <v>#DIV/0!</v>
          </cell>
          <cell r="E141" t="e">
            <v>#DIV/0!</v>
          </cell>
        </row>
        <row r="142">
          <cell r="A142">
            <v>39586</v>
          </cell>
          <cell r="B142" t="str">
            <v>#Calc</v>
          </cell>
          <cell r="C142" t="e">
            <v>#DIV/0!</v>
          </cell>
          <cell r="D142" t="e">
            <v>#DIV/0!</v>
          </cell>
          <cell r="E142" t="e">
            <v>#DIV/0!</v>
          </cell>
        </row>
        <row r="143">
          <cell r="A143">
            <v>39587</v>
          </cell>
          <cell r="B143" t="str">
            <v>#Calc</v>
          </cell>
          <cell r="C143" t="e">
            <v>#DIV/0!</v>
          </cell>
          <cell r="D143" t="e">
            <v>#DIV/0!</v>
          </cell>
          <cell r="E143" t="e">
            <v>#DIV/0!</v>
          </cell>
        </row>
        <row r="144">
          <cell r="A144">
            <v>39588</v>
          </cell>
          <cell r="B144" t="str">
            <v>#Calc</v>
          </cell>
          <cell r="C144" t="e">
            <v>#DIV/0!</v>
          </cell>
          <cell r="D144" t="e">
            <v>#DIV/0!</v>
          </cell>
          <cell r="E144" t="e">
            <v>#DIV/0!</v>
          </cell>
        </row>
        <row r="145">
          <cell r="A145">
            <v>39589</v>
          </cell>
          <cell r="B145" t="str">
            <v>#Calc</v>
          </cell>
          <cell r="C145" t="e">
            <v>#DIV/0!</v>
          </cell>
          <cell r="D145" t="e">
            <v>#DIV/0!</v>
          </cell>
          <cell r="E145" t="e">
            <v>#DIV/0!</v>
          </cell>
        </row>
        <row r="146">
          <cell r="A146">
            <v>39590</v>
          </cell>
          <cell r="B146" t="str">
            <v>#Calc</v>
          </cell>
          <cell r="C146" t="e">
            <v>#DIV/0!</v>
          </cell>
          <cell r="D146" t="e">
            <v>#DIV/0!</v>
          </cell>
          <cell r="E146" t="e">
            <v>#DIV/0!</v>
          </cell>
        </row>
        <row r="147">
          <cell r="A147">
            <v>39591</v>
          </cell>
          <cell r="B147" t="str">
            <v>#Calc</v>
          </cell>
          <cell r="C147" t="e">
            <v>#DIV/0!</v>
          </cell>
          <cell r="D147" t="e">
            <v>#DIV/0!</v>
          </cell>
          <cell r="E147" t="e">
            <v>#DIV/0!</v>
          </cell>
        </row>
        <row r="148">
          <cell r="A148">
            <v>39592</v>
          </cell>
          <cell r="B148" t="str">
            <v>#Calc</v>
          </cell>
          <cell r="C148" t="e">
            <v>#DIV/0!</v>
          </cell>
          <cell r="D148" t="e">
            <v>#DIV/0!</v>
          </cell>
          <cell r="E148" t="e">
            <v>#DIV/0!</v>
          </cell>
        </row>
        <row r="149">
          <cell r="A149">
            <v>39593</v>
          </cell>
          <cell r="B149" t="str">
            <v>#Calc</v>
          </cell>
          <cell r="C149" t="e">
            <v>#DIV/0!</v>
          </cell>
          <cell r="D149" t="e">
            <v>#DIV/0!</v>
          </cell>
          <cell r="E149" t="e">
            <v>#DIV/0!</v>
          </cell>
        </row>
        <row r="150">
          <cell r="A150">
            <v>39594</v>
          </cell>
          <cell r="B150" t="str">
            <v>#Calc</v>
          </cell>
          <cell r="C150" t="e">
            <v>#DIV/0!</v>
          </cell>
          <cell r="D150" t="e">
            <v>#DIV/0!</v>
          </cell>
          <cell r="E150" t="e">
            <v>#DIV/0!</v>
          </cell>
        </row>
        <row r="151">
          <cell r="A151">
            <v>39595</v>
          </cell>
          <cell r="B151" t="str">
            <v>#Calc</v>
          </cell>
          <cell r="C151" t="e">
            <v>#DIV/0!</v>
          </cell>
          <cell r="D151" t="e">
            <v>#DIV/0!</v>
          </cell>
          <cell r="E151" t="e">
            <v>#DIV/0!</v>
          </cell>
        </row>
        <row r="152">
          <cell r="A152">
            <v>39596</v>
          </cell>
          <cell r="B152" t="str">
            <v>#Calc</v>
          </cell>
          <cell r="C152" t="e">
            <v>#DIV/0!</v>
          </cell>
          <cell r="D152" t="e">
            <v>#DIV/0!</v>
          </cell>
          <cell r="E152" t="e">
            <v>#DIV/0!</v>
          </cell>
        </row>
        <row r="153">
          <cell r="A153">
            <v>39597</v>
          </cell>
          <cell r="B153" t="str">
            <v>#Calc</v>
          </cell>
          <cell r="C153" t="e">
            <v>#DIV/0!</v>
          </cell>
          <cell r="D153" t="e">
            <v>#DIV/0!</v>
          </cell>
          <cell r="E153" t="e">
            <v>#DIV/0!</v>
          </cell>
        </row>
        <row r="154">
          <cell r="A154">
            <v>39598</v>
          </cell>
          <cell r="B154" t="str">
            <v>#Calc</v>
          </cell>
          <cell r="C154" t="e">
            <v>#DIV/0!</v>
          </cell>
          <cell r="D154" t="e">
            <v>#DIV/0!</v>
          </cell>
          <cell r="E154" t="e">
            <v>#DIV/0!</v>
          </cell>
        </row>
        <row r="155">
          <cell r="A155">
            <v>39599</v>
          </cell>
          <cell r="B155" t="str">
            <v>#Calc</v>
          </cell>
          <cell r="C155" t="e">
            <v>#DIV/0!</v>
          </cell>
          <cell r="D155" t="e">
            <v>#DIV/0!</v>
          </cell>
          <cell r="E155" t="e">
            <v>#DIV/0!</v>
          </cell>
        </row>
        <row r="156">
          <cell r="A156">
            <v>39600</v>
          </cell>
          <cell r="B156" t="str">
            <v>#Calc</v>
          </cell>
          <cell r="C156" t="e">
            <v>#DIV/0!</v>
          </cell>
          <cell r="D156" t="e">
            <v>#DIV/0!</v>
          </cell>
          <cell r="E156" t="e">
            <v>#DIV/0!</v>
          </cell>
        </row>
        <row r="157">
          <cell r="A157">
            <v>39601</v>
          </cell>
          <cell r="B157" t="str">
            <v>#Calc</v>
          </cell>
          <cell r="C157" t="e">
            <v>#DIV/0!</v>
          </cell>
          <cell r="D157" t="e">
            <v>#DIV/0!</v>
          </cell>
          <cell r="E157" t="e">
            <v>#DIV/0!</v>
          </cell>
        </row>
        <row r="158">
          <cell r="A158">
            <v>39602</v>
          </cell>
          <cell r="B158" t="str">
            <v>#Calc</v>
          </cell>
          <cell r="C158" t="e">
            <v>#DIV/0!</v>
          </cell>
          <cell r="D158" t="e">
            <v>#DIV/0!</v>
          </cell>
          <cell r="E158" t="e">
            <v>#DIV/0!</v>
          </cell>
        </row>
        <row r="159">
          <cell r="A159">
            <v>39603</v>
          </cell>
          <cell r="B159" t="str">
            <v>#Calc</v>
          </cell>
          <cell r="C159" t="e">
            <v>#DIV/0!</v>
          </cell>
          <cell r="D159" t="e">
            <v>#DIV/0!</v>
          </cell>
          <cell r="E159" t="e">
            <v>#DIV/0!</v>
          </cell>
        </row>
        <row r="160">
          <cell r="A160">
            <v>39604</v>
          </cell>
          <cell r="B160" t="str">
            <v>#Calc</v>
          </cell>
          <cell r="C160" t="e">
            <v>#DIV/0!</v>
          </cell>
          <cell r="D160" t="e">
            <v>#DIV/0!</v>
          </cell>
          <cell r="E160" t="e">
            <v>#DIV/0!</v>
          </cell>
        </row>
        <row r="161">
          <cell r="A161">
            <v>39605</v>
          </cell>
          <cell r="B161" t="str">
            <v>#Calc</v>
          </cell>
          <cell r="C161" t="e">
            <v>#DIV/0!</v>
          </cell>
          <cell r="D161" t="e">
            <v>#DIV/0!</v>
          </cell>
          <cell r="E161" t="e">
            <v>#DIV/0!</v>
          </cell>
        </row>
        <row r="162">
          <cell r="A162">
            <v>39606</v>
          </cell>
          <cell r="B162" t="str">
            <v>#Calc</v>
          </cell>
          <cell r="C162" t="e">
            <v>#DIV/0!</v>
          </cell>
          <cell r="D162" t="e">
            <v>#DIV/0!</v>
          </cell>
          <cell r="E162" t="e">
            <v>#DIV/0!</v>
          </cell>
        </row>
        <row r="163">
          <cell r="A163">
            <v>39607</v>
          </cell>
          <cell r="B163" t="str">
            <v>#Calc</v>
          </cell>
          <cell r="C163" t="e">
            <v>#DIV/0!</v>
          </cell>
          <cell r="D163" t="e">
            <v>#DIV/0!</v>
          </cell>
          <cell r="E163" t="e">
            <v>#DIV/0!</v>
          </cell>
        </row>
        <row r="164">
          <cell r="A164">
            <v>39608</v>
          </cell>
          <cell r="B164" t="str">
            <v>#Calc</v>
          </cell>
          <cell r="C164" t="e">
            <v>#DIV/0!</v>
          </cell>
          <cell r="D164" t="e">
            <v>#DIV/0!</v>
          </cell>
          <cell r="E164" t="e">
            <v>#DIV/0!</v>
          </cell>
        </row>
        <row r="165">
          <cell r="A165">
            <v>39609</v>
          </cell>
          <cell r="B165" t="str">
            <v>#Calc</v>
          </cell>
          <cell r="C165" t="e">
            <v>#DIV/0!</v>
          </cell>
          <cell r="D165" t="e">
            <v>#DIV/0!</v>
          </cell>
          <cell r="E165" t="e">
            <v>#DIV/0!</v>
          </cell>
        </row>
        <row r="166">
          <cell r="A166">
            <v>39610</v>
          </cell>
          <cell r="B166" t="str">
            <v>#Calc</v>
          </cell>
          <cell r="C166" t="e">
            <v>#DIV/0!</v>
          </cell>
          <cell r="D166" t="e">
            <v>#DIV/0!</v>
          </cell>
          <cell r="E166" t="e">
            <v>#DIV/0!</v>
          </cell>
        </row>
        <row r="167">
          <cell r="A167">
            <v>39611</v>
          </cell>
          <cell r="B167" t="str">
            <v>#Calc</v>
          </cell>
          <cell r="C167" t="e">
            <v>#DIV/0!</v>
          </cell>
          <cell r="D167" t="e">
            <v>#DIV/0!</v>
          </cell>
          <cell r="E167" t="e">
            <v>#DIV/0!</v>
          </cell>
        </row>
        <row r="168">
          <cell r="A168">
            <v>39612</v>
          </cell>
          <cell r="B168" t="str">
            <v>#Calc</v>
          </cell>
          <cell r="C168" t="e">
            <v>#DIV/0!</v>
          </cell>
          <cell r="D168" t="e">
            <v>#DIV/0!</v>
          </cell>
          <cell r="E168" t="e">
            <v>#DIV/0!</v>
          </cell>
        </row>
        <row r="169">
          <cell r="A169">
            <v>39613</v>
          </cell>
          <cell r="B169" t="str">
            <v>#Calc</v>
          </cell>
          <cell r="C169" t="e">
            <v>#DIV/0!</v>
          </cell>
          <cell r="D169" t="e">
            <v>#DIV/0!</v>
          </cell>
          <cell r="E169" t="e">
            <v>#DIV/0!</v>
          </cell>
        </row>
        <row r="170">
          <cell r="A170">
            <v>39614</v>
          </cell>
          <cell r="B170" t="str">
            <v>#Calc</v>
          </cell>
          <cell r="C170" t="e">
            <v>#DIV/0!</v>
          </cell>
          <cell r="D170" t="e">
            <v>#DIV/0!</v>
          </cell>
          <cell r="E170" t="e">
            <v>#DIV/0!</v>
          </cell>
        </row>
        <row r="171">
          <cell r="A171">
            <v>39615</v>
          </cell>
          <cell r="B171" t="str">
            <v>#Calc</v>
          </cell>
          <cell r="C171" t="e">
            <v>#DIV/0!</v>
          </cell>
          <cell r="D171" t="e">
            <v>#DIV/0!</v>
          </cell>
          <cell r="E171" t="e">
            <v>#DIV/0!</v>
          </cell>
        </row>
        <row r="172">
          <cell r="A172">
            <v>39616</v>
          </cell>
          <cell r="B172" t="str">
            <v>#Calc</v>
          </cell>
          <cell r="C172" t="e">
            <v>#DIV/0!</v>
          </cell>
          <cell r="D172" t="e">
            <v>#DIV/0!</v>
          </cell>
          <cell r="E172" t="e">
            <v>#DIV/0!</v>
          </cell>
        </row>
        <row r="173">
          <cell r="A173">
            <v>39617</v>
          </cell>
          <cell r="B173" t="str">
            <v>#Calc</v>
          </cell>
          <cell r="C173" t="e">
            <v>#DIV/0!</v>
          </cell>
          <cell r="D173" t="e">
            <v>#DIV/0!</v>
          </cell>
          <cell r="E173" t="e">
            <v>#DIV/0!</v>
          </cell>
        </row>
        <row r="174">
          <cell r="A174">
            <v>39618</v>
          </cell>
          <cell r="B174" t="str">
            <v>#Calc</v>
          </cell>
          <cell r="C174" t="e">
            <v>#DIV/0!</v>
          </cell>
          <cell r="D174" t="e">
            <v>#DIV/0!</v>
          </cell>
          <cell r="E174" t="e">
            <v>#DIV/0!</v>
          </cell>
        </row>
        <row r="175">
          <cell r="A175">
            <v>39619</v>
          </cell>
          <cell r="B175" t="str">
            <v>#Calc</v>
          </cell>
          <cell r="C175" t="e">
            <v>#DIV/0!</v>
          </cell>
          <cell r="D175" t="e">
            <v>#DIV/0!</v>
          </cell>
          <cell r="E175" t="e">
            <v>#DIV/0!</v>
          </cell>
        </row>
        <row r="176">
          <cell r="A176">
            <v>39620</v>
          </cell>
          <cell r="B176" t="str">
            <v>#Calc</v>
          </cell>
          <cell r="C176" t="e">
            <v>#DIV/0!</v>
          </cell>
          <cell r="D176" t="e">
            <v>#DIV/0!</v>
          </cell>
          <cell r="E176" t="e">
            <v>#DIV/0!</v>
          </cell>
        </row>
        <row r="177">
          <cell r="A177">
            <v>39621</v>
          </cell>
          <cell r="B177" t="str">
            <v>#Calc</v>
          </cell>
          <cell r="C177" t="e">
            <v>#DIV/0!</v>
          </cell>
          <cell r="D177" t="e">
            <v>#DIV/0!</v>
          </cell>
          <cell r="E177" t="e">
            <v>#DIV/0!</v>
          </cell>
        </row>
        <row r="178">
          <cell r="A178">
            <v>39622</v>
          </cell>
          <cell r="B178" t="str">
            <v>#Calc</v>
          </cell>
          <cell r="C178" t="e">
            <v>#DIV/0!</v>
          </cell>
          <cell r="D178" t="e">
            <v>#DIV/0!</v>
          </cell>
          <cell r="E178" t="e">
            <v>#DIV/0!</v>
          </cell>
        </row>
        <row r="179">
          <cell r="A179">
            <v>39623</v>
          </cell>
          <cell r="B179" t="str">
            <v>#Calc</v>
          </cell>
          <cell r="C179" t="e">
            <v>#DIV/0!</v>
          </cell>
          <cell r="D179" t="e">
            <v>#DIV/0!</v>
          </cell>
          <cell r="E179" t="e">
            <v>#DIV/0!</v>
          </cell>
        </row>
        <row r="180">
          <cell r="A180">
            <v>39624</v>
          </cell>
          <cell r="B180" t="str">
            <v>#Calc</v>
          </cell>
          <cell r="C180" t="e">
            <v>#DIV/0!</v>
          </cell>
          <cell r="D180" t="e">
            <v>#DIV/0!</v>
          </cell>
          <cell r="E180" t="e">
            <v>#DIV/0!</v>
          </cell>
        </row>
        <row r="181">
          <cell r="A181">
            <v>39625</v>
          </cell>
          <cell r="B181" t="str">
            <v>#Calc</v>
          </cell>
          <cell r="C181" t="e">
            <v>#DIV/0!</v>
          </cell>
          <cell r="D181" t="e">
            <v>#DIV/0!</v>
          </cell>
          <cell r="E181" t="e">
            <v>#DIV/0!</v>
          </cell>
        </row>
        <row r="182">
          <cell r="A182">
            <v>39626</v>
          </cell>
          <cell r="B182" t="str">
            <v>#Calc</v>
          </cell>
          <cell r="C182" t="e">
            <v>#DIV/0!</v>
          </cell>
          <cell r="D182" t="e">
            <v>#DIV/0!</v>
          </cell>
          <cell r="E182" t="e">
            <v>#DIV/0!</v>
          </cell>
        </row>
        <row r="183">
          <cell r="A183">
            <v>39627</v>
          </cell>
          <cell r="B183" t="str">
            <v>#Calc</v>
          </cell>
          <cell r="C183" t="e">
            <v>#DIV/0!</v>
          </cell>
          <cell r="D183" t="e">
            <v>#DIV/0!</v>
          </cell>
          <cell r="E183" t="e">
            <v>#DIV/0!</v>
          </cell>
        </row>
        <row r="184">
          <cell r="A184">
            <v>39628</v>
          </cell>
          <cell r="B184" t="str">
            <v>#Calc</v>
          </cell>
          <cell r="C184" t="e">
            <v>#DIV/0!</v>
          </cell>
          <cell r="D184" t="e">
            <v>#DIV/0!</v>
          </cell>
          <cell r="E184" t="e">
            <v>#DIV/0!</v>
          </cell>
        </row>
        <row r="185">
          <cell r="A185">
            <v>39629</v>
          </cell>
          <cell r="B185" t="str">
            <v>#Calc</v>
          </cell>
          <cell r="C185" t="e">
            <v>#DIV/0!</v>
          </cell>
          <cell r="D185" t="e">
            <v>#DIV/0!</v>
          </cell>
          <cell r="E185" t="e">
            <v>#DIV/0!</v>
          </cell>
        </row>
        <row r="186">
          <cell r="A186">
            <v>39630</v>
          </cell>
          <cell r="B186" t="str">
            <v>#Calc</v>
          </cell>
          <cell r="C186" t="e">
            <v>#DIV/0!</v>
          </cell>
          <cell r="D186" t="e">
            <v>#DIV/0!</v>
          </cell>
          <cell r="E186" t="e">
            <v>#DIV/0!</v>
          </cell>
        </row>
        <row r="187">
          <cell r="A187">
            <v>39631</v>
          </cell>
          <cell r="B187" t="str">
            <v>#Calc</v>
          </cell>
          <cell r="C187" t="e">
            <v>#DIV/0!</v>
          </cell>
          <cell r="D187" t="e">
            <v>#DIV/0!</v>
          </cell>
          <cell r="E187" t="e">
            <v>#DIV/0!</v>
          </cell>
        </row>
        <row r="188">
          <cell r="A188">
            <v>39632</v>
          </cell>
          <cell r="B188" t="str">
            <v>#Calc</v>
          </cell>
          <cell r="C188" t="e">
            <v>#DIV/0!</v>
          </cell>
          <cell r="D188" t="e">
            <v>#DIV/0!</v>
          </cell>
          <cell r="E188" t="e">
            <v>#DIV/0!</v>
          </cell>
        </row>
        <row r="189">
          <cell r="A189">
            <v>39633</v>
          </cell>
          <cell r="B189" t="str">
            <v>#Calc</v>
          </cell>
          <cell r="C189" t="e">
            <v>#DIV/0!</v>
          </cell>
          <cell r="D189" t="e">
            <v>#DIV/0!</v>
          </cell>
          <cell r="E189" t="e">
            <v>#DIV/0!</v>
          </cell>
        </row>
        <row r="190">
          <cell r="A190">
            <v>39634</v>
          </cell>
          <cell r="B190" t="str">
            <v>#Calc</v>
          </cell>
          <cell r="C190" t="e">
            <v>#DIV/0!</v>
          </cell>
          <cell r="D190" t="e">
            <v>#DIV/0!</v>
          </cell>
          <cell r="E190" t="e">
            <v>#DIV/0!</v>
          </cell>
        </row>
        <row r="191">
          <cell r="A191">
            <v>39635</v>
          </cell>
          <cell r="B191" t="str">
            <v>#Calc</v>
          </cell>
          <cell r="C191" t="e">
            <v>#DIV/0!</v>
          </cell>
          <cell r="D191" t="e">
            <v>#DIV/0!</v>
          </cell>
          <cell r="E191" t="e">
            <v>#DIV/0!</v>
          </cell>
        </row>
        <row r="192">
          <cell r="A192">
            <v>39636</v>
          </cell>
          <cell r="B192" t="str">
            <v>#Calc</v>
          </cell>
          <cell r="C192" t="e">
            <v>#DIV/0!</v>
          </cell>
          <cell r="D192" t="e">
            <v>#DIV/0!</v>
          </cell>
          <cell r="E192" t="e">
            <v>#DIV/0!</v>
          </cell>
        </row>
        <row r="193">
          <cell r="A193">
            <v>39637</v>
          </cell>
          <cell r="B193" t="str">
            <v>#Calc</v>
          </cell>
          <cell r="C193" t="e">
            <v>#DIV/0!</v>
          </cell>
          <cell r="D193" t="e">
            <v>#DIV/0!</v>
          </cell>
          <cell r="E193" t="e">
            <v>#DIV/0!</v>
          </cell>
        </row>
        <row r="194">
          <cell r="A194">
            <v>39638</v>
          </cell>
          <cell r="B194" t="str">
            <v>#Calc</v>
          </cell>
          <cell r="C194" t="e">
            <v>#DIV/0!</v>
          </cell>
          <cell r="D194" t="e">
            <v>#DIV/0!</v>
          </cell>
          <cell r="E194" t="e">
            <v>#DIV/0!</v>
          </cell>
        </row>
        <row r="195">
          <cell r="A195">
            <v>39639</v>
          </cell>
          <cell r="B195" t="str">
            <v>#Calc</v>
          </cell>
          <cell r="C195" t="e">
            <v>#DIV/0!</v>
          </cell>
          <cell r="D195" t="e">
            <v>#DIV/0!</v>
          </cell>
          <cell r="E195" t="e">
            <v>#DIV/0!</v>
          </cell>
        </row>
        <row r="196">
          <cell r="A196">
            <v>39640</v>
          </cell>
          <cell r="B196" t="str">
            <v>#Calc</v>
          </cell>
          <cell r="C196" t="e">
            <v>#DIV/0!</v>
          </cell>
          <cell r="D196" t="e">
            <v>#DIV/0!</v>
          </cell>
          <cell r="E196" t="e">
            <v>#DIV/0!</v>
          </cell>
        </row>
        <row r="197">
          <cell r="A197">
            <v>39641</v>
          </cell>
          <cell r="B197" t="str">
            <v>#Calc</v>
          </cell>
          <cell r="C197" t="e">
            <v>#DIV/0!</v>
          </cell>
          <cell r="D197" t="e">
            <v>#DIV/0!</v>
          </cell>
          <cell r="E197" t="e">
            <v>#DIV/0!</v>
          </cell>
        </row>
        <row r="198">
          <cell r="A198">
            <v>39642</v>
          </cell>
          <cell r="B198" t="str">
            <v>#Calc</v>
          </cell>
          <cell r="C198" t="e">
            <v>#DIV/0!</v>
          </cell>
          <cell r="D198" t="e">
            <v>#DIV/0!</v>
          </cell>
          <cell r="E198" t="e">
            <v>#DIV/0!</v>
          </cell>
        </row>
        <row r="199">
          <cell r="A199">
            <v>39643</v>
          </cell>
          <cell r="B199" t="str">
            <v>#Calc</v>
          </cell>
          <cell r="C199" t="e">
            <v>#DIV/0!</v>
          </cell>
          <cell r="D199" t="e">
            <v>#DIV/0!</v>
          </cell>
          <cell r="E199" t="e">
            <v>#DIV/0!</v>
          </cell>
        </row>
        <row r="200">
          <cell r="A200">
            <v>39644</v>
          </cell>
          <cell r="B200" t="str">
            <v>#Calc</v>
          </cell>
          <cell r="C200" t="e">
            <v>#DIV/0!</v>
          </cell>
          <cell r="D200" t="e">
            <v>#DIV/0!</v>
          </cell>
          <cell r="E200" t="e">
            <v>#DIV/0!</v>
          </cell>
        </row>
        <row r="201">
          <cell r="A201">
            <v>39645</v>
          </cell>
          <cell r="B201" t="str">
            <v>#Calc</v>
          </cell>
          <cell r="C201" t="e">
            <v>#DIV/0!</v>
          </cell>
          <cell r="D201" t="e">
            <v>#DIV/0!</v>
          </cell>
          <cell r="E201" t="e">
            <v>#DIV/0!</v>
          </cell>
        </row>
        <row r="202">
          <cell r="A202">
            <v>39646</v>
          </cell>
          <cell r="B202" t="str">
            <v>#Calc</v>
          </cell>
          <cell r="C202" t="e">
            <v>#DIV/0!</v>
          </cell>
          <cell r="D202" t="e">
            <v>#DIV/0!</v>
          </cell>
          <cell r="E202" t="e">
            <v>#DIV/0!</v>
          </cell>
        </row>
        <row r="203">
          <cell r="A203">
            <v>39647</v>
          </cell>
          <cell r="B203" t="str">
            <v>#Calc</v>
          </cell>
          <cell r="C203" t="e">
            <v>#DIV/0!</v>
          </cell>
          <cell r="D203" t="e">
            <v>#DIV/0!</v>
          </cell>
          <cell r="E203" t="e">
            <v>#DIV/0!</v>
          </cell>
        </row>
        <row r="204">
          <cell r="A204">
            <v>39648</v>
          </cell>
          <cell r="B204" t="str">
            <v>#Calc</v>
          </cell>
          <cell r="C204" t="e">
            <v>#DIV/0!</v>
          </cell>
          <cell r="D204" t="e">
            <v>#DIV/0!</v>
          </cell>
          <cell r="E204" t="e">
            <v>#DIV/0!</v>
          </cell>
        </row>
        <row r="205">
          <cell r="A205">
            <v>39649</v>
          </cell>
          <cell r="B205" t="str">
            <v>#Calc</v>
          </cell>
          <cell r="C205" t="e">
            <v>#DIV/0!</v>
          </cell>
          <cell r="D205" t="e">
            <v>#DIV/0!</v>
          </cell>
          <cell r="E205" t="e">
            <v>#DIV/0!</v>
          </cell>
        </row>
        <row r="206">
          <cell r="A206">
            <v>39650</v>
          </cell>
          <cell r="B206" t="str">
            <v>#Calc</v>
          </cell>
          <cell r="C206" t="e">
            <v>#DIV/0!</v>
          </cell>
          <cell r="D206" t="e">
            <v>#DIV/0!</v>
          </cell>
          <cell r="E206" t="e">
            <v>#DIV/0!</v>
          </cell>
        </row>
        <row r="207">
          <cell r="A207">
            <v>39651</v>
          </cell>
          <cell r="B207" t="str">
            <v>#Calc</v>
          </cell>
          <cell r="C207" t="e">
            <v>#DIV/0!</v>
          </cell>
          <cell r="D207" t="e">
            <v>#DIV/0!</v>
          </cell>
          <cell r="E207" t="e">
            <v>#DIV/0!</v>
          </cell>
        </row>
        <row r="208">
          <cell r="A208">
            <v>39652</v>
          </cell>
          <cell r="B208" t="str">
            <v>#Calc</v>
          </cell>
          <cell r="C208" t="e">
            <v>#DIV/0!</v>
          </cell>
          <cell r="D208" t="e">
            <v>#DIV/0!</v>
          </cell>
          <cell r="E208" t="e">
            <v>#DIV/0!</v>
          </cell>
        </row>
        <row r="209">
          <cell r="A209">
            <v>39653</v>
          </cell>
          <cell r="B209" t="str">
            <v>#Calc</v>
          </cell>
          <cell r="C209" t="e">
            <v>#DIV/0!</v>
          </cell>
          <cell r="D209" t="e">
            <v>#DIV/0!</v>
          </cell>
          <cell r="E209" t="e">
            <v>#DIV/0!</v>
          </cell>
        </row>
        <row r="210">
          <cell r="A210">
            <v>39654</v>
          </cell>
          <cell r="B210" t="str">
            <v>#Calc</v>
          </cell>
          <cell r="C210" t="e">
            <v>#DIV/0!</v>
          </cell>
          <cell r="D210" t="e">
            <v>#DIV/0!</v>
          </cell>
          <cell r="E210" t="e">
            <v>#DIV/0!</v>
          </cell>
        </row>
        <row r="211">
          <cell r="A211">
            <v>39655</v>
          </cell>
          <cell r="B211" t="str">
            <v>#Calc</v>
          </cell>
          <cell r="C211" t="e">
            <v>#DIV/0!</v>
          </cell>
          <cell r="D211" t="e">
            <v>#DIV/0!</v>
          </cell>
          <cell r="E211" t="e">
            <v>#DIV/0!</v>
          </cell>
        </row>
        <row r="212">
          <cell r="A212">
            <v>39656</v>
          </cell>
          <cell r="B212" t="str">
            <v>#Calc</v>
          </cell>
          <cell r="C212" t="e">
            <v>#DIV/0!</v>
          </cell>
          <cell r="D212" t="e">
            <v>#DIV/0!</v>
          </cell>
          <cell r="E212" t="e">
            <v>#DIV/0!</v>
          </cell>
        </row>
        <row r="213">
          <cell r="A213">
            <v>39657</v>
          </cell>
          <cell r="B213" t="str">
            <v>#Calc</v>
          </cell>
          <cell r="C213" t="e">
            <v>#DIV/0!</v>
          </cell>
          <cell r="D213" t="e">
            <v>#DIV/0!</v>
          </cell>
          <cell r="E213" t="e">
            <v>#DIV/0!</v>
          </cell>
        </row>
        <row r="214">
          <cell r="A214">
            <v>39658</v>
          </cell>
          <cell r="B214" t="str">
            <v>#Calc</v>
          </cell>
          <cell r="C214" t="e">
            <v>#DIV/0!</v>
          </cell>
          <cell r="D214" t="e">
            <v>#DIV/0!</v>
          </cell>
          <cell r="E214" t="e">
            <v>#DIV/0!</v>
          </cell>
        </row>
        <row r="215">
          <cell r="A215">
            <v>39659</v>
          </cell>
          <cell r="B215" t="str">
            <v>#Calc</v>
          </cell>
          <cell r="C215" t="e">
            <v>#DIV/0!</v>
          </cell>
          <cell r="D215" t="e">
            <v>#DIV/0!</v>
          </cell>
          <cell r="E215" t="e">
            <v>#DIV/0!</v>
          </cell>
        </row>
        <row r="216">
          <cell r="A216">
            <v>39660</v>
          </cell>
          <cell r="B216" t="str">
            <v>#Calc</v>
          </cell>
          <cell r="C216" t="e">
            <v>#DIV/0!</v>
          </cell>
          <cell r="D216" t="e">
            <v>#DIV/0!</v>
          </cell>
          <cell r="E216" t="e">
            <v>#DIV/0!</v>
          </cell>
        </row>
        <row r="217">
          <cell r="A217">
            <v>39661</v>
          </cell>
          <cell r="B217" t="str">
            <v>#Calc</v>
          </cell>
          <cell r="C217" t="e">
            <v>#DIV/0!</v>
          </cell>
          <cell r="D217" t="e">
            <v>#DIV/0!</v>
          </cell>
          <cell r="E217" t="e">
            <v>#DIV/0!</v>
          </cell>
        </row>
        <row r="218">
          <cell r="A218">
            <v>39662</v>
          </cell>
          <cell r="B218" t="str">
            <v>#Calc</v>
          </cell>
          <cell r="C218" t="e">
            <v>#DIV/0!</v>
          </cell>
          <cell r="D218" t="e">
            <v>#DIV/0!</v>
          </cell>
          <cell r="E218" t="e">
            <v>#DIV/0!</v>
          </cell>
        </row>
        <row r="219">
          <cell r="A219">
            <v>39663</v>
          </cell>
          <cell r="B219" t="str">
            <v>#Calc</v>
          </cell>
          <cell r="C219" t="e">
            <v>#DIV/0!</v>
          </cell>
          <cell r="D219" t="e">
            <v>#DIV/0!</v>
          </cell>
          <cell r="E219" t="e">
            <v>#DIV/0!</v>
          </cell>
        </row>
        <row r="220">
          <cell r="A220">
            <v>39664</v>
          </cell>
          <cell r="B220" t="str">
            <v>#Calc</v>
          </cell>
          <cell r="C220" t="e">
            <v>#DIV/0!</v>
          </cell>
          <cell r="D220" t="e">
            <v>#DIV/0!</v>
          </cell>
          <cell r="E220" t="e">
            <v>#DIV/0!</v>
          </cell>
        </row>
        <row r="221">
          <cell r="A221">
            <v>39665</v>
          </cell>
          <cell r="B221" t="str">
            <v>#Calc</v>
          </cell>
          <cell r="C221" t="e">
            <v>#DIV/0!</v>
          </cell>
          <cell r="D221" t="e">
            <v>#DIV/0!</v>
          </cell>
          <cell r="E221" t="e">
            <v>#DIV/0!</v>
          </cell>
        </row>
        <row r="222">
          <cell r="A222">
            <v>39666</v>
          </cell>
          <cell r="B222" t="str">
            <v>#Calc</v>
          </cell>
          <cell r="C222" t="e">
            <v>#DIV/0!</v>
          </cell>
          <cell r="D222" t="e">
            <v>#DIV/0!</v>
          </cell>
          <cell r="E222" t="e">
            <v>#DIV/0!</v>
          </cell>
        </row>
        <row r="223">
          <cell r="A223">
            <v>39667</v>
          </cell>
          <cell r="B223" t="str">
            <v>#Calc</v>
          </cell>
          <cell r="C223" t="e">
            <v>#DIV/0!</v>
          </cell>
          <cell r="D223" t="e">
            <v>#DIV/0!</v>
          </cell>
          <cell r="E223" t="e">
            <v>#DIV/0!</v>
          </cell>
        </row>
        <row r="224">
          <cell r="A224">
            <v>39668</v>
          </cell>
          <cell r="B224" t="str">
            <v>#Calc</v>
          </cell>
          <cell r="C224" t="e">
            <v>#DIV/0!</v>
          </cell>
          <cell r="D224" t="e">
            <v>#DIV/0!</v>
          </cell>
          <cell r="E224" t="e">
            <v>#DIV/0!</v>
          </cell>
        </row>
        <row r="225">
          <cell r="A225">
            <v>39669</v>
          </cell>
          <cell r="B225" t="str">
            <v>#Calc</v>
          </cell>
          <cell r="C225" t="e">
            <v>#DIV/0!</v>
          </cell>
          <cell r="D225" t="e">
            <v>#DIV/0!</v>
          </cell>
          <cell r="E225" t="e">
            <v>#DIV/0!</v>
          </cell>
        </row>
        <row r="226">
          <cell r="A226">
            <v>39670</v>
          </cell>
          <cell r="B226" t="str">
            <v>#Calc</v>
          </cell>
          <cell r="C226" t="e">
            <v>#DIV/0!</v>
          </cell>
          <cell r="D226" t="e">
            <v>#DIV/0!</v>
          </cell>
          <cell r="E226" t="e">
            <v>#DIV/0!</v>
          </cell>
        </row>
        <row r="227">
          <cell r="A227">
            <v>39671</v>
          </cell>
          <cell r="B227" t="str">
            <v>#Calc</v>
          </cell>
          <cell r="C227" t="e">
            <v>#DIV/0!</v>
          </cell>
          <cell r="D227" t="e">
            <v>#DIV/0!</v>
          </cell>
          <cell r="E227" t="e">
            <v>#DIV/0!</v>
          </cell>
        </row>
        <row r="228">
          <cell r="A228">
            <v>39672</v>
          </cell>
          <cell r="B228" t="str">
            <v>#Calc</v>
          </cell>
          <cell r="C228" t="e">
            <v>#DIV/0!</v>
          </cell>
          <cell r="D228" t="e">
            <v>#DIV/0!</v>
          </cell>
          <cell r="E228" t="e">
            <v>#DIV/0!</v>
          </cell>
        </row>
        <row r="229">
          <cell r="A229">
            <v>39673</v>
          </cell>
          <cell r="B229" t="str">
            <v>#Calc</v>
          </cell>
          <cell r="C229" t="e">
            <v>#DIV/0!</v>
          </cell>
          <cell r="D229" t="e">
            <v>#DIV/0!</v>
          </cell>
          <cell r="E229" t="e">
            <v>#DIV/0!</v>
          </cell>
        </row>
        <row r="230">
          <cell r="A230">
            <v>39674</v>
          </cell>
          <cell r="B230" t="str">
            <v>#Calc</v>
          </cell>
          <cell r="C230" t="e">
            <v>#DIV/0!</v>
          </cell>
          <cell r="D230" t="e">
            <v>#DIV/0!</v>
          </cell>
          <cell r="E230" t="e">
            <v>#DIV/0!</v>
          </cell>
        </row>
        <row r="231">
          <cell r="A231">
            <v>39675</v>
          </cell>
          <cell r="B231" t="str">
            <v>#Calc</v>
          </cell>
          <cell r="C231" t="e">
            <v>#DIV/0!</v>
          </cell>
          <cell r="D231" t="e">
            <v>#DIV/0!</v>
          </cell>
          <cell r="E231" t="e">
            <v>#DIV/0!</v>
          </cell>
        </row>
        <row r="232">
          <cell r="A232">
            <v>39676</v>
          </cell>
          <cell r="B232" t="str">
            <v>#Calc</v>
          </cell>
          <cell r="C232" t="e">
            <v>#DIV/0!</v>
          </cell>
          <cell r="D232" t="e">
            <v>#DIV/0!</v>
          </cell>
          <cell r="E232" t="e">
            <v>#DIV/0!</v>
          </cell>
        </row>
        <row r="233">
          <cell r="A233">
            <v>39677</v>
          </cell>
          <cell r="B233" t="str">
            <v>#Calc</v>
          </cell>
          <cell r="C233" t="e">
            <v>#DIV/0!</v>
          </cell>
          <cell r="D233" t="e">
            <v>#DIV/0!</v>
          </cell>
          <cell r="E233" t="e">
            <v>#DIV/0!</v>
          </cell>
        </row>
        <row r="234">
          <cell r="A234">
            <v>39678</v>
          </cell>
          <cell r="B234" t="str">
            <v>#Calc</v>
          </cell>
          <cell r="C234" t="e">
            <v>#DIV/0!</v>
          </cell>
          <cell r="D234" t="e">
            <v>#DIV/0!</v>
          </cell>
          <cell r="E234" t="e">
            <v>#DIV/0!</v>
          </cell>
        </row>
        <row r="235">
          <cell r="A235">
            <v>39679</v>
          </cell>
          <cell r="B235" t="str">
            <v>#Calc</v>
          </cell>
          <cell r="C235" t="e">
            <v>#DIV/0!</v>
          </cell>
          <cell r="D235" t="e">
            <v>#DIV/0!</v>
          </cell>
          <cell r="E235" t="e">
            <v>#DIV/0!</v>
          </cell>
        </row>
        <row r="236">
          <cell r="A236">
            <v>39680</v>
          </cell>
          <cell r="B236" t="str">
            <v>#Calc</v>
          </cell>
          <cell r="C236" t="e">
            <v>#DIV/0!</v>
          </cell>
          <cell r="D236" t="e">
            <v>#DIV/0!</v>
          </cell>
          <cell r="E236" t="e">
            <v>#DIV/0!</v>
          </cell>
        </row>
        <row r="237">
          <cell r="A237">
            <v>39681</v>
          </cell>
          <cell r="B237" t="str">
            <v>#Calc</v>
          </cell>
          <cell r="C237" t="e">
            <v>#DIV/0!</v>
          </cell>
          <cell r="D237" t="e">
            <v>#DIV/0!</v>
          </cell>
          <cell r="E237" t="e">
            <v>#DIV/0!</v>
          </cell>
        </row>
        <row r="238">
          <cell r="A238">
            <v>39682</v>
          </cell>
          <cell r="B238" t="str">
            <v>#Calc</v>
          </cell>
          <cell r="C238" t="e">
            <v>#DIV/0!</v>
          </cell>
          <cell r="D238" t="e">
            <v>#DIV/0!</v>
          </cell>
          <cell r="E238" t="e">
            <v>#DIV/0!</v>
          </cell>
        </row>
        <row r="239">
          <cell r="A239">
            <v>39683</v>
          </cell>
          <cell r="B239" t="str">
            <v>#Calc</v>
          </cell>
          <cell r="C239" t="e">
            <v>#DIV/0!</v>
          </cell>
          <cell r="D239" t="e">
            <v>#DIV/0!</v>
          </cell>
          <cell r="E239" t="e">
            <v>#DIV/0!</v>
          </cell>
        </row>
        <row r="240">
          <cell r="A240">
            <v>39684</v>
          </cell>
          <cell r="B240" t="str">
            <v>#Calc</v>
          </cell>
          <cell r="C240" t="e">
            <v>#DIV/0!</v>
          </cell>
          <cell r="D240" t="e">
            <v>#DIV/0!</v>
          </cell>
          <cell r="E240" t="e">
            <v>#DIV/0!</v>
          </cell>
        </row>
        <row r="241">
          <cell r="A241">
            <v>39685</v>
          </cell>
          <cell r="B241" t="str">
            <v>#Calc</v>
          </cell>
          <cell r="C241" t="e">
            <v>#DIV/0!</v>
          </cell>
          <cell r="D241" t="e">
            <v>#DIV/0!</v>
          </cell>
          <cell r="E241" t="e">
            <v>#DIV/0!</v>
          </cell>
        </row>
        <row r="242">
          <cell r="A242">
            <v>39686</v>
          </cell>
          <cell r="B242" t="str">
            <v>#Calc</v>
          </cell>
          <cell r="C242" t="e">
            <v>#DIV/0!</v>
          </cell>
          <cell r="D242" t="e">
            <v>#DIV/0!</v>
          </cell>
          <cell r="E242" t="e">
            <v>#DIV/0!</v>
          </cell>
        </row>
        <row r="243">
          <cell r="A243">
            <v>39687</v>
          </cell>
          <cell r="B243" t="str">
            <v>#Calc</v>
          </cell>
          <cell r="C243" t="e">
            <v>#DIV/0!</v>
          </cell>
          <cell r="D243" t="e">
            <v>#DIV/0!</v>
          </cell>
          <cell r="E243" t="e">
            <v>#DIV/0!</v>
          </cell>
        </row>
        <row r="244">
          <cell r="A244">
            <v>39688</v>
          </cell>
          <cell r="B244" t="str">
            <v>#Calc</v>
          </cell>
          <cell r="C244" t="e">
            <v>#DIV/0!</v>
          </cell>
          <cell r="D244" t="e">
            <v>#DIV/0!</v>
          </cell>
          <cell r="E244" t="e">
            <v>#DIV/0!</v>
          </cell>
        </row>
        <row r="245">
          <cell r="A245">
            <v>39689</v>
          </cell>
          <cell r="B245" t="str">
            <v>#Calc</v>
          </cell>
          <cell r="C245" t="e">
            <v>#DIV/0!</v>
          </cell>
          <cell r="D245" t="e">
            <v>#DIV/0!</v>
          </cell>
          <cell r="E245" t="e">
            <v>#DIV/0!</v>
          </cell>
        </row>
        <row r="246">
          <cell r="A246">
            <v>39690</v>
          </cell>
          <cell r="B246" t="str">
            <v>#Calc</v>
          </cell>
          <cell r="C246" t="e">
            <v>#DIV/0!</v>
          </cell>
          <cell r="D246" t="e">
            <v>#DIV/0!</v>
          </cell>
          <cell r="E246" t="e">
            <v>#DIV/0!</v>
          </cell>
        </row>
        <row r="247">
          <cell r="A247">
            <v>39691</v>
          </cell>
          <cell r="B247" t="str">
            <v>#Calc</v>
          </cell>
          <cell r="C247" t="e">
            <v>#DIV/0!</v>
          </cell>
          <cell r="D247" t="e">
            <v>#DIV/0!</v>
          </cell>
          <cell r="E247" t="e">
            <v>#DIV/0!</v>
          </cell>
        </row>
        <row r="248">
          <cell r="A248">
            <v>39692</v>
          </cell>
          <cell r="B248" t="str">
            <v>#Calc</v>
          </cell>
          <cell r="C248" t="e">
            <v>#DIV/0!</v>
          </cell>
          <cell r="D248" t="e">
            <v>#DIV/0!</v>
          </cell>
          <cell r="E248" t="e">
            <v>#DIV/0!</v>
          </cell>
        </row>
        <row r="249">
          <cell r="A249">
            <v>39693</v>
          </cell>
          <cell r="B249" t="str">
            <v>#Calc</v>
          </cell>
          <cell r="C249" t="e">
            <v>#DIV/0!</v>
          </cell>
          <cell r="D249" t="e">
            <v>#DIV/0!</v>
          </cell>
          <cell r="E249" t="e">
            <v>#DIV/0!</v>
          </cell>
        </row>
        <row r="250">
          <cell r="A250">
            <v>39694</v>
          </cell>
          <cell r="B250" t="str">
            <v>#Calc</v>
          </cell>
          <cell r="C250" t="e">
            <v>#DIV/0!</v>
          </cell>
          <cell r="D250" t="e">
            <v>#DIV/0!</v>
          </cell>
          <cell r="E250" t="e">
            <v>#DIV/0!</v>
          </cell>
        </row>
        <row r="251">
          <cell r="A251">
            <v>39695</v>
          </cell>
          <cell r="B251" t="str">
            <v>#Calc</v>
          </cell>
          <cell r="C251" t="e">
            <v>#DIV/0!</v>
          </cell>
          <cell r="D251" t="e">
            <v>#DIV/0!</v>
          </cell>
          <cell r="E251" t="e">
            <v>#DIV/0!</v>
          </cell>
        </row>
        <row r="252">
          <cell r="A252">
            <v>39696</v>
          </cell>
          <cell r="B252" t="str">
            <v>#Calc</v>
          </cell>
          <cell r="C252" t="e">
            <v>#DIV/0!</v>
          </cell>
          <cell r="D252" t="e">
            <v>#DIV/0!</v>
          </cell>
          <cell r="E252" t="e">
            <v>#DIV/0!</v>
          </cell>
        </row>
        <row r="253">
          <cell r="A253">
            <v>39697</v>
          </cell>
          <cell r="B253" t="str">
            <v>#Calc</v>
          </cell>
          <cell r="C253" t="e">
            <v>#DIV/0!</v>
          </cell>
          <cell r="D253" t="e">
            <v>#DIV/0!</v>
          </cell>
          <cell r="E253" t="e">
            <v>#DIV/0!</v>
          </cell>
        </row>
        <row r="254">
          <cell r="A254">
            <v>39698</v>
          </cell>
          <cell r="B254" t="str">
            <v>#Calc</v>
          </cell>
          <cell r="C254" t="e">
            <v>#DIV/0!</v>
          </cell>
          <cell r="D254" t="e">
            <v>#DIV/0!</v>
          </cell>
          <cell r="E254" t="e">
            <v>#DIV/0!</v>
          </cell>
        </row>
        <row r="255">
          <cell r="A255">
            <v>39699</v>
          </cell>
          <cell r="B255" t="str">
            <v>#Calc</v>
          </cell>
          <cell r="C255" t="e">
            <v>#DIV/0!</v>
          </cell>
          <cell r="D255" t="e">
            <v>#DIV/0!</v>
          </cell>
          <cell r="E255" t="e">
            <v>#DIV/0!</v>
          </cell>
        </row>
        <row r="256">
          <cell r="A256">
            <v>39700</v>
          </cell>
          <cell r="B256" t="str">
            <v>#Calc</v>
          </cell>
          <cell r="C256" t="e">
            <v>#DIV/0!</v>
          </cell>
          <cell r="D256" t="e">
            <v>#DIV/0!</v>
          </cell>
          <cell r="E256" t="e">
            <v>#DIV/0!</v>
          </cell>
        </row>
        <row r="257">
          <cell r="A257">
            <v>39701</v>
          </cell>
          <cell r="B257" t="str">
            <v>#Calc</v>
          </cell>
          <cell r="C257" t="e">
            <v>#DIV/0!</v>
          </cell>
          <cell r="D257" t="e">
            <v>#DIV/0!</v>
          </cell>
          <cell r="E257" t="e">
            <v>#DIV/0!</v>
          </cell>
        </row>
        <row r="258">
          <cell r="A258">
            <v>39702</v>
          </cell>
          <cell r="B258" t="str">
            <v>#Calc</v>
          </cell>
          <cell r="C258" t="e">
            <v>#DIV/0!</v>
          </cell>
          <cell r="D258" t="e">
            <v>#DIV/0!</v>
          </cell>
          <cell r="E258" t="e">
            <v>#DIV/0!</v>
          </cell>
        </row>
        <row r="259">
          <cell r="A259">
            <v>39703</v>
          </cell>
          <cell r="B259" t="str">
            <v>#Calc</v>
          </cell>
          <cell r="C259" t="e">
            <v>#DIV/0!</v>
          </cell>
          <cell r="D259" t="e">
            <v>#DIV/0!</v>
          </cell>
          <cell r="E259" t="e">
            <v>#DIV/0!</v>
          </cell>
        </row>
        <row r="260">
          <cell r="A260">
            <v>39704</v>
          </cell>
          <cell r="B260" t="str">
            <v>#Calc</v>
          </cell>
          <cell r="C260" t="e">
            <v>#DIV/0!</v>
          </cell>
          <cell r="D260" t="e">
            <v>#DIV/0!</v>
          </cell>
          <cell r="E260" t="e">
            <v>#DIV/0!</v>
          </cell>
        </row>
        <row r="261">
          <cell r="A261">
            <v>39705</v>
          </cell>
          <cell r="B261" t="str">
            <v>#Calc</v>
          </cell>
          <cell r="C261" t="e">
            <v>#DIV/0!</v>
          </cell>
          <cell r="D261" t="e">
            <v>#DIV/0!</v>
          </cell>
          <cell r="E261" t="e">
            <v>#DIV/0!</v>
          </cell>
        </row>
        <row r="262">
          <cell r="A262">
            <v>39706</v>
          </cell>
          <cell r="B262" t="str">
            <v>#Calc</v>
          </cell>
          <cell r="C262" t="e">
            <v>#DIV/0!</v>
          </cell>
          <cell r="D262" t="e">
            <v>#DIV/0!</v>
          </cell>
          <cell r="E262" t="e">
            <v>#DIV/0!</v>
          </cell>
        </row>
        <row r="263">
          <cell r="A263">
            <v>39707</v>
          </cell>
          <cell r="B263" t="str">
            <v>#Calc</v>
          </cell>
          <cell r="C263" t="e">
            <v>#DIV/0!</v>
          </cell>
          <cell r="D263" t="e">
            <v>#DIV/0!</v>
          </cell>
          <cell r="E263" t="e">
            <v>#DIV/0!</v>
          </cell>
        </row>
        <row r="264">
          <cell r="A264">
            <v>39708</v>
          </cell>
          <cell r="B264" t="str">
            <v>#Calc</v>
          </cell>
          <cell r="C264" t="e">
            <v>#DIV/0!</v>
          </cell>
          <cell r="D264" t="e">
            <v>#DIV/0!</v>
          </cell>
          <cell r="E264" t="e">
            <v>#DIV/0!</v>
          </cell>
        </row>
        <row r="265">
          <cell r="A265">
            <v>39709</v>
          </cell>
          <cell r="B265" t="str">
            <v>#Calc</v>
          </cell>
          <cell r="C265" t="e">
            <v>#DIV/0!</v>
          </cell>
          <cell r="D265" t="e">
            <v>#DIV/0!</v>
          </cell>
          <cell r="E265" t="e">
            <v>#DIV/0!</v>
          </cell>
        </row>
        <row r="266">
          <cell r="A266">
            <v>39710</v>
          </cell>
          <cell r="B266" t="str">
            <v>#Calc</v>
          </cell>
          <cell r="C266" t="e">
            <v>#DIV/0!</v>
          </cell>
          <cell r="D266" t="e">
            <v>#DIV/0!</v>
          </cell>
          <cell r="E266" t="e">
            <v>#DIV/0!</v>
          </cell>
        </row>
        <row r="267">
          <cell r="A267">
            <v>39711</v>
          </cell>
          <cell r="B267" t="str">
            <v>#Calc</v>
          </cell>
          <cell r="C267" t="e">
            <v>#DIV/0!</v>
          </cell>
          <cell r="D267" t="e">
            <v>#DIV/0!</v>
          </cell>
          <cell r="E267" t="e">
            <v>#DIV/0!</v>
          </cell>
        </row>
        <row r="268">
          <cell r="A268">
            <v>39712</v>
          </cell>
          <cell r="B268" t="str">
            <v>#Calc</v>
          </cell>
          <cell r="C268" t="e">
            <v>#DIV/0!</v>
          </cell>
          <cell r="D268" t="e">
            <v>#DIV/0!</v>
          </cell>
          <cell r="E268" t="e">
            <v>#DIV/0!</v>
          </cell>
        </row>
        <row r="269">
          <cell r="A269">
            <v>39713</v>
          </cell>
          <cell r="B269" t="str">
            <v>#Calc</v>
          </cell>
          <cell r="C269" t="e">
            <v>#DIV/0!</v>
          </cell>
          <cell r="D269" t="e">
            <v>#DIV/0!</v>
          </cell>
          <cell r="E269" t="e">
            <v>#DIV/0!</v>
          </cell>
        </row>
        <row r="270">
          <cell r="A270">
            <v>39714</v>
          </cell>
          <cell r="B270" t="str">
            <v>#Calc</v>
          </cell>
          <cell r="C270" t="e">
            <v>#DIV/0!</v>
          </cell>
          <cell r="D270" t="e">
            <v>#DIV/0!</v>
          </cell>
          <cell r="E270" t="e">
            <v>#DIV/0!</v>
          </cell>
        </row>
        <row r="271">
          <cell r="A271">
            <v>39715</v>
          </cell>
          <cell r="B271" t="str">
            <v>#Calc</v>
          </cell>
          <cell r="C271" t="e">
            <v>#DIV/0!</v>
          </cell>
          <cell r="D271" t="e">
            <v>#DIV/0!</v>
          </cell>
          <cell r="E271" t="e">
            <v>#DIV/0!</v>
          </cell>
        </row>
        <row r="272">
          <cell r="A272">
            <v>39716</v>
          </cell>
          <cell r="B272" t="str">
            <v>#Calc</v>
          </cell>
          <cell r="C272" t="e">
            <v>#DIV/0!</v>
          </cell>
          <cell r="D272" t="e">
            <v>#DIV/0!</v>
          </cell>
          <cell r="E272" t="e">
            <v>#DIV/0!</v>
          </cell>
        </row>
        <row r="273">
          <cell r="A273">
            <v>39717</v>
          </cell>
          <cell r="B273" t="str">
            <v>#Calc</v>
          </cell>
          <cell r="C273" t="e">
            <v>#DIV/0!</v>
          </cell>
          <cell r="D273" t="e">
            <v>#DIV/0!</v>
          </cell>
          <cell r="E273" t="e">
            <v>#DIV/0!</v>
          </cell>
        </row>
        <row r="274">
          <cell r="A274">
            <v>39718</v>
          </cell>
          <cell r="B274" t="str">
            <v>#Calc</v>
          </cell>
          <cell r="C274" t="e">
            <v>#DIV/0!</v>
          </cell>
          <cell r="D274" t="e">
            <v>#DIV/0!</v>
          </cell>
          <cell r="E274" t="e">
            <v>#DIV/0!</v>
          </cell>
        </row>
        <row r="275">
          <cell r="A275">
            <v>39719</v>
          </cell>
          <cell r="B275" t="str">
            <v>#Calc</v>
          </cell>
          <cell r="C275" t="e">
            <v>#DIV/0!</v>
          </cell>
          <cell r="D275" t="e">
            <v>#DIV/0!</v>
          </cell>
          <cell r="E275" t="e">
            <v>#DIV/0!</v>
          </cell>
        </row>
        <row r="276">
          <cell r="A276">
            <v>39720</v>
          </cell>
          <cell r="B276" t="str">
            <v>#Calc</v>
          </cell>
          <cell r="C276" t="e">
            <v>#DIV/0!</v>
          </cell>
          <cell r="D276" t="e">
            <v>#DIV/0!</v>
          </cell>
          <cell r="E276" t="e">
            <v>#DIV/0!</v>
          </cell>
        </row>
        <row r="277">
          <cell r="A277">
            <v>39721</v>
          </cell>
          <cell r="B277" t="str">
            <v>#Calc</v>
          </cell>
          <cell r="C277" t="e">
            <v>#DIV/0!</v>
          </cell>
          <cell r="D277" t="e">
            <v>#DIV/0!</v>
          </cell>
          <cell r="E277" t="e">
            <v>#DIV/0!</v>
          </cell>
        </row>
        <row r="278">
          <cell r="A278">
            <v>39722</v>
          </cell>
          <cell r="B278" t="str">
            <v>#Calc</v>
          </cell>
          <cell r="C278" t="e">
            <v>#DIV/0!</v>
          </cell>
          <cell r="D278" t="e">
            <v>#DIV/0!</v>
          </cell>
          <cell r="E278" t="e">
            <v>#DIV/0!</v>
          </cell>
        </row>
        <row r="279">
          <cell r="A279">
            <v>39723</v>
          </cell>
          <cell r="B279" t="str">
            <v>#Calc</v>
          </cell>
          <cell r="C279" t="e">
            <v>#DIV/0!</v>
          </cell>
          <cell r="D279" t="e">
            <v>#DIV/0!</v>
          </cell>
          <cell r="E279" t="e">
            <v>#DIV/0!</v>
          </cell>
        </row>
        <row r="280">
          <cell r="A280">
            <v>39724</v>
          </cell>
          <cell r="B280" t="str">
            <v>#Calc</v>
          </cell>
          <cell r="C280" t="e">
            <v>#DIV/0!</v>
          </cell>
          <cell r="D280" t="e">
            <v>#DIV/0!</v>
          </cell>
          <cell r="E280" t="e">
            <v>#DIV/0!</v>
          </cell>
        </row>
        <row r="281">
          <cell r="A281">
            <v>39725</v>
          </cell>
          <cell r="B281" t="str">
            <v>#Calc</v>
          </cell>
          <cell r="C281" t="e">
            <v>#DIV/0!</v>
          </cell>
          <cell r="D281" t="e">
            <v>#DIV/0!</v>
          </cell>
          <cell r="E281" t="e">
            <v>#DIV/0!</v>
          </cell>
        </row>
        <row r="282">
          <cell r="A282">
            <v>39726</v>
          </cell>
          <cell r="B282" t="str">
            <v>#Calc</v>
          </cell>
          <cell r="C282" t="e">
            <v>#DIV/0!</v>
          </cell>
          <cell r="D282" t="e">
            <v>#DIV/0!</v>
          </cell>
          <cell r="E282" t="e">
            <v>#DIV/0!</v>
          </cell>
        </row>
        <row r="283">
          <cell r="A283">
            <v>39727</v>
          </cell>
          <cell r="B283" t="str">
            <v>#Calc</v>
          </cell>
          <cell r="C283" t="e">
            <v>#DIV/0!</v>
          </cell>
          <cell r="D283" t="e">
            <v>#DIV/0!</v>
          </cell>
          <cell r="E283" t="e">
            <v>#DIV/0!</v>
          </cell>
        </row>
        <row r="284">
          <cell r="A284">
            <v>39728</v>
          </cell>
          <cell r="B284" t="str">
            <v>#Calc</v>
          </cell>
          <cell r="C284" t="e">
            <v>#DIV/0!</v>
          </cell>
          <cell r="D284" t="e">
            <v>#DIV/0!</v>
          </cell>
          <cell r="E284" t="e">
            <v>#DIV/0!</v>
          </cell>
        </row>
        <row r="285">
          <cell r="A285">
            <v>39729</v>
          </cell>
          <cell r="B285" t="str">
            <v>#Calc</v>
          </cell>
          <cell r="C285" t="e">
            <v>#DIV/0!</v>
          </cell>
          <cell r="D285" t="e">
            <v>#DIV/0!</v>
          </cell>
          <cell r="E285" t="e">
            <v>#DIV/0!</v>
          </cell>
        </row>
        <row r="286">
          <cell r="A286">
            <v>39730</v>
          </cell>
          <cell r="B286" t="str">
            <v>#Calc</v>
          </cell>
          <cell r="C286" t="e">
            <v>#DIV/0!</v>
          </cell>
          <cell r="D286" t="e">
            <v>#DIV/0!</v>
          </cell>
          <cell r="E286" t="e">
            <v>#DIV/0!</v>
          </cell>
        </row>
        <row r="287">
          <cell r="A287">
            <v>39731</v>
          </cell>
          <cell r="B287" t="str">
            <v>#Calc</v>
          </cell>
          <cell r="C287" t="e">
            <v>#DIV/0!</v>
          </cell>
          <cell r="D287" t="e">
            <v>#DIV/0!</v>
          </cell>
          <cell r="E287" t="e">
            <v>#DIV/0!</v>
          </cell>
        </row>
        <row r="288">
          <cell r="A288">
            <v>39732</v>
          </cell>
          <cell r="B288" t="str">
            <v>#Calc</v>
          </cell>
          <cell r="C288" t="e">
            <v>#DIV/0!</v>
          </cell>
          <cell r="D288" t="e">
            <v>#DIV/0!</v>
          </cell>
          <cell r="E288" t="e">
            <v>#DIV/0!</v>
          </cell>
        </row>
        <row r="289">
          <cell r="A289">
            <v>39733</v>
          </cell>
          <cell r="B289" t="str">
            <v>#Calc</v>
          </cell>
          <cell r="C289" t="e">
            <v>#DIV/0!</v>
          </cell>
          <cell r="D289" t="e">
            <v>#DIV/0!</v>
          </cell>
          <cell r="E289" t="e">
            <v>#DIV/0!</v>
          </cell>
        </row>
        <row r="290">
          <cell r="A290">
            <v>39734</v>
          </cell>
          <cell r="B290" t="str">
            <v>#Calc</v>
          </cell>
          <cell r="C290" t="e">
            <v>#DIV/0!</v>
          </cell>
          <cell r="D290" t="e">
            <v>#DIV/0!</v>
          </cell>
          <cell r="E290" t="e">
            <v>#DIV/0!</v>
          </cell>
        </row>
        <row r="291">
          <cell r="A291">
            <v>39735</v>
          </cell>
          <cell r="B291" t="str">
            <v>#Calc</v>
          </cell>
          <cell r="C291" t="e">
            <v>#DIV/0!</v>
          </cell>
          <cell r="D291" t="e">
            <v>#DIV/0!</v>
          </cell>
          <cell r="E291" t="e">
            <v>#DIV/0!</v>
          </cell>
        </row>
        <row r="292">
          <cell r="A292">
            <v>39736</v>
          </cell>
          <cell r="B292" t="str">
            <v>#Calc</v>
          </cell>
          <cell r="C292" t="e">
            <v>#DIV/0!</v>
          </cell>
          <cell r="D292" t="e">
            <v>#DIV/0!</v>
          </cell>
          <cell r="E292" t="e">
            <v>#DIV/0!</v>
          </cell>
        </row>
        <row r="293">
          <cell r="A293">
            <v>39737</v>
          </cell>
          <cell r="B293" t="str">
            <v>#Calc</v>
          </cell>
          <cell r="C293" t="e">
            <v>#DIV/0!</v>
          </cell>
          <cell r="D293" t="e">
            <v>#DIV/0!</v>
          </cell>
          <cell r="E293" t="e">
            <v>#DIV/0!</v>
          </cell>
        </row>
        <row r="294">
          <cell r="A294">
            <v>39738</v>
          </cell>
          <cell r="B294" t="str">
            <v>#Calc</v>
          </cell>
          <cell r="C294" t="e">
            <v>#DIV/0!</v>
          </cell>
          <cell r="D294" t="e">
            <v>#DIV/0!</v>
          </cell>
          <cell r="E294" t="e">
            <v>#DIV/0!</v>
          </cell>
        </row>
        <row r="295">
          <cell r="A295">
            <v>39739</v>
          </cell>
          <cell r="B295" t="str">
            <v>#Calc</v>
          </cell>
          <cell r="C295" t="e">
            <v>#DIV/0!</v>
          </cell>
          <cell r="D295" t="e">
            <v>#DIV/0!</v>
          </cell>
          <cell r="E295" t="e">
            <v>#DIV/0!</v>
          </cell>
        </row>
        <row r="296">
          <cell r="A296">
            <v>39740</v>
          </cell>
          <cell r="B296" t="str">
            <v>#Calc</v>
          </cell>
          <cell r="C296" t="e">
            <v>#DIV/0!</v>
          </cell>
          <cell r="D296" t="e">
            <v>#DIV/0!</v>
          </cell>
          <cell r="E296" t="e">
            <v>#DIV/0!</v>
          </cell>
        </row>
        <row r="297">
          <cell r="A297">
            <v>39741</v>
          </cell>
          <cell r="B297" t="str">
            <v>#Calc</v>
          </cell>
          <cell r="C297" t="e">
            <v>#DIV/0!</v>
          </cell>
          <cell r="D297" t="e">
            <v>#DIV/0!</v>
          </cell>
          <cell r="E297" t="e">
            <v>#DIV/0!</v>
          </cell>
        </row>
        <row r="298">
          <cell r="A298">
            <v>39742</v>
          </cell>
          <cell r="B298" t="str">
            <v>#Calc</v>
          </cell>
          <cell r="C298" t="e">
            <v>#DIV/0!</v>
          </cell>
          <cell r="D298" t="e">
            <v>#DIV/0!</v>
          </cell>
          <cell r="E298" t="e">
            <v>#DIV/0!</v>
          </cell>
        </row>
        <row r="299">
          <cell r="A299">
            <v>39743</v>
          </cell>
          <cell r="B299" t="str">
            <v>#Calc</v>
          </cell>
          <cell r="C299" t="e">
            <v>#DIV/0!</v>
          </cell>
          <cell r="D299" t="e">
            <v>#DIV/0!</v>
          </cell>
          <cell r="E299" t="e">
            <v>#DIV/0!</v>
          </cell>
        </row>
        <row r="300">
          <cell r="A300">
            <v>39744</v>
          </cell>
          <cell r="B300" t="str">
            <v>#Calc</v>
          </cell>
          <cell r="C300" t="e">
            <v>#DIV/0!</v>
          </cell>
          <cell r="D300" t="e">
            <v>#DIV/0!</v>
          </cell>
          <cell r="E300" t="e">
            <v>#DIV/0!</v>
          </cell>
        </row>
        <row r="301">
          <cell r="A301">
            <v>39745</v>
          </cell>
          <cell r="B301" t="str">
            <v>#Calc</v>
          </cell>
          <cell r="C301" t="e">
            <v>#DIV/0!</v>
          </cell>
          <cell r="D301" t="e">
            <v>#DIV/0!</v>
          </cell>
          <cell r="E301" t="e">
            <v>#DIV/0!</v>
          </cell>
        </row>
        <row r="302">
          <cell r="A302">
            <v>39746</v>
          </cell>
          <cell r="B302" t="str">
            <v>#Calc</v>
          </cell>
          <cell r="C302" t="e">
            <v>#DIV/0!</v>
          </cell>
          <cell r="D302" t="e">
            <v>#DIV/0!</v>
          </cell>
          <cell r="E302" t="e">
            <v>#DIV/0!</v>
          </cell>
        </row>
        <row r="303">
          <cell r="A303">
            <v>39747</v>
          </cell>
          <cell r="B303" t="str">
            <v>#Calc</v>
          </cell>
          <cell r="C303" t="e">
            <v>#DIV/0!</v>
          </cell>
          <cell r="D303" t="e">
            <v>#DIV/0!</v>
          </cell>
          <cell r="E303" t="e">
            <v>#DIV/0!</v>
          </cell>
        </row>
        <row r="304">
          <cell r="A304">
            <v>39748</v>
          </cell>
          <cell r="B304" t="str">
            <v>#Calc</v>
          </cell>
          <cell r="C304" t="e">
            <v>#DIV/0!</v>
          </cell>
          <cell r="D304" t="e">
            <v>#DIV/0!</v>
          </cell>
          <cell r="E304" t="e">
            <v>#DIV/0!</v>
          </cell>
        </row>
        <row r="305">
          <cell r="A305">
            <v>39749</v>
          </cell>
          <cell r="B305" t="str">
            <v>#Calc</v>
          </cell>
          <cell r="C305" t="e">
            <v>#DIV/0!</v>
          </cell>
          <cell r="D305" t="e">
            <v>#DIV/0!</v>
          </cell>
          <cell r="E305" t="e">
            <v>#DIV/0!</v>
          </cell>
        </row>
        <row r="306">
          <cell r="A306">
            <v>39750</v>
          </cell>
          <cell r="B306" t="str">
            <v>#Calc</v>
          </cell>
          <cell r="C306" t="e">
            <v>#DIV/0!</v>
          </cell>
          <cell r="D306" t="e">
            <v>#DIV/0!</v>
          </cell>
          <cell r="E306" t="e">
            <v>#DIV/0!</v>
          </cell>
        </row>
        <row r="307">
          <cell r="A307">
            <v>39751</v>
          </cell>
          <cell r="B307" t="str">
            <v>#Calc</v>
          </cell>
          <cell r="C307" t="e">
            <v>#DIV/0!</v>
          </cell>
          <cell r="D307" t="e">
            <v>#DIV/0!</v>
          </cell>
          <cell r="E307" t="e">
            <v>#DIV/0!</v>
          </cell>
        </row>
        <row r="308">
          <cell r="A308">
            <v>39752</v>
          </cell>
          <cell r="B308" t="str">
            <v>#Calc</v>
          </cell>
          <cell r="C308" t="e">
            <v>#DIV/0!</v>
          </cell>
          <cell r="D308" t="e">
            <v>#DIV/0!</v>
          </cell>
          <cell r="E308" t="e">
            <v>#DIV/0!</v>
          </cell>
        </row>
        <row r="309">
          <cell r="A309">
            <v>39753</v>
          </cell>
          <cell r="B309" t="str">
            <v>#Calc</v>
          </cell>
          <cell r="C309" t="e">
            <v>#DIV/0!</v>
          </cell>
          <cell r="D309" t="e">
            <v>#DIV/0!</v>
          </cell>
          <cell r="E309" t="e">
            <v>#DIV/0!</v>
          </cell>
        </row>
        <row r="310">
          <cell r="A310">
            <v>39754</v>
          </cell>
          <cell r="B310" t="str">
            <v>#Calc</v>
          </cell>
          <cell r="C310" t="e">
            <v>#DIV/0!</v>
          </cell>
          <cell r="D310" t="e">
            <v>#DIV/0!</v>
          </cell>
          <cell r="E310" t="e">
            <v>#DIV/0!</v>
          </cell>
        </row>
        <row r="311">
          <cell r="A311">
            <v>39755</v>
          </cell>
          <cell r="B311" t="str">
            <v>#Calc</v>
          </cell>
          <cell r="C311" t="e">
            <v>#DIV/0!</v>
          </cell>
          <cell r="D311" t="e">
            <v>#DIV/0!</v>
          </cell>
          <cell r="E311" t="e">
            <v>#DIV/0!</v>
          </cell>
        </row>
        <row r="312">
          <cell r="A312">
            <v>39756</v>
          </cell>
          <cell r="B312" t="str">
            <v>#Calc</v>
          </cell>
          <cell r="C312" t="e">
            <v>#DIV/0!</v>
          </cell>
          <cell r="D312" t="e">
            <v>#DIV/0!</v>
          </cell>
          <cell r="E312" t="e">
            <v>#DIV/0!</v>
          </cell>
        </row>
        <row r="313">
          <cell r="A313">
            <v>39757</v>
          </cell>
          <cell r="B313" t="str">
            <v>#Calc</v>
          </cell>
          <cell r="C313" t="e">
            <v>#DIV/0!</v>
          </cell>
          <cell r="D313" t="e">
            <v>#DIV/0!</v>
          </cell>
          <cell r="E313" t="e">
            <v>#DIV/0!</v>
          </cell>
        </row>
        <row r="314">
          <cell r="A314">
            <v>39758</v>
          </cell>
          <cell r="B314" t="str">
            <v>#Calc</v>
          </cell>
          <cell r="C314" t="e">
            <v>#DIV/0!</v>
          </cell>
          <cell r="D314" t="e">
            <v>#DIV/0!</v>
          </cell>
          <cell r="E314" t="e">
            <v>#DIV/0!</v>
          </cell>
        </row>
        <row r="315">
          <cell r="A315">
            <v>39759</v>
          </cell>
          <cell r="B315" t="str">
            <v>#Calc</v>
          </cell>
          <cell r="C315" t="e">
            <v>#DIV/0!</v>
          </cell>
          <cell r="D315" t="e">
            <v>#DIV/0!</v>
          </cell>
          <cell r="E315" t="e">
            <v>#DIV/0!</v>
          </cell>
        </row>
        <row r="316">
          <cell r="A316">
            <v>39760</v>
          </cell>
          <cell r="B316" t="str">
            <v>#Calc</v>
          </cell>
          <cell r="C316" t="e">
            <v>#DIV/0!</v>
          </cell>
          <cell r="D316" t="e">
            <v>#DIV/0!</v>
          </cell>
          <cell r="E316" t="e">
            <v>#DIV/0!</v>
          </cell>
        </row>
        <row r="317">
          <cell r="A317">
            <v>39761</v>
          </cell>
          <cell r="B317" t="str">
            <v>#Calc</v>
          </cell>
          <cell r="C317" t="e">
            <v>#DIV/0!</v>
          </cell>
          <cell r="D317" t="e">
            <v>#DIV/0!</v>
          </cell>
          <cell r="E317" t="e">
            <v>#DIV/0!</v>
          </cell>
        </row>
        <row r="318">
          <cell r="A318">
            <v>39762</v>
          </cell>
          <cell r="B318" t="str">
            <v>#Calc</v>
          </cell>
          <cell r="C318" t="e">
            <v>#DIV/0!</v>
          </cell>
          <cell r="D318" t="e">
            <v>#DIV/0!</v>
          </cell>
          <cell r="E318" t="e">
            <v>#DIV/0!</v>
          </cell>
        </row>
        <row r="319">
          <cell r="A319">
            <v>39763</v>
          </cell>
          <cell r="B319" t="str">
            <v>#Calc</v>
          </cell>
          <cell r="C319" t="e">
            <v>#DIV/0!</v>
          </cell>
          <cell r="D319" t="e">
            <v>#DIV/0!</v>
          </cell>
          <cell r="E319" t="e">
            <v>#DIV/0!</v>
          </cell>
        </row>
        <row r="320">
          <cell r="A320">
            <v>39764</v>
          </cell>
          <cell r="B320" t="str">
            <v>#Calc</v>
          </cell>
          <cell r="C320" t="e">
            <v>#DIV/0!</v>
          </cell>
          <cell r="D320" t="e">
            <v>#DIV/0!</v>
          </cell>
          <cell r="E320" t="e">
            <v>#DIV/0!</v>
          </cell>
        </row>
        <row r="321">
          <cell r="A321">
            <v>39765</v>
          </cell>
          <cell r="B321" t="str">
            <v>#Calc</v>
          </cell>
          <cell r="C321" t="e">
            <v>#DIV/0!</v>
          </cell>
          <cell r="D321" t="e">
            <v>#DIV/0!</v>
          </cell>
          <cell r="E321" t="e">
            <v>#DIV/0!</v>
          </cell>
        </row>
        <row r="322">
          <cell r="A322">
            <v>39766</v>
          </cell>
          <cell r="B322" t="str">
            <v>#Calc</v>
          </cell>
          <cell r="C322" t="e">
            <v>#DIV/0!</v>
          </cell>
          <cell r="D322" t="e">
            <v>#DIV/0!</v>
          </cell>
          <cell r="E322" t="e">
            <v>#DIV/0!</v>
          </cell>
        </row>
        <row r="323">
          <cell r="A323">
            <v>39767</v>
          </cell>
          <cell r="B323" t="str">
            <v>#Calc</v>
          </cell>
          <cell r="C323" t="e">
            <v>#DIV/0!</v>
          </cell>
          <cell r="D323" t="e">
            <v>#DIV/0!</v>
          </cell>
          <cell r="E323" t="e">
            <v>#DIV/0!</v>
          </cell>
        </row>
        <row r="324">
          <cell r="A324">
            <v>39768</v>
          </cell>
          <cell r="B324" t="str">
            <v>#Calc</v>
          </cell>
          <cell r="C324" t="e">
            <v>#DIV/0!</v>
          </cell>
          <cell r="D324" t="e">
            <v>#DIV/0!</v>
          </cell>
          <cell r="E324" t="e">
            <v>#DIV/0!</v>
          </cell>
        </row>
        <row r="325">
          <cell r="A325">
            <v>39769</v>
          </cell>
          <cell r="B325" t="str">
            <v>#Calc</v>
          </cell>
          <cell r="C325" t="e">
            <v>#DIV/0!</v>
          </cell>
          <cell r="D325" t="e">
            <v>#DIV/0!</v>
          </cell>
          <cell r="E325" t="e">
            <v>#DIV/0!</v>
          </cell>
        </row>
        <row r="326">
          <cell r="A326">
            <v>39770</v>
          </cell>
          <cell r="B326" t="str">
            <v>#Calc</v>
          </cell>
          <cell r="C326" t="e">
            <v>#DIV/0!</v>
          </cell>
          <cell r="D326" t="e">
            <v>#DIV/0!</v>
          </cell>
          <cell r="E326" t="e">
            <v>#DIV/0!</v>
          </cell>
        </row>
        <row r="327">
          <cell r="A327">
            <v>39771</v>
          </cell>
          <cell r="B327" t="str">
            <v>#Calc</v>
          </cell>
          <cell r="C327" t="e">
            <v>#DIV/0!</v>
          </cell>
          <cell r="D327" t="e">
            <v>#DIV/0!</v>
          </cell>
          <cell r="E327" t="e">
            <v>#DIV/0!</v>
          </cell>
        </row>
        <row r="328">
          <cell r="A328">
            <v>39772</v>
          </cell>
          <cell r="B328" t="str">
            <v>#Calc</v>
          </cell>
          <cell r="C328" t="e">
            <v>#DIV/0!</v>
          </cell>
          <cell r="D328" t="e">
            <v>#DIV/0!</v>
          </cell>
          <cell r="E328" t="e">
            <v>#DIV/0!</v>
          </cell>
        </row>
        <row r="329">
          <cell r="A329">
            <v>39773</v>
          </cell>
          <cell r="B329" t="str">
            <v>#Calc</v>
          </cell>
          <cell r="C329" t="e">
            <v>#DIV/0!</v>
          </cell>
          <cell r="D329" t="e">
            <v>#DIV/0!</v>
          </cell>
          <cell r="E329" t="e">
            <v>#DIV/0!</v>
          </cell>
        </row>
        <row r="330">
          <cell r="A330">
            <v>39774</v>
          </cell>
          <cell r="B330" t="str">
            <v>#Calc</v>
          </cell>
          <cell r="C330" t="e">
            <v>#DIV/0!</v>
          </cell>
          <cell r="D330" t="e">
            <v>#DIV/0!</v>
          </cell>
          <cell r="E330" t="e">
            <v>#DIV/0!</v>
          </cell>
        </row>
        <row r="331">
          <cell r="A331">
            <v>39775</v>
          </cell>
          <cell r="B331" t="str">
            <v>#Calc</v>
          </cell>
          <cell r="C331" t="e">
            <v>#DIV/0!</v>
          </cell>
          <cell r="D331" t="e">
            <v>#DIV/0!</v>
          </cell>
          <cell r="E331" t="e">
            <v>#DIV/0!</v>
          </cell>
        </row>
        <row r="332">
          <cell r="A332">
            <v>39776</v>
          </cell>
          <cell r="B332" t="str">
            <v>#Calc</v>
          </cell>
          <cell r="C332" t="e">
            <v>#DIV/0!</v>
          </cell>
          <cell r="D332" t="e">
            <v>#DIV/0!</v>
          </cell>
          <cell r="E332" t="e">
            <v>#DIV/0!</v>
          </cell>
        </row>
        <row r="333">
          <cell r="A333">
            <v>39777</v>
          </cell>
          <cell r="B333" t="str">
            <v>#Calc</v>
          </cell>
          <cell r="C333" t="e">
            <v>#DIV/0!</v>
          </cell>
          <cell r="D333" t="e">
            <v>#DIV/0!</v>
          </cell>
          <cell r="E333" t="e">
            <v>#DIV/0!</v>
          </cell>
        </row>
        <row r="334">
          <cell r="A334">
            <v>39778</v>
          </cell>
          <cell r="B334" t="str">
            <v>#Calc</v>
          </cell>
          <cell r="C334" t="e">
            <v>#DIV/0!</v>
          </cell>
          <cell r="D334" t="e">
            <v>#DIV/0!</v>
          </cell>
          <cell r="E334" t="e">
            <v>#DIV/0!</v>
          </cell>
        </row>
        <row r="335">
          <cell r="A335">
            <v>39779</v>
          </cell>
          <cell r="B335" t="str">
            <v>#Calc</v>
          </cell>
          <cell r="C335" t="e">
            <v>#DIV/0!</v>
          </cell>
          <cell r="D335" t="e">
            <v>#DIV/0!</v>
          </cell>
          <cell r="E335" t="e">
            <v>#DIV/0!</v>
          </cell>
        </row>
        <row r="336">
          <cell r="A336">
            <v>39780</v>
          </cell>
          <cell r="B336" t="str">
            <v>#Calc</v>
          </cell>
          <cell r="C336" t="e">
            <v>#DIV/0!</v>
          </cell>
          <cell r="D336" t="e">
            <v>#DIV/0!</v>
          </cell>
          <cell r="E336" t="e">
            <v>#DIV/0!</v>
          </cell>
        </row>
        <row r="337">
          <cell r="A337">
            <v>39781</v>
          </cell>
          <cell r="B337" t="str">
            <v>#Calc</v>
          </cell>
          <cell r="C337" t="e">
            <v>#DIV/0!</v>
          </cell>
          <cell r="D337" t="e">
            <v>#DIV/0!</v>
          </cell>
          <cell r="E337" t="e">
            <v>#DIV/0!</v>
          </cell>
        </row>
        <row r="338">
          <cell r="A338">
            <v>39782</v>
          </cell>
          <cell r="B338" t="str">
            <v>#Calc</v>
          </cell>
          <cell r="C338" t="e">
            <v>#DIV/0!</v>
          </cell>
          <cell r="D338" t="e">
            <v>#DIV/0!</v>
          </cell>
          <cell r="E338" t="e">
            <v>#DIV/0!</v>
          </cell>
        </row>
        <row r="339">
          <cell r="A339">
            <v>39783</v>
          </cell>
          <cell r="B339" t="str">
            <v>#Calc</v>
          </cell>
          <cell r="C339" t="e">
            <v>#DIV/0!</v>
          </cell>
          <cell r="D339" t="e">
            <v>#DIV/0!</v>
          </cell>
          <cell r="E339" t="e">
            <v>#DIV/0!</v>
          </cell>
        </row>
        <row r="340">
          <cell r="A340">
            <v>39784</v>
          </cell>
          <cell r="B340" t="str">
            <v>#Calc</v>
          </cell>
          <cell r="C340" t="e">
            <v>#DIV/0!</v>
          </cell>
          <cell r="D340" t="e">
            <v>#DIV/0!</v>
          </cell>
          <cell r="E340" t="e">
            <v>#DIV/0!</v>
          </cell>
        </row>
        <row r="341">
          <cell r="A341">
            <v>39785</v>
          </cell>
          <cell r="B341" t="str">
            <v>#Calc</v>
          </cell>
          <cell r="C341" t="e">
            <v>#DIV/0!</v>
          </cell>
          <cell r="D341" t="e">
            <v>#DIV/0!</v>
          </cell>
          <cell r="E341" t="e">
            <v>#DIV/0!</v>
          </cell>
        </row>
        <row r="342">
          <cell r="A342">
            <v>39786</v>
          </cell>
          <cell r="B342" t="str">
            <v>#Calc</v>
          </cell>
          <cell r="C342" t="e">
            <v>#DIV/0!</v>
          </cell>
          <cell r="D342" t="e">
            <v>#DIV/0!</v>
          </cell>
          <cell r="E342" t="e">
            <v>#DIV/0!</v>
          </cell>
        </row>
        <row r="343">
          <cell r="A343">
            <v>39787</v>
          </cell>
          <cell r="B343" t="str">
            <v>#Calc</v>
          </cell>
          <cell r="C343" t="e">
            <v>#DIV/0!</v>
          </cell>
          <cell r="D343" t="e">
            <v>#DIV/0!</v>
          </cell>
          <cell r="E343" t="e">
            <v>#DIV/0!</v>
          </cell>
        </row>
        <row r="344">
          <cell r="A344">
            <v>39788</v>
          </cell>
          <cell r="B344" t="str">
            <v>#Calc</v>
          </cell>
          <cell r="C344" t="e">
            <v>#DIV/0!</v>
          </cell>
          <cell r="D344" t="e">
            <v>#DIV/0!</v>
          </cell>
          <cell r="E344" t="e">
            <v>#DIV/0!</v>
          </cell>
        </row>
        <row r="345">
          <cell r="A345">
            <v>39789</v>
          </cell>
          <cell r="B345" t="str">
            <v>#Calc</v>
          </cell>
          <cell r="C345" t="e">
            <v>#DIV/0!</v>
          </cell>
          <cell r="D345" t="e">
            <v>#DIV/0!</v>
          </cell>
          <cell r="E345" t="e">
            <v>#DIV/0!</v>
          </cell>
        </row>
        <row r="346">
          <cell r="A346">
            <v>39790</v>
          </cell>
          <cell r="B346" t="str">
            <v>#Calc</v>
          </cell>
          <cell r="C346" t="e">
            <v>#DIV/0!</v>
          </cell>
          <cell r="D346" t="e">
            <v>#DIV/0!</v>
          </cell>
          <cell r="E346" t="e">
            <v>#DIV/0!</v>
          </cell>
        </row>
        <row r="347">
          <cell r="A347">
            <v>39791</v>
          </cell>
          <cell r="B347" t="str">
            <v>#Calc</v>
          </cell>
          <cell r="C347" t="e">
            <v>#DIV/0!</v>
          </cell>
          <cell r="D347" t="e">
            <v>#DIV/0!</v>
          </cell>
          <cell r="E347" t="e">
            <v>#DIV/0!</v>
          </cell>
        </row>
        <row r="348">
          <cell r="A348">
            <v>39792</v>
          </cell>
          <cell r="B348" t="str">
            <v>#Calc</v>
          </cell>
          <cell r="C348" t="e">
            <v>#DIV/0!</v>
          </cell>
          <cell r="D348" t="e">
            <v>#DIV/0!</v>
          </cell>
          <cell r="E348" t="e">
            <v>#DIV/0!</v>
          </cell>
        </row>
        <row r="349">
          <cell r="A349">
            <v>39793</v>
          </cell>
          <cell r="B349" t="str">
            <v>#Calc</v>
          </cell>
          <cell r="C349" t="e">
            <v>#DIV/0!</v>
          </cell>
          <cell r="D349" t="e">
            <v>#DIV/0!</v>
          </cell>
          <cell r="E349" t="e">
            <v>#DIV/0!</v>
          </cell>
        </row>
        <row r="350">
          <cell r="A350">
            <v>39794</v>
          </cell>
          <cell r="B350" t="str">
            <v>#Calc</v>
          </cell>
          <cell r="C350" t="e">
            <v>#DIV/0!</v>
          </cell>
          <cell r="D350" t="e">
            <v>#DIV/0!</v>
          </cell>
          <cell r="E350" t="e">
            <v>#DIV/0!</v>
          </cell>
        </row>
        <row r="351">
          <cell r="A351">
            <v>39795</v>
          </cell>
          <cell r="B351" t="str">
            <v>#Calc</v>
          </cell>
          <cell r="C351" t="e">
            <v>#DIV/0!</v>
          </cell>
          <cell r="D351" t="e">
            <v>#DIV/0!</v>
          </cell>
          <cell r="E351" t="e">
            <v>#DIV/0!</v>
          </cell>
        </row>
        <row r="352">
          <cell r="A352">
            <v>39796</v>
          </cell>
          <cell r="B352" t="str">
            <v>#Calc</v>
          </cell>
          <cell r="C352" t="e">
            <v>#DIV/0!</v>
          </cell>
          <cell r="D352" t="e">
            <v>#DIV/0!</v>
          </cell>
          <cell r="E352" t="e">
            <v>#DIV/0!</v>
          </cell>
        </row>
        <row r="353">
          <cell r="A353">
            <v>39797</v>
          </cell>
          <cell r="B353" t="str">
            <v>#Calc</v>
          </cell>
          <cell r="C353" t="e">
            <v>#DIV/0!</v>
          </cell>
          <cell r="D353" t="e">
            <v>#DIV/0!</v>
          </cell>
          <cell r="E353" t="e">
            <v>#DIV/0!</v>
          </cell>
        </row>
        <row r="354">
          <cell r="A354">
            <v>39798</v>
          </cell>
          <cell r="B354" t="str">
            <v>#Calc</v>
          </cell>
          <cell r="C354" t="e">
            <v>#DIV/0!</v>
          </cell>
          <cell r="D354" t="e">
            <v>#DIV/0!</v>
          </cell>
          <cell r="E354" t="e">
            <v>#DIV/0!</v>
          </cell>
        </row>
        <row r="355">
          <cell r="A355">
            <v>39799</v>
          </cell>
          <cell r="B355" t="str">
            <v>#Calc</v>
          </cell>
          <cell r="C355" t="e">
            <v>#DIV/0!</v>
          </cell>
          <cell r="D355" t="e">
            <v>#DIV/0!</v>
          </cell>
          <cell r="E355" t="e">
            <v>#DIV/0!</v>
          </cell>
        </row>
        <row r="356">
          <cell r="A356">
            <v>39800</v>
          </cell>
          <cell r="B356" t="str">
            <v>#Calc</v>
          </cell>
          <cell r="C356" t="e">
            <v>#DIV/0!</v>
          </cell>
          <cell r="D356" t="e">
            <v>#DIV/0!</v>
          </cell>
          <cell r="E356" t="e">
            <v>#DIV/0!</v>
          </cell>
        </row>
        <row r="357">
          <cell r="A357">
            <v>39801</v>
          </cell>
          <cell r="B357" t="str">
            <v>#Calc</v>
          </cell>
          <cell r="C357" t="e">
            <v>#DIV/0!</v>
          </cell>
          <cell r="D357" t="e">
            <v>#DIV/0!</v>
          </cell>
          <cell r="E357" t="e">
            <v>#DIV/0!</v>
          </cell>
        </row>
        <row r="358">
          <cell r="A358">
            <v>39802</v>
          </cell>
          <cell r="B358" t="str">
            <v>#Calc</v>
          </cell>
          <cell r="C358" t="e">
            <v>#DIV/0!</v>
          </cell>
          <cell r="D358" t="e">
            <v>#DIV/0!</v>
          </cell>
          <cell r="E358" t="e">
            <v>#DIV/0!</v>
          </cell>
        </row>
        <row r="359">
          <cell r="A359">
            <v>39803</v>
          </cell>
          <cell r="B359" t="str">
            <v>#Calc</v>
          </cell>
          <cell r="C359" t="e">
            <v>#DIV/0!</v>
          </cell>
          <cell r="D359" t="e">
            <v>#DIV/0!</v>
          </cell>
          <cell r="E359" t="e">
            <v>#DIV/0!</v>
          </cell>
        </row>
        <row r="360">
          <cell r="A360">
            <v>39804</v>
          </cell>
          <cell r="B360" t="str">
            <v>#Calc</v>
          </cell>
          <cell r="C360" t="e">
            <v>#DIV/0!</v>
          </cell>
          <cell r="D360" t="e">
            <v>#DIV/0!</v>
          </cell>
          <cell r="E360" t="e">
            <v>#DIV/0!</v>
          </cell>
        </row>
        <row r="361">
          <cell r="A361">
            <v>39805</v>
          </cell>
          <cell r="B361" t="str">
            <v>#Calc</v>
          </cell>
          <cell r="C361" t="e">
            <v>#DIV/0!</v>
          </cell>
          <cell r="D361" t="e">
            <v>#DIV/0!</v>
          </cell>
          <cell r="E361" t="e">
            <v>#DIV/0!</v>
          </cell>
        </row>
        <row r="362">
          <cell r="A362">
            <v>39806</v>
          </cell>
          <cell r="B362" t="str">
            <v>#Calc</v>
          </cell>
          <cell r="C362" t="e">
            <v>#DIV/0!</v>
          </cell>
          <cell r="D362" t="e">
            <v>#DIV/0!</v>
          </cell>
          <cell r="E362" t="e">
            <v>#DIV/0!</v>
          </cell>
        </row>
        <row r="363">
          <cell r="A363">
            <v>39807</v>
          </cell>
          <cell r="B363" t="str">
            <v>#Calc</v>
          </cell>
          <cell r="C363" t="e">
            <v>#DIV/0!</v>
          </cell>
          <cell r="D363" t="e">
            <v>#DIV/0!</v>
          </cell>
          <cell r="E363" t="e">
            <v>#DIV/0!</v>
          </cell>
        </row>
        <row r="364">
          <cell r="A364">
            <v>39808</v>
          </cell>
          <cell r="B364" t="str">
            <v>#Calc</v>
          </cell>
          <cell r="C364" t="e">
            <v>#DIV/0!</v>
          </cell>
          <cell r="D364" t="e">
            <v>#DIV/0!</v>
          </cell>
          <cell r="E364" t="e">
            <v>#DIV/0!</v>
          </cell>
        </row>
        <row r="365">
          <cell r="A365">
            <v>39809</v>
          </cell>
          <cell r="B365" t="str">
            <v>#Calc</v>
          </cell>
          <cell r="C365" t="e">
            <v>#DIV/0!</v>
          </cell>
          <cell r="D365" t="e">
            <v>#DIV/0!</v>
          </cell>
          <cell r="E365" t="e">
            <v>#DIV/0!</v>
          </cell>
        </row>
        <row r="366">
          <cell r="A366">
            <v>39810</v>
          </cell>
          <cell r="B366" t="str">
            <v>#Calc</v>
          </cell>
          <cell r="C366" t="e">
            <v>#DIV/0!</v>
          </cell>
          <cell r="D366" t="e">
            <v>#DIV/0!</v>
          </cell>
          <cell r="E366" t="e">
            <v>#DIV/0!</v>
          </cell>
        </row>
        <row r="367">
          <cell r="A367">
            <v>39811</v>
          </cell>
          <cell r="B367" t="str">
            <v>#Calc</v>
          </cell>
          <cell r="C367" t="e">
            <v>#DIV/0!</v>
          </cell>
          <cell r="D367" t="e">
            <v>#DIV/0!</v>
          </cell>
          <cell r="E367" t="e">
            <v>#DIV/0!</v>
          </cell>
        </row>
        <row r="368">
          <cell r="A368">
            <v>39812</v>
          </cell>
          <cell r="B368" t="str">
            <v>#Calc</v>
          </cell>
          <cell r="C368" t="e">
            <v>#DIV/0!</v>
          </cell>
          <cell r="D368" t="e">
            <v>#DIV/0!</v>
          </cell>
          <cell r="E368" t="e">
            <v>#DIV/0!</v>
          </cell>
        </row>
        <row r="369">
          <cell r="A369">
            <v>39813</v>
          </cell>
          <cell r="B369" t="str">
            <v>#Calc</v>
          </cell>
          <cell r="C369" t="e">
            <v>#DIV/0!</v>
          </cell>
          <cell r="D369" t="e">
            <v>#DIV/0!</v>
          </cell>
          <cell r="E369" t="e">
            <v>#DIV/0!</v>
          </cell>
        </row>
        <row r="370">
          <cell r="A370">
            <v>39814</v>
          </cell>
          <cell r="B370" t="str">
            <v>#Calc</v>
          </cell>
          <cell r="C370" t="e">
            <v>#DIV/0!</v>
          </cell>
          <cell r="D370" t="e">
            <v>#DIV/0!</v>
          </cell>
          <cell r="E370" t="e">
            <v>#DIV/0!</v>
          </cell>
        </row>
        <row r="371">
          <cell r="A371">
            <v>39815</v>
          </cell>
          <cell r="B371" t="str">
            <v>#Calc</v>
          </cell>
          <cell r="C371" t="e">
            <v>#DIV/0!</v>
          </cell>
          <cell r="D371" t="e">
            <v>#DIV/0!</v>
          </cell>
          <cell r="E371" t="e">
            <v>#DIV/0!</v>
          </cell>
        </row>
        <row r="372">
          <cell r="A372">
            <v>39816</v>
          </cell>
          <cell r="B372" t="str">
            <v>#Calc</v>
          </cell>
          <cell r="C372" t="e">
            <v>#DIV/0!</v>
          </cell>
          <cell r="D372" t="e">
            <v>#DIV/0!</v>
          </cell>
          <cell r="E372" t="e">
            <v>#DIV/0!</v>
          </cell>
        </row>
        <row r="373">
          <cell r="A373">
            <v>39817</v>
          </cell>
          <cell r="B373" t="str">
            <v>#Calc</v>
          </cell>
          <cell r="C373" t="e">
            <v>#DIV/0!</v>
          </cell>
          <cell r="D373" t="e">
            <v>#DIV/0!</v>
          </cell>
          <cell r="E373" t="e">
            <v>#DIV/0!</v>
          </cell>
        </row>
        <row r="374">
          <cell r="A374">
            <v>39818</v>
          </cell>
          <cell r="B374" t="str">
            <v>#Calc</v>
          </cell>
          <cell r="C374" t="e">
            <v>#DIV/0!</v>
          </cell>
          <cell r="D374" t="e">
            <v>#DIV/0!</v>
          </cell>
          <cell r="E374" t="e">
            <v>#DIV/0!</v>
          </cell>
        </row>
        <row r="375">
          <cell r="A375">
            <v>39819</v>
          </cell>
          <cell r="B375" t="str">
            <v>#Calc</v>
          </cell>
          <cell r="C375" t="e">
            <v>#DIV/0!</v>
          </cell>
          <cell r="D375" t="e">
            <v>#DIV/0!</v>
          </cell>
          <cell r="E375" t="e">
            <v>#DIV/0!</v>
          </cell>
        </row>
        <row r="376">
          <cell r="A376">
            <v>39820</v>
          </cell>
          <cell r="B376" t="str">
            <v>#Calc</v>
          </cell>
          <cell r="C376" t="e">
            <v>#DIV/0!</v>
          </cell>
          <cell r="D376" t="e">
            <v>#DIV/0!</v>
          </cell>
          <cell r="E376" t="e">
            <v>#DIV/0!</v>
          </cell>
        </row>
        <row r="377">
          <cell r="A377">
            <v>39821</v>
          </cell>
          <cell r="B377" t="str">
            <v>#Calc</v>
          </cell>
          <cell r="C377" t="e">
            <v>#DIV/0!</v>
          </cell>
          <cell r="D377" t="e">
            <v>#DIV/0!</v>
          </cell>
          <cell r="E377" t="e">
            <v>#DIV/0!</v>
          </cell>
        </row>
        <row r="378">
          <cell r="A378">
            <v>39822</v>
          </cell>
          <cell r="B378" t="str">
            <v>#Calc</v>
          </cell>
          <cell r="C378" t="e">
            <v>#DIV/0!</v>
          </cell>
          <cell r="D378" t="e">
            <v>#DIV/0!</v>
          </cell>
          <cell r="E378" t="e">
            <v>#DIV/0!</v>
          </cell>
        </row>
        <row r="379">
          <cell r="A379">
            <v>39823</v>
          </cell>
          <cell r="B379" t="str">
            <v>#Calc</v>
          </cell>
          <cell r="C379" t="e">
            <v>#DIV/0!</v>
          </cell>
          <cell r="D379" t="e">
            <v>#DIV/0!</v>
          </cell>
          <cell r="E379" t="e">
            <v>#DIV/0!</v>
          </cell>
        </row>
        <row r="380">
          <cell r="A380">
            <v>39824</v>
          </cell>
          <cell r="B380" t="str">
            <v>#Calc</v>
          </cell>
          <cell r="C380" t="e">
            <v>#DIV/0!</v>
          </cell>
          <cell r="D380" t="e">
            <v>#DIV/0!</v>
          </cell>
          <cell r="E380" t="e">
            <v>#DIV/0!</v>
          </cell>
        </row>
        <row r="381">
          <cell r="A381">
            <v>39825</v>
          </cell>
          <cell r="B381" t="str">
            <v>#Calc</v>
          </cell>
          <cell r="C381" t="e">
            <v>#DIV/0!</v>
          </cell>
          <cell r="D381" t="e">
            <v>#DIV/0!</v>
          </cell>
          <cell r="E381" t="e">
            <v>#DIV/0!</v>
          </cell>
        </row>
        <row r="382">
          <cell r="A382">
            <v>39826</v>
          </cell>
          <cell r="B382" t="str">
            <v>#Calc</v>
          </cell>
          <cell r="C382" t="e">
            <v>#DIV/0!</v>
          </cell>
          <cell r="D382" t="e">
            <v>#DIV/0!</v>
          </cell>
          <cell r="E382" t="e">
            <v>#DIV/0!</v>
          </cell>
        </row>
        <row r="383">
          <cell r="A383">
            <v>39827</v>
          </cell>
          <cell r="B383" t="str">
            <v>#Calc</v>
          </cell>
          <cell r="C383" t="e">
            <v>#DIV/0!</v>
          </cell>
          <cell r="D383" t="e">
            <v>#DIV/0!</v>
          </cell>
          <cell r="E383" t="e">
            <v>#DIV/0!</v>
          </cell>
        </row>
        <row r="384">
          <cell r="A384">
            <v>39828</v>
          </cell>
          <cell r="B384" t="str">
            <v>#Calc</v>
          </cell>
          <cell r="C384" t="e">
            <v>#DIV/0!</v>
          </cell>
          <cell r="D384" t="e">
            <v>#DIV/0!</v>
          </cell>
          <cell r="E384" t="e">
            <v>#DIV/0!</v>
          </cell>
        </row>
        <row r="385">
          <cell r="A385">
            <v>39829</v>
          </cell>
          <cell r="B385" t="str">
            <v>#Calc</v>
          </cell>
          <cell r="C385" t="e">
            <v>#DIV/0!</v>
          </cell>
          <cell r="D385" t="e">
            <v>#DIV/0!</v>
          </cell>
          <cell r="E385" t="e">
            <v>#DIV/0!</v>
          </cell>
        </row>
        <row r="386">
          <cell r="A386">
            <v>39830</v>
          </cell>
          <cell r="B386" t="str">
            <v>#Calc</v>
          </cell>
          <cell r="C386" t="e">
            <v>#DIV/0!</v>
          </cell>
          <cell r="D386" t="e">
            <v>#DIV/0!</v>
          </cell>
          <cell r="E386" t="e">
            <v>#DIV/0!</v>
          </cell>
        </row>
        <row r="387">
          <cell r="A387">
            <v>39831</v>
          </cell>
          <cell r="B387" t="str">
            <v>#Calc</v>
          </cell>
          <cell r="C387" t="e">
            <v>#DIV/0!</v>
          </cell>
          <cell r="D387" t="e">
            <v>#DIV/0!</v>
          </cell>
          <cell r="E387" t="e">
            <v>#DIV/0!</v>
          </cell>
        </row>
        <row r="388">
          <cell r="A388">
            <v>39832</v>
          </cell>
          <cell r="B388" t="str">
            <v>#Calc</v>
          </cell>
          <cell r="C388" t="e">
            <v>#DIV/0!</v>
          </cell>
          <cell r="D388" t="e">
            <v>#DIV/0!</v>
          </cell>
          <cell r="E388" t="e">
            <v>#DIV/0!</v>
          </cell>
        </row>
        <row r="389">
          <cell r="A389">
            <v>39833</v>
          </cell>
          <cell r="B389" t="str">
            <v>#Calc</v>
          </cell>
          <cell r="C389" t="e">
            <v>#DIV/0!</v>
          </cell>
          <cell r="D389" t="e">
            <v>#DIV/0!</v>
          </cell>
          <cell r="E389" t="e">
            <v>#DIV/0!</v>
          </cell>
        </row>
        <row r="390">
          <cell r="A390">
            <v>39834</v>
          </cell>
          <cell r="B390" t="str">
            <v>#Calc</v>
          </cell>
          <cell r="C390" t="e">
            <v>#DIV/0!</v>
          </cell>
          <cell r="D390" t="e">
            <v>#DIV/0!</v>
          </cell>
          <cell r="E390" t="e">
            <v>#DIV/0!</v>
          </cell>
        </row>
        <row r="391">
          <cell r="A391">
            <v>39835</v>
          </cell>
          <cell r="B391" t="str">
            <v>#Calc</v>
          </cell>
          <cell r="C391" t="e">
            <v>#DIV/0!</v>
          </cell>
          <cell r="D391" t="e">
            <v>#DIV/0!</v>
          </cell>
          <cell r="E391" t="e">
            <v>#DIV/0!</v>
          </cell>
        </row>
        <row r="392">
          <cell r="A392">
            <v>39836</v>
          </cell>
          <cell r="B392" t="str">
            <v>#Calc</v>
          </cell>
          <cell r="C392" t="e">
            <v>#DIV/0!</v>
          </cell>
          <cell r="D392" t="e">
            <v>#DIV/0!</v>
          </cell>
          <cell r="E392" t="e">
            <v>#DIV/0!</v>
          </cell>
        </row>
        <row r="393">
          <cell r="A393">
            <v>39837</v>
          </cell>
          <cell r="B393" t="str">
            <v>#Calc</v>
          </cell>
          <cell r="C393" t="e">
            <v>#DIV/0!</v>
          </cell>
          <cell r="D393" t="e">
            <v>#DIV/0!</v>
          </cell>
          <cell r="E393" t="e">
            <v>#DIV/0!</v>
          </cell>
        </row>
        <row r="394">
          <cell r="A394">
            <v>39838</v>
          </cell>
          <cell r="B394" t="str">
            <v>#Calc</v>
          </cell>
          <cell r="C394" t="e">
            <v>#DIV/0!</v>
          </cell>
          <cell r="D394" t="e">
            <v>#DIV/0!</v>
          </cell>
          <cell r="E394" t="e">
            <v>#DIV/0!</v>
          </cell>
        </row>
        <row r="395">
          <cell r="A395">
            <v>39839</v>
          </cell>
          <cell r="B395" t="str">
            <v>#Calc</v>
          </cell>
          <cell r="C395" t="e">
            <v>#DIV/0!</v>
          </cell>
          <cell r="D395" t="e">
            <v>#DIV/0!</v>
          </cell>
          <cell r="E395" t="e">
            <v>#DIV/0!</v>
          </cell>
        </row>
        <row r="396">
          <cell r="A396">
            <v>39840</v>
          </cell>
          <cell r="B396" t="str">
            <v>#Calc</v>
          </cell>
          <cell r="C396" t="e">
            <v>#DIV/0!</v>
          </cell>
          <cell r="D396" t="e">
            <v>#DIV/0!</v>
          </cell>
          <cell r="E396" t="e">
            <v>#DIV/0!</v>
          </cell>
        </row>
        <row r="397">
          <cell r="A397">
            <v>39841</v>
          </cell>
          <cell r="B397" t="str">
            <v>#Calc</v>
          </cell>
          <cell r="C397" t="e">
            <v>#DIV/0!</v>
          </cell>
          <cell r="D397" t="e">
            <v>#DIV/0!</v>
          </cell>
          <cell r="E397" t="e">
            <v>#DIV/0!</v>
          </cell>
        </row>
        <row r="398">
          <cell r="A398">
            <v>39842</v>
          </cell>
          <cell r="B398" t="str">
            <v>#Calc</v>
          </cell>
          <cell r="C398" t="e">
            <v>#DIV/0!</v>
          </cell>
          <cell r="D398" t="e">
            <v>#DIV/0!</v>
          </cell>
          <cell r="E398" t="e">
            <v>#DIV/0!</v>
          </cell>
        </row>
        <row r="399">
          <cell r="A399">
            <v>39843</v>
          </cell>
          <cell r="B399" t="str">
            <v>#Calc</v>
          </cell>
          <cell r="C399" t="e">
            <v>#DIV/0!</v>
          </cell>
          <cell r="D399" t="e">
            <v>#DIV/0!</v>
          </cell>
          <cell r="E399" t="e">
            <v>#DIV/0!</v>
          </cell>
        </row>
        <row r="400">
          <cell r="A400">
            <v>39844</v>
          </cell>
          <cell r="B400" t="str">
            <v>#Calc</v>
          </cell>
          <cell r="C400" t="e">
            <v>#DIV/0!</v>
          </cell>
          <cell r="D400" t="e">
            <v>#DIV/0!</v>
          </cell>
          <cell r="E400" t="e">
            <v>#DIV/0!</v>
          </cell>
        </row>
        <row r="401">
          <cell r="A401">
            <v>39845</v>
          </cell>
          <cell r="B401" t="str">
            <v>#Calc</v>
          </cell>
          <cell r="C401" t="e">
            <v>#DIV/0!</v>
          </cell>
          <cell r="D401" t="e">
            <v>#DIV/0!</v>
          </cell>
          <cell r="E401" t="e">
            <v>#DIV/0!</v>
          </cell>
        </row>
        <row r="402">
          <cell r="A402">
            <v>39846</v>
          </cell>
          <cell r="B402" t="str">
            <v>#Calc</v>
          </cell>
          <cell r="C402" t="e">
            <v>#DIV/0!</v>
          </cell>
          <cell r="D402" t="e">
            <v>#DIV/0!</v>
          </cell>
          <cell r="E402" t="e">
            <v>#DIV/0!</v>
          </cell>
        </row>
        <row r="403">
          <cell r="A403">
            <v>39847</v>
          </cell>
          <cell r="B403" t="str">
            <v>#Calc</v>
          </cell>
          <cell r="C403" t="e">
            <v>#DIV/0!</v>
          </cell>
          <cell r="D403" t="e">
            <v>#DIV/0!</v>
          </cell>
          <cell r="E403" t="e">
            <v>#DIV/0!</v>
          </cell>
        </row>
        <row r="404">
          <cell r="A404">
            <v>39848</v>
          </cell>
          <cell r="B404" t="str">
            <v>#Calc</v>
          </cell>
          <cell r="C404" t="e">
            <v>#DIV/0!</v>
          </cell>
          <cell r="D404" t="e">
            <v>#DIV/0!</v>
          </cell>
          <cell r="E404" t="e">
            <v>#DIV/0!</v>
          </cell>
        </row>
        <row r="405">
          <cell r="A405">
            <v>39849</v>
          </cell>
          <cell r="B405" t="str">
            <v>#Calc</v>
          </cell>
          <cell r="C405" t="e">
            <v>#DIV/0!</v>
          </cell>
          <cell r="D405" t="e">
            <v>#DIV/0!</v>
          </cell>
          <cell r="E405" t="e">
            <v>#DIV/0!</v>
          </cell>
        </row>
        <row r="406">
          <cell r="A406">
            <v>39850</v>
          </cell>
          <cell r="B406" t="str">
            <v>#Calc</v>
          </cell>
          <cell r="C406" t="e">
            <v>#DIV/0!</v>
          </cell>
          <cell r="D406" t="e">
            <v>#DIV/0!</v>
          </cell>
          <cell r="E406" t="e">
            <v>#DIV/0!</v>
          </cell>
        </row>
        <row r="407">
          <cell r="A407">
            <v>39851</v>
          </cell>
          <cell r="B407" t="str">
            <v>#Calc</v>
          </cell>
          <cell r="C407" t="e">
            <v>#DIV/0!</v>
          </cell>
          <cell r="D407" t="e">
            <v>#DIV/0!</v>
          </cell>
          <cell r="E407" t="e">
            <v>#DIV/0!</v>
          </cell>
        </row>
        <row r="408">
          <cell r="A408">
            <v>39852</v>
          </cell>
          <cell r="B408" t="str">
            <v>#Calc</v>
          </cell>
          <cell r="C408" t="e">
            <v>#DIV/0!</v>
          </cell>
          <cell r="D408" t="e">
            <v>#DIV/0!</v>
          </cell>
          <cell r="E408" t="e">
            <v>#DIV/0!</v>
          </cell>
        </row>
        <row r="409">
          <cell r="A409">
            <v>39853</v>
          </cell>
          <cell r="B409" t="str">
            <v>#Calc</v>
          </cell>
          <cell r="C409" t="e">
            <v>#DIV/0!</v>
          </cell>
          <cell r="D409" t="e">
            <v>#DIV/0!</v>
          </cell>
          <cell r="E409" t="e">
            <v>#DIV/0!</v>
          </cell>
        </row>
        <row r="410">
          <cell r="A410">
            <v>39854</v>
          </cell>
          <cell r="B410" t="str">
            <v>#Calc</v>
          </cell>
          <cell r="C410" t="e">
            <v>#DIV/0!</v>
          </cell>
          <cell r="D410" t="e">
            <v>#DIV/0!</v>
          </cell>
          <cell r="E410" t="e">
            <v>#DIV/0!</v>
          </cell>
        </row>
        <row r="411">
          <cell r="A411">
            <v>39855</v>
          </cell>
          <cell r="B411" t="str">
            <v>#Calc</v>
          </cell>
          <cell r="C411" t="e">
            <v>#DIV/0!</v>
          </cell>
          <cell r="D411" t="e">
            <v>#DIV/0!</v>
          </cell>
          <cell r="E411" t="e">
            <v>#DIV/0!</v>
          </cell>
        </row>
        <row r="412">
          <cell r="A412">
            <v>39856</v>
          </cell>
          <cell r="B412" t="str">
            <v>#Calc</v>
          </cell>
          <cell r="C412" t="e">
            <v>#DIV/0!</v>
          </cell>
          <cell r="D412" t="e">
            <v>#DIV/0!</v>
          </cell>
          <cell r="E412" t="e">
            <v>#DIV/0!</v>
          </cell>
        </row>
        <row r="413">
          <cell r="A413">
            <v>39857</v>
          </cell>
          <cell r="B413" t="str">
            <v>#Calc</v>
          </cell>
          <cell r="C413" t="e">
            <v>#DIV/0!</v>
          </cell>
          <cell r="D413" t="e">
            <v>#DIV/0!</v>
          </cell>
          <cell r="E413" t="e">
            <v>#DIV/0!</v>
          </cell>
        </row>
        <row r="414">
          <cell r="A414">
            <v>39858</v>
          </cell>
          <cell r="B414" t="str">
            <v>#Calc</v>
          </cell>
          <cell r="C414" t="e">
            <v>#DIV/0!</v>
          </cell>
          <cell r="D414" t="e">
            <v>#DIV/0!</v>
          </cell>
          <cell r="E414" t="e">
            <v>#DIV/0!</v>
          </cell>
        </row>
        <row r="415">
          <cell r="A415">
            <v>39859</v>
          </cell>
          <cell r="B415" t="str">
            <v>#Calc</v>
          </cell>
          <cell r="C415" t="e">
            <v>#DIV/0!</v>
          </cell>
          <cell r="D415" t="e">
            <v>#DIV/0!</v>
          </cell>
          <cell r="E415" t="e">
            <v>#DIV/0!</v>
          </cell>
        </row>
        <row r="416">
          <cell r="A416">
            <v>39860</v>
          </cell>
          <cell r="B416" t="str">
            <v>#Calc</v>
          </cell>
          <cell r="C416" t="e">
            <v>#DIV/0!</v>
          </cell>
          <cell r="D416" t="e">
            <v>#DIV/0!</v>
          </cell>
          <cell r="E416" t="e">
            <v>#DIV/0!</v>
          </cell>
        </row>
        <row r="417">
          <cell r="A417">
            <v>39861</v>
          </cell>
          <cell r="B417" t="str">
            <v>#Calc</v>
          </cell>
          <cell r="C417" t="e">
            <v>#DIV/0!</v>
          </cell>
          <cell r="D417" t="e">
            <v>#DIV/0!</v>
          </cell>
          <cell r="E417" t="e">
            <v>#DIV/0!</v>
          </cell>
        </row>
        <row r="418">
          <cell r="A418">
            <v>39862</v>
          </cell>
          <cell r="B418" t="str">
            <v>#Calc</v>
          </cell>
          <cell r="C418" t="e">
            <v>#DIV/0!</v>
          </cell>
          <cell r="D418" t="e">
            <v>#DIV/0!</v>
          </cell>
          <cell r="E418" t="e">
            <v>#DIV/0!</v>
          </cell>
        </row>
        <row r="419">
          <cell r="A419">
            <v>39863</v>
          </cell>
          <cell r="B419" t="str">
            <v>#Calc</v>
          </cell>
          <cell r="C419" t="e">
            <v>#DIV/0!</v>
          </cell>
          <cell r="D419" t="e">
            <v>#DIV/0!</v>
          </cell>
          <cell r="E419" t="e">
            <v>#DIV/0!</v>
          </cell>
        </row>
        <row r="420">
          <cell r="A420">
            <v>39864</v>
          </cell>
          <cell r="B420" t="str">
            <v>#Calc</v>
          </cell>
          <cell r="C420" t="e">
            <v>#DIV/0!</v>
          </cell>
          <cell r="D420" t="e">
            <v>#DIV/0!</v>
          </cell>
          <cell r="E420" t="e">
            <v>#DIV/0!</v>
          </cell>
        </row>
        <row r="421">
          <cell r="A421">
            <v>39865</v>
          </cell>
          <cell r="B421" t="str">
            <v>#Calc</v>
          </cell>
          <cell r="C421" t="e">
            <v>#DIV/0!</v>
          </cell>
          <cell r="D421" t="e">
            <v>#DIV/0!</v>
          </cell>
          <cell r="E421" t="e">
            <v>#DIV/0!</v>
          </cell>
        </row>
        <row r="422">
          <cell r="A422">
            <v>39866</v>
          </cell>
          <cell r="B422" t="str">
            <v>#Calc</v>
          </cell>
          <cell r="C422" t="e">
            <v>#DIV/0!</v>
          </cell>
          <cell r="D422" t="e">
            <v>#DIV/0!</v>
          </cell>
          <cell r="E422" t="e">
            <v>#DIV/0!</v>
          </cell>
        </row>
        <row r="423">
          <cell r="A423">
            <v>39867</v>
          </cell>
          <cell r="B423" t="str">
            <v>#Calc</v>
          </cell>
          <cell r="C423" t="e">
            <v>#DIV/0!</v>
          </cell>
          <cell r="D423" t="e">
            <v>#DIV/0!</v>
          </cell>
          <cell r="E423" t="e">
            <v>#DIV/0!</v>
          </cell>
        </row>
        <row r="424">
          <cell r="A424">
            <v>39868</v>
          </cell>
          <cell r="B424" t="str">
            <v>#Calc</v>
          </cell>
          <cell r="C424" t="e">
            <v>#DIV/0!</v>
          </cell>
          <cell r="D424" t="e">
            <v>#DIV/0!</v>
          </cell>
          <cell r="E424" t="e">
            <v>#DIV/0!</v>
          </cell>
        </row>
        <row r="425">
          <cell r="A425">
            <v>39869</v>
          </cell>
          <cell r="B425" t="str">
            <v>#Calc</v>
          </cell>
          <cell r="C425" t="e">
            <v>#DIV/0!</v>
          </cell>
          <cell r="D425" t="e">
            <v>#DIV/0!</v>
          </cell>
          <cell r="E425" t="e">
            <v>#DIV/0!</v>
          </cell>
        </row>
        <row r="426">
          <cell r="A426">
            <v>39870</v>
          </cell>
          <cell r="B426" t="str">
            <v>#Calc</v>
          </cell>
          <cell r="C426" t="e">
            <v>#DIV/0!</v>
          </cell>
          <cell r="D426" t="e">
            <v>#DIV/0!</v>
          </cell>
          <cell r="E426" t="e">
            <v>#DIV/0!</v>
          </cell>
        </row>
        <row r="427">
          <cell r="A427">
            <v>39871</v>
          </cell>
          <cell r="B427" t="str">
            <v>#Calc</v>
          </cell>
          <cell r="C427" t="e">
            <v>#DIV/0!</v>
          </cell>
          <cell r="D427" t="e">
            <v>#DIV/0!</v>
          </cell>
          <cell r="E427" t="e">
            <v>#DIV/0!</v>
          </cell>
        </row>
        <row r="428">
          <cell r="A428">
            <v>39872</v>
          </cell>
          <cell r="B428" t="str">
            <v>#Calc</v>
          </cell>
          <cell r="C428" t="e">
            <v>#DIV/0!</v>
          </cell>
          <cell r="D428" t="e">
            <v>#DIV/0!</v>
          </cell>
          <cell r="E428" t="e">
            <v>#DIV/0!</v>
          </cell>
        </row>
        <row r="429">
          <cell r="A429">
            <v>39873</v>
          </cell>
          <cell r="B429" t="str">
            <v>#Calc</v>
          </cell>
          <cell r="C429" t="e">
            <v>#DIV/0!</v>
          </cell>
          <cell r="D429" t="e">
            <v>#DIV/0!</v>
          </cell>
          <cell r="E429" t="e">
            <v>#DIV/0!</v>
          </cell>
        </row>
        <row r="430">
          <cell r="A430">
            <v>39874</v>
          </cell>
          <cell r="B430" t="str">
            <v>#Calc</v>
          </cell>
          <cell r="C430" t="e">
            <v>#DIV/0!</v>
          </cell>
          <cell r="D430" t="e">
            <v>#DIV/0!</v>
          </cell>
          <cell r="E430" t="e">
            <v>#DIV/0!</v>
          </cell>
        </row>
        <row r="431">
          <cell r="A431">
            <v>39875</v>
          </cell>
          <cell r="B431" t="str">
            <v>#Calc</v>
          </cell>
          <cell r="C431" t="e">
            <v>#DIV/0!</v>
          </cell>
          <cell r="D431" t="e">
            <v>#DIV/0!</v>
          </cell>
          <cell r="E431" t="e">
            <v>#DIV/0!</v>
          </cell>
        </row>
        <row r="432">
          <cell r="A432">
            <v>39876</v>
          </cell>
          <cell r="B432" t="str">
            <v>#Calc</v>
          </cell>
          <cell r="C432" t="e">
            <v>#DIV/0!</v>
          </cell>
          <cell r="D432" t="e">
            <v>#DIV/0!</v>
          </cell>
          <cell r="E432" t="e">
            <v>#DIV/0!</v>
          </cell>
        </row>
        <row r="433">
          <cell r="A433">
            <v>39877</v>
          </cell>
          <cell r="B433" t="str">
            <v>#Calc</v>
          </cell>
          <cell r="C433" t="e">
            <v>#DIV/0!</v>
          </cell>
          <cell r="D433" t="e">
            <v>#DIV/0!</v>
          </cell>
          <cell r="E433" t="e">
            <v>#DIV/0!</v>
          </cell>
        </row>
        <row r="434">
          <cell r="A434">
            <v>39878</v>
          </cell>
          <cell r="B434" t="str">
            <v>#Calc</v>
          </cell>
          <cell r="C434" t="e">
            <v>#DIV/0!</v>
          </cell>
          <cell r="D434" t="e">
            <v>#DIV/0!</v>
          </cell>
          <cell r="E434" t="e">
            <v>#DIV/0!</v>
          </cell>
        </row>
        <row r="435">
          <cell r="A435">
            <v>39879</v>
          </cell>
          <cell r="B435" t="str">
            <v>#Calc</v>
          </cell>
          <cell r="C435" t="e">
            <v>#DIV/0!</v>
          </cell>
          <cell r="D435" t="e">
            <v>#DIV/0!</v>
          </cell>
          <cell r="E435" t="e">
            <v>#DIV/0!</v>
          </cell>
        </row>
        <row r="436">
          <cell r="A436">
            <v>39880</v>
          </cell>
          <cell r="B436" t="str">
            <v>#Calc</v>
          </cell>
          <cell r="C436" t="e">
            <v>#DIV/0!</v>
          </cell>
          <cell r="D436" t="e">
            <v>#DIV/0!</v>
          </cell>
          <cell r="E436" t="e">
            <v>#DIV/0!</v>
          </cell>
        </row>
        <row r="437">
          <cell r="A437">
            <v>39881</v>
          </cell>
          <cell r="B437" t="str">
            <v>#Calc</v>
          </cell>
          <cell r="C437" t="e">
            <v>#DIV/0!</v>
          </cell>
          <cell r="D437" t="e">
            <v>#DIV/0!</v>
          </cell>
          <cell r="E437" t="e">
            <v>#DIV/0!</v>
          </cell>
        </row>
        <row r="438">
          <cell r="A438">
            <v>39882</v>
          </cell>
          <cell r="B438" t="str">
            <v>#Calc</v>
          </cell>
          <cell r="C438" t="e">
            <v>#DIV/0!</v>
          </cell>
          <cell r="D438" t="e">
            <v>#DIV/0!</v>
          </cell>
          <cell r="E438" t="e">
            <v>#DIV/0!</v>
          </cell>
        </row>
        <row r="439">
          <cell r="A439">
            <v>39883</v>
          </cell>
          <cell r="B439" t="str">
            <v>#Calc</v>
          </cell>
          <cell r="C439" t="e">
            <v>#DIV/0!</v>
          </cell>
          <cell r="D439" t="e">
            <v>#DIV/0!</v>
          </cell>
          <cell r="E439" t="e">
            <v>#DIV/0!</v>
          </cell>
        </row>
        <row r="440">
          <cell r="A440">
            <v>39884</v>
          </cell>
          <cell r="B440" t="str">
            <v>#Calc</v>
          </cell>
          <cell r="C440" t="e">
            <v>#DIV/0!</v>
          </cell>
          <cell r="D440" t="e">
            <v>#DIV/0!</v>
          </cell>
          <cell r="E440" t="e">
            <v>#DIV/0!</v>
          </cell>
        </row>
        <row r="441">
          <cell r="A441">
            <v>39885</v>
          </cell>
          <cell r="B441" t="str">
            <v>#Calc</v>
          </cell>
          <cell r="C441" t="e">
            <v>#DIV/0!</v>
          </cell>
          <cell r="D441" t="e">
            <v>#DIV/0!</v>
          </cell>
          <cell r="E441" t="e">
            <v>#DIV/0!</v>
          </cell>
        </row>
        <row r="442">
          <cell r="A442">
            <v>39886</v>
          </cell>
          <cell r="B442" t="str">
            <v>#Calc</v>
          </cell>
          <cell r="C442" t="e">
            <v>#DIV/0!</v>
          </cell>
          <cell r="D442" t="e">
            <v>#DIV/0!</v>
          </cell>
          <cell r="E442" t="e">
            <v>#DIV/0!</v>
          </cell>
        </row>
        <row r="443">
          <cell r="A443">
            <v>39887</v>
          </cell>
          <cell r="B443" t="str">
            <v>#Calc</v>
          </cell>
          <cell r="C443" t="e">
            <v>#DIV/0!</v>
          </cell>
          <cell r="D443" t="e">
            <v>#DIV/0!</v>
          </cell>
          <cell r="E443" t="e">
            <v>#DIV/0!</v>
          </cell>
        </row>
        <row r="444">
          <cell r="A444">
            <v>39888</v>
          </cell>
          <cell r="B444" t="str">
            <v>#Calc</v>
          </cell>
          <cell r="C444" t="e">
            <v>#DIV/0!</v>
          </cell>
          <cell r="D444" t="e">
            <v>#DIV/0!</v>
          </cell>
          <cell r="E444" t="e">
            <v>#DIV/0!</v>
          </cell>
        </row>
        <row r="445">
          <cell r="A445">
            <v>39889</v>
          </cell>
          <cell r="B445" t="str">
            <v>#Calc</v>
          </cell>
          <cell r="C445" t="e">
            <v>#DIV/0!</v>
          </cell>
          <cell r="D445" t="e">
            <v>#DIV/0!</v>
          </cell>
          <cell r="E445" t="e">
            <v>#DIV/0!</v>
          </cell>
        </row>
        <row r="446">
          <cell r="A446">
            <v>39890</v>
          </cell>
          <cell r="B446" t="str">
            <v>#Calc</v>
          </cell>
          <cell r="C446" t="e">
            <v>#DIV/0!</v>
          </cell>
          <cell r="D446" t="e">
            <v>#DIV/0!</v>
          </cell>
          <cell r="E446" t="e">
            <v>#DIV/0!</v>
          </cell>
        </row>
        <row r="447">
          <cell r="A447">
            <v>39891</v>
          </cell>
          <cell r="B447" t="str">
            <v>#Calc</v>
          </cell>
          <cell r="C447" t="e">
            <v>#DIV/0!</v>
          </cell>
          <cell r="D447" t="e">
            <v>#DIV/0!</v>
          </cell>
          <cell r="E447" t="e">
            <v>#DIV/0!</v>
          </cell>
        </row>
        <row r="448">
          <cell r="A448">
            <v>39892</v>
          </cell>
          <cell r="B448" t="str">
            <v>#Calc</v>
          </cell>
          <cell r="C448" t="e">
            <v>#DIV/0!</v>
          </cell>
          <cell r="D448" t="e">
            <v>#DIV/0!</v>
          </cell>
          <cell r="E448" t="e">
            <v>#DIV/0!</v>
          </cell>
        </row>
        <row r="449">
          <cell r="A449">
            <v>39893</v>
          </cell>
          <cell r="B449" t="str">
            <v>#Calc</v>
          </cell>
          <cell r="C449" t="e">
            <v>#DIV/0!</v>
          </cell>
          <cell r="D449" t="e">
            <v>#DIV/0!</v>
          </cell>
          <cell r="E449" t="e">
            <v>#DIV/0!</v>
          </cell>
        </row>
        <row r="450">
          <cell r="A450">
            <v>39894</v>
          </cell>
          <cell r="B450" t="str">
            <v>#Calc</v>
          </cell>
          <cell r="C450" t="e">
            <v>#DIV/0!</v>
          </cell>
          <cell r="D450" t="e">
            <v>#DIV/0!</v>
          </cell>
          <cell r="E450" t="e">
            <v>#DIV/0!</v>
          </cell>
        </row>
        <row r="451">
          <cell r="A451">
            <v>39895</v>
          </cell>
          <cell r="B451" t="str">
            <v>#Calc</v>
          </cell>
          <cell r="C451" t="e">
            <v>#DIV/0!</v>
          </cell>
          <cell r="D451" t="e">
            <v>#DIV/0!</v>
          </cell>
          <cell r="E451" t="e">
            <v>#DIV/0!</v>
          </cell>
        </row>
        <row r="452">
          <cell r="A452">
            <v>39896</v>
          </cell>
          <cell r="B452" t="str">
            <v>#Calc</v>
          </cell>
          <cell r="C452" t="e">
            <v>#DIV/0!</v>
          </cell>
          <cell r="D452" t="e">
            <v>#DIV/0!</v>
          </cell>
          <cell r="E452" t="e">
            <v>#DIV/0!</v>
          </cell>
        </row>
        <row r="453">
          <cell r="A453">
            <v>39897</v>
          </cell>
          <cell r="B453" t="str">
            <v>#Calc</v>
          </cell>
          <cell r="C453" t="e">
            <v>#DIV/0!</v>
          </cell>
          <cell r="D453" t="e">
            <v>#DIV/0!</v>
          </cell>
          <cell r="E453" t="e">
            <v>#DIV/0!</v>
          </cell>
        </row>
        <row r="454">
          <cell r="A454">
            <v>39898</v>
          </cell>
          <cell r="B454" t="str">
            <v>#Calc</v>
          </cell>
          <cell r="C454" t="e">
            <v>#DIV/0!</v>
          </cell>
          <cell r="D454" t="e">
            <v>#DIV/0!</v>
          </cell>
          <cell r="E454" t="e">
            <v>#DIV/0!</v>
          </cell>
        </row>
        <row r="455">
          <cell r="A455">
            <v>39899</v>
          </cell>
          <cell r="B455" t="str">
            <v>#Calc</v>
          </cell>
          <cell r="C455" t="e">
            <v>#DIV/0!</v>
          </cell>
          <cell r="D455" t="e">
            <v>#DIV/0!</v>
          </cell>
          <cell r="E455" t="e">
            <v>#DIV/0!</v>
          </cell>
        </row>
        <row r="456">
          <cell r="A456">
            <v>39900</v>
          </cell>
          <cell r="B456" t="str">
            <v>#Calc</v>
          </cell>
          <cell r="C456" t="e">
            <v>#DIV/0!</v>
          </cell>
          <cell r="D456" t="e">
            <v>#DIV/0!</v>
          </cell>
          <cell r="E456" t="e">
            <v>#DIV/0!</v>
          </cell>
        </row>
        <row r="457">
          <cell r="A457">
            <v>39901</v>
          </cell>
          <cell r="B457" t="str">
            <v>#Calc</v>
          </cell>
          <cell r="C457" t="e">
            <v>#DIV/0!</v>
          </cell>
          <cell r="D457" t="e">
            <v>#DIV/0!</v>
          </cell>
          <cell r="E457" t="e">
            <v>#DIV/0!</v>
          </cell>
        </row>
        <row r="458">
          <cell r="A458">
            <v>39902</v>
          </cell>
          <cell r="B458" t="str">
            <v>#Calc</v>
          </cell>
          <cell r="C458" t="e">
            <v>#DIV/0!</v>
          </cell>
          <cell r="D458" t="e">
            <v>#DIV/0!</v>
          </cell>
          <cell r="E458" t="e">
            <v>#DIV/0!</v>
          </cell>
        </row>
        <row r="459">
          <cell r="A459">
            <v>39903</v>
          </cell>
          <cell r="B459" t="str">
            <v>#Calc</v>
          </cell>
          <cell r="C459" t="e">
            <v>#DIV/0!</v>
          </cell>
          <cell r="D459" t="e">
            <v>#DIV/0!</v>
          </cell>
          <cell r="E459" t="e">
            <v>#DIV/0!</v>
          </cell>
        </row>
        <row r="460">
          <cell r="A460">
            <v>39904</v>
          </cell>
          <cell r="B460" t="str">
            <v>#Calc</v>
          </cell>
          <cell r="C460" t="e">
            <v>#DIV/0!</v>
          </cell>
          <cell r="D460" t="e">
            <v>#DIV/0!</v>
          </cell>
          <cell r="E460" t="e">
            <v>#DIV/0!</v>
          </cell>
        </row>
        <row r="461">
          <cell r="A461">
            <v>39905</v>
          </cell>
          <cell r="B461" t="str">
            <v>#Calc</v>
          </cell>
          <cell r="C461" t="e">
            <v>#DIV/0!</v>
          </cell>
          <cell r="D461" t="e">
            <v>#DIV/0!</v>
          </cell>
          <cell r="E461" t="e">
            <v>#DIV/0!</v>
          </cell>
        </row>
        <row r="462">
          <cell r="A462">
            <v>39906</v>
          </cell>
          <cell r="B462" t="str">
            <v>#Calc</v>
          </cell>
          <cell r="C462" t="e">
            <v>#DIV/0!</v>
          </cell>
          <cell r="D462" t="e">
            <v>#DIV/0!</v>
          </cell>
          <cell r="E462" t="e">
            <v>#DIV/0!</v>
          </cell>
        </row>
        <row r="463">
          <cell r="A463">
            <v>39907</v>
          </cell>
          <cell r="B463" t="str">
            <v>#Calc</v>
          </cell>
          <cell r="C463" t="e">
            <v>#DIV/0!</v>
          </cell>
          <cell r="D463" t="e">
            <v>#DIV/0!</v>
          </cell>
          <cell r="E463" t="e">
            <v>#DIV/0!</v>
          </cell>
        </row>
        <row r="464">
          <cell r="A464">
            <v>39908</v>
          </cell>
          <cell r="B464" t="str">
            <v>#Calc</v>
          </cell>
          <cell r="C464" t="e">
            <v>#DIV/0!</v>
          </cell>
          <cell r="D464" t="e">
            <v>#DIV/0!</v>
          </cell>
          <cell r="E464" t="e">
            <v>#DIV/0!</v>
          </cell>
        </row>
        <row r="465">
          <cell r="A465">
            <v>39909</v>
          </cell>
          <cell r="B465" t="str">
            <v>#Calc</v>
          </cell>
          <cell r="C465" t="e">
            <v>#DIV/0!</v>
          </cell>
          <cell r="D465" t="e">
            <v>#DIV/0!</v>
          </cell>
          <cell r="E465" t="e">
            <v>#DIV/0!</v>
          </cell>
        </row>
        <row r="466">
          <cell r="A466">
            <v>39910</v>
          </cell>
          <cell r="B466" t="str">
            <v>#Calc</v>
          </cell>
          <cell r="C466" t="e">
            <v>#DIV/0!</v>
          </cell>
          <cell r="D466" t="e">
            <v>#DIV/0!</v>
          </cell>
          <cell r="E466" t="e">
            <v>#DIV/0!</v>
          </cell>
        </row>
        <row r="467">
          <cell r="A467">
            <v>39911</v>
          </cell>
          <cell r="B467" t="str">
            <v>#Calc</v>
          </cell>
          <cell r="C467" t="e">
            <v>#DIV/0!</v>
          </cell>
          <cell r="D467" t="e">
            <v>#DIV/0!</v>
          </cell>
          <cell r="E467" t="e">
            <v>#DIV/0!</v>
          </cell>
        </row>
        <row r="468">
          <cell r="A468">
            <v>39912</v>
          </cell>
          <cell r="B468" t="str">
            <v>#Calc</v>
          </cell>
          <cell r="C468" t="e">
            <v>#DIV/0!</v>
          </cell>
          <cell r="D468" t="e">
            <v>#DIV/0!</v>
          </cell>
          <cell r="E468" t="e">
            <v>#DIV/0!</v>
          </cell>
        </row>
        <row r="469">
          <cell r="A469">
            <v>39913</v>
          </cell>
          <cell r="B469" t="str">
            <v>#Calc</v>
          </cell>
          <cell r="C469" t="e">
            <v>#DIV/0!</v>
          </cell>
          <cell r="D469" t="e">
            <v>#DIV/0!</v>
          </cell>
          <cell r="E469" t="e">
            <v>#DIV/0!</v>
          </cell>
        </row>
        <row r="470">
          <cell r="A470">
            <v>39914</v>
          </cell>
          <cell r="B470" t="str">
            <v>#Calc</v>
          </cell>
          <cell r="C470" t="e">
            <v>#DIV/0!</v>
          </cell>
          <cell r="D470" t="e">
            <v>#DIV/0!</v>
          </cell>
          <cell r="E470" t="e">
            <v>#DIV/0!</v>
          </cell>
        </row>
        <row r="471">
          <cell r="A471">
            <v>39915</v>
          </cell>
          <cell r="B471" t="str">
            <v>#Calc</v>
          </cell>
          <cell r="C471" t="e">
            <v>#DIV/0!</v>
          </cell>
          <cell r="D471" t="e">
            <v>#DIV/0!</v>
          </cell>
          <cell r="E471" t="e">
            <v>#DIV/0!</v>
          </cell>
        </row>
        <row r="472">
          <cell r="A472">
            <v>39916</v>
          </cell>
          <cell r="B472" t="str">
            <v>#Calc</v>
          </cell>
          <cell r="C472" t="e">
            <v>#DIV/0!</v>
          </cell>
          <cell r="D472" t="e">
            <v>#DIV/0!</v>
          </cell>
          <cell r="E472" t="e">
            <v>#DIV/0!</v>
          </cell>
        </row>
        <row r="473">
          <cell r="A473">
            <v>39917</v>
          </cell>
          <cell r="B473" t="str">
            <v>#Calc</v>
          </cell>
          <cell r="C473" t="e">
            <v>#DIV/0!</v>
          </cell>
          <cell r="D473" t="e">
            <v>#DIV/0!</v>
          </cell>
          <cell r="E473" t="e">
            <v>#DIV/0!</v>
          </cell>
        </row>
        <row r="474">
          <cell r="A474">
            <v>39918</v>
          </cell>
          <cell r="B474" t="str">
            <v>#Calc</v>
          </cell>
          <cell r="C474" t="e">
            <v>#DIV/0!</v>
          </cell>
          <cell r="D474" t="e">
            <v>#DIV/0!</v>
          </cell>
          <cell r="E474" t="e">
            <v>#DIV/0!</v>
          </cell>
        </row>
        <row r="475">
          <cell r="A475">
            <v>39919</v>
          </cell>
          <cell r="B475" t="str">
            <v>#Calc</v>
          </cell>
          <cell r="C475" t="e">
            <v>#DIV/0!</v>
          </cell>
          <cell r="D475" t="e">
            <v>#DIV/0!</v>
          </cell>
          <cell r="E475" t="e">
            <v>#DIV/0!</v>
          </cell>
        </row>
        <row r="476">
          <cell r="A476">
            <v>39920</v>
          </cell>
          <cell r="B476" t="str">
            <v>#Calc</v>
          </cell>
          <cell r="C476" t="e">
            <v>#DIV/0!</v>
          </cell>
          <cell r="D476" t="e">
            <v>#DIV/0!</v>
          </cell>
          <cell r="E476" t="e">
            <v>#DIV/0!</v>
          </cell>
        </row>
        <row r="477">
          <cell r="A477">
            <v>39921</v>
          </cell>
          <cell r="B477" t="str">
            <v>#Calc</v>
          </cell>
          <cell r="C477" t="e">
            <v>#DIV/0!</v>
          </cell>
          <cell r="D477" t="e">
            <v>#DIV/0!</v>
          </cell>
          <cell r="E477" t="e">
            <v>#DIV/0!</v>
          </cell>
        </row>
        <row r="478">
          <cell r="A478">
            <v>39922</v>
          </cell>
          <cell r="B478" t="str">
            <v>#Calc</v>
          </cell>
          <cell r="C478" t="e">
            <v>#DIV/0!</v>
          </cell>
          <cell r="D478" t="e">
            <v>#DIV/0!</v>
          </cell>
          <cell r="E478" t="e">
            <v>#DIV/0!</v>
          </cell>
        </row>
        <row r="479">
          <cell r="A479">
            <v>39923</v>
          </cell>
          <cell r="B479" t="str">
            <v>#Calc</v>
          </cell>
          <cell r="C479" t="e">
            <v>#DIV/0!</v>
          </cell>
          <cell r="D479" t="e">
            <v>#DIV/0!</v>
          </cell>
          <cell r="E479" t="e">
            <v>#DIV/0!</v>
          </cell>
        </row>
        <row r="480">
          <cell r="A480">
            <v>39924</v>
          </cell>
          <cell r="B480" t="str">
            <v>#Calc</v>
          </cell>
          <cell r="C480" t="e">
            <v>#DIV/0!</v>
          </cell>
          <cell r="D480" t="e">
            <v>#DIV/0!</v>
          </cell>
          <cell r="E480" t="e">
            <v>#DIV/0!</v>
          </cell>
        </row>
        <row r="481">
          <cell r="A481">
            <v>39925</v>
          </cell>
          <cell r="B481" t="str">
            <v>#Calc</v>
          </cell>
          <cell r="C481" t="e">
            <v>#DIV/0!</v>
          </cell>
          <cell r="D481" t="e">
            <v>#DIV/0!</v>
          </cell>
          <cell r="E481" t="e">
            <v>#DIV/0!</v>
          </cell>
        </row>
        <row r="482">
          <cell r="A482">
            <v>39926</v>
          </cell>
          <cell r="B482" t="str">
            <v>#Calc</v>
          </cell>
          <cell r="C482" t="e">
            <v>#DIV/0!</v>
          </cell>
          <cell r="D482" t="e">
            <v>#DIV/0!</v>
          </cell>
          <cell r="E482" t="e">
            <v>#DIV/0!</v>
          </cell>
        </row>
        <row r="483">
          <cell r="A483">
            <v>39927</v>
          </cell>
          <cell r="B483" t="str">
            <v>#Calc</v>
          </cell>
          <cell r="C483" t="e">
            <v>#DIV/0!</v>
          </cell>
          <cell r="D483" t="e">
            <v>#DIV/0!</v>
          </cell>
          <cell r="E483" t="e">
            <v>#DIV/0!</v>
          </cell>
        </row>
        <row r="484">
          <cell r="A484">
            <v>39928</v>
          </cell>
          <cell r="B484" t="str">
            <v>#Calc</v>
          </cell>
          <cell r="C484" t="e">
            <v>#DIV/0!</v>
          </cell>
          <cell r="D484" t="e">
            <v>#DIV/0!</v>
          </cell>
          <cell r="E484" t="e">
            <v>#DIV/0!</v>
          </cell>
        </row>
        <row r="485">
          <cell r="A485">
            <v>39929</v>
          </cell>
          <cell r="B485" t="str">
            <v>#Calc</v>
          </cell>
          <cell r="C485" t="e">
            <v>#DIV/0!</v>
          </cell>
          <cell r="D485" t="e">
            <v>#DIV/0!</v>
          </cell>
          <cell r="E485" t="e">
            <v>#DIV/0!</v>
          </cell>
        </row>
        <row r="486">
          <cell r="A486">
            <v>39930</v>
          </cell>
          <cell r="B486" t="str">
            <v>#Calc</v>
          </cell>
          <cell r="C486" t="e">
            <v>#DIV/0!</v>
          </cell>
          <cell r="D486" t="e">
            <v>#DIV/0!</v>
          </cell>
          <cell r="E486" t="e">
            <v>#DIV/0!</v>
          </cell>
        </row>
        <row r="487">
          <cell r="A487">
            <v>39931</v>
          </cell>
          <cell r="B487" t="str">
            <v>#Calc</v>
          </cell>
          <cell r="C487" t="e">
            <v>#DIV/0!</v>
          </cell>
          <cell r="D487" t="e">
            <v>#DIV/0!</v>
          </cell>
          <cell r="E487" t="e">
            <v>#DIV/0!</v>
          </cell>
        </row>
        <row r="488">
          <cell r="A488">
            <v>39932</v>
          </cell>
          <cell r="B488" t="str">
            <v>#Calc</v>
          </cell>
          <cell r="C488" t="e">
            <v>#DIV/0!</v>
          </cell>
          <cell r="D488" t="e">
            <v>#DIV/0!</v>
          </cell>
          <cell r="E488" t="e">
            <v>#DIV/0!</v>
          </cell>
        </row>
        <row r="489">
          <cell r="A489">
            <v>39933</v>
          </cell>
          <cell r="B489" t="str">
            <v>#Calc</v>
          </cell>
          <cell r="C489" t="e">
            <v>#DIV/0!</v>
          </cell>
          <cell r="D489" t="e">
            <v>#DIV/0!</v>
          </cell>
          <cell r="E489" t="e">
            <v>#DIV/0!</v>
          </cell>
        </row>
        <row r="490">
          <cell r="A490">
            <v>39934</v>
          </cell>
          <cell r="B490" t="str">
            <v>#Calc</v>
          </cell>
          <cell r="C490" t="e">
            <v>#DIV/0!</v>
          </cell>
          <cell r="D490" t="e">
            <v>#DIV/0!</v>
          </cell>
          <cell r="E490" t="e">
            <v>#DIV/0!</v>
          </cell>
        </row>
        <row r="491">
          <cell r="A491">
            <v>39935</v>
          </cell>
          <cell r="B491" t="str">
            <v>#Calc</v>
          </cell>
          <cell r="C491" t="e">
            <v>#DIV/0!</v>
          </cell>
          <cell r="D491" t="e">
            <v>#DIV/0!</v>
          </cell>
          <cell r="E491" t="e">
            <v>#DIV/0!</v>
          </cell>
        </row>
        <row r="492">
          <cell r="A492">
            <v>39936</v>
          </cell>
          <cell r="B492" t="str">
            <v>#Calc</v>
          </cell>
          <cell r="C492" t="e">
            <v>#DIV/0!</v>
          </cell>
          <cell r="D492" t="e">
            <v>#DIV/0!</v>
          </cell>
          <cell r="E492" t="e">
            <v>#DIV/0!</v>
          </cell>
        </row>
        <row r="493">
          <cell r="A493">
            <v>39937</v>
          </cell>
          <cell r="B493" t="str">
            <v>#Calc</v>
          </cell>
          <cell r="C493" t="e">
            <v>#DIV/0!</v>
          </cell>
          <cell r="D493" t="e">
            <v>#DIV/0!</v>
          </cell>
          <cell r="E493" t="e">
            <v>#DIV/0!</v>
          </cell>
        </row>
        <row r="494">
          <cell r="A494">
            <v>39938</v>
          </cell>
          <cell r="B494" t="str">
            <v>#Calc</v>
          </cell>
          <cell r="C494" t="e">
            <v>#DIV/0!</v>
          </cell>
          <cell r="D494" t="e">
            <v>#DIV/0!</v>
          </cell>
          <cell r="E494" t="e">
            <v>#DIV/0!</v>
          </cell>
        </row>
        <row r="495">
          <cell r="A495">
            <v>39939</v>
          </cell>
          <cell r="B495" t="str">
            <v>#Calc</v>
          </cell>
          <cell r="C495" t="e">
            <v>#DIV/0!</v>
          </cell>
          <cell r="D495" t="e">
            <v>#DIV/0!</v>
          </cell>
          <cell r="E495" t="e">
            <v>#DIV/0!</v>
          </cell>
        </row>
        <row r="496">
          <cell r="A496">
            <v>39940</v>
          </cell>
          <cell r="B496" t="str">
            <v>#Calc</v>
          </cell>
          <cell r="C496" t="e">
            <v>#DIV/0!</v>
          </cell>
          <cell r="D496" t="e">
            <v>#DIV/0!</v>
          </cell>
          <cell r="E496" t="e">
            <v>#DIV/0!</v>
          </cell>
        </row>
        <row r="497">
          <cell r="A497">
            <v>39941</v>
          </cell>
          <cell r="B497" t="str">
            <v>#Calc</v>
          </cell>
          <cell r="C497" t="e">
            <v>#DIV/0!</v>
          </cell>
          <cell r="D497" t="e">
            <v>#DIV/0!</v>
          </cell>
          <cell r="E497" t="e">
            <v>#DIV/0!</v>
          </cell>
        </row>
        <row r="498">
          <cell r="A498">
            <v>39942</v>
          </cell>
          <cell r="B498" t="str">
            <v>#Calc</v>
          </cell>
          <cell r="C498" t="e">
            <v>#DIV/0!</v>
          </cell>
          <cell r="D498" t="e">
            <v>#DIV/0!</v>
          </cell>
          <cell r="E498" t="e">
            <v>#DIV/0!</v>
          </cell>
        </row>
        <row r="499">
          <cell r="A499">
            <v>39943</v>
          </cell>
          <cell r="B499" t="str">
            <v>#Calc</v>
          </cell>
          <cell r="C499" t="e">
            <v>#DIV/0!</v>
          </cell>
          <cell r="D499" t="e">
            <v>#DIV/0!</v>
          </cell>
          <cell r="E499" t="e">
            <v>#DIV/0!</v>
          </cell>
        </row>
        <row r="500">
          <cell r="A500">
            <v>39944</v>
          </cell>
          <cell r="B500" t="str">
            <v>#Calc</v>
          </cell>
          <cell r="C500" t="e">
            <v>#DIV/0!</v>
          </cell>
          <cell r="D500" t="e">
            <v>#DIV/0!</v>
          </cell>
          <cell r="E500" t="e">
            <v>#DIV/0!</v>
          </cell>
        </row>
        <row r="501">
          <cell r="A501">
            <v>39945</v>
          </cell>
          <cell r="B501" t="str">
            <v>#Calc</v>
          </cell>
          <cell r="C501" t="e">
            <v>#DIV/0!</v>
          </cell>
          <cell r="D501" t="e">
            <v>#DIV/0!</v>
          </cell>
          <cell r="E501" t="e">
            <v>#DIV/0!</v>
          </cell>
        </row>
        <row r="502">
          <cell r="A502">
            <v>39946</v>
          </cell>
          <cell r="B502" t="str">
            <v>#Calc</v>
          </cell>
          <cell r="C502" t="e">
            <v>#DIV/0!</v>
          </cell>
          <cell r="D502" t="e">
            <v>#DIV/0!</v>
          </cell>
          <cell r="E502" t="e">
            <v>#DIV/0!</v>
          </cell>
        </row>
        <row r="503">
          <cell r="A503">
            <v>39947</v>
          </cell>
          <cell r="B503" t="str">
            <v>#Calc</v>
          </cell>
          <cell r="C503" t="e">
            <v>#DIV/0!</v>
          </cell>
          <cell r="D503" t="e">
            <v>#DIV/0!</v>
          </cell>
          <cell r="E503" t="e">
            <v>#DIV/0!</v>
          </cell>
        </row>
        <row r="504">
          <cell r="A504">
            <v>39948</v>
          </cell>
          <cell r="B504" t="str">
            <v>#Calc</v>
          </cell>
          <cell r="C504" t="e">
            <v>#DIV/0!</v>
          </cell>
          <cell r="D504" t="e">
            <v>#DIV/0!</v>
          </cell>
          <cell r="E504" t="e">
            <v>#DIV/0!</v>
          </cell>
        </row>
        <row r="505">
          <cell r="A505">
            <v>39949</v>
          </cell>
          <cell r="B505" t="str">
            <v>#Calc</v>
          </cell>
          <cell r="C505" t="e">
            <v>#DIV/0!</v>
          </cell>
          <cell r="D505" t="e">
            <v>#DIV/0!</v>
          </cell>
          <cell r="E505" t="e">
            <v>#DIV/0!</v>
          </cell>
        </row>
        <row r="506">
          <cell r="A506">
            <v>39950</v>
          </cell>
          <cell r="B506" t="str">
            <v>#Calc</v>
          </cell>
          <cell r="C506" t="e">
            <v>#DIV/0!</v>
          </cell>
          <cell r="D506" t="e">
            <v>#DIV/0!</v>
          </cell>
          <cell r="E506" t="e">
            <v>#DIV/0!</v>
          </cell>
        </row>
        <row r="507">
          <cell r="A507">
            <v>39951</v>
          </cell>
          <cell r="B507" t="str">
            <v>#Calc</v>
          </cell>
          <cell r="C507" t="e">
            <v>#DIV/0!</v>
          </cell>
          <cell r="D507" t="e">
            <v>#DIV/0!</v>
          </cell>
          <cell r="E507" t="e">
            <v>#DIV/0!</v>
          </cell>
        </row>
        <row r="508">
          <cell r="A508">
            <v>39952</v>
          </cell>
          <cell r="B508" t="str">
            <v>#Calc</v>
          </cell>
          <cell r="C508" t="e">
            <v>#DIV/0!</v>
          </cell>
          <cell r="D508" t="e">
            <v>#DIV/0!</v>
          </cell>
          <cell r="E508" t="e">
            <v>#DIV/0!</v>
          </cell>
        </row>
        <row r="509">
          <cell r="A509">
            <v>39953</v>
          </cell>
          <cell r="B509" t="str">
            <v>#Calc</v>
          </cell>
          <cell r="C509" t="e">
            <v>#DIV/0!</v>
          </cell>
          <cell r="D509" t="e">
            <v>#DIV/0!</v>
          </cell>
          <cell r="E509" t="e">
            <v>#DIV/0!</v>
          </cell>
        </row>
        <row r="510">
          <cell r="A510">
            <v>39954</v>
          </cell>
          <cell r="B510" t="str">
            <v>#Calc</v>
          </cell>
          <cell r="C510" t="e">
            <v>#DIV/0!</v>
          </cell>
          <cell r="D510" t="e">
            <v>#DIV/0!</v>
          </cell>
          <cell r="E510" t="e">
            <v>#DIV/0!</v>
          </cell>
        </row>
        <row r="511">
          <cell r="A511">
            <v>39955</v>
          </cell>
          <cell r="B511" t="str">
            <v>#Calc</v>
          </cell>
          <cell r="C511" t="e">
            <v>#DIV/0!</v>
          </cell>
          <cell r="D511" t="e">
            <v>#DIV/0!</v>
          </cell>
          <cell r="E511" t="e">
            <v>#DIV/0!</v>
          </cell>
        </row>
        <row r="512">
          <cell r="A512">
            <v>39956</v>
          </cell>
          <cell r="B512" t="str">
            <v>#Calc</v>
          </cell>
          <cell r="C512" t="e">
            <v>#DIV/0!</v>
          </cell>
          <cell r="D512" t="e">
            <v>#DIV/0!</v>
          </cell>
          <cell r="E512" t="e">
            <v>#DIV/0!</v>
          </cell>
        </row>
        <row r="513">
          <cell r="A513">
            <v>39957</v>
          </cell>
          <cell r="B513" t="str">
            <v>#Calc</v>
          </cell>
          <cell r="C513" t="e">
            <v>#DIV/0!</v>
          </cell>
          <cell r="D513" t="e">
            <v>#DIV/0!</v>
          </cell>
          <cell r="E513" t="e">
            <v>#DIV/0!</v>
          </cell>
        </row>
        <row r="514">
          <cell r="A514">
            <v>39958</v>
          </cell>
          <cell r="B514" t="str">
            <v>#Calc</v>
          </cell>
          <cell r="C514" t="e">
            <v>#DIV/0!</v>
          </cell>
          <cell r="D514" t="e">
            <v>#DIV/0!</v>
          </cell>
          <cell r="E514" t="e">
            <v>#DIV/0!</v>
          </cell>
        </row>
        <row r="515">
          <cell r="A515">
            <v>39959</v>
          </cell>
          <cell r="B515" t="str">
            <v>#Calc</v>
          </cell>
          <cell r="C515" t="e">
            <v>#DIV/0!</v>
          </cell>
          <cell r="D515" t="e">
            <v>#DIV/0!</v>
          </cell>
          <cell r="E515" t="e">
            <v>#DIV/0!</v>
          </cell>
        </row>
        <row r="516">
          <cell r="A516">
            <v>39960</v>
          </cell>
          <cell r="B516" t="str">
            <v>#Calc</v>
          </cell>
          <cell r="C516" t="e">
            <v>#DIV/0!</v>
          </cell>
          <cell r="D516" t="e">
            <v>#DIV/0!</v>
          </cell>
          <cell r="E516" t="e">
            <v>#DIV/0!</v>
          </cell>
        </row>
        <row r="517">
          <cell r="A517">
            <v>39961</v>
          </cell>
          <cell r="B517" t="str">
            <v>#Calc</v>
          </cell>
          <cell r="C517" t="e">
            <v>#DIV/0!</v>
          </cell>
          <cell r="D517" t="e">
            <v>#DIV/0!</v>
          </cell>
          <cell r="E517" t="e">
            <v>#DIV/0!</v>
          </cell>
        </row>
        <row r="518">
          <cell r="A518">
            <v>39962</v>
          </cell>
          <cell r="B518" t="str">
            <v>#Calc</v>
          </cell>
          <cell r="C518" t="e">
            <v>#DIV/0!</v>
          </cell>
          <cell r="D518" t="e">
            <v>#DIV/0!</v>
          </cell>
          <cell r="E518" t="e">
            <v>#DIV/0!</v>
          </cell>
        </row>
        <row r="519">
          <cell r="A519">
            <v>39963</v>
          </cell>
          <cell r="B519" t="str">
            <v>#Calc</v>
          </cell>
          <cell r="C519" t="e">
            <v>#DIV/0!</v>
          </cell>
          <cell r="D519" t="e">
            <v>#DIV/0!</v>
          </cell>
          <cell r="E519" t="e">
            <v>#DIV/0!</v>
          </cell>
        </row>
        <row r="520">
          <cell r="A520">
            <v>39964</v>
          </cell>
          <cell r="B520" t="str">
            <v>#Calc</v>
          </cell>
          <cell r="C520" t="e">
            <v>#DIV/0!</v>
          </cell>
          <cell r="D520" t="e">
            <v>#DIV/0!</v>
          </cell>
          <cell r="E520" t="e">
            <v>#DIV/0!</v>
          </cell>
        </row>
        <row r="521">
          <cell r="A521">
            <v>39965</v>
          </cell>
          <cell r="B521" t="str">
            <v>#Calc</v>
          </cell>
          <cell r="C521" t="e">
            <v>#DIV/0!</v>
          </cell>
          <cell r="D521" t="e">
            <v>#DIV/0!</v>
          </cell>
          <cell r="E521" t="e">
            <v>#DIV/0!</v>
          </cell>
        </row>
        <row r="522">
          <cell r="A522">
            <v>39966</v>
          </cell>
          <cell r="B522" t="str">
            <v>#Calc</v>
          </cell>
          <cell r="C522" t="e">
            <v>#DIV/0!</v>
          </cell>
          <cell r="D522" t="e">
            <v>#DIV/0!</v>
          </cell>
          <cell r="E522" t="e">
            <v>#DIV/0!</v>
          </cell>
        </row>
        <row r="523">
          <cell r="A523">
            <v>39967</v>
          </cell>
          <cell r="B523" t="str">
            <v>#Calc</v>
          </cell>
          <cell r="C523" t="e">
            <v>#DIV/0!</v>
          </cell>
          <cell r="D523" t="e">
            <v>#DIV/0!</v>
          </cell>
          <cell r="E523" t="e">
            <v>#DIV/0!</v>
          </cell>
        </row>
        <row r="524">
          <cell r="A524">
            <v>39968</v>
          </cell>
          <cell r="B524" t="str">
            <v>#Calc</v>
          </cell>
          <cell r="C524" t="e">
            <v>#DIV/0!</v>
          </cell>
          <cell r="D524" t="e">
            <v>#DIV/0!</v>
          </cell>
          <cell r="E524" t="e">
            <v>#DIV/0!</v>
          </cell>
        </row>
        <row r="525">
          <cell r="A525">
            <v>39969</v>
          </cell>
          <cell r="B525" t="str">
            <v>#Calc</v>
          </cell>
          <cell r="C525" t="e">
            <v>#DIV/0!</v>
          </cell>
          <cell r="D525" t="e">
            <v>#DIV/0!</v>
          </cell>
          <cell r="E525" t="e">
            <v>#DIV/0!</v>
          </cell>
        </row>
        <row r="526">
          <cell r="A526">
            <v>39970</v>
          </cell>
          <cell r="B526" t="str">
            <v>#Calc</v>
          </cell>
          <cell r="C526" t="e">
            <v>#DIV/0!</v>
          </cell>
          <cell r="D526" t="e">
            <v>#DIV/0!</v>
          </cell>
          <cell r="E526" t="e">
            <v>#DIV/0!</v>
          </cell>
        </row>
        <row r="527">
          <cell r="A527">
            <v>39971</v>
          </cell>
          <cell r="B527" t="str">
            <v>#Calc</v>
          </cell>
          <cell r="C527" t="e">
            <v>#DIV/0!</v>
          </cell>
          <cell r="D527" t="e">
            <v>#DIV/0!</v>
          </cell>
          <cell r="E527" t="e">
            <v>#DIV/0!</v>
          </cell>
        </row>
        <row r="528">
          <cell r="A528">
            <v>39972</v>
          </cell>
          <cell r="B528" t="str">
            <v>#Calc</v>
          </cell>
          <cell r="C528" t="e">
            <v>#DIV/0!</v>
          </cell>
          <cell r="D528" t="e">
            <v>#DIV/0!</v>
          </cell>
          <cell r="E528" t="e">
            <v>#DIV/0!</v>
          </cell>
        </row>
        <row r="529">
          <cell r="A529">
            <v>39973</v>
          </cell>
          <cell r="B529" t="str">
            <v>#Calc</v>
          </cell>
          <cell r="C529" t="e">
            <v>#DIV/0!</v>
          </cell>
          <cell r="D529" t="e">
            <v>#DIV/0!</v>
          </cell>
          <cell r="E529" t="e">
            <v>#DIV/0!</v>
          </cell>
        </row>
        <row r="530">
          <cell r="A530">
            <v>39974</v>
          </cell>
          <cell r="B530" t="str">
            <v>#Calc</v>
          </cell>
          <cell r="C530" t="e">
            <v>#DIV/0!</v>
          </cell>
          <cell r="D530" t="e">
            <v>#DIV/0!</v>
          </cell>
          <cell r="E530" t="e">
            <v>#DIV/0!</v>
          </cell>
        </row>
        <row r="531">
          <cell r="A531">
            <v>39975</v>
          </cell>
          <cell r="B531" t="str">
            <v>#Calc</v>
          </cell>
          <cell r="C531" t="e">
            <v>#DIV/0!</v>
          </cell>
          <cell r="D531" t="e">
            <v>#DIV/0!</v>
          </cell>
          <cell r="E531" t="e">
            <v>#DIV/0!</v>
          </cell>
        </row>
        <row r="532">
          <cell r="A532">
            <v>39976</v>
          </cell>
          <cell r="B532" t="str">
            <v>#Calc</v>
          </cell>
          <cell r="C532" t="e">
            <v>#DIV/0!</v>
          </cell>
          <cell r="D532" t="e">
            <v>#DIV/0!</v>
          </cell>
          <cell r="E532" t="e">
            <v>#DIV/0!</v>
          </cell>
        </row>
        <row r="533">
          <cell r="A533">
            <v>39977</v>
          </cell>
          <cell r="B533" t="str">
            <v>#Calc</v>
          </cell>
          <cell r="C533" t="e">
            <v>#DIV/0!</v>
          </cell>
          <cell r="D533" t="e">
            <v>#DIV/0!</v>
          </cell>
          <cell r="E533" t="e">
            <v>#DIV/0!</v>
          </cell>
        </row>
        <row r="534">
          <cell r="A534">
            <v>39978</v>
          </cell>
          <cell r="B534" t="str">
            <v>#Calc</v>
          </cell>
          <cell r="C534" t="e">
            <v>#DIV/0!</v>
          </cell>
          <cell r="D534" t="e">
            <v>#DIV/0!</v>
          </cell>
          <cell r="E534" t="e">
            <v>#DIV/0!</v>
          </cell>
        </row>
        <row r="535">
          <cell r="A535">
            <v>39979</v>
          </cell>
          <cell r="B535" t="str">
            <v>#Calc</v>
          </cell>
          <cell r="C535" t="e">
            <v>#DIV/0!</v>
          </cell>
          <cell r="D535" t="e">
            <v>#DIV/0!</v>
          </cell>
          <cell r="E535" t="e">
            <v>#DIV/0!</v>
          </cell>
        </row>
        <row r="536">
          <cell r="A536">
            <v>39980</v>
          </cell>
          <cell r="B536" t="str">
            <v>#Calc</v>
          </cell>
          <cell r="C536" t="e">
            <v>#DIV/0!</v>
          </cell>
          <cell r="D536" t="e">
            <v>#DIV/0!</v>
          </cell>
          <cell r="E536" t="e">
            <v>#DIV/0!</v>
          </cell>
        </row>
        <row r="537">
          <cell r="A537">
            <v>39981</v>
          </cell>
          <cell r="B537" t="str">
            <v>#Calc</v>
          </cell>
          <cell r="C537" t="e">
            <v>#DIV/0!</v>
          </cell>
          <cell r="D537" t="e">
            <v>#DIV/0!</v>
          </cell>
          <cell r="E537" t="e">
            <v>#DIV/0!</v>
          </cell>
        </row>
        <row r="538">
          <cell r="A538">
            <v>39982</v>
          </cell>
          <cell r="B538" t="str">
            <v>#Calc</v>
          </cell>
          <cell r="C538" t="e">
            <v>#DIV/0!</v>
          </cell>
          <cell r="D538" t="e">
            <v>#DIV/0!</v>
          </cell>
          <cell r="E538" t="e">
            <v>#DIV/0!</v>
          </cell>
        </row>
        <row r="539">
          <cell r="A539">
            <v>39983</v>
          </cell>
          <cell r="B539" t="str">
            <v>#Calc</v>
          </cell>
          <cell r="C539" t="e">
            <v>#DIV/0!</v>
          </cell>
          <cell r="D539" t="e">
            <v>#DIV/0!</v>
          </cell>
          <cell r="E539" t="e">
            <v>#DIV/0!</v>
          </cell>
        </row>
        <row r="540">
          <cell r="A540">
            <v>39984</v>
          </cell>
          <cell r="B540" t="str">
            <v>#Calc</v>
          </cell>
          <cell r="C540" t="e">
            <v>#DIV/0!</v>
          </cell>
          <cell r="D540" t="e">
            <v>#DIV/0!</v>
          </cell>
          <cell r="E540" t="e">
            <v>#DIV/0!</v>
          </cell>
        </row>
        <row r="541">
          <cell r="A541">
            <v>39985</v>
          </cell>
          <cell r="B541" t="str">
            <v>#Calc</v>
          </cell>
          <cell r="C541" t="e">
            <v>#DIV/0!</v>
          </cell>
          <cell r="D541" t="e">
            <v>#DIV/0!</v>
          </cell>
          <cell r="E541" t="e">
            <v>#DIV/0!</v>
          </cell>
        </row>
        <row r="542">
          <cell r="A542">
            <v>39986</v>
          </cell>
          <cell r="B542" t="str">
            <v>#Calc</v>
          </cell>
          <cell r="C542" t="e">
            <v>#DIV/0!</v>
          </cell>
          <cell r="D542" t="e">
            <v>#DIV/0!</v>
          </cell>
          <cell r="E542" t="e">
            <v>#DIV/0!</v>
          </cell>
        </row>
        <row r="543">
          <cell r="A543">
            <v>39987</v>
          </cell>
          <cell r="B543" t="str">
            <v>#Calc</v>
          </cell>
          <cell r="C543" t="e">
            <v>#DIV/0!</v>
          </cell>
          <cell r="D543" t="e">
            <v>#DIV/0!</v>
          </cell>
          <cell r="E543" t="e">
            <v>#DIV/0!</v>
          </cell>
        </row>
        <row r="544">
          <cell r="A544">
            <v>39988</v>
          </cell>
          <cell r="B544" t="str">
            <v>#Calc</v>
          </cell>
          <cell r="C544" t="e">
            <v>#DIV/0!</v>
          </cell>
          <cell r="D544" t="e">
            <v>#DIV/0!</v>
          </cell>
          <cell r="E544" t="e">
            <v>#DIV/0!</v>
          </cell>
        </row>
        <row r="545">
          <cell r="A545">
            <v>39989</v>
          </cell>
          <cell r="B545" t="str">
            <v>#Calc</v>
          </cell>
          <cell r="C545" t="e">
            <v>#DIV/0!</v>
          </cell>
          <cell r="D545" t="e">
            <v>#DIV/0!</v>
          </cell>
          <cell r="E545" t="e">
            <v>#DIV/0!</v>
          </cell>
        </row>
        <row r="546">
          <cell r="A546">
            <v>39990</v>
          </cell>
          <cell r="B546" t="str">
            <v>#Calc</v>
          </cell>
          <cell r="C546" t="e">
            <v>#DIV/0!</v>
          </cell>
          <cell r="D546" t="e">
            <v>#DIV/0!</v>
          </cell>
          <cell r="E546" t="e">
            <v>#DIV/0!</v>
          </cell>
        </row>
        <row r="547">
          <cell r="A547">
            <v>39991</v>
          </cell>
          <cell r="B547" t="str">
            <v>#Calc</v>
          </cell>
          <cell r="C547" t="e">
            <v>#DIV/0!</v>
          </cell>
          <cell r="D547" t="e">
            <v>#DIV/0!</v>
          </cell>
          <cell r="E547" t="e">
            <v>#DIV/0!</v>
          </cell>
        </row>
        <row r="548">
          <cell r="A548">
            <v>39992</v>
          </cell>
          <cell r="B548" t="str">
            <v>#Calc</v>
          </cell>
          <cell r="C548" t="e">
            <v>#DIV/0!</v>
          </cell>
          <cell r="D548" t="e">
            <v>#DIV/0!</v>
          </cell>
          <cell r="E548" t="e">
            <v>#DIV/0!</v>
          </cell>
        </row>
        <row r="549">
          <cell r="A549">
            <v>39993</v>
          </cell>
          <cell r="B549" t="str">
            <v>#Calc</v>
          </cell>
          <cell r="C549" t="e">
            <v>#DIV/0!</v>
          </cell>
          <cell r="D549" t="e">
            <v>#DIV/0!</v>
          </cell>
          <cell r="E549" t="e">
            <v>#DIV/0!</v>
          </cell>
        </row>
        <row r="550">
          <cell r="A550">
            <v>39994</v>
          </cell>
          <cell r="B550" t="str">
            <v>#Calc</v>
          </cell>
          <cell r="C550" t="e">
            <v>#DIV/0!</v>
          </cell>
          <cell r="D550" t="e">
            <v>#DIV/0!</v>
          </cell>
          <cell r="E550" t="e">
            <v>#DIV/0!</v>
          </cell>
        </row>
        <row r="551">
          <cell r="A551">
            <v>39995</v>
          </cell>
          <cell r="B551" t="str">
            <v>#Calc</v>
          </cell>
          <cell r="C551" t="e">
            <v>#DIV/0!</v>
          </cell>
          <cell r="D551" t="e">
            <v>#DIV/0!</v>
          </cell>
          <cell r="E551" t="e">
            <v>#DIV/0!</v>
          </cell>
        </row>
        <row r="552">
          <cell r="A552">
            <v>39996</v>
          </cell>
          <cell r="B552" t="str">
            <v>#Calc</v>
          </cell>
          <cell r="C552" t="e">
            <v>#DIV/0!</v>
          </cell>
          <cell r="D552" t="e">
            <v>#DIV/0!</v>
          </cell>
          <cell r="E552" t="e">
            <v>#DIV/0!</v>
          </cell>
        </row>
        <row r="553">
          <cell r="A553">
            <v>39997</v>
          </cell>
          <cell r="B553" t="str">
            <v>#Calc</v>
          </cell>
          <cell r="C553" t="e">
            <v>#DIV/0!</v>
          </cell>
          <cell r="D553" t="e">
            <v>#DIV/0!</v>
          </cell>
          <cell r="E553" t="e">
            <v>#DIV/0!</v>
          </cell>
        </row>
        <row r="554">
          <cell r="A554">
            <v>39998</v>
          </cell>
          <cell r="B554" t="str">
            <v>#Calc</v>
          </cell>
          <cell r="C554" t="e">
            <v>#DIV/0!</v>
          </cell>
          <cell r="D554" t="e">
            <v>#DIV/0!</v>
          </cell>
          <cell r="E554" t="e">
            <v>#DIV/0!</v>
          </cell>
        </row>
        <row r="555">
          <cell r="A555">
            <v>39999</v>
          </cell>
          <cell r="B555" t="str">
            <v>#Calc</v>
          </cell>
          <cell r="C555" t="e">
            <v>#DIV/0!</v>
          </cell>
          <cell r="D555" t="e">
            <v>#DIV/0!</v>
          </cell>
          <cell r="E555" t="e">
            <v>#DIV/0!</v>
          </cell>
        </row>
        <row r="556">
          <cell r="A556">
            <v>40000</v>
          </cell>
          <cell r="B556" t="str">
            <v>#Calc</v>
          </cell>
          <cell r="C556" t="e">
            <v>#DIV/0!</v>
          </cell>
          <cell r="D556" t="e">
            <v>#DIV/0!</v>
          </cell>
          <cell r="E556" t="e">
            <v>#DIV/0!</v>
          </cell>
        </row>
        <row r="557">
          <cell r="A557">
            <v>40001</v>
          </cell>
          <cell r="B557" t="str">
            <v>#Calc</v>
          </cell>
          <cell r="C557" t="e">
            <v>#DIV/0!</v>
          </cell>
          <cell r="D557" t="e">
            <v>#DIV/0!</v>
          </cell>
          <cell r="E557" t="e">
            <v>#DIV/0!</v>
          </cell>
        </row>
        <row r="558">
          <cell r="A558">
            <v>40002</v>
          </cell>
          <cell r="B558" t="str">
            <v>#Calc</v>
          </cell>
          <cell r="C558" t="e">
            <v>#DIV/0!</v>
          </cell>
          <cell r="D558" t="e">
            <v>#DIV/0!</v>
          </cell>
          <cell r="E558" t="e">
            <v>#DIV/0!</v>
          </cell>
        </row>
        <row r="559">
          <cell r="A559">
            <v>40003</v>
          </cell>
          <cell r="B559" t="str">
            <v>#Calc</v>
          </cell>
          <cell r="C559" t="e">
            <v>#DIV/0!</v>
          </cell>
          <cell r="D559" t="e">
            <v>#DIV/0!</v>
          </cell>
          <cell r="E559" t="e">
            <v>#DIV/0!</v>
          </cell>
        </row>
        <row r="560">
          <cell r="A560">
            <v>40004</v>
          </cell>
          <cell r="B560" t="str">
            <v>#Calc</v>
          </cell>
          <cell r="C560" t="e">
            <v>#DIV/0!</v>
          </cell>
          <cell r="D560" t="e">
            <v>#DIV/0!</v>
          </cell>
          <cell r="E560" t="e">
            <v>#DIV/0!</v>
          </cell>
        </row>
        <row r="561">
          <cell r="A561">
            <v>40005</v>
          </cell>
          <cell r="B561" t="str">
            <v>#Calc</v>
          </cell>
          <cell r="C561" t="e">
            <v>#DIV/0!</v>
          </cell>
          <cell r="D561" t="e">
            <v>#DIV/0!</v>
          </cell>
          <cell r="E561" t="e">
            <v>#DIV/0!</v>
          </cell>
        </row>
        <row r="562">
          <cell r="A562">
            <v>40006</v>
          </cell>
          <cell r="B562" t="str">
            <v>#Calc</v>
          </cell>
          <cell r="C562" t="e">
            <v>#DIV/0!</v>
          </cell>
          <cell r="D562" t="e">
            <v>#DIV/0!</v>
          </cell>
          <cell r="E562" t="e">
            <v>#DIV/0!</v>
          </cell>
        </row>
        <row r="563">
          <cell r="A563">
            <v>40007</v>
          </cell>
          <cell r="B563" t="str">
            <v>#Calc</v>
          </cell>
          <cell r="C563" t="e">
            <v>#DIV/0!</v>
          </cell>
          <cell r="D563" t="e">
            <v>#DIV/0!</v>
          </cell>
          <cell r="E563" t="e">
            <v>#DIV/0!</v>
          </cell>
        </row>
        <row r="564">
          <cell r="A564">
            <v>40008</v>
          </cell>
          <cell r="B564" t="str">
            <v>#Calc</v>
          </cell>
          <cell r="C564" t="e">
            <v>#DIV/0!</v>
          </cell>
          <cell r="D564" t="e">
            <v>#DIV/0!</v>
          </cell>
          <cell r="E564" t="e">
            <v>#DIV/0!</v>
          </cell>
        </row>
        <row r="565">
          <cell r="A565">
            <v>40009</v>
          </cell>
          <cell r="B565" t="str">
            <v>#Calc</v>
          </cell>
          <cell r="C565" t="e">
            <v>#DIV/0!</v>
          </cell>
          <cell r="D565" t="e">
            <v>#DIV/0!</v>
          </cell>
          <cell r="E565" t="e">
            <v>#DIV/0!</v>
          </cell>
        </row>
        <row r="566">
          <cell r="A566">
            <v>40010</v>
          </cell>
          <cell r="B566" t="str">
            <v>#Calc</v>
          </cell>
          <cell r="C566" t="e">
            <v>#DIV/0!</v>
          </cell>
          <cell r="D566" t="e">
            <v>#DIV/0!</v>
          </cell>
          <cell r="E566" t="e">
            <v>#DIV/0!</v>
          </cell>
        </row>
        <row r="567">
          <cell r="A567">
            <v>40011</v>
          </cell>
          <cell r="B567" t="str">
            <v>#Calc</v>
          </cell>
          <cell r="C567" t="e">
            <v>#DIV/0!</v>
          </cell>
          <cell r="D567" t="e">
            <v>#DIV/0!</v>
          </cell>
          <cell r="E567" t="e">
            <v>#DIV/0!</v>
          </cell>
        </row>
        <row r="568">
          <cell r="A568">
            <v>40012</v>
          </cell>
          <cell r="B568" t="str">
            <v>#Calc</v>
          </cell>
          <cell r="C568" t="e">
            <v>#DIV/0!</v>
          </cell>
          <cell r="D568" t="e">
            <v>#DIV/0!</v>
          </cell>
          <cell r="E568" t="e">
            <v>#DIV/0!</v>
          </cell>
        </row>
        <row r="569">
          <cell r="A569">
            <v>40013</v>
          </cell>
          <cell r="B569" t="str">
            <v>#Calc</v>
          </cell>
          <cell r="C569" t="e">
            <v>#DIV/0!</v>
          </cell>
          <cell r="D569" t="e">
            <v>#DIV/0!</v>
          </cell>
          <cell r="E569" t="e">
            <v>#DIV/0!</v>
          </cell>
        </row>
        <row r="570">
          <cell r="A570">
            <v>40014</v>
          </cell>
          <cell r="B570" t="str">
            <v>#Calc</v>
          </cell>
          <cell r="C570" t="e">
            <v>#DIV/0!</v>
          </cell>
          <cell r="D570" t="e">
            <v>#DIV/0!</v>
          </cell>
          <cell r="E570" t="e">
            <v>#DIV/0!</v>
          </cell>
        </row>
        <row r="571">
          <cell r="A571">
            <v>40015</v>
          </cell>
          <cell r="B571" t="str">
            <v>#Calc</v>
          </cell>
          <cell r="C571" t="e">
            <v>#DIV/0!</v>
          </cell>
          <cell r="D571" t="e">
            <v>#DIV/0!</v>
          </cell>
          <cell r="E571" t="e">
            <v>#DIV/0!</v>
          </cell>
        </row>
        <row r="572">
          <cell r="A572">
            <v>40016</v>
          </cell>
          <cell r="B572" t="str">
            <v>#Calc</v>
          </cell>
          <cell r="C572" t="e">
            <v>#DIV/0!</v>
          </cell>
          <cell r="D572" t="e">
            <v>#DIV/0!</v>
          </cell>
          <cell r="E572" t="e">
            <v>#DIV/0!</v>
          </cell>
        </row>
        <row r="573">
          <cell r="A573">
            <v>40017</v>
          </cell>
          <cell r="B573" t="str">
            <v>#Calc</v>
          </cell>
          <cell r="C573" t="e">
            <v>#DIV/0!</v>
          </cell>
          <cell r="D573" t="e">
            <v>#DIV/0!</v>
          </cell>
          <cell r="E573" t="e">
            <v>#DIV/0!</v>
          </cell>
        </row>
        <row r="574">
          <cell r="A574">
            <v>40018</v>
          </cell>
          <cell r="B574" t="str">
            <v>#Calc</v>
          </cell>
          <cell r="C574" t="e">
            <v>#DIV/0!</v>
          </cell>
          <cell r="D574" t="e">
            <v>#DIV/0!</v>
          </cell>
          <cell r="E574" t="e">
            <v>#DIV/0!</v>
          </cell>
        </row>
        <row r="575">
          <cell r="A575">
            <v>40019</v>
          </cell>
          <cell r="B575" t="str">
            <v>#Calc</v>
          </cell>
          <cell r="C575" t="e">
            <v>#DIV/0!</v>
          </cell>
          <cell r="D575" t="e">
            <v>#DIV/0!</v>
          </cell>
          <cell r="E575" t="e">
            <v>#DIV/0!</v>
          </cell>
        </row>
        <row r="576">
          <cell r="A576">
            <v>40020</v>
          </cell>
          <cell r="B576" t="str">
            <v>#Calc</v>
          </cell>
          <cell r="C576" t="e">
            <v>#DIV/0!</v>
          </cell>
          <cell r="D576" t="e">
            <v>#DIV/0!</v>
          </cell>
          <cell r="E576" t="e">
            <v>#DIV/0!</v>
          </cell>
        </row>
        <row r="577">
          <cell r="A577">
            <v>40021</v>
          </cell>
          <cell r="B577" t="str">
            <v>#Calc</v>
          </cell>
          <cell r="C577" t="e">
            <v>#DIV/0!</v>
          </cell>
          <cell r="D577" t="e">
            <v>#DIV/0!</v>
          </cell>
          <cell r="E577" t="e">
            <v>#DIV/0!</v>
          </cell>
        </row>
        <row r="578">
          <cell r="A578">
            <v>40022</v>
          </cell>
          <cell r="B578" t="str">
            <v>#Calc</v>
          </cell>
          <cell r="C578" t="e">
            <v>#DIV/0!</v>
          </cell>
          <cell r="D578" t="e">
            <v>#DIV/0!</v>
          </cell>
          <cell r="E578" t="e">
            <v>#DIV/0!</v>
          </cell>
        </row>
        <row r="579">
          <cell r="A579">
            <v>40023</v>
          </cell>
          <cell r="B579" t="str">
            <v>#Calc</v>
          </cell>
          <cell r="C579" t="e">
            <v>#DIV/0!</v>
          </cell>
          <cell r="D579" t="e">
            <v>#DIV/0!</v>
          </cell>
          <cell r="E579" t="e">
            <v>#DIV/0!</v>
          </cell>
        </row>
        <row r="580">
          <cell r="A580">
            <v>40024</v>
          </cell>
          <cell r="B580" t="str">
            <v>#Calc</v>
          </cell>
          <cell r="C580" t="e">
            <v>#DIV/0!</v>
          </cell>
          <cell r="D580" t="e">
            <v>#DIV/0!</v>
          </cell>
          <cell r="E580" t="e">
            <v>#DIV/0!</v>
          </cell>
        </row>
        <row r="581">
          <cell r="A581">
            <v>40025</v>
          </cell>
          <cell r="B581" t="str">
            <v>#Calc</v>
          </cell>
          <cell r="C581" t="e">
            <v>#DIV/0!</v>
          </cell>
          <cell r="D581" t="e">
            <v>#DIV/0!</v>
          </cell>
          <cell r="E581" t="e">
            <v>#DIV/0!</v>
          </cell>
        </row>
        <row r="582">
          <cell r="A582">
            <v>40026</v>
          </cell>
          <cell r="B582" t="str">
            <v>#Calc</v>
          </cell>
          <cell r="C582" t="e">
            <v>#DIV/0!</v>
          </cell>
          <cell r="D582" t="e">
            <v>#DIV/0!</v>
          </cell>
          <cell r="E582" t="e">
            <v>#DIV/0!</v>
          </cell>
        </row>
        <row r="583">
          <cell r="A583">
            <v>40027</v>
          </cell>
          <cell r="B583" t="str">
            <v>#Calc</v>
          </cell>
          <cell r="C583" t="e">
            <v>#DIV/0!</v>
          </cell>
          <cell r="D583" t="e">
            <v>#DIV/0!</v>
          </cell>
          <cell r="E583" t="e">
            <v>#DIV/0!</v>
          </cell>
        </row>
        <row r="584">
          <cell r="A584">
            <v>40028</v>
          </cell>
          <cell r="B584" t="str">
            <v>#Calc</v>
          </cell>
          <cell r="C584" t="e">
            <v>#DIV/0!</v>
          </cell>
          <cell r="D584" t="e">
            <v>#DIV/0!</v>
          </cell>
          <cell r="E584" t="e">
            <v>#DIV/0!</v>
          </cell>
        </row>
        <row r="585">
          <cell r="A585">
            <v>40029</v>
          </cell>
          <cell r="B585" t="str">
            <v>#Calc</v>
          </cell>
          <cell r="C585" t="e">
            <v>#DIV/0!</v>
          </cell>
          <cell r="D585" t="e">
            <v>#DIV/0!</v>
          </cell>
          <cell r="E585" t="e">
            <v>#DIV/0!</v>
          </cell>
        </row>
        <row r="586">
          <cell r="A586">
            <v>40030</v>
          </cell>
          <cell r="B586" t="str">
            <v>#Calc</v>
          </cell>
          <cell r="C586" t="e">
            <v>#DIV/0!</v>
          </cell>
          <cell r="D586" t="e">
            <v>#DIV/0!</v>
          </cell>
          <cell r="E586" t="e">
            <v>#DIV/0!</v>
          </cell>
        </row>
        <row r="587">
          <cell r="A587">
            <v>40031</v>
          </cell>
          <cell r="B587" t="str">
            <v>#Calc</v>
          </cell>
          <cell r="C587" t="e">
            <v>#DIV/0!</v>
          </cell>
          <cell r="D587" t="e">
            <v>#DIV/0!</v>
          </cell>
          <cell r="E587" t="e">
            <v>#DIV/0!</v>
          </cell>
        </row>
        <row r="588">
          <cell r="A588">
            <v>40032</v>
          </cell>
          <cell r="B588" t="str">
            <v>#Calc</v>
          </cell>
          <cell r="C588" t="e">
            <v>#DIV/0!</v>
          </cell>
          <cell r="D588" t="e">
            <v>#DIV/0!</v>
          </cell>
          <cell r="E588" t="e">
            <v>#DIV/0!</v>
          </cell>
        </row>
        <row r="589">
          <cell r="A589">
            <v>40033</v>
          </cell>
          <cell r="B589" t="str">
            <v>#Calc</v>
          </cell>
          <cell r="C589" t="e">
            <v>#DIV/0!</v>
          </cell>
          <cell r="D589" t="e">
            <v>#DIV/0!</v>
          </cell>
          <cell r="E589" t="e">
            <v>#DIV/0!</v>
          </cell>
        </row>
        <row r="590">
          <cell r="A590">
            <v>40034</v>
          </cell>
          <cell r="B590" t="str">
            <v>#Calc</v>
          </cell>
          <cell r="C590" t="e">
            <v>#DIV/0!</v>
          </cell>
          <cell r="D590" t="e">
            <v>#DIV/0!</v>
          </cell>
          <cell r="E590" t="e">
            <v>#DIV/0!</v>
          </cell>
        </row>
        <row r="591">
          <cell r="A591">
            <v>40035</v>
          </cell>
          <cell r="B591" t="str">
            <v>#Calc</v>
          </cell>
          <cell r="C591" t="e">
            <v>#DIV/0!</v>
          </cell>
          <cell r="D591" t="e">
            <v>#DIV/0!</v>
          </cell>
          <cell r="E591" t="e">
            <v>#DIV/0!</v>
          </cell>
        </row>
        <row r="592">
          <cell r="A592">
            <v>40036</v>
          </cell>
          <cell r="B592" t="str">
            <v>#Calc</v>
          </cell>
          <cell r="C592" t="e">
            <v>#DIV/0!</v>
          </cell>
          <cell r="D592" t="e">
            <v>#DIV/0!</v>
          </cell>
          <cell r="E592" t="e">
            <v>#DIV/0!</v>
          </cell>
        </row>
        <row r="593">
          <cell r="A593">
            <v>40037</v>
          </cell>
          <cell r="B593" t="str">
            <v>#Calc</v>
          </cell>
          <cell r="C593" t="e">
            <v>#DIV/0!</v>
          </cell>
          <cell r="D593" t="e">
            <v>#DIV/0!</v>
          </cell>
          <cell r="E593" t="e">
            <v>#DIV/0!</v>
          </cell>
        </row>
        <row r="594">
          <cell r="A594">
            <v>40038</v>
          </cell>
          <cell r="B594" t="str">
            <v>#Calc</v>
          </cell>
          <cell r="C594" t="e">
            <v>#DIV/0!</v>
          </cell>
          <cell r="D594" t="e">
            <v>#DIV/0!</v>
          </cell>
          <cell r="E594" t="e">
            <v>#DIV/0!</v>
          </cell>
        </row>
        <row r="595">
          <cell r="A595">
            <v>40039</v>
          </cell>
          <cell r="B595" t="str">
            <v>#Calc</v>
          </cell>
          <cell r="C595" t="e">
            <v>#DIV/0!</v>
          </cell>
          <cell r="D595" t="e">
            <v>#DIV/0!</v>
          </cell>
          <cell r="E595" t="e">
            <v>#DIV/0!</v>
          </cell>
        </row>
        <row r="596">
          <cell r="A596">
            <v>40040</v>
          </cell>
          <cell r="B596" t="str">
            <v>#Calc</v>
          </cell>
          <cell r="C596" t="e">
            <v>#DIV/0!</v>
          </cell>
          <cell r="D596" t="e">
            <v>#DIV/0!</v>
          </cell>
          <cell r="E596" t="e">
            <v>#DIV/0!</v>
          </cell>
        </row>
        <row r="597">
          <cell r="A597">
            <v>40041</v>
          </cell>
          <cell r="B597" t="str">
            <v>#Calc</v>
          </cell>
          <cell r="C597" t="e">
            <v>#DIV/0!</v>
          </cell>
          <cell r="D597" t="e">
            <v>#DIV/0!</v>
          </cell>
          <cell r="E597" t="e">
            <v>#DIV/0!</v>
          </cell>
        </row>
        <row r="598">
          <cell r="A598">
            <v>40042</v>
          </cell>
          <cell r="B598" t="str">
            <v>#Calc</v>
          </cell>
          <cell r="C598" t="e">
            <v>#DIV/0!</v>
          </cell>
          <cell r="D598" t="e">
            <v>#DIV/0!</v>
          </cell>
          <cell r="E598" t="e">
            <v>#DIV/0!</v>
          </cell>
        </row>
        <row r="599">
          <cell r="A599">
            <v>40043</v>
          </cell>
          <cell r="B599" t="str">
            <v>#Calc</v>
          </cell>
          <cell r="C599" t="e">
            <v>#DIV/0!</v>
          </cell>
          <cell r="D599" t="e">
            <v>#DIV/0!</v>
          </cell>
          <cell r="E599" t="e">
            <v>#DIV/0!</v>
          </cell>
        </row>
        <row r="600">
          <cell r="A600">
            <v>40044</v>
          </cell>
          <cell r="B600" t="str">
            <v>#Calc</v>
          </cell>
          <cell r="C600" t="e">
            <v>#DIV/0!</v>
          </cell>
          <cell r="D600" t="e">
            <v>#DIV/0!</v>
          </cell>
          <cell r="E600" t="e">
            <v>#DIV/0!</v>
          </cell>
        </row>
        <row r="601">
          <cell r="A601">
            <v>40045</v>
          </cell>
          <cell r="B601" t="str">
            <v>#Calc</v>
          </cell>
          <cell r="C601" t="e">
            <v>#DIV/0!</v>
          </cell>
          <cell r="D601" t="e">
            <v>#DIV/0!</v>
          </cell>
          <cell r="E601" t="e">
            <v>#DIV/0!</v>
          </cell>
        </row>
        <row r="602">
          <cell r="A602">
            <v>40046</v>
          </cell>
          <cell r="B602" t="str">
            <v>#Calc</v>
          </cell>
          <cell r="C602" t="e">
            <v>#DIV/0!</v>
          </cell>
          <cell r="D602" t="e">
            <v>#DIV/0!</v>
          </cell>
          <cell r="E602" t="e">
            <v>#DIV/0!</v>
          </cell>
        </row>
        <row r="603">
          <cell r="A603">
            <v>40047</v>
          </cell>
          <cell r="B603" t="str">
            <v>#Calc</v>
          </cell>
          <cell r="C603" t="e">
            <v>#DIV/0!</v>
          </cell>
          <cell r="D603" t="e">
            <v>#DIV/0!</v>
          </cell>
          <cell r="E603" t="e">
            <v>#DIV/0!</v>
          </cell>
        </row>
        <row r="604">
          <cell r="A604">
            <v>40048</v>
          </cell>
          <cell r="B604" t="str">
            <v>#Calc</v>
          </cell>
          <cell r="C604" t="e">
            <v>#DIV/0!</v>
          </cell>
          <cell r="D604" t="e">
            <v>#DIV/0!</v>
          </cell>
          <cell r="E604" t="e">
            <v>#DIV/0!</v>
          </cell>
        </row>
        <row r="605">
          <cell r="A605">
            <v>40049</v>
          </cell>
          <cell r="B605" t="str">
            <v>#Calc</v>
          </cell>
          <cell r="C605" t="e">
            <v>#DIV/0!</v>
          </cell>
          <cell r="D605" t="e">
            <v>#DIV/0!</v>
          </cell>
          <cell r="E605" t="e">
            <v>#DIV/0!</v>
          </cell>
        </row>
        <row r="606">
          <cell r="A606">
            <v>40050</v>
          </cell>
          <cell r="B606" t="str">
            <v>#Calc</v>
          </cell>
          <cell r="C606" t="e">
            <v>#DIV/0!</v>
          </cell>
          <cell r="D606" t="e">
            <v>#DIV/0!</v>
          </cell>
          <cell r="E606" t="e">
            <v>#DIV/0!</v>
          </cell>
        </row>
        <row r="607">
          <cell r="A607">
            <v>40051</v>
          </cell>
          <cell r="B607" t="str">
            <v>#Calc</v>
          </cell>
          <cell r="C607" t="e">
            <v>#DIV/0!</v>
          </cell>
          <cell r="D607" t="e">
            <v>#DIV/0!</v>
          </cell>
          <cell r="E607" t="e">
            <v>#DIV/0!</v>
          </cell>
        </row>
        <row r="608">
          <cell r="A608">
            <v>40052</v>
          </cell>
          <cell r="B608" t="str">
            <v>#Calc</v>
          </cell>
          <cell r="C608" t="e">
            <v>#DIV/0!</v>
          </cell>
          <cell r="D608" t="e">
            <v>#DIV/0!</v>
          </cell>
          <cell r="E608" t="e">
            <v>#DIV/0!</v>
          </cell>
        </row>
        <row r="609">
          <cell r="A609">
            <v>40053</v>
          </cell>
          <cell r="B609" t="str">
            <v>#Calc</v>
          </cell>
          <cell r="C609" t="e">
            <v>#DIV/0!</v>
          </cell>
          <cell r="D609" t="e">
            <v>#DIV/0!</v>
          </cell>
          <cell r="E609" t="e">
            <v>#DIV/0!</v>
          </cell>
        </row>
        <row r="610">
          <cell r="A610">
            <v>40054</v>
          </cell>
          <cell r="B610" t="str">
            <v>#Calc</v>
          </cell>
          <cell r="C610" t="e">
            <v>#DIV/0!</v>
          </cell>
          <cell r="D610" t="e">
            <v>#DIV/0!</v>
          </cell>
          <cell r="E610" t="e">
            <v>#DIV/0!</v>
          </cell>
        </row>
        <row r="611">
          <cell r="A611">
            <v>40055</v>
          </cell>
          <cell r="B611" t="str">
            <v>#Calc</v>
          </cell>
          <cell r="C611" t="e">
            <v>#DIV/0!</v>
          </cell>
          <cell r="D611" t="e">
            <v>#DIV/0!</v>
          </cell>
          <cell r="E611" t="e">
            <v>#DIV/0!</v>
          </cell>
        </row>
        <row r="612">
          <cell r="A612">
            <v>40056</v>
          </cell>
          <cell r="B612" t="str">
            <v>#Calc</v>
          </cell>
          <cell r="C612" t="e">
            <v>#DIV/0!</v>
          </cell>
          <cell r="D612" t="e">
            <v>#DIV/0!</v>
          </cell>
          <cell r="E612" t="e">
            <v>#DIV/0!</v>
          </cell>
        </row>
        <row r="613">
          <cell r="A613">
            <v>40057</v>
          </cell>
          <cell r="B613" t="str">
            <v>#Calc</v>
          </cell>
          <cell r="C613" t="e">
            <v>#DIV/0!</v>
          </cell>
          <cell r="D613" t="e">
            <v>#DIV/0!</v>
          </cell>
          <cell r="E613" t="e">
            <v>#DIV/0!</v>
          </cell>
        </row>
        <row r="614">
          <cell r="A614">
            <v>40058</v>
          </cell>
          <cell r="B614" t="str">
            <v>#Calc</v>
          </cell>
          <cell r="C614" t="e">
            <v>#DIV/0!</v>
          </cell>
          <cell r="D614" t="e">
            <v>#DIV/0!</v>
          </cell>
          <cell r="E614" t="e">
            <v>#DIV/0!</v>
          </cell>
        </row>
        <row r="615">
          <cell r="A615">
            <v>40059</v>
          </cell>
          <cell r="B615" t="str">
            <v>#Calc</v>
          </cell>
          <cell r="C615" t="e">
            <v>#DIV/0!</v>
          </cell>
          <cell r="D615" t="e">
            <v>#DIV/0!</v>
          </cell>
          <cell r="E615" t="e">
            <v>#DIV/0!</v>
          </cell>
        </row>
        <row r="616">
          <cell r="A616">
            <v>40060</v>
          </cell>
          <cell r="B616" t="str">
            <v>#Calc</v>
          </cell>
          <cell r="C616" t="e">
            <v>#DIV/0!</v>
          </cell>
          <cell r="D616" t="e">
            <v>#DIV/0!</v>
          </cell>
          <cell r="E616" t="e">
            <v>#DIV/0!</v>
          </cell>
        </row>
        <row r="617">
          <cell r="A617">
            <v>40061</v>
          </cell>
          <cell r="B617" t="str">
            <v>#Calc</v>
          </cell>
          <cell r="C617" t="e">
            <v>#DIV/0!</v>
          </cell>
          <cell r="D617" t="e">
            <v>#DIV/0!</v>
          </cell>
          <cell r="E617" t="e">
            <v>#DIV/0!</v>
          </cell>
        </row>
        <row r="618">
          <cell r="A618">
            <v>40062</v>
          </cell>
          <cell r="B618" t="str">
            <v>#Calc</v>
          </cell>
          <cell r="C618" t="e">
            <v>#DIV/0!</v>
          </cell>
          <cell r="D618" t="e">
            <v>#DIV/0!</v>
          </cell>
          <cell r="E618" t="e">
            <v>#DIV/0!</v>
          </cell>
        </row>
        <row r="619">
          <cell r="A619">
            <v>40063</v>
          </cell>
          <cell r="B619" t="str">
            <v>#Calc</v>
          </cell>
          <cell r="C619" t="e">
            <v>#DIV/0!</v>
          </cell>
          <cell r="D619" t="e">
            <v>#DIV/0!</v>
          </cell>
          <cell r="E619" t="e">
            <v>#DIV/0!</v>
          </cell>
        </row>
        <row r="620">
          <cell r="A620">
            <v>40064</v>
          </cell>
          <cell r="B620" t="str">
            <v>#Calc</v>
          </cell>
          <cell r="C620" t="e">
            <v>#DIV/0!</v>
          </cell>
          <cell r="D620" t="e">
            <v>#DIV/0!</v>
          </cell>
          <cell r="E620" t="e">
            <v>#DIV/0!</v>
          </cell>
        </row>
        <row r="621">
          <cell r="A621">
            <v>40065</v>
          </cell>
          <cell r="B621" t="str">
            <v>#Calc</v>
          </cell>
          <cell r="C621" t="e">
            <v>#DIV/0!</v>
          </cell>
          <cell r="D621" t="e">
            <v>#DIV/0!</v>
          </cell>
          <cell r="E621" t="e">
            <v>#DIV/0!</v>
          </cell>
        </row>
        <row r="622">
          <cell r="A622">
            <v>40066</v>
          </cell>
          <cell r="B622" t="str">
            <v>#Calc</v>
          </cell>
          <cell r="C622" t="e">
            <v>#DIV/0!</v>
          </cell>
          <cell r="D622" t="e">
            <v>#DIV/0!</v>
          </cell>
          <cell r="E622" t="e">
            <v>#DIV/0!</v>
          </cell>
        </row>
        <row r="623">
          <cell r="A623">
            <v>40067</v>
          </cell>
          <cell r="B623" t="str">
            <v>#Calc</v>
          </cell>
          <cell r="C623" t="e">
            <v>#DIV/0!</v>
          </cell>
          <cell r="D623" t="e">
            <v>#DIV/0!</v>
          </cell>
          <cell r="E623" t="e">
            <v>#DIV/0!</v>
          </cell>
        </row>
        <row r="624">
          <cell r="A624">
            <v>40068</v>
          </cell>
          <cell r="B624" t="str">
            <v>#Calc</v>
          </cell>
          <cell r="C624" t="e">
            <v>#DIV/0!</v>
          </cell>
          <cell r="D624" t="e">
            <v>#DIV/0!</v>
          </cell>
          <cell r="E624" t="e">
            <v>#DIV/0!</v>
          </cell>
        </row>
        <row r="625">
          <cell r="A625">
            <v>40069</v>
          </cell>
          <cell r="B625" t="str">
            <v>#Calc</v>
          </cell>
          <cell r="C625" t="e">
            <v>#DIV/0!</v>
          </cell>
          <cell r="D625" t="e">
            <v>#DIV/0!</v>
          </cell>
          <cell r="E625" t="e">
            <v>#DIV/0!</v>
          </cell>
        </row>
        <row r="626">
          <cell r="A626">
            <v>40070</v>
          </cell>
          <cell r="B626" t="str">
            <v>#Calc</v>
          </cell>
          <cell r="C626" t="e">
            <v>#DIV/0!</v>
          </cell>
          <cell r="D626" t="e">
            <v>#DIV/0!</v>
          </cell>
          <cell r="E626" t="e">
            <v>#DIV/0!</v>
          </cell>
        </row>
        <row r="627">
          <cell r="A627">
            <v>40071</v>
          </cell>
          <cell r="B627" t="str">
            <v>#Calc</v>
          </cell>
          <cell r="C627" t="e">
            <v>#DIV/0!</v>
          </cell>
          <cell r="D627" t="e">
            <v>#DIV/0!</v>
          </cell>
          <cell r="E627" t="e">
            <v>#DIV/0!</v>
          </cell>
        </row>
        <row r="628">
          <cell r="A628">
            <v>40072</v>
          </cell>
          <cell r="B628" t="str">
            <v>#Calc</v>
          </cell>
          <cell r="C628" t="e">
            <v>#DIV/0!</v>
          </cell>
          <cell r="D628" t="e">
            <v>#DIV/0!</v>
          </cell>
          <cell r="E628" t="e">
            <v>#DIV/0!</v>
          </cell>
        </row>
        <row r="629">
          <cell r="A629">
            <v>40073</v>
          </cell>
          <cell r="B629" t="str">
            <v>#Calc</v>
          </cell>
          <cell r="C629" t="e">
            <v>#DIV/0!</v>
          </cell>
          <cell r="D629" t="e">
            <v>#DIV/0!</v>
          </cell>
          <cell r="E629" t="e">
            <v>#DIV/0!</v>
          </cell>
        </row>
        <row r="630">
          <cell r="A630">
            <v>40074</v>
          </cell>
          <cell r="B630" t="str">
            <v>#Calc</v>
          </cell>
          <cell r="C630" t="e">
            <v>#DIV/0!</v>
          </cell>
          <cell r="D630" t="e">
            <v>#DIV/0!</v>
          </cell>
          <cell r="E630" t="e">
            <v>#DIV/0!</v>
          </cell>
        </row>
        <row r="631">
          <cell r="A631">
            <v>40075</v>
          </cell>
          <cell r="B631" t="str">
            <v>#Calc</v>
          </cell>
          <cell r="C631" t="e">
            <v>#DIV/0!</v>
          </cell>
          <cell r="D631" t="e">
            <v>#DIV/0!</v>
          </cell>
          <cell r="E631" t="e">
            <v>#DIV/0!</v>
          </cell>
        </row>
        <row r="632">
          <cell r="A632">
            <v>40076</v>
          </cell>
          <cell r="B632" t="str">
            <v>#Calc</v>
          </cell>
          <cell r="C632" t="e">
            <v>#DIV/0!</v>
          </cell>
          <cell r="D632" t="e">
            <v>#DIV/0!</v>
          </cell>
          <cell r="E632" t="e">
            <v>#DIV/0!</v>
          </cell>
        </row>
        <row r="633">
          <cell r="A633">
            <v>40077</v>
          </cell>
          <cell r="B633" t="str">
            <v>#Calc</v>
          </cell>
          <cell r="C633" t="e">
            <v>#DIV/0!</v>
          </cell>
          <cell r="D633" t="e">
            <v>#DIV/0!</v>
          </cell>
          <cell r="E633" t="e">
            <v>#DIV/0!</v>
          </cell>
        </row>
        <row r="634">
          <cell r="A634">
            <v>40078</v>
          </cell>
          <cell r="B634" t="str">
            <v>#Calc</v>
          </cell>
          <cell r="C634" t="e">
            <v>#DIV/0!</v>
          </cell>
          <cell r="D634" t="e">
            <v>#DIV/0!</v>
          </cell>
          <cell r="E634" t="e">
            <v>#DIV/0!</v>
          </cell>
        </row>
        <row r="635">
          <cell r="A635">
            <v>40079</v>
          </cell>
          <cell r="B635" t="str">
            <v>#Calc</v>
          </cell>
          <cell r="C635" t="e">
            <v>#DIV/0!</v>
          </cell>
          <cell r="D635" t="e">
            <v>#DIV/0!</v>
          </cell>
          <cell r="E635" t="e">
            <v>#DIV/0!</v>
          </cell>
        </row>
        <row r="636">
          <cell r="A636">
            <v>40080</v>
          </cell>
          <cell r="B636" t="str">
            <v>#Calc</v>
          </cell>
          <cell r="C636" t="e">
            <v>#DIV/0!</v>
          </cell>
          <cell r="D636" t="e">
            <v>#DIV/0!</v>
          </cell>
          <cell r="E636" t="e">
            <v>#DIV/0!</v>
          </cell>
        </row>
        <row r="637">
          <cell r="A637">
            <v>40081</v>
          </cell>
          <cell r="B637" t="str">
            <v>#Calc</v>
          </cell>
          <cell r="C637" t="e">
            <v>#DIV/0!</v>
          </cell>
          <cell r="D637" t="e">
            <v>#DIV/0!</v>
          </cell>
          <cell r="E637" t="e">
            <v>#DIV/0!</v>
          </cell>
        </row>
        <row r="638">
          <cell r="A638">
            <v>40082</v>
          </cell>
          <cell r="B638" t="str">
            <v>#Calc</v>
          </cell>
          <cell r="C638" t="e">
            <v>#DIV/0!</v>
          </cell>
          <cell r="D638" t="e">
            <v>#DIV/0!</v>
          </cell>
          <cell r="E638" t="e">
            <v>#DIV/0!</v>
          </cell>
        </row>
        <row r="639">
          <cell r="A639">
            <v>40083</v>
          </cell>
          <cell r="B639" t="str">
            <v>#Calc</v>
          </cell>
          <cell r="C639" t="e">
            <v>#DIV/0!</v>
          </cell>
          <cell r="D639" t="e">
            <v>#DIV/0!</v>
          </cell>
          <cell r="E639" t="e">
            <v>#DIV/0!</v>
          </cell>
        </row>
        <row r="640">
          <cell r="A640">
            <v>40084</v>
          </cell>
          <cell r="B640" t="str">
            <v>#Calc</v>
          </cell>
          <cell r="C640" t="e">
            <v>#DIV/0!</v>
          </cell>
          <cell r="D640" t="e">
            <v>#DIV/0!</v>
          </cell>
          <cell r="E640" t="e">
            <v>#DIV/0!</v>
          </cell>
        </row>
        <row r="641">
          <cell r="A641">
            <v>40085</v>
          </cell>
          <cell r="B641" t="str">
            <v>#Calc</v>
          </cell>
          <cell r="C641" t="e">
            <v>#DIV/0!</v>
          </cell>
          <cell r="D641" t="e">
            <v>#DIV/0!</v>
          </cell>
          <cell r="E641" t="e">
            <v>#DIV/0!</v>
          </cell>
        </row>
        <row r="642">
          <cell r="A642">
            <v>40086</v>
          </cell>
          <cell r="B642" t="str">
            <v>#Calc</v>
          </cell>
          <cell r="C642" t="e">
            <v>#DIV/0!</v>
          </cell>
          <cell r="D642" t="e">
            <v>#DIV/0!</v>
          </cell>
          <cell r="E642" t="e">
            <v>#DIV/0!</v>
          </cell>
        </row>
        <row r="643">
          <cell r="A643">
            <v>40087</v>
          </cell>
          <cell r="B643" t="str">
            <v>#Calc</v>
          </cell>
          <cell r="C643" t="e">
            <v>#DIV/0!</v>
          </cell>
          <cell r="D643" t="e">
            <v>#DIV/0!</v>
          </cell>
          <cell r="E643" t="e">
            <v>#DIV/0!</v>
          </cell>
        </row>
        <row r="644">
          <cell r="A644">
            <v>40088</v>
          </cell>
          <cell r="B644" t="str">
            <v>#Calc</v>
          </cell>
          <cell r="C644" t="e">
            <v>#DIV/0!</v>
          </cell>
          <cell r="D644" t="e">
            <v>#DIV/0!</v>
          </cell>
          <cell r="E644" t="e">
            <v>#DIV/0!</v>
          </cell>
        </row>
        <row r="645">
          <cell r="A645">
            <v>40089</v>
          </cell>
          <cell r="B645" t="str">
            <v>#Calc</v>
          </cell>
          <cell r="C645" t="e">
            <v>#DIV/0!</v>
          </cell>
          <cell r="D645" t="e">
            <v>#DIV/0!</v>
          </cell>
          <cell r="E645" t="e">
            <v>#DIV/0!</v>
          </cell>
        </row>
        <row r="646">
          <cell r="A646">
            <v>40090</v>
          </cell>
          <cell r="B646" t="str">
            <v>#Calc</v>
          </cell>
          <cell r="C646" t="e">
            <v>#DIV/0!</v>
          </cell>
          <cell r="D646" t="e">
            <v>#DIV/0!</v>
          </cell>
          <cell r="E646" t="e">
            <v>#DIV/0!</v>
          </cell>
        </row>
        <row r="647">
          <cell r="A647">
            <v>40091</v>
          </cell>
          <cell r="B647" t="str">
            <v>#Calc</v>
          </cell>
          <cell r="C647" t="e">
            <v>#DIV/0!</v>
          </cell>
          <cell r="D647" t="e">
            <v>#DIV/0!</v>
          </cell>
          <cell r="E647" t="e">
            <v>#DIV/0!</v>
          </cell>
        </row>
        <row r="648">
          <cell r="A648">
            <v>40092</v>
          </cell>
          <cell r="B648" t="str">
            <v>#Calc</v>
          </cell>
          <cell r="C648" t="e">
            <v>#DIV/0!</v>
          </cell>
          <cell r="D648" t="e">
            <v>#DIV/0!</v>
          </cell>
          <cell r="E648" t="e">
            <v>#DIV/0!</v>
          </cell>
        </row>
        <row r="649">
          <cell r="A649">
            <v>40093</v>
          </cell>
          <cell r="B649" t="str">
            <v>#Calc</v>
          </cell>
          <cell r="C649" t="e">
            <v>#DIV/0!</v>
          </cell>
          <cell r="D649" t="e">
            <v>#DIV/0!</v>
          </cell>
          <cell r="E649" t="e">
            <v>#DIV/0!</v>
          </cell>
        </row>
        <row r="650">
          <cell r="A650">
            <v>40094</v>
          </cell>
          <cell r="B650" t="str">
            <v>#Calc</v>
          </cell>
          <cell r="C650" t="e">
            <v>#DIV/0!</v>
          </cell>
          <cell r="D650" t="e">
            <v>#DIV/0!</v>
          </cell>
          <cell r="E650" t="e">
            <v>#DIV/0!</v>
          </cell>
        </row>
        <row r="651">
          <cell r="A651">
            <v>40095</v>
          </cell>
          <cell r="B651" t="str">
            <v>#Calc</v>
          </cell>
          <cell r="C651" t="e">
            <v>#DIV/0!</v>
          </cell>
          <cell r="D651" t="e">
            <v>#DIV/0!</v>
          </cell>
          <cell r="E651" t="e">
            <v>#DIV/0!</v>
          </cell>
        </row>
        <row r="652">
          <cell r="A652">
            <v>40096</v>
          </cell>
          <cell r="B652" t="str">
            <v>#Calc</v>
          </cell>
          <cell r="C652" t="e">
            <v>#DIV/0!</v>
          </cell>
          <cell r="D652" t="e">
            <v>#DIV/0!</v>
          </cell>
          <cell r="E652" t="e">
            <v>#DIV/0!</v>
          </cell>
        </row>
        <row r="653">
          <cell r="A653">
            <v>40097</v>
          </cell>
          <cell r="B653" t="str">
            <v>#Calc</v>
          </cell>
          <cell r="C653" t="e">
            <v>#DIV/0!</v>
          </cell>
          <cell r="D653" t="e">
            <v>#DIV/0!</v>
          </cell>
          <cell r="E653" t="e">
            <v>#DIV/0!</v>
          </cell>
        </row>
        <row r="654">
          <cell r="A654">
            <v>40098</v>
          </cell>
          <cell r="B654" t="str">
            <v>#Calc</v>
          </cell>
          <cell r="C654" t="e">
            <v>#DIV/0!</v>
          </cell>
          <cell r="D654" t="e">
            <v>#DIV/0!</v>
          </cell>
          <cell r="E654" t="e">
            <v>#DIV/0!</v>
          </cell>
        </row>
        <row r="655">
          <cell r="A655">
            <v>40099</v>
          </cell>
          <cell r="B655" t="str">
            <v>#Calc</v>
          </cell>
          <cell r="C655" t="e">
            <v>#DIV/0!</v>
          </cell>
          <cell r="D655" t="e">
            <v>#DIV/0!</v>
          </cell>
          <cell r="E655" t="e">
            <v>#DIV/0!</v>
          </cell>
        </row>
        <row r="656">
          <cell r="A656">
            <v>40100</v>
          </cell>
          <cell r="B656" t="str">
            <v>#Calc</v>
          </cell>
          <cell r="C656" t="e">
            <v>#DIV/0!</v>
          </cell>
          <cell r="D656" t="e">
            <v>#DIV/0!</v>
          </cell>
          <cell r="E656" t="e">
            <v>#DIV/0!</v>
          </cell>
        </row>
        <row r="657">
          <cell r="A657">
            <v>40101</v>
          </cell>
          <cell r="B657" t="str">
            <v>#Calc</v>
          </cell>
          <cell r="C657" t="e">
            <v>#DIV/0!</v>
          </cell>
          <cell r="D657" t="e">
            <v>#DIV/0!</v>
          </cell>
          <cell r="E657" t="e">
            <v>#DIV/0!</v>
          </cell>
        </row>
        <row r="658">
          <cell r="A658">
            <v>40102</v>
          </cell>
          <cell r="B658" t="str">
            <v>#Calc</v>
          </cell>
          <cell r="C658" t="e">
            <v>#DIV/0!</v>
          </cell>
          <cell r="D658" t="e">
            <v>#DIV/0!</v>
          </cell>
          <cell r="E658" t="e">
            <v>#DIV/0!</v>
          </cell>
        </row>
        <row r="659">
          <cell r="A659">
            <v>40103</v>
          </cell>
          <cell r="B659" t="str">
            <v>#Calc</v>
          </cell>
          <cell r="C659" t="e">
            <v>#DIV/0!</v>
          </cell>
          <cell r="D659" t="e">
            <v>#DIV/0!</v>
          </cell>
          <cell r="E659" t="e">
            <v>#DIV/0!</v>
          </cell>
        </row>
        <row r="660">
          <cell r="A660">
            <v>40104</v>
          </cell>
          <cell r="B660" t="str">
            <v>#Calc</v>
          </cell>
          <cell r="C660" t="e">
            <v>#DIV/0!</v>
          </cell>
          <cell r="D660" t="e">
            <v>#DIV/0!</v>
          </cell>
          <cell r="E660" t="e">
            <v>#DIV/0!</v>
          </cell>
        </row>
        <row r="661">
          <cell r="A661">
            <v>40105</v>
          </cell>
          <cell r="B661" t="str">
            <v>#Calc</v>
          </cell>
          <cell r="C661" t="e">
            <v>#DIV/0!</v>
          </cell>
          <cell r="D661" t="e">
            <v>#DIV/0!</v>
          </cell>
          <cell r="E661" t="e">
            <v>#DIV/0!</v>
          </cell>
        </row>
        <row r="662">
          <cell r="A662">
            <v>40106</v>
          </cell>
          <cell r="B662" t="str">
            <v>#Calc</v>
          </cell>
          <cell r="C662" t="e">
            <v>#DIV/0!</v>
          </cell>
          <cell r="D662" t="e">
            <v>#DIV/0!</v>
          </cell>
          <cell r="E662" t="e">
            <v>#DIV/0!</v>
          </cell>
        </row>
        <row r="663">
          <cell r="A663">
            <v>40107</v>
          </cell>
          <cell r="B663" t="str">
            <v>#Calc</v>
          </cell>
          <cell r="C663" t="e">
            <v>#DIV/0!</v>
          </cell>
          <cell r="D663" t="e">
            <v>#DIV/0!</v>
          </cell>
          <cell r="E663" t="e">
            <v>#DIV/0!</v>
          </cell>
        </row>
        <row r="664">
          <cell r="A664">
            <v>40108</v>
          </cell>
          <cell r="B664" t="str">
            <v>#Calc</v>
          </cell>
          <cell r="C664" t="e">
            <v>#DIV/0!</v>
          </cell>
          <cell r="D664" t="e">
            <v>#DIV/0!</v>
          </cell>
          <cell r="E664" t="e">
            <v>#DIV/0!</v>
          </cell>
        </row>
        <row r="665">
          <cell r="A665">
            <v>40109</v>
          </cell>
          <cell r="B665" t="str">
            <v>#Calc</v>
          </cell>
          <cell r="C665" t="e">
            <v>#DIV/0!</v>
          </cell>
          <cell r="D665" t="e">
            <v>#DIV/0!</v>
          </cell>
          <cell r="E665" t="e">
            <v>#DIV/0!</v>
          </cell>
        </row>
        <row r="666">
          <cell r="A666">
            <v>40110</v>
          </cell>
          <cell r="B666" t="str">
            <v>#Calc</v>
          </cell>
          <cell r="C666" t="e">
            <v>#DIV/0!</v>
          </cell>
          <cell r="D666" t="e">
            <v>#DIV/0!</v>
          </cell>
          <cell r="E666" t="e">
            <v>#DIV/0!</v>
          </cell>
        </row>
        <row r="667">
          <cell r="A667">
            <v>40111</v>
          </cell>
          <cell r="B667" t="str">
            <v>#Calc</v>
          </cell>
          <cell r="C667" t="e">
            <v>#DIV/0!</v>
          </cell>
          <cell r="D667" t="e">
            <v>#DIV/0!</v>
          </cell>
          <cell r="E667" t="e">
            <v>#DIV/0!</v>
          </cell>
        </row>
        <row r="668">
          <cell r="A668">
            <v>40112</v>
          </cell>
          <cell r="B668" t="str">
            <v>#Calc</v>
          </cell>
          <cell r="C668" t="e">
            <v>#DIV/0!</v>
          </cell>
          <cell r="D668" t="e">
            <v>#DIV/0!</v>
          </cell>
          <cell r="E668" t="e">
            <v>#DIV/0!</v>
          </cell>
        </row>
        <row r="669">
          <cell r="A669">
            <v>40113</v>
          </cell>
          <cell r="B669" t="str">
            <v>#Calc</v>
          </cell>
          <cell r="C669" t="e">
            <v>#DIV/0!</v>
          </cell>
          <cell r="D669" t="e">
            <v>#DIV/0!</v>
          </cell>
          <cell r="E669" t="e">
            <v>#DIV/0!</v>
          </cell>
        </row>
        <row r="670">
          <cell r="A670">
            <v>40114</v>
          </cell>
          <cell r="B670" t="str">
            <v>#Calc</v>
          </cell>
          <cell r="C670" t="e">
            <v>#DIV/0!</v>
          </cell>
          <cell r="D670" t="e">
            <v>#DIV/0!</v>
          </cell>
          <cell r="E670" t="e">
            <v>#DIV/0!</v>
          </cell>
        </row>
        <row r="671">
          <cell r="A671">
            <v>40115</v>
          </cell>
          <cell r="B671" t="str">
            <v>#Calc</v>
          </cell>
          <cell r="C671" t="e">
            <v>#DIV/0!</v>
          </cell>
          <cell r="D671" t="e">
            <v>#DIV/0!</v>
          </cell>
          <cell r="E671" t="e">
            <v>#DIV/0!</v>
          </cell>
        </row>
        <row r="672">
          <cell r="A672">
            <v>40116</v>
          </cell>
          <cell r="B672" t="str">
            <v>#Calc</v>
          </cell>
          <cell r="C672" t="e">
            <v>#DIV/0!</v>
          </cell>
          <cell r="D672" t="e">
            <v>#DIV/0!</v>
          </cell>
          <cell r="E672" t="e">
            <v>#DIV/0!</v>
          </cell>
        </row>
        <row r="673">
          <cell r="A673">
            <v>40117</v>
          </cell>
          <cell r="B673" t="str">
            <v>#Calc</v>
          </cell>
          <cell r="C673" t="e">
            <v>#DIV/0!</v>
          </cell>
          <cell r="D673" t="e">
            <v>#DIV/0!</v>
          </cell>
          <cell r="E673" t="e">
            <v>#DIV/0!</v>
          </cell>
        </row>
        <row r="674">
          <cell r="A674">
            <v>40118</v>
          </cell>
          <cell r="B674" t="str">
            <v>#Calc</v>
          </cell>
          <cell r="C674" t="e">
            <v>#DIV/0!</v>
          </cell>
          <cell r="D674" t="e">
            <v>#DIV/0!</v>
          </cell>
          <cell r="E674" t="e">
            <v>#DIV/0!</v>
          </cell>
        </row>
        <row r="675">
          <cell r="A675">
            <v>40119</v>
          </cell>
          <cell r="B675" t="str">
            <v>#Calc</v>
          </cell>
          <cell r="C675" t="e">
            <v>#DIV/0!</v>
          </cell>
          <cell r="D675" t="e">
            <v>#DIV/0!</v>
          </cell>
          <cell r="E675" t="e">
            <v>#DIV/0!</v>
          </cell>
        </row>
        <row r="676">
          <cell r="A676">
            <v>40120</v>
          </cell>
          <cell r="B676" t="str">
            <v>#Calc</v>
          </cell>
          <cell r="C676" t="e">
            <v>#DIV/0!</v>
          </cell>
          <cell r="D676" t="e">
            <v>#DIV/0!</v>
          </cell>
          <cell r="E676" t="e">
            <v>#DIV/0!</v>
          </cell>
        </row>
        <row r="677">
          <cell r="A677">
            <v>40121</v>
          </cell>
          <cell r="B677" t="str">
            <v>#Calc</v>
          </cell>
          <cell r="C677" t="e">
            <v>#DIV/0!</v>
          </cell>
          <cell r="D677" t="e">
            <v>#DIV/0!</v>
          </cell>
          <cell r="E677" t="e">
            <v>#DIV/0!</v>
          </cell>
        </row>
        <row r="678">
          <cell r="A678">
            <v>40122</v>
          </cell>
          <cell r="B678" t="str">
            <v>#Calc</v>
          </cell>
          <cell r="C678" t="e">
            <v>#DIV/0!</v>
          </cell>
          <cell r="D678" t="e">
            <v>#DIV/0!</v>
          </cell>
          <cell r="E678" t="e">
            <v>#DIV/0!</v>
          </cell>
        </row>
        <row r="679">
          <cell r="A679">
            <v>40123</v>
          </cell>
          <cell r="B679" t="str">
            <v>#Calc</v>
          </cell>
          <cell r="C679" t="e">
            <v>#DIV/0!</v>
          </cell>
          <cell r="D679" t="e">
            <v>#DIV/0!</v>
          </cell>
          <cell r="E679" t="e">
            <v>#DIV/0!</v>
          </cell>
        </row>
        <row r="680">
          <cell r="A680">
            <v>40124</v>
          </cell>
          <cell r="B680" t="str">
            <v>#Calc</v>
          </cell>
          <cell r="C680" t="e">
            <v>#DIV/0!</v>
          </cell>
          <cell r="D680" t="e">
            <v>#DIV/0!</v>
          </cell>
          <cell r="E680" t="e">
            <v>#DIV/0!</v>
          </cell>
        </row>
        <row r="681">
          <cell r="A681">
            <v>40125</v>
          </cell>
          <cell r="B681" t="str">
            <v>#Calc</v>
          </cell>
          <cell r="C681" t="e">
            <v>#DIV/0!</v>
          </cell>
          <cell r="D681" t="e">
            <v>#DIV/0!</v>
          </cell>
          <cell r="E681" t="e">
            <v>#DIV/0!</v>
          </cell>
        </row>
        <row r="682">
          <cell r="A682">
            <v>40126</v>
          </cell>
          <cell r="B682" t="str">
            <v>#Calc</v>
          </cell>
          <cell r="C682" t="e">
            <v>#DIV/0!</v>
          </cell>
          <cell r="D682" t="e">
            <v>#DIV/0!</v>
          </cell>
          <cell r="E682" t="e">
            <v>#DIV/0!</v>
          </cell>
        </row>
        <row r="683">
          <cell r="A683">
            <v>40127</v>
          </cell>
          <cell r="B683" t="str">
            <v>#Calc</v>
          </cell>
          <cell r="C683" t="e">
            <v>#DIV/0!</v>
          </cell>
          <cell r="D683" t="e">
            <v>#DIV/0!</v>
          </cell>
          <cell r="E683" t="e">
            <v>#DIV/0!</v>
          </cell>
        </row>
        <row r="684">
          <cell r="A684">
            <v>40128</v>
          </cell>
          <cell r="B684" t="str">
            <v>#Calc</v>
          </cell>
          <cell r="C684" t="e">
            <v>#DIV/0!</v>
          </cell>
          <cell r="D684" t="e">
            <v>#DIV/0!</v>
          </cell>
          <cell r="E684" t="e">
            <v>#DIV/0!</v>
          </cell>
        </row>
        <row r="685">
          <cell r="A685">
            <v>40129</v>
          </cell>
          <cell r="B685" t="str">
            <v>#Calc</v>
          </cell>
          <cell r="C685" t="e">
            <v>#DIV/0!</v>
          </cell>
          <cell r="D685" t="e">
            <v>#DIV/0!</v>
          </cell>
          <cell r="E685" t="e">
            <v>#DIV/0!</v>
          </cell>
        </row>
        <row r="686">
          <cell r="A686">
            <v>40130</v>
          </cell>
          <cell r="B686" t="str">
            <v>#Calc</v>
          </cell>
          <cell r="C686" t="e">
            <v>#DIV/0!</v>
          </cell>
          <cell r="D686" t="e">
            <v>#DIV/0!</v>
          </cell>
          <cell r="E686" t="e">
            <v>#DIV/0!</v>
          </cell>
        </row>
        <row r="687">
          <cell r="A687">
            <v>40131</v>
          </cell>
          <cell r="B687" t="str">
            <v>#Calc</v>
          </cell>
          <cell r="C687" t="e">
            <v>#DIV/0!</v>
          </cell>
          <cell r="D687" t="e">
            <v>#DIV/0!</v>
          </cell>
          <cell r="E687" t="e">
            <v>#DIV/0!</v>
          </cell>
        </row>
        <row r="688">
          <cell r="A688">
            <v>40132</v>
          </cell>
          <cell r="B688" t="str">
            <v>#Calc</v>
          </cell>
          <cell r="C688" t="e">
            <v>#DIV/0!</v>
          </cell>
          <cell r="D688" t="e">
            <v>#DIV/0!</v>
          </cell>
          <cell r="E688" t="e">
            <v>#DIV/0!</v>
          </cell>
        </row>
        <row r="689">
          <cell r="A689">
            <v>40133</v>
          </cell>
          <cell r="B689" t="str">
            <v>#Calc</v>
          </cell>
          <cell r="C689" t="e">
            <v>#DIV/0!</v>
          </cell>
          <cell r="D689" t="e">
            <v>#DIV/0!</v>
          </cell>
          <cell r="E689" t="e">
            <v>#DIV/0!</v>
          </cell>
        </row>
        <row r="690">
          <cell r="A690">
            <v>40134</v>
          </cell>
          <cell r="B690" t="str">
            <v>#Calc</v>
          </cell>
          <cell r="C690" t="e">
            <v>#DIV/0!</v>
          </cell>
          <cell r="D690" t="e">
            <v>#DIV/0!</v>
          </cell>
          <cell r="E690" t="e">
            <v>#DIV/0!</v>
          </cell>
        </row>
        <row r="691">
          <cell r="A691">
            <v>40135</v>
          </cell>
          <cell r="B691" t="str">
            <v>#Calc</v>
          </cell>
          <cell r="C691" t="e">
            <v>#DIV/0!</v>
          </cell>
          <cell r="D691" t="e">
            <v>#DIV/0!</v>
          </cell>
          <cell r="E691" t="e">
            <v>#DIV/0!</v>
          </cell>
        </row>
        <row r="692">
          <cell r="A692">
            <v>40136</v>
          </cell>
          <cell r="B692" t="str">
            <v>#Calc</v>
          </cell>
          <cell r="C692" t="e">
            <v>#DIV/0!</v>
          </cell>
          <cell r="D692" t="e">
            <v>#DIV/0!</v>
          </cell>
          <cell r="E692" t="e">
            <v>#DIV/0!</v>
          </cell>
        </row>
        <row r="693">
          <cell r="A693">
            <v>40137</v>
          </cell>
          <cell r="B693" t="str">
            <v>#Calc</v>
          </cell>
          <cell r="C693" t="e">
            <v>#DIV/0!</v>
          </cell>
          <cell r="D693" t="e">
            <v>#DIV/0!</v>
          </cell>
          <cell r="E693" t="e">
            <v>#DIV/0!</v>
          </cell>
        </row>
        <row r="694">
          <cell r="A694">
            <v>40138</v>
          </cell>
          <cell r="B694" t="str">
            <v>#Calc</v>
          </cell>
          <cell r="C694" t="e">
            <v>#DIV/0!</v>
          </cell>
          <cell r="D694" t="e">
            <v>#DIV/0!</v>
          </cell>
          <cell r="E694" t="e">
            <v>#DIV/0!</v>
          </cell>
        </row>
        <row r="695">
          <cell r="A695">
            <v>40139</v>
          </cell>
          <cell r="B695" t="str">
            <v>#Calc</v>
          </cell>
          <cell r="C695" t="e">
            <v>#DIV/0!</v>
          </cell>
          <cell r="D695" t="e">
            <v>#DIV/0!</v>
          </cell>
          <cell r="E695" t="e">
            <v>#DIV/0!</v>
          </cell>
        </row>
        <row r="696">
          <cell r="A696">
            <v>40140</v>
          </cell>
          <cell r="B696" t="str">
            <v>#Calc</v>
          </cell>
          <cell r="C696" t="e">
            <v>#DIV/0!</v>
          </cell>
          <cell r="D696" t="e">
            <v>#DIV/0!</v>
          </cell>
          <cell r="E696" t="e">
            <v>#DIV/0!</v>
          </cell>
        </row>
        <row r="697">
          <cell r="A697">
            <v>40141</v>
          </cell>
          <cell r="B697" t="str">
            <v>#Calc</v>
          </cell>
          <cell r="C697" t="e">
            <v>#DIV/0!</v>
          </cell>
          <cell r="D697" t="e">
            <v>#DIV/0!</v>
          </cell>
          <cell r="E697" t="e">
            <v>#DIV/0!</v>
          </cell>
        </row>
        <row r="698">
          <cell r="A698">
            <v>40142</v>
          </cell>
          <cell r="B698" t="str">
            <v>#Calc</v>
          </cell>
          <cell r="C698" t="e">
            <v>#DIV/0!</v>
          </cell>
          <cell r="D698" t="e">
            <v>#DIV/0!</v>
          </cell>
          <cell r="E698" t="e">
            <v>#DIV/0!</v>
          </cell>
        </row>
        <row r="699">
          <cell r="A699">
            <v>40143</v>
          </cell>
          <cell r="B699" t="str">
            <v>#Calc</v>
          </cell>
          <cell r="C699" t="e">
            <v>#DIV/0!</v>
          </cell>
          <cell r="D699" t="e">
            <v>#DIV/0!</v>
          </cell>
          <cell r="E699" t="e">
            <v>#DIV/0!</v>
          </cell>
        </row>
        <row r="700">
          <cell r="A700">
            <v>40144</v>
          </cell>
          <cell r="B700" t="str">
            <v>#Calc</v>
          </cell>
          <cell r="C700" t="e">
            <v>#DIV/0!</v>
          </cell>
          <cell r="D700" t="e">
            <v>#DIV/0!</v>
          </cell>
          <cell r="E700" t="e">
            <v>#DIV/0!</v>
          </cell>
        </row>
        <row r="701">
          <cell r="A701">
            <v>40145</v>
          </cell>
          <cell r="B701" t="str">
            <v>#Calc</v>
          </cell>
          <cell r="C701" t="e">
            <v>#DIV/0!</v>
          </cell>
          <cell r="D701" t="e">
            <v>#DIV/0!</v>
          </cell>
          <cell r="E701" t="e">
            <v>#DIV/0!</v>
          </cell>
        </row>
        <row r="702">
          <cell r="A702">
            <v>40146</v>
          </cell>
          <cell r="B702" t="str">
            <v>#Calc</v>
          </cell>
          <cell r="C702" t="e">
            <v>#DIV/0!</v>
          </cell>
          <cell r="D702" t="e">
            <v>#DIV/0!</v>
          </cell>
          <cell r="E702" t="e">
            <v>#DIV/0!</v>
          </cell>
        </row>
        <row r="703">
          <cell r="A703">
            <v>40147</v>
          </cell>
          <cell r="B703" t="str">
            <v>#Calc</v>
          </cell>
          <cell r="C703" t="e">
            <v>#DIV/0!</v>
          </cell>
          <cell r="D703" t="e">
            <v>#DIV/0!</v>
          </cell>
          <cell r="E703" t="e">
            <v>#DIV/0!</v>
          </cell>
        </row>
        <row r="704">
          <cell r="A704">
            <v>40148</v>
          </cell>
          <cell r="B704" t="str">
            <v>#Calc</v>
          </cell>
          <cell r="C704" t="e">
            <v>#DIV/0!</v>
          </cell>
          <cell r="D704" t="e">
            <v>#DIV/0!</v>
          </cell>
          <cell r="E704" t="e">
            <v>#DIV/0!</v>
          </cell>
        </row>
        <row r="705">
          <cell r="A705">
            <v>40149</v>
          </cell>
          <cell r="B705" t="str">
            <v>#Calc</v>
          </cell>
          <cell r="C705" t="e">
            <v>#DIV/0!</v>
          </cell>
          <cell r="D705" t="e">
            <v>#DIV/0!</v>
          </cell>
          <cell r="E705" t="e">
            <v>#DIV/0!</v>
          </cell>
        </row>
        <row r="706">
          <cell r="A706">
            <v>40150</v>
          </cell>
          <cell r="B706" t="str">
            <v>#Calc</v>
          </cell>
          <cell r="C706" t="e">
            <v>#DIV/0!</v>
          </cell>
          <cell r="D706" t="e">
            <v>#DIV/0!</v>
          </cell>
          <cell r="E706" t="e">
            <v>#DIV/0!</v>
          </cell>
        </row>
        <row r="707">
          <cell r="A707">
            <v>40151</v>
          </cell>
          <cell r="B707" t="str">
            <v>#Calc</v>
          </cell>
          <cell r="C707" t="e">
            <v>#DIV/0!</v>
          </cell>
          <cell r="D707" t="e">
            <v>#DIV/0!</v>
          </cell>
          <cell r="E707" t="e">
            <v>#DIV/0!</v>
          </cell>
        </row>
        <row r="708">
          <cell r="A708">
            <v>40152</v>
          </cell>
          <cell r="B708" t="str">
            <v>#Calc</v>
          </cell>
          <cell r="C708" t="e">
            <v>#DIV/0!</v>
          </cell>
          <cell r="D708" t="e">
            <v>#DIV/0!</v>
          </cell>
          <cell r="E708" t="e">
            <v>#DIV/0!</v>
          </cell>
        </row>
        <row r="709">
          <cell r="A709">
            <v>40153</v>
          </cell>
          <cell r="B709" t="str">
            <v>#Calc</v>
          </cell>
          <cell r="C709" t="e">
            <v>#DIV/0!</v>
          </cell>
          <cell r="D709" t="e">
            <v>#DIV/0!</v>
          </cell>
          <cell r="E709" t="e">
            <v>#DIV/0!</v>
          </cell>
        </row>
        <row r="710">
          <cell r="A710">
            <v>40154</v>
          </cell>
          <cell r="B710" t="str">
            <v>#Calc</v>
          </cell>
          <cell r="C710" t="e">
            <v>#DIV/0!</v>
          </cell>
          <cell r="D710" t="e">
            <v>#DIV/0!</v>
          </cell>
          <cell r="E710" t="e">
            <v>#DIV/0!</v>
          </cell>
        </row>
        <row r="711">
          <cell r="A711">
            <v>40155</v>
          </cell>
          <cell r="B711" t="str">
            <v>#Calc</v>
          </cell>
          <cell r="C711" t="e">
            <v>#DIV/0!</v>
          </cell>
          <cell r="D711" t="e">
            <v>#DIV/0!</v>
          </cell>
          <cell r="E711" t="e">
            <v>#DIV/0!</v>
          </cell>
        </row>
        <row r="712">
          <cell r="A712">
            <v>40156</v>
          </cell>
          <cell r="B712" t="str">
            <v>#Calc</v>
          </cell>
          <cell r="C712" t="e">
            <v>#DIV/0!</v>
          </cell>
          <cell r="D712" t="e">
            <v>#DIV/0!</v>
          </cell>
          <cell r="E712" t="e">
            <v>#DIV/0!</v>
          </cell>
        </row>
        <row r="713">
          <cell r="A713">
            <v>40157</v>
          </cell>
          <cell r="B713" t="str">
            <v>#Calc</v>
          </cell>
          <cell r="C713" t="e">
            <v>#DIV/0!</v>
          </cell>
          <cell r="D713" t="e">
            <v>#DIV/0!</v>
          </cell>
          <cell r="E713" t="e">
            <v>#DIV/0!</v>
          </cell>
        </row>
        <row r="714">
          <cell r="A714">
            <v>40158</v>
          </cell>
          <cell r="B714" t="str">
            <v>#Calc</v>
          </cell>
          <cell r="C714" t="e">
            <v>#DIV/0!</v>
          </cell>
          <cell r="D714" t="e">
            <v>#DIV/0!</v>
          </cell>
          <cell r="E714" t="e">
            <v>#DIV/0!</v>
          </cell>
        </row>
        <row r="715">
          <cell r="A715">
            <v>40159</v>
          </cell>
          <cell r="B715" t="str">
            <v>#Calc</v>
          </cell>
          <cell r="C715" t="e">
            <v>#DIV/0!</v>
          </cell>
          <cell r="D715" t="e">
            <v>#DIV/0!</v>
          </cell>
          <cell r="E715" t="e">
            <v>#DIV/0!</v>
          </cell>
        </row>
        <row r="716">
          <cell r="A716">
            <v>40160</v>
          </cell>
          <cell r="B716" t="str">
            <v>#Calc</v>
          </cell>
          <cell r="C716" t="e">
            <v>#DIV/0!</v>
          </cell>
          <cell r="D716" t="e">
            <v>#DIV/0!</v>
          </cell>
          <cell r="E716" t="e">
            <v>#DIV/0!</v>
          </cell>
        </row>
        <row r="717">
          <cell r="A717">
            <v>40161</v>
          </cell>
          <cell r="B717" t="str">
            <v>#Calc</v>
          </cell>
          <cell r="C717" t="e">
            <v>#DIV/0!</v>
          </cell>
          <cell r="D717" t="e">
            <v>#DIV/0!</v>
          </cell>
          <cell r="E717" t="e">
            <v>#DIV/0!</v>
          </cell>
        </row>
        <row r="718">
          <cell r="A718">
            <v>40162</v>
          </cell>
          <cell r="B718" t="str">
            <v>#Calc</v>
          </cell>
          <cell r="C718" t="e">
            <v>#DIV/0!</v>
          </cell>
          <cell r="D718" t="e">
            <v>#DIV/0!</v>
          </cell>
          <cell r="E718" t="e">
            <v>#DIV/0!</v>
          </cell>
        </row>
        <row r="719">
          <cell r="A719">
            <v>40163</v>
          </cell>
          <cell r="B719" t="str">
            <v>#Calc</v>
          </cell>
          <cell r="C719" t="e">
            <v>#DIV/0!</v>
          </cell>
          <cell r="D719" t="e">
            <v>#DIV/0!</v>
          </cell>
          <cell r="E719" t="e">
            <v>#DIV/0!</v>
          </cell>
        </row>
        <row r="720">
          <cell r="A720">
            <v>40164</v>
          </cell>
          <cell r="B720" t="str">
            <v>#Calc</v>
          </cell>
          <cell r="C720" t="e">
            <v>#DIV/0!</v>
          </cell>
          <cell r="D720" t="e">
            <v>#DIV/0!</v>
          </cell>
          <cell r="E720" t="e">
            <v>#DIV/0!</v>
          </cell>
        </row>
        <row r="721">
          <cell r="A721">
            <v>40165</v>
          </cell>
          <cell r="B721" t="str">
            <v>#Calc</v>
          </cell>
          <cell r="C721" t="e">
            <v>#DIV/0!</v>
          </cell>
          <cell r="D721" t="e">
            <v>#DIV/0!</v>
          </cell>
          <cell r="E721" t="e">
            <v>#DIV/0!</v>
          </cell>
        </row>
        <row r="722">
          <cell r="A722">
            <v>40166</v>
          </cell>
          <cell r="B722" t="str">
            <v>#Calc</v>
          </cell>
          <cell r="C722" t="e">
            <v>#DIV/0!</v>
          </cell>
          <cell r="D722" t="e">
            <v>#DIV/0!</v>
          </cell>
          <cell r="E722" t="e">
            <v>#DIV/0!</v>
          </cell>
        </row>
        <row r="723">
          <cell r="A723">
            <v>40167</v>
          </cell>
          <cell r="B723" t="str">
            <v>#Calc</v>
          </cell>
          <cell r="C723" t="e">
            <v>#DIV/0!</v>
          </cell>
          <cell r="D723" t="e">
            <v>#DIV/0!</v>
          </cell>
          <cell r="E723" t="e">
            <v>#DIV/0!</v>
          </cell>
        </row>
        <row r="724">
          <cell r="A724">
            <v>40168</v>
          </cell>
          <cell r="B724" t="str">
            <v>#Calc</v>
          </cell>
          <cell r="C724" t="e">
            <v>#DIV/0!</v>
          </cell>
          <cell r="D724" t="e">
            <v>#DIV/0!</v>
          </cell>
          <cell r="E724" t="e">
            <v>#DIV/0!</v>
          </cell>
        </row>
        <row r="725">
          <cell r="A725">
            <v>40169</v>
          </cell>
          <cell r="B725" t="str">
            <v>#Calc</v>
          </cell>
          <cell r="C725" t="e">
            <v>#DIV/0!</v>
          </cell>
          <cell r="D725" t="e">
            <v>#DIV/0!</v>
          </cell>
          <cell r="E725" t="e">
            <v>#DIV/0!</v>
          </cell>
        </row>
        <row r="726">
          <cell r="A726">
            <v>40170</v>
          </cell>
          <cell r="B726" t="str">
            <v>#Calc</v>
          </cell>
          <cell r="C726" t="e">
            <v>#DIV/0!</v>
          </cell>
          <cell r="D726" t="e">
            <v>#DIV/0!</v>
          </cell>
          <cell r="E726" t="e">
            <v>#DIV/0!</v>
          </cell>
        </row>
        <row r="727">
          <cell r="A727">
            <v>40171</v>
          </cell>
          <cell r="B727" t="str">
            <v>#Calc</v>
          </cell>
          <cell r="C727" t="e">
            <v>#DIV/0!</v>
          </cell>
          <cell r="D727" t="e">
            <v>#DIV/0!</v>
          </cell>
          <cell r="E727" t="e">
            <v>#DIV/0!</v>
          </cell>
        </row>
        <row r="728">
          <cell r="A728">
            <v>40172</v>
          </cell>
          <cell r="B728" t="str">
            <v>#Calc</v>
          </cell>
          <cell r="C728" t="e">
            <v>#DIV/0!</v>
          </cell>
          <cell r="D728" t="e">
            <v>#DIV/0!</v>
          </cell>
          <cell r="E728" t="e">
            <v>#DIV/0!</v>
          </cell>
        </row>
        <row r="729">
          <cell r="A729">
            <v>40173</v>
          </cell>
          <cell r="B729" t="str">
            <v>#Calc</v>
          </cell>
          <cell r="C729" t="e">
            <v>#DIV/0!</v>
          </cell>
          <cell r="D729" t="e">
            <v>#DIV/0!</v>
          </cell>
          <cell r="E729" t="e">
            <v>#DIV/0!</v>
          </cell>
        </row>
        <row r="730">
          <cell r="A730">
            <v>40174</v>
          </cell>
          <cell r="B730" t="str">
            <v>#Calc</v>
          </cell>
          <cell r="C730" t="e">
            <v>#DIV/0!</v>
          </cell>
          <cell r="D730" t="e">
            <v>#DIV/0!</v>
          </cell>
          <cell r="E730" t="e">
            <v>#DIV/0!</v>
          </cell>
        </row>
        <row r="731">
          <cell r="A731">
            <v>40175</v>
          </cell>
          <cell r="B731" t="str">
            <v>#Calc</v>
          </cell>
          <cell r="C731" t="e">
            <v>#DIV/0!</v>
          </cell>
          <cell r="D731" t="e">
            <v>#DIV/0!</v>
          </cell>
          <cell r="E731" t="e">
            <v>#DIV/0!</v>
          </cell>
        </row>
        <row r="732">
          <cell r="A732">
            <v>40176</v>
          </cell>
          <cell r="B732" t="str">
            <v>#Calc</v>
          </cell>
          <cell r="C732" t="e">
            <v>#DIV/0!</v>
          </cell>
          <cell r="D732" t="e">
            <v>#DIV/0!</v>
          </cell>
          <cell r="E732" t="e">
            <v>#DIV/0!</v>
          </cell>
        </row>
        <row r="733">
          <cell r="A733">
            <v>40177</v>
          </cell>
          <cell r="B733" t="str">
            <v>#Calc</v>
          </cell>
          <cell r="C733" t="e">
            <v>#DIV/0!</v>
          </cell>
          <cell r="D733" t="e">
            <v>#DIV/0!</v>
          </cell>
          <cell r="E733" t="e">
            <v>#DIV/0!</v>
          </cell>
        </row>
        <row r="734">
          <cell r="A734">
            <v>40178</v>
          </cell>
          <cell r="B734" t="str">
            <v>#Calc</v>
          </cell>
          <cell r="C734" t="e">
            <v>#DIV/0!</v>
          </cell>
          <cell r="D734" t="e">
            <v>#DIV/0!</v>
          </cell>
          <cell r="E734" t="e">
            <v>#DIV/0!</v>
          </cell>
        </row>
        <row r="735">
          <cell r="A735">
            <v>40179</v>
          </cell>
          <cell r="B735" t="str">
            <v>#Calc</v>
          </cell>
          <cell r="C735" t="e">
            <v>#DIV/0!</v>
          </cell>
          <cell r="D735" t="e">
            <v>#DIV/0!</v>
          </cell>
          <cell r="E735" t="e">
            <v>#DIV/0!</v>
          </cell>
        </row>
        <row r="736">
          <cell r="A736">
            <v>40180</v>
          </cell>
          <cell r="B736" t="str">
            <v>#Calc</v>
          </cell>
          <cell r="C736" t="e">
            <v>#DIV/0!</v>
          </cell>
          <cell r="D736" t="e">
            <v>#DIV/0!</v>
          </cell>
          <cell r="E736" t="e">
            <v>#DIV/0!</v>
          </cell>
        </row>
        <row r="737">
          <cell r="A737">
            <v>40181</v>
          </cell>
          <cell r="B737" t="str">
            <v>#Calc</v>
          </cell>
          <cell r="C737" t="e">
            <v>#DIV/0!</v>
          </cell>
          <cell r="D737" t="e">
            <v>#DIV/0!</v>
          </cell>
          <cell r="E737" t="e">
            <v>#DIV/0!</v>
          </cell>
        </row>
        <row r="738">
          <cell r="A738">
            <v>40182</v>
          </cell>
          <cell r="B738" t="str">
            <v>#Calc</v>
          </cell>
          <cell r="C738" t="e">
            <v>#DIV/0!</v>
          </cell>
          <cell r="D738" t="e">
            <v>#DIV/0!</v>
          </cell>
          <cell r="E738" t="e">
            <v>#DIV/0!</v>
          </cell>
        </row>
        <row r="739">
          <cell r="A739">
            <v>40183</v>
          </cell>
          <cell r="B739" t="str">
            <v>#Calc</v>
          </cell>
          <cell r="C739" t="e">
            <v>#DIV/0!</v>
          </cell>
          <cell r="D739" t="e">
            <v>#DIV/0!</v>
          </cell>
          <cell r="E739" t="e">
            <v>#DIV/0!</v>
          </cell>
        </row>
        <row r="740">
          <cell r="A740">
            <v>40184</v>
          </cell>
          <cell r="B740" t="str">
            <v>#Calc</v>
          </cell>
          <cell r="C740" t="e">
            <v>#DIV/0!</v>
          </cell>
          <cell r="D740" t="e">
            <v>#DIV/0!</v>
          </cell>
          <cell r="E740" t="e">
            <v>#DIV/0!</v>
          </cell>
        </row>
        <row r="741">
          <cell r="A741">
            <v>40185</v>
          </cell>
          <cell r="B741" t="str">
            <v>#Calc</v>
          </cell>
          <cell r="C741" t="e">
            <v>#DIV/0!</v>
          </cell>
          <cell r="D741" t="e">
            <v>#DIV/0!</v>
          </cell>
          <cell r="E741" t="e">
            <v>#DIV/0!</v>
          </cell>
        </row>
        <row r="742">
          <cell r="A742">
            <v>40186</v>
          </cell>
          <cell r="B742" t="str">
            <v>#Calc</v>
          </cell>
          <cell r="C742" t="e">
            <v>#DIV/0!</v>
          </cell>
          <cell r="D742" t="e">
            <v>#DIV/0!</v>
          </cell>
          <cell r="E742" t="e">
            <v>#DIV/0!</v>
          </cell>
        </row>
        <row r="743">
          <cell r="A743">
            <v>40187</v>
          </cell>
          <cell r="B743" t="str">
            <v>#Calc</v>
          </cell>
          <cell r="C743" t="e">
            <v>#DIV/0!</v>
          </cell>
          <cell r="D743" t="e">
            <v>#DIV/0!</v>
          </cell>
          <cell r="E743" t="e">
            <v>#DIV/0!</v>
          </cell>
        </row>
        <row r="744">
          <cell r="A744">
            <v>40188</v>
          </cell>
          <cell r="B744" t="str">
            <v>#Calc</v>
          </cell>
          <cell r="C744" t="e">
            <v>#DIV/0!</v>
          </cell>
          <cell r="D744" t="e">
            <v>#DIV/0!</v>
          </cell>
          <cell r="E744" t="e">
            <v>#DIV/0!</v>
          </cell>
        </row>
        <row r="745">
          <cell r="A745">
            <v>40189</v>
          </cell>
          <cell r="B745" t="str">
            <v>#Calc</v>
          </cell>
          <cell r="C745" t="e">
            <v>#DIV/0!</v>
          </cell>
          <cell r="D745" t="e">
            <v>#DIV/0!</v>
          </cell>
          <cell r="E745" t="e">
            <v>#DIV/0!</v>
          </cell>
        </row>
        <row r="746">
          <cell r="A746">
            <v>40190</v>
          </cell>
          <cell r="B746" t="str">
            <v>#Calc</v>
          </cell>
          <cell r="C746" t="e">
            <v>#DIV/0!</v>
          </cell>
          <cell r="D746" t="e">
            <v>#DIV/0!</v>
          </cell>
          <cell r="E746" t="e">
            <v>#DIV/0!</v>
          </cell>
        </row>
        <row r="747">
          <cell r="A747">
            <v>40191</v>
          </cell>
          <cell r="B747" t="str">
            <v>#Calc</v>
          </cell>
          <cell r="C747" t="e">
            <v>#DIV/0!</v>
          </cell>
          <cell r="D747" t="e">
            <v>#DIV/0!</v>
          </cell>
          <cell r="E747" t="e">
            <v>#DIV/0!</v>
          </cell>
        </row>
        <row r="748">
          <cell r="A748">
            <v>40192</v>
          </cell>
          <cell r="B748" t="str">
            <v>#Calc</v>
          </cell>
          <cell r="C748" t="e">
            <v>#DIV/0!</v>
          </cell>
          <cell r="D748" t="e">
            <v>#DIV/0!</v>
          </cell>
          <cell r="E748" t="e">
            <v>#DIV/0!</v>
          </cell>
        </row>
        <row r="749">
          <cell r="A749">
            <v>40193</v>
          </cell>
          <cell r="B749" t="str">
            <v>#Calc</v>
          </cell>
          <cell r="C749" t="e">
            <v>#DIV/0!</v>
          </cell>
          <cell r="D749" t="e">
            <v>#DIV/0!</v>
          </cell>
          <cell r="E749" t="e">
            <v>#DIV/0!</v>
          </cell>
        </row>
        <row r="750">
          <cell r="A750">
            <v>40194</v>
          </cell>
          <cell r="B750" t="str">
            <v>#Calc</v>
          </cell>
          <cell r="C750" t="e">
            <v>#DIV/0!</v>
          </cell>
          <cell r="D750" t="e">
            <v>#DIV/0!</v>
          </cell>
          <cell r="E750" t="e">
            <v>#DIV/0!</v>
          </cell>
        </row>
        <row r="751">
          <cell r="A751">
            <v>40195</v>
          </cell>
          <cell r="B751" t="str">
            <v>#Calc</v>
          </cell>
          <cell r="C751" t="e">
            <v>#DIV/0!</v>
          </cell>
          <cell r="D751" t="e">
            <v>#DIV/0!</v>
          </cell>
          <cell r="E751" t="e">
            <v>#DIV/0!</v>
          </cell>
        </row>
        <row r="752">
          <cell r="A752">
            <v>40196</v>
          </cell>
          <cell r="B752" t="str">
            <v>#Calc</v>
          </cell>
          <cell r="C752" t="e">
            <v>#DIV/0!</v>
          </cell>
          <cell r="D752" t="e">
            <v>#DIV/0!</v>
          </cell>
          <cell r="E752" t="e">
            <v>#DIV/0!</v>
          </cell>
        </row>
        <row r="753">
          <cell r="A753">
            <v>40197</v>
          </cell>
          <cell r="B753" t="str">
            <v>#Calc</v>
          </cell>
          <cell r="C753" t="e">
            <v>#DIV/0!</v>
          </cell>
          <cell r="D753" t="e">
            <v>#DIV/0!</v>
          </cell>
          <cell r="E753" t="e">
            <v>#DIV/0!</v>
          </cell>
        </row>
        <row r="754">
          <cell r="A754">
            <v>40198</v>
          </cell>
          <cell r="B754" t="str">
            <v>#Calc</v>
          </cell>
          <cell r="C754" t="e">
            <v>#DIV/0!</v>
          </cell>
          <cell r="D754" t="e">
            <v>#DIV/0!</v>
          </cell>
          <cell r="E754" t="e">
            <v>#DIV/0!</v>
          </cell>
        </row>
        <row r="755">
          <cell r="A755">
            <v>40199</v>
          </cell>
          <cell r="B755" t="str">
            <v>#Calc</v>
          </cell>
          <cell r="C755" t="e">
            <v>#DIV/0!</v>
          </cell>
          <cell r="D755" t="e">
            <v>#DIV/0!</v>
          </cell>
          <cell r="E755" t="e">
            <v>#DIV/0!</v>
          </cell>
        </row>
        <row r="756">
          <cell r="A756">
            <v>40200</v>
          </cell>
          <cell r="B756" t="str">
            <v>#Calc</v>
          </cell>
          <cell r="C756" t="e">
            <v>#DIV/0!</v>
          </cell>
          <cell r="D756" t="e">
            <v>#DIV/0!</v>
          </cell>
          <cell r="E756" t="e">
            <v>#DIV/0!</v>
          </cell>
        </row>
        <row r="757">
          <cell r="A757">
            <v>40201</v>
          </cell>
          <cell r="B757" t="str">
            <v>#Calc</v>
          </cell>
          <cell r="C757" t="e">
            <v>#DIV/0!</v>
          </cell>
          <cell r="D757" t="e">
            <v>#DIV/0!</v>
          </cell>
          <cell r="E757" t="e">
            <v>#DIV/0!</v>
          </cell>
        </row>
        <row r="758">
          <cell r="A758">
            <v>40202</v>
          </cell>
          <cell r="B758" t="str">
            <v>#Calc</v>
          </cell>
          <cell r="C758" t="e">
            <v>#DIV/0!</v>
          </cell>
          <cell r="D758" t="e">
            <v>#DIV/0!</v>
          </cell>
          <cell r="E758" t="e">
            <v>#DIV/0!</v>
          </cell>
        </row>
        <row r="759">
          <cell r="A759">
            <v>40203</v>
          </cell>
          <cell r="B759" t="str">
            <v>#Calc</v>
          </cell>
          <cell r="C759" t="e">
            <v>#DIV/0!</v>
          </cell>
          <cell r="D759" t="e">
            <v>#DIV/0!</v>
          </cell>
          <cell r="E759" t="e">
            <v>#DIV/0!</v>
          </cell>
        </row>
        <row r="760">
          <cell r="A760">
            <v>40204</v>
          </cell>
          <cell r="B760" t="str">
            <v>#Calc</v>
          </cell>
          <cell r="C760" t="e">
            <v>#DIV/0!</v>
          </cell>
          <cell r="D760" t="e">
            <v>#DIV/0!</v>
          </cell>
          <cell r="E760" t="e">
            <v>#DIV/0!</v>
          </cell>
        </row>
        <row r="761">
          <cell r="A761">
            <v>40205</v>
          </cell>
          <cell r="B761" t="str">
            <v>#Calc</v>
          </cell>
          <cell r="C761" t="e">
            <v>#DIV/0!</v>
          </cell>
          <cell r="D761" t="e">
            <v>#DIV/0!</v>
          </cell>
          <cell r="E761" t="e">
            <v>#DIV/0!</v>
          </cell>
        </row>
        <row r="762">
          <cell r="A762">
            <v>40206</v>
          </cell>
          <cell r="B762" t="str">
            <v>#Calc</v>
          </cell>
          <cell r="C762" t="e">
            <v>#DIV/0!</v>
          </cell>
          <cell r="D762" t="e">
            <v>#DIV/0!</v>
          </cell>
          <cell r="E762" t="e">
            <v>#DIV/0!</v>
          </cell>
        </row>
        <row r="763">
          <cell r="A763">
            <v>40207</v>
          </cell>
          <cell r="B763" t="str">
            <v>#Calc</v>
          </cell>
          <cell r="C763" t="e">
            <v>#DIV/0!</v>
          </cell>
          <cell r="D763" t="e">
            <v>#DIV/0!</v>
          </cell>
          <cell r="E763" t="e">
            <v>#DIV/0!</v>
          </cell>
        </row>
        <row r="764">
          <cell r="A764">
            <v>40208</v>
          </cell>
          <cell r="B764" t="str">
            <v>#Calc</v>
          </cell>
          <cell r="C764" t="e">
            <v>#DIV/0!</v>
          </cell>
          <cell r="D764" t="e">
            <v>#DIV/0!</v>
          </cell>
          <cell r="E764" t="e">
            <v>#DIV/0!</v>
          </cell>
        </row>
        <row r="765">
          <cell r="A765">
            <v>40209</v>
          </cell>
          <cell r="B765" t="str">
            <v>#Calc</v>
          </cell>
          <cell r="C765" t="e">
            <v>#DIV/0!</v>
          </cell>
          <cell r="D765" t="e">
            <v>#DIV/0!</v>
          </cell>
          <cell r="E765" t="e">
            <v>#DIV/0!</v>
          </cell>
        </row>
        <row r="766">
          <cell r="A766">
            <v>40210</v>
          </cell>
          <cell r="B766" t="str">
            <v>#Calc</v>
          </cell>
          <cell r="C766" t="e">
            <v>#DIV/0!</v>
          </cell>
          <cell r="D766" t="e">
            <v>#DIV/0!</v>
          </cell>
          <cell r="E766" t="e">
            <v>#DIV/0!</v>
          </cell>
        </row>
        <row r="767">
          <cell r="A767">
            <v>40211</v>
          </cell>
          <cell r="B767" t="str">
            <v>#Calc</v>
          </cell>
          <cell r="C767" t="e">
            <v>#DIV/0!</v>
          </cell>
          <cell r="D767" t="e">
            <v>#DIV/0!</v>
          </cell>
          <cell r="E767" t="e">
            <v>#DIV/0!</v>
          </cell>
        </row>
        <row r="768">
          <cell r="A768">
            <v>40212</v>
          </cell>
          <cell r="B768" t="str">
            <v>#Calc</v>
          </cell>
          <cell r="C768" t="e">
            <v>#DIV/0!</v>
          </cell>
          <cell r="D768" t="e">
            <v>#DIV/0!</v>
          </cell>
          <cell r="E768" t="e">
            <v>#DIV/0!</v>
          </cell>
        </row>
        <row r="769">
          <cell r="A769">
            <v>40213</v>
          </cell>
          <cell r="B769" t="str">
            <v>#Calc</v>
          </cell>
          <cell r="C769" t="e">
            <v>#DIV/0!</v>
          </cell>
          <cell r="D769" t="e">
            <v>#DIV/0!</v>
          </cell>
          <cell r="E769" t="e">
            <v>#DIV/0!</v>
          </cell>
        </row>
        <row r="770">
          <cell r="A770">
            <v>40214</v>
          </cell>
          <cell r="B770" t="str">
            <v>#Calc</v>
          </cell>
          <cell r="C770" t="e">
            <v>#DIV/0!</v>
          </cell>
          <cell r="D770" t="e">
            <v>#DIV/0!</v>
          </cell>
          <cell r="E770" t="e">
            <v>#DIV/0!</v>
          </cell>
        </row>
        <row r="771">
          <cell r="A771">
            <v>40215</v>
          </cell>
          <cell r="B771" t="str">
            <v>#Calc</v>
          </cell>
          <cell r="C771" t="e">
            <v>#DIV/0!</v>
          </cell>
          <cell r="D771" t="e">
            <v>#DIV/0!</v>
          </cell>
          <cell r="E771" t="e">
            <v>#DIV/0!</v>
          </cell>
        </row>
        <row r="772">
          <cell r="A772">
            <v>40216</v>
          </cell>
          <cell r="B772" t="str">
            <v>#Calc</v>
          </cell>
          <cell r="C772" t="e">
            <v>#DIV/0!</v>
          </cell>
          <cell r="D772" t="e">
            <v>#DIV/0!</v>
          </cell>
          <cell r="E772" t="e">
            <v>#DIV/0!</v>
          </cell>
        </row>
        <row r="773">
          <cell r="A773">
            <v>40217</v>
          </cell>
          <cell r="B773" t="str">
            <v>#Calc</v>
          </cell>
          <cell r="C773" t="e">
            <v>#DIV/0!</v>
          </cell>
          <cell r="D773" t="e">
            <v>#DIV/0!</v>
          </cell>
          <cell r="E773" t="e">
            <v>#DIV/0!</v>
          </cell>
        </row>
        <row r="774">
          <cell r="A774">
            <v>40218</v>
          </cell>
          <cell r="B774" t="str">
            <v>#Calc</v>
          </cell>
          <cell r="C774" t="e">
            <v>#DIV/0!</v>
          </cell>
          <cell r="D774" t="e">
            <v>#DIV/0!</v>
          </cell>
          <cell r="E774" t="e">
            <v>#DIV/0!</v>
          </cell>
        </row>
        <row r="775">
          <cell r="A775">
            <v>40219</v>
          </cell>
          <cell r="B775" t="str">
            <v>#Calc</v>
          </cell>
          <cell r="C775" t="e">
            <v>#DIV/0!</v>
          </cell>
          <cell r="D775" t="e">
            <v>#DIV/0!</v>
          </cell>
          <cell r="E775" t="e">
            <v>#DIV/0!</v>
          </cell>
        </row>
        <row r="776">
          <cell r="A776">
            <v>40220</v>
          </cell>
          <cell r="B776" t="str">
            <v>#Calc</v>
          </cell>
          <cell r="C776" t="e">
            <v>#DIV/0!</v>
          </cell>
          <cell r="D776" t="e">
            <v>#DIV/0!</v>
          </cell>
          <cell r="E776" t="e">
            <v>#DIV/0!</v>
          </cell>
        </row>
        <row r="777">
          <cell r="A777">
            <v>40221</v>
          </cell>
          <cell r="B777" t="str">
            <v>#Calc</v>
          </cell>
          <cell r="C777" t="e">
            <v>#DIV/0!</v>
          </cell>
          <cell r="D777" t="e">
            <v>#DIV/0!</v>
          </cell>
          <cell r="E777" t="e">
            <v>#DIV/0!</v>
          </cell>
        </row>
        <row r="778">
          <cell r="A778">
            <v>40222</v>
          </cell>
          <cell r="B778" t="str">
            <v>#Calc</v>
          </cell>
          <cell r="C778" t="e">
            <v>#DIV/0!</v>
          </cell>
          <cell r="D778" t="e">
            <v>#DIV/0!</v>
          </cell>
          <cell r="E778" t="e">
            <v>#DIV/0!</v>
          </cell>
        </row>
        <row r="779">
          <cell r="A779">
            <v>40223</v>
          </cell>
          <cell r="B779" t="str">
            <v>#Calc</v>
          </cell>
          <cell r="C779" t="e">
            <v>#DIV/0!</v>
          </cell>
          <cell r="D779" t="e">
            <v>#DIV/0!</v>
          </cell>
          <cell r="E779" t="e">
            <v>#DIV/0!</v>
          </cell>
        </row>
        <row r="780">
          <cell r="A780">
            <v>40224</v>
          </cell>
          <cell r="B780" t="str">
            <v>#Calc</v>
          </cell>
          <cell r="C780" t="e">
            <v>#DIV/0!</v>
          </cell>
          <cell r="D780" t="e">
            <v>#DIV/0!</v>
          </cell>
          <cell r="E780" t="e">
            <v>#DIV/0!</v>
          </cell>
        </row>
        <row r="781">
          <cell r="A781">
            <v>40225</v>
          </cell>
          <cell r="B781" t="str">
            <v>#Calc</v>
          </cell>
          <cell r="C781" t="e">
            <v>#DIV/0!</v>
          </cell>
          <cell r="D781" t="e">
            <v>#DIV/0!</v>
          </cell>
          <cell r="E781" t="e">
            <v>#DIV/0!</v>
          </cell>
        </row>
        <row r="782">
          <cell r="A782">
            <v>40226</v>
          </cell>
          <cell r="B782" t="str">
            <v>#Calc</v>
          </cell>
          <cell r="C782" t="e">
            <v>#DIV/0!</v>
          </cell>
          <cell r="D782" t="e">
            <v>#DIV/0!</v>
          </cell>
          <cell r="E782" t="e">
            <v>#DIV/0!</v>
          </cell>
        </row>
        <row r="783">
          <cell r="A783">
            <v>40227</v>
          </cell>
          <cell r="B783" t="str">
            <v>#Calc</v>
          </cell>
          <cell r="C783" t="e">
            <v>#DIV/0!</v>
          </cell>
          <cell r="D783" t="e">
            <v>#DIV/0!</v>
          </cell>
          <cell r="E783" t="e">
            <v>#DIV/0!</v>
          </cell>
        </row>
        <row r="784">
          <cell r="A784">
            <v>40228</v>
          </cell>
          <cell r="B784" t="str">
            <v>#Calc</v>
          </cell>
          <cell r="C784" t="e">
            <v>#DIV/0!</v>
          </cell>
          <cell r="D784" t="e">
            <v>#DIV/0!</v>
          </cell>
          <cell r="E784" t="e">
            <v>#DIV/0!</v>
          </cell>
        </row>
        <row r="785">
          <cell r="A785">
            <v>40229</v>
          </cell>
          <cell r="B785" t="str">
            <v>#Calc</v>
          </cell>
          <cell r="C785" t="e">
            <v>#DIV/0!</v>
          </cell>
          <cell r="D785" t="e">
            <v>#DIV/0!</v>
          </cell>
          <cell r="E785" t="e">
            <v>#DIV/0!</v>
          </cell>
        </row>
        <row r="786">
          <cell r="A786">
            <v>40230</v>
          </cell>
          <cell r="B786" t="str">
            <v>#Calc</v>
          </cell>
          <cell r="C786" t="e">
            <v>#DIV/0!</v>
          </cell>
          <cell r="D786" t="e">
            <v>#DIV/0!</v>
          </cell>
          <cell r="E786" t="e">
            <v>#DIV/0!</v>
          </cell>
        </row>
        <row r="787">
          <cell r="A787">
            <v>40231</v>
          </cell>
          <cell r="B787" t="str">
            <v>#Calc</v>
          </cell>
          <cell r="C787" t="e">
            <v>#DIV/0!</v>
          </cell>
          <cell r="D787" t="e">
            <v>#DIV/0!</v>
          </cell>
          <cell r="E787" t="e">
            <v>#DIV/0!</v>
          </cell>
        </row>
        <row r="788">
          <cell r="A788">
            <v>40232</v>
          </cell>
          <cell r="B788" t="str">
            <v>#Calc</v>
          </cell>
          <cell r="C788" t="e">
            <v>#DIV/0!</v>
          </cell>
          <cell r="D788" t="e">
            <v>#DIV/0!</v>
          </cell>
          <cell r="E788" t="e">
            <v>#DIV/0!</v>
          </cell>
        </row>
        <row r="789">
          <cell r="A789">
            <v>40233</v>
          </cell>
          <cell r="B789" t="str">
            <v>#Calc</v>
          </cell>
          <cell r="C789" t="e">
            <v>#DIV/0!</v>
          </cell>
          <cell r="D789" t="e">
            <v>#DIV/0!</v>
          </cell>
          <cell r="E789" t="e">
            <v>#DIV/0!</v>
          </cell>
        </row>
        <row r="790">
          <cell r="A790">
            <v>40234</v>
          </cell>
          <cell r="B790" t="str">
            <v>#Calc</v>
          </cell>
          <cell r="C790" t="e">
            <v>#DIV/0!</v>
          </cell>
          <cell r="D790" t="e">
            <v>#DIV/0!</v>
          </cell>
          <cell r="E790" t="e">
            <v>#DIV/0!</v>
          </cell>
        </row>
        <row r="791">
          <cell r="A791">
            <v>40235</v>
          </cell>
          <cell r="B791" t="str">
            <v>#Calc</v>
          </cell>
          <cell r="C791" t="e">
            <v>#DIV/0!</v>
          </cell>
          <cell r="D791" t="e">
            <v>#DIV/0!</v>
          </cell>
          <cell r="E791" t="e">
            <v>#DIV/0!</v>
          </cell>
        </row>
        <row r="792">
          <cell r="A792">
            <v>40236</v>
          </cell>
          <cell r="B792" t="str">
            <v>#Calc</v>
          </cell>
          <cell r="C792" t="e">
            <v>#DIV/0!</v>
          </cell>
          <cell r="D792" t="e">
            <v>#DIV/0!</v>
          </cell>
          <cell r="E792" t="e">
            <v>#DIV/0!</v>
          </cell>
        </row>
        <row r="793">
          <cell r="A793">
            <v>40237</v>
          </cell>
          <cell r="B793" t="str">
            <v>#Calc</v>
          </cell>
          <cell r="C793" t="e">
            <v>#DIV/0!</v>
          </cell>
          <cell r="D793" t="e">
            <v>#DIV/0!</v>
          </cell>
          <cell r="E793" t="e">
            <v>#DIV/0!</v>
          </cell>
        </row>
        <row r="794">
          <cell r="A794">
            <v>40238</v>
          </cell>
          <cell r="B794" t="str">
            <v>#Calc</v>
          </cell>
          <cell r="C794" t="e">
            <v>#DIV/0!</v>
          </cell>
          <cell r="D794" t="e">
            <v>#DIV/0!</v>
          </cell>
          <cell r="E794" t="e">
            <v>#DIV/0!</v>
          </cell>
        </row>
        <row r="795">
          <cell r="A795">
            <v>40239</v>
          </cell>
          <cell r="B795" t="str">
            <v>#Calc</v>
          </cell>
          <cell r="C795" t="e">
            <v>#DIV/0!</v>
          </cell>
          <cell r="D795" t="e">
            <v>#DIV/0!</v>
          </cell>
          <cell r="E795" t="e">
            <v>#DIV/0!</v>
          </cell>
        </row>
        <row r="796">
          <cell r="A796">
            <v>40240</v>
          </cell>
          <cell r="B796" t="str">
            <v>#Calc</v>
          </cell>
          <cell r="C796" t="e">
            <v>#DIV/0!</v>
          </cell>
          <cell r="D796" t="e">
            <v>#DIV/0!</v>
          </cell>
          <cell r="E796" t="e">
            <v>#DIV/0!</v>
          </cell>
        </row>
        <row r="797">
          <cell r="A797">
            <v>40241</v>
          </cell>
          <cell r="B797" t="str">
            <v>#Calc</v>
          </cell>
          <cell r="C797" t="e">
            <v>#DIV/0!</v>
          </cell>
          <cell r="D797" t="e">
            <v>#DIV/0!</v>
          </cell>
          <cell r="E797" t="e">
            <v>#DIV/0!</v>
          </cell>
        </row>
        <row r="798">
          <cell r="A798">
            <v>40242</v>
          </cell>
          <cell r="B798" t="str">
            <v>#Calc</v>
          </cell>
          <cell r="C798" t="e">
            <v>#DIV/0!</v>
          </cell>
          <cell r="D798" t="e">
            <v>#DIV/0!</v>
          </cell>
          <cell r="E798" t="e">
            <v>#DIV/0!</v>
          </cell>
        </row>
        <row r="799">
          <cell r="A799">
            <v>40243</v>
          </cell>
          <cell r="B799" t="str">
            <v>#Calc</v>
          </cell>
          <cell r="C799" t="e">
            <v>#DIV/0!</v>
          </cell>
          <cell r="D799" t="e">
            <v>#DIV/0!</v>
          </cell>
          <cell r="E799" t="e">
            <v>#DIV/0!</v>
          </cell>
        </row>
        <row r="800">
          <cell r="A800">
            <v>40244</v>
          </cell>
          <cell r="B800" t="str">
            <v>#Calc</v>
          </cell>
          <cell r="C800" t="e">
            <v>#DIV/0!</v>
          </cell>
          <cell r="D800" t="e">
            <v>#DIV/0!</v>
          </cell>
          <cell r="E800" t="e">
            <v>#DIV/0!</v>
          </cell>
        </row>
        <row r="801">
          <cell r="A801">
            <v>40245</v>
          </cell>
          <cell r="B801" t="str">
            <v>#Calc</v>
          </cell>
          <cell r="C801" t="e">
            <v>#DIV/0!</v>
          </cell>
          <cell r="D801" t="e">
            <v>#DIV/0!</v>
          </cell>
          <cell r="E801" t="e">
            <v>#DIV/0!</v>
          </cell>
        </row>
        <row r="802">
          <cell r="A802">
            <v>40246</v>
          </cell>
          <cell r="B802" t="str">
            <v>#Calc</v>
          </cell>
          <cell r="C802" t="e">
            <v>#DIV/0!</v>
          </cell>
          <cell r="D802" t="e">
            <v>#DIV/0!</v>
          </cell>
          <cell r="E802" t="e">
            <v>#DIV/0!</v>
          </cell>
        </row>
        <row r="803">
          <cell r="A803">
            <v>40247</v>
          </cell>
          <cell r="B803" t="str">
            <v>#Calc</v>
          </cell>
          <cell r="C803" t="e">
            <v>#DIV/0!</v>
          </cell>
          <cell r="D803" t="e">
            <v>#DIV/0!</v>
          </cell>
          <cell r="E803" t="e">
            <v>#DIV/0!</v>
          </cell>
        </row>
        <row r="804">
          <cell r="A804">
            <v>40248</v>
          </cell>
          <cell r="B804" t="str">
            <v>#Calc</v>
          </cell>
          <cell r="C804" t="e">
            <v>#DIV/0!</v>
          </cell>
          <cell r="D804" t="e">
            <v>#DIV/0!</v>
          </cell>
          <cell r="E804" t="e">
            <v>#DIV/0!</v>
          </cell>
        </row>
        <row r="805">
          <cell r="A805">
            <v>40249</v>
          </cell>
          <cell r="B805" t="str">
            <v>#Calc</v>
          </cell>
          <cell r="C805" t="e">
            <v>#DIV/0!</v>
          </cell>
          <cell r="D805" t="e">
            <v>#DIV/0!</v>
          </cell>
          <cell r="E805" t="e">
            <v>#DIV/0!</v>
          </cell>
        </row>
        <row r="806">
          <cell r="A806">
            <v>40250</v>
          </cell>
          <cell r="B806" t="str">
            <v>#Calc</v>
          </cell>
          <cell r="C806" t="e">
            <v>#DIV/0!</v>
          </cell>
          <cell r="D806" t="e">
            <v>#DIV/0!</v>
          </cell>
          <cell r="E806" t="e">
            <v>#DIV/0!</v>
          </cell>
        </row>
        <row r="807">
          <cell r="A807">
            <v>40251</v>
          </cell>
          <cell r="B807" t="str">
            <v>#Calc</v>
          </cell>
          <cell r="C807" t="e">
            <v>#DIV/0!</v>
          </cell>
          <cell r="D807" t="e">
            <v>#DIV/0!</v>
          </cell>
          <cell r="E807" t="e">
            <v>#DIV/0!</v>
          </cell>
        </row>
        <row r="808">
          <cell r="A808">
            <v>40252</v>
          </cell>
          <cell r="B808" t="str">
            <v>#Calc</v>
          </cell>
          <cell r="C808" t="e">
            <v>#DIV/0!</v>
          </cell>
          <cell r="D808" t="e">
            <v>#DIV/0!</v>
          </cell>
          <cell r="E808" t="e">
            <v>#DIV/0!</v>
          </cell>
        </row>
        <row r="809">
          <cell r="A809">
            <v>40253</v>
          </cell>
          <cell r="B809" t="str">
            <v>#Calc</v>
          </cell>
          <cell r="C809" t="e">
            <v>#DIV/0!</v>
          </cell>
          <cell r="D809" t="e">
            <v>#DIV/0!</v>
          </cell>
          <cell r="E809" t="e">
            <v>#DIV/0!</v>
          </cell>
        </row>
        <row r="810">
          <cell r="A810">
            <v>40254</v>
          </cell>
          <cell r="B810" t="str">
            <v>#Calc</v>
          </cell>
          <cell r="C810" t="e">
            <v>#DIV/0!</v>
          </cell>
          <cell r="D810" t="e">
            <v>#DIV/0!</v>
          </cell>
          <cell r="E810" t="e">
            <v>#DIV/0!</v>
          </cell>
        </row>
        <row r="811">
          <cell r="A811">
            <v>40255</v>
          </cell>
          <cell r="B811" t="str">
            <v>#Calc</v>
          </cell>
          <cell r="C811" t="e">
            <v>#DIV/0!</v>
          </cell>
          <cell r="D811" t="e">
            <v>#DIV/0!</v>
          </cell>
          <cell r="E811" t="e">
            <v>#DIV/0!</v>
          </cell>
        </row>
        <row r="812">
          <cell r="A812">
            <v>40256</v>
          </cell>
          <cell r="B812" t="str">
            <v>#Calc</v>
          </cell>
          <cell r="C812" t="e">
            <v>#DIV/0!</v>
          </cell>
          <cell r="D812" t="e">
            <v>#DIV/0!</v>
          </cell>
          <cell r="E812" t="e">
            <v>#DIV/0!</v>
          </cell>
        </row>
        <row r="813">
          <cell r="A813">
            <v>40257</v>
          </cell>
          <cell r="B813" t="str">
            <v>#Calc</v>
          </cell>
          <cell r="C813" t="e">
            <v>#DIV/0!</v>
          </cell>
          <cell r="D813" t="e">
            <v>#DIV/0!</v>
          </cell>
          <cell r="E813" t="e">
            <v>#DIV/0!</v>
          </cell>
        </row>
        <row r="814">
          <cell r="A814">
            <v>40258</v>
          </cell>
          <cell r="B814" t="str">
            <v>#Calc</v>
          </cell>
          <cell r="C814" t="e">
            <v>#DIV/0!</v>
          </cell>
          <cell r="D814" t="e">
            <v>#DIV/0!</v>
          </cell>
          <cell r="E814" t="e">
            <v>#DIV/0!</v>
          </cell>
        </row>
        <row r="815">
          <cell r="A815">
            <v>40259</v>
          </cell>
          <cell r="B815" t="str">
            <v>#Calc</v>
          </cell>
          <cell r="C815" t="e">
            <v>#DIV/0!</v>
          </cell>
          <cell r="D815" t="e">
            <v>#DIV/0!</v>
          </cell>
          <cell r="E815" t="e">
            <v>#DIV/0!</v>
          </cell>
        </row>
        <row r="816">
          <cell r="A816">
            <v>40260</v>
          </cell>
          <cell r="B816" t="str">
            <v>#Calc</v>
          </cell>
          <cell r="C816" t="e">
            <v>#DIV/0!</v>
          </cell>
          <cell r="D816" t="e">
            <v>#DIV/0!</v>
          </cell>
          <cell r="E816" t="e">
            <v>#DIV/0!</v>
          </cell>
        </row>
        <row r="817">
          <cell r="A817">
            <v>40261</v>
          </cell>
          <cell r="B817" t="str">
            <v>#Calc</v>
          </cell>
          <cell r="C817" t="e">
            <v>#DIV/0!</v>
          </cell>
          <cell r="D817" t="e">
            <v>#DIV/0!</v>
          </cell>
          <cell r="E817" t="e">
            <v>#DIV/0!</v>
          </cell>
        </row>
        <row r="818">
          <cell r="A818">
            <v>40262</v>
          </cell>
          <cell r="B818" t="str">
            <v>#Calc</v>
          </cell>
          <cell r="C818" t="e">
            <v>#DIV/0!</v>
          </cell>
          <cell r="D818" t="e">
            <v>#DIV/0!</v>
          </cell>
          <cell r="E818" t="e">
            <v>#DIV/0!</v>
          </cell>
        </row>
        <row r="819">
          <cell r="A819">
            <v>40263</v>
          </cell>
          <cell r="B819" t="str">
            <v>#Calc</v>
          </cell>
          <cell r="C819" t="e">
            <v>#DIV/0!</v>
          </cell>
          <cell r="D819" t="e">
            <v>#DIV/0!</v>
          </cell>
          <cell r="E819" t="e">
            <v>#DIV/0!</v>
          </cell>
        </row>
        <row r="820">
          <cell r="A820">
            <v>40264</v>
          </cell>
          <cell r="B820" t="str">
            <v>#Calc</v>
          </cell>
          <cell r="C820" t="e">
            <v>#DIV/0!</v>
          </cell>
          <cell r="D820" t="e">
            <v>#DIV/0!</v>
          </cell>
          <cell r="E820" t="e">
            <v>#DIV/0!</v>
          </cell>
        </row>
        <row r="821">
          <cell r="A821">
            <v>40265</v>
          </cell>
          <cell r="B821" t="str">
            <v>#Calc</v>
          </cell>
          <cell r="C821" t="e">
            <v>#DIV/0!</v>
          </cell>
          <cell r="D821" t="e">
            <v>#DIV/0!</v>
          </cell>
          <cell r="E821" t="e">
            <v>#DIV/0!</v>
          </cell>
        </row>
        <row r="822">
          <cell r="A822">
            <v>40266</v>
          </cell>
          <cell r="B822" t="str">
            <v>#Calc</v>
          </cell>
          <cell r="C822" t="e">
            <v>#DIV/0!</v>
          </cell>
          <cell r="D822" t="e">
            <v>#DIV/0!</v>
          </cell>
          <cell r="E822" t="e">
            <v>#DIV/0!</v>
          </cell>
        </row>
        <row r="823">
          <cell r="A823">
            <v>40267</v>
          </cell>
          <cell r="B823" t="str">
            <v>#Calc</v>
          </cell>
          <cell r="C823" t="e">
            <v>#DIV/0!</v>
          </cell>
          <cell r="D823" t="e">
            <v>#DIV/0!</v>
          </cell>
          <cell r="E823" t="e">
            <v>#DIV/0!</v>
          </cell>
        </row>
        <row r="824">
          <cell r="A824">
            <v>40268</v>
          </cell>
          <cell r="B824" t="str">
            <v>#Calc</v>
          </cell>
          <cell r="C824" t="e">
            <v>#DIV/0!</v>
          </cell>
          <cell r="D824" t="e">
            <v>#DIV/0!</v>
          </cell>
          <cell r="E824" t="e">
            <v>#DIV/0!</v>
          </cell>
        </row>
        <row r="825">
          <cell r="A825">
            <v>40269</v>
          </cell>
          <cell r="B825" t="str">
            <v>#Calc</v>
          </cell>
          <cell r="C825" t="e">
            <v>#DIV/0!</v>
          </cell>
          <cell r="D825" t="e">
            <v>#DIV/0!</v>
          </cell>
          <cell r="E825" t="e">
            <v>#DIV/0!</v>
          </cell>
        </row>
        <row r="826">
          <cell r="A826">
            <v>40270</v>
          </cell>
          <cell r="B826" t="str">
            <v>#Calc</v>
          </cell>
          <cell r="C826" t="e">
            <v>#DIV/0!</v>
          </cell>
          <cell r="D826" t="e">
            <v>#DIV/0!</v>
          </cell>
          <cell r="E826" t="e">
            <v>#DIV/0!</v>
          </cell>
        </row>
        <row r="827">
          <cell r="A827">
            <v>40271</v>
          </cell>
          <cell r="B827" t="str">
            <v>#Calc</v>
          </cell>
          <cell r="C827" t="e">
            <v>#DIV/0!</v>
          </cell>
          <cell r="D827" t="e">
            <v>#DIV/0!</v>
          </cell>
          <cell r="E827" t="e">
            <v>#DIV/0!</v>
          </cell>
        </row>
        <row r="828">
          <cell r="A828">
            <v>40272</v>
          </cell>
          <cell r="B828" t="str">
            <v>#Calc</v>
          </cell>
          <cell r="C828" t="e">
            <v>#DIV/0!</v>
          </cell>
          <cell r="D828" t="e">
            <v>#DIV/0!</v>
          </cell>
          <cell r="E828" t="e">
            <v>#DIV/0!</v>
          </cell>
        </row>
        <row r="829">
          <cell r="A829">
            <v>40273</v>
          </cell>
          <cell r="B829" t="str">
            <v>#Calc</v>
          </cell>
          <cell r="C829" t="e">
            <v>#DIV/0!</v>
          </cell>
          <cell r="D829" t="e">
            <v>#DIV/0!</v>
          </cell>
          <cell r="E829" t="e">
            <v>#DIV/0!</v>
          </cell>
        </row>
        <row r="830">
          <cell r="A830">
            <v>40274</v>
          </cell>
          <cell r="B830" t="str">
            <v>#Calc</v>
          </cell>
          <cell r="C830" t="e">
            <v>#DIV/0!</v>
          </cell>
          <cell r="D830" t="e">
            <v>#DIV/0!</v>
          </cell>
          <cell r="E830" t="e">
            <v>#DIV/0!</v>
          </cell>
        </row>
        <row r="831">
          <cell r="A831">
            <v>40275</v>
          </cell>
          <cell r="B831" t="str">
            <v>#Calc</v>
          </cell>
          <cell r="C831" t="e">
            <v>#DIV/0!</v>
          </cell>
          <cell r="D831" t="e">
            <v>#DIV/0!</v>
          </cell>
          <cell r="E831" t="e">
            <v>#DIV/0!</v>
          </cell>
        </row>
        <row r="832">
          <cell r="A832">
            <v>40276</v>
          </cell>
          <cell r="B832" t="str">
            <v>#Calc</v>
          </cell>
          <cell r="C832" t="e">
            <v>#DIV/0!</v>
          </cell>
          <cell r="D832" t="e">
            <v>#DIV/0!</v>
          </cell>
          <cell r="E832" t="e">
            <v>#DIV/0!</v>
          </cell>
        </row>
        <row r="833">
          <cell r="A833">
            <v>40277</v>
          </cell>
          <cell r="B833" t="str">
            <v>#Calc</v>
          </cell>
          <cell r="C833" t="e">
            <v>#DIV/0!</v>
          </cell>
          <cell r="D833" t="e">
            <v>#DIV/0!</v>
          </cell>
          <cell r="E833" t="e">
            <v>#DIV/0!</v>
          </cell>
        </row>
        <row r="834">
          <cell r="A834">
            <v>40278</v>
          </cell>
          <cell r="B834" t="str">
            <v>#Calc</v>
          </cell>
          <cell r="C834" t="e">
            <v>#DIV/0!</v>
          </cell>
          <cell r="D834" t="e">
            <v>#DIV/0!</v>
          </cell>
          <cell r="E834" t="e">
            <v>#DIV/0!</v>
          </cell>
        </row>
        <row r="835">
          <cell r="A835">
            <v>40279</v>
          </cell>
          <cell r="B835" t="str">
            <v>#Calc</v>
          </cell>
          <cell r="C835" t="e">
            <v>#DIV/0!</v>
          </cell>
          <cell r="D835" t="e">
            <v>#DIV/0!</v>
          </cell>
          <cell r="E835" t="e">
            <v>#DIV/0!</v>
          </cell>
        </row>
        <row r="836">
          <cell r="A836">
            <v>40280</v>
          </cell>
          <cell r="B836" t="str">
            <v>#Calc</v>
          </cell>
          <cell r="C836" t="e">
            <v>#DIV/0!</v>
          </cell>
          <cell r="D836" t="e">
            <v>#DIV/0!</v>
          </cell>
          <cell r="E836" t="e">
            <v>#DIV/0!</v>
          </cell>
        </row>
        <row r="837">
          <cell r="A837">
            <v>40281</v>
          </cell>
          <cell r="B837" t="str">
            <v>#Calc</v>
          </cell>
          <cell r="C837" t="e">
            <v>#DIV/0!</v>
          </cell>
          <cell r="D837" t="e">
            <v>#DIV/0!</v>
          </cell>
          <cell r="E837" t="e">
            <v>#DIV/0!</v>
          </cell>
        </row>
        <row r="838">
          <cell r="A838">
            <v>40282</v>
          </cell>
          <cell r="B838" t="str">
            <v>#Calc</v>
          </cell>
          <cell r="C838" t="e">
            <v>#DIV/0!</v>
          </cell>
          <cell r="D838" t="e">
            <v>#DIV/0!</v>
          </cell>
          <cell r="E838" t="e">
            <v>#DIV/0!</v>
          </cell>
        </row>
        <row r="839">
          <cell r="A839">
            <v>40283</v>
          </cell>
          <cell r="B839" t="str">
            <v>#Calc</v>
          </cell>
          <cell r="C839" t="e">
            <v>#DIV/0!</v>
          </cell>
          <cell r="D839" t="e">
            <v>#DIV/0!</v>
          </cell>
          <cell r="E839" t="e">
            <v>#DIV/0!</v>
          </cell>
        </row>
        <row r="840">
          <cell r="A840">
            <v>40284</v>
          </cell>
          <cell r="B840" t="str">
            <v>#Calc</v>
          </cell>
          <cell r="C840" t="e">
            <v>#DIV/0!</v>
          </cell>
          <cell r="D840" t="e">
            <v>#DIV/0!</v>
          </cell>
          <cell r="E840" t="e">
            <v>#DIV/0!</v>
          </cell>
        </row>
        <row r="841">
          <cell r="A841">
            <v>40285</v>
          </cell>
          <cell r="B841" t="str">
            <v>#Calc</v>
          </cell>
          <cell r="C841" t="e">
            <v>#DIV/0!</v>
          </cell>
          <cell r="D841" t="e">
            <v>#DIV/0!</v>
          </cell>
          <cell r="E841" t="e">
            <v>#DIV/0!</v>
          </cell>
        </row>
        <row r="842">
          <cell r="A842">
            <v>40286</v>
          </cell>
          <cell r="B842" t="str">
            <v>#Calc</v>
          </cell>
          <cell r="C842" t="e">
            <v>#DIV/0!</v>
          </cell>
          <cell r="D842" t="e">
            <v>#DIV/0!</v>
          </cell>
          <cell r="E842" t="e">
            <v>#DIV/0!</v>
          </cell>
        </row>
        <row r="843">
          <cell r="A843">
            <v>40287</v>
          </cell>
          <cell r="B843" t="str">
            <v>#Calc</v>
          </cell>
          <cell r="C843" t="e">
            <v>#DIV/0!</v>
          </cell>
          <cell r="D843" t="e">
            <v>#DIV/0!</v>
          </cell>
          <cell r="E843" t="e">
            <v>#DIV/0!</v>
          </cell>
        </row>
        <row r="844">
          <cell r="A844">
            <v>40288</v>
          </cell>
          <cell r="B844" t="str">
            <v>#Calc</v>
          </cell>
          <cell r="C844" t="e">
            <v>#DIV/0!</v>
          </cell>
          <cell r="D844" t="e">
            <v>#DIV/0!</v>
          </cell>
          <cell r="E844" t="e">
            <v>#DIV/0!</v>
          </cell>
        </row>
        <row r="845">
          <cell r="A845">
            <v>40289</v>
          </cell>
          <cell r="B845" t="str">
            <v>#Calc</v>
          </cell>
          <cell r="C845" t="e">
            <v>#DIV/0!</v>
          </cell>
          <cell r="D845" t="e">
            <v>#DIV/0!</v>
          </cell>
          <cell r="E845" t="e">
            <v>#DIV/0!</v>
          </cell>
        </row>
        <row r="846">
          <cell r="A846">
            <v>40290</v>
          </cell>
          <cell r="B846" t="str">
            <v>#Calc</v>
          </cell>
          <cell r="C846" t="e">
            <v>#DIV/0!</v>
          </cell>
          <cell r="D846" t="e">
            <v>#DIV/0!</v>
          </cell>
          <cell r="E846" t="e">
            <v>#DIV/0!</v>
          </cell>
        </row>
        <row r="847">
          <cell r="A847">
            <v>40291</v>
          </cell>
          <cell r="B847" t="str">
            <v>#Calc</v>
          </cell>
          <cell r="C847" t="e">
            <v>#DIV/0!</v>
          </cell>
          <cell r="D847" t="e">
            <v>#DIV/0!</v>
          </cell>
          <cell r="E847" t="e">
            <v>#DIV/0!</v>
          </cell>
        </row>
        <row r="848">
          <cell r="A848">
            <v>40292</v>
          </cell>
          <cell r="B848" t="str">
            <v>#Calc</v>
          </cell>
          <cell r="C848" t="e">
            <v>#DIV/0!</v>
          </cell>
          <cell r="D848" t="e">
            <v>#DIV/0!</v>
          </cell>
          <cell r="E848" t="e">
            <v>#DIV/0!</v>
          </cell>
        </row>
        <row r="849">
          <cell r="A849">
            <v>40293</v>
          </cell>
          <cell r="B849" t="str">
            <v>#Calc</v>
          </cell>
          <cell r="C849" t="e">
            <v>#DIV/0!</v>
          </cell>
          <cell r="D849" t="e">
            <v>#DIV/0!</v>
          </cell>
          <cell r="E849" t="e">
            <v>#DIV/0!</v>
          </cell>
        </row>
        <row r="850">
          <cell r="A850">
            <v>40294</v>
          </cell>
          <cell r="B850" t="str">
            <v>#Calc</v>
          </cell>
          <cell r="C850" t="e">
            <v>#DIV/0!</v>
          </cell>
          <cell r="D850" t="e">
            <v>#DIV/0!</v>
          </cell>
          <cell r="E850" t="e">
            <v>#DIV/0!</v>
          </cell>
        </row>
        <row r="851">
          <cell r="A851">
            <v>40295</v>
          </cell>
          <cell r="B851" t="str">
            <v>#Calc</v>
          </cell>
          <cell r="C851" t="e">
            <v>#DIV/0!</v>
          </cell>
          <cell r="D851" t="e">
            <v>#DIV/0!</v>
          </cell>
          <cell r="E851" t="e">
            <v>#DIV/0!</v>
          </cell>
        </row>
        <row r="852">
          <cell r="A852">
            <v>40296</v>
          </cell>
          <cell r="B852" t="str">
            <v>#Calc</v>
          </cell>
          <cell r="C852" t="e">
            <v>#DIV/0!</v>
          </cell>
          <cell r="D852" t="e">
            <v>#DIV/0!</v>
          </cell>
          <cell r="E852" t="e">
            <v>#DIV/0!</v>
          </cell>
        </row>
        <row r="853">
          <cell r="A853">
            <v>40297</v>
          </cell>
          <cell r="B853" t="str">
            <v>#Calc</v>
          </cell>
          <cell r="C853" t="e">
            <v>#DIV/0!</v>
          </cell>
          <cell r="D853" t="e">
            <v>#DIV/0!</v>
          </cell>
          <cell r="E853" t="e">
            <v>#DIV/0!</v>
          </cell>
        </row>
        <row r="854">
          <cell r="A854">
            <v>40298</v>
          </cell>
          <cell r="B854" t="str">
            <v>#Calc</v>
          </cell>
          <cell r="C854" t="e">
            <v>#DIV/0!</v>
          </cell>
          <cell r="D854" t="e">
            <v>#DIV/0!</v>
          </cell>
          <cell r="E854" t="e">
            <v>#DIV/0!</v>
          </cell>
        </row>
        <row r="855">
          <cell r="A855">
            <v>40299</v>
          </cell>
          <cell r="B855" t="str">
            <v>#Calc</v>
          </cell>
          <cell r="C855" t="e">
            <v>#DIV/0!</v>
          </cell>
          <cell r="D855" t="e">
            <v>#DIV/0!</v>
          </cell>
          <cell r="E855" t="e">
            <v>#DIV/0!</v>
          </cell>
        </row>
        <row r="856">
          <cell r="A856">
            <v>40300</v>
          </cell>
          <cell r="B856" t="str">
            <v>#Calc</v>
          </cell>
          <cell r="C856" t="e">
            <v>#DIV/0!</v>
          </cell>
          <cell r="D856" t="e">
            <v>#DIV/0!</v>
          </cell>
          <cell r="E856" t="e">
            <v>#DIV/0!</v>
          </cell>
        </row>
        <row r="857">
          <cell r="A857">
            <v>40301</v>
          </cell>
          <cell r="B857" t="str">
            <v>#Calc</v>
          </cell>
          <cell r="C857" t="e">
            <v>#DIV/0!</v>
          </cell>
          <cell r="D857" t="e">
            <v>#DIV/0!</v>
          </cell>
          <cell r="E857" t="e">
            <v>#DIV/0!</v>
          </cell>
        </row>
        <row r="858">
          <cell r="A858">
            <v>40302</v>
          </cell>
          <cell r="B858" t="str">
            <v>#Calc</v>
          </cell>
          <cell r="C858" t="e">
            <v>#DIV/0!</v>
          </cell>
          <cell r="D858" t="e">
            <v>#DIV/0!</v>
          </cell>
          <cell r="E858" t="e">
            <v>#DIV/0!</v>
          </cell>
        </row>
        <row r="859">
          <cell r="A859">
            <v>40303</v>
          </cell>
          <cell r="B859" t="str">
            <v>#Calc</v>
          </cell>
          <cell r="C859" t="e">
            <v>#DIV/0!</v>
          </cell>
          <cell r="D859" t="e">
            <v>#DIV/0!</v>
          </cell>
          <cell r="E859" t="e">
            <v>#DIV/0!</v>
          </cell>
        </row>
        <row r="860">
          <cell r="A860">
            <v>40304</v>
          </cell>
          <cell r="B860" t="str">
            <v>#Calc</v>
          </cell>
          <cell r="C860" t="e">
            <v>#DIV/0!</v>
          </cell>
          <cell r="D860" t="e">
            <v>#DIV/0!</v>
          </cell>
          <cell r="E860" t="e">
            <v>#DIV/0!</v>
          </cell>
        </row>
        <row r="861">
          <cell r="A861">
            <v>40305</v>
          </cell>
          <cell r="B861" t="str">
            <v>#Calc</v>
          </cell>
          <cell r="C861" t="e">
            <v>#DIV/0!</v>
          </cell>
          <cell r="D861" t="e">
            <v>#DIV/0!</v>
          </cell>
          <cell r="E861" t="e">
            <v>#DIV/0!</v>
          </cell>
        </row>
        <row r="862">
          <cell r="A862">
            <v>40306</v>
          </cell>
          <cell r="B862" t="str">
            <v>#Calc</v>
          </cell>
          <cell r="C862" t="e">
            <v>#DIV/0!</v>
          </cell>
          <cell r="D862" t="e">
            <v>#DIV/0!</v>
          </cell>
          <cell r="E862" t="e">
            <v>#DIV/0!</v>
          </cell>
        </row>
        <row r="863">
          <cell r="A863">
            <v>40307</v>
          </cell>
          <cell r="B863" t="str">
            <v>#Calc</v>
          </cell>
          <cell r="C863" t="e">
            <v>#DIV/0!</v>
          </cell>
          <cell r="D863" t="e">
            <v>#DIV/0!</v>
          </cell>
          <cell r="E863" t="e">
            <v>#DIV/0!</v>
          </cell>
        </row>
        <row r="864">
          <cell r="A864">
            <v>40308</v>
          </cell>
          <cell r="B864" t="str">
            <v>#Calc</v>
          </cell>
          <cell r="C864" t="e">
            <v>#DIV/0!</v>
          </cell>
          <cell r="D864" t="e">
            <v>#DIV/0!</v>
          </cell>
          <cell r="E864" t="e">
            <v>#DIV/0!</v>
          </cell>
        </row>
        <row r="865">
          <cell r="A865">
            <v>40309</v>
          </cell>
          <cell r="B865" t="str">
            <v>#Calc</v>
          </cell>
          <cell r="C865" t="e">
            <v>#DIV/0!</v>
          </cell>
          <cell r="D865" t="e">
            <v>#DIV/0!</v>
          </cell>
          <cell r="E865" t="e">
            <v>#DIV/0!</v>
          </cell>
        </row>
        <row r="866">
          <cell r="A866">
            <v>40310</v>
          </cell>
          <cell r="B866" t="str">
            <v>#Calc</v>
          </cell>
          <cell r="C866" t="e">
            <v>#DIV/0!</v>
          </cell>
          <cell r="D866" t="e">
            <v>#DIV/0!</v>
          </cell>
          <cell r="E866" t="e">
            <v>#DIV/0!</v>
          </cell>
        </row>
        <row r="867">
          <cell r="A867">
            <v>40311</v>
          </cell>
          <cell r="B867" t="str">
            <v>#Calc</v>
          </cell>
          <cell r="C867" t="e">
            <v>#DIV/0!</v>
          </cell>
          <cell r="D867" t="e">
            <v>#DIV/0!</v>
          </cell>
          <cell r="E867" t="e">
            <v>#DIV/0!</v>
          </cell>
        </row>
        <row r="868">
          <cell r="A868">
            <v>40312</v>
          </cell>
          <cell r="B868" t="str">
            <v>#Calc</v>
          </cell>
          <cell r="C868" t="e">
            <v>#DIV/0!</v>
          </cell>
          <cell r="D868" t="e">
            <v>#DIV/0!</v>
          </cell>
          <cell r="E868" t="e">
            <v>#DIV/0!</v>
          </cell>
        </row>
        <row r="869">
          <cell r="A869">
            <v>40313</v>
          </cell>
          <cell r="B869" t="str">
            <v>#Calc</v>
          </cell>
          <cell r="C869" t="e">
            <v>#DIV/0!</v>
          </cell>
          <cell r="D869" t="e">
            <v>#DIV/0!</v>
          </cell>
          <cell r="E869" t="e">
            <v>#DIV/0!</v>
          </cell>
        </row>
        <row r="870">
          <cell r="A870">
            <v>40314</v>
          </cell>
          <cell r="B870" t="str">
            <v>#Calc</v>
          </cell>
          <cell r="C870" t="e">
            <v>#DIV/0!</v>
          </cell>
          <cell r="D870" t="e">
            <v>#DIV/0!</v>
          </cell>
          <cell r="E870" t="e">
            <v>#DIV/0!</v>
          </cell>
        </row>
        <row r="871">
          <cell r="A871">
            <v>40315</v>
          </cell>
          <cell r="B871" t="str">
            <v>#Calc</v>
          </cell>
          <cell r="C871" t="e">
            <v>#DIV/0!</v>
          </cell>
          <cell r="D871" t="e">
            <v>#DIV/0!</v>
          </cell>
          <cell r="E871" t="e">
            <v>#DIV/0!</v>
          </cell>
        </row>
        <row r="872">
          <cell r="A872">
            <v>40316</v>
          </cell>
          <cell r="B872" t="str">
            <v>#Calc</v>
          </cell>
          <cell r="C872" t="e">
            <v>#DIV/0!</v>
          </cell>
          <cell r="D872" t="e">
            <v>#DIV/0!</v>
          </cell>
          <cell r="E872" t="e">
            <v>#DIV/0!</v>
          </cell>
        </row>
        <row r="873">
          <cell r="A873">
            <v>40317</v>
          </cell>
          <cell r="B873" t="str">
            <v>#Calc</v>
          </cell>
          <cell r="C873" t="e">
            <v>#DIV/0!</v>
          </cell>
          <cell r="D873" t="e">
            <v>#DIV/0!</v>
          </cell>
          <cell r="E873" t="e">
            <v>#DIV/0!</v>
          </cell>
        </row>
        <row r="874">
          <cell r="A874">
            <v>40318</v>
          </cell>
          <cell r="B874" t="str">
            <v>#Calc</v>
          </cell>
          <cell r="C874" t="e">
            <v>#DIV/0!</v>
          </cell>
          <cell r="D874" t="e">
            <v>#DIV/0!</v>
          </cell>
          <cell r="E874" t="e">
            <v>#DIV/0!</v>
          </cell>
        </row>
        <row r="875">
          <cell r="A875">
            <v>40319</v>
          </cell>
          <cell r="B875" t="str">
            <v>#Calc</v>
          </cell>
          <cell r="C875" t="e">
            <v>#DIV/0!</v>
          </cell>
          <cell r="D875" t="e">
            <v>#DIV/0!</v>
          </cell>
          <cell r="E875" t="e">
            <v>#DIV/0!</v>
          </cell>
        </row>
        <row r="876">
          <cell r="A876">
            <v>40320</v>
          </cell>
          <cell r="B876" t="str">
            <v>#Calc</v>
          </cell>
          <cell r="C876" t="e">
            <v>#DIV/0!</v>
          </cell>
          <cell r="D876" t="e">
            <v>#DIV/0!</v>
          </cell>
          <cell r="E876" t="e">
            <v>#DIV/0!</v>
          </cell>
        </row>
        <row r="877">
          <cell r="A877">
            <v>40321</v>
          </cell>
          <cell r="B877" t="str">
            <v>#Calc</v>
          </cell>
          <cell r="C877" t="e">
            <v>#DIV/0!</v>
          </cell>
          <cell r="D877" t="e">
            <v>#DIV/0!</v>
          </cell>
          <cell r="E877" t="e">
            <v>#DIV/0!</v>
          </cell>
        </row>
        <row r="878">
          <cell r="A878">
            <v>40322</v>
          </cell>
          <cell r="B878" t="str">
            <v>#Calc</v>
          </cell>
          <cell r="C878" t="e">
            <v>#DIV/0!</v>
          </cell>
          <cell r="D878" t="e">
            <v>#DIV/0!</v>
          </cell>
          <cell r="E878" t="e">
            <v>#DIV/0!</v>
          </cell>
        </row>
        <row r="879">
          <cell r="A879">
            <v>40323</v>
          </cell>
          <cell r="B879" t="str">
            <v>#Calc</v>
          </cell>
          <cell r="C879" t="e">
            <v>#DIV/0!</v>
          </cell>
          <cell r="D879" t="e">
            <v>#DIV/0!</v>
          </cell>
          <cell r="E879" t="e">
            <v>#DIV/0!</v>
          </cell>
        </row>
        <row r="880">
          <cell r="A880">
            <v>40324</v>
          </cell>
          <cell r="B880" t="str">
            <v>#Calc</v>
          </cell>
          <cell r="C880" t="e">
            <v>#DIV/0!</v>
          </cell>
          <cell r="D880" t="e">
            <v>#DIV/0!</v>
          </cell>
          <cell r="E880" t="e">
            <v>#DIV/0!</v>
          </cell>
        </row>
        <row r="881">
          <cell r="A881">
            <v>40325</v>
          </cell>
          <cell r="B881" t="str">
            <v>#Calc</v>
          </cell>
          <cell r="C881" t="e">
            <v>#DIV/0!</v>
          </cell>
          <cell r="D881" t="e">
            <v>#DIV/0!</v>
          </cell>
          <cell r="E881" t="e">
            <v>#DIV/0!</v>
          </cell>
        </row>
        <row r="882">
          <cell r="A882">
            <v>40326</v>
          </cell>
          <cell r="B882" t="str">
            <v>#Calc</v>
          </cell>
          <cell r="C882" t="e">
            <v>#DIV/0!</v>
          </cell>
          <cell r="D882" t="e">
            <v>#DIV/0!</v>
          </cell>
          <cell r="E882" t="e">
            <v>#DIV/0!</v>
          </cell>
        </row>
        <row r="883">
          <cell r="A883">
            <v>40327</v>
          </cell>
          <cell r="B883" t="str">
            <v>#Calc</v>
          </cell>
          <cell r="C883" t="e">
            <v>#DIV/0!</v>
          </cell>
          <cell r="D883" t="e">
            <v>#DIV/0!</v>
          </cell>
          <cell r="E883" t="e">
            <v>#DIV/0!</v>
          </cell>
        </row>
        <row r="884">
          <cell r="A884">
            <v>40328</v>
          </cell>
          <cell r="B884" t="str">
            <v>#Calc</v>
          </cell>
          <cell r="C884" t="e">
            <v>#DIV/0!</v>
          </cell>
          <cell r="D884" t="e">
            <v>#DIV/0!</v>
          </cell>
          <cell r="E884" t="e">
            <v>#DIV/0!</v>
          </cell>
        </row>
        <row r="885">
          <cell r="A885">
            <v>40329</v>
          </cell>
          <cell r="B885" t="str">
            <v>#Calc</v>
          </cell>
          <cell r="C885" t="e">
            <v>#DIV/0!</v>
          </cell>
          <cell r="D885" t="e">
            <v>#DIV/0!</v>
          </cell>
          <cell r="E885" t="e">
            <v>#DIV/0!</v>
          </cell>
        </row>
        <row r="886">
          <cell r="A886">
            <v>40330</v>
          </cell>
          <cell r="B886" t="str">
            <v>#Calc</v>
          </cell>
          <cell r="C886" t="e">
            <v>#DIV/0!</v>
          </cell>
          <cell r="D886" t="e">
            <v>#DIV/0!</v>
          </cell>
          <cell r="E886" t="e">
            <v>#DIV/0!</v>
          </cell>
        </row>
        <row r="887">
          <cell r="A887">
            <v>40331</v>
          </cell>
          <cell r="B887" t="str">
            <v>#Calc</v>
          </cell>
          <cell r="C887" t="e">
            <v>#DIV/0!</v>
          </cell>
          <cell r="D887" t="e">
            <v>#DIV/0!</v>
          </cell>
          <cell r="E887" t="e">
            <v>#DIV/0!</v>
          </cell>
        </row>
        <row r="888">
          <cell r="A888">
            <v>40332</v>
          </cell>
          <cell r="B888" t="str">
            <v>#Calc</v>
          </cell>
          <cell r="C888" t="e">
            <v>#DIV/0!</v>
          </cell>
          <cell r="D888" t="e">
            <v>#DIV/0!</v>
          </cell>
          <cell r="E888" t="e">
            <v>#DIV/0!</v>
          </cell>
        </row>
        <row r="889">
          <cell r="A889">
            <v>40333</v>
          </cell>
          <cell r="B889" t="str">
            <v>#Calc</v>
          </cell>
          <cell r="C889" t="e">
            <v>#DIV/0!</v>
          </cell>
          <cell r="D889" t="e">
            <v>#DIV/0!</v>
          </cell>
          <cell r="E889" t="e">
            <v>#DIV/0!</v>
          </cell>
        </row>
        <row r="890">
          <cell r="A890">
            <v>40334</v>
          </cell>
          <cell r="B890" t="str">
            <v>#Calc</v>
          </cell>
          <cell r="C890" t="e">
            <v>#DIV/0!</v>
          </cell>
          <cell r="D890" t="e">
            <v>#DIV/0!</v>
          </cell>
          <cell r="E890" t="e">
            <v>#DIV/0!</v>
          </cell>
        </row>
        <row r="891">
          <cell r="A891">
            <v>40335</v>
          </cell>
          <cell r="B891" t="str">
            <v>#Calc</v>
          </cell>
          <cell r="C891" t="e">
            <v>#DIV/0!</v>
          </cell>
          <cell r="D891" t="e">
            <v>#DIV/0!</v>
          </cell>
          <cell r="E891" t="e">
            <v>#DIV/0!</v>
          </cell>
        </row>
        <row r="892">
          <cell r="A892">
            <v>40336</v>
          </cell>
          <cell r="B892" t="str">
            <v>#Calc</v>
          </cell>
          <cell r="C892" t="e">
            <v>#DIV/0!</v>
          </cell>
          <cell r="D892" t="e">
            <v>#DIV/0!</v>
          </cell>
          <cell r="E892" t="e">
            <v>#DIV/0!</v>
          </cell>
        </row>
        <row r="893">
          <cell r="A893">
            <v>40337</v>
          </cell>
          <cell r="B893" t="str">
            <v>#Calc</v>
          </cell>
          <cell r="C893" t="e">
            <v>#DIV/0!</v>
          </cell>
          <cell r="D893" t="e">
            <v>#DIV/0!</v>
          </cell>
          <cell r="E893" t="e">
            <v>#DIV/0!</v>
          </cell>
        </row>
        <row r="894">
          <cell r="A894">
            <v>40338</v>
          </cell>
          <cell r="B894" t="str">
            <v>#Calc</v>
          </cell>
          <cell r="C894" t="e">
            <v>#DIV/0!</v>
          </cell>
          <cell r="D894" t="e">
            <v>#DIV/0!</v>
          </cell>
          <cell r="E894" t="e">
            <v>#DIV/0!</v>
          </cell>
        </row>
        <row r="895">
          <cell r="A895">
            <v>40339</v>
          </cell>
          <cell r="B895" t="str">
            <v>#Calc</v>
          </cell>
          <cell r="C895" t="e">
            <v>#DIV/0!</v>
          </cell>
          <cell r="D895" t="e">
            <v>#DIV/0!</v>
          </cell>
          <cell r="E895" t="e">
            <v>#DIV/0!</v>
          </cell>
        </row>
        <row r="896">
          <cell r="A896">
            <v>40340</v>
          </cell>
          <cell r="B896" t="str">
            <v>#Calc</v>
          </cell>
          <cell r="C896" t="e">
            <v>#DIV/0!</v>
          </cell>
          <cell r="D896" t="e">
            <v>#DIV/0!</v>
          </cell>
          <cell r="E896" t="e">
            <v>#DIV/0!</v>
          </cell>
        </row>
        <row r="897">
          <cell r="A897">
            <v>40341</v>
          </cell>
          <cell r="B897" t="str">
            <v>#Calc</v>
          </cell>
          <cell r="C897" t="e">
            <v>#DIV/0!</v>
          </cell>
          <cell r="D897" t="e">
            <v>#DIV/0!</v>
          </cell>
          <cell r="E897" t="e">
            <v>#DIV/0!</v>
          </cell>
        </row>
        <row r="898">
          <cell r="A898">
            <v>40342</v>
          </cell>
          <cell r="B898" t="str">
            <v>#Calc</v>
          </cell>
          <cell r="C898" t="e">
            <v>#DIV/0!</v>
          </cell>
          <cell r="D898" t="e">
            <v>#DIV/0!</v>
          </cell>
          <cell r="E898" t="e">
            <v>#DIV/0!</v>
          </cell>
        </row>
        <row r="899">
          <cell r="A899">
            <v>40343</v>
          </cell>
          <cell r="B899" t="str">
            <v>#Calc</v>
          </cell>
          <cell r="C899" t="e">
            <v>#DIV/0!</v>
          </cell>
          <cell r="D899" t="e">
            <v>#DIV/0!</v>
          </cell>
          <cell r="E899" t="e">
            <v>#DIV/0!</v>
          </cell>
        </row>
        <row r="900">
          <cell r="A900">
            <v>40344</v>
          </cell>
          <cell r="B900" t="str">
            <v>#Calc</v>
          </cell>
          <cell r="C900" t="e">
            <v>#DIV/0!</v>
          </cell>
          <cell r="D900" t="e">
            <v>#DIV/0!</v>
          </cell>
          <cell r="E900" t="e">
            <v>#DIV/0!</v>
          </cell>
        </row>
        <row r="901">
          <cell r="A901">
            <v>40345</v>
          </cell>
          <cell r="B901" t="str">
            <v>#Calc</v>
          </cell>
          <cell r="C901" t="e">
            <v>#DIV/0!</v>
          </cell>
          <cell r="D901" t="e">
            <v>#DIV/0!</v>
          </cell>
          <cell r="E901" t="e">
            <v>#DIV/0!</v>
          </cell>
        </row>
        <row r="902">
          <cell r="A902">
            <v>40346</v>
          </cell>
          <cell r="B902" t="str">
            <v>#Calc</v>
          </cell>
          <cell r="C902" t="e">
            <v>#DIV/0!</v>
          </cell>
          <cell r="D902" t="e">
            <v>#DIV/0!</v>
          </cell>
          <cell r="E902" t="e">
            <v>#DIV/0!</v>
          </cell>
        </row>
        <row r="903">
          <cell r="A903">
            <v>40347</v>
          </cell>
          <cell r="B903" t="str">
            <v>#Calc</v>
          </cell>
          <cell r="C903" t="e">
            <v>#DIV/0!</v>
          </cell>
          <cell r="D903" t="e">
            <v>#DIV/0!</v>
          </cell>
          <cell r="E903" t="e">
            <v>#DIV/0!</v>
          </cell>
        </row>
        <row r="904">
          <cell r="A904">
            <v>40348</v>
          </cell>
          <cell r="B904" t="str">
            <v>#Calc</v>
          </cell>
          <cell r="C904" t="e">
            <v>#DIV/0!</v>
          </cell>
          <cell r="D904" t="e">
            <v>#DIV/0!</v>
          </cell>
          <cell r="E904" t="e">
            <v>#DIV/0!</v>
          </cell>
        </row>
        <row r="905">
          <cell r="A905">
            <v>40349</v>
          </cell>
          <cell r="B905" t="str">
            <v>#Calc</v>
          </cell>
          <cell r="C905" t="e">
            <v>#DIV/0!</v>
          </cell>
          <cell r="D905" t="e">
            <v>#DIV/0!</v>
          </cell>
          <cell r="E905" t="e">
            <v>#DIV/0!</v>
          </cell>
        </row>
        <row r="906">
          <cell r="A906">
            <v>40350</v>
          </cell>
          <cell r="B906" t="str">
            <v>#Calc</v>
          </cell>
          <cell r="C906" t="e">
            <v>#DIV/0!</v>
          </cell>
          <cell r="D906" t="e">
            <v>#DIV/0!</v>
          </cell>
          <cell r="E906" t="e">
            <v>#DIV/0!</v>
          </cell>
        </row>
        <row r="907">
          <cell r="A907">
            <v>40351</v>
          </cell>
          <cell r="B907" t="str">
            <v>#Calc</v>
          </cell>
          <cell r="C907" t="e">
            <v>#DIV/0!</v>
          </cell>
          <cell r="D907" t="e">
            <v>#DIV/0!</v>
          </cell>
          <cell r="E907" t="e">
            <v>#DIV/0!</v>
          </cell>
        </row>
        <row r="908">
          <cell r="A908">
            <v>40352</v>
          </cell>
          <cell r="B908" t="str">
            <v>#Calc</v>
          </cell>
          <cell r="C908" t="e">
            <v>#DIV/0!</v>
          </cell>
          <cell r="D908" t="e">
            <v>#DIV/0!</v>
          </cell>
          <cell r="E908" t="e">
            <v>#DIV/0!</v>
          </cell>
        </row>
        <row r="909">
          <cell r="A909">
            <v>40353</v>
          </cell>
          <cell r="B909" t="str">
            <v>#Calc</v>
          </cell>
          <cell r="C909" t="e">
            <v>#DIV/0!</v>
          </cell>
          <cell r="D909" t="e">
            <v>#DIV/0!</v>
          </cell>
          <cell r="E909" t="e">
            <v>#DIV/0!</v>
          </cell>
        </row>
        <row r="910">
          <cell r="A910">
            <v>40354</v>
          </cell>
          <cell r="B910" t="str">
            <v>#Calc</v>
          </cell>
          <cell r="C910" t="e">
            <v>#DIV/0!</v>
          </cell>
          <cell r="D910" t="e">
            <v>#DIV/0!</v>
          </cell>
          <cell r="E910" t="e">
            <v>#DIV/0!</v>
          </cell>
        </row>
        <row r="911">
          <cell r="A911">
            <v>40355</v>
          </cell>
          <cell r="B911" t="str">
            <v>#Calc</v>
          </cell>
          <cell r="C911" t="e">
            <v>#DIV/0!</v>
          </cell>
          <cell r="D911" t="e">
            <v>#DIV/0!</v>
          </cell>
          <cell r="E911" t="e">
            <v>#DIV/0!</v>
          </cell>
        </row>
        <row r="912">
          <cell r="A912">
            <v>40356</v>
          </cell>
          <cell r="B912" t="str">
            <v>#Calc</v>
          </cell>
          <cell r="C912" t="e">
            <v>#DIV/0!</v>
          </cell>
          <cell r="D912" t="e">
            <v>#DIV/0!</v>
          </cell>
          <cell r="E912" t="e">
            <v>#DIV/0!</v>
          </cell>
        </row>
        <row r="913">
          <cell r="A913">
            <v>40357</v>
          </cell>
          <cell r="B913" t="str">
            <v>#Calc</v>
          </cell>
          <cell r="C913" t="e">
            <v>#DIV/0!</v>
          </cell>
          <cell r="D913" t="e">
            <v>#DIV/0!</v>
          </cell>
          <cell r="E913" t="e">
            <v>#DIV/0!</v>
          </cell>
        </row>
        <row r="914">
          <cell r="A914">
            <v>40358</v>
          </cell>
          <cell r="B914" t="str">
            <v>#Calc</v>
          </cell>
          <cell r="C914" t="e">
            <v>#DIV/0!</v>
          </cell>
          <cell r="D914" t="e">
            <v>#DIV/0!</v>
          </cell>
          <cell r="E914" t="e">
            <v>#DIV/0!</v>
          </cell>
        </row>
        <row r="915">
          <cell r="A915">
            <v>40359</v>
          </cell>
          <cell r="B915" t="str">
            <v>#Calc</v>
          </cell>
          <cell r="C915" t="e">
            <v>#DIV/0!</v>
          </cell>
          <cell r="D915" t="e">
            <v>#DIV/0!</v>
          </cell>
          <cell r="E915" t="e">
            <v>#DIV/0!</v>
          </cell>
        </row>
        <row r="916">
          <cell r="A916">
            <v>40360</v>
          </cell>
          <cell r="B916" t="str">
            <v>#Calc</v>
          </cell>
          <cell r="C916" t="e">
            <v>#DIV/0!</v>
          </cell>
          <cell r="D916" t="e">
            <v>#DIV/0!</v>
          </cell>
          <cell r="E916" t="e">
            <v>#DIV/0!</v>
          </cell>
        </row>
        <row r="917">
          <cell r="A917">
            <v>40361</v>
          </cell>
          <cell r="B917" t="str">
            <v>#Calc</v>
          </cell>
          <cell r="C917" t="e">
            <v>#DIV/0!</v>
          </cell>
          <cell r="D917" t="e">
            <v>#DIV/0!</v>
          </cell>
          <cell r="E917" t="e">
            <v>#DIV/0!</v>
          </cell>
        </row>
        <row r="918">
          <cell r="A918">
            <v>40362</v>
          </cell>
          <cell r="B918" t="str">
            <v>#Calc</v>
          </cell>
          <cell r="C918" t="e">
            <v>#DIV/0!</v>
          </cell>
          <cell r="D918" t="e">
            <v>#DIV/0!</v>
          </cell>
          <cell r="E918" t="e">
            <v>#DIV/0!</v>
          </cell>
        </row>
        <row r="919">
          <cell r="A919">
            <v>40363</v>
          </cell>
          <cell r="B919" t="str">
            <v>#Calc</v>
          </cell>
          <cell r="C919" t="e">
            <v>#DIV/0!</v>
          </cell>
          <cell r="D919" t="e">
            <v>#DIV/0!</v>
          </cell>
          <cell r="E919" t="e">
            <v>#DIV/0!</v>
          </cell>
        </row>
        <row r="920">
          <cell r="A920">
            <v>40364</v>
          </cell>
          <cell r="B920" t="str">
            <v>#Calc</v>
          </cell>
          <cell r="C920" t="e">
            <v>#DIV/0!</v>
          </cell>
          <cell r="D920" t="e">
            <v>#DIV/0!</v>
          </cell>
          <cell r="E920" t="e">
            <v>#DIV/0!</v>
          </cell>
        </row>
        <row r="921">
          <cell r="A921">
            <v>40365</v>
          </cell>
          <cell r="B921" t="str">
            <v>#Calc</v>
          </cell>
          <cell r="C921" t="e">
            <v>#DIV/0!</v>
          </cell>
          <cell r="D921" t="e">
            <v>#DIV/0!</v>
          </cell>
          <cell r="E921" t="e">
            <v>#DIV/0!</v>
          </cell>
        </row>
        <row r="922">
          <cell r="A922">
            <v>40366</v>
          </cell>
          <cell r="B922" t="str">
            <v>#Calc</v>
          </cell>
          <cell r="C922" t="e">
            <v>#DIV/0!</v>
          </cell>
          <cell r="D922" t="e">
            <v>#DIV/0!</v>
          </cell>
          <cell r="E922" t="e">
            <v>#DIV/0!</v>
          </cell>
        </row>
        <row r="923">
          <cell r="A923">
            <v>40367</v>
          </cell>
          <cell r="B923" t="str">
            <v>#Calc</v>
          </cell>
          <cell r="C923" t="e">
            <v>#DIV/0!</v>
          </cell>
          <cell r="D923" t="e">
            <v>#DIV/0!</v>
          </cell>
          <cell r="E923" t="e">
            <v>#DIV/0!</v>
          </cell>
        </row>
        <row r="924">
          <cell r="A924">
            <v>40368</v>
          </cell>
          <cell r="B924" t="str">
            <v>#Calc</v>
          </cell>
          <cell r="C924" t="e">
            <v>#DIV/0!</v>
          </cell>
          <cell r="D924" t="e">
            <v>#DIV/0!</v>
          </cell>
          <cell r="E924" t="e">
            <v>#DIV/0!</v>
          </cell>
        </row>
        <row r="925">
          <cell r="A925">
            <v>40369</v>
          </cell>
          <cell r="B925" t="str">
            <v>#Calc</v>
          </cell>
          <cell r="C925" t="e">
            <v>#DIV/0!</v>
          </cell>
          <cell r="D925" t="e">
            <v>#DIV/0!</v>
          </cell>
          <cell r="E925" t="e">
            <v>#DIV/0!</v>
          </cell>
        </row>
        <row r="926">
          <cell r="A926">
            <v>40370</v>
          </cell>
          <cell r="B926" t="str">
            <v>#Calc</v>
          </cell>
          <cell r="C926" t="e">
            <v>#DIV/0!</v>
          </cell>
          <cell r="D926" t="e">
            <v>#DIV/0!</v>
          </cell>
          <cell r="E926" t="e">
            <v>#DIV/0!</v>
          </cell>
        </row>
        <row r="927">
          <cell r="A927">
            <v>40371</v>
          </cell>
          <cell r="B927" t="str">
            <v>#Calc</v>
          </cell>
          <cell r="C927" t="e">
            <v>#DIV/0!</v>
          </cell>
          <cell r="D927" t="e">
            <v>#DIV/0!</v>
          </cell>
          <cell r="E927" t="e">
            <v>#DIV/0!</v>
          </cell>
        </row>
        <row r="928">
          <cell r="A928">
            <v>40372</v>
          </cell>
          <cell r="B928" t="str">
            <v>#Calc</v>
          </cell>
          <cell r="C928" t="e">
            <v>#DIV/0!</v>
          </cell>
          <cell r="D928" t="e">
            <v>#DIV/0!</v>
          </cell>
          <cell r="E928" t="e">
            <v>#DIV/0!</v>
          </cell>
        </row>
        <row r="929">
          <cell r="A929">
            <v>40373</v>
          </cell>
          <cell r="B929" t="str">
            <v>#Calc</v>
          </cell>
          <cell r="C929" t="e">
            <v>#DIV/0!</v>
          </cell>
          <cell r="D929" t="e">
            <v>#DIV/0!</v>
          </cell>
          <cell r="E929" t="e">
            <v>#DIV/0!</v>
          </cell>
        </row>
        <row r="930">
          <cell r="A930">
            <v>40374</v>
          </cell>
          <cell r="B930" t="str">
            <v>#Calc</v>
          </cell>
          <cell r="C930" t="e">
            <v>#DIV/0!</v>
          </cell>
          <cell r="D930" t="e">
            <v>#DIV/0!</v>
          </cell>
          <cell r="E930" t="e">
            <v>#DIV/0!</v>
          </cell>
        </row>
        <row r="931">
          <cell r="A931">
            <v>40375</v>
          </cell>
          <cell r="B931" t="str">
            <v>#Calc</v>
          </cell>
          <cell r="C931" t="e">
            <v>#DIV/0!</v>
          </cell>
          <cell r="D931" t="e">
            <v>#DIV/0!</v>
          </cell>
          <cell r="E931" t="e">
            <v>#DIV/0!</v>
          </cell>
        </row>
        <row r="932">
          <cell r="A932">
            <v>40376</v>
          </cell>
          <cell r="B932" t="str">
            <v>#Calc</v>
          </cell>
          <cell r="C932" t="e">
            <v>#DIV/0!</v>
          </cell>
          <cell r="D932" t="e">
            <v>#DIV/0!</v>
          </cell>
          <cell r="E932" t="e">
            <v>#DIV/0!</v>
          </cell>
        </row>
        <row r="933">
          <cell r="A933">
            <v>40377</v>
          </cell>
          <cell r="B933" t="str">
            <v>#Calc</v>
          </cell>
          <cell r="C933" t="e">
            <v>#DIV/0!</v>
          </cell>
          <cell r="D933" t="e">
            <v>#DIV/0!</v>
          </cell>
          <cell r="E933" t="e">
            <v>#DIV/0!</v>
          </cell>
        </row>
        <row r="934">
          <cell r="A934">
            <v>40378</v>
          </cell>
          <cell r="B934" t="str">
            <v>#Calc</v>
          </cell>
          <cell r="C934" t="e">
            <v>#DIV/0!</v>
          </cell>
          <cell r="D934" t="e">
            <v>#DIV/0!</v>
          </cell>
          <cell r="E934" t="e">
            <v>#DIV/0!</v>
          </cell>
        </row>
        <row r="935">
          <cell r="A935">
            <v>40379</v>
          </cell>
          <cell r="B935" t="str">
            <v>#Calc</v>
          </cell>
          <cell r="C935" t="e">
            <v>#DIV/0!</v>
          </cell>
          <cell r="D935" t="e">
            <v>#DIV/0!</v>
          </cell>
          <cell r="E935" t="e">
            <v>#DIV/0!</v>
          </cell>
        </row>
        <row r="936">
          <cell r="A936">
            <v>40380</v>
          </cell>
          <cell r="B936" t="str">
            <v>#Calc</v>
          </cell>
          <cell r="C936" t="e">
            <v>#DIV/0!</v>
          </cell>
          <cell r="D936" t="e">
            <v>#DIV/0!</v>
          </cell>
          <cell r="E936" t="e">
            <v>#DIV/0!</v>
          </cell>
        </row>
        <row r="937">
          <cell r="A937">
            <v>40381</v>
          </cell>
          <cell r="B937" t="str">
            <v>#Calc</v>
          </cell>
          <cell r="C937" t="e">
            <v>#DIV/0!</v>
          </cell>
          <cell r="D937" t="e">
            <v>#DIV/0!</v>
          </cell>
          <cell r="E937" t="e">
            <v>#DIV/0!</v>
          </cell>
        </row>
        <row r="938">
          <cell r="A938">
            <v>40382</v>
          </cell>
          <cell r="B938" t="str">
            <v>#Calc</v>
          </cell>
          <cell r="C938" t="e">
            <v>#DIV/0!</v>
          </cell>
          <cell r="D938" t="e">
            <v>#DIV/0!</v>
          </cell>
          <cell r="E938" t="e">
            <v>#DIV/0!</v>
          </cell>
        </row>
        <row r="939">
          <cell r="A939">
            <v>40383</v>
          </cell>
          <cell r="B939" t="str">
            <v>#Calc</v>
          </cell>
          <cell r="C939" t="e">
            <v>#DIV/0!</v>
          </cell>
          <cell r="D939" t="e">
            <v>#DIV/0!</v>
          </cell>
          <cell r="E939" t="e">
            <v>#DIV/0!</v>
          </cell>
        </row>
        <row r="940">
          <cell r="A940">
            <v>40384</v>
          </cell>
          <cell r="B940" t="str">
            <v>#Calc</v>
          </cell>
          <cell r="C940" t="e">
            <v>#DIV/0!</v>
          </cell>
          <cell r="D940" t="e">
            <v>#DIV/0!</v>
          </cell>
          <cell r="E940" t="e">
            <v>#DIV/0!</v>
          </cell>
        </row>
        <row r="941">
          <cell r="A941">
            <v>40385</v>
          </cell>
          <cell r="B941" t="str">
            <v>#Calc</v>
          </cell>
          <cell r="C941" t="e">
            <v>#DIV/0!</v>
          </cell>
          <cell r="D941" t="e">
            <v>#DIV/0!</v>
          </cell>
          <cell r="E941" t="e">
            <v>#DIV/0!</v>
          </cell>
        </row>
        <row r="942">
          <cell r="A942">
            <v>40386</v>
          </cell>
          <cell r="B942" t="str">
            <v>#Calc</v>
          </cell>
          <cell r="C942" t="e">
            <v>#DIV/0!</v>
          </cell>
          <cell r="D942" t="e">
            <v>#DIV/0!</v>
          </cell>
          <cell r="E942" t="e">
            <v>#DIV/0!</v>
          </cell>
        </row>
        <row r="943">
          <cell r="A943">
            <v>40387</v>
          </cell>
          <cell r="B943" t="str">
            <v>#Calc</v>
          </cell>
          <cell r="C943" t="e">
            <v>#DIV/0!</v>
          </cell>
          <cell r="D943" t="e">
            <v>#DIV/0!</v>
          </cell>
          <cell r="E943" t="e">
            <v>#DIV/0!</v>
          </cell>
        </row>
        <row r="944">
          <cell r="A944">
            <v>40388</v>
          </cell>
          <cell r="B944" t="str">
            <v>#Calc</v>
          </cell>
          <cell r="C944" t="e">
            <v>#DIV/0!</v>
          </cell>
          <cell r="D944" t="e">
            <v>#DIV/0!</v>
          </cell>
          <cell r="E944" t="e">
            <v>#DIV/0!</v>
          </cell>
        </row>
        <row r="945">
          <cell r="A945">
            <v>40389</v>
          </cell>
          <cell r="B945" t="str">
            <v>#Calc</v>
          </cell>
          <cell r="C945" t="e">
            <v>#DIV/0!</v>
          </cell>
          <cell r="D945" t="e">
            <v>#DIV/0!</v>
          </cell>
          <cell r="E945" t="e">
            <v>#DIV/0!</v>
          </cell>
        </row>
        <row r="946">
          <cell r="A946">
            <v>40390</v>
          </cell>
          <cell r="B946" t="str">
            <v>#Calc</v>
          </cell>
          <cell r="C946" t="e">
            <v>#DIV/0!</v>
          </cell>
          <cell r="D946" t="e">
            <v>#DIV/0!</v>
          </cell>
          <cell r="E946" t="e">
            <v>#DIV/0!</v>
          </cell>
        </row>
        <row r="947">
          <cell r="A947">
            <v>40391</v>
          </cell>
          <cell r="B947" t="str">
            <v>#Calc</v>
          </cell>
          <cell r="C947" t="e">
            <v>#DIV/0!</v>
          </cell>
          <cell r="D947" t="e">
            <v>#DIV/0!</v>
          </cell>
          <cell r="E947" t="e">
            <v>#DIV/0!</v>
          </cell>
        </row>
        <row r="948">
          <cell r="A948">
            <v>40392</v>
          </cell>
          <cell r="B948" t="str">
            <v>#Calc</v>
          </cell>
          <cell r="C948" t="e">
            <v>#DIV/0!</v>
          </cell>
          <cell r="D948" t="e">
            <v>#DIV/0!</v>
          </cell>
          <cell r="E948" t="e">
            <v>#DIV/0!</v>
          </cell>
        </row>
        <row r="949">
          <cell r="A949">
            <v>40393</v>
          </cell>
          <cell r="B949" t="str">
            <v>#Calc</v>
          </cell>
          <cell r="C949" t="e">
            <v>#DIV/0!</v>
          </cell>
          <cell r="D949" t="e">
            <v>#DIV/0!</v>
          </cell>
          <cell r="E949" t="e">
            <v>#DIV/0!</v>
          </cell>
        </row>
        <row r="950">
          <cell r="A950">
            <v>40394</v>
          </cell>
          <cell r="B950" t="str">
            <v>#Calc</v>
          </cell>
          <cell r="C950" t="e">
            <v>#DIV/0!</v>
          </cell>
          <cell r="D950" t="e">
            <v>#DIV/0!</v>
          </cell>
          <cell r="E950" t="e">
            <v>#DIV/0!</v>
          </cell>
        </row>
        <row r="951">
          <cell r="A951">
            <v>40395</v>
          </cell>
          <cell r="B951" t="str">
            <v>#Calc</v>
          </cell>
          <cell r="C951" t="e">
            <v>#DIV/0!</v>
          </cell>
          <cell r="D951" t="e">
            <v>#DIV/0!</v>
          </cell>
          <cell r="E951" t="e">
            <v>#DIV/0!</v>
          </cell>
        </row>
        <row r="952">
          <cell r="A952">
            <v>40396</v>
          </cell>
          <cell r="B952" t="str">
            <v>#Calc</v>
          </cell>
          <cell r="C952" t="e">
            <v>#DIV/0!</v>
          </cell>
          <cell r="D952" t="e">
            <v>#DIV/0!</v>
          </cell>
          <cell r="E952" t="e">
            <v>#DIV/0!</v>
          </cell>
        </row>
        <row r="953">
          <cell r="A953">
            <v>40397</v>
          </cell>
          <cell r="B953" t="str">
            <v>#Calc</v>
          </cell>
          <cell r="C953" t="e">
            <v>#DIV/0!</v>
          </cell>
          <cell r="D953" t="e">
            <v>#DIV/0!</v>
          </cell>
          <cell r="E953" t="e">
            <v>#DIV/0!</v>
          </cell>
        </row>
        <row r="954">
          <cell r="A954">
            <v>40398</v>
          </cell>
          <cell r="B954" t="str">
            <v>#Calc</v>
          </cell>
          <cell r="C954" t="e">
            <v>#DIV/0!</v>
          </cell>
          <cell r="D954" t="e">
            <v>#DIV/0!</v>
          </cell>
          <cell r="E954" t="e">
            <v>#DIV/0!</v>
          </cell>
        </row>
        <row r="955">
          <cell r="A955">
            <v>40399</v>
          </cell>
          <cell r="B955" t="str">
            <v>#Calc</v>
          </cell>
          <cell r="C955" t="e">
            <v>#DIV/0!</v>
          </cell>
          <cell r="D955" t="e">
            <v>#DIV/0!</v>
          </cell>
          <cell r="E955" t="e">
            <v>#DIV/0!</v>
          </cell>
        </row>
        <row r="956">
          <cell r="A956">
            <v>40400</v>
          </cell>
          <cell r="B956" t="str">
            <v>#Calc</v>
          </cell>
          <cell r="C956" t="e">
            <v>#DIV/0!</v>
          </cell>
          <cell r="D956" t="e">
            <v>#DIV/0!</v>
          </cell>
          <cell r="E956" t="e">
            <v>#DIV/0!</v>
          </cell>
        </row>
        <row r="957">
          <cell r="A957">
            <v>40401</v>
          </cell>
          <cell r="B957" t="str">
            <v>#Calc</v>
          </cell>
          <cell r="C957" t="e">
            <v>#DIV/0!</v>
          </cell>
          <cell r="D957" t="e">
            <v>#DIV/0!</v>
          </cell>
          <cell r="E957" t="e">
            <v>#DIV/0!</v>
          </cell>
        </row>
        <row r="958">
          <cell r="A958">
            <v>40402</v>
          </cell>
          <cell r="B958" t="str">
            <v>#Calc</v>
          </cell>
          <cell r="C958" t="e">
            <v>#DIV/0!</v>
          </cell>
          <cell r="D958" t="e">
            <v>#DIV/0!</v>
          </cell>
          <cell r="E958" t="e">
            <v>#DIV/0!</v>
          </cell>
        </row>
        <row r="959">
          <cell r="A959">
            <v>40403</v>
          </cell>
          <cell r="B959" t="str">
            <v>#Calc</v>
          </cell>
          <cell r="C959" t="e">
            <v>#DIV/0!</v>
          </cell>
          <cell r="D959" t="e">
            <v>#DIV/0!</v>
          </cell>
          <cell r="E959" t="e">
            <v>#DIV/0!</v>
          </cell>
        </row>
        <row r="960">
          <cell r="A960">
            <v>40404</v>
          </cell>
          <cell r="B960" t="str">
            <v>#Calc</v>
          </cell>
          <cell r="C960" t="e">
            <v>#DIV/0!</v>
          </cell>
          <cell r="D960" t="e">
            <v>#DIV/0!</v>
          </cell>
          <cell r="E960" t="e">
            <v>#DIV/0!</v>
          </cell>
        </row>
        <row r="961">
          <cell r="A961">
            <v>40405</v>
          </cell>
          <cell r="B961" t="str">
            <v>#Calc</v>
          </cell>
          <cell r="C961" t="e">
            <v>#DIV/0!</v>
          </cell>
          <cell r="D961" t="e">
            <v>#DIV/0!</v>
          </cell>
          <cell r="E961" t="e">
            <v>#DIV/0!</v>
          </cell>
        </row>
        <row r="962">
          <cell r="A962">
            <v>40406</v>
          </cell>
          <cell r="B962" t="str">
            <v>#Calc</v>
          </cell>
          <cell r="C962" t="e">
            <v>#DIV/0!</v>
          </cell>
          <cell r="D962" t="e">
            <v>#DIV/0!</v>
          </cell>
          <cell r="E962" t="e">
            <v>#DIV/0!</v>
          </cell>
        </row>
        <row r="963">
          <cell r="A963">
            <v>40407</v>
          </cell>
          <cell r="B963" t="str">
            <v>#Calc</v>
          </cell>
          <cell r="C963" t="e">
            <v>#DIV/0!</v>
          </cell>
          <cell r="D963" t="e">
            <v>#DIV/0!</v>
          </cell>
          <cell r="E963" t="e">
            <v>#DIV/0!</v>
          </cell>
        </row>
        <row r="964">
          <cell r="A964">
            <v>40408</v>
          </cell>
          <cell r="B964" t="str">
            <v>#Calc</v>
          </cell>
          <cell r="C964" t="e">
            <v>#DIV/0!</v>
          </cell>
          <cell r="D964" t="e">
            <v>#DIV/0!</v>
          </cell>
          <cell r="E964" t="e">
            <v>#DIV/0!</v>
          </cell>
        </row>
        <row r="965">
          <cell r="A965">
            <v>40409</v>
          </cell>
          <cell r="B965" t="str">
            <v>#Calc</v>
          </cell>
          <cell r="C965" t="e">
            <v>#DIV/0!</v>
          </cell>
          <cell r="D965" t="e">
            <v>#DIV/0!</v>
          </cell>
          <cell r="E965" t="e">
            <v>#DIV/0!</v>
          </cell>
        </row>
        <row r="966">
          <cell r="A966">
            <v>40410</v>
          </cell>
          <cell r="B966" t="str">
            <v>#Calc</v>
          </cell>
          <cell r="C966" t="e">
            <v>#DIV/0!</v>
          </cell>
          <cell r="D966" t="e">
            <v>#DIV/0!</v>
          </cell>
          <cell r="E966" t="e">
            <v>#DIV/0!</v>
          </cell>
        </row>
        <row r="967">
          <cell r="A967">
            <v>40411</v>
          </cell>
          <cell r="B967" t="str">
            <v>#Calc</v>
          </cell>
          <cell r="C967" t="e">
            <v>#DIV/0!</v>
          </cell>
          <cell r="D967" t="e">
            <v>#DIV/0!</v>
          </cell>
          <cell r="E967" t="e">
            <v>#DIV/0!</v>
          </cell>
        </row>
        <row r="968">
          <cell r="A968">
            <v>40412</v>
          </cell>
          <cell r="B968" t="str">
            <v>#Calc</v>
          </cell>
          <cell r="C968" t="e">
            <v>#DIV/0!</v>
          </cell>
          <cell r="D968" t="e">
            <v>#DIV/0!</v>
          </cell>
          <cell r="E968" t="e">
            <v>#DIV/0!</v>
          </cell>
        </row>
        <row r="969">
          <cell r="A969">
            <v>40413</v>
          </cell>
          <cell r="B969" t="str">
            <v>#Calc</v>
          </cell>
          <cell r="C969" t="e">
            <v>#DIV/0!</v>
          </cell>
          <cell r="D969" t="e">
            <v>#DIV/0!</v>
          </cell>
          <cell r="E969" t="e">
            <v>#DIV/0!</v>
          </cell>
        </row>
        <row r="970">
          <cell r="A970">
            <v>40414</v>
          </cell>
          <cell r="B970" t="str">
            <v>#Calc</v>
          </cell>
          <cell r="C970" t="e">
            <v>#DIV/0!</v>
          </cell>
          <cell r="D970" t="e">
            <v>#DIV/0!</v>
          </cell>
          <cell r="E970" t="e">
            <v>#DIV/0!</v>
          </cell>
        </row>
        <row r="971">
          <cell r="A971">
            <v>40415</v>
          </cell>
          <cell r="B971" t="str">
            <v>#Calc</v>
          </cell>
          <cell r="C971" t="e">
            <v>#DIV/0!</v>
          </cell>
          <cell r="D971" t="e">
            <v>#DIV/0!</v>
          </cell>
          <cell r="E971" t="e">
            <v>#DIV/0!</v>
          </cell>
        </row>
        <row r="972">
          <cell r="A972">
            <v>40416</v>
          </cell>
          <cell r="B972" t="str">
            <v>#Calc</v>
          </cell>
          <cell r="C972" t="e">
            <v>#DIV/0!</v>
          </cell>
          <cell r="D972" t="e">
            <v>#DIV/0!</v>
          </cell>
          <cell r="E972" t="e">
            <v>#DIV/0!</v>
          </cell>
        </row>
        <row r="973">
          <cell r="A973">
            <v>40417</v>
          </cell>
          <cell r="B973" t="str">
            <v>#Calc</v>
          </cell>
          <cell r="C973" t="e">
            <v>#DIV/0!</v>
          </cell>
          <cell r="D973" t="e">
            <v>#DIV/0!</v>
          </cell>
          <cell r="E973" t="e">
            <v>#DIV/0!</v>
          </cell>
        </row>
        <row r="974">
          <cell r="A974">
            <v>40418</v>
          </cell>
          <cell r="B974" t="str">
            <v>#Calc</v>
          </cell>
          <cell r="C974" t="e">
            <v>#DIV/0!</v>
          </cell>
          <cell r="D974" t="e">
            <v>#DIV/0!</v>
          </cell>
          <cell r="E974" t="e">
            <v>#DIV/0!</v>
          </cell>
        </row>
        <row r="975">
          <cell r="A975">
            <v>40419</v>
          </cell>
          <cell r="B975" t="str">
            <v>#Calc</v>
          </cell>
          <cell r="C975" t="e">
            <v>#DIV/0!</v>
          </cell>
          <cell r="D975" t="e">
            <v>#DIV/0!</v>
          </cell>
          <cell r="E975" t="e">
            <v>#DIV/0!</v>
          </cell>
        </row>
        <row r="976">
          <cell r="A976">
            <v>40420</v>
          </cell>
          <cell r="B976" t="str">
            <v>#Calc</v>
          </cell>
          <cell r="C976" t="e">
            <v>#DIV/0!</v>
          </cell>
          <cell r="D976" t="e">
            <v>#DIV/0!</v>
          </cell>
          <cell r="E976" t="e">
            <v>#DIV/0!</v>
          </cell>
        </row>
        <row r="977">
          <cell r="A977">
            <v>40421</v>
          </cell>
          <cell r="B977" t="str">
            <v>#Calc</v>
          </cell>
          <cell r="C977" t="e">
            <v>#DIV/0!</v>
          </cell>
          <cell r="D977" t="e">
            <v>#DIV/0!</v>
          </cell>
          <cell r="E977" t="e">
            <v>#DIV/0!</v>
          </cell>
        </row>
        <row r="978">
          <cell r="A978">
            <v>40422</v>
          </cell>
          <cell r="B978" t="str">
            <v>#Calc</v>
          </cell>
          <cell r="C978" t="e">
            <v>#DIV/0!</v>
          </cell>
          <cell r="D978" t="e">
            <v>#DIV/0!</v>
          </cell>
          <cell r="E978" t="e">
            <v>#DIV/0!</v>
          </cell>
        </row>
        <row r="979">
          <cell r="A979">
            <v>40423</v>
          </cell>
          <cell r="B979" t="str">
            <v>#Calc</v>
          </cell>
          <cell r="C979" t="e">
            <v>#DIV/0!</v>
          </cell>
          <cell r="D979" t="e">
            <v>#DIV/0!</v>
          </cell>
          <cell r="E979" t="e">
            <v>#DIV/0!</v>
          </cell>
        </row>
        <row r="980">
          <cell r="A980">
            <v>40424</v>
          </cell>
          <cell r="B980" t="str">
            <v>#Calc</v>
          </cell>
          <cell r="C980" t="e">
            <v>#DIV/0!</v>
          </cell>
          <cell r="D980" t="e">
            <v>#DIV/0!</v>
          </cell>
          <cell r="E980" t="e">
            <v>#DIV/0!</v>
          </cell>
        </row>
        <row r="981">
          <cell r="A981">
            <v>40425</v>
          </cell>
          <cell r="B981" t="str">
            <v>#Calc</v>
          </cell>
          <cell r="C981" t="e">
            <v>#DIV/0!</v>
          </cell>
          <cell r="D981" t="e">
            <v>#DIV/0!</v>
          </cell>
          <cell r="E981" t="e">
            <v>#DIV/0!</v>
          </cell>
        </row>
        <row r="982">
          <cell r="A982">
            <v>40426</v>
          </cell>
          <cell r="B982" t="str">
            <v>#Calc</v>
          </cell>
          <cell r="C982" t="e">
            <v>#DIV/0!</v>
          </cell>
          <cell r="D982" t="e">
            <v>#DIV/0!</v>
          </cell>
          <cell r="E982" t="e">
            <v>#DIV/0!</v>
          </cell>
        </row>
        <row r="983">
          <cell r="A983">
            <v>40427</v>
          </cell>
          <cell r="B983" t="str">
            <v>#Calc</v>
          </cell>
          <cell r="C983" t="e">
            <v>#DIV/0!</v>
          </cell>
          <cell r="D983" t="e">
            <v>#DIV/0!</v>
          </cell>
          <cell r="E983" t="e">
            <v>#DIV/0!</v>
          </cell>
        </row>
        <row r="984">
          <cell r="A984">
            <v>40428</v>
          </cell>
          <cell r="B984" t="str">
            <v>#Calc</v>
          </cell>
          <cell r="C984" t="e">
            <v>#DIV/0!</v>
          </cell>
          <cell r="D984" t="e">
            <v>#DIV/0!</v>
          </cell>
          <cell r="E984" t="e">
            <v>#DIV/0!</v>
          </cell>
        </row>
        <row r="985">
          <cell r="A985">
            <v>40429</v>
          </cell>
          <cell r="B985" t="str">
            <v>#Calc</v>
          </cell>
          <cell r="C985" t="e">
            <v>#DIV/0!</v>
          </cell>
          <cell r="D985" t="e">
            <v>#DIV/0!</v>
          </cell>
          <cell r="E985" t="e">
            <v>#DIV/0!</v>
          </cell>
        </row>
        <row r="986">
          <cell r="A986">
            <v>40430</v>
          </cell>
          <cell r="B986" t="str">
            <v>#Calc</v>
          </cell>
          <cell r="C986" t="e">
            <v>#DIV/0!</v>
          </cell>
          <cell r="D986" t="e">
            <v>#DIV/0!</v>
          </cell>
          <cell r="E986" t="e">
            <v>#DIV/0!</v>
          </cell>
        </row>
        <row r="987">
          <cell r="A987">
            <v>40431</v>
          </cell>
          <cell r="B987" t="str">
            <v>#Calc</v>
          </cell>
          <cell r="C987" t="e">
            <v>#DIV/0!</v>
          </cell>
          <cell r="D987" t="e">
            <v>#DIV/0!</v>
          </cell>
          <cell r="E987" t="e">
            <v>#DIV/0!</v>
          </cell>
        </row>
        <row r="988">
          <cell r="A988">
            <v>40432</v>
          </cell>
          <cell r="B988" t="str">
            <v>#Calc</v>
          </cell>
          <cell r="C988" t="e">
            <v>#DIV/0!</v>
          </cell>
          <cell r="D988" t="e">
            <v>#DIV/0!</v>
          </cell>
          <cell r="E988" t="e">
            <v>#DIV/0!</v>
          </cell>
        </row>
        <row r="989">
          <cell r="A989">
            <v>40433</v>
          </cell>
          <cell r="B989" t="str">
            <v>#Calc</v>
          </cell>
          <cell r="C989" t="e">
            <v>#DIV/0!</v>
          </cell>
          <cell r="D989" t="e">
            <v>#DIV/0!</v>
          </cell>
          <cell r="E989" t="e">
            <v>#DIV/0!</v>
          </cell>
        </row>
        <row r="990">
          <cell r="A990">
            <v>40434</v>
          </cell>
          <cell r="B990" t="str">
            <v>#Calc</v>
          </cell>
          <cell r="C990" t="e">
            <v>#DIV/0!</v>
          </cell>
          <cell r="D990" t="e">
            <v>#DIV/0!</v>
          </cell>
          <cell r="E990" t="e">
            <v>#DIV/0!</v>
          </cell>
        </row>
        <row r="991">
          <cell r="A991">
            <v>40435</v>
          </cell>
          <cell r="B991" t="str">
            <v>#Calc</v>
          </cell>
          <cell r="C991" t="e">
            <v>#DIV/0!</v>
          </cell>
          <cell r="D991" t="e">
            <v>#DIV/0!</v>
          </cell>
          <cell r="E991" t="e">
            <v>#DIV/0!</v>
          </cell>
        </row>
        <row r="992">
          <cell r="A992">
            <v>40436</v>
          </cell>
          <cell r="B992" t="str">
            <v>#Calc</v>
          </cell>
          <cell r="C992" t="e">
            <v>#DIV/0!</v>
          </cell>
          <cell r="D992" t="e">
            <v>#DIV/0!</v>
          </cell>
          <cell r="E992" t="e">
            <v>#DIV/0!</v>
          </cell>
        </row>
        <row r="993">
          <cell r="A993">
            <v>40437</v>
          </cell>
          <cell r="B993" t="str">
            <v>#Calc</v>
          </cell>
          <cell r="C993" t="e">
            <v>#DIV/0!</v>
          </cell>
          <cell r="D993" t="e">
            <v>#DIV/0!</v>
          </cell>
          <cell r="E993" t="e">
            <v>#DIV/0!</v>
          </cell>
        </row>
        <row r="994">
          <cell r="A994">
            <v>40438</v>
          </cell>
          <cell r="B994" t="str">
            <v>#Calc</v>
          </cell>
          <cell r="C994" t="e">
            <v>#DIV/0!</v>
          </cell>
          <cell r="D994" t="e">
            <v>#DIV/0!</v>
          </cell>
          <cell r="E994" t="e">
            <v>#DIV/0!</v>
          </cell>
        </row>
        <row r="995">
          <cell r="A995">
            <v>40439</v>
          </cell>
          <cell r="B995" t="str">
            <v>#Calc</v>
          </cell>
          <cell r="C995" t="e">
            <v>#DIV/0!</v>
          </cell>
          <cell r="D995" t="e">
            <v>#DIV/0!</v>
          </cell>
          <cell r="E995" t="e">
            <v>#DIV/0!</v>
          </cell>
        </row>
        <row r="996">
          <cell r="A996">
            <v>40440</v>
          </cell>
          <cell r="B996" t="str">
            <v>#Calc</v>
          </cell>
          <cell r="C996" t="e">
            <v>#DIV/0!</v>
          </cell>
          <cell r="D996" t="e">
            <v>#DIV/0!</v>
          </cell>
          <cell r="E996" t="e">
            <v>#DIV/0!</v>
          </cell>
        </row>
        <row r="997">
          <cell r="A997">
            <v>40441</v>
          </cell>
          <cell r="B997" t="str">
            <v>#Calc</v>
          </cell>
          <cell r="C997" t="e">
            <v>#DIV/0!</v>
          </cell>
          <cell r="D997" t="e">
            <v>#DIV/0!</v>
          </cell>
          <cell r="E997" t="e">
            <v>#DIV/0!</v>
          </cell>
        </row>
        <row r="998">
          <cell r="A998">
            <v>40442</v>
          </cell>
          <cell r="B998" t="str">
            <v>#Calc</v>
          </cell>
          <cell r="C998" t="e">
            <v>#DIV/0!</v>
          </cell>
          <cell r="D998" t="e">
            <v>#DIV/0!</v>
          </cell>
          <cell r="E998" t="e">
            <v>#DIV/0!</v>
          </cell>
        </row>
        <row r="999">
          <cell r="A999">
            <v>40443</v>
          </cell>
          <cell r="B999" t="str">
            <v>#Calc</v>
          </cell>
          <cell r="C999" t="e">
            <v>#DIV/0!</v>
          </cell>
          <cell r="D999" t="e">
            <v>#DIV/0!</v>
          </cell>
          <cell r="E999" t="e">
            <v>#DIV/0!</v>
          </cell>
        </row>
        <row r="1000">
          <cell r="A1000">
            <v>40444</v>
          </cell>
          <cell r="B1000" t="str">
            <v>#Calc</v>
          </cell>
          <cell r="C1000" t="e">
            <v>#DIV/0!</v>
          </cell>
          <cell r="D1000" t="e">
            <v>#DIV/0!</v>
          </cell>
          <cell r="E1000" t="e">
            <v>#DIV/0!</v>
          </cell>
        </row>
        <row r="1001">
          <cell r="A1001">
            <v>40445</v>
          </cell>
          <cell r="B1001" t="str">
            <v>#Calc</v>
          </cell>
          <cell r="C1001" t="e">
            <v>#DIV/0!</v>
          </cell>
          <cell r="D1001" t="e">
            <v>#DIV/0!</v>
          </cell>
          <cell r="E1001" t="e">
            <v>#DIV/0!</v>
          </cell>
        </row>
        <row r="1002">
          <cell r="A1002">
            <v>40446</v>
          </cell>
          <cell r="B1002" t="str">
            <v>#Calc</v>
          </cell>
          <cell r="C1002" t="e">
            <v>#DIV/0!</v>
          </cell>
          <cell r="D1002" t="e">
            <v>#DIV/0!</v>
          </cell>
          <cell r="E1002" t="e">
            <v>#DIV/0!</v>
          </cell>
        </row>
        <row r="1003">
          <cell r="A1003">
            <v>40447</v>
          </cell>
          <cell r="B1003" t="str">
            <v>#Calc</v>
          </cell>
          <cell r="C1003" t="e">
            <v>#DIV/0!</v>
          </cell>
          <cell r="D1003" t="e">
            <v>#DIV/0!</v>
          </cell>
          <cell r="E1003" t="e">
            <v>#DIV/0!</v>
          </cell>
        </row>
        <row r="1004">
          <cell r="A1004">
            <v>40448</v>
          </cell>
          <cell r="B1004" t="str">
            <v>#Calc</v>
          </cell>
          <cell r="C1004" t="e">
            <v>#DIV/0!</v>
          </cell>
          <cell r="D1004" t="e">
            <v>#DIV/0!</v>
          </cell>
          <cell r="E1004" t="e">
            <v>#DIV/0!</v>
          </cell>
        </row>
        <row r="1005">
          <cell r="A1005">
            <v>40449</v>
          </cell>
          <cell r="B1005" t="str">
            <v>#Calc</v>
          </cell>
          <cell r="C1005" t="e">
            <v>#DIV/0!</v>
          </cell>
          <cell r="D1005" t="e">
            <v>#DIV/0!</v>
          </cell>
          <cell r="E1005" t="e">
            <v>#DIV/0!</v>
          </cell>
        </row>
        <row r="1006">
          <cell r="A1006">
            <v>40450</v>
          </cell>
          <cell r="B1006" t="str">
            <v>#Calc</v>
          </cell>
          <cell r="C1006" t="e">
            <v>#DIV/0!</v>
          </cell>
          <cell r="D1006" t="e">
            <v>#DIV/0!</v>
          </cell>
          <cell r="E1006" t="e">
            <v>#DIV/0!</v>
          </cell>
        </row>
        <row r="1007">
          <cell r="A1007">
            <v>40451</v>
          </cell>
          <cell r="B1007" t="str">
            <v>#Calc</v>
          </cell>
          <cell r="C1007" t="e">
            <v>#DIV/0!</v>
          </cell>
          <cell r="D1007" t="e">
            <v>#DIV/0!</v>
          </cell>
          <cell r="E1007" t="e">
            <v>#DIV/0!</v>
          </cell>
        </row>
        <row r="1008">
          <cell r="A1008">
            <v>40452</v>
          </cell>
          <cell r="B1008" t="str">
            <v>#Calc</v>
          </cell>
          <cell r="C1008" t="e">
            <v>#DIV/0!</v>
          </cell>
          <cell r="D1008" t="e">
            <v>#DIV/0!</v>
          </cell>
          <cell r="E1008" t="e">
            <v>#DIV/0!</v>
          </cell>
        </row>
        <row r="1009">
          <cell r="A1009">
            <v>40453</v>
          </cell>
          <cell r="B1009" t="str">
            <v>#Calc</v>
          </cell>
          <cell r="C1009" t="e">
            <v>#DIV/0!</v>
          </cell>
          <cell r="D1009" t="e">
            <v>#DIV/0!</v>
          </cell>
          <cell r="E1009" t="e">
            <v>#DIV/0!</v>
          </cell>
        </row>
        <row r="1010">
          <cell r="A1010">
            <v>40454</v>
          </cell>
          <cell r="B1010" t="str">
            <v>#Calc</v>
          </cell>
          <cell r="C1010" t="e">
            <v>#DIV/0!</v>
          </cell>
          <cell r="D1010" t="e">
            <v>#DIV/0!</v>
          </cell>
          <cell r="E1010" t="e">
            <v>#DIV/0!</v>
          </cell>
        </row>
        <row r="1011">
          <cell r="A1011">
            <v>40455</v>
          </cell>
          <cell r="B1011" t="str">
            <v>#Calc</v>
          </cell>
          <cell r="C1011" t="e">
            <v>#DIV/0!</v>
          </cell>
          <cell r="D1011" t="e">
            <v>#DIV/0!</v>
          </cell>
          <cell r="E1011" t="e">
            <v>#DIV/0!</v>
          </cell>
        </row>
        <row r="1012">
          <cell r="A1012">
            <v>40456</v>
          </cell>
          <cell r="B1012" t="str">
            <v>#Calc</v>
          </cell>
          <cell r="C1012" t="e">
            <v>#DIV/0!</v>
          </cell>
          <cell r="D1012" t="e">
            <v>#DIV/0!</v>
          </cell>
          <cell r="E1012" t="e">
            <v>#DIV/0!</v>
          </cell>
        </row>
        <row r="1013">
          <cell r="A1013">
            <v>40457</v>
          </cell>
          <cell r="B1013" t="str">
            <v>#Calc</v>
          </cell>
          <cell r="C1013" t="e">
            <v>#DIV/0!</v>
          </cell>
          <cell r="D1013" t="e">
            <v>#DIV/0!</v>
          </cell>
          <cell r="E1013" t="e">
            <v>#DIV/0!</v>
          </cell>
        </row>
        <row r="1014">
          <cell r="A1014">
            <v>40458</v>
          </cell>
          <cell r="B1014" t="str">
            <v>#Calc</v>
          </cell>
          <cell r="C1014" t="e">
            <v>#DIV/0!</v>
          </cell>
          <cell r="D1014" t="e">
            <v>#DIV/0!</v>
          </cell>
          <cell r="E1014" t="e">
            <v>#DIV/0!</v>
          </cell>
        </row>
        <row r="1015">
          <cell r="A1015">
            <v>40459</v>
          </cell>
          <cell r="B1015" t="str">
            <v>#Calc</v>
          </cell>
          <cell r="C1015" t="e">
            <v>#DIV/0!</v>
          </cell>
          <cell r="D1015" t="e">
            <v>#DIV/0!</v>
          </cell>
          <cell r="E1015" t="e">
            <v>#DIV/0!</v>
          </cell>
        </row>
        <row r="1016">
          <cell r="A1016">
            <v>40460</v>
          </cell>
          <cell r="B1016" t="str">
            <v>#Calc</v>
          </cell>
          <cell r="C1016" t="e">
            <v>#DIV/0!</v>
          </cell>
          <cell r="D1016" t="e">
            <v>#DIV/0!</v>
          </cell>
          <cell r="E1016" t="e">
            <v>#DIV/0!</v>
          </cell>
        </row>
        <row r="1017">
          <cell r="A1017">
            <v>40461</v>
          </cell>
          <cell r="B1017" t="str">
            <v>#Calc</v>
          </cell>
          <cell r="C1017" t="e">
            <v>#DIV/0!</v>
          </cell>
          <cell r="D1017" t="e">
            <v>#DIV/0!</v>
          </cell>
          <cell r="E1017" t="e">
            <v>#DIV/0!</v>
          </cell>
        </row>
        <row r="1018">
          <cell r="A1018">
            <v>40462</v>
          </cell>
          <cell r="B1018" t="str">
            <v>#Calc</v>
          </cell>
          <cell r="C1018" t="e">
            <v>#DIV/0!</v>
          </cell>
          <cell r="D1018" t="e">
            <v>#DIV/0!</v>
          </cell>
          <cell r="E1018" t="e">
            <v>#DIV/0!</v>
          </cell>
        </row>
        <row r="1019">
          <cell r="A1019">
            <v>40463</v>
          </cell>
          <cell r="B1019" t="str">
            <v>#Calc</v>
          </cell>
          <cell r="C1019" t="e">
            <v>#DIV/0!</v>
          </cell>
          <cell r="D1019" t="e">
            <v>#DIV/0!</v>
          </cell>
          <cell r="E1019" t="e">
            <v>#DIV/0!</v>
          </cell>
        </row>
        <row r="1020">
          <cell r="A1020">
            <v>40464</v>
          </cell>
          <cell r="B1020" t="str">
            <v>#Calc</v>
          </cell>
          <cell r="C1020" t="e">
            <v>#DIV/0!</v>
          </cell>
          <cell r="D1020" t="e">
            <v>#DIV/0!</v>
          </cell>
          <cell r="E1020" t="e">
            <v>#DIV/0!</v>
          </cell>
        </row>
        <row r="1021">
          <cell r="A1021">
            <v>40465</v>
          </cell>
          <cell r="B1021" t="str">
            <v>#Calc</v>
          </cell>
          <cell r="C1021" t="e">
            <v>#DIV/0!</v>
          </cell>
          <cell r="D1021" t="e">
            <v>#DIV/0!</v>
          </cell>
          <cell r="E1021" t="e">
            <v>#DIV/0!</v>
          </cell>
        </row>
        <row r="1022">
          <cell r="A1022">
            <v>40466</v>
          </cell>
          <cell r="B1022" t="str">
            <v>#Calc</v>
          </cell>
          <cell r="C1022" t="e">
            <v>#DIV/0!</v>
          </cell>
          <cell r="D1022" t="e">
            <v>#DIV/0!</v>
          </cell>
          <cell r="E1022" t="e">
            <v>#DIV/0!</v>
          </cell>
        </row>
        <row r="1023">
          <cell r="A1023">
            <v>40467</v>
          </cell>
          <cell r="B1023" t="str">
            <v>#Calc</v>
          </cell>
          <cell r="C1023" t="e">
            <v>#DIV/0!</v>
          </cell>
          <cell r="D1023" t="e">
            <v>#DIV/0!</v>
          </cell>
          <cell r="E1023" t="e">
            <v>#DIV/0!</v>
          </cell>
        </row>
        <row r="1024">
          <cell r="A1024">
            <v>40468</v>
          </cell>
          <cell r="B1024" t="str">
            <v>#Calc</v>
          </cell>
          <cell r="C1024" t="e">
            <v>#DIV/0!</v>
          </cell>
          <cell r="D1024" t="e">
            <v>#DIV/0!</v>
          </cell>
          <cell r="E1024" t="e">
            <v>#DIV/0!</v>
          </cell>
        </row>
        <row r="1025">
          <cell r="A1025">
            <v>40469</v>
          </cell>
          <cell r="B1025" t="str">
            <v>#Calc</v>
          </cell>
          <cell r="C1025" t="e">
            <v>#DIV/0!</v>
          </cell>
          <cell r="D1025" t="e">
            <v>#DIV/0!</v>
          </cell>
          <cell r="E1025" t="e">
            <v>#DIV/0!</v>
          </cell>
        </row>
        <row r="1026">
          <cell r="A1026">
            <v>40470</v>
          </cell>
          <cell r="B1026" t="str">
            <v>#Calc</v>
          </cell>
          <cell r="C1026" t="e">
            <v>#DIV/0!</v>
          </cell>
          <cell r="D1026" t="e">
            <v>#DIV/0!</v>
          </cell>
          <cell r="E1026" t="e">
            <v>#DIV/0!</v>
          </cell>
        </row>
        <row r="1027">
          <cell r="A1027">
            <v>40471</v>
          </cell>
          <cell r="B1027" t="str">
            <v>#Calc</v>
          </cell>
          <cell r="C1027" t="e">
            <v>#DIV/0!</v>
          </cell>
          <cell r="D1027" t="e">
            <v>#DIV/0!</v>
          </cell>
          <cell r="E1027" t="e">
            <v>#DIV/0!</v>
          </cell>
        </row>
        <row r="1028">
          <cell r="A1028">
            <v>40472</v>
          </cell>
          <cell r="B1028" t="str">
            <v>#Calc</v>
          </cell>
          <cell r="C1028" t="e">
            <v>#DIV/0!</v>
          </cell>
          <cell r="D1028" t="e">
            <v>#DIV/0!</v>
          </cell>
          <cell r="E1028" t="e">
            <v>#DIV/0!</v>
          </cell>
        </row>
        <row r="1029">
          <cell r="A1029">
            <v>40473</v>
          </cell>
          <cell r="B1029" t="str">
            <v>#Calc</v>
          </cell>
          <cell r="C1029" t="e">
            <v>#DIV/0!</v>
          </cell>
          <cell r="D1029" t="e">
            <v>#DIV/0!</v>
          </cell>
          <cell r="E1029" t="e">
            <v>#DIV/0!</v>
          </cell>
        </row>
      </sheetData>
      <sheetData sheetId="3"/>
      <sheetData sheetId="4">
        <row r="2">
          <cell r="B2" t="str">
            <v>1Q11 Estimates vs. Actual</v>
          </cell>
        </row>
        <row r="3">
          <cell r="B3" t="str">
            <v>R$ MN</v>
          </cell>
          <cell r="C3" t="str">
            <v>1Q11a</v>
          </cell>
          <cell r="D3" t="str">
            <v>1Q11e</v>
          </cell>
          <cell r="E3" t="str">
            <v>4Q10a</v>
          </cell>
          <cell r="F3" t="str">
            <v>1Q10a</v>
          </cell>
          <cell r="G3" t="str">
            <v>A/E</v>
          </cell>
          <cell r="H3" t="str">
            <v>Q/Q</v>
          </cell>
          <cell r="I3" t="str">
            <v>Y/Y</v>
          </cell>
          <cell r="L3" t="str">
            <v>Conference Call</v>
          </cell>
        </row>
        <row r="4">
          <cell r="B4" t="str">
            <v>Net Revenue</v>
          </cell>
          <cell r="C4">
            <v>521.27099999999996</v>
          </cell>
          <cell r="D4">
            <v>562.76286990113567</v>
          </cell>
          <cell r="E4">
            <v>521.27099999999996</v>
          </cell>
          <cell r="F4">
            <v>492.94900000000001</v>
          </cell>
          <cell r="G4">
            <v>-7.3728868978909179E-2</v>
          </cell>
          <cell r="H4">
            <v>0</v>
          </cell>
          <cell r="I4">
            <v>5.7454219402006901E-2</v>
          </cell>
          <cell r="M4" t="str">
            <v>Time</v>
          </cell>
          <cell r="N4" t="str">
            <v>Number</v>
          </cell>
          <cell r="O4" t="str">
            <v>Code</v>
          </cell>
          <cell r="Q4">
            <v>518.6</v>
          </cell>
          <cell r="R4">
            <v>5.1504049363670923E-3</v>
          </cell>
        </row>
        <row r="5">
          <cell r="B5" t="str">
            <v xml:space="preserve">Ebitda </v>
          </cell>
          <cell r="C5">
            <v>22.228000000000002</v>
          </cell>
          <cell r="D5">
            <v>39.820279156020241</v>
          </cell>
          <cell r="E5">
            <v>22.228000000000002</v>
          </cell>
          <cell r="F5">
            <v>46.963999999999999</v>
          </cell>
          <cell r="G5">
            <v>-0.44179195949610883</v>
          </cell>
          <cell r="H5">
            <v>0</v>
          </cell>
          <cell r="I5">
            <v>-0.52670130312579844</v>
          </cell>
          <cell r="L5" t="str">
            <v>Portuguese</v>
          </cell>
          <cell r="M5" t="str">
            <v>9 AM EST</v>
          </cell>
          <cell r="N5" t="str">
            <v>+55 (11) 2188-0155</v>
          </cell>
          <cell r="O5" t="str">
            <v xml:space="preserve">Drogasil </v>
          </cell>
          <cell r="Q5">
            <v>37.075000000000003</v>
          </cell>
          <cell r="R5">
            <v>-0.40045853000674314</v>
          </cell>
        </row>
        <row r="6">
          <cell r="B6" t="str">
            <v>Ebitda margin</v>
          </cell>
          <cell r="C6">
            <v>4.2641927135789258E-2</v>
          </cell>
          <cell r="D6">
            <v>7.0758540205425671E-2</v>
          </cell>
          <cell r="E6">
            <v>4.2641927135789258E-2</v>
          </cell>
          <cell r="F6">
            <v>9.5271518960379262E-2</v>
          </cell>
          <cell r="L6" t="str">
            <v>English</v>
          </cell>
          <cell r="M6" t="str">
            <v>11 AM EST</v>
          </cell>
          <cell r="N6" t="str">
            <v>+1 (412) 317-6776</v>
          </cell>
          <cell r="O6" t="str">
            <v xml:space="preserve">Drogasil </v>
          </cell>
          <cell r="Q6">
            <v>7.1490551484766685E-2</v>
          </cell>
        </row>
        <row r="7">
          <cell r="B7" t="str">
            <v>Net Income</v>
          </cell>
          <cell r="C7">
            <v>11.587</v>
          </cell>
          <cell r="D7">
            <v>23.465601346226261</v>
          </cell>
          <cell r="E7">
            <v>11.629</v>
          </cell>
          <cell r="F7">
            <v>29.033999999999999</v>
          </cell>
          <cell r="G7">
            <v>-0.50621337893548501</v>
          </cell>
          <cell r="H7">
            <v>-3.6116605039125949E-3</v>
          </cell>
          <cell r="I7">
            <v>-0.60091616725218711</v>
          </cell>
          <cell r="L7" t="str">
            <v>Key Themes: SSS growth, margins and M&amp;A pipeline</v>
          </cell>
          <cell r="Q7">
            <v>21.875</v>
          </cell>
          <cell r="R7">
            <v>-0.47030857142857141</v>
          </cell>
        </row>
        <row r="9">
          <cell r="B9" t="str">
            <v>Source: Company Data, Morgan Stanley Research</v>
          </cell>
        </row>
        <row r="16">
          <cell r="B16" t="str">
            <v>DROG3.SA</v>
          </cell>
          <cell r="C16" t="str">
            <v>11Q1</v>
          </cell>
        </row>
        <row r="17">
          <cell r="B17" t="str">
            <v>Net Revenue</v>
          </cell>
          <cell r="C17">
            <v>533.28600000000006</v>
          </cell>
          <cell r="D17">
            <v>-2.2530124548553854E-2</v>
          </cell>
        </row>
        <row r="18">
          <cell r="B18" t="str">
            <v>Ebitda</v>
          </cell>
          <cell r="C18">
            <v>24.766999999999999</v>
          </cell>
          <cell r="D18">
            <v>-0.10251544393749734</v>
          </cell>
        </row>
        <row r="19">
          <cell r="B19" t="str">
            <v>Net Income</v>
          </cell>
          <cell r="C19">
            <v>14.25</v>
          </cell>
          <cell r="D19">
            <v>-0.1868771929824562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roduct Mix 100%"/>
      <sheetName val="Traditional &amp; Other"/>
      <sheetName val="Per Pharma Traditional &amp; Biolog"/>
      <sheetName val="MW-Cache"/>
      <sheetName val="__FDSCACHE__"/>
      <sheetName val="2010PE"/>
      <sheetName val="2010PE_Ex BMY"/>
      <sheetName val="2012PE"/>
      <sheetName val="2012PE_Ex BMY"/>
      <sheetName val="short IS"/>
      <sheetName val="cost savings"/>
      <sheetName val="2015 top 10"/>
      <sheetName val="2010 top 10"/>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PFE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932.42080930800876</v>
          </cell>
          <cell r="E12">
            <v>1421.1035914094464</v>
          </cell>
          <cell r="F12">
            <v>1765.8870921994021</v>
          </cell>
          <cell r="G12">
            <v>1055.7675672663318</v>
          </cell>
          <cell r="H12">
            <v>577.39612356401631</v>
          </cell>
          <cell r="BA12" t="str">
            <v>.</v>
          </cell>
        </row>
        <row r="13">
          <cell r="C13" t="str">
            <v>Pipeline products launching 2010–2015</v>
          </cell>
          <cell r="D13">
            <v>488.88851560750004</v>
          </cell>
          <cell r="E13">
            <v>1032.6222136879819</v>
          </cell>
          <cell r="F13">
            <v>1194.3879881319788</v>
          </cell>
          <cell r="G13">
            <v>1586.9809373847056</v>
          </cell>
          <cell r="H13">
            <v>1912.159684759381</v>
          </cell>
          <cell r="BA13" t="str">
            <v>.</v>
          </cell>
        </row>
        <row r="14">
          <cell r="C14" t="str">
            <v>Products expiring 2010–15</v>
          </cell>
          <cell r="D14">
            <v>-3093.4238533699972</v>
          </cell>
          <cell r="E14">
            <v>-9244.3086322740019</v>
          </cell>
          <cell r="F14">
            <v>-2500.25038596167</v>
          </cell>
          <cell r="G14">
            <v>-2111.4680686893898</v>
          </cell>
          <cell r="H14">
            <v>-2273.0544201852699</v>
          </cell>
          <cell r="BA14" t="str">
            <v>.</v>
          </cell>
        </row>
        <row r="15">
          <cell r="C15" t="str">
            <v>Net YOY change</v>
          </cell>
          <cell r="D15">
            <v>-1672.1145284544909</v>
          </cell>
          <cell r="E15">
            <v>-6790.582827176564</v>
          </cell>
          <cell r="F15">
            <v>460.02469436970568</v>
          </cell>
          <cell r="G15">
            <v>531.28043596164935</v>
          </cell>
          <cell r="H15">
            <v>216.50138813813101</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ow r="1">
          <cell r="Y1" t="str">
            <v>SmartCharts</v>
          </cell>
          <cell r="BH1" t="str">
            <v>.</v>
          </cell>
        </row>
        <row r="2">
          <cell r="BH2" t="str">
            <v>.</v>
          </cell>
        </row>
        <row r="3">
          <cell r="BH3" t="str">
            <v>.</v>
          </cell>
        </row>
        <row r="6">
          <cell r="C6" t="str">
            <v>Input starting data point here:</v>
          </cell>
        </row>
        <row r="7">
          <cell r="C7" t="str">
            <v>2010E</v>
          </cell>
          <cell r="D7">
            <v>67.2</v>
          </cell>
        </row>
        <row r="8">
          <cell r="M8" t="str">
            <v>inv series</v>
          </cell>
          <cell r="P8" t="str">
            <v>clean labels</v>
          </cell>
        </row>
        <row r="9">
          <cell r="M9" t="str">
            <v>for labels</v>
          </cell>
        </row>
        <row r="10">
          <cell r="C10" t="str">
            <v>Input increments here:</v>
          </cell>
          <cell r="G10">
            <v>3</v>
          </cell>
          <cell r="H10" t="str">
            <v>Invisible</v>
          </cell>
          <cell r="I10" t="str">
            <v>Final</v>
          </cell>
          <cell r="J10" t="str">
            <v>Minus</v>
          </cell>
          <cell r="K10" t="str">
            <v>Plus</v>
          </cell>
          <cell r="L10" t="str">
            <v>Initial</v>
          </cell>
          <cell r="M10" t="str">
            <v>inside1</v>
          </cell>
          <cell r="N10" t="str">
            <v>inside2</v>
          </cell>
          <cell r="O10" t="str">
            <v>outside</v>
          </cell>
          <cell r="P10" t="str">
            <v>labfinal</v>
          </cell>
          <cell r="Q10" t="str">
            <v>labminus</v>
          </cell>
          <cell r="R10" t="str">
            <v>labplus</v>
          </cell>
          <cell r="S10" t="str">
            <v>labinitial</v>
          </cell>
          <cell r="T10" t="str">
            <v>labinside1</v>
          </cell>
          <cell r="U10" t="str">
            <v>labinside2</v>
          </cell>
        </row>
        <row r="11">
          <cell r="H11">
            <v>0</v>
          </cell>
        </row>
        <row r="12">
          <cell r="L12">
            <v>67.2</v>
          </cell>
          <cell r="M12">
            <v>0</v>
          </cell>
          <cell r="N12">
            <v>0</v>
          </cell>
          <cell r="O12">
            <v>0</v>
          </cell>
          <cell r="P12">
            <v>0</v>
          </cell>
          <cell r="Q12">
            <v>0</v>
          </cell>
          <cell r="R12">
            <v>0</v>
          </cell>
          <cell r="S12">
            <v>67.2</v>
          </cell>
          <cell r="T12" t="str">
            <v>2010E</v>
          </cell>
        </row>
        <row r="13">
          <cell r="C13" t="str">
            <v>In-Line Products</v>
          </cell>
          <cell r="D13">
            <v>5.8</v>
          </cell>
          <cell r="G13">
            <v>1</v>
          </cell>
          <cell r="H13">
            <v>67.2</v>
          </cell>
          <cell r="I13">
            <v>0</v>
          </cell>
          <cell r="J13">
            <v>0</v>
          </cell>
          <cell r="K13">
            <v>5.8</v>
          </cell>
          <cell r="M13">
            <v>0</v>
          </cell>
          <cell r="N13">
            <v>0</v>
          </cell>
          <cell r="O13">
            <v>0</v>
          </cell>
          <cell r="P13">
            <v>0</v>
          </cell>
          <cell r="Q13">
            <v>0</v>
          </cell>
          <cell r="R13">
            <v>5.8</v>
          </cell>
          <cell r="S13">
            <v>0</v>
          </cell>
          <cell r="T13">
            <v>0</v>
          </cell>
          <cell r="U13" t="str">
            <v>In-Line Products</v>
          </cell>
        </row>
        <row r="14">
          <cell r="C14" t="str">
            <v>Pipeline</v>
          </cell>
          <cell r="D14">
            <v>6.2</v>
          </cell>
          <cell r="G14">
            <v>2</v>
          </cell>
          <cell r="H14">
            <v>73</v>
          </cell>
          <cell r="I14">
            <v>0</v>
          </cell>
          <cell r="J14">
            <v>0</v>
          </cell>
          <cell r="K14">
            <v>6.2</v>
          </cell>
          <cell r="M14">
            <v>0</v>
          </cell>
          <cell r="N14">
            <v>0</v>
          </cell>
          <cell r="O14">
            <v>0</v>
          </cell>
          <cell r="P14">
            <v>0</v>
          </cell>
          <cell r="Q14">
            <v>0</v>
          </cell>
          <cell r="R14">
            <v>6.2</v>
          </cell>
          <cell r="S14">
            <v>0</v>
          </cell>
          <cell r="T14">
            <v>0</v>
          </cell>
          <cell r="U14" t="str">
            <v>Pipeline</v>
          </cell>
        </row>
        <row r="15">
          <cell r="C15" t="str">
            <v>Expirations</v>
          </cell>
          <cell r="D15">
            <v>-19.2</v>
          </cell>
          <cell r="G15">
            <v>3</v>
          </cell>
          <cell r="H15">
            <v>60</v>
          </cell>
          <cell r="I15">
            <v>0</v>
          </cell>
          <cell r="J15">
            <v>19.2</v>
          </cell>
          <cell r="K15">
            <v>0</v>
          </cell>
          <cell r="M15">
            <v>0</v>
          </cell>
          <cell r="N15">
            <v>0</v>
          </cell>
          <cell r="O15">
            <v>0</v>
          </cell>
          <cell r="P15">
            <v>0</v>
          </cell>
          <cell r="Q15">
            <v>-19.2</v>
          </cell>
          <cell r="R15">
            <v>0</v>
          </cell>
          <cell r="S15">
            <v>0</v>
          </cell>
          <cell r="T15">
            <v>0</v>
          </cell>
          <cell r="U15" t="str">
            <v>Expirations</v>
          </cell>
        </row>
        <row r="16">
          <cell r="G16">
            <v>4</v>
          </cell>
          <cell r="H16">
            <v>0</v>
          </cell>
          <cell r="I16">
            <v>60</v>
          </cell>
          <cell r="J16">
            <v>0</v>
          </cell>
          <cell r="K16">
            <v>0</v>
          </cell>
          <cell r="M16">
            <v>0</v>
          </cell>
          <cell r="N16">
            <v>0</v>
          </cell>
          <cell r="O16">
            <v>0</v>
          </cell>
          <cell r="P16">
            <v>60</v>
          </cell>
          <cell r="Q16">
            <v>0</v>
          </cell>
          <cell r="R16">
            <v>0</v>
          </cell>
          <cell r="S16">
            <v>0</v>
          </cell>
          <cell r="T16" t="str">
            <v>2015E</v>
          </cell>
          <cell r="U16">
            <v>0</v>
          </cell>
        </row>
        <row r="17">
          <cell r="G17">
            <v>5</v>
          </cell>
          <cell r="H17">
            <v>0</v>
          </cell>
          <cell r="I17">
            <v>0</v>
          </cell>
          <cell r="J17">
            <v>0</v>
          </cell>
          <cell r="K17">
            <v>0</v>
          </cell>
          <cell r="M17">
            <v>0</v>
          </cell>
          <cell r="N17">
            <v>0</v>
          </cell>
          <cell r="O17">
            <v>0</v>
          </cell>
          <cell r="P17">
            <v>0</v>
          </cell>
          <cell r="Q17">
            <v>0</v>
          </cell>
          <cell r="R17">
            <v>0</v>
          </cell>
          <cell r="S17">
            <v>0</v>
          </cell>
          <cell r="T17">
            <v>0</v>
          </cell>
          <cell r="U17">
            <v>0</v>
          </cell>
        </row>
        <row r="18">
          <cell r="G18">
            <v>6</v>
          </cell>
          <cell r="H18">
            <v>0</v>
          </cell>
          <cell r="I18">
            <v>0</v>
          </cell>
          <cell r="J18">
            <v>0</v>
          </cell>
          <cell r="K18">
            <v>0</v>
          </cell>
          <cell r="M18">
            <v>0</v>
          </cell>
          <cell r="N18">
            <v>0</v>
          </cell>
          <cell r="O18">
            <v>0</v>
          </cell>
          <cell r="P18">
            <v>0</v>
          </cell>
          <cell r="Q18">
            <v>0</v>
          </cell>
          <cell r="R18">
            <v>0</v>
          </cell>
          <cell r="S18">
            <v>0</v>
          </cell>
          <cell r="T18">
            <v>0</v>
          </cell>
          <cell r="U18">
            <v>0</v>
          </cell>
        </row>
        <row r="19">
          <cell r="G19">
            <v>7</v>
          </cell>
          <cell r="H19">
            <v>0</v>
          </cell>
          <cell r="I19">
            <v>0</v>
          </cell>
          <cell r="J19">
            <v>0</v>
          </cell>
          <cell r="K19">
            <v>0</v>
          </cell>
          <cell r="M19">
            <v>0</v>
          </cell>
          <cell r="N19">
            <v>0</v>
          </cell>
          <cell r="O19">
            <v>0</v>
          </cell>
          <cell r="P19">
            <v>0</v>
          </cell>
          <cell r="Q19">
            <v>0</v>
          </cell>
          <cell r="R19">
            <v>0</v>
          </cell>
          <cell r="S19">
            <v>0</v>
          </cell>
          <cell r="T19">
            <v>0</v>
          </cell>
          <cell r="U19">
            <v>0</v>
          </cell>
        </row>
        <row r="20">
          <cell r="G20">
            <v>8</v>
          </cell>
          <cell r="H20">
            <v>0</v>
          </cell>
          <cell r="I20">
            <v>0</v>
          </cell>
          <cell r="J20">
            <v>0</v>
          </cell>
          <cell r="K20">
            <v>0</v>
          </cell>
          <cell r="M20">
            <v>0</v>
          </cell>
          <cell r="N20">
            <v>0</v>
          </cell>
          <cell r="O20">
            <v>0</v>
          </cell>
          <cell r="P20">
            <v>0</v>
          </cell>
          <cell r="Q20">
            <v>0</v>
          </cell>
          <cell r="R20">
            <v>0</v>
          </cell>
          <cell r="S20">
            <v>0</v>
          </cell>
          <cell r="T20">
            <v>0</v>
          </cell>
          <cell r="U20">
            <v>0</v>
          </cell>
        </row>
        <row r="21">
          <cell r="G21">
            <v>9</v>
          </cell>
          <cell r="H21">
            <v>0</v>
          </cell>
          <cell r="I21">
            <v>0</v>
          </cell>
          <cell r="J21">
            <v>0</v>
          </cell>
          <cell r="K21">
            <v>0</v>
          </cell>
          <cell r="M21">
            <v>0</v>
          </cell>
          <cell r="N21">
            <v>0</v>
          </cell>
          <cell r="O21">
            <v>0</v>
          </cell>
          <cell r="P21">
            <v>0</v>
          </cell>
          <cell r="Q21">
            <v>0</v>
          </cell>
          <cell r="R21">
            <v>0</v>
          </cell>
          <cell r="S21">
            <v>0</v>
          </cell>
          <cell r="T21">
            <v>0</v>
          </cell>
          <cell r="U21">
            <v>0</v>
          </cell>
        </row>
        <row r="22">
          <cell r="G22">
            <v>10</v>
          </cell>
          <cell r="H22">
            <v>0</v>
          </cell>
          <cell r="I22">
            <v>0</v>
          </cell>
          <cell r="J22">
            <v>0</v>
          </cell>
          <cell r="K22">
            <v>0</v>
          </cell>
          <cell r="M22">
            <v>0</v>
          </cell>
          <cell r="N22">
            <v>0</v>
          </cell>
          <cell r="O22">
            <v>0</v>
          </cell>
          <cell r="P22">
            <v>0</v>
          </cell>
          <cell r="Q22">
            <v>0</v>
          </cell>
          <cell r="R22">
            <v>0</v>
          </cell>
          <cell r="S22">
            <v>0</v>
          </cell>
          <cell r="T22">
            <v>0</v>
          </cell>
          <cell r="U22">
            <v>0</v>
          </cell>
        </row>
        <row r="23">
          <cell r="G23">
            <v>11</v>
          </cell>
          <cell r="H23">
            <v>0</v>
          </cell>
          <cell r="I23">
            <v>0</v>
          </cell>
          <cell r="M23">
            <v>0</v>
          </cell>
          <cell r="N23">
            <v>0</v>
          </cell>
          <cell r="O23">
            <v>0</v>
          </cell>
          <cell r="P23">
            <v>0</v>
          </cell>
          <cell r="Q23">
            <v>0</v>
          </cell>
          <cell r="R23">
            <v>0</v>
          </cell>
          <cell r="S23">
            <v>0</v>
          </cell>
          <cell r="T23">
            <v>0</v>
          </cell>
          <cell r="U23">
            <v>0</v>
          </cell>
        </row>
        <row r="24">
          <cell r="G24">
            <v>12</v>
          </cell>
          <cell r="H24">
            <v>0</v>
          </cell>
          <cell r="I24">
            <v>0</v>
          </cell>
          <cell r="M24">
            <v>0</v>
          </cell>
          <cell r="N24">
            <v>0</v>
          </cell>
          <cell r="O24">
            <v>0</v>
          </cell>
          <cell r="P24">
            <v>0</v>
          </cell>
          <cell r="Q24">
            <v>0</v>
          </cell>
          <cell r="R24">
            <v>0</v>
          </cell>
          <cell r="S24">
            <v>0</v>
          </cell>
          <cell r="T24">
            <v>0</v>
          </cell>
          <cell r="U24">
            <v>0</v>
          </cell>
        </row>
        <row r="25">
          <cell r="H25" t="str">
            <v>net chg</v>
          </cell>
          <cell r="I25">
            <v>-7.2</v>
          </cell>
        </row>
        <row r="27">
          <cell r="C27" t="str">
            <v>Input label for end point here:</v>
          </cell>
        </row>
        <row r="28">
          <cell r="C28" t="str">
            <v>2015E</v>
          </cell>
        </row>
        <row r="30">
          <cell r="C30" t="str">
            <v xml:space="preserve">End data value 
</v>
          </cell>
          <cell r="D30">
            <v>0</v>
          </cell>
        </row>
        <row r="31">
          <cell r="C31" t="str">
            <v>is calculated</v>
          </cell>
        </row>
        <row r="32">
          <cell r="C32" t="str">
            <v>automatically</v>
          </cell>
        </row>
        <row r="1002">
          <cell r="A1002" t="str">
            <v>.</v>
          </cell>
          <cell r="B1002" t="str">
            <v>.</v>
          </cell>
          <cell r="C1002" t="str">
            <v>.</v>
          </cell>
        </row>
      </sheetData>
      <sheetData sheetId="3">
        <row r="1">
          <cell r="S1" t="str">
            <v>SmartCharts</v>
          </cell>
          <cell r="BB1" t="str">
            <v>.</v>
          </cell>
        </row>
        <row r="2">
          <cell r="BB2" t="str">
            <v>.</v>
          </cell>
        </row>
        <row r="3">
          <cell r="BB3" t="str">
            <v>.</v>
          </cell>
        </row>
        <row r="4">
          <cell r="BB4" t="str">
            <v>.</v>
          </cell>
        </row>
        <row r="5">
          <cell r="C5" t="str">
            <v>Define value axis here:</v>
          </cell>
        </row>
        <row r="6">
          <cell r="C6" t="str">
            <v>PFE/WYE Revenue Contribution per Segment</v>
          </cell>
        </row>
        <row r="10">
          <cell r="C10" t="str">
            <v>Input your data here:</v>
          </cell>
          <cell r="BB10" t="str">
            <v>.</v>
          </cell>
        </row>
        <row r="11">
          <cell r="D11" t="str">
            <v>Other</v>
          </cell>
          <cell r="E11" t="str">
            <v>Nutritionals</v>
          </cell>
          <cell r="F11" t="str">
            <v>Animal</v>
          </cell>
          <cell r="G11" t="str">
            <v>CHC</v>
          </cell>
          <cell r="H11" t="str">
            <v>Biologic</v>
          </cell>
          <cell r="I11" t="str">
            <v>Traditional</v>
          </cell>
          <cell r="BB11" t="str">
            <v>.</v>
          </cell>
        </row>
        <row r="12">
          <cell r="C12">
            <v>2010</v>
          </cell>
          <cell r="D12">
            <v>7.3922836848778701E-3</v>
          </cell>
          <cell r="E12">
            <v>3.9694505637046879E-2</v>
          </cell>
          <cell r="F12">
            <v>4.9542591862029917E-2</v>
          </cell>
          <cell r="G12">
            <v>4.5134290951814274E-2</v>
          </cell>
          <cell r="H12">
            <v>0.15079210822131184</v>
          </cell>
          <cell r="I12">
            <v>0.70744421964291904</v>
          </cell>
          <cell r="BB12" t="str">
            <v>.</v>
          </cell>
        </row>
        <row r="13">
          <cell r="C13">
            <v>2011</v>
          </cell>
          <cell r="D13">
            <v>7.8621358780429015E-3</v>
          </cell>
          <cell r="E13">
            <v>4.3501848606407156E-2</v>
          </cell>
          <cell r="F13">
            <v>5.2892461739374758E-2</v>
          </cell>
          <cell r="G13">
            <v>4.7788394858716006E-2</v>
          </cell>
          <cell r="H13">
            <v>0.16335309234331286</v>
          </cell>
          <cell r="I13">
            <v>0.68460206657414613</v>
          </cell>
          <cell r="BB13" t="str">
            <v>.</v>
          </cell>
        </row>
        <row r="14">
          <cell r="C14">
            <v>2012</v>
          </cell>
          <cell r="D14">
            <v>9.0894156599119914E-3</v>
          </cell>
          <cell r="E14">
            <v>5.1809888445371488E-2</v>
          </cell>
          <cell r="F14">
            <v>6.1361732478238944E-2</v>
          </cell>
          <cell r="G14">
            <v>5.4948172167998723E-2</v>
          </cell>
          <cell r="H14">
            <v>0.2064642573378605</v>
          </cell>
          <cell r="I14">
            <v>0.61632653391061831</v>
          </cell>
          <cell r="BB14" t="str">
            <v>.</v>
          </cell>
        </row>
        <row r="15">
          <cell r="C15">
            <v>2013</v>
          </cell>
          <cell r="D15">
            <v>9.3639207719231066E-3</v>
          </cell>
          <cell r="E15">
            <v>5.4972084194039497E-2</v>
          </cell>
          <cell r="F15">
            <v>6.3414379086380118E-2</v>
          </cell>
          <cell r="G15">
            <v>5.6314339157607203E-2</v>
          </cell>
          <cell r="H15">
            <v>0.22546494243949647</v>
          </cell>
          <cell r="I15">
            <v>0.59047033435055385</v>
          </cell>
          <cell r="BB15" t="str">
            <v>.</v>
          </cell>
        </row>
        <row r="16">
          <cell r="C16">
            <v>2014</v>
          </cell>
          <cell r="D16">
            <v>9.6393304601885728E-3</v>
          </cell>
          <cell r="E16">
            <v>5.826952701183119E-2</v>
          </cell>
          <cell r="F16">
            <v>6.5465107357308594E-2</v>
          </cell>
          <cell r="G16">
            <v>5.766814515501012E-2</v>
          </cell>
          <cell r="H16">
            <v>0.23925277361350805</v>
          </cell>
          <cell r="I16">
            <v>0.56970511640215349</v>
          </cell>
          <cell r="BB16" t="str">
            <v>.</v>
          </cell>
        </row>
        <row r="17">
          <cell r="C17">
            <v>2015</v>
          </cell>
          <cell r="D17">
            <v>9.9799761432740278E-3</v>
          </cell>
          <cell r="E17">
            <v>6.2107028447675697E-2</v>
          </cell>
          <cell r="F17">
            <v>6.7950841022483971E-2</v>
          </cell>
          <cell r="G17">
            <v>5.9392717383289405E-2</v>
          </cell>
          <cell r="H17">
            <v>0.25421323458932704</v>
          </cell>
          <cell r="I17">
            <v>0.54635620241394955</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4"/>
      <sheetData sheetId="5">
        <row r="1">
          <cell r="S1" t="str">
            <v>SmartCharts</v>
          </cell>
          <cell r="BB1" t="str">
            <v>.</v>
          </cell>
        </row>
        <row r="2">
          <cell r="BB2" t="str">
            <v>.</v>
          </cell>
        </row>
        <row r="3">
          <cell r="BB3" t="str">
            <v>.</v>
          </cell>
        </row>
        <row r="4">
          <cell r="BB4" t="str">
            <v>.</v>
          </cell>
        </row>
        <row r="5">
          <cell r="C5" t="str">
            <v>Define value axis here:</v>
          </cell>
        </row>
        <row r="6">
          <cell r="C6" t="str">
            <v>Pharmaceutical Revenue Contribution</v>
          </cell>
        </row>
        <row r="10">
          <cell r="C10" t="str">
            <v>Input your data here:</v>
          </cell>
          <cell r="BB10" t="str">
            <v>.</v>
          </cell>
        </row>
        <row r="11">
          <cell r="D11" t="str">
            <v>Traditional</v>
          </cell>
          <cell r="E11" t="str">
            <v>Biologic</v>
          </cell>
          <cell r="BB11" t="str">
            <v>.</v>
          </cell>
        </row>
        <row r="12">
          <cell r="C12">
            <v>2010</v>
          </cell>
          <cell r="D12">
            <v>0.82430001699349376</v>
          </cell>
          <cell r="E12">
            <v>0.17569998300650647</v>
          </cell>
          <cell r="BB12" t="str">
            <v>.</v>
          </cell>
        </row>
        <row r="13">
          <cell r="C13">
            <v>2011</v>
          </cell>
          <cell r="D13">
            <v>0.80735644965960518</v>
          </cell>
          <cell r="E13">
            <v>0.19264355034039463</v>
          </cell>
          <cell r="BB13" t="str">
            <v>.</v>
          </cell>
        </row>
        <row r="14">
          <cell r="C14">
            <v>2012</v>
          </cell>
          <cell r="D14">
            <v>0.74906834211819795</v>
          </cell>
          <cell r="E14">
            <v>0.25093165788180211</v>
          </cell>
          <cell r="BB14" t="str">
            <v>.</v>
          </cell>
        </row>
        <row r="15">
          <cell r="C15">
            <v>2013</v>
          </cell>
          <cell r="D15">
            <v>0.72367300587064676</v>
          </cell>
          <cell r="E15">
            <v>0.27632699412935324</v>
          </cell>
          <cell r="BB15" t="str">
            <v>.</v>
          </cell>
        </row>
        <row r="16">
          <cell r="C16">
            <v>2014</v>
          </cell>
          <cell r="D16">
            <v>0.70424570108479179</v>
          </cell>
          <cell r="E16">
            <v>0.29575429891520816</v>
          </cell>
          <cell r="BB16" t="str">
            <v>.</v>
          </cell>
        </row>
        <row r="17">
          <cell r="C17">
            <v>2015</v>
          </cell>
          <cell r="D17">
            <v>0.68245948091534925</v>
          </cell>
          <cell r="E17">
            <v>0.3175405190846507</v>
          </cell>
          <cell r="BB17" t="str">
            <v>.</v>
          </cell>
        </row>
        <row r="18">
          <cell r="BB18" t="str">
            <v>.</v>
          </cell>
        </row>
        <row r="20">
          <cell r="BB20" t="str">
            <v>.</v>
          </cell>
        </row>
        <row r="21">
          <cell r="BB21" t="str">
            <v>.</v>
          </cell>
        </row>
        <row r="22">
          <cell r="BB22" t="str">
            <v>.</v>
          </cell>
        </row>
        <row r="23">
          <cell r="BB23" t="str">
            <v>.</v>
          </cell>
        </row>
        <row r="24">
          <cell r="BB24" t="str">
            <v>.</v>
          </cell>
        </row>
        <row r="25">
          <cell r="BB25" t="str">
            <v>.</v>
          </cell>
        </row>
        <row r="26">
          <cell r="BB26" t="str">
            <v>.</v>
          </cell>
        </row>
        <row r="27">
          <cell r="BB27" t="str">
            <v>.</v>
          </cell>
        </row>
        <row r="28">
          <cell r="BB28" t="str">
            <v>.</v>
          </cell>
        </row>
        <row r="29">
          <cell r="BB29" t="str">
            <v>.</v>
          </cell>
        </row>
        <row r="30">
          <cell r="BB30" t="str">
            <v>.</v>
          </cell>
        </row>
        <row r="31">
          <cell r="BB31" t="str">
            <v>.</v>
          </cell>
        </row>
        <row r="32">
          <cell r="BB32" t="str">
            <v>.</v>
          </cell>
        </row>
        <row r="33">
          <cell r="BB33" t="str">
            <v>.</v>
          </cell>
        </row>
        <row r="34">
          <cell r="BB34" t="str">
            <v>.</v>
          </cell>
        </row>
        <row r="35">
          <cell r="BB35" t="str">
            <v>.</v>
          </cell>
        </row>
        <row r="36">
          <cell r="BB36" t="str">
            <v>.</v>
          </cell>
        </row>
        <row r="37">
          <cell r="K37" t="str">
            <v>Do not change the width of the exhibit or font sizes (they are optimized for export to Word).</v>
          </cell>
          <cell r="BB37" t="str">
            <v>.</v>
          </cell>
        </row>
        <row r="38">
          <cell r="BB38" t="str">
            <v>.</v>
          </cell>
        </row>
        <row r="39">
          <cell r="K39" t="str">
            <v>Do not delete any rows or columns (some gray cells are used for calculations).</v>
          </cell>
          <cell r="BB39" t="str">
            <v>.</v>
          </cell>
        </row>
        <row r="40">
          <cell r="BB40" t="str">
            <v>.</v>
          </cell>
        </row>
        <row r="41">
          <cell r="BB41" t="str">
            <v>.</v>
          </cell>
        </row>
        <row r="42">
          <cell r="BB42" t="str">
            <v>.</v>
          </cell>
        </row>
        <row r="43">
          <cell r="BB43" t="str">
            <v>.</v>
          </cell>
        </row>
        <row r="44">
          <cell r="BB44" t="str">
            <v>.</v>
          </cell>
        </row>
        <row r="45">
          <cell r="BB45" t="str">
            <v>.</v>
          </cell>
        </row>
        <row r="46">
          <cell r="BB46" t="str">
            <v>.</v>
          </cell>
        </row>
        <row r="47">
          <cell r="BB47" t="str">
            <v>.</v>
          </cell>
        </row>
        <row r="48">
          <cell r="BB48" t="str">
            <v>.</v>
          </cell>
        </row>
        <row r="49">
          <cell r="BB49" t="str">
            <v>.</v>
          </cell>
        </row>
        <row r="50">
          <cell r="BB50" t="str">
            <v>.</v>
          </cell>
        </row>
        <row r="51">
          <cell r="BB51" t="str">
            <v>.</v>
          </cell>
        </row>
        <row r="52">
          <cell r="BB52" t="str">
            <v>.</v>
          </cell>
        </row>
        <row r="53">
          <cell r="BB53" t="str">
            <v>.</v>
          </cell>
        </row>
        <row r="54">
          <cell r="BB54" t="str">
            <v>.</v>
          </cell>
        </row>
        <row r="55">
          <cell r="BB55" t="str">
            <v>.</v>
          </cell>
        </row>
        <row r="56">
          <cell r="BB56" t="str">
            <v>.</v>
          </cell>
        </row>
        <row r="57">
          <cell r="BB57" t="str">
            <v>.</v>
          </cell>
        </row>
        <row r="58">
          <cell r="BB58" t="str">
            <v>.</v>
          </cell>
        </row>
        <row r="59">
          <cell r="BB59" t="str">
            <v>.</v>
          </cell>
        </row>
        <row r="60">
          <cell r="BB60" t="str">
            <v>.</v>
          </cell>
        </row>
        <row r="61">
          <cell r="BB61" t="str">
            <v>.</v>
          </cell>
        </row>
        <row r="62">
          <cell r="BB62" t="str">
            <v>.</v>
          </cell>
        </row>
        <row r="63">
          <cell r="BB63" t="str">
            <v>.</v>
          </cell>
        </row>
        <row r="64">
          <cell r="BB64" t="str">
            <v>.</v>
          </cell>
        </row>
        <row r="65">
          <cell r="BB65" t="str">
            <v>.</v>
          </cell>
        </row>
        <row r="66">
          <cell r="BB66" t="str">
            <v>.</v>
          </cell>
        </row>
        <row r="67">
          <cell r="BB67" t="str">
            <v>.</v>
          </cell>
        </row>
        <row r="68">
          <cell r="BB68" t="str">
            <v>.</v>
          </cell>
        </row>
        <row r="69">
          <cell r="BB69" t="str">
            <v>.</v>
          </cell>
        </row>
        <row r="70">
          <cell r="BB70" t="str">
            <v>.</v>
          </cell>
        </row>
        <row r="71">
          <cell r="BB71" t="str">
            <v>.</v>
          </cell>
        </row>
        <row r="72">
          <cell r="BB72" t="str">
            <v>.</v>
          </cell>
        </row>
        <row r="73">
          <cell r="BB73" t="str">
            <v>.</v>
          </cell>
        </row>
        <row r="74">
          <cell r="BB74" t="str">
            <v>.</v>
          </cell>
        </row>
        <row r="75">
          <cell r="BB75" t="str">
            <v>.</v>
          </cell>
        </row>
        <row r="76">
          <cell r="BB76" t="str">
            <v>.</v>
          </cell>
        </row>
        <row r="77">
          <cell r="BB77" t="str">
            <v>.</v>
          </cell>
        </row>
        <row r="78">
          <cell r="BB78" t="str">
            <v>.</v>
          </cell>
        </row>
        <row r="79">
          <cell r="BB79" t="str">
            <v>.</v>
          </cell>
        </row>
        <row r="80">
          <cell r="BB80" t="str">
            <v>.</v>
          </cell>
        </row>
        <row r="81">
          <cell r="BB81" t="str">
            <v>.</v>
          </cell>
        </row>
        <row r="82">
          <cell r="BB82" t="str">
            <v>.</v>
          </cell>
        </row>
        <row r="83">
          <cell r="BB83" t="str">
            <v>.</v>
          </cell>
        </row>
        <row r="84">
          <cell r="BB84" t="str">
            <v>.</v>
          </cell>
        </row>
        <row r="85">
          <cell r="BB85" t="str">
            <v>.</v>
          </cell>
        </row>
        <row r="86">
          <cell r="BB86" t="str">
            <v>.</v>
          </cell>
        </row>
        <row r="87">
          <cell r="BB87" t="str">
            <v>.</v>
          </cell>
        </row>
        <row r="88">
          <cell r="BB88" t="str">
            <v>.</v>
          </cell>
        </row>
        <row r="89">
          <cell r="BB89" t="str">
            <v>.</v>
          </cell>
        </row>
        <row r="90">
          <cell r="BB90" t="str">
            <v>.</v>
          </cell>
        </row>
        <row r="91">
          <cell r="BB91" t="str">
            <v>.</v>
          </cell>
        </row>
        <row r="92">
          <cell r="BB92" t="str">
            <v>.</v>
          </cell>
        </row>
        <row r="93">
          <cell r="BB93" t="str">
            <v>.</v>
          </cell>
        </row>
        <row r="94">
          <cell r="BB94" t="str">
            <v>.</v>
          </cell>
        </row>
        <row r="95">
          <cell r="BB95" t="str">
            <v>.</v>
          </cell>
        </row>
        <row r="96">
          <cell r="BB96" t="str">
            <v>.</v>
          </cell>
        </row>
        <row r="97">
          <cell r="BB97" t="str">
            <v>.</v>
          </cell>
        </row>
        <row r="98">
          <cell r="BB98" t="str">
            <v>.</v>
          </cell>
        </row>
        <row r="99">
          <cell r="BB99" t="str">
            <v>.</v>
          </cell>
        </row>
        <row r="100">
          <cell r="BB100" t="str">
            <v>.</v>
          </cell>
        </row>
        <row r="101">
          <cell r="BB101" t="str">
            <v>.</v>
          </cell>
        </row>
        <row r="102">
          <cell r="BB102" t="str">
            <v>.</v>
          </cell>
        </row>
        <row r="103">
          <cell r="BB103" t="str">
            <v>.</v>
          </cell>
        </row>
        <row r="104">
          <cell r="BB104" t="str">
            <v>.</v>
          </cell>
        </row>
        <row r="105">
          <cell r="BB105" t="str">
            <v>.</v>
          </cell>
        </row>
        <row r="106">
          <cell r="BB106" t="str">
            <v>.</v>
          </cell>
        </row>
        <row r="107">
          <cell r="BB107" t="str">
            <v>.</v>
          </cell>
        </row>
        <row r="108">
          <cell r="BB108" t="str">
            <v>.</v>
          </cell>
        </row>
        <row r="109">
          <cell r="BB109" t="str">
            <v>.</v>
          </cell>
        </row>
        <row r="110">
          <cell r="BB110" t="str">
            <v>.</v>
          </cell>
        </row>
        <row r="111">
          <cell r="BB111" t="str">
            <v>.</v>
          </cell>
        </row>
        <row r="112">
          <cell r="BB112" t="str">
            <v>.</v>
          </cell>
        </row>
        <row r="113">
          <cell r="BB113" t="str">
            <v>.</v>
          </cell>
        </row>
        <row r="114">
          <cell r="BB114" t="str">
            <v>.</v>
          </cell>
        </row>
        <row r="115">
          <cell r="BB115" t="str">
            <v>.</v>
          </cell>
        </row>
        <row r="116">
          <cell r="BB116" t="str">
            <v>.</v>
          </cell>
        </row>
        <row r="117">
          <cell r="BB117" t="str">
            <v>.</v>
          </cell>
        </row>
        <row r="118">
          <cell r="BB118" t="str">
            <v>.</v>
          </cell>
        </row>
        <row r="119">
          <cell r="BB119" t="str">
            <v>.</v>
          </cell>
        </row>
        <row r="120">
          <cell r="BB120" t="str">
            <v>.</v>
          </cell>
        </row>
        <row r="121">
          <cell r="BB121" t="str">
            <v>.</v>
          </cell>
        </row>
        <row r="122">
          <cell r="BB122" t="str">
            <v>.</v>
          </cell>
        </row>
        <row r="123">
          <cell r="BB123" t="str">
            <v>.</v>
          </cell>
        </row>
        <row r="124">
          <cell r="BB124" t="str">
            <v>.</v>
          </cell>
        </row>
        <row r="125">
          <cell r="BB125" t="str">
            <v>.</v>
          </cell>
        </row>
        <row r="126">
          <cell r="BB126" t="str">
            <v>.</v>
          </cell>
        </row>
        <row r="127">
          <cell r="BB127" t="str">
            <v>.</v>
          </cell>
        </row>
        <row r="128">
          <cell r="BB128" t="str">
            <v>.</v>
          </cell>
        </row>
        <row r="129">
          <cell r="BB129" t="str">
            <v>.</v>
          </cell>
        </row>
        <row r="130">
          <cell r="BB130" t="str">
            <v>.</v>
          </cell>
        </row>
        <row r="131">
          <cell r="BB131" t="str">
            <v>.</v>
          </cell>
        </row>
        <row r="132">
          <cell r="BB132" t="str">
            <v>.</v>
          </cell>
        </row>
        <row r="133">
          <cell r="BB133" t="str">
            <v>.</v>
          </cell>
        </row>
        <row r="134">
          <cell r="BB134" t="str">
            <v>.</v>
          </cell>
        </row>
        <row r="135">
          <cell r="BB135" t="str">
            <v>.</v>
          </cell>
        </row>
        <row r="136">
          <cell r="BB136" t="str">
            <v>.</v>
          </cell>
        </row>
        <row r="137">
          <cell r="BB137" t="str">
            <v>.</v>
          </cell>
        </row>
        <row r="138">
          <cell r="BB138" t="str">
            <v>.</v>
          </cell>
        </row>
        <row r="139">
          <cell r="BB139" t="str">
            <v>.</v>
          </cell>
        </row>
        <row r="140">
          <cell r="BB140" t="str">
            <v>.</v>
          </cell>
        </row>
        <row r="141">
          <cell r="BB141" t="str">
            <v>.</v>
          </cell>
        </row>
        <row r="142">
          <cell r="BB142" t="str">
            <v>.</v>
          </cell>
        </row>
        <row r="143">
          <cell r="BB143" t="str">
            <v>.</v>
          </cell>
        </row>
        <row r="144">
          <cell r="BB144" t="str">
            <v>.</v>
          </cell>
        </row>
        <row r="145">
          <cell r="BB145" t="str">
            <v>.</v>
          </cell>
        </row>
        <row r="146">
          <cell r="BB146" t="str">
            <v>.</v>
          </cell>
        </row>
        <row r="147">
          <cell r="BB147" t="str">
            <v>.</v>
          </cell>
        </row>
        <row r="148">
          <cell r="BB148" t="str">
            <v>.</v>
          </cell>
        </row>
        <row r="149">
          <cell r="BB149" t="str">
            <v>.</v>
          </cell>
        </row>
        <row r="150">
          <cell r="BB150" t="str">
            <v>.</v>
          </cell>
        </row>
        <row r="151">
          <cell r="BB151" t="str">
            <v>.</v>
          </cell>
        </row>
        <row r="152">
          <cell r="BB152" t="str">
            <v>.</v>
          </cell>
        </row>
        <row r="153">
          <cell r="BB153" t="str">
            <v>.</v>
          </cell>
        </row>
        <row r="154">
          <cell r="BB154" t="str">
            <v>.</v>
          </cell>
        </row>
        <row r="155">
          <cell r="BB155" t="str">
            <v>.</v>
          </cell>
        </row>
        <row r="156">
          <cell r="BB156" t="str">
            <v>.</v>
          </cell>
        </row>
        <row r="157">
          <cell r="BB157" t="str">
            <v>.</v>
          </cell>
        </row>
        <row r="158">
          <cell r="BB158" t="str">
            <v>.</v>
          </cell>
        </row>
        <row r="159">
          <cell r="BB159" t="str">
            <v>.</v>
          </cell>
        </row>
        <row r="160">
          <cell r="BB160" t="str">
            <v>.</v>
          </cell>
        </row>
        <row r="161">
          <cell r="BB161" t="str">
            <v>.</v>
          </cell>
        </row>
        <row r="162">
          <cell r="BB162" t="str">
            <v>.</v>
          </cell>
        </row>
        <row r="163">
          <cell r="BB163" t="str">
            <v>.</v>
          </cell>
        </row>
        <row r="164">
          <cell r="BB164" t="str">
            <v>.</v>
          </cell>
        </row>
        <row r="165">
          <cell r="BB165" t="str">
            <v>.</v>
          </cell>
        </row>
        <row r="166">
          <cell r="BB166" t="str">
            <v>.</v>
          </cell>
        </row>
        <row r="167">
          <cell r="BB167" t="str">
            <v>.</v>
          </cell>
        </row>
        <row r="168">
          <cell r="BB168" t="str">
            <v>.</v>
          </cell>
        </row>
        <row r="169">
          <cell r="BB169" t="str">
            <v>.</v>
          </cell>
        </row>
        <row r="170">
          <cell r="BB170" t="str">
            <v>.</v>
          </cell>
        </row>
        <row r="171">
          <cell r="BB171" t="str">
            <v>.</v>
          </cell>
        </row>
        <row r="172">
          <cell r="BB172" t="str">
            <v>.</v>
          </cell>
        </row>
        <row r="173">
          <cell r="BB173" t="str">
            <v>.</v>
          </cell>
        </row>
        <row r="174">
          <cell r="BB174" t="str">
            <v>.</v>
          </cell>
        </row>
        <row r="175">
          <cell r="BB175" t="str">
            <v>.</v>
          </cell>
        </row>
        <row r="176">
          <cell r="BB176" t="str">
            <v>.</v>
          </cell>
        </row>
        <row r="177">
          <cell r="BB177" t="str">
            <v>.</v>
          </cell>
        </row>
        <row r="178">
          <cell r="BB178" t="str">
            <v>.</v>
          </cell>
        </row>
        <row r="179">
          <cell r="BB179" t="str">
            <v>.</v>
          </cell>
        </row>
        <row r="180">
          <cell r="BB180" t="str">
            <v>.</v>
          </cell>
        </row>
        <row r="181">
          <cell r="BB181" t="str">
            <v>.</v>
          </cell>
        </row>
        <row r="182">
          <cell r="BB182" t="str">
            <v>.</v>
          </cell>
        </row>
        <row r="183">
          <cell r="BB183" t="str">
            <v>.</v>
          </cell>
        </row>
        <row r="184">
          <cell r="BB184" t="str">
            <v>.</v>
          </cell>
        </row>
        <row r="185">
          <cell r="BB185" t="str">
            <v>.</v>
          </cell>
        </row>
        <row r="186">
          <cell r="BB186" t="str">
            <v>.</v>
          </cell>
        </row>
        <row r="187">
          <cell r="BB187" t="str">
            <v>.</v>
          </cell>
        </row>
        <row r="188">
          <cell r="BB188" t="str">
            <v>.</v>
          </cell>
        </row>
        <row r="189">
          <cell r="BB189" t="str">
            <v>.</v>
          </cell>
        </row>
        <row r="190">
          <cell r="BB190" t="str">
            <v>.</v>
          </cell>
        </row>
        <row r="191">
          <cell r="BB191" t="str">
            <v>.</v>
          </cell>
        </row>
        <row r="192">
          <cell r="BB192" t="str">
            <v>.</v>
          </cell>
        </row>
        <row r="193">
          <cell r="BB193" t="str">
            <v>.</v>
          </cell>
        </row>
        <row r="194">
          <cell r="BB194" t="str">
            <v>.</v>
          </cell>
        </row>
        <row r="195">
          <cell r="BB195" t="str">
            <v>.</v>
          </cell>
        </row>
        <row r="196">
          <cell r="BB196" t="str">
            <v>.</v>
          </cell>
        </row>
        <row r="197">
          <cell r="BB197" t="str">
            <v>.</v>
          </cell>
        </row>
        <row r="198">
          <cell r="BB198" t="str">
            <v>.</v>
          </cell>
        </row>
        <row r="199">
          <cell r="BB199" t="str">
            <v>.</v>
          </cell>
        </row>
        <row r="200">
          <cell r="BB200" t="str">
            <v>.</v>
          </cell>
        </row>
        <row r="201">
          <cell r="BB201" t="str">
            <v>.</v>
          </cell>
        </row>
        <row r="202">
          <cell r="BB202" t="str">
            <v>.</v>
          </cell>
        </row>
        <row r="203">
          <cell r="BB203" t="str">
            <v>.</v>
          </cell>
        </row>
        <row r="204">
          <cell r="BB204" t="str">
            <v>.</v>
          </cell>
        </row>
        <row r="205">
          <cell r="BB205" t="str">
            <v>.</v>
          </cell>
        </row>
        <row r="206">
          <cell r="BB206" t="str">
            <v>.</v>
          </cell>
        </row>
        <row r="207">
          <cell r="BB207" t="str">
            <v>.</v>
          </cell>
        </row>
        <row r="208">
          <cell r="BB208" t="str">
            <v>.</v>
          </cell>
        </row>
        <row r="209">
          <cell r="BB209" t="str">
            <v>.</v>
          </cell>
        </row>
        <row r="210">
          <cell r="BB210" t="str">
            <v>.</v>
          </cell>
        </row>
        <row r="211">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BB996" t="str">
            <v>.</v>
          </cell>
        </row>
        <row r="997">
          <cell r="A997" t="str">
            <v>.</v>
          </cell>
          <cell r="B997" t="str">
            <v>.</v>
          </cell>
          <cell r="C997" t="str">
            <v>.</v>
          </cell>
          <cell r="D997" t="str">
            <v>.</v>
          </cell>
          <cell r="E997" t="str">
            <v>.</v>
          </cell>
          <cell r="F997" t="str">
            <v>.</v>
          </cell>
          <cell r="G997" t="str">
            <v>.</v>
          </cell>
          <cell r="I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row>
      </sheetData>
      <sheetData sheetId="6"/>
      <sheetData sheetId="7"/>
      <sheetData sheetId="8"/>
      <sheetData sheetId="9"/>
      <sheetData sheetId="10"/>
      <sheetData sheetId="11"/>
      <sheetData sheetId="12">
        <row r="2">
          <cell r="B2" t="str">
            <v>($M)</v>
          </cell>
          <cell r="C2" t="str">
            <v>2009E</v>
          </cell>
          <cell r="D2" t="str">
            <v>2010E</v>
          </cell>
          <cell r="E2" t="str">
            <v>2011E</v>
          </cell>
          <cell r="F2" t="str">
            <v>2012E</v>
          </cell>
          <cell r="G2" t="str">
            <v>2013E</v>
          </cell>
          <cell r="H2" t="str">
            <v>2014E</v>
          </cell>
          <cell r="I2" t="str">
            <v>2015E</v>
          </cell>
        </row>
        <row r="3">
          <cell r="B3" t="str">
            <v>Revenue</v>
          </cell>
          <cell r="C3">
            <v>46664.590000000004</v>
          </cell>
          <cell r="D3">
            <v>59490.450000000004</v>
          </cell>
          <cell r="E3">
            <v>57134.93</v>
          </cell>
          <cell r="F3">
            <v>58779.911381268947</v>
          </cell>
          <cell r="G3">
            <v>59239.936075638652</v>
          </cell>
          <cell r="H3">
            <v>59771.216511600302</v>
          </cell>
          <cell r="I3">
            <v>59987.717899738433</v>
          </cell>
        </row>
        <row r="4">
          <cell r="B4" t="str">
            <v>Op. Income</v>
          </cell>
          <cell r="C4">
            <v>7540</v>
          </cell>
          <cell r="D4">
            <v>10000</v>
          </cell>
          <cell r="E4">
            <v>9200</v>
          </cell>
          <cell r="F4">
            <v>23420.697731424829</v>
          </cell>
          <cell r="G4">
            <v>24062.427582023694</v>
          </cell>
          <cell r="H4">
            <v>24252.934339512249</v>
          </cell>
          <cell r="I4">
            <v>24182.870845785517</v>
          </cell>
        </row>
        <row r="5">
          <cell r="B5" t="str">
            <v>Op. Margin</v>
          </cell>
          <cell r="C5">
            <v>0.15271279077999245</v>
          </cell>
          <cell r="D5">
            <v>0.14871522964147593</v>
          </cell>
          <cell r="E5">
            <v>0.14030701020421829</v>
          </cell>
          <cell r="F5">
            <v>0.39844731271384948</v>
          </cell>
          <cell r="G5">
            <v>0.40618591403104048</v>
          </cell>
          <cell r="H5">
            <v>0.40576276935580319</v>
          </cell>
          <cell r="I5">
            <v>0.40313036888991177</v>
          </cell>
        </row>
        <row r="6">
          <cell r="B6" t="str">
            <v>EPS</v>
          </cell>
          <cell r="C6">
            <v>0</v>
          </cell>
          <cell r="D6">
            <v>0</v>
          </cell>
          <cell r="E6">
            <v>0</v>
          </cell>
          <cell r="F6">
            <v>2.1029587057701495</v>
          </cell>
          <cell r="G6">
            <v>2.2372166055191349</v>
          </cell>
          <cell r="H6">
            <v>2.3276533306404867</v>
          </cell>
          <cell r="I6">
            <v>2.3911545965022829</v>
          </cell>
        </row>
      </sheetData>
      <sheetData sheetId="13">
        <row r="1">
          <cell r="B1" t="str">
            <v>Historical Planned vs. Realized Cost Savings</v>
          </cell>
        </row>
        <row r="3">
          <cell r="B3" t="str">
            <v>($B)</v>
          </cell>
          <cell r="C3" t="str">
            <v>Warner-Lambert</v>
          </cell>
          <cell r="D3" t="str">
            <v>Pharmacia</v>
          </cell>
          <cell r="E3" t="str">
            <v>Adapting to Scale (AtS)</v>
          </cell>
          <cell r="F3" t="str">
            <v>2007/2008 Plan</v>
          </cell>
        </row>
        <row r="4">
          <cell r="B4" t="str">
            <v>Original Goal</v>
          </cell>
          <cell r="C4">
            <v>1.6</v>
          </cell>
          <cell r="D4">
            <v>3.8</v>
          </cell>
          <cell r="E4">
            <v>2</v>
          </cell>
          <cell r="F4" t="str">
            <v>1.5-2.0</v>
          </cell>
        </row>
        <row r="5">
          <cell r="B5" t="str">
            <v>Actual Savings</v>
          </cell>
          <cell r="C5">
            <v>1.8</v>
          </cell>
          <cell r="D5">
            <v>4.2</v>
          </cell>
          <cell r="E5">
            <v>2.6</v>
          </cell>
          <cell r="F5">
            <v>2.8</v>
          </cell>
        </row>
        <row r="6">
          <cell r="B6" t="str">
            <v>% Upside</v>
          </cell>
          <cell r="C6">
            <v>0.12499999999999997</v>
          </cell>
          <cell r="D6">
            <v>0.10526315789473695</v>
          </cell>
          <cell r="E6">
            <v>0.30000000000000004</v>
          </cell>
          <cell r="F6" t="str">
            <v>40%-87%</v>
          </cell>
        </row>
      </sheetData>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d 2-32"/>
      <sheetName val="Good 12-00 (3)"/>
      <sheetName val="Good 12-43"/>
      <sheetName val="Good 12-07"/>
      <sheetName val="Good 12-00 (2)"/>
      <sheetName val="Good 12-00"/>
      <sheetName val="Good 11-50"/>
      <sheetName val="Good 11-40"/>
      <sheetName val="Good 11-36"/>
      <sheetName val="Good 11-18"/>
      <sheetName val="Good 10-48 pm (2)"/>
      <sheetName val="Samples"/>
      <sheetName val="Good 10-48 pm"/>
      <sheetName val="Good 11-04 pm"/>
      <sheetName val="Sheet3 (6)"/>
      <sheetName val="Sheet3 (5)"/>
      <sheetName val="Sheet3 (3)"/>
      <sheetName val="Sheet3 (2)"/>
      <sheetName val="Sheet1"/>
      <sheetName val="Sheet2"/>
      <sheetName val="Sheet3"/>
      <sheetName val="Sheet3 (4)"/>
      <sheetName val="Good 12-22_tbnt"/>
      <sheetName val="DCF Model"/>
      <sheetName val="SoP Model"/>
      <sheetName val="LBO Summary"/>
      <sheetName val="Sheet4"/>
      <sheetName val="ForeignStake"/>
      <sheetName val="PE_1yr_Forward"/>
      <sheetName val="Summary"/>
      <sheetName val="Quarterly"/>
      <sheetName val="Cust-Supplier"/>
      <sheetName val="Pork Poultry Egg"/>
      <sheetName val="Tourists"/>
      <sheetName val="CHINA CPI"/>
      <sheetName val="Fish"/>
      <sheetName val="Risk-Reward_View_Chart"/>
      <sheetName val="c1"/>
      <sheetName val="NOPAT"/>
      <sheetName val="ROE"/>
    </sheetNames>
    <sheetDataSet>
      <sheetData sheetId="0" refreshError="1"/>
      <sheetData sheetId="1" refreshError="1"/>
      <sheetData sheetId="2" refreshError="1"/>
      <sheetData sheetId="3" refreshError="1"/>
      <sheetData sheetId="4" refreshError="1">
        <row r="3">
          <cell r="A3" t="str">
            <v>Base</v>
          </cell>
          <cell r="B3">
            <v>40</v>
          </cell>
        </row>
        <row r="4">
          <cell r="A4" t="str">
            <v>Price Target</v>
          </cell>
          <cell r="B4">
            <v>40</v>
          </cell>
          <cell r="S4" t="str">
            <v>Bear</v>
          </cell>
          <cell r="U4" t="str">
            <v>Base</v>
          </cell>
          <cell r="X4" t="str">
            <v>Bull</v>
          </cell>
        </row>
        <row r="5">
          <cell r="R5">
            <v>-30</v>
          </cell>
          <cell r="S5">
            <v>-30</v>
          </cell>
          <cell r="U5">
            <v>40</v>
          </cell>
          <cell r="X5">
            <v>17</v>
          </cell>
          <cell r="Z5">
            <v>17</v>
          </cell>
        </row>
        <row r="6">
          <cell r="C6" t="str">
            <v>Bear</v>
          </cell>
          <cell r="S6" t="str">
            <v>-space2</v>
          </cell>
          <cell r="T6" t="str">
            <v>-bear</v>
          </cell>
          <cell r="U6" t="str">
            <v>-space1</v>
          </cell>
          <cell r="V6" t="str">
            <v>+space1</v>
          </cell>
          <cell r="W6" t="str">
            <v>+bull</v>
          </cell>
          <cell r="X6" t="str">
            <v>+space2</v>
          </cell>
        </row>
        <row r="7">
          <cell r="A7" t="str">
            <v>Binary driver one</v>
          </cell>
          <cell r="C7">
            <v>-5</v>
          </cell>
          <cell r="S7">
            <v>-23</v>
          </cell>
          <cell r="T7">
            <v>-7</v>
          </cell>
          <cell r="U7">
            <v>0</v>
          </cell>
          <cell r="V7">
            <v>0</v>
          </cell>
          <cell r="W7">
            <v>3</v>
          </cell>
          <cell r="X7">
            <v>14</v>
          </cell>
          <cell r="Y7">
            <v>17</v>
          </cell>
        </row>
        <row r="8">
          <cell r="A8" t="str">
            <v>Binary driver two</v>
          </cell>
          <cell r="C8">
            <v>-5</v>
          </cell>
          <cell r="S8">
            <v>-18</v>
          </cell>
          <cell r="T8">
            <v>-5</v>
          </cell>
          <cell r="U8">
            <v>-7</v>
          </cell>
          <cell r="V8">
            <v>3</v>
          </cell>
          <cell r="W8">
            <v>2</v>
          </cell>
          <cell r="X8">
            <v>12</v>
          </cell>
          <cell r="Y8">
            <v>17</v>
          </cell>
        </row>
        <row r="9">
          <cell r="A9" t="str">
            <v>Binary driver three</v>
          </cell>
          <cell r="C9">
            <v>-6</v>
          </cell>
          <cell r="S9">
            <v>-12</v>
          </cell>
          <cell r="T9">
            <v>-6</v>
          </cell>
          <cell r="U9">
            <v>-12</v>
          </cell>
          <cell r="V9">
            <v>5</v>
          </cell>
          <cell r="W9">
            <v>3</v>
          </cell>
          <cell r="X9">
            <v>9</v>
          </cell>
          <cell r="Y9">
            <v>17</v>
          </cell>
        </row>
        <row r="10">
          <cell r="A10" t="str">
            <v>Bull only driver one</v>
          </cell>
          <cell r="C10">
            <v>0</v>
          </cell>
          <cell r="S10">
            <v>-12</v>
          </cell>
          <cell r="U10">
            <v>-18</v>
          </cell>
          <cell r="V10">
            <v>8</v>
          </cell>
          <cell r="W10">
            <v>4</v>
          </cell>
          <cell r="X10">
            <v>5</v>
          </cell>
          <cell r="Y10">
            <v>17</v>
          </cell>
        </row>
        <row r="11">
          <cell r="A11" t="str">
            <v>Bull only driver two</v>
          </cell>
          <cell r="C11">
            <v>0</v>
          </cell>
          <cell r="S11">
            <v>-12</v>
          </cell>
          <cell r="U11">
            <v>-18</v>
          </cell>
          <cell r="V11">
            <v>12</v>
          </cell>
          <cell r="W11">
            <v>5</v>
          </cell>
          <cell r="X11">
            <v>0</v>
          </cell>
          <cell r="Y11">
            <v>17</v>
          </cell>
        </row>
        <row r="12">
          <cell r="A12" t="str">
            <v>Bear only driver one</v>
          </cell>
          <cell r="C12">
            <v>-4</v>
          </cell>
          <cell r="S12">
            <v>-8</v>
          </cell>
          <cell r="T12">
            <v>-4</v>
          </cell>
          <cell r="U12">
            <v>-18</v>
          </cell>
          <cell r="V12">
            <v>17</v>
          </cell>
          <cell r="X12">
            <v>0</v>
          </cell>
          <cell r="Y12">
            <v>17</v>
          </cell>
        </row>
        <row r="13">
          <cell r="A13" t="str">
            <v>Bear only driver two</v>
          </cell>
          <cell r="C13">
            <v>-3</v>
          </cell>
          <cell r="S13">
            <v>-5</v>
          </cell>
          <cell r="T13">
            <v>-3</v>
          </cell>
          <cell r="U13">
            <v>-22</v>
          </cell>
          <cell r="V13">
            <v>17</v>
          </cell>
          <cell r="X13">
            <v>0</v>
          </cell>
          <cell r="Y13">
            <v>17</v>
          </cell>
        </row>
        <row r="14">
          <cell r="A14" t="str">
            <v>Bear only driver three</v>
          </cell>
          <cell r="C14">
            <v>-5</v>
          </cell>
          <cell r="S14">
            <v>0</v>
          </cell>
          <cell r="T14">
            <v>-5</v>
          </cell>
          <cell r="U14">
            <v>-25</v>
          </cell>
          <cell r="V14">
            <v>17</v>
          </cell>
          <cell r="X14">
            <v>0</v>
          </cell>
          <cell r="Y14">
            <v>17</v>
          </cell>
        </row>
        <row r="15">
          <cell r="C15">
            <v>0</v>
          </cell>
        </row>
        <row r="16">
          <cell r="S16" t="str">
            <v>-space1</v>
          </cell>
          <cell r="T16" t="str">
            <v>-bear</v>
          </cell>
          <cell r="U16" t="str">
            <v>-space2</v>
          </cell>
          <cell r="V16" t="str">
            <v>+space1</v>
          </cell>
          <cell r="W16" t="str">
            <v>+bull</v>
          </cell>
          <cell r="X16" t="str">
            <v>+space2</v>
          </cell>
          <cell r="Y16" t="str">
            <v>Bear 
10.00</v>
          </cell>
          <cell r="Z16" t="str">
            <v>Base 
40.00</v>
          </cell>
          <cell r="AA16" t="str">
            <v>Bull
57.00</v>
          </cell>
          <cell r="AB16">
            <v>0</v>
          </cell>
        </row>
        <row r="18">
          <cell r="R18" t="str">
            <v>Binary driver one</v>
          </cell>
          <cell r="S18">
            <v>0</v>
          </cell>
          <cell r="T18">
            <v>-5</v>
          </cell>
          <cell r="U18">
            <v>-23</v>
          </cell>
          <cell r="V18">
            <v>0</v>
          </cell>
          <cell r="W18">
            <v>3</v>
          </cell>
          <cell r="X18">
            <v>14</v>
          </cell>
          <cell r="Y18">
            <v>-30</v>
          </cell>
          <cell r="Z18">
            <v>0</v>
          </cell>
          <cell r="AA18">
            <v>17</v>
          </cell>
          <cell r="AB18">
            <v>0</v>
          </cell>
        </row>
        <row r="19">
          <cell r="R19" t="str">
            <v>Binary driver two</v>
          </cell>
          <cell r="S19">
            <v>-7</v>
          </cell>
          <cell r="T19">
            <v>-5</v>
          </cell>
          <cell r="U19">
            <v>-18</v>
          </cell>
          <cell r="V19">
            <v>3</v>
          </cell>
          <cell r="W19">
            <v>2</v>
          </cell>
          <cell r="X19">
            <v>12</v>
          </cell>
          <cell r="Y19">
            <v>-30</v>
          </cell>
          <cell r="Z19">
            <v>0</v>
          </cell>
          <cell r="AA19">
            <v>17</v>
          </cell>
          <cell r="AB19">
            <v>0</v>
          </cell>
        </row>
        <row r="20">
          <cell r="R20" t="str">
            <v>Binary driver three</v>
          </cell>
          <cell r="S20">
            <v>-12</v>
          </cell>
          <cell r="T20">
            <v>-6</v>
          </cell>
          <cell r="U20">
            <v>-12</v>
          </cell>
          <cell r="V20">
            <v>5</v>
          </cell>
          <cell r="W20">
            <v>3</v>
          </cell>
          <cell r="X20">
            <v>9</v>
          </cell>
          <cell r="Y20">
            <v>-30</v>
          </cell>
          <cell r="Z20">
            <v>0</v>
          </cell>
          <cell r="AA20">
            <v>17</v>
          </cell>
          <cell r="AB20">
            <v>0</v>
          </cell>
        </row>
        <row r="21">
          <cell r="R21" t="str">
            <v>Bull only driver one</v>
          </cell>
          <cell r="S21">
            <v>-18</v>
          </cell>
          <cell r="T21">
            <v>0</v>
          </cell>
          <cell r="U21">
            <v>-12</v>
          </cell>
          <cell r="V21">
            <v>8</v>
          </cell>
          <cell r="W21">
            <v>4</v>
          </cell>
          <cell r="X21">
            <v>5</v>
          </cell>
          <cell r="Y21">
            <v>-30</v>
          </cell>
          <cell r="Z21">
            <v>0</v>
          </cell>
          <cell r="AA21">
            <v>17</v>
          </cell>
          <cell r="AB21">
            <v>0</v>
          </cell>
        </row>
        <row r="22">
          <cell r="R22" t="str">
            <v>Bull only driver two</v>
          </cell>
          <cell r="S22">
            <v>-18</v>
          </cell>
          <cell r="T22">
            <v>0</v>
          </cell>
          <cell r="U22">
            <v>-12</v>
          </cell>
          <cell r="V22">
            <v>12</v>
          </cell>
          <cell r="W22">
            <v>5</v>
          </cell>
          <cell r="X22">
            <v>0</v>
          </cell>
          <cell r="Y22">
            <v>-30</v>
          </cell>
          <cell r="Z22">
            <v>0</v>
          </cell>
          <cell r="AA22">
            <v>17</v>
          </cell>
          <cell r="AB22">
            <v>0</v>
          </cell>
        </row>
        <row r="23">
          <cell r="R23" t="str">
            <v>Bear only driver one</v>
          </cell>
          <cell r="S23">
            <v>-18</v>
          </cell>
          <cell r="T23">
            <v>-4</v>
          </cell>
          <cell r="U23">
            <v>-8</v>
          </cell>
          <cell r="V23">
            <v>17</v>
          </cell>
          <cell r="W23">
            <v>0</v>
          </cell>
          <cell r="X23">
            <v>0</v>
          </cell>
          <cell r="Y23">
            <v>-30</v>
          </cell>
          <cell r="Z23">
            <v>0</v>
          </cell>
          <cell r="AA23">
            <v>17</v>
          </cell>
          <cell r="AB23">
            <v>0</v>
          </cell>
        </row>
        <row r="24">
          <cell r="R24" t="str">
            <v>Bear only driver two</v>
          </cell>
          <cell r="S24">
            <v>-22</v>
          </cell>
          <cell r="T24">
            <v>-3</v>
          </cell>
          <cell r="U24">
            <v>-5</v>
          </cell>
          <cell r="V24">
            <v>17</v>
          </cell>
          <cell r="W24">
            <v>0</v>
          </cell>
          <cell r="X24">
            <v>0</v>
          </cell>
          <cell r="Y24">
            <v>-30</v>
          </cell>
          <cell r="Z24">
            <v>0</v>
          </cell>
          <cell r="AA24">
            <v>17</v>
          </cell>
          <cell r="AB24">
            <v>0</v>
          </cell>
        </row>
        <row r="25">
          <cell r="R25" t="str">
            <v>Bear only driver three</v>
          </cell>
          <cell r="S25">
            <v>-25</v>
          </cell>
          <cell r="T25">
            <v>-5</v>
          </cell>
          <cell r="U25">
            <v>0</v>
          </cell>
          <cell r="V25">
            <v>17</v>
          </cell>
          <cell r="W25">
            <v>0</v>
          </cell>
          <cell r="X25">
            <v>0</v>
          </cell>
          <cell r="Y25">
            <v>-30</v>
          </cell>
          <cell r="Z25">
            <v>0</v>
          </cell>
          <cell r="AA25">
            <v>17</v>
          </cell>
          <cell r="AB25">
            <v>0</v>
          </cell>
        </row>
        <row r="26">
          <cell r="Y26">
            <v>-30</v>
          </cell>
          <cell r="Z26">
            <v>0</v>
          </cell>
          <cell r="AA26">
            <v>17</v>
          </cell>
          <cell r="AB26">
            <v>0</v>
          </cell>
        </row>
        <row r="27">
          <cell r="Y27">
            <v>-30</v>
          </cell>
          <cell r="Z27">
            <v>0</v>
          </cell>
          <cell r="AA27">
            <v>17</v>
          </cell>
          <cell r="AB27">
            <v>0</v>
          </cell>
        </row>
        <row r="29">
          <cell r="AA29" t="str">
            <v>Note: Price Target = Base Case unless otherwise indicated.</v>
          </cell>
        </row>
        <row r="31">
          <cell r="R31" t="str">
            <v>Bear</v>
          </cell>
          <cell r="S31">
            <v>10</v>
          </cell>
        </row>
        <row r="32">
          <cell r="S32">
            <v>20</v>
          </cell>
        </row>
        <row r="33">
          <cell r="R33" t="str">
            <v>Bull</v>
          </cell>
          <cell r="S33">
            <v>57</v>
          </cell>
        </row>
      </sheetData>
      <sheetData sheetId="5" refreshError="1"/>
      <sheetData sheetId="6"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Binary driver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Binary driver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7" refreshError="1"/>
      <sheetData sheetId="8" refreshError="1">
        <row r="4">
          <cell r="C4" t="str">
            <v>Bear</v>
          </cell>
          <cell r="E4" t="str">
            <v>Base</v>
          </cell>
          <cell r="H4" t="str">
            <v>Bull</v>
          </cell>
        </row>
        <row r="5">
          <cell r="B5">
            <v>-30</v>
          </cell>
          <cell r="C5">
            <v>-30</v>
          </cell>
          <cell r="E5">
            <v>40</v>
          </cell>
          <cell r="H5">
            <v>17</v>
          </cell>
          <cell r="J5">
            <v>17</v>
          </cell>
        </row>
        <row r="6">
          <cell r="C6" t="str">
            <v>-space2</v>
          </cell>
          <cell r="D6" t="str">
            <v>-bear</v>
          </cell>
          <cell r="E6" t="str">
            <v>-space1</v>
          </cell>
          <cell r="F6" t="str">
            <v>+space1</v>
          </cell>
          <cell r="G6" t="str">
            <v>+bull</v>
          </cell>
          <cell r="H6" t="str">
            <v>+space2</v>
          </cell>
        </row>
        <row r="7">
          <cell r="B7" t="str">
            <v>Binary driver one</v>
          </cell>
          <cell r="C7">
            <v>-23</v>
          </cell>
          <cell r="D7">
            <v>-7</v>
          </cell>
          <cell r="E7">
            <v>0</v>
          </cell>
          <cell r="F7">
            <v>0</v>
          </cell>
          <cell r="G7">
            <v>3</v>
          </cell>
          <cell r="H7">
            <v>14</v>
          </cell>
          <cell r="I7">
            <v>17</v>
          </cell>
        </row>
        <row r="8">
          <cell r="B8" t="str">
            <v>Binary driver two</v>
          </cell>
          <cell r="C8">
            <v>-18</v>
          </cell>
          <cell r="D8">
            <v>-5</v>
          </cell>
          <cell r="E8">
            <v>-7</v>
          </cell>
          <cell r="F8">
            <v>3</v>
          </cell>
          <cell r="G8">
            <v>2</v>
          </cell>
          <cell r="H8">
            <v>12</v>
          </cell>
          <cell r="I8">
            <v>17</v>
          </cell>
        </row>
        <row r="9">
          <cell r="B9" t="str">
            <v>Driver number three</v>
          </cell>
          <cell r="C9">
            <v>-12</v>
          </cell>
          <cell r="D9">
            <v>-6</v>
          </cell>
          <cell r="E9">
            <v>-12</v>
          </cell>
          <cell r="F9">
            <v>5</v>
          </cell>
          <cell r="G9">
            <v>3</v>
          </cell>
          <cell r="H9">
            <v>9</v>
          </cell>
          <cell r="I9">
            <v>17</v>
          </cell>
        </row>
        <row r="10">
          <cell r="B10" t="str">
            <v>Bull only driver one</v>
          </cell>
          <cell r="C10">
            <v>-12</v>
          </cell>
          <cell r="E10">
            <v>-18</v>
          </cell>
          <cell r="F10">
            <v>8</v>
          </cell>
          <cell r="G10">
            <v>4</v>
          </cell>
          <cell r="H10">
            <v>5</v>
          </cell>
          <cell r="I10">
            <v>17</v>
          </cell>
        </row>
        <row r="11">
          <cell r="B11" t="str">
            <v>Bull only driver two</v>
          </cell>
          <cell r="C11">
            <v>-12</v>
          </cell>
          <cell r="E11">
            <v>-18</v>
          </cell>
          <cell r="F11">
            <v>12</v>
          </cell>
          <cell r="G11">
            <v>5</v>
          </cell>
          <cell r="H11">
            <v>0</v>
          </cell>
          <cell r="I11">
            <v>17</v>
          </cell>
        </row>
        <row r="12">
          <cell r="B12" t="str">
            <v>Bear only driver one</v>
          </cell>
          <cell r="C12">
            <v>-8</v>
          </cell>
          <cell r="D12">
            <v>-4</v>
          </cell>
          <cell r="E12">
            <v>-18</v>
          </cell>
          <cell r="F12">
            <v>17</v>
          </cell>
          <cell r="H12">
            <v>0</v>
          </cell>
          <cell r="I12">
            <v>17</v>
          </cell>
        </row>
        <row r="13">
          <cell r="B13" t="str">
            <v>Bear only driver two</v>
          </cell>
          <cell r="C13">
            <v>-5</v>
          </cell>
          <cell r="D13">
            <v>-3</v>
          </cell>
          <cell r="E13">
            <v>-22</v>
          </cell>
          <cell r="F13">
            <v>17</v>
          </cell>
          <cell r="H13">
            <v>0</v>
          </cell>
          <cell r="I13">
            <v>17</v>
          </cell>
        </row>
        <row r="14">
          <cell r="B14" t="str">
            <v>Bear only driver three</v>
          </cell>
          <cell r="C14">
            <v>0</v>
          </cell>
          <cell r="D14">
            <v>-5</v>
          </cell>
          <cell r="E14">
            <v>-25</v>
          </cell>
          <cell r="F14">
            <v>17</v>
          </cell>
          <cell r="H14">
            <v>0</v>
          </cell>
          <cell r="I14">
            <v>17</v>
          </cell>
        </row>
        <row r="16">
          <cell r="C16" t="str">
            <v>-space1</v>
          </cell>
          <cell r="D16" t="str">
            <v>-bear</v>
          </cell>
          <cell r="E16" t="str">
            <v>-space2</v>
          </cell>
          <cell r="F16" t="str">
            <v>+space1</v>
          </cell>
          <cell r="G16" t="str">
            <v>+bull</v>
          </cell>
          <cell r="H16" t="str">
            <v>+space2</v>
          </cell>
          <cell r="I16" t="str">
            <v>Bear  10.00</v>
          </cell>
          <cell r="J16" t="str">
            <v>Base  40.00</v>
          </cell>
          <cell r="K16" t="str">
            <v>Bull: 57.00</v>
          </cell>
          <cell r="L16">
            <v>0</v>
          </cell>
        </row>
        <row r="18">
          <cell r="B18" t="str">
            <v>Binary driver one</v>
          </cell>
          <cell r="C18">
            <v>0</v>
          </cell>
          <cell r="D18">
            <v>-7</v>
          </cell>
          <cell r="E18">
            <v>-23</v>
          </cell>
          <cell r="F18">
            <v>0</v>
          </cell>
          <cell r="G18">
            <v>3</v>
          </cell>
          <cell r="H18">
            <v>14</v>
          </cell>
          <cell r="I18">
            <v>-30</v>
          </cell>
          <cell r="J18">
            <v>0</v>
          </cell>
          <cell r="K18">
            <v>17</v>
          </cell>
          <cell r="L18">
            <v>0</v>
          </cell>
        </row>
        <row r="19">
          <cell r="B19" t="str">
            <v>Binary driver two</v>
          </cell>
          <cell r="C19">
            <v>-7</v>
          </cell>
          <cell r="D19">
            <v>-5</v>
          </cell>
          <cell r="E19">
            <v>-18</v>
          </cell>
          <cell r="F19">
            <v>3</v>
          </cell>
          <cell r="G19">
            <v>2</v>
          </cell>
          <cell r="H19">
            <v>12</v>
          </cell>
          <cell r="I19">
            <v>-30</v>
          </cell>
          <cell r="J19">
            <v>0</v>
          </cell>
          <cell r="K19">
            <v>17</v>
          </cell>
          <cell r="L19">
            <v>0</v>
          </cell>
        </row>
        <row r="20">
          <cell r="B20" t="str">
            <v>Driver number three</v>
          </cell>
          <cell r="C20">
            <v>-12</v>
          </cell>
          <cell r="D20">
            <v>-6</v>
          </cell>
          <cell r="E20">
            <v>-12</v>
          </cell>
          <cell r="F20">
            <v>5</v>
          </cell>
          <cell r="G20">
            <v>3</v>
          </cell>
          <cell r="H20">
            <v>9</v>
          </cell>
          <cell r="I20">
            <v>-30</v>
          </cell>
          <cell r="J20">
            <v>0</v>
          </cell>
          <cell r="K20">
            <v>17</v>
          </cell>
          <cell r="L20">
            <v>0</v>
          </cell>
        </row>
        <row r="21">
          <cell r="B21" t="str">
            <v>Bull only driver one</v>
          </cell>
          <cell r="C21">
            <v>-18</v>
          </cell>
          <cell r="D21">
            <v>0</v>
          </cell>
          <cell r="E21">
            <v>-12</v>
          </cell>
          <cell r="F21">
            <v>8</v>
          </cell>
          <cell r="G21">
            <v>4</v>
          </cell>
          <cell r="H21">
            <v>5</v>
          </cell>
          <cell r="I21">
            <v>-30</v>
          </cell>
          <cell r="J21">
            <v>0</v>
          </cell>
          <cell r="K21">
            <v>17</v>
          </cell>
          <cell r="L21">
            <v>0</v>
          </cell>
        </row>
        <row r="22">
          <cell r="B22" t="str">
            <v>Bull only driver two</v>
          </cell>
          <cell r="C22">
            <v>-18</v>
          </cell>
          <cell r="D22">
            <v>0</v>
          </cell>
          <cell r="E22">
            <v>-12</v>
          </cell>
          <cell r="F22">
            <v>12</v>
          </cell>
          <cell r="G22">
            <v>5</v>
          </cell>
          <cell r="H22">
            <v>0</v>
          </cell>
          <cell r="I22">
            <v>-30</v>
          </cell>
          <cell r="J22">
            <v>0</v>
          </cell>
          <cell r="K22">
            <v>17</v>
          </cell>
          <cell r="L22">
            <v>0</v>
          </cell>
        </row>
        <row r="23">
          <cell r="B23" t="str">
            <v>Bear only driver one</v>
          </cell>
          <cell r="C23">
            <v>-18</v>
          </cell>
          <cell r="D23">
            <v>-4</v>
          </cell>
          <cell r="E23">
            <v>-8</v>
          </cell>
          <cell r="F23">
            <v>17</v>
          </cell>
          <cell r="G23">
            <v>0</v>
          </cell>
          <cell r="H23">
            <v>0</v>
          </cell>
          <cell r="I23">
            <v>-30</v>
          </cell>
          <cell r="J23">
            <v>0</v>
          </cell>
          <cell r="K23">
            <v>17</v>
          </cell>
          <cell r="L23">
            <v>0</v>
          </cell>
        </row>
        <row r="24">
          <cell r="B24" t="str">
            <v>Bear only driver two</v>
          </cell>
          <cell r="C24">
            <v>-22</v>
          </cell>
          <cell r="D24">
            <v>-3</v>
          </cell>
          <cell r="E24">
            <v>-5</v>
          </cell>
          <cell r="F24">
            <v>17</v>
          </cell>
          <cell r="G24">
            <v>0</v>
          </cell>
          <cell r="H24">
            <v>0</v>
          </cell>
          <cell r="I24">
            <v>-30</v>
          </cell>
          <cell r="J24">
            <v>0</v>
          </cell>
          <cell r="K24">
            <v>17</v>
          </cell>
          <cell r="L24">
            <v>0</v>
          </cell>
        </row>
        <row r="25">
          <cell r="B25" t="str">
            <v>Bear only driver three</v>
          </cell>
          <cell r="C25">
            <v>-25</v>
          </cell>
          <cell r="D25">
            <v>-5</v>
          </cell>
          <cell r="E25">
            <v>0</v>
          </cell>
          <cell r="F25">
            <v>17</v>
          </cell>
          <cell r="G25">
            <v>0</v>
          </cell>
          <cell r="H25">
            <v>0</v>
          </cell>
          <cell r="I25">
            <v>-30</v>
          </cell>
          <cell r="J25">
            <v>0</v>
          </cell>
          <cell r="K25">
            <v>17</v>
          </cell>
          <cell r="L25">
            <v>0</v>
          </cell>
        </row>
        <row r="26">
          <cell r="I26">
            <v>-30</v>
          </cell>
          <cell r="J26">
            <v>0</v>
          </cell>
          <cell r="K26">
            <v>17</v>
          </cell>
          <cell r="L26">
            <v>0</v>
          </cell>
        </row>
        <row r="27">
          <cell r="I27">
            <v>-30</v>
          </cell>
          <cell r="J27">
            <v>0</v>
          </cell>
          <cell r="K27">
            <v>17</v>
          </cell>
          <cell r="L27">
            <v>0</v>
          </cell>
        </row>
        <row r="28">
          <cell r="B28" t="str">
            <v>Bear</v>
          </cell>
          <cell r="C28">
            <v>10</v>
          </cell>
        </row>
        <row r="29">
          <cell r="B29" t="str">
            <v>Base</v>
          </cell>
          <cell r="C29">
            <v>40</v>
          </cell>
          <cell r="K29" t="str">
            <v>Note: Price Target = Base Case unless otherwise indicated.</v>
          </cell>
        </row>
        <row r="30">
          <cell r="B30" t="str">
            <v>Bull</v>
          </cell>
          <cell r="C30">
            <v>57</v>
          </cell>
        </row>
        <row r="31">
          <cell r="B31" t="str">
            <v>Price Target</v>
          </cell>
          <cell r="C31">
            <v>40</v>
          </cell>
        </row>
        <row r="35">
          <cell r="I35" t="str">
            <v>s</v>
          </cell>
        </row>
      </sheetData>
      <sheetData sheetId="9" refreshError="1"/>
      <sheetData sheetId="10" refreshError="1"/>
      <sheetData sheetId="11" refreshError="1"/>
      <sheetData sheetId="12" refreshError="1"/>
      <sheetData sheetId="13" refreshError="1"/>
      <sheetData sheetId="14" refreshError="1"/>
      <sheetData sheetId="15" refreshError="1">
        <row r="4">
          <cell r="C4" t="str">
            <v>Bear</v>
          </cell>
          <cell r="E4" t="str">
            <v>Base</v>
          </cell>
          <cell r="H4" t="str">
            <v>Bull</v>
          </cell>
        </row>
        <row r="5">
          <cell r="B5">
            <v>-36</v>
          </cell>
          <cell r="C5">
            <v>-36</v>
          </cell>
          <cell r="E5">
            <v>40</v>
          </cell>
          <cell r="H5">
            <v>18</v>
          </cell>
          <cell r="J5">
            <v>18</v>
          </cell>
        </row>
        <row r="6">
          <cell r="A6" t="str">
            <v>check</v>
          </cell>
          <cell r="C6" t="str">
            <v>-space2</v>
          </cell>
          <cell r="D6" t="str">
            <v>-bear</v>
          </cell>
          <cell r="E6" t="str">
            <v>-space1</v>
          </cell>
          <cell r="F6" t="str">
            <v>+space1</v>
          </cell>
          <cell r="G6" t="str">
            <v>+bull</v>
          </cell>
          <cell r="H6" t="str">
            <v>+space2</v>
          </cell>
        </row>
        <row r="7">
          <cell r="A7">
            <v>-36</v>
          </cell>
          <cell r="B7" t="str">
            <v>This is long label number one</v>
          </cell>
          <cell r="C7">
            <v>-32</v>
          </cell>
          <cell r="D7">
            <v>-4</v>
          </cell>
          <cell r="E7">
            <v>0</v>
          </cell>
          <cell r="F7">
            <v>0</v>
          </cell>
          <cell r="G7">
            <v>4</v>
          </cell>
          <cell r="H7">
            <v>14</v>
          </cell>
          <cell r="I7">
            <v>18</v>
          </cell>
        </row>
        <row r="8">
          <cell r="A8">
            <v>-36</v>
          </cell>
          <cell r="B8" t="str">
            <v>This is long label number two</v>
          </cell>
          <cell r="C8">
            <v>-27</v>
          </cell>
          <cell r="D8">
            <v>-5</v>
          </cell>
          <cell r="E8">
            <v>-4</v>
          </cell>
          <cell r="F8">
            <v>4</v>
          </cell>
          <cell r="G8">
            <v>2</v>
          </cell>
          <cell r="H8">
            <v>12</v>
          </cell>
          <cell r="I8">
            <v>18</v>
          </cell>
        </row>
        <row r="9">
          <cell r="A9">
            <v>-36</v>
          </cell>
          <cell r="B9" t="str">
            <v>This is long label number three</v>
          </cell>
          <cell r="C9">
            <v>-21</v>
          </cell>
          <cell r="D9">
            <v>-6</v>
          </cell>
          <cell r="E9">
            <v>-9</v>
          </cell>
          <cell r="F9">
            <v>6</v>
          </cell>
          <cell r="G9">
            <v>3</v>
          </cell>
          <cell r="H9">
            <v>9</v>
          </cell>
          <cell r="I9">
            <v>18</v>
          </cell>
        </row>
        <row r="10">
          <cell r="A10">
            <v>-36</v>
          </cell>
          <cell r="B10" t="str">
            <v>This is long label number four</v>
          </cell>
          <cell r="C10">
            <v>-17</v>
          </cell>
          <cell r="D10">
            <v>-4</v>
          </cell>
          <cell r="E10">
            <v>-15</v>
          </cell>
          <cell r="F10">
            <v>9</v>
          </cell>
          <cell r="G10">
            <v>4</v>
          </cell>
          <cell r="H10">
            <v>5</v>
          </cell>
          <cell r="I10">
            <v>18</v>
          </cell>
        </row>
        <row r="11">
          <cell r="A11">
            <v>-36</v>
          </cell>
          <cell r="B11" t="str">
            <v>This is long label number five</v>
          </cell>
          <cell r="C11">
            <v>-12</v>
          </cell>
          <cell r="D11">
            <v>-5</v>
          </cell>
          <cell r="E11">
            <v>-19</v>
          </cell>
          <cell r="F11">
            <v>13</v>
          </cell>
          <cell r="G11">
            <v>5</v>
          </cell>
          <cell r="H11">
            <v>0</v>
          </cell>
          <cell r="I11">
            <v>18</v>
          </cell>
        </row>
        <row r="12">
          <cell r="A12">
            <v>-36</v>
          </cell>
          <cell r="B12" t="str">
            <v>This is long label number six</v>
          </cell>
          <cell r="C12">
            <v>-8</v>
          </cell>
          <cell r="D12">
            <v>-4</v>
          </cell>
          <cell r="E12">
            <v>-24</v>
          </cell>
          <cell r="F12">
            <v>18</v>
          </cell>
          <cell r="H12">
            <v>0</v>
          </cell>
          <cell r="I12">
            <v>18</v>
          </cell>
        </row>
        <row r="13">
          <cell r="A13">
            <v>-36</v>
          </cell>
          <cell r="B13" t="str">
            <v>This is long label number seven</v>
          </cell>
          <cell r="C13">
            <v>-5</v>
          </cell>
          <cell r="D13">
            <v>-3</v>
          </cell>
          <cell r="E13">
            <v>-28</v>
          </cell>
          <cell r="F13">
            <v>18</v>
          </cell>
          <cell r="H13">
            <v>0</v>
          </cell>
          <cell r="I13">
            <v>18</v>
          </cell>
        </row>
        <row r="14">
          <cell r="A14">
            <v>-36</v>
          </cell>
          <cell r="B14" t="str">
            <v>This is long label number eight</v>
          </cell>
          <cell r="C14">
            <v>0</v>
          </cell>
          <cell r="D14">
            <v>-5</v>
          </cell>
          <cell r="E14">
            <v>-31</v>
          </cell>
          <cell r="F14">
            <v>18</v>
          </cell>
          <cell r="H14">
            <v>0</v>
          </cell>
          <cell r="I14">
            <v>18</v>
          </cell>
        </row>
        <row r="16">
          <cell r="C16" t="str">
            <v>-space1</v>
          </cell>
          <cell r="D16" t="str">
            <v>-bear</v>
          </cell>
          <cell r="E16" t="str">
            <v>-space2</v>
          </cell>
          <cell r="F16" t="str">
            <v>+space1</v>
          </cell>
          <cell r="G16" t="str">
            <v>+bull</v>
          </cell>
          <cell r="H16" t="str">
            <v>+space2</v>
          </cell>
          <cell r="I16" t="str">
            <v>Bear  4.00</v>
          </cell>
          <cell r="J16" t="str">
            <v>Base  40.00</v>
          </cell>
          <cell r="K16" t="str">
            <v>Bull: 58.00</v>
          </cell>
          <cell r="L16" t="str">
            <v>PT:
42.00</v>
          </cell>
        </row>
        <row r="18">
          <cell r="B18" t="str">
            <v>Driver number one</v>
          </cell>
          <cell r="C18">
            <v>0</v>
          </cell>
          <cell r="D18">
            <v>-4</v>
          </cell>
          <cell r="E18">
            <v>-32</v>
          </cell>
          <cell r="F18">
            <v>0</v>
          </cell>
          <cell r="G18">
            <v>4</v>
          </cell>
          <cell r="H18">
            <v>14</v>
          </cell>
          <cell r="I18">
            <v>-36</v>
          </cell>
          <cell r="J18">
            <v>0</v>
          </cell>
          <cell r="K18">
            <v>18</v>
          </cell>
          <cell r="L18">
            <v>2</v>
          </cell>
        </row>
        <row r="19">
          <cell r="B19" t="str">
            <v>Driver number two</v>
          </cell>
          <cell r="C19">
            <v>-4</v>
          </cell>
          <cell r="D19">
            <v>-5</v>
          </cell>
          <cell r="E19">
            <v>-27</v>
          </cell>
          <cell r="F19">
            <v>4</v>
          </cell>
          <cell r="G19">
            <v>2</v>
          </cell>
          <cell r="H19">
            <v>12</v>
          </cell>
          <cell r="I19">
            <v>-36</v>
          </cell>
          <cell r="J19">
            <v>0</v>
          </cell>
          <cell r="K19">
            <v>18</v>
          </cell>
          <cell r="L19">
            <v>2</v>
          </cell>
        </row>
        <row r="20">
          <cell r="B20" t="str">
            <v>Driver number three</v>
          </cell>
          <cell r="C20">
            <v>-9</v>
          </cell>
          <cell r="D20">
            <v>-6</v>
          </cell>
          <cell r="E20">
            <v>-21</v>
          </cell>
          <cell r="F20">
            <v>6</v>
          </cell>
          <cell r="G20">
            <v>3</v>
          </cell>
          <cell r="H20">
            <v>9</v>
          </cell>
          <cell r="I20">
            <v>-36</v>
          </cell>
          <cell r="J20">
            <v>0</v>
          </cell>
          <cell r="K20">
            <v>18</v>
          </cell>
          <cell r="L20">
            <v>2</v>
          </cell>
        </row>
        <row r="21">
          <cell r="B21" t="str">
            <v>Driver number four</v>
          </cell>
          <cell r="C21">
            <v>-15</v>
          </cell>
          <cell r="D21">
            <v>-4</v>
          </cell>
          <cell r="E21">
            <v>-17</v>
          </cell>
          <cell r="F21">
            <v>9</v>
          </cell>
          <cell r="G21">
            <v>4</v>
          </cell>
          <cell r="H21">
            <v>5</v>
          </cell>
          <cell r="I21">
            <v>-36</v>
          </cell>
          <cell r="J21">
            <v>0</v>
          </cell>
          <cell r="K21">
            <v>18</v>
          </cell>
          <cell r="L21">
            <v>2</v>
          </cell>
        </row>
        <row r="22">
          <cell r="B22" t="str">
            <v>Driver number five</v>
          </cell>
          <cell r="C22">
            <v>-19</v>
          </cell>
          <cell r="D22">
            <v>-5</v>
          </cell>
          <cell r="E22">
            <v>-12</v>
          </cell>
          <cell r="F22">
            <v>13</v>
          </cell>
          <cell r="G22">
            <v>5</v>
          </cell>
          <cell r="H22">
            <v>0</v>
          </cell>
          <cell r="I22">
            <v>-36</v>
          </cell>
          <cell r="J22">
            <v>0</v>
          </cell>
          <cell r="K22">
            <v>18</v>
          </cell>
          <cell r="L22">
            <v>2</v>
          </cell>
        </row>
        <row r="23">
          <cell r="B23" t="str">
            <v>Driver number six</v>
          </cell>
          <cell r="C23">
            <v>-24</v>
          </cell>
          <cell r="D23">
            <v>-4</v>
          </cell>
          <cell r="E23">
            <v>-8</v>
          </cell>
          <cell r="F23">
            <v>18</v>
          </cell>
          <cell r="G23">
            <v>0</v>
          </cell>
          <cell r="H23">
            <v>0</v>
          </cell>
          <cell r="I23">
            <v>-36</v>
          </cell>
          <cell r="J23">
            <v>0</v>
          </cell>
          <cell r="K23">
            <v>18</v>
          </cell>
          <cell r="L23">
            <v>2</v>
          </cell>
        </row>
        <row r="24">
          <cell r="B24" t="str">
            <v>Driver number seven</v>
          </cell>
          <cell r="C24">
            <v>-28</v>
          </cell>
          <cell r="D24">
            <v>-3</v>
          </cell>
          <cell r="E24">
            <v>-5</v>
          </cell>
          <cell r="F24">
            <v>18</v>
          </cell>
          <cell r="G24">
            <v>0</v>
          </cell>
          <cell r="H24">
            <v>0</v>
          </cell>
          <cell r="I24">
            <v>-36</v>
          </cell>
          <cell r="J24">
            <v>0</v>
          </cell>
          <cell r="K24">
            <v>18</v>
          </cell>
          <cell r="L24">
            <v>2</v>
          </cell>
        </row>
        <row r="25">
          <cell r="B25" t="str">
            <v>Driver number eight</v>
          </cell>
          <cell r="C25">
            <v>-31</v>
          </cell>
          <cell r="D25">
            <v>-5</v>
          </cell>
          <cell r="E25">
            <v>0</v>
          </cell>
          <cell r="F25">
            <v>18</v>
          </cell>
          <cell r="G25">
            <v>0</v>
          </cell>
          <cell r="H25">
            <v>0</v>
          </cell>
          <cell r="I25">
            <v>-36</v>
          </cell>
          <cell r="J25">
            <v>0</v>
          </cell>
          <cell r="K25">
            <v>18</v>
          </cell>
          <cell r="L25">
            <v>2</v>
          </cell>
        </row>
        <row r="26">
          <cell r="I26">
            <v>-36</v>
          </cell>
          <cell r="J26">
            <v>0</v>
          </cell>
          <cell r="K26">
            <v>18</v>
          </cell>
          <cell r="L26">
            <v>2</v>
          </cell>
        </row>
        <row r="27">
          <cell r="I27">
            <v>-36</v>
          </cell>
          <cell r="J27">
            <v>0</v>
          </cell>
          <cell r="K27">
            <v>18</v>
          </cell>
          <cell r="L27">
            <v>2</v>
          </cell>
        </row>
        <row r="28">
          <cell r="B28" t="str">
            <v>Bear</v>
          </cell>
          <cell r="C28">
            <v>4</v>
          </cell>
        </row>
        <row r="29">
          <cell r="B29" t="str">
            <v>Base</v>
          </cell>
          <cell r="C29">
            <v>40</v>
          </cell>
        </row>
        <row r="30">
          <cell r="B30" t="str">
            <v>Bull</v>
          </cell>
          <cell r="C30">
            <v>58</v>
          </cell>
        </row>
        <row r="31">
          <cell r="B31" t="str">
            <v>Price Target</v>
          </cell>
          <cell r="C31">
            <v>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Vs Global"/>
      <sheetName val="PE FY1"/>
      <sheetName val="MW-Cache"/>
      <sheetName val="EVEBITDA FY1"/>
      <sheetName val="Sheet3"/>
      <sheetName val="Peers"/>
      <sheetName val="Risk Reward"/>
    </sheetNames>
    <sheetDataSet>
      <sheetData sheetId="0" refreshError="1"/>
      <sheetData sheetId="1">
        <row r="1">
          <cell r="B1" t="str">
            <v>DASA3-BR</v>
          </cell>
          <cell r="C1" t="str">
            <v>FLRY3-BR</v>
          </cell>
          <cell r="D1" t="str">
            <v>IBOVESPA-BSP</v>
          </cell>
          <cell r="F1" t="str">
            <v>DASA</v>
          </cell>
          <cell r="G1" t="str">
            <v>FLRY</v>
          </cell>
          <cell r="H1" t="str">
            <v>IBOVESPA</v>
          </cell>
        </row>
        <row r="2">
          <cell r="A2">
            <v>40179</v>
          </cell>
          <cell r="B2">
            <v>14.2475</v>
          </cell>
          <cell r="C2">
            <v>18.39</v>
          </cell>
          <cell r="D2">
            <v>68588.41</v>
          </cell>
          <cell r="F2">
            <v>100</v>
          </cell>
          <cell r="G2">
            <v>100</v>
          </cell>
          <cell r="H2">
            <v>100</v>
          </cell>
        </row>
        <row r="3">
          <cell r="A3">
            <v>40180</v>
          </cell>
          <cell r="B3">
            <v>14.2475</v>
          </cell>
          <cell r="C3">
            <v>18.39</v>
          </cell>
          <cell r="D3">
            <v>68588.41</v>
          </cell>
          <cell r="F3">
            <v>100</v>
          </cell>
          <cell r="G3">
            <v>100</v>
          </cell>
          <cell r="H3">
            <v>100</v>
          </cell>
        </row>
        <row r="4">
          <cell r="A4">
            <v>40181</v>
          </cell>
          <cell r="B4">
            <v>14.2475</v>
          </cell>
          <cell r="C4">
            <v>18.39</v>
          </cell>
          <cell r="D4">
            <v>68588.41</v>
          </cell>
          <cell r="F4">
            <v>100</v>
          </cell>
          <cell r="G4">
            <v>100</v>
          </cell>
          <cell r="H4">
            <v>100</v>
          </cell>
        </row>
        <row r="5">
          <cell r="A5">
            <v>40182</v>
          </cell>
          <cell r="B5">
            <v>14.385</v>
          </cell>
          <cell r="C5">
            <v>18.100000000000001</v>
          </cell>
          <cell r="D5">
            <v>70045.08</v>
          </cell>
          <cell r="F5">
            <v>100.96508159326196</v>
          </cell>
          <cell r="G5">
            <v>98.423056008700385</v>
          </cell>
          <cell r="H5">
            <v>102.1237844702917</v>
          </cell>
        </row>
        <row r="6">
          <cell r="A6">
            <v>40183</v>
          </cell>
          <cell r="B6">
            <v>14.5</v>
          </cell>
          <cell r="C6">
            <v>18</v>
          </cell>
          <cell r="D6">
            <v>70239.820000000007</v>
          </cell>
          <cell r="F6">
            <v>101.77224074399017</v>
          </cell>
          <cell r="G6">
            <v>97.879282218597069</v>
          </cell>
          <cell r="H6">
            <v>102.40770999065293</v>
          </cell>
        </row>
        <row r="7">
          <cell r="A7">
            <v>40184</v>
          </cell>
          <cell r="B7">
            <v>14.1625</v>
          </cell>
          <cell r="C7">
            <v>18.649999999999999</v>
          </cell>
          <cell r="D7">
            <v>70729.34</v>
          </cell>
          <cell r="F7">
            <v>99.403404105983498</v>
          </cell>
          <cell r="G7">
            <v>101.41381185426862</v>
          </cell>
          <cell r="H7">
            <v>103.1214165775238</v>
          </cell>
        </row>
        <row r="8">
          <cell r="A8">
            <v>40185</v>
          </cell>
          <cell r="B8">
            <v>14.2225</v>
          </cell>
          <cell r="C8">
            <v>18.71</v>
          </cell>
          <cell r="D8">
            <v>70451.12</v>
          </cell>
          <cell r="F8">
            <v>99.824530619406914</v>
          </cell>
          <cell r="G8">
            <v>101.74007612833063</v>
          </cell>
          <cell r="H8">
            <v>102.715779531848</v>
          </cell>
        </row>
        <row r="9">
          <cell r="A9">
            <v>40186</v>
          </cell>
          <cell r="B9">
            <v>14.3</v>
          </cell>
          <cell r="C9">
            <v>19.09</v>
          </cell>
          <cell r="D9">
            <v>70262.7</v>
          </cell>
          <cell r="F9">
            <v>100.36848569924548</v>
          </cell>
          <cell r="G9">
            <v>103.80641653072323</v>
          </cell>
          <cell r="H9">
            <v>102.44106839624945</v>
          </cell>
        </row>
        <row r="10">
          <cell r="A10">
            <v>40187</v>
          </cell>
          <cell r="B10">
            <v>14.3</v>
          </cell>
          <cell r="C10">
            <v>19.09</v>
          </cell>
          <cell r="D10">
            <v>70262.7</v>
          </cell>
          <cell r="F10">
            <v>100.36848569924548</v>
          </cell>
          <cell r="G10">
            <v>103.80641653072323</v>
          </cell>
          <cell r="H10">
            <v>102.44106839624945</v>
          </cell>
        </row>
        <row r="11">
          <cell r="A11">
            <v>40188</v>
          </cell>
          <cell r="B11">
            <v>14.3</v>
          </cell>
          <cell r="C11">
            <v>19.09</v>
          </cell>
          <cell r="D11">
            <v>70262.7</v>
          </cell>
          <cell r="F11">
            <v>100.36848569924548</v>
          </cell>
          <cell r="G11">
            <v>103.80641653072323</v>
          </cell>
          <cell r="H11">
            <v>102.44106839624945</v>
          </cell>
        </row>
        <row r="12">
          <cell r="A12">
            <v>40189</v>
          </cell>
          <cell r="B12">
            <v>14.75</v>
          </cell>
          <cell r="C12">
            <v>19.25</v>
          </cell>
          <cell r="D12">
            <v>70433.490000000005</v>
          </cell>
          <cell r="F12">
            <v>103.52693454992104</v>
          </cell>
          <cell r="G12">
            <v>104.67645459488853</v>
          </cell>
          <cell r="H12">
            <v>102.69007548068252</v>
          </cell>
        </row>
        <row r="13">
          <cell r="A13">
            <v>40190</v>
          </cell>
          <cell r="B13">
            <v>14.512499999999999</v>
          </cell>
          <cell r="C13">
            <v>19.600000000000001</v>
          </cell>
          <cell r="D13">
            <v>70075.78</v>
          </cell>
          <cell r="F13">
            <v>101.85997543428671</v>
          </cell>
          <cell r="G13">
            <v>106.57966286025014</v>
          </cell>
          <cell r="H13">
            <v>102.16854421905974</v>
          </cell>
        </row>
        <row r="14">
          <cell r="A14">
            <v>40191</v>
          </cell>
          <cell r="B14">
            <v>14.5625</v>
          </cell>
          <cell r="C14">
            <v>19.649999999999999</v>
          </cell>
          <cell r="D14">
            <v>70385.47</v>
          </cell>
          <cell r="F14">
            <v>102.21091419547288</v>
          </cell>
          <cell r="G14">
            <v>106.85154975530178</v>
          </cell>
          <cell r="H14">
            <v>102.62006365215348</v>
          </cell>
        </row>
        <row r="15">
          <cell r="A15">
            <v>40192</v>
          </cell>
          <cell r="B15">
            <v>14.4375</v>
          </cell>
          <cell r="C15">
            <v>20</v>
          </cell>
          <cell r="D15">
            <v>69801.42</v>
          </cell>
          <cell r="F15">
            <v>101.33356729250747</v>
          </cell>
          <cell r="G15">
            <v>108.75475802066342</v>
          </cell>
          <cell r="H15">
            <v>101.7685349463561</v>
          </cell>
        </row>
        <row r="16">
          <cell r="A16">
            <v>40193</v>
          </cell>
          <cell r="B16">
            <v>14.25</v>
          </cell>
          <cell r="C16">
            <v>19.71</v>
          </cell>
          <cell r="D16">
            <v>68978.3</v>
          </cell>
          <cell r="F16">
            <v>100.01754693805931</v>
          </cell>
          <cell r="G16">
            <v>107.17781402936379</v>
          </cell>
          <cell r="H16">
            <v>100.56844880935422</v>
          </cell>
        </row>
        <row r="17">
          <cell r="A17">
            <v>40194</v>
          </cell>
          <cell r="B17">
            <v>14.25</v>
          </cell>
          <cell r="C17">
            <v>19.71</v>
          </cell>
          <cell r="D17">
            <v>68978.3</v>
          </cell>
          <cell r="F17">
            <v>100.01754693805931</v>
          </cell>
          <cell r="G17">
            <v>107.17781402936379</v>
          </cell>
          <cell r="H17">
            <v>100.56844880935422</v>
          </cell>
        </row>
        <row r="18">
          <cell r="A18">
            <v>40195</v>
          </cell>
          <cell r="B18">
            <v>14.25</v>
          </cell>
          <cell r="C18">
            <v>19.71</v>
          </cell>
          <cell r="D18">
            <v>68978.3</v>
          </cell>
          <cell r="F18">
            <v>100.01754693805931</v>
          </cell>
          <cell r="G18">
            <v>107.17781402936379</v>
          </cell>
          <cell r="H18">
            <v>100.56844880935422</v>
          </cell>
        </row>
        <row r="19">
          <cell r="A19">
            <v>40196</v>
          </cell>
          <cell r="B19">
            <v>14.25</v>
          </cell>
          <cell r="C19">
            <v>19.71</v>
          </cell>
          <cell r="D19">
            <v>68978.3</v>
          </cell>
          <cell r="F19">
            <v>100.01754693805931</v>
          </cell>
          <cell r="G19">
            <v>107.17781402936379</v>
          </cell>
          <cell r="H19">
            <v>100.56844880935422</v>
          </cell>
        </row>
        <row r="20">
          <cell r="A20">
            <v>40197</v>
          </cell>
          <cell r="B20">
            <v>14.5</v>
          </cell>
          <cell r="C20">
            <v>20.010000000000002</v>
          </cell>
          <cell r="D20">
            <v>69908.59</v>
          </cell>
          <cell r="F20">
            <v>101.77224074399017</v>
          </cell>
          <cell r="G20">
            <v>108.80913539967374</v>
          </cell>
          <cell r="H20">
            <v>101.92478583480793</v>
          </cell>
        </row>
        <row r="21">
          <cell r="A21">
            <v>40198</v>
          </cell>
          <cell r="B21">
            <v>14.725</v>
          </cell>
          <cell r="C21">
            <v>19.75</v>
          </cell>
          <cell r="D21">
            <v>68200.070000000007</v>
          </cell>
          <cell r="F21">
            <v>103.35146516932794</v>
          </cell>
          <cell r="G21">
            <v>107.39532354540511</v>
          </cell>
          <cell r="H21">
            <v>99.433811047668257</v>
          </cell>
        </row>
        <row r="22">
          <cell r="A22">
            <v>40199</v>
          </cell>
          <cell r="B22">
            <v>14.637499999999999</v>
          </cell>
          <cell r="C22">
            <v>19.62</v>
          </cell>
          <cell r="D22">
            <v>66270.14</v>
          </cell>
          <cell r="F22">
            <v>102.73732233725215</v>
          </cell>
          <cell r="G22">
            <v>106.68841761827079</v>
          </cell>
          <cell r="H22">
            <v>96.62002661965775</v>
          </cell>
        </row>
        <row r="23">
          <cell r="A23">
            <v>40200</v>
          </cell>
          <cell r="B23">
            <v>14.4</v>
          </cell>
          <cell r="C23">
            <v>19.5</v>
          </cell>
          <cell r="D23">
            <v>66220.039999999994</v>
          </cell>
          <cell r="F23">
            <v>101.07036322161782</v>
          </cell>
          <cell r="G23">
            <v>106.03588907014681</v>
          </cell>
          <cell r="H23">
            <v>96.546982208801737</v>
          </cell>
        </row>
        <row r="24">
          <cell r="A24">
            <v>40201</v>
          </cell>
          <cell r="B24">
            <v>14.4</v>
          </cell>
          <cell r="C24">
            <v>19.5</v>
          </cell>
          <cell r="D24">
            <v>66220.039999999994</v>
          </cell>
          <cell r="F24">
            <v>101.07036322161782</v>
          </cell>
          <cell r="G24">
            <v>106.03588907014681</v>
          </cell>
          <cell r="H24">
            <v>96.546982208801737</v>
          </cell>
        </row>
        <row r="25">
          <cell r="A25">
            <v>40202</v>
          </cell>
          <cell r="B25">
            <v>14.4</v>
          </cell>
          <cell r="C25">
            <v>19.5</v>
          </cell>
          <cell r="D25">
            <v>66220.039999999994</v>
          </cell>
          <cell r="F25">
            <v>101.07036322161782</v>
          </cell>
          <cell r="G25">
            <v>106.03588907014681</v>
          </cell>
          <cell r="H25">
            <v>96.546982208801737</v>
          </cell>
        </row>
        <row r="26">
          <cell r="A26">
            <v>40203</v>
          </cell>
          <cell r="B26">
            <v>14.4</v>
          </cell>
          <cell r="C26">
            <v>19.5</v>
          </cell>
          <cell r="D26">
            <v>66220.039999999994</v>
          </cell>
          <cell r="F26">
            <v>101.07036322161782</v>
          </cell>
          <cell r="G26">
            <v>106.03588907014681</v>
          </cell>
          <cell r="H26">
            <v>96.546982208801737</v>
          </cell>
        </row>
        <row r="27">
          <cell r="A27">
            <v>40204</v>
          </cell>
          <cell r="B27">
            <v>14.5</v>
          </cell>
          <cell r="C27">
            <v>19.39</v>
          </cell>
          <cell r="D27">
            <v>65523.73</v>
          </cell>
          <cell r="F27">
            <v>101.77224074399017</v>
          </cell>
          <cell r="G27">
            <v>105.43773790103317</v>
          </cell>
          <cell r="H27">
            <v>95.531781535685113</v>
          </cell>
        </row>
        <row r="28">
          <cell r="A28">
            <v>40205</v>
          </cell>
          <cell r="B28">
            <v>14.475</v>
          </cell>
          <cell r="C28">
            <v>19.38</v>
          </cell>
          <cell r="D28">
            <v>65069.79</v>
          </cell>
          <cell r="F28">
            <v>101.59677136339708</v>
          </cell>
          <cell r="G28">
            <v>105.38336052202284</v>
          </cell>
          <cell r="H28">
            <v>94.869949602272456</v>
          </cell>
        </row>
        <row r="29">
          <cell r="A29">
            <v>40206</v>
          </cell>
          <cell r="B29">
            <v>14.25</v>
          </cell>
          <cell r="C29">
            <v>19.5</v>
          </cell>
          <cell r="D29">
            <v>65587.81</v>
          </cell>
          <cell r="F29">
            <v>100.01754693805931</v>
          </cell>
          <cell r="G29">
            <v>106.03588907014681</v>
          </cell>
          <cell r="H29">
            <v>95.625208398911695</v>
          </cell>
        </row>
        <row r="30">
          <cell r="A30">
            <v>40207</v>
          </cell>
          <cell r="B30">
            <v>14.455</v>
          </cell>
          <cell r="C30">
            <v>19.489999999999998</v>
          </cell>
          <cell r="D30">
            <v>65401.77</v>
          </cell>
          <cell r="F30">
            <v>101.4563958589226</v>
          </cell>
          <cell r="G30">
            <v>105.98151169113648</v>
          </cell>
          <cell r="H30">
            <v>95.353967237321868</v>
          </cell>
        </row>
        <row r="31">
          <cell r="A31">
            <v>40208</v>
          </cell>
          <cell r="B31">
            <v>14.455</v>
          </cell>
          <cell r="C31">
            <v>19.489999999999998</v>
          </cell>
          <cell r="D31">
            <v>65401.77</v>
          </cell>
          <cell r="F31">
            <v>101.4563958589226</v>
          </cell>
          <cell r="G31">
            <v>105.98151169113648</v>
          </cell>
          <cell r="H31">
            <v>95.353967237321868</v>
          </cell>
        </row>
        <row r="32">
          <cell r="A32">
            <v>40209</v>
          </cell>
          <cell r="B32">
            <v>14.455</v>
          </cell>
          <cell r="C32">
            <v>19.489999999999998</v>
          </cell>
          <cell r="D32">
            <v>65401.77</v>
          </cell>
          <cell r="F32">
            <v>101.4563958589226</v>
          </cell>
          <cell r="G32">
            <v>105.98151169113648</v>
          </cell>
          <cell r="H32">
            <v>95.353967237321868</v>
          </cell>
        </row>
        <row r="33">
          <cell r="A33">
            <v>40210</v>
          </cell>
          <cell r="B33">
            <v>14.6625</v>
          </cell>
          <cell r="C33">
            <v>19.190000000000001</v>
          </cell>
          <cell r="D33">
            <v>66571.740000000005</v>
          </cell>
          <cell r="F33">
            <v>102.91279171784522</v>
          </cell>
          <cell r="G33">
            <v>104.35019032082653</v>
          </cell>
          <cell r="H33">
            <v>97.05975105706635</v>
          </cell>
        </row>
        <row r="34">
          <cell r="A34">
            <v>40211</v>
          </cell>
          <cell r="B34">
            <v>15.25</v>
          </cell>
          <cell r="C34">
            <v>18.899999999999999</v>
          </cell>
          <cell r="D34">
            <v>67163.210000000006</v>
          </cell>
          <cell r="F34">
            <v>107.03632216178276</v>
          </cell>
          <cell r="G34">
            <v>102.77324632952691</v>
          </cell>
          <cell r="H34">
            <v>97.922097917126237</v>
          </cell>
        </row>
        <row r="35">
          <cell r="A35">
            <v>40212</v>
          </cell>
          <cell r="B35">
            <v>15.4</v>
          </cell>
          <cell r="C35">
            <v>18.89</v>
          </cell>
          <cell r="D35">
            <v>67108.56</v>
          </cell>
          <cell r="F35">
            <v>108.08913844534129</v>
          </cell>
          <cell r="G35">
            <v>102.71886895051658</v>
          </cell>
          <cell r="H35">
            <v>97.842419732430002</v>
          </cell>
        </row>
        <row r="36">
          <cell r="A36">
            <v>40213</v>
          </cell>
          <cell r="B36">
            <v>14.6</v>
          </cell>
          <cell r="C36">
            <v>17.93</v>
          </cell>
          <cell r="D36">
            <v>63934.01</v>
          </cell>
          <cell r="F36">
            <v>102.47411826636252</v>
          </cell>
          <cell r="G36">
            <v>97.498640565524738</v>
          </cell>
          <cell r="H36">
            <v>93.214013854527309</v>
          </cell>
        </row>
        <row r="37">
          <cell r="A37">
            <v>40214</v>
          </cell>
          <cell r="B37">
            <v>14.41</v>
          </cell>
          <cell r="C37">
            <v>17.690000000000001</v>
          </cell>
          <cell r="D37">
            <v>62762.7</v>
          </cell>
          <cell r="F37">
            <v>101.14055097385506</v>
          </cell>
          <cell r="G37">
            <v>96.193583469276788</v>
          </cell>
          <cell r="H37">
            <v>91.506276351937586</v>
          </cell>
        </row>
        <row r="38">
          <cell r="A38">
            <v>40215</v>
          </cell>
          <cell r="B38">
            <v>14.41</v>
          </cell>
          <cell r="C38">
            <v>17.690000000000001</v>
          </cell>
          <cell r="D38">
            <v>62762.7</v>
          </cell>
          <cell r="F38">
            <v>101.14055097385506</v>
          </cell>
          <cell r="G38">
            <v>96.193583469276788</v>
          </cell>
          <cell r="H38">
            <v>91.506276351937586</v>
          </cell>
        </row>
        <row r="39">
          <cell r="A39">
            <v>40216</v>
          </cell>
          <cell r="B39">
            <v>14.41</v>
          </cell>
          <cell r="C39">
            <v>17.690000000000001</v>
          </cell>
          <cell r="D39">
            <v>62762.7</v>
          </cell>
          <cell r="F39">
            <v>101.14055097385506</v>
          </cell>
          <cell r="G39">
            <v>96.193583469276788</v>
          </cell>
          <cell r="H39">
            <v>91.506276351937586</v>
          </cell>
        </row>
        <row r="40">
          <cell r="A40">
            <v>40217</v>
          </cell>
          <cell r="B40">
            <v>14.75</v>
          </cell>
          <cell r="C40">
            <v>17.88</v>
          </cell>
          <cell r="D40">
            <v>63153.09</v>
          </cell>
          <cell r="F40">
            <v>103.52693454992104</v>
          </cell>
          <cell r="G40">
            <v>97.226753670473073</v>
          </cell>
          <cell r="H40">
            <v>92.075454147428104</v>
          </cell>
        </row>
        <row r="41">
          <cell r="A41">
            <v>40218</v>
          </cell>
          <cell r="B41">
            <v>14.85</v>
          </cell>
          <cell r="C41">
            <v>18.5</v>
          </cell>
          <cell r="D41">
            <v>64718.17</v>
          </cell>
          <cell r="F41">
            <v>104.22881207229338</v>
          </cell>
          <cell r="G41">
            <v>100.59815116911363</v>
          </cell>
          <cell r="H41">
            <v>94.357297391789658</v>
          </cell>
        </row>
        <row r="42">
          <cell r="A42">
            <v>40219</v>
          </cell>
          <cell r="B42">
            <v>15.44</v>
          </cell>
          <cell r="C42">
            <v>18.940000000000001</v>
          </cell>
          <cell r="D42">
            <v>65051.42</v>
          </cell>
          <cell r="F42">
            <v>108.36988945429023</v>
          </cell>
          <cell r="G42">
            <v>102.99075584556824</v>
          </cell>
          <cell r="H42">
            <v>94.843166651625239</v>
          </cell>
        </row>
        <row r="43">
          <cell r="A43">
            <v>40220</v>
          </cell>
          <cell r="B43">
            <v>15.32</v>
          </cell>
          <cell r="C43">
            <v>18.77</v>
          </cell>
          <cell r="D43">
            <v>66128.94</v>
          </cell>
          <cell r="F43">
            <v>107.52763642744341</v>
          </cell>
          <cell r="G43">
            <v>102.0663404023926</v>
          </cell>
          <cell r="H43">
            <v>96.41416093477018</v>
          </cell>
        </row>
        <row r="44">
          <cell r="A44">
            <v>40221</v>
          </cell>
          <cell r="B44">
            <v>15.39</v>
          </cell>
          <cell r="C44">
            <v>18.5</v>
          </cell>
          <cell r="D44">
            <v>65854.97</v>
          </cell>
          <cell r="F44">
            <v>108.01895069310406</v>
          </cell>
          <cell r="G44">
            <v>100.59815116911363</v>
          </cell>
          <cell r="H44">
            <v>96.014720271252813</v>
          </cell>
        </row>
        <row r="45">
          <cell r="A45">
            <v>40222</v>
          </cell>
          <cell r="B45">
            <v>15.39</v>
          </cell>
          <cell r="C45">
            <v>18.5</v>
          </cell>
          <cell r="D45">
            <v>65854.97</v>
          </cell>
          <cell r="F45">
            <v>108.01895069310406</v>
          </cell>
          <cell r="G45">
            <v>100.59815116911363</v>
          </cell>
          <cell r="H45">
            <v>96.014720271252813</v>
          </cell>
        </row>
        <row r="46">
          <cell r="A46">
            <v>40223</v>
          </cell>
          <cell r="B46">
            <v>15.39</v>
          </cell>
          <cell r="C46">
            <v>18.5</v>
          </cell>
          <cell r="D46">
            <v>65854.97</v>
          </cell>
          <cell r="F46">
            <v>108.01895069310406</v>
          </cell>
          <cell r="G46">
            <v>100.59815116911363</v>
          </cell>
          <cell r="H46">
            <v>96.014720271252813</v>
          </cell>
        </row>
        <row r="47">
          <cell r="A47">
            <v>40224</v>
          </cell>
          <cell r="B47">
            <v>15.39</v>
          </cell>
          <cell r="C47">
            <v>18.5</v>
          </cell>
          <cell r="D47">
            <v>65854.97</v>
          </cell>
          <cell r="F47">
            <v>108.01895069310406</v>
          </cell>
          <cell r="G47">
            <v>100.59815116911363</v>
          </cell>
          <cell r="H47">
            <v>96.014720271252813</v>
          </cell>
        </row>
        <row r="48">
          <cell r="A48">
            <v>40225</v>
          </cell>
          <cell r="B48">
            <v>15.39</v>
          </cell>
          <cell r="C48">
            <v>18.5</v>
          </cell>
          <cell r="D48">
            <v>65854.97</v>
          </cell>
          <cell r="F48">
            <v>108.01895069310406</v>
          </cell>
          <cell r="G48">
            <v>100.59815116911363</v>
          </cell>
          <cell r="H48">
            <v>96.014720271252813</v>
          </cell>
        </row>
        <row r="49">
          <cell r="A49">
            <v>40226</v>
          </cell>
          <cell r="B49">
            <v>15.6</v>
          </cell>
          <cell r="C49">
            <v>19</v>
          </cell>
          <cell r="D49">
            <v>67284.570000000007</v>
          </cell>
          <cell r="F49">
            <v>109.49289349008598</v>
          </cell>
          <cell r="G49">
            <v>103.31702011963021</v>
          </cell>
          <cell r="H49">
            <v>98.099037432125925</v>
          </cell>
        </row>
        <row r="50">
          <cell r="A50">
            <v>40227</v>
          </cell>
          <cell r="B50">
            <v>15.84</v>
          </cell>
          <cell r="C50">
            <v>19.899999999999999</v>
          </cell>
          <cell r="D50">
            <v>67836.08</v>
          </cell>
          <cell r="F50">
            <v>111.17739954377961</v>
          </cell>
          <cell r="G50">
            <v>108.21098423056009</v>
          </cell>
          <cell r="H50">
            <v>98.90312372017371</v>
          </cell>
        </row>
        <row r="51">
          <cell r="A51">
            <v>40228</v>
          </cell>
          <cell r="B51">
            <v>16</v>
          </cell>
          <cell r="C51">
            <v>19.920000000000002</v>
          </cell>
          <cell r="D51">
            <v>67597.429999999993</v>
          </cell>
          <cell r="F51">
            <v>112.30040357957536</v>
          </cell>
          <cell r="G51">
            <v>108.31973898858077</v>
          </cell>
          <cell r="H51">
            <v>98.555178637323692</v>
          </cell>
        </row>
        <row r="52">
          <cell r="A52">
            <v>40229</v>
          </cell>
          <cell r="B52">
            <v>16</v>
          </cell>
          <cell r="C52">
            <v>19.920000000000002</v>
          </cell>
          <cell r="D52">
            <v>67597.429999999993</v>
          </cell>
          <cell r="F52">
            <v>112.30040357957536</v>
          </cell>
          <cell r="G52">
            <v>108.31973898858077</v>
          </cell>
          <cell r="H52">
            <v>98.555178637323692</v>
          </cell>
        </row>
        <row r="53">
          <cell r="A53">
            <v>40230</v>
          </cell>
          <cell r="B53">
            <v>16</v>
          </cell>
          <cell r="C53">
            <v>19.920000000000002</v>
          </cell>
          <cell r="D53">
            <v>67597.429999999993</v>
          </cell>
          <cell r="F53">
            <v>112.30040357957536</v>
          </cell>
          <cell r="G53">
            <v>108.31973898858077</v>
          </cell>
          <cell r="H53">
            <v>98.555178637323692</v>
          </cell>
        </row>
        <row r="54">
          <cell r="A54">
            <v>40231</v>
          </cell>
          <cell r="B54">
            <v>15.55</v>
          </cell>
          <cell r="C54">
            <v>19.739999999999998</v>
          </cell>
          <cell r="D54">
            <v>67184.160000000003</v>
          </cell>
          <cell r="F54">
            <v>109.1419547288998</v>
          </cell>
          <cell r="G54">
            <v>107.34094616639476</v>
          </cell>
          <cell r="H54">
            <v>97.952642436236687</v>
          </cell>
        </row>
        <row r="55">
          <cell r="A55">
            <v>40232</v>
          </cell>
          <cell r="B55">
            <v>15.2</v>
          </cell>
          <cell r="C55">
            <v>19.3</v>
          </cell>
          <cell r="D55">
            <v>66108.33</v>
          </cell>
          <cell r="F55">
            <v>106.68538340059659</v>
          </cell>
          <cell r="G55">
            <v>104.94834148994019</v>
          </cell>
          <cell r="H55">
            <v>96.384112126232395</v>
          </cell>
        </row>
        <row r="56">
          <cell r="A56">
            <v>40233</v>
          </cell>
          <cell r="B56">
            <v>15.2</v>
          </cell>
          <cell r="C56">
            <v>19.649999999999999</v>
          </cell>
          <cell r="D56">
            <v>65794.77</v>
          </cell>
          <cell r="F56">
            <v>106.68538340059659</v>
          </cell>
          <cell r="G56">
            <v>106.85154975530178</v>
          </cell>
          <cell r="H56">
            <v>95.926950340443824</v>
          </cell>
        </row>
        <row r="57">
          <cell r="A57">
            <v>40234</v>
          </cell>
          <cell r="B57">
            <v>14.8</v>
          </cell>
          <cell r="C57">
            <v>19.25</v>
          </cell>
          <cell r="D57">
            <v>66121.039999999994</v>
          </cell>
          <cell r="F57">
            <v>103.87787331110721</v>
          </cell>
          <cell r="G57">
            <v>104.67645459488853</v>
          </cell>
          <cell r="H57">
            <v>96.402642953816823</v>
          </cell>
        </row>
        <row r="58">
          <cell r="A58">
            <v>40235</v>
          </cell>
          <cell r="B58">
            <v>14.8</v>
          </cell>
          <cell r="C58">
            <v>19.989999999999998</v>
          </cell>
          <cell r="D58">
            <v>66503.27</v>
          </cell>
          <cell r="F58">
            <v>103.87787331110721</v>
          </cell>
          <cell r="G58">
            <v>108.70038064165306</v>
          </cell>
          <cell r="H58">
            <v>96.959923695563148</v>
          </cell>
        </row>
        <row r="59">
          <cell r="A59">
            <v>40236</v>
          </cell>
          <cell r="B59">
            <v>14.8</v>
          </cell>
          <cell r="C59">
            <v>19.989999999999998</v>
          </cell>
          <cell r="D59">
            <v>66503.27</v>
          </cell>
          <cell r="F59">
            <v>103.87787331110721</v>
          </cell>
          <cell r="G59">
            <v>108.70038064165306</v>
          </cell>
          <cell r="H59">
            <v>96.959923695563148</v>
          </cell>
        </row>
        <row r="60">
          <cell r="A60">
            <v>40237</v>
          </cell>
          <cell r="B60">
            <v>14.8</v>
          </cell>
          <cell r="C60">
            <v>19.989999999999998</v>
          </cell>
          <cell r="D60">
            <v>66503.27</v>
          </cell>
          <cell r="F60">
            <v>103.87787331110721</v>
          </cell>
          <cell r="G60">
            <v>108.70038064165306</v>
          </cell>
          <cell r="H60">
            <v>96.959923695563148</v>
          </cell>
        </row>
        <row r="61">
          <cell r="A61">
            <v>40238</v>
          </cell>
          <cell r="B61">
            <v>15.19</v>
          </cell>
          <cell r="C61">
            <v>19.23</v>
          </cell>
          <cell r="D61">
            <v>67227.929999999993</v>
          </cell>
          <cell r="F61">
            <v>106.61519564835935</v>
          </cell>
          <cell r="G61">
            <v>104.56769983686786</v>
          </cell>
          <cell r="H61">
            <v>98.01645788260727</v>
          </cell>
        </row>
        <row r="62">
          <cell r="A62">
            <v>40239</v>
          </cell>
          <cell r="B62">
            <v>15.35</v>
          </cell>
          <cell r="C62">
            <v>18.95</v>
          </cell>
          <cell r="D62">
            <v>67779.16</v>
          </cell>
          <cell r="F62">
            <v>107.73819968415511</v>
          </cell>
          <cell r="G62">
            <v>103.04513322457858</v>
          </cell>
          <cell r="H62">
            <v>98.820135938418758</v>
          </cell>
        </row>
        <row r="63">
          <cell r="A63">
            <v>40240</v>
          </cell>
          <cell r="B63">
            <v>15.14</v>
          </cell>
          <cell r="C63">
            <v>19</v>
          </cell>
          <cell r="D63">
            <v>67641.34</v>
          </cell>
          <cell r="F63">
            <v>106.26425688717318</v>
          </cell>
          <cell r="G63">
            <v>103.31702011963021</v>
          </cell>
          <cell r="H63">
            <v>98.619198199812459</v>
          </cell>
        </row>
        <row r="64">
          <cell r="A64">
            <v>40241</v>
          </cell>
          <cell r="B64">
            <v>15.04</v>
          </cell>
          <cell r="C64">
            <v>19</v>
          </cell>
          <cell r="D64">
            <v>67814.710000000006</v>
          </cell>
          <cell r="F64">
            <v>105.56237936480085</v>
          </cell>
          <cell r="G64">
            <v>103.31702011963021</v>
          </cell>
          <cell r="H64">
            <v>98.871966852708795</v>
          </cell>
        </row>
        <row r="65">
          <cell r="A65">
            <v>40242</v>
          </cell>
          <cell r="B65">
            <v>15.25</v>
          </cell>
          <cell r="C65">
            <v>19.25</v>
          </cell>
          <cell r="D65">
            <v>68846.5</v>
          </cell>
          <cell r="F65">
            <v>107.03632216178276</v>
          </cell>
          <cell r="G65">
            <v>104.67645459488853</v>
          </cell>
          <cell r="H65">
            <v>100.37628806382885</v>
          </cell>
        </row>
        <row r="66">
          <cell r="A66">
            <v>40243</v>
          </cell>
          <cell r="B66">
            <v>15.25</v>
          </cell>
          <cell r="C66">
            <v>19.25</v>
          </cell>
          <cell r="D66">
            <v>68846.5</v>
          </cell>
          <cell r="F66">
            <v>107.03632216178276</v>
          </cell>
          <cell r="G66">
            <v>104.67645459488853</v>
          </cell>
          <cell r="H66">
            <v>100.37628806382885</v>
          </cell>
        </row>
        <row r="67">
          <cell r="A67">
            <v>40244</v>
          </cell>
          <cell r="B67">
            <v>15.25</v>
          </cell>
          <cell r="C67">
            <v>19.25</v>
          </cell>
          <cell r="D67">
            <v>68846.5</v>
          </cell>
          <cell r="F67">
            <v>107.03632216178276</v>
          </cell>
          <cell r="G67">
            <v>104.67645459488853</v>
          </cell>
          <cell r="H67">
            <v>100.37628806382885</v>
          </cell>
        </row>
        <row r="68">
          <cell r="A68">
            <v>40245</v>
          </cell>
          <cell r="B68">
            <v>14.9</v>
          </cell>
          <cell r="C68">
            <v>19.2</v>
          </cell>
          <cell r="D68">
            <v>68575.47</v>
          </cell>
          <cell r="F68">
            <v>104.57975083347955</v>
          </cell>
          <cell r="G68">
            <v>104.40456769983686</v>
          </cell>
          <cell r="H68">
            <v>99.981133838792886</v>
          </cell>
        </row>
        <row r="69">
          <cell r="A69">
            <v>40246</v>
          </cell>
          <cell r="B69">
            <v>14.99</v>
          </cell>
          <cell r="C69">
            <v>19.05</v>
          </cell>
          <cell r="D69">
            <v>69576.38</v>
          </cell>
          <cell r="F69">
            <v>105.21144060361468</v>
          </cell>
          <cell r="G69">
            <v>103.58890701468188</v>
          </cell>
          <cell r="H69">
            <v>101.44043286613584</v>
          </cell>
        </row>
        <row r="70">
          <cell r="A70">
            <v>40247</v>
          </cell>
          <cell r="B70">
            <v>14.85</v>
          </cell>
          <cell r="C70">
            <v>18.95</v>
          </cell>
          <cell r="D70">
            <v>69979.28</v>
          </cell>
          <cell r="F70">
            <v>104.22881207229338</v>
          </cell>
          <cell r="G70">
            <v>103.04513322457858</v>
          </cell>
          <cell r="H70">
            <v>102.02784989475626</v>
          </cell>
        </row>
        <row r="71">
          <cell r="A71">
            <v>40248</v>
          </cell>
          <cell r="B71">
            <v>15.25</v>
          </cell>
          <cell r="C71">
            <v>19</v>
          </cell>
          <cell r="D71">
            <v>69884.61</v>
          </cell>
          <cell r="F71">
            <v>107.03632216178276</v>
          </cell>
          <cell r="G71">
            <v>103.31702011963021</v>
          </cell>
          <cell r="H71">
            <v>101.8898236597116</v>
          </cell>
        </row>
        <row r="72">
          <cell r="A72">
            <v>40249</v>
          </cell>
          <cell r="B72">
            <v>15.25</v>
          </cell>
          <cell r="C72">
            <v>19</v>
          </cell>
          <cell r="D72">
            <v>69341.38</v>
          </cell>
          <cell r="F72">
            <v>107.03632216178276</v>
          </cell>
          <cell r="G72">
            <v>103.31702011963021</v>
          </cell>
          <cell r="H72">
            <v>101.09780938208073</v>
          </cell>
        </row>
        <row r="73">
          <cell r="A73">
            <v>40250</v>
          </cell>
          <cell r="B73">
            <v>15.25</v>
          </cell>
          <cell r="C73">
            <v>19</v>
          </cell>
          <cell r="D73">
            <v>69341.38</v>
          </cell>
          <cell r="F73">
            <v>107.03632216178276</v>
          </cell>
          <cell r="G73">
            <v>103.31702011963021</v>
          </cell>
          <cell r="H73">
            <v>101.09780938208073</v>
          </cell>
        </row>
        <row r="74">
          <cell r="A74">
            <v>40251</v>
          </cell>
          <cell r="B74">
            <v>15.25</v>
          </cell>
          <cell r="C74">
            <v>19</v>
          </cell>
          <cell r="D74">
            <v>69341.38</v>
          </cell>
          <cell r="F74">
            <v>107.03632216178276</v>
          </cell>
          <cell r="G74">
            <v>103.31702011963021</v>
          </cell>
          <cell r="H74">
            <v>101.09780938208073</v>
          </cell>
        </row>
        <row r="75">
          <cell r="A75">
            <v>40252</v>
          </cell>
          <cell r="B75">
            <v>15.1</v>
          </cell>
          <cell r="C75">
            <v>19.2</v>
          </cell>
          <cell r="D75">
            <v>69023.75</v>
          </cell>
          <cell r="F75">
            <v>105.98350587822425</v>
          </cell>
          <cell r="G75">
            <v>104.40456769983686</v>
          </cell>
          <cell r="H75">
            <v>100.63471364914275</v>
          </cell>
        </row>
        <row r="76">
          <cell r="A76">
            <v>40253</v>
          </cell>
          <cell r="B76">
            <v>15.25</v>
          </cell>
          <cell r="C76">
            <v>19.100000000000001</v>
          </cell>
          <cell r="D76">
            <v>69942.210000000006</v>
          </cell>
          <cell r="F76">
            <v>107.03632216178276</v>
          </cell>
          <cell r="G76">
            <v>103.86079390973354</v>
          </cell>
          <cell r="H76">
            <v>101.97380286261193</v>
          </cell>
        </row>
        <row r="77">
          <cell r="A77">
            <v>40254</v>
          </cell>
          <cell r="B77">
            <v>15.05</v>
          </cell>
          <cell r="C77">
            <v>19.53</v>
          </cell>
          <cell r="D77">
            <v>69723.240000000005</v>
          </cell>
          <cell r="F77">
            <v>105.63256711703808</v>
          </cell>
          <cell r="G77">
            <v>106.19902120717781</v>
          </cell>
          <cell r="H77">
            <v>101.6545506740862</v>
          </cell>
        </row>
        <row r="78">
          <cell r="A78">
            <v>40255</v>
          </cell>
          <cell r="B78">
            <v>15</v>
          </cell>
          <cell r="C78">
            <v>19.8</v>
          </cell>
          <cell r="D78">
            <v>69697.33</v>
          </cell>
          <cell r="F78">
            <v>105.28162835585191</v>
          </cell>
          <cell r="G78">
            <v>107.66721044045677</v>
          </cell>
          <cell r="H78">
            <v>101.61677461250378</v>
          </cell>
        </row>
        <row r="79">
          <cell r="A79">
            <v>40256</v>
          </cell>
          <cell r="B79">
            <v>15.3</v>
          </cell>
          <cell r="C79">
            <v>19.649999999999999</v>
          </cell>
          <cell r="D79">
            <v>68828.98</v>
          </cell>
          <cell r="F79">
            <v>107.38726092296895</v>
          </cell>
          <cell r="G79">
            <v>106.85154975530178</v>
          </cell>
          <cell r="H79">
            <v>100.35074438961334</v>
          </cell>
        </row>
        <row r="80">
          <cell r="A80">
            <v>40257</v>
          </cell>
          <cell r="B80">
            <v>15.3</v>
          </cell>
          <cell r="C80">
            <v>19.649999999999999</v>
          </cell>
          <cell r="D80">
            <v>68828.98</v>
          </cell>
          <cell r="F80">
            <v>107.38726092296895</v>
          </cell>
          <cell r="G80">
            <v>106.85154975530178</v>
          </cell>
          <cell r="H80">
            <v>100.35074438961334</v>
          </cell>
        </row>
        <row r="81">
          <cell r="A81">
            <v>40258</v>
          </cell>
          <cell r="B81">
            <v>15.3</v>
          </cell>
          <cell r="C81">
            <v>19.649999999999999</v>
          </cell>
          <cell r="D81">
            <v>68828.98</v>
          </cell>
          <cell r="F81">
            <v>107.38726092296895</v>
          </cell>
          <cell r="G81">
            <v>106.85154975530178</v>
          </cell>
          <cell r="H81">
            <v>100.35074438961334</v>
          </cell>
        </row>
        <row r="82">
          <cell r="A82">
            <v>40259</v>
          </cell>
          <cell r="B82">
            <v>15.25</v>
          </cell>
          <cell r="C82">
            <v>19.7</v>
          </cell>
          <cell r="D82">
            <v>69041.73</v>
          </cell>
          <cell r="F82">
            <v>107.03632216178276</v>
          </cell>
          <cell r="G82">
            <v>107.12343665035344</v>
          </cell>
          <cell r="H82">
            <v>100.66092799060364</v>
          </cell>
        </row>
        <row r="83">
          <cell r="A83">
            <v>40260</v>
          </cell>
          <cell r="B83">
            <v>15.3</v>
          </cell>
          <cell r="C83">
            <v>19.75</v>
          </cell>
          <cell r="D83">
            <v>69386.720000000001</v>
          </cell>
          <cell r="F83">
            <v>107.38726092296895</v>
          </cell>
          <cell r="G83">
            <v>107.39532354540511</v>
          </cell>
          <cell r="H83">
            <v>101.16391384491928</v>
          </cell>
        </row>
        <row r="84">
          <cell r="A84">
            <v>40261</v>
          </cell>
          <cell r="B84">
            <v>15.2</v>
          </cell>
          <cell r="C84">
            <v>19.32</v>
          </cell>
          <cell r="D84">
            <v>68913.399999999994</v>
          </cell>
          <cell r="F84">
            <v>106.68538340059659</v>
          </cell>
          <cell r="G84">
            <v>105.05709624796084</v>
          </cell>
          <cell r="H84">
            <v>100.47382640886411</v>
          </cell>
        </row>
        <row r="85">
          <cell r="A85">
            <v>40262</v>
          </cell>
          <cell r="B85">
            <v>15.2</v>
          </cell>
          <cell r="C85">
            <v>19.55</v>
          </cell>
          <cell r="D85">
            <v>68441.66</v>
          </cell>
          <cell r="F85">
            <v>106.68538340059659</v>
          </cell>
          <cell r="G85">
            <v>106.30777596519847</v>
          </cell>
          <cell r="H85">
            <v>99.786042568999633</v>
          </cell>
        </row>
        <row r="86">
          <cell r="A86">
            <v>40263</v>
          </cell>
          <cell r="B86">
            <v>15.29</v>
          </cell>
          <cell r="C86">
            <v>19.46</v>
          </cell>
          <cell r="D86">
            <v>68682.66</v>
          </cell>
          <cell r="F86">
            <v>107.31707317073169</v>
          </cell>
          <cell r="G86">
            <v>105.81837955410549</v>
          </cell>
          <cell r="H86">
            <v>100.1374138866902</v>
          </cell>
        </row>
        <row r="87">
          <cell r="A87">
            <v>40264</v>
          </cell>
          <cell r="B87">
            <v>15.29</v>
          </cell>
          <cell r="C87">
            <v>19.46</v>
          </cell>
          <cell r="D87">
            <v>68682.66</v>
          </cell>
          <cell r="F87">
            <v>107.31707317073169</v>
          </cell>
          <cell r="G87">
            <v>105.81837955410549</v>
          </cell>
          <cell r="H87">
            <v>100.1374138866902</v>
          </cell>
        </row>
        <row r="88">
          <cell r="A88">
            <v>40265</v>
          </cell>
          <cell r="B88">
            <v>15.29</v>
          </cell>
          <cell r="C88">
            <v>19.46</v>
          </cell>
          <cell r="D88">
            <v>68682.66</v>
          </cell>
          <cell r="F88">
            <v>107.31707317073169</v>
          </cell>
          <cell r="G88">
            <v>105.81837955410549</v>
          </cell>
          <cell r="H88">
            <v>100.1374138866902</v>
          </cell>
        </row>
        <row r="89">
          <cell r="A89">
            <v>40266</v>
          </cell>
          <cell r="B89">
            <v>15.45</v>
          </cell>
          <cell r="C89">
            <v>19.3</v>
          </cell>
          <cell r="D89">
            <v>69939.12</v>
          </cell>
          <cell r="F89">
            <v>108.44007720652746</v>
          </cell>
          <cell r="G89">
            <v>104.94834148994019</v>
          </cell>
          <cell r="H89">
            <v>101.96929772828965</v>
          </cell>
        </row>
        <row r="90">
          <cell r="A90">
            <v>40267</v>
          </cell>
          <cell r="B90">
            <v>15.54</v>
          </cell>
          <cell r="C90">
            <v>19.41</v>
          </cell>
          <cell r="D90">
            <v>69959.58</v>
          </cell>
          <cell r="F90">
            <v>109.07176697666256</v>
          </cell>
          <cell r="G90">
            <v>105.54649265905383</v>
          </cell>
          <cell r="H90">
            <v>101.99912784098655</v>
          </cell>
        </row>
        <row r="91">
          <cell r="A91">
            <v>40268</v>
          </cell>
          <cell r="B91">
            <v>15.6</v>
          </cell>
          <cell r="C91">
            <v>19</v>
          </cell>
          <cell r="D91">
            <v>70371.539999999994</v>
          </cell>
          <cell r="F91">
            <v>109.49289349008598</v>
          </cell>
          <cell r="G91">
            <v>103.31702011963021</v>
          </cell>
          <cell r="H91">
            <v>102.5997540983965</v>
          </cell>
        </row>
        <row r="92">
          <cell r="A92">
            <v>40269</v>
          </cell>
          <cell r="B92">
            <v>15.15</v>
          </cell>
          <cell r="C92">
            <v>18.309999999999999</v>
          </cell>
          <cell r="D92">
            <v>71136.34</v>
          </cell>
          <cell r="F92">
            <v>106.33444463941042</v>
          </cell>
          <cell r="G92">
            <v>99.564980967917336</v>
          </cell>
          <cell r="H92">
            <v>103.71481129246179</v>
          </cell>
        </row>
        <row r="93">
          <cell r="A93">
            <v>40270</v>
          </cell>
          <cell r="B93">
            <v>15.15</v>
          </cell>
          <cell r="C93">
            <v>18.309999999999999</v>
          </cell>
          <cell r="D93">
            <v>71136.34</v>
          </cell>
          <cell r="F93">
            <v>106.33444463941042</v>
          </cell>
          <cell r="G93">
            <v>99.564980967917336</v>
          </cell>
          <cell r="H93">
            <v>103.71481129246179</v>
          </cell>
        </row>
        <row r="94">
          <cell r="A94">
            <v>40271</v>
          </cell>
          <cell r="B94">
            <v>15.15</v>
          </cell>
          <cell r="C94">
            <v>18.309999999999999</v>
          </cell>
          <cell r="D94">
            <v>71136.34</v>
          </cell>
          <cell r="F94">
            <v>106.33444463941042</v>
          </cell>
          <cell r="G94">
            <v>99.564980967917336</v>
          </cell>
          <cell r="H94">
            <v>103.71481129246179</v>
          </cell>
        </row>
        <row r="95">
          <cell r="A95">
            <v>40272</v>
          </cell>
          <cell r="B95">
            <v>15.15</v>
          </cell>
          <cell r="C95">
            <v>18.309999999999999</v>
          </cell>
          <cell r="D95">
            <v>71136.34</v>
          </cell>
          <cell r="F95">
            <v>106.33444463941042</v>
          </cell>
          <cell r="G95">
            <v>99.564980967917336</v>
          </cell>
          <cell r="H95">
            <v>103.71481129246179</v>
          </cell>
        </row>
        <row r="96">
          <cell r="A96">
            <v>40273</v>
          </cell>
          <cell r="B96">
            <v>14.83</v>
          </cell>
          <cell r="C96">
            <v>17.8</v>
          </cell>
          <cell r="D96">
            <v>71289.679999999993</v>
          </cell>
          <cell r="F96">
            <v>104.08843656781892</v>
          </cell>
          <cell r="G96">
            <v>96.791734638390423</v>
          </cell>
          <cell r="H96">
            <v>103.93837676073842</v>
          </cell>
        </row>
        <row r="97">
          <cell r="A97">
            <v>40274</v>
          </cell>
          <cell r="B97">
            <v>14.4</v>
          </cell>
          <cell r="C97">
            <v>17.399999999999999</v>
          </cell>
          <cell r="D97">
            <v>71095.649999999994</v>
          </cell>
          <cell r="F97">
            <v>101.07036322161782</v>
          </cell>
          <cell r="G97">
            <v>94.616639477977145</v>
          </cell>
          <cell r="H97">
            <v>103.65548640069071</v>
          </cell>
        </row>
        <row r="98">
          <cell r="A98">
            <v>40275</v>
          </cell>
          <cell r="B98">
            <v>14.8</v>
          </cell>
          <cell r="C98">
            <v>17.100000000000001</v>
          </cell>
          <cell r="D98">
            <v>70792.94</v>
          </cell>
          <cell r="F98">
            <v>103.87787331110721</v>
          </cell>
          <cell r="G98">
            <v>92.985318107667212</v>
          </cell>
          <cell r="H98">
            <v>103.21414361405958</v>
          </cell>
        </row>
        <row r="99">
          <cell r="A99">
            <v>40276</v>
          </cell>
          <cell r="B99">
            <v>15.15</v>
          </cell>
          <cell r="C99">
            <v>17.62</v>
          </cell>
          <cell r="D99">
            <v>71784.78</v>
          </cell>
          <cell r="F99">
            <v>106.33444463941042</v>
          </cell>
          <cell r="G99">
            <v>95.812941816204471</v>
          </cell>
          <cell r="H99">
            <v>104.66021883289028</v>
          </cell>
        </row>
        <row r="100">
          <cell r="A100">
            <v>40277</v>
          </cell>
          <cell r="B100">
            <v>15.25</v>
          </cell>
          <cell r="C100">
            <v>17.899999999999999</v>
          </cell>
          <cell r="D100">
            <v>71417.27</v>
          </cell>
          <cell r="F100">
            <v>107.03632216178276</v>
          </cell>
          <cell r="G100">
            <v>97.335508428493739</v>
          </cell>
          <cell r="H100">
            <v>104.12439944299628</v>
          </cell>
        </row>
        <row r="101">
          <cell r="A101">
            <v>40278</v>
          </cell>
          <cell r="B101">
            <v>15.25</v>
          </cell>
          <cell r="C101">
            <v>17.899999999999999</v>
          </cell>
          <cell r="D101">
            <v>71417.27</v>
          </cell>
          <cell r="F101">
            <v>107.03632216178276</v>
          </cell>
          <cell r="G101">
            <v>97.335508428493739</v>
          </cell>
          <cell r="H101">
            <v>104.12439944299628</v>
          </cell>
        </row>
        <row r="102">
          <cell r="A102">
            <v>40279</v>
          </cell>
          <cell r="B102">
            <v>15.25</v>
          </cell>
          <cell r="C102">
            <v>17.899999999999999</v>
          </cell>
          <cell r="D102">
            <v>71417.27</v>
          </cell>
          <cell r="F102">
            <v>107.03632216178276</v>
          </cell>
          <cell r="G102">
            <v>97.335508428493739</v>
          </cell>
          <cell r="H102">
            <v>104.12439944299628</v>
          </cell>
        </row>
        <row r="103">
          <cell r="A103">
            <v>40280</v>
          </cell>
          <cell r="B103">
            <v>15.11</v>
          </cell>
          <cell r="C103">
            <v>17.989999999999998</v>
          </cell>
          <cell r="D103">
            <v>70614.36</v>
          </cell>
          <cell r="F103">
            <v>106.05369363046148</v>
          </cell>
          <cell r="G103">
            <v>97.824904839586722</v>
          </cell>
          <cell r="H103">
            <v>102.95377892562314</v>
          </cell>
        </row>
        <row r="104">
          <cell r="A104">
            <v>40281</v>
          </cell>
          <cell r="B104">
            <v>14.8</v>
          </cell>
          <cell r="C104">
            <v>18.02</v>
          </cell>
          <cell r="D104">
            <v>70792.399999999994</v>
          </cell>
          <cell r="F104">
            <v>103.87787331110721</v>
          </cell>
          <cell r="G104">
            <v>97.988036976617721</v>
          </cell>
          <cell r="H104">
            <v>103.21335630903236</v>
          </cell>
        </row>
        <row r="105">
          <cell r="A105">
            <v>40282</v>
          </cell>
          <cell r="B105">
            <v>15.1</v>
          </cell>
          <cell r="C105">
            <v>18</v>
          </cell>
          <cell r="D105">
            <v>71034.850000000006</v>
          </cell>
          <cell r="F105">
            <v>105.98350587822425</v>
          </cell>
          <cell r="G105">
            <v>97.879282218597069</v>
          </cell>
          <cell r="H105">
            <v>103.56684168651817</v>
          </cell>
        </row>
        <row r="106">
          <cell r="A106">
            <v>40283</v>
          </cell>
          <cell r="B106">
            <v>15.33</v>
          </cell>
          <cell r="C106">
            <v>17.8</v>
          </cell>
          <cell r="D106">
            <v>70524.350000000006</v>
          </cell>
          <cell r="F106">
            <v>107.59782417968064</v>
          </cell>
          <cell r="G106">
            <v>96.791734638390423</v>
          </cell>
          <cell r="H106">
            <v>102.82254684136869</v>
          </cell>
        </row>
        <row r="107">
          <cell r="A107">
            <v>40284</v>
          </cell>
          <cell r="B107">
            <v>15.3</v>
          </cell>
          <cell r="C107">
            <v>17.8</v>
          </cell>
          <cell r="D107">
            <v>69421.350000000006</v>
          </cell>
          <cell r="F107">
            <v>107.38726092296895</v>
          </cell>
          <cell r="G107">
            <v>96.791734638390423</v>
          </cell>
          <cell r="H107">
            <v>101.21440342471854</v>
          </cell>
        </row>
        <row r="108">
          <cell r="A108">
            <v>40285</v>
          </cell>
          <cell r="B108">
            <v>15.3</v>
          </cell>
          <cell r="C108">
            <v>17.8</v>
          </cell>
          <cell r="D108">
            <v>69421.350000000006</v>
          </cell>
          <cell r="F108">
            <v>107.38726092296895</v>
          </cell>
          <cell r="G108">
            <v>96.791734638390423</v>
          </cell>
          <cell r="H108">
            <v>101.21440342471854</v>
          </cell>
        </row>
        <row r="109">
          <cell r="A109">
            <v>40286</v>
          </cell>
          <cell r="B109">
            <v>15.3</v>
          </cell>
          <cell r="C109">
            <v>17.8</v>
          </cell>
          <cell r="D109">
            <v>69421.350000000006</v>
          </cell>
          <cell r="F109">
            <v>107.38726092296895</v>
          </cell>
          <cell r="G109">
            <v>96.791734638390423</v>
          </cell>
          <cell r="H109">
            <v>101.21440342471854</v>
          </cell>
        </row>
        <row r="110">
          <cell r="A110">
            <v>40287</v>
          </cell>
          <cell r="B110">
            <v>15.2</v>
          </cell>
          <cell r="C110">
            <v>17.7</v>
          </cell>
          <cell r="D110">
            <v>69097.58</v>
          </cell>
          <cell r="F110">
            <v>106.68538340059659</v>
          </cell>
          <cell r="G110">
            <v>96.247960848287107</v>
          </cell>
          <cell r="H110">
            <v>100.74235574202697</v>
          </cell>
        </row>
        <row r="111">
          <cell r="A111">
            <v>40288</v>
          </cell>
          <cell r="B111">
            <v>15.2</v>
          </cell>
          <cell r="C111">
            <v>18</v>
          </cell>
          <cell r="D111">
            <v>69318.44</v>
          </cell>
          <cell r="F111">
            <v>106.68538340059659</v>
          </cell>
          <cell r="G111">
            <v>97.879282218597069</v>
          </cell>
          <cell r="H111">
            <v>101.06436349814787</v>
          </cell>
        </row>
        <row r="112">
          <cell r="A112">
            <v>40289</v>
          </cell>
          <cell r="B112">
            <v>15.2</v>
          </cell>
          <cell r="C112">
            <v>18</v>
          </cell>
          <cell r="D112">
            <v>69318.44</v>
          </cell>
          <cell r="F112">
            <v>106.68538340059659</v>
          </cell>
          <cell r="G112">
            <v>97.879282218597069</v>
          </cell>
          <cell r="H112">
            <v>101.06436349814787</v>
          </cell>
        </row>
        <row r="113">
          <cell r="A113">
            <v>40290</v>
          </cell>
          <cell r="B113">
            <v>15.05</v>
          </cell>
          <cell r="C113">
            <v>17.899999999999999</v>
          </cell>
          <cell r="D113">
            <v>69386.41</v>
          </cell>
          <cell r="F113">
            <v>105.63256711703808</v>
          </cell>
          <cell r="G113">
            <v>97.335508428493739</v>
          </cell>
          <cell r="H113">
            <v>101.16346187351479</v>
          </cell>
        </row>
        <row r="114">
          <cell r="A114">
            <v>40291</v>
          </cell>
          <cell r="B114">
            <v>15.15</v>
          </cell>
          <cell r="C114">
            <v>18</v>
          </cell>
          <cell r="D114">
            <v>69509.490000000005</v>
          </cell>
          <cell r="F114">
            <v>106.33444463941042</v>
          </cell>
          <cell r="G114">
            <v>97.879282218597069</v>
          </cell>
          <cell r="H114">
            <v>101.34290910082331</v>
          </cell>
        </row>
        <row r="115">
          <cell r="A115">
            <v>40292</v>
          </cell>
          <cell r="B115">
            <v>15.15</v>
          </cell>
          <cell r="C115">
            <v>18</v>
          </cell>
          <cell r="D115">
            <v>69509.490000000005</v>
          </cell>
          <cell r="F115">
            <v>106.33444463941042</v>
          </cell>
          <cell r="G115">
            <v>97.879282218597069</v>
          </cell>
          <cell r="H115">
            <v>101.34290910082331</v>
          </cell>
        </row>
        <row r="116">
          <cell r="A116">
            <v>40293</v>
          </cell>
          <cell r="B116">
            <v>15.15</v>
          </cell>
          <cell r="C116">
            <v>18</v>
          </cell>
          <cell r="D116">
            <v>69509.490000000005</v>
          </cell>
          <cell r="F116">
            <v>106.33444463941042</v>
          </cell>
          <cell r="G116">
            <v>97.879282218597069</v>
          </cell>
          <cell r="H116">
            <v>101.34290910082331</v>
          </cell>
        </row>
        <row r="117">
          <cell r="A117">
            <v>40294</v>
          </cell>
          <cell r="B117">
            <v>14.9</v>
          </cell>
          <cell r="C117">
            <v>18.010000000000002</v>
          </cell>
          <cell r="D117">
            <v>68871.94</v>
          </cell>
          <cell r="F117">
            <v>104.57975083347955</v>
          </cell>
          <cell r="G117">
            <v>97.933659597607402</v>
          </cell>
          <cell r="H117">
            <v>100.41337887844317</v>
          </cell>
        </row>
        <row r="118">
          <cell r="A118">
            <v>40295</v>
          </cell>
          <cell r="B118">
            <v>14.9</v>
          </cell>
          <cell r="C118">
            <v>17.5</v>
          </cell>
          <cell r="D118">
            <v>66511.100000000006</v>
          </cell>
          <cell r="F118">
            <v>104.57975083347955</v>
          </cell>
          <cell r="G118">
            <v>95.160413268080475</v>
          </cell>
          <cell r="H118">
            <v>96.971339618457407</v>
          </cell>
        </row>
        <row r="119">
          <cell r="A119">
            <v>40296</v>
          </cell>
          <cell r="B119">
            <v>14.9</v>
          </cell>
          <cell r="C119">
            <v>17.5</v>
          </cell>
          <cell r="D119">
            <v>66655.710000000006</v>
          </cell>
          <cell r="F119">
            <v>104.57975083347955</v>
          </cell>
          <cell r="G119">
            <v>95.160413268080475</v>
          </cell>
          <cell r="H119">
            <v>97.182176988794467</v>
          </cell>
        </row>
        <row r="120">
          <cell r="A120">
            <v>40297</v>
          </cell>
          <cell r="B120">
            <v>15.02</v>
          </cell>
          <cell r="C120">
            <v>17.7</v>
          </cell>
          <cell r="D120">
            <v>67978.05</v>
          </cell>
          <cell r="F120">
            <v>105.42200386032636</v>
          </cell>
          <cell r="G120">
            <v>96.247960848287107</v>
          </cell>
          <cell r="H120">
            <v>99.110112043711169</v>
          </cell>
        </row>
        <row r="121">
          <cell r="A121">
            <v>40298</v>
          </cell>
          <cell r="B121">
            <v>15.1</v>
          </cell>
          <cell r="C121">
            <v>17.73</v>
          </cell>
          <cell r="D121">
            <v>67529.73</v>
          </cell>
          <cell r="F121">
            <v>105.98350587822425</v>
          </cell>
          <cell r="G121">
            <v>96.411092985318106</v>
          </cell>
          <cell r="H121">
            <v>98.456473914470379</v>
          </cell>
        </row>
        <row r="122">
          <cell r="A122">
            <v>40299</v>
          </cell>
          <cell r="B122">
            <v>15.1</v>
          </cell>
          <cell r="C122">
            <v>17.73</v>
          </cell>
          <cell r="D122">
            <v>67529.73</v>
          </cell>
          <cell r="F122">
            <v>105.98350587822425</v>
          </cell>
          <cell r="G122">
            <v>96.411092985318106</v>
          </cell>
          <cell r="H122">
            <v>98.456473914470379</v>
          </cell>
        </row>
        <row r="123">
          <cell r="A123">
            <v>40300</v>
          </cell>
          <cell r="B123">
            <v>15.1</v>
          </cell>
          <cell r="C123">
            <v>17.73</v>
          </cell>
          <cell r="D123">
            <v>67529.73</v>
          </cell>
          <cell r="F123">
            <v>105.98350587822425</v>
          </cell>
          <cell r="G123">
            <v>96.411092985318106</v>
          </cell>
          <cell r="H123">
            <v>98.456473914470379</v>
          </cell>
        </row>
        <row r="124">
          <cell r="A124">
            <v>40301</v>
          </cell>
          <cell r="B124">
            <v>15.35</v>
          </cell>
          <cell r="C124">
            <v>18.170000000000002</v>
          </cell>
          <cell r="D124">
            <v>67119.41</v>
          </cell>
          <cell r="F124">
            <v>107.73819968415511</v>
          </cell>
          <cell r="G124">
            <v>98.803697661772702</v>
          </cell>
          <cell r="H124">
            <v>97.858238731587448</v>
          </cell>
        </row>
        <row r="125">
          <cell r="A125">
            <v>40302</v>
          </cell>
          <cell r="B125">
            <v>15.2</v>
          </cell>
          <cell r="C125">
            <v>17.8</v>
          </cell>
          <cell r="D125">
            <v>64869.32</v>
          </cell>
          <cell r="F125">
            <v>106.68538340059659</v>
          </cell>
          <cell r="G125">
            <v>96.791734638390423</v>
          </cell>
          <cell r="H125">
            <v>94.577669900789346</v>
          </cell>
        </row>
        <row r="126">
          <cell r="A126">
            <v>40303</v>
          </cell>
          <cell r="B126">
            <v>15.19</v>
          </cell>
          <cell r="C126">
            <v>17.600000000000001</v>
          </cell>
          <cell r="D126">
            <v>64914.17</v>
          </cell>
          <cell r="F126">
            <v>106.61519564835935</v>
          </cell>
          <cell r="G126">
            <v>95.704187058183805</v>
          </cell>
          <cell r="H126">
            <v>94.643059957214334</v>
          </cell>
        </row>
        <row r="127">
          <cell r="A127">
            <v>40304</v>
          </cell>
          <cell r="B127">
            <v>15</v>
          </cell>
          <cell r="C127">
            <v>17.2</v>
          </cell>
          <cell r="D127">
            <v>63414.22</v>
          </cell>
          <cell r="F127">
            <v>105.28162835585191</v>
          </cell>
          <cell r="G127">
            <v>93.529091897770527</v>
          </cell>
          <cell r="H127">
            <v>92.456174446965605</v>
          </cell>
        </row>
        <row r="128">
          <cell r="A128">
            <v>40305</v>
          </cell>
          <cell r="B128">
            <v>14.72</v>
          </cell>
          <cell r="C128">
            <v>16.96</v>
          </cell>
          <cell r="D128">
            <v>62870.879999999997</v>
          </cell>
          <cell r="F128">
            <v>103.31637129320934</v>
          </cell>
          <cell r="G128">
            <v>92.224034801522563</v>
          </cell>
          <cell r="H128">
            <v>91.663999792384743</v>
          </cell>
        </row>
        <row r="129">
          <cell r="A129">
            <v>40306</v>
          </cell>
          <cell r="B129">
            <v>14.72</v>
          </cell>
          <cell r="C129">
            <v>16.96</v>
          </cell>
          <cell r="D129">
            <v>62870.879999999997</v>
          </cell>
          <cell r="F129">
            <v>103.31637129320934</v>
          </cell>
          <cell r="G129">
            <v>92.224034801522563</v>
          </cell>
          <cell r="H129">
            <v>91.663999792384743</v>
          </cell>
        </row>
        <row r="130">
          <cell r="A130">
            <v>40307</v>
          </cell>
          <cell r="B130">
            <v>14.72</v>
          </cell>
          <cell r="C130">
            <v>16.96</v>
          </cell>
          <cell r="D130">
            <v>62870.879999999997</v>
          </cell>
          <cell r="F130">
            <v>103.31637129320934</v>
          </cell>
          <cell r="G130">
            <v>92.224034801522563</v>
          </cell>
          <cell r="H130">
            <v>91.663999792384743</v>
          </cell>
        </row>
        <row r="131">
          <cell r="A131">
            <v>40308</v>
          </cell>
          <cell r="B131">
            <v>15.28</v>
          </cell>
          <cell r="C131">
            <v>16.86</v>
          </cell>
          <cell r="D131">
            <v>65452.68</v>
          </cell>
          <cell r="F131">
            <v>107.24688541849447</v>
          </cell>
          <cell r="G131">
            <v>91.680261011419233</v>
          </cell>
          <cell r="H131">
            <v>95.42819260571865</v>
          </cell>
        </row>
        <row r="132">
          <cell r="A132">
            <v>40309</v>
          </cell>
          <cell r="B132">
            <v>15.29</v>
          </cell>
          <cell r="C132">
            <v>16.95</v>
          </cell>
          <cell r="D132">
            <v>64424.89</v>
          </cell>
          <cell r="F132">
            <v>107.31707317073169</v>
          </cell>
          <cell r="G132">
            <v>92.16965742251223</v>
          </cell>
          <cell r="H132">
            <v>93.92970328368888</v>
          </cell>
        </row>
        <row r="133">
          <cell r="A133">
            <v>40310</v>
          </cell>
          <cell r="B133">
            <v>15.3</v>
          </cell>
          <cell r="C133">
            <v>17.16</v>
          </cell>
          <cell r="D133">
            <v>65223.63</v>
          </cell>
          <cell r="F133">
            <v>107.38726092296895</v>
          </cell>
          <cell r="G133">
            <v>93.311582381729195</v>
          </cell>
          <cell r="H133">
            <v>95.094244056685369</v>
          </cell>
        </row>
        <row r="134">
          <cell r="A134">
            <v>40311</v>
          </cell>
          <cell r="B134">
            <v>15.33</v>
          </cell>
          <cell r="C134">
            <v>17.7</v>
          </cell>
          <cell r="D134">
            <v>64788.22</v>
          </cell>
          <cell r="F134">
            <v>107.59782417968064</v>
          </cell>
          <cell r="G134">
            <v>96.247960848287107</v>
          </cell>
          <cell r="H134">
            <v>94.459428349483531</v>
          </cell>
        </row>
        <row r="135">
          <cell r="A135">
            <v>40312</v>
          </cell>
          <cell r="B135">
            <v>15.2</v>
          </cell>
          <cell r="C135">
            <v>17.5</v>
          </cell>
          <cell r="D135">
            <v>63412.47</v>
          </cell>
          <cell r="F135">
            <v>106.68538340059659</v>
          </cell>
          <cell r="G135">
            <v>95.160413268080475</v>
          </cell>
          <cell r="H135">
            <v>92.453622995488587</v>
          </cell>
        </row>
        <row r="136">
          <cell r="A136">
            <v>40313</v>
          </cell>
          <cell r="B136">
            <v>15.2</v>
          </cell>
          <cell r="C136">
            <v>17.5</v>
          </cell>
          <cell r="D136">
            <v>63412.47</v>
          </cell>
          <cell r="F136">
            <v>106.68538340059659</v>
          </cell>
          <cell r="G136">
            <v>95.160413268080475</v>
          </cell>
          <cell r="H136">
            <v>92.453622995488587</v>
          </cell>
        </row>
        <row r="137">
          <cell r="A137">
            <v>40314</v>
          </cell>
          <cell r="B137">
            <v>15.2</v>
          </cell>
          <cell r="C137">
            <v>17.5</v>
          </cell>
          <cell r="D137">
            <v>63412.47</v>
          </cell>
          <cell r="F137">
            <v>106.68538340059659</v>
          </cell>
          <cell r="G137">
            <v>95.160413268080475</v>
          </cell>
          <cell r="H137">
            <v>92.453622995488587</v>
          </cell>
        </row>
        <row r="138">
          <cell r="A138">
            <v>40315</v>
          </cell>
          <cell r="B138">
            <v>15.29</v>
          </cell>
          <cell r="C138">
            <v>17.25</v>
          </cell>
          <cell r="D138">
            <v>62866.26</v>
          </cell>
          <cell r="F138">
            <v>107.31707317073169</v>
          </cell>
          <cell r="G138">
            <v>93.800978792822193</v>
          </cell>
          <cell r="H138">
            <v>91.657263960485452</v>
          </cell>
        </row>
        <row r="139">
          <cell r="A139">
            <v>40316</v>
          </cell>
          <cell r="B139">
            <v>15.39</v>
          </cell>
          <cell r="C139">
            <v>17.100000000000001</v>
          </cell>
          <cell r="D139">
            <v>60841.08</v>
          </cell>
          <cell r="F139">
            <v>108.01895069310406</v>
          </cell>
          <cell r="G139">
            <v>92.985318107667212</v>
          </cell>
          <cell r="H139">
            <v>88.704607673512186</v>
          </cell>
        </row>
        <row r="140">
          <cell r="A140">
            <v>40317</v>
          </cell>
          <cell r="B140">
            <v>14.8</v>
          </cell>
          <cell r="C140">
            <v>17</v>
          </cell>
          <cell r="D140">
            <v>59689.32</v>
          </cell>
          <cell r="F140">
            <v>103.87787331110721</v>
          </cell>
          <cell r="G140">
            <v>92.441544317563896</v>
          </cell>
          <cell r="H140">
            <v>87.025373528851304</v>
          </cell>
        </row>
        <row r="141">
          <cell r="A141">
            <v>40318</v>
          </cell>
          <cell r="B141">
            <v>14</v>
          </cell>
          <cell r="C141">
            <v>16.7</v>
          </cell>
          <cell r="D141">
            <v>58192.08</v>
          </cell>
          <cell r="F141">
            <v>98.262853132128441</v>
          </cell>
          <cell r="G141">
            <v>90.810222947253934</v>
          </cell>
          <cell r="H141">
            <v>84.842439123461233</v>
          </cell>
        </row>
        <row r="142">
          <cell r="A142">
            <v>40319</v>
          </cell>
          <cell r="B142">
            <v>14.95</v>
          </cell>
          <cell r="C142">
            <v>16.600000000000001</v>
          </cell>
          <cell r="D142">
            <v>60259.33</v>
          </cell>
          <cell r="F142">
            <v>104.93068959466572</v>
          </cell>
          <cell r="G142">
            <v>90.266449157150632</v>
          </cell>
          <cell r="H142">
            <v>87.856432303941716</v>
          </cell>
        </row>
        <row r="143">
          <cell r="A143">
            <v>40320</v>
          </cell>
          <cell r="B143">
            <v>14.95</v>
          </cell>
          <cell r="C143">
            <v>16.600000000000001</v>
          </cell>
          <cell r="D143">
            <v>60259.33</v>
          </cell>
          <cell r="F143">
            <v>104.93068959466572</v>
          </cell>
          <cell r="G143">
            <v>90.266449157150632</v>
          </cell>
          <cell r="H143">
            <v>87.856432303941716</v>
          </cell>
        </row>
        <row r="144">
          <cell r="A144">
            <v>40321</v>
          </cell>
          <cell r="B144">
            <v>14.95</v>
          </cell>
          <cell r="C144">
            <v>16.600000000000001</v>
          </cell>
          <cell r="D144">
            <v>60259.33</v>
          </cell>
          <cell r="F144">
            <v>104.93068959466572</v>
          </cell>
          <cell r="G144">
            <v>90.266449157150632</v>
          </cell>
          <cell r="H144">
            <v>87.856432303941716</v>
          </cell>
        </row>
        <row r="145">
          <cell r="A145">
            <v>40322</v>
          </cell>
          <cell r="B145">
            <v>15.1</v>
          </cell>
          <cell r="C145">
            <v>16.52</v>
          </cell>
          <cell r="D145">
            <v>59915.14</v>
          </cell>
          <cell r="F145">
            <v>105.98350587822425</v>
          </cell>
          <cell r="G145">
            <v>89.831430125067968</v>
          </cell>
          <cell r="H145">
            <v>87.354612827444171</v>
          </cell>
        </row>
        <row r="146">
          <cell r="A146">
            <v>40323</v>
          </cell>
          <cell r="B146">
            <v>14.89</v>
          </cell>
          <cell r="C146">
            <v>16.5</v>
          </cell>
          <cell r="D146">
            <v>59184.08</v>
          </cell>
          <cell r="F146">
            <v>104.50956308124233</v>
          </cell>
          <cell r="G146">
            <v>89.722675367047316</v>
          </cell>
          <cell r="H146">
            <v>86.288747617855549</v>
          </cell>
        </row>
        <row r="147">
          <cell r="A147">
            <v>40324</v>
          </cell>
          <cell r="B147">
            <v>14.86</v>
          </cell>
          <cell r="C147">
            <v>17</v>
          </cell>
          <cell r="D147">
            <v>60190.36</v>
          </cell>
          <cell r="F147">
            <v>104.29899982453061</v>
          </cell>
          <cell r="G147">
            <v>92.441544317563896</v>
          </cell>
          <cell r="H147">
            <v>87.755875956302233</v>
          </cell>
        </row>
        <row r="148">
          <cell r="A148">
            <v>40325</v>
          </cell>
          <cell r="B148">
            <v>15.1</v>
          </cell>
          <cell r="C148">
            <v>17.149999999999999</v>
          </cell>
          <cell r="D148">
            <v>62091.77</v>
          </cell>
          <cell r="F148">
            <v>105.98350587822425</v>
          </cell>
          <cell r="G148">
            <v>93.257205002718862</v>
          </cell>
          <cell r="H148">
            <v>90.528079015098896</v>
          </cell>
        </row>
        <row r="149">
          <cell r="A149">
            <v>40326</v>
          </cell>
          <cell r="B149">
            <v>14.97</v>
          </cell>
          <cell r="C149">
            <v>17.829999999999998</v>
          </cell>
          <cell r="D149">
            <v>61946.99</v>
          </cell>
          <cell r="F149">
            <v>105.0710650991402</v>
          </cell>
          <cell r="G149">
            <v>96.954866775421408</v>
          </cell>
          <cell r="H149">
            <v>90.316993789475504</v>
          </cell>
        </row>
        <row r="150">
          <cell r="A150">
            <v>40327</v>
          </cell>
          <cell r="B150">
            <v>14.97</v>
          </cell>
          <cell r="C150">
            <v>17.829999999999998</v>
          </cell>
          <cell r="D150">
            <v>61946.99</v>
          </cell>
          <cell r="F150">
            <v>105.0710650991402</v>
          </cell>
          <cell r="G150">
            <v>96.954866775421408</v>
          </cell>
          <cell r="H150">
            <v>90.316993789475504</v>
          </cell>
        </row>
        <row r="151">
          <cell r="A151">
            <v>40328</v>
          </cell>
          <cell r="B151">
            <v>14.97</v>
          </cell>
          <cell r="C151">
            <v>17.829999999999998</v>
          </cell>
          <cell r="D151">
            <v>61946.99</v>
          </cell>
          <cell r="F151">
            <v>105.0710650991402</v>
          </cell>
          <cell r="G151">
            <v>96.954866775421408</v>
          </cell>
          <cell r="H151">
            <v>90.316993789475504</v>
          </cell>
        </row>
        <row r="152">
          <cell r="A152">
            <v>40329</v>
          </cell>
          <cell r="B152">
            <v>14.97</v>
          </cell>
          <cell r="C152">
            <v>17.829999999999998</v>
          </cell>
          <cell r="D152">
            <v>61946.99</v>
          </cell>
          <cell r="F152">
            <v>105.0710650991402</v>
          </cell>
          <cell r="G152">
            <v>96.954866775421408</v>
          </cell>
          <cell r="H152">
            <v>90.316993789475504</v>
          </cell>
        </row>
        <row r="153">
          <cell r="A153">
            <v>40330</v>
          </cell>
          <cell r="B153">
            <v>14.8</v>
          </cell>
          <cell r="C153">
            <v>17.510000000000002</v>
          </cell>
          <cell r="D153">
            <v>61840.99</v>
          </cell>
          <cell r="F153">
            <v>103.87787331110721</v>
          </cell>
          <cell r="G153">
            <v>95.214790647090823</v>
          </cell>
          <cell r="H153">
            <v>90.162448728582561</v>
          </cell>
        </row>
        <row r="154">
          <cell r="A154">
            <v>40331</v>
          </cell>
          <cell r="B154">
            <v>15.35</v>
          </cell>
          <cell r="C154">
            <v>17.600000000000001</v>
          </cell>
          <cell r="D154">
            <v>62942.91</v>
          </cell>
          <cell r="F154">
            <v>107.73819968415511</v>
          </cell>
          <cell r="G154">
            <v>95.704187058183805</v>
          </cell>
          <cell r="H154">
            <v>91.769017535178321</v>
          </cell>
        </row>
        <row r="155">
          <cell r="A155">
            <v>40332</v>
          </cell>
          <cell r="B155">
            <v>15.35</v>
          </cell>
          <cell r="C155">
            <v>17.600000000000001</v>
          </cell>
          <cell r="D155">
            <v>62942.91</v>
          </cell>
          <cell r="F155">
            <v>107.73819968415511</v>
          </cell>
          <cell r="G155">
            <v>95.704187058183805</v>
          </cell>
          <cell r="H155">
            <v>91.769017535178321</v>
          </cell>
        </row>
        <row r="156">
          <cell r="A156">
            <v>40333</v>
          </cell>
          <cell r="B156">
            <v>15.4</v>
          </cell>
          <cell r="C156">
            <v>17.95</v>
          </cell>
          <cell r="D156">
            <v>61675.75</v>
          </cell>
          <cell r="F156">
            <v>108.08913844534129</v>
          </cell>
          <cell r="G156">
            <v>97.607395323545404</v>
          </cell>
          <cell r="H156">
            <v>89.921533390262283</v>
          </cell>
        </row>
        <row r="157">
          <cell r="A157">
            <v>40334</v>
          </cell>
          <cell r="B157">
            <v>15.4</v>
          </cell>
          <cell r="C157">
            <v>17.95</v>
          </cell>
          <cell r="D157">
            <v>61675.75</v>
          </cell>
          <cell r="F157">
            <v>108.08913844534129</v>
          </cell>
          <cell r="G157">
            <v>97.607395323545404</v>
          </cell>
          <cell r="H157">
            <v>89.921533390262283</v>
          </cell>
        </row>
        <row r="158">
          <cell r="A158">
            <v>40335</v>
          </cell>
          <cell r="B158">
            <v>15.4</v>
          </cell>
          <cell r="C158">
            <v>17.95</v>
          </cell>
          <cell r="D158">
            <v>61675.75</v>
          </cell>
          <cell r="F158">
            <v>108.08913844534129</v>
          </cell>
          <cell r="G158">
            <v>97.607395323545404</v>
          </cell>
          <cell r="H158">
            <v>89.921533390262283</v>
          </cell>
        </row>
        <row r="159">
          <cell r="A159">
            <v>40336</v>
          </cell>
          <cell r="B159">
            <v>15</v>
          </cell>
          <cell r="C159">
            <v>18.399999999999999</v>
          </cell>
          <cell r="D159">
            <v>61182.92</v>
          </cell>
          <cell r="F159">
            <v>105.28162835585191</v>
          </cell>
          <cell r="G159">
            <v>100.05437737901033</v>
          </cell>
          <cell r="H159">
            <v>89.203000915169184</v>
          </cell>
        </row>
        <row r="160">
          <cell r="A160">
            <v>40337</v>
          </cell>
          <cell r="B160">
            <v>14.56</v>
          </cell>
          <cell r="C160">
            <v>19</v>
          </cell>
          <cell r="D160">
            <v>61793</v>
          </cell>
          <cell r="F160">
            <v>102.1933672574136</v>
          </cell>
          <cell r="G160">
            <v>103.31702011963021</v>
          </cell>
          <cell r="H160">
            <v>90.092480639221691</v>
          </cell>
        </row>
        <row r="161">
          <cell r="A161">
            <v>40338</v>
          </cell>
          <cell r="B161">
            <v>14.48</v>
          </cell>
          <cell r="C161">
            <v>18.25</v>
          </cell>
          <cell r="D161">
            <v>61478.61</v>
          </cell>
          <cell r="F161">
            <v>101.6318652395157</v>
          </cell>
          <cell r="G161">
            <v>99.238716693855352</v>
          </cell>
          <cell r="H161">
            <v>89.634108736446876</v>
          </cell>
        </row>
        <row r="162">
          <cell r="A162">
            <v>40339</v>
          </cell>
          <cell r="B162">
            <v>14.36</v>
          </cell>
          <cell r="C162">
            <v>18.649999999999999</v>
          </cell>
          <cell r="D162">
            <v>63048.800000000003</v>
          </cell>
          <cell r="F162">
            <v>100.78961221266889</v>
          </cell>
          <cell r="G162">
            <v>101.41381185426862</v>
          </cell>
          <cell r="H162">
            <v>91.923402219121272</v>
          </cell>
        </row>
        <row r="163">
          <cell r="A163">
            <v>40340</v>
          </cell>
          <cell r="B163">
            <v>14.6</v>
          </cell>
          <cell r="C163">
            <v>18.5</v>
          </cell>
          <cell r="D163">
            <v>63605.38</v>
          </cell>
          <cell r="F163">
            <v>102.47411826636252</v>
          </cell>
          <cell r="G163">
            <v>100.59815116911363</v>
          </cell>
          <cell r="H163">
            <v>92.734880426591019</v>
          </cell>
        </row>
        <row r="164">
          <cell r="A164">
            <v>40341</v>
          </cell>
          <cell r="B164">
            <v>14.6</v>
          </cell>
          <cell r="C164">
            <v>18.5</v>
          </cell>
          <cell r="D164">
            <v>63605.38</v>
          </cell>
          <cell r="F164">
            <v>102.47411826636252</v>
          </cell>
          <cell r="G164">
            <v>100.59815116911363</v>
          </cell>
          <cell r="H164">
            <v>92.734880426591019</v>
          </cell>
        </row>
        <row r="165">
          <cell r="A165">
            <v>40342</v>
          </cell>
          <cell r="B165">
            <v>14.6</v>
          </cell>
          <cell r="C165">
            <v>18.5</v>
          </cell>
          <cell r="D165">
            <v>63605.38</v>
          </cell>
          <cell r="F165">
            <v>102.47411826636252</v>
          </cell>
          <cell r="G165">
            <v>100.59815116911363</v>
          </cell>
          <cell r="H165">
            <v>92.734880426591019</v>
          </cell>
        </row>
        <row r="166">
          <cell r="A166">
            <v>40343</v>
          </cell>
          <cell r="B166">
            <v>14.7</v>
          </cell>
          <cell r="C166">
            <v>18.2</v>
          </cell>
          <cell r="D166">
            <v>63532.85</v>
          </cell>
          <cell r="F166">
            <v>103.17599578873487</v>
          </cell>
          <cell r="G166">
            <v>98.966829798803687</v>
          </cell>
          <cell r="H166">
            <v>92.62913369766116</v>
          </cell>
        </row>
        <row r="167">
          <cell r="A167">
            <v>40344</v>
          </cell>
          <cell r="B167">
            <v>14.95</v>
          </cell>
          <cell r="C167">
            <v>18.27</v>
          </cell>
          <cell r="D167">
            <v>64442.27</v>
          </cell>
          <cell r="F167">
            <v>104.93068959466572</v>
          </cell>
          <cell r="G167">
            <v>99.347471451876018</v>
          </cell>
          <cell r="H167">
            <v>93.955042841786224</v>
          </cell>
        </row>
        <row r="168">
          <cell r="A168">
            <v>40345</v>
          </cell>
          <cell r="B168">
            <v>15.2</v>
          </cell>
          <cell r="C168">
            <v>18.100000000000001</v>
          </cell>
          <cell r="D168">
            <v>64750.71</v>
          </cell>
          <cell r="F168">
            <v>106.68538340059659</v>
          </cell>
          <cell r="G168">
            <v>98.423056008700385</v>
          </cell>
          <cell r="H168">
            <v>94.404739809539237</v>
          </cell>
        </row>
        <row r="169">
          <cell r="A169">
            <v>40346</v>
          </cell>
          <cell r="B169">
            <v>15.36</v>
          </cell>
          <cell r="C169">
            <v>18.3</v>
          </cell>
          <cell r="D169">
            <v>64540.91</v>
          </cell>
          <cell r="F169">
            <v>107.80838743639234</v>
          </cell>
          <cell r="G169">
            <v>99.510603588907017</v>
          </cell>
          <cell r="H169">
            <v>94.098857226753026</v>
          </cell>
        </row>
        <row r="170">
          <cell r="A170">
            <v>40347</v>
          </cell>
          <cell r="B170">
            <v>15.6</v>
          </cell>
          <cell r="C170">
            <v>18.36</v>
          </cell>
          <cell r="D170">
            <v>64437.58</v>
          </cell>
          <cell r="F170">
            <v>109.49289349008598</v>
          </cell>
          <cell r="G170">
            <v>99.836867862969001</v>
          </cell>
          <cell r="H170">
            <v>93.948204951827861</v>
          </cell>
        </row>
        <row r="171">
          <cell r="A171">
            <v>40348</v>
          </cell>
          <cell r="B171">
            <v>15.6</v>
          </cell>
          <cell r="C171">
            <v>18.36</v>
          </cell>
          <cell r="D171">
            <v>64437.58</v>
          </cell>
          <cell r="F171">
            <v>109.49289349008598</v>
          </cell>
          <cell r="G171">
            <v>99.836867862969001</v>
          </cell>
          <cell r="H171">
            <v>93.948204951827861</v>
          </cell>
        </row>
        <row r="172">
          <cell r="A172">
            <v>40349</v>
          </cell>
          <cell r="B172">
            <v>15.6</v>
          </cell>
          <cell r="C172">
            <v>18.36</v>
          </cell>
          <cell r="D172">
            <v>64437.58</v>
          </cell>
          <cell r="F172">
            <v>109.49289349008598</v>
          </cell>
          <cell r="G172">
            <v>99.836867862969001</v>
          </cell>
          <cell r="H172">
            <v>93.948204951827861</v>
          </cell>
        </row>
        <row r="173">
          <cell r="A173">
            <v>40350</v>
          </cell>
          <cell r="B173">
            <v>15.55</v>
          </cell>
          <cell r="C173">
            <v>18.5</v>
          </cell>
          <cell r="D173">
            <v>64829.03</v>
          </cell>
          <cell r="F173">
            <v>109.1419547288998</v>
          </cell>
          <cell r="G173">
            <v>100.59815116911363</v>
          </cell>
          <cell r="H173">
            <v>94.518928197927309</v>
          </cell>
        </row>
        <row r="174">
          <cell r="A174">
            <v>40351</v>
          </cell>
          <cell r="B174">
            <v>16.04</v>
          </cell>
          <cell r="C174">
            <v>18.8</v>
          </cell>
          <cell r="D174">
            <v>64810.62</v>
          </cell>
          <cell r="F174">
            <v>112.58115458852429</v>
          </cell>
          <cell r="G174">
            <v>102.22947253942361</v>
          </cell>
          <cell r="H174">
            <v>94.492086928389213</v>
          </cell>
        </row>
        <row r="175">
          <cell r="A175">
            <v>40352</v>
          </cell>
          <cell r="B175">
            <v>15.64</v>
          </cell>
          <cell r="C175">
            <v>19.010000000000002</v>
          </cell>
          <cell r="D175">
            <v>65160.33</v>
          </cell>
          <cell r="F175">
            <v>109.77364449903493</v>
          </cell>
          <cell r="G175">
            <v>103.37139749864058</v>
          </cell>
          <cell r="H175">
            <v>95.001954411831377</v>
          </cell>
        </row>
        <row r="176">
          <cell r="A176">
            <v>40353</v>
          </cell>
          <cell r="B176">
            <v>15.9</v>
          </cell>
          <cell r="C176">
            <v>19</v>
          </cell>
          <cell r="D176">
            <v>63936.7</v>
          </cell>
          <cell r="F176">
            <v>111.59852605720302</v>
          </cell>
          <cell r="G176">
            <v>103.31702011963021</v>
          </cell>
          <cell r="H176">
            <v>93.217935799940534</v>
          </cell>
        </row>
        <row r="177">
          <cell r="A177">
            <v>40354</v>
          </cell>
          <cell r="B177">
            <v>16.25</v>
          </cell>
          <cell r="C177">
            <v>19.2</v>
          </cell>
          <cell r="D177">
            <v>64823.83</v>
          </cell>
          <cell r="F177">
            <v>114.05509738550623</v>
          </cell>
          <cell r="G177">
            <v>104.40456769983686</v>
          </cell>
          <cell r="H177">
            <v>94.511346742109922</v>
          </cell>
        </row>
        <row r="178">
          <cell r="A178">
            <v>40355</v>
          </cell>
          <cell r="B178">
            <v>16.25</v>
          </cell>
          <cell r="C178">
            <v>19.2</v>
          </cell>
          <cell r="D178">
            <v>64823.83</v>
          </cell>
          <cell r="F178">
            <v>114.05509738550623</v>
          </cell>
          <cell r="G178">
            <v>104.40456769983686</v>
          </cell>
          <cell r="H178">
            <v>94.511346742109922</v>
          </cell>
        </row>
        <row r="179">
          <cell r="A179">
            <v>40356</v>
          </cell>
          <cell r="B179">
            <v>16.25</v>
          </cell>
          <cell r="C179">
            <v>19.2</v>
          </cell>
          <cell r="D179">
            <v>64823.83</v>
          </cell>
          <cell r="F179">
            <v>114.05509738550623</v>
          </cell>
          <cell r="G179">
            <v>104.40456769983686</v>
          </cell>
          <cell r="H179">
            <v>94.511346742109922</v>
          </cell>
        </row>
        <row r="180">
          <cell r="A180">
            <v>40357</v>
          </cell>
          <cell r="B180">
            <v>17</v>
          </cell>
          <cell r="C180">
            <v>19.5</v>
          </cell>
          <cell r="D180">
            <v>64225.22</v>
          </cell>
          <cell r="F180">
            <v>119.31917880329883</v>
          </cell>
          <cell r="G180">
            <v>106.03588907014681</v>
          </cell>
          <cell r="H180">
            <v>93.63858996002385</v>
          </cell>
        </row>
        <row r="181">
          <cell r="A181">
            <v>40358</v>
          </cell>
          <cell r="B181">
            <v>16.600000000000001</v>
          </cell>
          <cell r="C181">
            <v>19.5</v>
          </cell>
          <cell r="D181">
            <v>61977.91</v>
          </cell>
          <cell r="F181">
            <v>116.51166871380944</v>
          </cell>
          <cell r="G181">
            <v>106.03588907014681</v>
          </cell>
          <cell r="H181">
            <v>90.362074292143518</v>
          </cell>
        </row>
        <row r="182">
          <cell r="A182">
            <v>40359</v>
          </cell>
          <cell r="B182">
            <v>16.989999999999998</v>
          </cell>
          <cell r="C182">
            <v>19.989999999999998</v>
          </cell>
          <cell r="D182">
            <v>60935.9</v>
          </cell>
          <cell r="F182">
            <v>119.24899105106157</v>
          </cell>
          <cell r="G182">
            <v>108.70038064165306</v>
          </cell>
          <cell r="H182">
            <v>88.842852604397734</v>
          </cell>
        </row>
        <row r="183">
          <cell r="A183">
            <v>40360</v>
          </cell>
          <cell r="B183">
            <v>16.850000000000001</v>
          </cell>
          <cell r="C183">
            <v>19.940000000000001</v>
          </cell>
          <cell r="D183">
            <v>61236.2</v>
          </cell>
          <cell r="F183">
            <v>118.26636251974033</v>
          </cell>
          <cell r="G183">
            <v>108.42849374660142</v>
          </cell>
          <cell r="H183">
            <v>89.280681677851987</v>
          </cell>
        </row>
        <row r="184">
          <cell r="A184">
            <v>40361</v>
          </cell>
          <cell r="B184">
            <v>17.21</v>
          </cell>
          <cell r="C184">
            <v>19.920000000000002</v>
          </cell>
          <cell r="D184">
            <v>61429.79</v>
          </cell>
          <cell r="F184">
            <v>120.79312160028076</v>
          </cell>
          <cell r="G184">
            <v>108.31973898858077</v>
          </cell>
          <cell r="H184">
            <v>89.562930530099763</v>
          </cell>
        </row>
        <row r="185">
          <cell r="A185">
            <v>40362</v>
          </cell>
          <cell r="B185">
            <v>17.21</v>
          </cell>
          <cell r="C185">
            <v>19.920000000000002</v>
          </cell>
          <cell r="D185">
            <v>61429.79</v>
          </cell>
          <cell r="F185">
            <v>120.79312160028076</v>
          </cell>
          <cell r="G185">
            <v>108.31973898858077</v>
          </cell>
          <cell r="H185">
            <v>89.562930530099763</v>
          </cell>
        </row>
        <row r="186">
          <cell r="A186">
            <v>40363</v>
          </cell>
          <cell r="B186">
            <v>17.21</v>
          </cell>
          <cell r="C186">
            <v>19.920000000000002</v>
          </cell>
          <cell r="D186">
            <v>61429.79</v>
          </cell>
          <cell r="F186">
            <v>120.79312160028076</v>
          </cell>
          <cell r="G186">
            <v>108.31973898858077</v>
          </cell>
          <cell r="H186">
            <v>89.562930530099763</v>
          </cell>
        </row>
        <row r="187">
          <cell r="A187">
            <v>40364</v>
          </cell>
          <cell r="B187">
            <v>17.21</v>
          </cell>
          <cell r="C187">
            <v>19.920000000000002</v>
          </cell>
          <cell r="D187">
            <v>61429.79</v>
          </cell>
          <cell r="F187">
            <v>120.79312160028076</v>
          </cell>
          <cell r="G187">
            <v>108.31973898858077</v>
          </cell>
          <cell r="H187">
            <v>89.562930530099763</v>
          </cell>
        </row>
        <row r="188">
          <cell r="A188">
            <v>40365</v>
          </cell>
          <cell r="B188">
            <v>17.899999999999999</v>
          </cell>
          <cell r="C188">
            <v>20.2</v>
          </cell>
          <cell r="D188">
            <v>62064.75</v>
          </cell>
          <cell r="F188">
            <v>125.63607650464992</v>
          </cell>
          <cell r="G188">
            <v>109.84230560087002</v>
          </cell>
          <cell r="H188">
            <v>90.488684604293923</v>
          </cell>
        </row>
        <row r="189">
          <cell r="A189">
            <v>40366</v>
          </cell>
          <cell r="B189">
            <v>17.2</v>
          </cell>
          <cell r="C189">
            <v>20.82</v>
          </cell>
          <cell r="D189">
            <v>63283.8</v>
          </cell>
          <cell r="F189">
            <v>120.72293384804351</v>
          </cell>
          <cell r="G189">
            <v>113.2137030995106</v>
          </cell>
          <cell r="H189">
            <v>92.266025703176382</v>
          </cell>
        </row>
        <row r="190">
          <cell r="A190">
            <v>40367</v>
          </cell>
          <cell r="B190">
            <v>17</v>
          </cell>
          <cell r="C190">
            <v>21.4</v>
          </cell>
          <cell r="D190">
            <v>63476.32</v>
          </cell>
          <cell r="F190">
            <v>119.31917880329883</v>
          </cell>
          <cell r="G190">
            <v>116.36759108210984</v>
          </cell>
          <cell r="H190">
            <v>92.546714525092497</v>
          </cell>
        </row>
        <row r="191">
          <cell r="A191">
            <v>40368</v>
          </cell>
          <cell r="B191">
            <v>17</v>
          </cell>
          <cell r="C191">
            <v>21.4</v>
          </cell>
          <cell r="D191">
            <v>63476.32</v>
          </cell>
          <cell r="F191">
            <v>119.31917880329883</v>
          </cell>
          <cell r="G191">
            <v>116.36759108210984</v>
          </cell>
          <cell r="H191">
            <v>92.546714525092497</v>
          </cell>
        </row>
        <row r="192">
          <cell r="A192">
            <v>40369</v>
          </cell>
          <cell r="B192">
            <v>17</v>
          </cell>
          <cell r="C192">
            <v>21.4</v>
          </cell>
          <cell r="D192">
            <v>63476.32</v>
          </cell>
          <cell r="F192">
            <v>119.31917880329883</v>
          </cell>
          <cell r="G192">
            <v>116.36759108210984</v>
          </cell>
          <cell r="H192">
            <v>92.546714525092497</v>
          </cell>
        </row>
        <row r="193">
          <cell r="A193">
            <v>40370</v>
          </cell>
          <cell r="B193">
            <v>17</v>
          </cell>
          <cell r="C193">
            <v>21.4</v>
          </cell>
          <cell r="D193">
            <v>63476.32</v>
          </cell>
          <cell r="F193">
            <v>119.31917880329883</v>
          </cell>
          <cell r="G193">
            <v>116.36759108210984</v>
          </cell>
          <cell r="H193">
            <v>92.546714525092497</v>
          </cell>
        </row>
        <row r="194">
          <cell r="A194">
            <v>40371</v>
          </cell>
          <cell r="B194">
            <v>16.8</v>
          </cell>
          <cell r="C194">
            <v>20.2</v>
          </cell>
          <cell r="D194">
            <v>62960.1</v>
          </cell>
          <cell r="F194">
            <v>117.91542375855413</v>
          </cell>
          <cell r="G194">
            <v>109.84230560087002</v>
          </cell>
          <cell r="H194">
            <v>91.794080078543871</v>
          </cell>
        </row>
        <row r="195">
          <cell r="A195">
            <v>40372</v>
          </cell>
          <cell r="B195">
            <v>16.8</v>
          </cell>
          <cell r="C195">
            <v>20.5</v>
          </cell>
          <cell r="D195">
            <v>63685.56</v>
          </cell>
          <cell r="F195">
            <v>117.91542375855413</v>
          </cell>
          <cell r="G195">
            <v>111.47362697118</v>
          </cell>
          <cell r="H195">
            <v>92.851780643406073</v>
          </cell>
        </row>
        <row r="196">
          <cell r="A196">
            <v>40373</v>
          </cell>
          <cell r="B196">
            <v>16.95</v>
          </cell>
          <cell r="C196">
            <v>20</v>
          </cell>
          <cell r="D196">
            <v>63479.46</v>
          </cell>
          <cell r="F196">
            <v>118.96824004211264</v>
          </cell>
          <cell r="G196">
            <v>108.75475802066342</v>
          </cell>
          <cell r="H196">
            <v>92.551292558028393</v>
          </cell>
        </row>
        <row r="197">
          <cell r="A197">
            <v>40374</v>
          </cell>
          <cell r="B197">
            <v>17.010000000000002</v>
          </cell>
          <cell r="C197">
            <v>20</v>
          </cell>
          <cell r="D197">
            <v>63489.37</v>
          </cell>
          <cell r="F197">
            <v>119.38936655553607</v>
          </cell>
          <cell r="G197">
            <v>108.75475802066342</v>
          </cell>
          <cell r="H197">
            <v>92.565741063249604</v>
          </cell>
        </row>
        <row r="198">
          <cell r="A198">
            <v>40375</v>
          </cell>
          <cell r="B198">
            <v>16.899999999999999</v>
          </cell>
          <cell r="C198">
            <v>20</v>
          </cell>
          <cell r="D198">
            <v>62339.27</v>
          </cell>
          <cell r="F198">
            <v>118.61730128092647</v>
          </cell>
          <cell r="G198">
            <v>108.75475802066342</v>
          </cell>
          <cell r="H198">
            <v>90.888927152561195</v>
          </cell>
        </row>
        <row r="199">
          <cell r="A199">
            <v>40376</v>
          </cell>
          <cell r="B199">
            <v>16.899999999999999</v>
          </cell>
          <cell r="C199">
            <v>20</v>
          </cell>
          <cell r="D199">
            <v>62339.27</v>
          </cell>
          <cell r="F199">
            <v>118.61730128092647</v>
          </cell>
          <cell r="G199">
            <v>108.75475802066342</v>
          </cell>
          <cell r="H199">
            <v>90.888927152561195</v>
          </cell>
        </row>
        <row r="200">
          <cell r="A200">
            <v>40377</v>
          </cell>
          <cell r="B200">
            <v>16.899999999999999</v>
          </cell>
          <cell r="C200">
            <v>20</v>
          </cell>
          <cell r="D200">
            <v>62339.27</v>
          </cell>
          <cell r="F200">
            <v>118.61730128092647</v>
          </cell>
          <cell r="G200">
            <v>108.75475802066342</v>
          </cell>
          <cell r="H200">
            <v>90.888927152561195</v>
          </cell>
        </row>
        <row r="201">
          <cell r="A201">
            <v>40378</v>
          </cell>
          <cell r="B201">
            <v>16.850000000000001</v>
          </cell>
          <cell r="C201">
            <v>20.010000000000002</v>
          </cell>
          <cell r="D201">
            <v>63297.04</v>
          </cell>
          <cell r="F201">
            <v>118.26636251974033</v>
          </cell>
          <cell r="G201">
            <v>108.80913539967374</v>
          </cell>
          <cell r="H201">
            <v>92.285329256065268</v>
          </cell>
        </row>
        <row r="202">
          <cell r="A202">
            <v>40379</v>
          </cell>
          <cell r="B202">
            <v>16.899999999999999</v>
          </cell>
          <cell r="C202">
            <v>20</v>
          </cell>
          <cell r="D202">
            <v>64462.5</v>
          </cell>
          <cell r="F202">
            <v>118.61730128092647</v>
          </cell>
          <cell r="G202">
            <v>108.75475802066342</v>
          </cell>
          <cell r="H202">
            <v>93.984537620860436</v>
          </cell>
        </row>
        <row r="203">
          <cell r="A203">
            <v>40380</v>
          </cell>
          <cell r="B203">
            <v>16.95</v>
          </cell>
          <cell r="C203">
            <v>19.82</v>
          </cell>
          <cell r="D203">
            <v>64476.84</v>
          </cell>
          <cell r="F203">
            <v>118.96824004211264</v>
          </cell>
          <cell r="G203">
            <v>107.77596519847744</v>
          </cell>
          <cell r="H203">
            <v>94.005444943249145</v>
          </cell>
        </row>
        <row r="204">
          <cell r="A204">
            <v>40381</v>
          </cell>
          <cell r="B204">
            <v>17.100000000000001</v>
          </cell>
          <cell r="C204">
            <v>20.190000000000001</v>
          </cell>
          <cell r="D204">
            <v>65748.100000000006</v>
          </cell>
          <cell r="F204">
            <v>120.02105632567117</v>
          </cell>
          <cell r="G204">
            <v>109.78792822185972</v>
          </cell>
          <cell r="H204">
            <v>95.858906774482747</v>
          </cell>
        </row>
        <row r="205">
          <cell r="A205">
            <v>40382</v>
          </cell>
          <cell r="B205">
            <v>16.95</v>
          </cell>
          <cell r="C205">
            <v>20.02</v>
          </cell>
          <cell r="D205">
            <v>66322.990000000005</v>
          </cell>
          <cell r="F205">
            <v>118.96824004211264</v>
          </cell>
          <cell r="G205">
            <v>108.86351277868407</v>
          </cell>
          <cell r="H205">
            <v>96.697080454263343</v>
          </cell>
        </row>
        <row r="206">
          <cell r="A206">
            <v>40383</v>
          </cell>
          <cell r="B206">
            <v>16.95</v>
          </cell>
          <cell r="C206">
            <v>20.02</v>
          </cell>
          <cell r="D206">
            <v>66322.990000000005</v>
          </cell>
          <cell r="F206">
            <v>118.96824004211264</v>
          </cell>
          <cell r="G206">
            <v>108.86351277868407</v>
          </cell>
          <cell r="H206">
            <v>96.697080454263343</v>
          </cell>
        </row>
        <row r="207">
          <cell r="A207">
            <v>40384</v>
          </cell>
          <cell r="B207">
            <v>16.95</v>
          </cell>
          <cell r="C207">
            <v>20.02</v>
          </cell>
          <cell r="D207">
            <v>66322.990000000005</v>
          </cell>
          <cell r="F207">
            <v>118.96824004211264</v>
          </cell>
          <cell r="G207">
            <v>108.86351277868407</v>
          </cell>
          <cell r="H207">
            <v>96.697080454263343</v>
          </cell>
        </row>
        <row r="208">
          <cell r="A208">
            <v>40385</v>
          </cell>
          <cell r="B208">
            <v>16.75</v>
          </cell>
          <cell r="C208">
            <v>20.05</v>
          </cell>
          <cell r="D208">
            <v>66443.259999999995</v>
          </cell>
          <cell r="F208">
            <v>117.56448499736796</v>
          </cell>
          <cell r="G208">
            <v>109.02664491571505</v>
          </cell>
          <cell r="H208">
            <v>96.87243077948591</v>
          </cell>
        </row>
        <row r="209">
          <cell r="A209">
            <v>40386</v>
          </cell>
          <cell r="B209">
            <v>16.8</v>
          </cell>
          <cell r="C209">
            <v>20.14</v>
          </cell>
          <cell r="D209">
            <v>66674.44</v>
          </cell>
          <cell r="F209">
            <v>117.91542375855413</v>
          </cell>
          <cell r="G209">
            <v>109.51604132680805</v>
          </cell>
          <cell r="H209">
            <v>97.209484809459795</v>
          </cell>
        </row>
        <row r="210">
          <cell r="A210">
            <v>40387</v>
          </cell>
          <cell r="B210">
            <v>16.45</v>
          </cell>
          <cell r="C210">
            <v>19.850000000000001</v>
          </cell>
          <cell r="D210">
            <v>66808.25</v>
          </cell>
          <cell r="F210">
            <v>115.45885243025091</v>
          </cell>
          <cell r="G210">
            <v>107.93909733550844</v>
          </cell>
          <cell r="H210">
            <v>97.404576079253033</v>
          </cell>
        </row>
        <row r="211">
          <cell r="A211">
            <v>40388</v>
          </cell>
          <cell r="B211">
            <v>16.45</v>
          </cell>
          <cell r="C211">
            <v>20.04</v>
          </cell>
          <cell r="D211">
            <v>66953.83</v>
          </cell>
          <cell r="F211">
            <v>115.45885243025091</v>
          </cell>
          <cell r="G211">
            <v>108.97226753670472</v>
          </cell>
          <cell r="H211">
            <v>97.616827682694492</v>
          </cell>
        </row>
        <row r="212">
          <cell r="A212">
            <v>40389</v>
          </cell>
          <cell r="B212">
            <v>16.91</v>
          </cell>
          <cell r="C212">
            <v>20.399999999999999</v>
          </cell>
          <cell r="D212">
            <v>67515.399999999994</v>
          </cell>
          <cell r="F212">
            <v>118.6874890331637</v>
          </cell>
          <cell r="G212">
            <v>110.92985318107667</v>
          </cell>
          <cell r="H212">
            <v>98.435581171804373</v>
          </cell>
        </row>
        <row r="213">
          <cell r="A213">
            <v>40390</v>
          </cell>
          <cell r="B213">
            <v>16.91</v>
          </cell>
          <cell r="C213">
            <v>20.399999999999999</v>
          </cell>
          <cell r="D213">
            <v>67515.399999999994</v>
          </cell>
          <cell r="F213">
            <v>118.6874890331637</v>
          </cell>
          <cell r="G213">
            <v>110.92985318107667</v>
          </cell>
          <cell r="H213">
            <v>98.435581171804373</v>
          </cell>
        </row>
        <row r="214">
          <cell r="A214">
            <v>40391</v>
          </cell>
          <cell r="B214">
            <v>16.91</v>
          </cell>
          <cell r="C214">
            <v>20.399999999999999</v>
          </cell>
          <cell r="D214">
            <v>67515.399999999994</v>
          </cell>
          <cell r="F214">
            <v>118.6874890331637</v>
          </cell>
          <cell r="G214">
            <v>110.92985318107667</v>
          </cell>
          <cell r="H214">
            <v>98.435581171804373</v>
          </cell>
        </row>
        <row r="215">
          <cell r="A215">
            <v>40392</v>
          </cell>
          <cell r="B215">
            <v>16.95</v>
          </cell>
          <cell r="C215">
            <v>20.149999999999999</v>
          </cell>
          <cell r="D215">
            <v>68517.460000000006</v>
          </cell>
          <cell r="F215">
            <v>118.96824004211264</v>
          </cell>
          <cell r="G215">
            <v>109.57041870581835</v>
          </cell>
          <cell r="H215">
            <v>99.896556867260813</v>
          </cell>
        </row>
        <row r="216">
          <cell r="A216">
            <v>40393</v>
          </cell>
          <cell r="B216">
            <v>16.8</v>
          </cell>
          <cell r="C216">
            <v>20.2</v>
          </cell>
          <cell r="D216">
            <v>67997.36</v>
          </cell>
          <cell r="F216">
            <v>117.91542375855413</v>
          </cell>
          <cell r="G216">
            <v>109.84230560087002</v>
          </cell>
          <cell r="H216">
            <v>99.138265488294593</v>
          </cell>
        </row>
        <row r="217">
          <cell r="A217">
            <v>40394</v>
          </cell>
          <cell r="B217">
            <v>17.079999999999998</v>
          </cell>
          <cell r="C217">
            <v>19.899999999999999</v>
          </cell>
          <cell r="D217">
            <v>68272</v>
          </cell>
          <cell r="F217">
            <v>119.88068082119669</v>
          </cell>
          <cell r="G217">
            <v>108.21098423056009</v>
          </cell>
          <cell r="H217">
            <v>99.538682993234559</v>
          </cell>
        </row>
        <row r="218">
          <cell r="A218">
            <v>40395</v>
          </cell>
          <cell r="B218">
            <v>16.95</v>
          </cell>
          <cell r="C218">
            <v>20.25</v>
          </cell>
          <cell r="D218">
            <v>68411.72</v>
          </cell>
          <cell r="F218">
            <v>118.96824004211264</v>
          </cell>
          <cell r="G218">
            <v>110.11419249592169</v>
          </cell>
          <cell r="H218">
            <v>99.742390879158734</v>
          </cell>
        </row>
        <row r="219">
          <cell r="A219">
            <v>40396</v>
          </cell>
          <cell r="B219">
            <v>16.78</v>
          </cell>
          <cell r="C219">
            <v>20.02</v>
          </cell>
          <cell r="D219">
            <v>68094.759999999995</v>
          </cell>
          <cell r="F219">
            <v>117.77504825407968</v>
          </cell>
          <cell r="G219">
            <v>108.86351277868407</v>
          </cell>
          <cell r="H219">
            <v>99.280271987643374</v>
          </cell>
        </row>
        <row r="220">
          <cell r="A220">
            <v>40397</v>
          </cell>
          <cell r="B220">
            <v>16.78</v>
          </cell>
          <cell r="C220">
            <v>20.02</v>
          </cell>
          <cell r="D220">
            <v>68094.759999999995</v>
          </cell>
          <cell r="F220">
            <v>117.77504825407968</v>
          </cell>
          <cell r="G220">
            <v>108.86351277868407</v>
          </cell>
          <cell r="H220">
            <v>99.280271987643374</v>
          </cell>
        </row>
        <row r="221">
          <cell r="A221">
            <v>40398</v>
          </cell>
          <cell r="B221">
            <v>16.78</v>
          </cell>
          <cell r="C221">
            <v>20.02</v>
          </cell>
          <cell r="D221">
            <v>68094.759999999995</v>
          </cell>
          <cell r="F221">
            <v>117.77504825407968</v>
          </cell>
          <cell r="G221">
            <v>108.86351277868407</v>
          </cell>
          <cell r="H221">
            <v>99.280271987643374</v>
          </cell>
        </row>
        <row r="222">
          <cell r="A222">
            <v>40399</v>
          </cell>
          <cell r="B222">
            <v>16.52</v>
          </cell>
          <cell r="C222">
            <v>20.399999999999999</v>
          </cell>
          <cell r="D222">
            <v>67862.28</v>
          </cell>
          <cell r="F222">
            <v>115.95016669591156</v>
          </cell>
          <cell r="G222">
            <v>110.92985318107667</v>
          </cell>
          <cell r="H222">
            <v>98.941322593715171</v>
          </cell>
        </row>
        <row r="223">
          <cell r="A223">
            <v>40400</v>
          </cell>
          <cell r="B223">
            <v>16.5</v>
          </cell>
          <cell r="C223">
            <v>20.22</v>
          </cell>
          <cell r="D223">
            <v>67223.23</v>
          </cell>
          <cell r="F223">
            <v>115.80979119143709</v>
          </cell>
          <cell r="G223">
            <v>109.95106035889069</v>
          </cell>
          <cell r="H223">
            <v>98.009605412926177</v>
          </cell>
        </row>
        <row r="224">
          <cell r="A224">
            <v>40401</v>
          </cell>
          <cell r="B224">
            <v>16</v>
          </cell>
          <cell r="C224">
            <v>20.13</v>
          </cell>
          <cell r="D224">
            <v>65790.289999999994</v>
          </cell>
          <cell r="F224">
            <v>112.30040357957536</v>
          </cell>
          <cell r="G224">
            <v>109.4616639477977</v>
          </cell>
          <cell r="H224">
            <v>95.920418624662659</v>
          </cell>
        </row>
        <row r="225">
          <cell r="A225">
            <v>40402</v>
          </cell>
          <cell r="B225">
            <v>16.34</v>
          </cell>
          <cell r="C225">
            <v>20.39</v>
          </cell>
          <cell r="D225">
            <v>65966.17</v>
          </cell>
          <cell r="F225">
            <v>114.68678715564134</v>
          </cell>
          <cell r="G225">
            <v>110.87547580206633</v>
          </cell>
          <cell r="H225">
            <v>96.176846787963143</v>
          </cell>
        </row>
        <row r="226">
          <cell r="A226">
            <v>40403</v>
          </cell>
          <cell r="B226">
            <v>15.8</v>
          </cell>
          <cell r="C226">
            <v>20.45</v>
          </cell>
          <cell r="D226">
            <v>66264.429999999993</v>
          </cell>
          <cell r="F226">
            <v>110.89664853483067</v>
          </cell>
          <cell r="G226">
            <v>111.20174007612833</v>
          </cell>
          <cell r="H226">
            <v>96.611701597981337</v>
          </cell>
        </row>
        <row r="227">
          <cell r="A227">
            <v>40404</v>
          </cell>
          <cell r="B227">
            <v>15.8</v>
          </cell>
          <cell r="C227">
            <v>20.45</v>
          </cell>
          <cell r="D227">
            <v>66264.429999999993</v>
          </cell>
          <cell r="F227">
            <v>110.89664853483067</v>
          </cell>
          <cell r="G227">
            <v>111.20174007612833</v>
          </cell>
          <cell r="H227">
            <v>96.611701597981337</v>
          </cell>
        </row>
        <row r="228">
          <cell r="A228">
            <v>40405</v>
          </cell>
          <cell r="B228">
            <v>15.8</v>
          </cell>
          <cell r="C228">
            <v>20.45</v>
          </cell>
          <cell r="D228">
            <v>66264.429999999993</v>
          </cell>
          <cell r="F228">
            <v>110.89664853483067</v>
          </cell>
          <cell r="G228">
            <v>111.20174007612833</v>
          </cell>
          <cell r="H228">
            <v>96.611701597981337</v>
          </cell>
        </row>
        <row r="229">
          <cell r="A229">
            <v>40406</v>
          </cell>
          <cell r="B229">
            <v>15.77</v>
          </cell>
          <cell r="C229">
            <v>20.11</v>
          </cell>
          <cell r="D229">
            <v>66701.89</v>
          </cell>
          <cell r="F229">
            <v>110.68608527811897</v>
          </cell>
          <cell r="G229">
            <v>109.35290918977705</v>
          </cell>
          <cell r="H229">
            <v>97.249506148341965</v>
          </cell>
        </row>
        <row r="230">
          <cell r="A230">
            <v>40407</v>
          </cell>
          <cell r="B230">
            <v>16.3</v>
          </cell>
          <cell r="C230">
            <v>20.350000000000001</v>
          </cell>
          <cell r="D230">
            <v>67583.77</v>
          </cell>
          <cell r="F230">
            <v>114.4060361466924</v>
          </cell>
          <cell r="G230">
            <v>110.65796628602502</v>
          </cell>
          <cell r="H230">
            <v>98.535262736080341</v>
          </cell>
        </row>
        <row r="231">
          <cell r="A231">
            <v>40408</v>
          </cell>
          <cell r="B231">
            <v>16.8</v>
          </cell>
          <cell r="C231">
            <v>21.08</v>
          </cell>
          <cell r="D231">
            <v>67638.38</v>
          </cell>
          <cell r="F231">
            <v>117.91542375855413</v>
          </cell>
          <cell r="G231">
            <v>114.62751495377921</v>
          </cell>
          <cell r="H231">
            <v>98.614882601885654</v>
          </cell>
        </row>
        <row r="232">
          <cell r="A232">
            <v>40409</v>
          </cell>
          <cell r="B232">
            <v>17.899999999999999</v>
          </cell>
          <cell r="C232">
            <v>23.17</v>
          </cell>
          <cell r="D232">
            <v>66887.13</v>
          </cell>
          <cell r="F232">
            <v>125.63607650464992</v>
          </cell>
          <cell r="G232">
            <v>125.99238716693857</v>
          </cell>
          <cell r="H232">
            <v>97.51958093211374</v>
          </cell>
        </row>
        <row r="233">
          <cell r="A233">
            <v>40410</v>
          </cell>
          <cell r="B233">
            <v>18.350000000000001</v>
          </cell>
          <cell r="C233">
            <v>22.3</v>
          </cell>
          <cell r="D233">
            <v>66677.16</v>
          </cell>
          <cell r="F233">
            <v>128.7945253553255</v>
          </cell>
          <cell r="G233">
            <v>121.2615551930397</v>
          </cell>
          <cell r="H233">
            <v>97.213450494041197</v>
          </cell>
        </row>
        <row r="234">
          <cell r="A234">
            <v>40411</v>
          </cell>
          <cell r="B234">
            <v>18.350000000000001</v>
          </cell>
          <cell r="C234">
            <v>22.3</v>
          </cell>
          <cell r="D234">
            <v>66677.16</v>
          </cell>
          <cell r="F234">
            <v>128.7945253553255</v>
          </cell>
          <cell r="G234">
            <v>121.2615551930397</v>
          </cell>
          <cell r="H234">
            <v>97.213450494041197</v>
          </cell>
        </row>
        <row r="235">
          <cell r="A235">
            <v>40412</v>
          </cell>
          <cell r="B235">
            <v>18.350000000000001</v>
          </cell>
          <cell r="C235">
            <v>22.3</v>
          </cell>
          <cell r="D235">
            <v>66677.16</v>
          </cell>
          <cell r="F235">
            <v>128.7945253553255</v>
          </cell>
          <cell r="G235">
            <v>121.2615551930397</v>
          </cell>
          <cell r="H235">
            <v>97.213450494041197</v>
          </cell>
        </row>
        <row r="236">
          <cell r="A236">
            <v>40413</v>
          </cell>
          <cell r="B236">
            <v>18.399999999999999</v>
          </cell>
          <cell r="C236">
            <v>21.8</v>
          </cell>
          <cell r="D236">
            <v>65981.86</v>
          </cell>
          <cell r="F236">
            <v>129.14546411651165</v>
          </cell>
          <cell r="G236">
            <v>118.5426862425231</v>
          </cell>
          <cell r="H236">
            <v>96.199722372919851</v>
          </cell>
        </row>
        <row r="237">
          <cell r="A237">
            <v>40414</v>
          </cell>
          <cell r="B237">
            <v>18.25</v>
          </cell>
          <cell r="C237">
            <v>20.75</v>
          </cell>
          <cell r="D237">
            <v>65156.36</v>
          </cell>
          <cell r="F237">
            <v>128.09264783295316</v>
          </cell>
          <cell r="G237">
            <v>112.83306144643828</v>
          </cell>
          <cell r="H237">
            <v>94.996166261909266</v>
          </cell>
        </row>
        <row r="238">
          <cell r="A238">
            <v>40415</v>
          </cell>
          <cell r="B238">
            <v>18.45</v>
          </cell>
          <cell r="C238">
            <v>21.6</v>
          </cell>
          <cell r="D238">
            <v>64803.43</v>
          </cell>
          <cell r="F238">
            <v>129.49640287769785</v>
          </cell>
          <cell r="G238">
            <v>117.45513866231647</v>
          </cell>
          <cell r="H238">
            <v>94.481604107749391</v>
          </cell>
        </row>
        <row r="239">
          <cell r="A239">
            <v>40416</v>
          </cell>
          <cell r="B239">
            <v>18.21</v>
          </cell>
          <cell r="C239">
            <v>21.7</v>
          </cell>
          <cell r="D239">
            <v>63867.48</v>
          </cell>
          <cell r="F239">
            <v>127.81189682400422</v>
          </cell>
          <cell r="G239">
            <v>117.99891245241977</v>
          </cell>
          <cell r="H239">
            <v>93.117014959232918</v>
          </cell>
        </row>
        <row r="240">
          <cell r="A240">
            <v>40417</v>
          </cell>
          <cell r="B240">
            <v>18</v>
          </cell>
          <cell r="C240">
            <v>21.7</v>
          </cell>
          <cell r="D240">
            <v>65585.14</v>
          </cell>
          <cell r="F240">
            <v>126.33795402702228</v>
          </cell>
          <cell r="G240">
            <v>117.99891245241977</v>
          </cell>
          <cell r="H240">
            <v>95.621315612943931</v>
          </cell>
        </row>
        <row r="241">
          <cell r="A241">
            <v>40418</v>
          </cell>
          <cell r="B241">
            <v>18</v>
          </cell>
          <cell r="C241">
            <v>21.7</v>
          </cell>
          <cell r="D241">
            <v>65585.14</v>
          </cell>
          <cell r="F241">
            <v>126.33795402702228</v>
          </cell>
          <cell r="G241">
            <v>117.99891245241977</v>
          </cell>
          <cell r="H241">
            <v>95.621315612943931</v>
          </cell>
        </row>
        <row r="242">
          <cell r="A242">
            <v>40419</v>
          </cell>
          <cell r="B242">
            <v>18</v>
          </cell>
          <cell r="C242">
            <v>21.7</v>
          </cell>
          <cell r="D242">
            <v>65585.14</v>
          </cell>
          <cell r="F242">
            <v>126.33795402702228</v>
          </cell>
          <cell r="G242">
            <v>117.99891245241977</v>
          </cell>
          <cell r="H242">
            <v>95.621315612943931</v>
          </cell>
        </row>
        <row r="243">
          <cell r="A243">
            <v>40420</v>
          </cell>
          <cell r="B243">
            <v>19.2</v>
          </cell>
          <cell r="C243">
            <v>21.1</v>
          </cell>
          <cell r="D243">
            <v>64260.79</v>
          </cell>
          <cell r="F243">
            <v>134.76048429549044</v>
          </cell>
          <cell r="G243">
            <v>114.73626971179989</v>
          </cell>
          <cell r="H243">
            <v>93.690450033759348</v>
          </cell>
        </row>
        <row r="244">
          <cell r="A244">
            <v>40421</v>
          </cell>
          <cell r="B244">
            <v>18.399999999999999</v>
          </cell>
          <cell r="C244">
            <v>21.6</v>
          </cell>
          <cell r="D244">
            <v>65145.45</v>
          </cell>
          <cell r="F244">
            <v>129.14546411651165</v>
          </cell>
          <cell r="G244">
            <v>117.45513866231647</v>
          </cell>
          <cell r="H244">
            <v>94.980259784415466</v>
          </cell>
        </row>
        <row r="245">
          <cell r="A245">
            <v>40422</v>
          </cell>
          <cell r="B245">
            <v>18</v>
          </cell>
          <cell r="C245">
            <v>21.65</v>
          </cell>
          <cell r="D245">
            <v>67072.53</v>
          </cell>
          <cell r="F245">
            <v>126.33795402702228</v>
          </cell>
          <cell r="G245">
            <v>117.72702555736811</v>
          </cell>
          <cell r="H245">
            <v>97.789888991449132</v>
          </cell>
        </row>
        <row r="246">
          <cell r="A246">
            <v>40423</v>
          </cell>
          <cell r="B246">
            <v>18.399999999999999</v>
          </cell>
          <cell r="C246">
            <v>22</v>
          </cell>
          <cell r="D246">
            <v>66808.08</v>
          </cell>
          <cell r="F246">
            <v>129.14546411651165</v>
          </cell>
          <cell r="G246">
            <v>119.63023382272975</v>
          </cell>
          <cell r="H246">
            <v>97.404328223966701</v>
          </cell>
        </row>
        <row r="247">
          <cell r="A247">
            <v>40424</v>
          </cell>
          <cell r="B247">
            <v>19.2</v>
          </cell>
          <cell r="C247">
            <v>21.4</v>
          </cell>
          <cell r="D247">
            <v>66678.62</v>
          </cell>
          <cell r="F247">
            <v>134.76048429549044</v>
          </cell>
          <cell r="G247">
            <v>116.36759108210984</v>
          </cell>
          <cell r="H247">
            <v>97.215579133559132</v>
          </cell>
        </row>
        <row r="248">
          <cell r="A248">
            <v>40425</v>
          </cell>
          <cell r="B248">
            <v>19.2</v>
          </cell>
          <cell r="C248">
            <v>21.4</v>
          </cell>
          <cell r="D248">
            <v>66678.62</v>
          </cell>
          <cell r="F248">
            <v>134.76048429549044</v>
          </cell>
          <cell r="G248">
            <v>116.36759108210984</v>
          </cell>
          <cell r="H248">
            <v>97.215579133559132</v>
          </cell>
        </row>
        <row r="249">
          <cell r="A249">
            <v>40426</v>
          </cell>
          <cell r="B249">
            <v>19.2</v>
          </cell>
          <cell r="C249">
            <v>21.4</v>
          </cell>
          <cell r="D249">
            <v>66678.62</v>
          </cell>
          <cell r="F249">
            <v>134.76048429549044</v>
          </cell>
          <cell r="G249">
            <v>116.36759108210984</v>
          </cell>
          <cell r="H249">
            <v>97.215579133559132</v>
          </cell>
        </row>
        <row r="250">
          <cell r="A250">
            <v>40427</v>
          </cell>
          <cell r="B250">
            <v>19.2</v>
          </cell>
          <cell r="C250">
            <v>21.4</v>
          </cell>
          <cell r="D250">
            <v>66678.62</v>
          </cell>
          <cell r="F250">
            <v>134.76048429549044</v>
          </cell>
          <cell r="G250">
            <v>116.36759108210984</v>
          </cell>
          <cell r="H250">
            <v>97.215579133559132</v>
          </cell>
        </row>
        <row r="251">
          <cell r="A251">
            <v>40428</v>
          </cell>
          <cell r="B251">
            <v>19.2</v>
          </cell>
          <cell r="C251">
            <v>21.9</v>
          </cell>
          <cell r="D251">
            <v>66747.3</v>
          </cell>
          <cell r="F251">
            <v>134.76048429549044</v>
          </cell>
          <cell r="G251">
            <v>119.08646003262642</v>
          </cell>
          <cell r="H251">
            <v>97.315712669239602</v>
          </cell>
        </row>
        <row r="252">
          <cell r="A252">
            <v>40429</v>
          </cell>
          <cell r="B252">
            <v>19.79</v>
          </cell>
          <cell r="C252">
            <v>21.85</v>
          </cell>
          <cell r="D252">
            <v>66407.28</v>
          </cell>
          <cell r="F252">
            <v>138.90156167748725</v>
          </cell>
          <cell r="G252">
            <v>118.81457313757477</v>
          </cell>
          <cell r="H252">
            <v>96.819972937118663</v>
          </cell>
        </row>
        <row r="253">
          <cell r="A253">
            <v>40430</v>
          </cell>
          <cell r="B253">
            <v>20.149999999999999</v>
          </cell>
          <cell r="C253">
            <v>21.8</v>
          </cell>
          <cell r="D253">
            <v>66624.100000000006</v>
          </cell>
          <cell r="F253">
            <v>141.42832075802772</v>
          </cell>
          <cell r="G253">
            <v>118.5426862425231</v>
          </cell>
          <cell r="H253">
            <v>97.136090485258379</v>
          </cell>
        </row>
        <row r="254">
          <cell r="A254">
            <v>40431</v>
          </cell>
          <cell r="B254">
            <v>20.3</v>
          </cell>
          <cell r="C254">
            <v>21.79</v>
          </cell>
          <cell r="D254">
            <v>66806.789999999994</v>
          </cell>
          <cell r="F254">
            <v>142.48113704158624</v>
          </cell>
          <cell r="G254">
            <v>118.48830886351278</v>
          </cell>
          <cell r="H254">
            <v>97.402447439735056</v>
          </cell>
        </row>
        <row r="255">
          <cell r="A255">
            <v>40432</v>
          </cell>
          <cell r="B255">
            <v>20.3</v>
          </cell>
          <cell r="C255">
            <v>21.79</v>
          </cell>
          <cell r="D255">
            <v>66806.789999999994</v>
          </cell>
          <cell r="F255">
            <v>142.48113704158624</v>
          </cell>
          <cell r="G255">
            <v>118.48830886351278</v>
          </cell>
          <cell r="H255">
            <v>97.402447439735056</v>
          </cell>
        </row>
        <row r="256">
          <cell r="A256">
            <v>40433</v>
          </cell>
          <cell r="B256">
            <v>20.3</v>
          </cell>
          <cell r="C256">
            <v>21.79</v>
          </cell>
          <cell r="D256">
            <v>66806.789999999994</v>
          </cell>
          <cell r="F256">
            <v>142.48113704158624</v>
          </cell>
          <cell r="G256">
            <v>118.48830886351278</v>
          </cell>
          <cell r="H256">
            <v>97.402447439735056</v>
          </cell>
        </row>
        <row r="257">
          <cell r="A257">
            <v>40434</v>
          </cell>
          <cell r="B257">
            <v>20.48</v>
          </cell>
          <cell r="C257">
            <v>21.82</v>
          </cell>
          <cell r="D257">
            <v>68030.58</v>
          </cell>
          <cell r="F257">
            <v>143.74451658185649</v>
          </cell>
          <cell r="G257">
            <v>118.65144100054377</v>
          </cell>
          <cell r="H257">
            <v>99.18669932718953</v>
          </cell>
        </row>
        <row r="258">
          <cell r="A258">
            <v>40435</v>
          </cell>
          <cell r="B258">
            <v>20.3</v>
          </cell>
          <cell r="C258">
            <v>21.81</v>
          </cell>
          <cell r="D258">
            <v>67691.850000000006</v>
          </cell>
          <cell r="F258">
            <v>142.48113704158624</v>
          </cell>
          <cell r="G258">
            <v>118.59706362153344</v>
          </cell>
          <cell r="H258">
            <v>98.692840379300236</v>
          </cell>
        </row>
        <row r="259">
          <cell r="A259">
            <v>40436</v>
          </cell>
          <cell r="B259">
            <v>20.5</v>
          </cell>
          <cell r="C259">
            <v>21.95</v>
          </cell>
          <cell r="D259">
            <v>68106.850000000006</v>
          </cell>
          <cell r="F259">
            <v>143.88489208633092</v>
          </cell>
          <cell r="G259">
            <v>119.35834692767808</v>
          </cell>
          <cell r="H259">
            <v>99.297898872418827</v>
          </cell>
        </row>
        <row r="260">
          <cell r="A260">
            <v>40437</v>
          </cell>
          <cell r="B260">
            <v>20.7</v>
          </cell>
          <cell r="C260">
            <v>22</v>
          </cell>
          <cell r="D260">
            <v>67662.990000000005</v>
          </cell>
          <cell r="F260">
            <v>145.28864713107561</v>
          </cell>
          <cell r="G260">
            <v>119.63023382272975</v>
          </cell>
          <cell r="H260">
            <v>98.650763299513727</v>
          </cell>
        </row>
        <row r="261">
          <cell r="A261">
            <v>40438</v>
          </cell>
          <cell r="B261">
            <v>20.96</v>
          </cell>
          <cell r="C261">
            <v>22.4</v>
          </cell>
          <cell r="D261">
            <v>67089.119999999995</v>
          </cell>
          <cell r="F261">
            <v>147.11352868924371</v>
          </cell>
          <cell r="G261">
            <v>121.805328983143</v>
          </cell>
          <cell r="H261">
            <v>97.81407675145114</v>
          </cell>
        </row>
        <row r="262">
          <cell r="A262">
            <v>40439</v>
          </cell>
          <cell r="B262">
            <v>20.96</v>
          </cell>
          <cell r="C262">
            <v>22.4</v>
          </cell>
          <cell r="D262">
            <v>67089.119999999995</v>
          </cell>
          <cell r="F262">
            <v>147.11352868924371</v>
          </cell>
          <cell r="G262">
            <v>121.805328983143</v>
          </cell>
          <cell r="H262">
            <v>97.81407675145114</v>
          </cell>
        </row>
        <row r="263">
          <cell r="A263">
            <v>40440</v>
          </cell>
          <cell r="B263">
            <v>20.96</v>
          </cell>
          <cell r="C263">
            <v>22.4</v>
          </cell>
          <cell r="D263">
            <v>67089.119999999995</v>
          </cell>
          <cell r="F263">
            <v>147.11352868924371</v>
          </cell>
          <cell r="G263">
            <v>121.805328983143</v>
          </cell>
          <cell r="H263">
            <v>97.81407675145114</v>
          </cell>
        </row>
        <row r="264">
          <cell r="A264">
            <v>40441</v>
          </cell>
          <cell r="B264">
            <v>20.87</v>
          </cell>
          <cell r="C264">
            <v>22.69</v>
          </cell>
          <cell r="D264">
            <v>68190.460000000006</v>
          </cell>
          <cell r="F264">
            <v>146.48183891910861</v>
          </cell>
          <cell r="G264">
            <v>123.38227297444264</v>
          </cell>
          <cell r="H264">
            <v>99.419799934128818</v>
          </cell>
        </row>
        <row r="265">
          <cell r="A265">
            <v>40442</v>
          </cell>
          <cell r="B265">
            <v>20.2</v>
          </cell>
          <cell r="C265">
            <v>22.05</v>
          </cell>
          <cell r="D265">
            <v>67719.13</v>
          </cell>
          <cell r="F265">
            <v>141.77925951921389</v>
          </cell>
          <cell r="G265">
            <v>119.90212071778141</v>
          </cell>
          <cell r="H265">
            <v>98.732613862896073</v>
          </cell>
        </row>
        <row r="266">
          <cell r="A266">
            <v>40443</v>
          </cell>
          <cell r="B266">
            <v>19.7</v>
          </cell>
          <cell r="C266">
            <v>21.8</v>
          </cell>
          <cell r="D266">
            <v>68325.179999999993</v>
          </cell>
          <cell r="F266">
            <v>138.26987190735215</v>
          </cell>
          <cell r="G266">
            <v>118.5426862425231</v>
          </cell>
          <cell r="H266">
            <v>99.616217958690086</v>
          </cell>
        </row>
        <row r="267">
          <cell r="A267">
            <v>40444</v>
          </cell>
          <cell r="B267">
            <v>19.7</v>
          </cell>
          <cell r="C267">
            <v>21.77</v>
          </cell>
          <cell r="D267">
            <v>68794.320000000007</v>
          </cell>
          <cell r="F267">
            <v>138.26987190735215</v>
          </cell>
          <cell r="G267">
            <v>118.3795541054921</v>
          </cell>
          <cell r="H267">
            <v>100.3002110706459</v>
          </cell>
        </row>
        <row r="268">
          <cell r="A268">
            <v>40445</v>
          </cell>
          <cell r="B268">
            <v>19.5</v>
          </cell>
          <cell r="C268">
            <v>21.2</v>
          </cell>
          <cell r="D268">
            <v>68196.479999999996</v>
          </cell>
          <cell r="F268">
            <v>136.86611686260747</v>
          </cell>
          <cell r="G268">
            <v>115.28004350190319</v>
          </cell>
          <cell r="H268">
            <v>99.428576927209704</v>
          </cell>
        </row>
        <row r="269">
          <cell r="A269">
            <v>40446</v>
          </cell>
          <cell r="B269">
            <v>19.5</v>
          </cell>
          <cell r="C269">
            <v>21.2</v>
          </cell>
          <cell r="D269">
            <v>68196.479999999996</v>
          </cell>
          <cell r="F269">
            <v>136.86611686260747</v>
          </cell>
          <cell r="G269">
            <v>115.28004350190319</v>
          </cell>
          <cell r="H269">
            <v>99.428576927209704</v>
          </cell>
        </row>
        <row r="270">
          <cell r="A270">
            <v>40447</v>
          </cell>
          <cell r="B270">
            <v>19.5</v>
          </cell>
          <cell r="C270">
            <v>21.2</v>
          </cell>
          <cell r="D270">
            <v>68196.479999999996</v>
          </cell>
          <cell r="F270">
            <v>136.86611686260747</v>
          </cell>
          <cell r="G270">
            <v>115.28004350190319</v>
          </cell>
          <cell r="H270">
            <v>99.428576927209704</v>
          </cell>
        </row>
        <row r="271">
          <cell r="A271">
            <v>40448</v>
          </cell>
          <cell r="B271">
            <v>20.29</v>
          </cell>
          <cell r="C271">
            <v>21.35</v>
          </cell>
          <cell r="D271">
            <v>68815.97</v>
          </cell>
          <cell r="F271">
            <v>142.41094928934899</v>
          </cell>
          <cell r="G271">
            <v>116.09570418705819</v>
          </cell>
          <cell r="H271">
            <v>100.33177617034714</v>
          </cell>
        </row>
        <row r="272">
          <cell r="A272">
            <v>40449</v>
          </cell>
          <cell r="B272">
            <v>20.3</v>
          </cell>
          <cell r="C272">
            <v>21.14</v>
          </cell>
          <cell r="D272">
            <v>69227.63</v>
          </cell>
          <cell r="F272">
            <v>142.48113704158624</v>
          </cell>
          <cell r="G272">
            <v>114.95377922784122</v>
          </cell>
          <cell r="H272">
            <v>100.93196503607533</v>
          </cell>
        </row>
        <row r="273">
          <cell r="A273">
            <v>40450</v>
          </cell>
          <cell r="B273">
            <v>20.399999999999999</v>
          </cell>
          <cell r="C273">
            <v>21.3</v>
          </cell>
          <cell r="D273">
            <v>69228.240000000005</v>
          </cell>
          <cell r="F273">
            <v>143.18301456395858</v>
          </cell>
          <cell r="G273">
            <v>115.82381729200652</v>
          </cell>
          <cell r="H273">
            <v>100.93285439916161</v>
          </cell>
        </row>
        <row r="274">
          <cell r="A274">
            <v>40451</v>
          </cell>
          <cell r="B274">
            <v>20.399999999999999</v>
          </cell>
          <cell r="C274">
            <v>21</v>
          </cell>
          <cell r="D274">
            <v>69429.78</v>
          </cell>
          <cell r="F274">
            <v>143.18301456395858</v>
          </cell>
          <cell r="G274">
            <v>114.19249592169658</v>
          </cell>
          <cell r="H274">
            <v>101.22669413097636</v>
          </cell>
        </row>
        <row r="275">
          <cell r="A275">
            <v>40452</v>
          </cell>
          <cell r="B275">
            <v>20.6</v>
          </cell>
          <cell r="C275">
            <v>21.15</v>
          </cell>
          <cell r="D275">
            <v>70229.350000000006</v>
          </cell>
          <cell r="F275">
            <v>144.58676960870329</v>
          </cell>
          <cell r="G275">
            <v>115.00815660685153</v>
          </cell>
          <cell r="H275">
            <v>102.39244502095907</v>
          </cell>
        </row>
        <row r="276">
          <cell r="A276">
            <v>40453</v>
          </cell>
          <cell r="B276">
            <v>20.6</v>
          </cell>
          <cell r="C276">
            <v>21.15</v>
          </cell>
          <cell r="D276">
            <v>70229.350000000006</v>
          </cell>
          <cell r="F276">
            <v>144.58676960870329</v>
          </cell>
          <cell r="G276">
            <v>115.00815660685153</v>
          </cell>
          <cell r="H276">
            <v>102.39244502095907</v>
          </cell>
        </row>
        <row r="277">
          <cell r="A277">
            <v>40454</v>
          </cell>
          <cell r="B277">
            <v>20.6</v>
          </cell>
          <cell r="C277">
            <v>21.15</v>
          </cell>
          <cell r="D277">
            <v>70229.350000000006</v>
          </cell>
          <cell r="F277">
            <v>144.58676960870329</v>
          </cell>
          <cell r="G277">
            <v>115.00815660685153</v>
          </cell>
          <cell r="H277">
            <v>102.39244502095907</v>
          </cell>
        </row>
        <row r="278">
          <cell r="A278">
            <v>40455</v>
          </cell>
          <cell r="B278">
            <v>20.14</v>
          </cell>
          <cell r="C278">
            <v>21.1</v>
          </cell>
          <cell r="D278">
            <v>70384.92</v>
          </cell>
          <cell r="F278">
            <v>141.35813300579051</v>
          </cell>
          <cell r="G278">
            <v>114.73626971179989</v>
          </cell>
          <cell r="H278">
            <v>102.61926176740354</v>
          </cell>
        </row>
        <row r="279">
          <cell r="A279">
            <v>40456</v>
          </cell>
          <cell r="B279">
            <v>19.8</v>
          </cell>
          <cell r="C279">
            <v>21</v>
          </cell>
          <cell r="D279">
            <v>71283.11</v>
          </cell>
          <cell r="F279">
            <v>138.97174942972453</v>
          </cell>
          <cell r="G279">
            <v>114.19249592169658</v>
          </cell>
          <cell r="H279">
            <v>103.9287978829076</v>
          </cell>
        </row>
        <row r="280">
          <cell r="A280">
            <v>40457</v>
          </cell>
          <cell r="B280">
            <v>19.579999999999998</v>
          </cell>
          <cell r="C280">
            <v>21</v>
          </cell>
          <cell r="D280">
            <v>70541.37</v>
          </cell>
          <cell r="F280">
            <v>137.42761888050535</v>
          </cell>
          <cell r="G280">
            <v>114.19249592169658</v>
          </cell>
          <cell r="H280">
            <v>102.84736152944789</v>
          </cell>
        </row>
        <row r="281">
          <cell r="A281">
            <v>40458</v>
          </cell>
          <cell r="B281">
            <v>19.75</v>
          </cell>
          <cell r="C281">
            <v>21</v>
          </cell>
          <cell r="D281">
            <v>69918.399999999994</v>
          </cell>
          <cell r="F281">
            <v>138.62081066853833</v>
          </cell>
          <cell r="G281">
            <v>114.19249592169658</v>
          </cell>
          <cell r="H281">
            <v>101.9390885428019</v>
          </cell>
        </row>
        <row r="282">
          <cell r="A282">
            <v>40459</v>
          </cell>
          <cell r="B282">
            <v>20.46</v>
          </cell>
          <cell r="C282">
            <v>21.01</v>
          </cell>
          <cell r="D282">
            <v>70808.800000000003</v>
          </cell>
          <cell r="F282">
            <v>143.604141077382</v>
          </cell>
          <cell r="G282">
            <v>114.24687330070691</v>
          </cell>
          <cell r="H282">
            <v>103.23726705430261</v>
          </cell>
        </row>
        <row r="283">
          <cell r="A283">
            <v>40460</v>
          </cell>
          <cell r="B283">
            <v>20.46</v>
          </cell>
          <cell r="C283">
            <v>21.01</v>
          </cell>
          <cell r="D283">
            <v>70808.800000000003</v>
          </cell>
          <cell r="F283">
            <v>143.604141077382</v>
          </cell>
          <cell r="G283">
            <v>114.24687330070691</v>
          </cell>
          <cell r="H283">
            <v>103.23726705430261</v>
          </cell>
        </row>
        <row r="284">
          <cell r="A284">
            <v>40461</v>
          </cell>
          <cell r="B284">
            <v>20.46</v>
          </cell>
          <cell r="C284">
            <v>21.01</v>
          </cell>
          <cell r="D284">
            <v>70808.800000000003</v>
          </cell>
          <cell r="F284">
            <v>143.604141077382</v>
          </cell>
          <cell r="G284">
            <v>114.24687330070691</v>
          </cell>
          <cell r="H284">
            <v>103.23726705430261</v>
          </cell>
        </row>
        <row r="285">
          <cell r="A285">
            <v>40462</v>
          </cell>
          <cell r="B285">
            <v>20.49</v>
          </cell>
          <cell r="C285">
            <v>21.53</v>
          </cell>
          <cell r="D285">
            <v>70946.490000000005</v>
          </cell>
          <cell r="F285">
            <v>143.81470433409368</v>
          </cell>
          <cell r="G285">
            <v>117.07449700924415</v>
          </cell>
          <cell r="H285">
            <v>103.43801525651347</v>
          </cell>
        </row>
        <row r="286">
          <cell r="A286">
            <v>40463</v>
          </cell>
          <cell r="B286">
            <v>20.49</v>
          </cell>
          <cell r="C286">
            <v>21.53</v>
          </cell>
          <cell r="D286">
            <v>70946.490000000005</v>
          </cell>
          <cell r="F286">
            <v>143.81470433409368</v>
          </cell>
          <cell r="G286">
            <v>117.07449700924415</v>
          </cell>
          <cell r="H286">
            <v>103.43801525651347</v>
          </cell>
        </row>
        <row r="287">
          <cell r="A287">
            <v>40464</v>
          </cell>
          <cell r="B287">
            <v>20.6</v>
          </cell>
          <cell r="C287">
            <v>21.25</v>
          </cell>
          <cell r="D287">
            <v>71674.899999999994</v>
          </cell>
          <cell r="F287">
            <v>144.58676960870329</v>
          </cell>
          <cell r="G287">
            <v>115.55193039695486</v>
          </cell>
          <cell r="H287">
            <v>104.50001683957973</v>
          </cell>
        </row>
        <row r="288">
          <cell r="A288">
            <v>40465</v>
          </cell>
          <cell r="B288">
            <v>20.079999999999998</v>
          </cell>
          <cell r="C288">
            <v>21</v>
          </cell>
          <cell r="D288">
            <v>71692.289999999994</v>
          </cell>
          <cell r="F288">
            <v>140.93700649236706</v>
          </cell>
          <cell r="G288">
            <v>114.19249592169658</v>
          </cell>
          <cell r="H288">
            <v>104.5253709773998</v>
          </cell>
        </row>
        <row r="289">
          <cell r="A289">
            <v>40466</v>
          </cell>
          <cell r="B289">
            <v>20.350000000000001</v>
          </cell>
          <cell r="C289">
            <v>21</v>
          </cell>
          <cell r="D289">
            <v>71830.179999999993</v>
          </cell>
          <cell r="F289">
            <v>142.83207580277241</v>
          </cell>
          <cell r="G289">
            <v>114.19249592169658</v>
          </cell>
          <cell r="H289">
            <v>104.72641077406517</v>
          </cell>
        </row>
        <row r="290">
          <cell r="A290">
            <v>40467</v>
          </cell>
          <cell r="B290">
            <v>20.350000000000001</v>
          </cell>
          <cell r="C290">
            <v>21</v>
          </cell>
          <cell r="D290">
            <v>71830.179999999993</v>
          </cell>
          <cell r="F290">
            <v>142.83207580277241</v>
          </cell>
          <cell r="G290">
            <v>114.19249592169658</v>
          </cell>
          <cell r="H290">
            <v>104.72641077406517</v>
          </cell>
        </row>
        <row r="291">
          <cell r="A291">
            <v>40468</v>
          </cell>
          <cell r="B291">
            <v>20.350000000000001</v>
          </cell>
          <cell r="C291">
            <v>21</v>
          </cell>
          <cell r="D291">
            <v>71830.179999999993</v>
          </cell>
          <cell r="F291">
            <v>142.83207580277241</v>
          </cell>
          <cell r="G291">
            <v>114.19249592169658</v>
          </cell>
          <cell r="H291">
            <v>104.72641077406517</v>
          </cell>
        </row>
        <row r="292">
          <cell r="A292">
            <v>40469</v>
          </cell>
          <cell r="B292">
            <v>19.87</v>
          </cell>
          <cell r="C292">
            <v>20.99</v>
          </cell>
          <cell r="D292">
            <v>71735.53</v>
          </cell>
          <cell r="F292">
            <v>139.46306369538516</v>
          </cell>
          <cell r="G292">
            <v>114.13811854268623</v>
          </cell>
          <cell r="H292">
            <v>104.58841369846597</v>
          </cell>
        </row>
        <row r="293">
          <cell r="A293">
            <v>40470</v>
          </cell>
          <cell r="B293">
            <v>19.899999999999999</v>
          </cell>
          <cell r="C293">
            <v>21</v>
          </cell>
          <cell r="D293">
            <v>69863.58</v>
          </cell>
          <cell r="F293">
            <v>139.67362695209684</v>
          </cell>
          <cell r="G293">
            <v>114.19249592169658</v>
          </cell>
          <cell r="H293">
            <v>101.85916250281934</v>
          </cell>
        </row>
        <row r="294">
          <cell r="A294">
            <v>40471</v>
          </cell>
          <cell r="B294">
            <v>20.03</v>
          </cell>
          <cell r="C294">
            <v>20.92</v>
          </cell>
          <cell r="D294">
            <v>70404.679999999993</v>
          </cell>
          <cell r="F294">
            <v>140.58606773118092</v>
          </cell>
          <cell r="G294">
            <v>113.75747688961393</v>
          </cell>
          <cell r="H294">
            <v>102.64807129950964</v>
          </cell>
          <cell r="I294">
            <v>0.3695928813019258</v>
          </cell>
          <cell r="J294">
            <v>0.10822809868184402</v>
          </cell>
        </row>
        <row r="295">
          <cell r="I295">
            <v>0.23584024167132744</v>
          </cell>
        </row>
      </sheetData>
      <sheetData sheetId="2">
        <row r="2">
          <cell r="B2" t="str">
            <v>SHL-AU</v>
          </cell>
          <cell r="C2" t="str">
            <v>DGX-US</v>
          </cell>
          <cell r="D2">
            <v>6869</v>
          </cell>
          <cell r="E2">
            <v>4544</v>
          </cell>
          <cell r="F2" t="str">
            <v>LH-US</v>
          </cell>
          <cell r="G2" t="str">
            <v>R01-SG</v>
          </cell>
          <cell r="H2" t="str">
            <v>BRLI-US</v>
          </cell>
          <cell r="I2" t="str">
            <v>GXDX-US</v>
          </cell>
          <cell r="J2" t="str">
            <v>RMD-US</v>
          </cell>
          <cell r="K2" t="str">
            <v>HSP-AU</v>
          </cell>
          <cell r="L2" t="str">
            <v>RDNT-US</v>
          </cell>
          <cell r="M2" t="str">
            <v>HWAY-US</v>
          </cell>
          <cell r="N2" t="str">
            <v>DASA3-BR</v>
          </cell>
          <cell r="O2" t="str">
            <v>FLRY3-BR</v>
          </cell>
          <cell r="Q2" t="str">
            <v>SHL-AU</v>
          </cell>
          <cell r="R2" t="str">
            <v>DGX-US</v>
          </cell>
          <cell r="S2">
            <v>6869</v>
          </cell>
          <cell r="T2">
            <v>4544</v>
          </cell>
          <cell r="U2" t="str">
            <v>LH-US</v>
          </cell>
          <cell r="V2" t="str">
            <v>R01-SG</v>
          </cell>
          <cell r="W2" t="str">
            <v>BRLI-US</v>
          </cell>
          <cell r="X2" t="str">
            <v>GXDX-US</v>
          </cell>
          <cell r="Y2" t="str">
            <v>RMD-US</v>
          </cell>
          <cell r="Z2" t="str">
            <v>HSP-AU</v>
          </cell>
          <cell r="AA2" t="str">
            <v>RDNT-US</v>
          </cell>
          <cell r="AB2" t="str">
            <v>HWAY-US</v>
          </cell>
          <cell r="AC2" t="str">
            <v>DASA3-BR</v>
          </cell>
          <cell r="AD2" t="str">
            <v>FLRY3-BR</v>
          </cell>
          <cell r="AF2" t="str">
            <v xml:space="preserve">Global </v>
          </cell>
          <cell r="AG2" t="str">
            <v xml:space="preserve">Brazilian </v>
          </cell>
        </row>
        <row r="3">
          <cell r="A3">
            <v>40179</v>
          </cell>
          <cell r="B3">
            <v>13.8230095</v>
          </cell>
          <cell r="C3">
            <v>60.38</v>
          </cell>
          <cell r="D3">
            <v>52.097320000000003</v>
          </cell>
          <cell r="E3">
            <v>27.337665999999999</v>
          </cell>
          <cell r="F3">
            <v>74.84</v>
          </cell>
          <cell r="G3">
            <v>1.0328004</v>
          </cell>
          <cell r="H3">
            <v>19.559999999999999</v>
          </cell>
          <cell r="I3">
            <v>35.53</v>
          </cell>
          <cell r="J3">
            <v>26.135000000000002</v>
          </cell>
          <cell r="K3">
            <v>4.5597050000000001</v>
          </cell>
          <cell r="L3">
            <v>2.04</v>
          </cell>
          <cell r="M3">
            <v>18.34</v>
          </cell>
          <cell r="N3">
            <v>8.1731870000000004</v>
          </cell>
          <cell r="O3">
            <v>10.549562999999999</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F3">
            <v>100</v>
          </cell>
          <cell r="AG3">
            <v>100</v>
          </cell>
        </row>
        <row r="4">
          <cell r="A4">
            <v>40180</v>
          </cell>
          <cell r="B4">
            <v>13.8230095</v>
          </cell>
          <cell r="C4">
            <v>60.38</v>
          </cell>
          <cell r="D4">
            <v>52.097320000000003</v>
          </cell>
          <cell r="E4">
            <v>27.337665999999999</v>
          </cell>
          <cell r="F4">
            <v>74.84</v>
          </cell>
          <cell r="G4">
            <v>1.0328004</v>
          </cell>
          <cell r="H4">
            <v>19.559999999999999</v>
          </cell>
          <cell r="I4">
            <v>35.53</v>
          </cell>
          <cell r="J4">
            <v>26.135000000000002</v>
          </cell>
          <cell r="K4">
            <v>4.5597050000000001</v>
          </cell>
          <cell r="L4">
            <v>2.04</v>
          </cell>
          <cell r="M4">
            <v>18.34</v>
          </cell>
          <cell r="N4">
            <v>8.1731870000000004</v>
          </cell>
          <cell r="O4">
            <v>10.549562999999999</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F4">
            <v>100</v>
          </cell>
          <cell r="AG4">
            <v>100</v>
          </cell>
        </row>
        <row r="5">
          <cell r="A5">
            <v>40181</v>
          </cell>
          <cell r="B5">
            <v>13.8230095</v>
          </cell>
          <cell r="C5">
            <v>60.38</v>
          </cell>
          <cell r="D5">
            <v>52.097320000000003</v>
          </cell>
          <cell r="E5">
            <v>27.337665999999999</v>
          </cell>
          <cell r="F5">
            <v>74.84</v>
          </cell>
          <cell r="G5">
            <v>1.0328004</v>
          </cell>
          <cell r="H5">
            <v>19.559999999999999</v>
          </cell>
          <cell r="I5">
            <v>35.53</v>
          </cell>
          <cell r="J5">
            <v>26.135000000000002</v>
          </cell>
          <cell r="K5">
            <v>4.5597050000000001</v>
          </cell>
          <cell r="L5">
            <v>2.04</v>
          </cell>
          <cell r="M5">
            <v>18.34</v>
          </cell>
          <cell r="N5">
            <v>8.1731870000000004</v>
          </cell>
          <cell r="O5">
            <v>10.549562999999999</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F5">
            <v>100</v>
          </cell>
          <cell r="AG5">
            <v>100</v>
          </cell>
        </row>
        <row r="6">
          <cell r="A6">
            <v>40182</v>
          </cell>
          <cell r="B6">
            <v>13.895096000000001</v>
          </cell>
          <cell r="C6">
            <v>61.16</v>
          </cell>
          <cell r="D6">
            <v>52.680019999999999</v>
          </cell>
          <cell r="E6">
            <v>27.937194999999999</v>
          </cell>
          <cell r="F6">
            <v>76.37</v>
          </cell>
          <cell r="G6">
            <v>1.0373072999999999</v>
          </cell>
          <cell r="H6">
            <v>19.885000000000002</v>
          </cell>
          <cell r="I6">
            <v>35.74</v>
          </cell>
          <cell r="J6">
            <v>26.395</v>
          </cell>
          <cell r="K6">
            <v>4.6773759999999998</v>
          </cell>
          <cell r="L6">
            <v>2.12</v>
          </cell>
          <cell r="M6">
            <v>18.899999999999999</v>
          </cell>
          <cell r="N6">
            <v>8.3463879999999993</v>
          </cell>
          <cell r="O6">
            <v>10.501886000000001</v>
          </cell>
          <cell r="Q6">
            <v>100.52149642232395</v>
          </cell>
          <cell r="R6">
            <v>101.29181848294135</v>
          </cell>
          <cell r="S6">
            <v>101.11848363792993</v>
          </cell>
          <cell r="T6">
            <v>102.19305115513519</v>
          </cell>
          <cell r="U6">
            <v>102.04436130411545</v>
          </cell>
          <cell r="V6">
            <v>100.43637667065195</v>
          </cell>
          <cell r="W6">
            <v>101.66155419222906</v>
          </cell>
          <cell r="X6">
            <v>100.59104981705602</v>
          </cell>
          <cell r="Y6">
            <v>100.99483451310502</v>
          </cell>
          <cell r="Z6">
            <v>102.58067133729045</v>
          </cell>
          <cell r="AA6">
            <v>103.92156862745099</v>
          </cell>
          <cell r="AB6">
            <v>103.0534351145038</v>
          </cell>
          <cell r="AC6">
            <v>102.11913663543974</v>
          </cell>
          <cell r="AD6">
            <v>99.548066588161049</v>
          </cell>
          <cell r="AF6">
            <v>101.70072510622778</v>
          </cell>
          <cell r="AG6">
            <v>100.83360161180039</v>
          </cell>
        </row>
        <row r="7">
          <cell r="A7">
            <v>40183</v>
          </cell>
          <cell r="B7">
            <v>13.945361999999999</v>
          </cell>
          <cell r="C7">
            <v>59.79</v>
          </cell>
          <cell r="D7">
            <v>52.545333999999997</v>
          </cell>
          <cell r="E7">
            <v>28.097006</v>
          </cell>
          <cell r="F7">
            <v>75.44</v>
          </cell>
          <cell r="G7">
            <v>1.0318513</v>
          </cell>
          <cell r="H7">
            <v>19.975000000000001</v>
          </cell>
          <cell r="I7">
            <v>35.58</v>
          </cell>
          <cell r="J7">
            <v>25.274999999999999</v>
          </cell>
          <cell r="K7">
            <v>4.5905389999999997</v>
          </cell>
          <cell r="L7">
            <v>2.1</v>
          </cell>
          <cell r="M7">
            <v>18.27</v>
          </cell>
          <cell r="N7">
            <v>8.4140890000000006</v>
          </cell>
          <cell r="O7">
            <v>10.445077</v>
          </cell>
          <cell r="Q7">
            <v>100.88513648203742</v>
          </cell>
          <cell r="R7">
            <v>99.022855250082813</v>
          </cell>
          <cell r="S7">
            <v>100.85995594399095</v>
          </cell>
          <cell r="T7">
            <v>102.77763288204633</v>
          </cell>
          <cell r="U7">
            <v>100.80171031533938</v>
          </cell>
          <cell r="V7">
            <v>99.908104218394968</v>
          </cell>
          <cell r="W7">
            <v>102.12167689161555</v>
          </cell>
          <cell r="X7">
            <v>100.1407261469181</v>
          </cell>
          <cell r="Y7">
            <v>96.70939353357565</v>
          </cell>
          <cell r="Z7">
            <v>100.67622795772971</v>
          </cell>
          <cell r="AA7">
            <v>102.94117647058825</v>
          </cell>
          <cell r="AB7">
            <v>99.618320610687022</v>
          </cell>
          <cell r="AC7">
            <v>102.94746712634864</v>
          </cell>
          <cell r="AD7">
            <v>99.009570349027726</v>
          </cell>
          <cell r="AF7">
            <v>100.53857639191718</v>
          </cell>
          <cell r="AG7">
            <v>100.97851873768818</v>
          </cell>
        </row>
        <row r="8">
          <cell r="A8">
            <v>40184</v>
          </cell>
          <cell r="B8">
            <v>13.78792</v>
          </cell>
          <cell r="C8">
            <v>58.87</v>
          </cell>
          <cell r="D8">
            <v>51.481299999999997</v>
          </cell>
          <cell r="E8">
            <v>27.553830000000001</v>
          </cell>
          <cell r="F8">
            <v>74.19</v>
          </cell>
          <cell r="G8">
            <v>1.0319992</v>
          </cell>
          <cell r="H8">
            <v>19.600000000000001</v>
          </cell>
          <cell r="I8">
            <v>34.86</v>
          </cell>
          <cell r="J8">
            <v>26.085000000000001</v>
          </cell>
          <cell r="K8">
            <v>4.6204200000000002</v>
          </cell>
          <cell r="L8">
            <v>2.04</v>
          </cell>
          <cell r="M8">
            <v>18.260000000000002</v>
          </cell>
          <cell r="N8">
            <v>8.1852330000000002</v>
          </cell>
          <cell r="O8">
            <v>10.778789</v>
          </cell>
          <cell r="Q8">
            <v>99.746151516426295</v>
          </cell>
          <cell r="R8">
            <v>97.499171911228871</v>
          </cell>
          <cell r="S8">
            <v>98.817559137398987</v>
          </cell>
          <cell r="T8">
            <v>100.79071856390374</v>
          </cell>
          <cell r="U8">
            <v>99.131480491715649</v>
          </cell>
          <cell r="V8">
            <v>99.922424507194236</v>
          </cell>
          <cell r="W8">
            <v>100.20449897750512</v>
          </cell>
          <cell r="X8">
            <v>98.114269631297489</v>
          </cell>
          <cell r="Y8">
            <v>99.808685670556713</v>
          </cell>
          <cell r="Z8">
            <v>101.33155544053838</v>
          </cell>
          <cell r="AA8">
            <v>100</v>
          </cell>
          <cell r="AB8">
            <v>99.56379498364231</v>
          </cell>
          <cell r="AC8">
            <v>100.14738436793382</v>
          </cell>
          <cell r="AD8">
            <v>102.17284829712851</v>
          </cell>
          <cell r="AF8">
            <v>99.577525902617325</v>
          </cell>
          <cell r="AG8">
            <v>101.16011633253117</v>
          </cell>
        </row>
        <row r="9">
          <cell r="A9">
            <v>40185</v>
          </cell>
          <cell r="B9">
            <v>13.644923</v>
          </cell>
          <cell r="C9">
            <v>59.44</v>
          </cell>
          <cell r="D9">
            <v>51.183002000000002</v>
          </cell>
          <cell r="E9">
            <v>27.297602000000001</v>
          </cell>
          <cell r="F9">
            <v>74.17</v>
          </cell>
          <cell r="G9">
            <v>1.0238419999999999</v>
          </cell>
          <cell r="H9">
            <v>19.36</v>
          </cell>
          <cell r="I9">
            <v>34.92</v>
          </cell>
          <cell r="J9">
            <v>26.13</v>
          </cell>
          <cell r="K9">
            <v>4.5483073999999997</v>
          </cell>
          <cell r="L9">
            <v>2.08</v>
          </cell>
          <cell r="M9">
            <v>18.309999999999999</v>
          </cell>
          <cell r="N9">
            <v>8.1931550000000009</v>
          </cell>
          <cell r="O9">
            <v>10.778269999999999</v>
          </cell>
          <cell r="Q9">
            <v>98.711666225795483</v>
          </cell>
          <cell r="R9">
            <v>98.443193110301422</v>
          </cell>
          <cell r="S9">
            <v>98.244980739892185</v>
          </cell>
          <cell r="T9">
            <v>99.853447620583268</v>
          </cell>
          <cell r="U9">
            <v>99.10475681453768</v>
          </cell>
          <cell r="V9">
            <v>99.132610715487715</v>
          </cell>
          <cell r="W9">
            <v>98.977505112474446</v>
          </cell>
          <cell r="X9">
            <v>98.283141007599212</v>
          </cell>
          <cell r="Y9">
            <v>99.980868567055666</v>
          </cell>
          <cell r="Z9">
            <v>99.750036460692073</v>
          </cell>
          <cell r="AA9">
            <v>101.96078431372548</v>
          </cell>
          <cell r="AB9">
            <v>99.836423118865852</v>
          </cell>
          <cell r="AC9">
            <v>100.24431106250231</v>
          </cell>
          <cell r="AD9">
            <v>102.16792866206875</v>
          </cell>
          <cell r="AF9">
            <v>99.356617817250864</v>
          </cell>
          <cell r="AG9">
            <v>101.20611986228553</v>
          </cell>
        </row>
        <row r="10">
          <cell r="A10">
            <v>40186</v>
          </cell>
          <cell r="B10">
            <v>13.581754</v>
          </cell>
          <cell r="C10">
            <v>59.44</v>
          </cell>
          <cell r="D10">
            <v>52.286180000000002</v>
          </cell>
          <cell r="E10">
            <v>27.380312</v>
          </cell>
          <cell r="F10">
            <v>74.06</v>
          </cell>
          <cell r="G10">
            <v>1.0245021999999999</v>
          </cell>
          <cell r="H10">
            <v>19.614999999999998</v>
          </cell>
          <cell r="I10">
            <v>34.19</v>
          </cell>
          <cell r="J10">
            <v>26.114999999999998</v>
          </cell>
          <cell r="K10">
            <v>4.6161409999999998</v>
          </cell>
          <cell r="L10">
            <v>2.11</v>
          </cell>
          <cell r="M10">
            <v>18.18</v>
          </cell>
          <cell r="N10">
            <v>8.2349549999999994</v>
          </cell>
          <cell r="O10">
            <v>10.993378</v>
          </cell>
          <cell r="Q10">
            <v>98.254681804277141</v>
          </cell>
          <cell r="R10">
            <v>98.443193110301422</v>
          </cell>
          <cell r="S10">
            <v>100.3625138490809</v>
          </cell>
          <cell r="T10">
            <v>100.15599722375714</v>
          </cell>
          <cell r="U10">
            <v>98.957776590058785</v>
          </cell>
          <cell r="V10">
            <v>99.196534005989918</v>
          </cell>
          <cell r="W10">
            <v>100.28118609406953</v>
          </cell>
          <cell r="X10">
            <v>96.228539262594978</v>
          </cell>
          <cell r="Y10">
            <v>99.923474268222677</v>
          </cell>
          <cell r="Z10">
            <v>101.23771165020543</v>
          </cell>
          <cell r="AA10">
            <v>103.4313725490196</v>
          </cell>
          <cell r="AB10">
            <v>99.127589967284621</v>
          </cell>
          <cell r="AC10">
            <v>100.75573946858182</v>
          </cell>
          <cell r="AD10">
            <v>104.20695151069293</v>
          </cell>
          <cell r="AF10">
            <v>99.633380864571848</v>
          </cell>
          <cell r="AG10">
            <v>102.48134548963738</v>
          </cell>
        </row>
        <row r="11">
          <cell r="A11">
            <v>40187</v>
          </cell>
          <cell r="B11">
            <v>13.581754</v>
          </cell>
          <cell r="C11">
            <v>59.44</v>
          </cell>
          <cell r="D11">
            <v>52.286180000000002</v>
          </cell>
          <cell r="E11">
            <v>27.380312</v>
          </cell>
          <cell r="F11">
            <v>74.06</v>
          </cell>
          <cell r="G11">
            <v>1.0245021999999999</v>
          </cell>
          <cell r="H11">
            <v>19.614999999999998</v>
          </cell>
          <cell r="I11">
            <v>34.19</v>
          </cell>
          <cell r="J11">
            <v>26.114999999999998</v>
          </cell>
          <cell r="K11">
            <v>4.6161409999999998</v>
          </cell>
          <cell r="L11">
            <v>2.11</v>
          </cell>
          <cell r="M11">
            <v>18.18</v>
          </cell>
          <cell r="N11">
            <v>8.2349549999999994</v>
          </cell>
          <cell r="O11">
            <v>10.993378</v>
          </cell>
          <cell r="Q11">
            <v>98.254681804277141</v>
          </cell>
          <cell r="R11">
            <v>98.443193110301422</v>
          </cell>
          <cell r="S11">
            <v>100.3625138490809</v>
          </cell>
          <cell r="T11">
            <v>100.15599722375714</v>
          </cell>
          <cell r="U11">
            <v>98.957776590058785</v>
          </cell>
          <cell r="V11">
            <v>99.196534005989918</v>
          </cell>
          <cell r="W11">
            <v>100.28118609406953</v>
          </cell>
          <cell r="X11">
            <v>96.228539262594978</v>
          </cell>
          <cell r="Y11">
            <v>99.923474268222677</v>
          </cell>
          <cell r="Z11">
            <v>101.23771165020543</v>
          </cell>
          <cell r="AA11">
            <v>103.4313725490196</v>
          </cell>
          <cell r="AB11">
            <v>99.127589967284621</v>
          </cell>
          <cell r="AC11">
            <v>100.75573946858182</v>
          </cell>
          <cell r="AD11">
            <v>104.20695151069293</v>
          </cell>
          <cell r="AF11">
            <v>99.633380864571848</v>
          </cell>
          <cell r="AG11">
            <v>102.48134548963738</v>
          </cell>
        </row>
        <row r="12">
          <cell r="A12">
            <v>40188</v>
          </cell>
          <cell r="B12">
            <v>13.581754</v>
          </cell>
          <cell r="C12">
            <v>59.44</v>
          </cell>
          <cell r="D12">
            <v>52.286180000000002</v>
          </cell>
          <cell r="E12">
            <v>27.380312</v>
          </cell>
          <cell r="F12">
            <v>74.06</v>
          </cell>
          <cell r="G12">
            <v>1.0245021999999999</v>
          </cell>
          <cell r="H12">
            <v>19.614999999999998</v>
          </cell>
          <cell r="I12">
            <v>34.19</v>
          </cell>
          <cell r="J12">
            <v>26.114999999999998</v>
          </cell>
          <cell r="K12">
            <v>4.6161409999999998</v>
          </cell>
          <cell r="L12">
            <v>2.11</v>
          </cell>
          <cell r="M12">
            <v>18.18</v>
          </cell>
          <cell r="N12">
            <v>8.2349549999999994</v>
          </cell>
          <cell r="O12">
            <v>10.993378</v>
          </cell>
          <cell r="Q12">
            <v>98.254681804277141</v>
          </cell>
          <cell r="R12">
            <v>98.443193110301422</v>
          </cell>
          <cell r="S12">
            <v>100.3625138490809</v>
          </cell>
          <cell r="T12">
            <v>100.15599722375714</v>
          </cell>
          <cell r="U12">
            <v>98.957776590058785</v>
          </cell>
          <cell r="V12">
            <v>99.196534005989918</v>
          </cell>
          <cell r="W12">
            <v>100.28118609406953</v>
          </cell>
          <cell r="X12">
            <v>96.228539262594978</v>
          </cell>
          <cell r="Y12">
            <v>99.923474268222677</v>
          </cell>
          <cell r="Z12">
            <v>101.23771165020543</v>
          </cell>
          <cell r="AA12">
            <v>103.4313725490196</v>
          </cell>
          <cell r="AB12">
            <v>99.127589967284621</v>
          </cell>
          <cell r="AC12">
            <v>100.75573946858182</v>
          </cell>
          <cell r="AD12">
            <v>104.20695151069293</v>
          </cell>
          <cell r="AF12">
            <v>99.633380864571848</v>
          </cell>
          <cell r="AG12">
            <v>102.48134548963738</v>
          </cell>
        </row>
        <row r="13">
          <cell r="A13">
            <v>40189</v>
          </cell>
          <cell r="B13">
            <v>14.038726</v>
          </cell>
          <cell r="C13">
            <v>59.59</v>
          </cell>
          <cell r="D13">
            <v>52.866314000000003</v>
          </cell>
          <cell r="E13">
            <v>27.684108999999999</v>
          </cell>
          <cell r="F13">
            <v>74.89</v>
          </cell>
          <cell r="G13">
            <v>1.038025</v>
          </cell>
          <cell r="H13">
            <v>19.68</v>
          </cell>
          <cell r="I13">
            <v>34.369999999999997</v>
          </cell>
          <cell r="J13">
            <v>26.42</v>
          </cell>
          <cell r="K13">
            <v>4.7199169999999997</v>
          </cell>
          <cell r="L13">
            <v>2.11</v>
          </cell>
          <cell r="M13">
            <v>17.97</v>
          </cell>
          <cell r="N13">
            <v>8.5223169999999993</v>
          </cell>
          <cell r="O13">
            <v>11.122346</v>
          </cell>
          <cell r="Q13">
            <v>101.56056103412214</v>
          </cell>
          <cell r="R13">
            <v>98.691619741636302</v>
          </cell>
          <cell r="S13">
            <v>101.47607208969673</v>
          </cell>
          <cell r="T13">
            <v>101.26727351193772</v>
          </cell>
          <cell r="U13">
            <v>100.06680919294494</v>
          </cell>
          <cell r="V13">
            <v>100.50586734861837</v>
          </cell>
          <cell r="W13">
            <v>100.61349693251533</v>
          </cell>
          <cell r="X13">
            <v>96.735153391500134</v>
          </cell>
          <cell r="Y13">
            <v>101.09049167782666</v>
          </cell>
          <cell r="Z13">
            <v>103.51364836102334</v>
          </cell>
          <cell r="AA13">
            <v>103.4313725490196</v>
          </cell>
          <cell r="AB13">
            <v>97.982551799345686</v>
          </cell>
          <cell r="AC13">
            <v>104.27165070369733</v>
          </cell>
          <cell r="AD13">
            <v>105.42944764631483</v>
          </cell>
          <cell r="AF13">
            <v>100.57790980251558</v>
          </cell>
          <cell r="AG13">
            <v>104.85054917500608</v>
          </cell>
        </row>
        <row r="14">
          <cell r="A14">
            <v>40190</v>
          </cell>
          <cell r="B14">
            <v>13.587075</v>
          </cell>
          <cell r="C14">
            <v>59.21</v>
          </cell>
          <cell r="D14">
            <v>56.197074999999998</v>
          </cell>
          <cell r="E14">
            <v>28.417463000000001</v>
          </cell>
          <cell r="F14">
            <v>73.81</v>
          </cell>
          <cell r="G14">
            <v>1.030111</v>
          </cell>
          <cell r="H14">
            <v>19.535</v>
          </cell>
          <cell r="I14">
            <v>34.79</v>
          </cell>
          <cell r="J14">
            <v>25.72</v>
          </cell>
          <cell r="K14">
            <v>4.6370060000000004</v>
          </cell>
          <cell r="L14">
            <v>2.06</v>
          </cell>
          <cell r="M14">
            <v>18.079999999999998</v>
          </cell>
          <cell r="N14">
            <v>8.3573269999999997</v>
          </cell>
          <cell r="O14">
            <v>11.287070999999999</v>
          </cell>
          <cell r="Q14">
            <v>98.293175592478619</v>
          </cell>
          <cell r="R14">
            <v>98.062272275587929</v>
          </cell>
          <cell r="S14">
            <v>107.86941631546496</v>
          </cell>
          <cell r="T14">
            <v>103.94985072975874</v>
          </cell>
          <cell r="U14">
            <v>98.623730625334048</v>
          </cell>
          <cell r="V14">
            <v>99.739601185282268</v>
          </cell>
          <cell r="W14">
            <v>99.872188139059318</v>
          </cell>
          <cell r="X14">
            <v>97.917253025612155</v>
          </cell>
          <cell r="Y14">
            <v>98.4120910656208</v>
          </cell>
          <cell r="Z14">
            <v>101.69530704288985</v>
          </cell>
          <cell r="AA14">
            <v>100.98039215686273</v>
          </cell>
          <cell r="AB14">
            <v>98.582333696837509</v>
          </cell>
          <cell r="AC14">
            <v>102.25297671520302</v>
          </cell>
          <cell r="AD14">
            <v>106.99088673151675</v>
          </cell>
          <cell r="AF14">
            <v>100.33313432089908</v>
          </cell>
          <cell r="AG14">
            <v>104.62193172335989</v>
          </cell>
        </row>
        <row r="15">
          <cell r="A15">
            <v>40191</v>
          </cell>
          <cell r="B15">
            <v>13.675155999999999</v>
          </cell>
          <cell r="C15">
            <v>59.94</v>
          </cell>
          <cell r="D15">
            <v>56.109589999999997</v>
          </cell>
          <cell r="E15">
            <v>28.120547999999999</v>
          </cell>
          <cell r="F15">
            <v>75.36</v>
          </cell>
          <cell r="G15">
            <v>1.0223549999999999</v>
          </cell>
          <cell r="H15">
            <v>19.87</v>
          </cell>
          <cell r="I15">
            <v>35.799999999999997</v>
          </cell>
          <cell r="J15">
            <v>26.1</v>
          </cell>
          <cell r="K15">
            <v>4.6045227000000004</v>
          </cell>
          <cell r="L15">
            <v>2.06</v>
          </cell>
          <cell r="M15">
            <v>18.07</v>
          </cell>
          <cell r="N15">
            <v>8.3335720000000002</v>
          </cell>
          <cell r="O15">
            <v>11.244956999999999</v>
          </cell>
          <cell r="Q15">
            <v>98.930381260318171</v>
          </cell>
          <cell r="R15">
            <v>99.271281881417679</v>
          </cell>
          <cell r="S15">
            <v>107.70149021101277</v>
          </cell>
          <cell r="T15">
            <v>102.86374849996338</v>
          </cell>
          <cell r="U15">
            <v>100.69481560662747</v>
          </cell>
          <cell r="V15">
            <v>98.988633234456529</v>
          </cell>
          <cell r="W15">
            <v>101.58486707566463</v>
          </cell>
          <cell r="X15">
            <v>100.7599211933577</v>
          </cell>
          <cell r="Y15">
            <v>99.866079969389716</v>
          </cell>
          <cell r="Z15">
            <v>100.9829078854882</v>
          </cell>
          <cell r="AA15">
            <v>100.98039215686273</v>
          </cell>
          <cell r="AB15">
            <v>98.527808069792812</v>
          </cell>
          <cell r="AC15">
            <v>101.96233121792024</v>
          </cell>
          <cell r="AD15">
            <v>106.59168536175385</v>
          </cell>
          <cell r="AF15">
            <v>100.92936058702934</v>
          </cell>
          <cell r="AG15">
            <v>104.27700828983704</v>
          </cell>
        </row>
        <row r="16">
          <cell r="A16">
            <v>40192</v>
          </cell>
          <cell r="B16">
            <v>13.681035</v>
          </cell>
          <cell r="C16">
            <v>60.9</v>
          </cell>
          <cell r="D16">
            <v>58.390957</v>
          </cell>
          <cell r="E16">
            <v>27.87839</v>
          </cell>
          <cell r="F16">
            <v>76.92</v>
          </cell>
          <cell r="G16">
            <v>1.0079193</v>
          </cell>
          <cell r="H16">
            <v>19.905000000000001</v>
          </cell>
          <cell r="I16">
            <v>35.72</v>
          </cell>
          <cell r="J16">
            <v>26.28</v>
          </cell>
          <cell r="K16">
            <v>4.5851459999999999</v>
          </cell>
          <cell r="L16">
            <v>2.04</v>
          </cell>
          <cell r="M16">
            <v>17.96</v>
          </cell>
          <cell r="N16">
            <v>8.159084</v>
          </cell>
          <cell r="O16">
            <v>11.302628</v>
          </cell>
          <cell r="Q16">
            <v>98.972911796088979</v>
          </cell>
          <cell r="R16">
            <v>100.86121232196091</v>
          </cell>
          <cell r="S16">
            <v>112.080538883766</v>
          </cell>
          <cell r="T16">
            <v>101.9779450081803</v>
          </cell>
          <cell r="U16">
            <v>102.77926242650987</v>
          </cell>
          <cell r="V16">
            <v>97.590909143722243</v>
          </cell>
          <cell r="W16">
            <v>101.76380368098161</v>
          </cell>
          <cell r="X16">
            <v>100.53475935828877</v>
          </cell>
          <cell r="Y16">
            <v>100.5548115553855</v>
          </cell>
          <cell r="Z16">
            <v>100.55795276229493</v>
          </cell>
          <cell r="AA16">
            <v>100</v>
          </cell>
          <cell r="AB16">
            <v>97.928026172300989</v>
          </cell>
          <cell r="AC16">
            <v>99.827447971030153</v>
          </cell>
          <cell r="AD16">
            <v>107.13835255545658</v>
          </cell>
          <cell r="AF16">
            <v>101.30017775912336</v>
          </cell>
          <cell r="AG16">
            <v>103.48290026324337</v>
          </cell>
        </row>
        <row r="17">
          <cell r="A17">
            <v>40193</v>
          </cell>
          <cell r="B17">
            <v>13.836277000000001</v>
          </cell>
          <cell r="C17">
            <v>60.25</v>
          </cell>
          <cell r="D17">
            <v>57.891260000000003</v>
          </cell>
          <cell r="E17">
            <v>28.516397000000001</v>
          </cell>
          <cell r="F17">
            <v>75.75</v>
          </cell>
          <cell r="G17">
            <v>1.0062169000000001</v>
          </cell>
          <cell r="H17">
            <v>19.850000000000001</v>
          </cell>
          <cell r="I17">
            <v>35.25</v>
          </cell>
          <cell r="J17">
            <v>26.08</v>
          </cell>
          <cell r="K17">
            <v>4.5813040000000003</v>
          </cell>
          <cell r="L17">
            <v>2.0499999999999998</v>
          </cell>
          <cell r="M17">
            <v>17.98</v>
          </cell>
          <cell r="N17">
            <v>8.0583589999999994</v>
          </cell>
          <cell r="O17">
            <v>11.145982999999999</v>
          </cell>
          <cell r="Q17">
            <v>100.09598126949129</v>
          </cell>
          <cell r="R17">
            <v>99.78469691950977</v>
          </cell>
          <cell r="S17">
            <v>111.12137822060713</v>
          </cell>
          <cell r="T17">
            <v>104.3117470233194</v>
          </cell>
          <cell r="U17">
            <v>101.21592731159808</v>
          </cell>
          <cell r="V17">
            <v>97.426075745129467</v>
          </cell>
          <cell r="W17">
            <v>101.48261758691208</v>
          </cell>
          <cell r="X17">
            <v>99.211933577258648</v>
          </cell>
          <cell r="Y17">
            <v>99.789554237612393</v>
          </cell>
          <cell r="Z17">
            <v>100.47369292530985</v>
          </cell>
          <cell r="AA17">
            <v>100.49019607843137</v>
          </cell>
          <cell r="AB17">
            <v>98.037077426390411</v>
          </cell>
          <cell r="AC17">
            <v>98.595064569059758</v>
          </cell>
          <cell r="AD17">
            <v>105.65350432051073</v>
          </cell>
          <cell r="AF17">
            <v>101.12007319346414</v>
          </cell>
          <cell r="AG17">
            <v>102.12428444478525</v>
          </cell>
        </row>
        <row r="18">
          <cell r="A18">
            <v>40194</v>
          </cell>
          <cell r="B18">
            <v>13.836277000000001</v>
          </cell>
          <cell r="C18">
            <v>60.25</v>
          </cell>
          <cell r="D18">
            <v>57.891260000000003</v>
          </cell>
          <cell r="E18">
            <v>28.516397000000001</v>
          </cell>
          <cell r="F18">
            <v>75.75</v>
          </cell>
          <cell r="G18">
            <v>1.0062169000000001</v>
          </cell>
          <cell r="H18">
            <v>19.850000000000001</v>
          </cell>
          <cell r="I18">
            <v>35.25</v>
          </cell>
          <cell r="J18">
            <v>26.08</v>
          </cell>
          <cell r="K18">
            <v>4.5813040000000003</v>
          </cell>
          <cell r="L18">
            <v>2.0499999999999998</v>
          </cell>
          <cell r="M18">
            <v>17.98</v>
          </cell>
          <cell r="N18">
            <v>8.0583589999999994</v>
          </cell>
          <cell r="O18">
            <v>11.145982999999999</v>
          </cell>
          <cell r="Q18">
            <v>100.09598126949129</v>
          </cell>
          <cell r="R18">
            <v>99.78469691950977</v>
          </cell>
          <cell r="S18">
            <v>111.12137822060713</v>
          </cell>
          <cell r="T18">
            <v>104.3117470233194</v>
          </cell>
          <cell r="U18">
            <v>101.21592731159808</v>
          </cell>
          <cell r="V18">
            <v>97.426075745129467</v>
          </cell>
          <cell r="W18">
            <v>101.48261758691208</v>
          </cell>
          <cell r="X18">
            <v>99.211933577258648</v>
          </cell>
          <cell r="Y18">
            <v>99.789554237612393</v>
          </cell>
          <cell r="Z18">
            <v>100.47369292530985</v>
          </cell>
          <cell r="AA18">
            <v>100.49019607843137</v>
          </cell>
          <cell r="AB18">
            <v>98.037077426390411</v>
          </cell>
          <cell r="AC18">
            <v>98.595064569059758</v>
          </cell>
          <cell r="AD18">
            <v>105.65350432051073</v>
          </cell>
          <cell r="AF18">
            <v>101.12007319346414</v>
          </cell>
          <cell r="AG18">
            <v>102.12428444478525</v>
          </cell>
        </row>
        <row r="19">
          <cell r="A19">
            <v>40195</v>
          </cell>
          <cell r="B19">
            <v>13.836277000000001</v>
          </cell>
          <cell r="C19">
            <v>60.25</v>
          </cell>
          <cell r="D19">
            <v>57.891260000000003</v>
          </cell>
          <cell r="E19">
            <v>28.516397000000001</v>
          </cell>
          <cell r="F19">
            <v>75.75</v>
          </cell>
          <cell r="G19">
            <v>1.0062169000000001</v>
          </cell>
          <cell r="H19">
            <v>19.850000000000001</v>
          </cell>
          <cell r="I19">
            <v>35.25</v>
          </cell>
          <cell r="J19">
            <v>26.08</v>
          </cell>
          <cell r="K19">
            <v>4.5813040000000003</v>
          </cell>
          <cell r="L19">
            <v>2.0499999999999998</v>
          </cell>
          <cell r="M19">
            <v>17.98</v>
          </cell>
          <cell r="N19">
            <v>8.0583589999999994</v>
          </cell>
          <cell r="O19">
            <v>11.145982999999999</v>
          </cell>
          <cell r="Q19">
            <v>100.09598126949129</v>
          </cell>
          <cell r="R19">
            <v>99.78469691950977</v>
          </cell>
          <cell r="S19">
            <v>111.12137822060713</v>
          </cell>
          <cell r="T19">
            <v>104.3117470233194</v>
          </cell>
          <cell r="U19">
            <v>101.21592731159808</v>
          </cell>
          <cell r="V19">
            <v>97.426075745129467</v>
          </cell>
          <cell r="W19">
            <v>101.48261758691208</v>
          </cell>
          <cell r="X19">
            <v>99.211933577258648</v>
          </cell>
          <cell r="Y19">
            <v>99.789554237612393</v>
          </cell>
          <cell r="Z19">
            <v>100.47369292530985</v>
          </cell>
          <cell r="AA19">
            <v>100.49019607843137</v>
          </cell>
          <cell r="AB19">
            <v>98.037077426390411</v>
          </cell>
          <cell r="AC19">
            <v>98.595064569059758</v>
          </cell>
          <cell r="AD19">
            <v>105.65350432051073</v>
          </cell>
          <cell r="AF19">
            <v>101.12007319346414</v>
          </cell>
          <cell r="AG19">
            <v>102.12428444478525</v>
          </cell>
        </row>
        <row r="20">
          <cell r="A20">
            <v>40196</v>
          </cell>
          <cell r="B20">
            <v>13.836277000000001</v>
          </cell>
          <cell r="C20">
            <v>60.25</v>
          </cell>
          <cell r="D20">
            <v>57.891260000000003</v>
          </cell>
          <cell r="E20">
            <v>28.516397000000001</v>
          </cell>
          <cell r="F20">
            <v>75.75</v>
          </cell>
          <cell r="G20">
            <v>1.0062169000000001</v>
          </cell>
          <cell r="H20">
            <v>19.850000000000001</v>
          </cell>
          <cell r="I20">
            <v>35.25</v>
          </cell>
          <cell r="J20">
            <v>26.08</v>
          </cell>
          <cell r="K20">
            <v>4.5813040000000003</v>
          </cell>
          <cell r="L20">
            <v>2.0499999999999998</v>
          </cell>
          <cell r="M20">
            <v>17.98</v>
          </cell>
          <cell r="N20">
            <v>8.0583589999999994</v>
          </cell>
          <cell r="O20">
            <v>11.145982999999999</v>
          </cell>
          <cell r="Q20">
            <v>100.09598126949129</v>
          </cell>
          <cell r="R20">
            <v>99.78469691950977</v>
          </cell>
          <cell r="S20">
            <v>111.12137822060713</v>
          </cell>
          <cell r="T20">
            <v>104.3117470233194</v>
          </cell>
          <cell r="U20">
            <v>101.21592731159808</v>
          </cell>
          <cell r="V20">
            <v>97.426075745129467</v>
          </cell>
          <cell r="W20">
            <v>101.48261758691208</v>
          </cell>
          <cell r="X20">
            <v>99.211933577258648</v>
          </cell>
          <cell r="Y20">
            <v>99.789554237612393</v>
          </cell>
          <cell r="Z20">
            <v>100.47369292530985</v>
          </cell>
          <cell r="AA20">
            <v>100.49019607843137</v>
          </cell>
          <cell r="AB20">
            <v>98.037077426390411</v>
          </cell>
          <cell r="AC20">
            <v>98.595064569059758</v>
          </cell>
          <cell r="AD20">
            <v>105.65350432051073</v>
          </cell>
          <cell r="AF20">
            <v>101.12007319346414</v>
          </cell>
          <cell r="AG20">
            <v>102.12428444478525</v>
          </cell>
        </row>
        <row r="21">
          <cell r="A21">
            <v>40197</v>
          </cell>
          <cell r="B21">
            <v>13.106593</v>
          </cell>
          <cell r="C21">
            <v>61.61</v>
          </cell>
          <cell r="D21">
            <v>56.256169999999997</v>
          </cell>
          <cell r="E21">
            <v>29.718170000000001</v>
          </cell>
          <cell r="F21">
            <v>76.569999999999993</v>
          </cell>
          <cell r="G21">
            <v>0.97799515999999997</v>
          </cell>
          <cell r="H21">
            <v>20.2</v>
          </cell>
          <cell r="I21">
            <v>35.06</v>
          </cell>
          <cell r="J21">
            <v>26.46</v>
          </cell>
          <cell r="K21">
            <v>4.5166482999999999</v>
          </cell>
          <cell r="L21">
            <v>2.2000000000000002</v>
          </cell>
          <cell r="M21">
            <v>18.440000000000001</v>
          </cell>
          <cell r="N21">
            <v>8.1828439999999993</v>
          </cell>
          <cell r="O21">
            <v>11.292325</v>
          </cell>
          <cell r="Q21">
            <v>94.817217625438232</v>
          </cell>
          <cell r="R21">
            <v>102.03709837694601</v>
          </cell>
          <cell r="S21">
            <v>107.98284825399847</v>
          </cell>
          <cell r="T21">
            <v>108.70778068617857</v>
          </cell>
          <cell r="U21">
            <v>102.31159807589523</v>
          </cell>
          <cell r="V21">
            <v>94.693530327834878</v>
          </cell>
          <cell r="W21">
            <v>103.27198364008181</v>
          </cell>
          <cell r="X21">
            <v>98.677174218969881</v>
          </cell>
          <cell r="Y21">
            <v>101.24354314138128</v>
          </cell>
          <cell r="Z21">
            <v>99.055713034066898</v>
          </cell>
          <cell r="AA21">
            <v>107.84313725490198</v>
          </cell>
          <cell r="AB21">
            <v>100.54525627044713</v>
          </cell>
          <cell r="AC21">
            <v>100.11815464395957</v>
          </cell>
          <cell r="AD21">
            <v>107.04068974231444</v>
          </cell>
          <cell r="AF21">
            <v>101.76557340884501</v>
          </cell>
          <cell r="AG21">
            <v>103.57942219313701</v>
          </cell>
        </row>
        <row r="22">
          <cell r="A22">
            <v>40198</v>
          </cell>
          <cell r="B22">
            <v>12.931940000000001</v>
          </cell>
          <cell r="C22">
            <v>60.64</v>
          </cell>
          <cell r="D22">
            <v>56.463107999999998</v>
          </cell>
          <cell r="E22">
            <v>30.259840000000001</v>
          </cell>
          <cell r="F22">
            <v>75.78</v>
          </cell>
          <cell r="G22">
            <v>0.97892106000000001</v>
          </cell>
          <cell r="H22">
            <v>19.96</v>
          </cell>
          <cell r="I22">
            <v>34.9</v>
          </cell>
          <cell r="J22">
            <v>26.465</v>
          </cell>
          <cell r="K22">
            <v>4.4533230000000001</v>
          </cell>
          <cell r="L22">
            <v>2.25</v>
          </cell>
          <cell r="M22">
            <v>19.12</v>
          </cell>
          <cell r="N22">
            <v>8.2244189999999993</v>
          </cell>
          <cell r="O22">
            <v>11.0310545</v>
          </cell>
          <cell r="Q22">
            <v>93.553722870551454</v>
          </cell>
          <cell r="R22">
            <v>100.43060616098045</v>
          </cell>
          <cell r="S22">
            <v>108.38006254448405</v>
          </cell>
          <cell r="T22">
            <v>110.68918612144871</v>
          </cell>
          <cell r="U22">
            <v>101.25601282736505</v>
          </cell>
          <cell r="V22">
            <v>94.783179789628278</v>
          </cell>
          <cell r="W22">
            <v>102.04498977505114</v>
          </cell>
          <cell r="X22">
            <v>98.226850548831962</v>
          </cell>
          <cell r="Y22">
            <v>101.2626745743256</v>
          </cell>
          <cell r="Z22">
            <v>97.666910468988675</v>
          </cell>
          <cell r="AA22">
            <v>110.29411764705883</v>
          </cell>
          <cell r="AB22">
            <v>104.25299890948747</v>
          </cell>
          <cell r="AC22">
            <v>100.62683014593938</v>
          </cell>
          <cell r="AD22">
            <v>104.56408952674154</v>
          </cell>
          <cell r="AF22">
            <v>101.90344268651681</v>
          </cell>
          <cell r="AG22">
            <v>102.59545983634047</v>
          </cell>
        </row>
        <row r="23">
          <cell r="A23">
            <v>40199</v>
          </cell>
          <cell r="B23">
            <v>13.159095000000001</v>
          </cell>
          <cell r="C23">
            <v>59.77</v>
          </cell>
          <cell r="D23">
            <v>55.592106000000001</v>
          </cell>
          <cell r="E23">
            <v>31.524121999999998</v>
          </cell>
          <cell r="F23">
            <v>74.599999999999994</v>
          </cell>
          <cell r="G23">
            <v>0.97606159999999997</v>
          </cell>
          <cell r="H23">
            <v>19.68</v>
          </cell>
          <cell r="I23">
            <v>34.159999999999997</v>
          </cell>
          <cell r="J23">
            <v>25.97</v>
          </cell>
          <cell r="K23">
            <v>4.3924025999999996</v>
          </cell>
          <cell r="L23">
            <v>2.14</v>
          </cell>
          <cell r="M23">
            <v>18.07</v>
          </cell>
          <cell r="N23">
            <v>8.1387269999999994</v>
          </cell>
          <cell r="O23">
            <v>10.909091999999999</v>
          </cell>
          <cell r="Q23">
            <v>95.197033612687605</v>
          </cell>
          <cell r="R23">
            <v>98.989731699238163</v>
          </cell>
          <cell r="S23">
            <v>106.7081876764486</v>
          </cell>
          <cell r="T23">
            <v>115.31387500308183</v>
          </cell>
          <cell r="U23">
            <v>99.679315873864226</v>
          </cell>
          <cell r="V23">
            <v>94.506315063394624</v>
          </cell>
          <cell r="W23">
            <v>100.61349693251533</v>
          </cell>
          <cell r="X23">
            <v>96.144103574444117</v>
          </cell>
          <cell r="Y23">
            <v>99.368662712837192</v>
          </cell>
          <cell r="Z23">
            <v>96.33085035106437</v>
          </cell>
          <cell r="AA23">
            <v>104.90196078431373</v>
          </cell>
          <cell r="AB23">
            <v>98.527808069792812</v>
          </cell>
          <cell r="AC23">
            <v>99.578377443217676</v>
          </cell>
          <cell r="AD23">
            <v>103.40799898536082</v>
          </cell>
          <cell r="AF23">
            <v>100.52344511280688</v>
          </cell>
          <cell r="AG23">
            <v>101.49318821428925</v>
          </cell>
        </row>
        <row r="24">
          <cell r="A24">
            <v>40200</v>
          </cell>
          <cell r="B24">
            <v>12.869811</v>
          </cell>
          <cell r="C24">
            <v>58.8</v>
          </cell>
          <cell r="D24">
            <v>55.614142999999999</v>
          </cell>
          <cell r="E24">
            <v>31.281569000000001</v>
          </cell>
          <cell r="F24">
            <v>72.27</v>
          </cell>
          <cell r="G24">
            <v>0.95502819999999999</v>
          </cell>
          <cell r="H24">
            <v>19.585000000000001</v>
          </cell>
          <cell r="I24">
            <v>33.56</v>
          </cell>
          <cell r="J24">
            <v>25.984999999999999</v>
          </cell>
          <cell r="K24">
            <v>4.3623409999999998</v>
          </cell>
          <cell r="L24">
            <v>2.14</v>
          </cell>
          <cell r="M24">
            <v>17.53</v>
          </cell>
          <cell r="N24">
            <v>7.9255877000000003</v>
          </cell>
          <cell r="O24">
            <v>10.732567</v>
          </cell>
          <cell r="Q24">
            <v>93.104262136259123</v>
          </cell>
          <cell r="R24">
            <v>97.383239483272604</v>
          </cell>
          <cell r="S24">
            <v>106.75048735712316</v>
          </cell>
          <cell r="T24">
            <v>114.42662661838068</v>
          </cell>
          <cell r="U24">
            <v>96.566007482629601</v>
          </cell>
          <cell r="V24">
            <v>92.469774411396429</v>
          </cell>
          <cell r="W24">
            <v>100.12781186094071</v>
          </cell>
          <cell r="X24">
            <v>94.455389811426969</v>
          </cell>
          <cell r="Y24">
            <v>99.426057011670167</v>
          </cell>
          <cell r="Z24">
            <v>95.671562085705091</v>
          </cell>
          <cell r="AA24">
            <v>104.90196078431373</v>
          </cell>
          <cell r="AB24">
            <v>95.583424209378421</v>
          </cell>
          <cell r="AC24">
            <v>96.970590541975852</v>
          </cell>
          <cell r="AD24">
            <v>101.73470692577504</v>
          </cell>
          <cell r="AF24">
            <v>99.23888360437472</v>
          </cell>
          <cell r="AG24">
            <v>99.352648733875441</v>
          </cell>
        </row>
        <row r="25">
          <cell r="A25">
            <v>40201</v>
          </cell>
          <cell r="B25">
            <v>12.869811</v>
          </cell>
          <cell r="C25">
            <v>58.8</v>
          </cell>
          <cell r="D25">
            <v>55.614142999999999</v>
          </cell>
          <cell r="E25">
            <v>31.281569000000001</v>
          </cell>
          <cell r="F25">
            <v>72.27</v>
          </cell>
          <cell r="G25">
            <v>0.95502819999999999</v>
          </cell>
          <cell r="H25">
            <v>19.585000000000001</v>
          </cell>
          <cell r="I25">
            <v>33.56</v>
          </cell>
          <cell r="J25">
            <v>25.984999999999999</v>
          </cell>
          <cell r="K25">
            <v>4.3623409999999998</v>
          </cell>
          <cell r="L25">
            <v>2.14</v>
          </cell>
          <cell r="M25">
            <v>17.53</v>
          </cell>
          <cell r="N25">
            <v>7.9255877000000003</v>
          </cell>
          <cell r="O25">
            <v>10.732567</v>
          </cell>
          <cell r="Q25">
            <v>93.104262136259123</v>
          </cell>
          <cell r="R25">
            <v>97.383239483272604</v>
          </cell>
          <cell r="S25">
            <v>106.75048735712316</v>
          </cell>
          <cell r="T25">
            <v>114.42662661838068</v>
          </cell>
          <cell r="U25">
            <v>96.566007482629601</v>
          </cell>
          <cell r="V25">
            <v>92.469774411396429</v>
          </cell>
          <cell r="W25">
            <v>100.12781186094071</v>
          </cell>
          <cell r="X25">
            <v>94.455389811426969</v>
          </cell>
          <cell r="Y25">
            <v>99.426057011670167</v>
          </cell>
          <cell r="Z25">
            <v>95.671562085705091</v>
          </cell>
          <cell r="AA25">
            <v>104.90196078431373</v>
          </cell>
          <cell r="AB25">
            <v>95.583424209378421</v>
          </cell>
          <cell r="AC25">
            <v>96.970590541975852</v>
          </cell>
          <cell r="AD25">
            <v>101.73470692577504</v>
          </cell>
          <cell r="AF25">
            <v>99.23888360437472</v>
          </cell>
          <cell r="AG25">
            <v>99.352648733875441</v>
          </cell>
        </row>
        <row r="26">
          <cell r="A26">
            <v>40202</v>
          </cell>
          <cell r="B26">
            <v>12.869811</v>
          </cell>
          <cell r="C26">
            <v>58.8</v>
          </cell>
          <cell r="D26">
            <v>55.614142999999999</v>
          </cell>
          <cell r="E26">
            <v>31.281569000000001</v>
          </cell>
          <cell r="F26">
            <v>72.27</v>
          </cell>
          <cell r="G26">
            <v>0.95502819999999999</v>
          </cell>
          <cell r="H26">
            <v>19.585000000000001</v>
          </cell>
          <cell r="I26">
            <v>33.56</v>
          </cell>
          <cell r="J26">
            <v>25.984999999999999</v>
          </cell>
          <cell r="K26">
            <v>4.3623409999999998</v>
          </cell>
          <cell r="L26">
            <v>2.14</v>
          </cell>
          <cell r="M26">
            <v>17.53</v>
          </cell>
          <cell r="N26">
            <v>7.9255877000000003</v>
          </cell>
          <cell r="O26">
            <v>10.732567</v>
          </cell>
          <cell r="Q26">
            <v>93.104262136259123</v>
          </cell>
          <cell r="R26">
            <v>97.383239483272604</v>
          </cell>
          <cell r="S26">
            <v>106.75048735712316</v>
          </cell>
          <cell r="T26">
            <v>114.42662661838068</v>
          </cell>
          <cell r="U26">
            <v>96.566007482629601</v>
          </cell>
          <cell r="V26">
            <v>92.469774411396429</v>
          </cell>
          <cell r="W26">
            <v>100.12781186094071</v>
          </cell>
          <cell r="X26">
            <v>94.455389811426969</v>
          </cell>
          <cell r="Y26">
            <v>99.426057011670167</v>
          </cell>
          <cell r="Z26">
            <v>95.671562085705091</v>
          </cell>
          <cell r="AA26">
            <v>104.90196078431373</v>
          </cell>
          <cell r="AB26">
            <v>95.583424209378421</v>
          </cell>
          <cell r="AC26">
            <v>96.970590541975852</v>
          </cell>
          <cell r="AD26">
            <v>101.73470692577504</v>
          </cell>
          <cell r="AF26">
            <v>99.23888360437472</v>
          </cell>
          <cell r="AG26">
            <v>99.352648733875441</v>
          </cell>
        </row>
        <row r="27">
          <cell r="A27">
            <v>40203</v>
          </cell>
          <cell r="B27">
            <v>13.01112</v>
          </cell>
          <cell r="C27">
            <v>57.44</v>
          </cell>
          <cell r="D27">
            <v>54.812762999999997</v>
          </cell>
          <cell r="E27">
            <v>30.34674</v>
          </cell>
          <cell r="F27">
            <v>73.05</v>
          </cell>
          <cell r="G27">
            <v>0.95724547000000004</v>
          </cell>
          <cell r="H27">
            <v>19.094999999999999</v>
          </cell>
          <cell r="I27">
            <v>32.6</v>
          </cell>
          <cell r="J27">
            <v>26.515000000000001</v>
          </cell>
          <cell r="K27">
            <v>4.3008986</v>
          </cell>
          <cell r="L27">
            <v>2.2200000000000002</v>
          </cell>
          <cell r="M27">
            <v>17.39</v>
          </cell>
          <cell r="N27">
            <v>7.8947370000000001</v>
          </cell>
          <cell r="O27">
            <v>10.690789000000001</v>
          </cell>
          <cell r="Q27">
            <v>94.126535903776968</v>
          </cell>
          <cell r="R27">
            <v>95.130838025836368</v>
          </cell>
          <cell r="S27">
            <v>105.21225084131005</v>
          </cell>
          <cell r="T27">
            <v>111.00706256342441</v>
          </cell>
          <cell r="U27">
            <v>97.608230892570816</v>
          </cell>
          <cell r="V27">
            <v>92.684459649705801</v>
          </cell>
          <cell r="W27">
            <v>97.622699386503058</v>
          </cell>
          <cell r="X27">
            <v>91.753447790599495</v>
          </cell>
          <cell r="Y27">
            <v>101.45398890376889</v>
          </cell>
          <cell r="Z27">
            <v>94.324053858747433</v>
          </cell>
          <cell r="AA27">
            <v>108.82352941176472</v>
          </cell>
          <cell r="AB27">
            <v>94.82006543075245</v>
          </cell>
          <cell r="AC27">
            <v>96.593128237491683</v>
          </cell>
          <cell r="AD27">
            <v>101.33869052206239</v>
          </cell>
          <cell r="AF27">
            <v>98.713930221563373</v>
          </cell>
          <cell r="AG27">
            <v>98.965909379777031</v>
          </cell>
        </row>
        <row r="28">
          <cell r="A28">
            <v>40204</v>
          </cell>
          <cell r="B28">
            <v>12.941998999999999</v>
          </cell>
          <cell r="C28">
            <v>57.52</v>
          </cell>
          <cell r="D28">
            <v>54.354506999999998</v>
          </cell>
          <cell r="E28">
            <v>31.070892000000001</v>
          </cell>
          <cell r="F28">
            <v>73.180000000000007</v>
          </cell>
          <cell r="G28">
            <v>0.96184676999999996</v>
          </cell>
          <cell r="H28">
            <v>18.91</v>
          </cell>
          <cell r="I28">
            <v>30.41</v>
          </cell>
          <cell r="J28">
            <v>26.734999999999999</v>
          </cell>
          <cell r="K28">
            <v>4.2780503999999997</v>
          </cell>
          <cell r="L28">
            <v>2.2200000000000002</v>
          </cell>
          <cell r="M28">
            <v>16.98</v>
          </cell>
          <cell r="N28">
            <v>7.8652595999999999</v>
          </cell>
          <cell r="O28">
            <v>10.517751000000001</v>
          </cell>
          <cell r="Q28">
            <v>93.626492841519067</v>
          </cell>
          <cell r="R28">
            <v>95.263332229214967</v>
          </cell>
          <cell r="S28">
            <v>104.33263553672241</v>
          </cell>
          <cell r="T28">
            <v>113.65597926318949</v>
          </cell>
          <cell r="U28">
            <v>97.781934794227681</v>
          </cell>
          <cell r="V28">
            <v>93.129976518212047</v>
          </cell>
          <cell r="W28">
            <v>96.676891615541933</v>
          </cell>
          <cell r="X28">
            <v>85.589642555586835</v>
          </cell>
          <cell r="Y28">
            <v>102.29577195331929</v>
          </cell>
          <cell r="Z28">
            <v>93.822964424233575</v>
          </cell>
          <cell r="AA28">
            <v>108.82352941176472</v>
          </cell>
          <cell r="AB28">
            <v>92.584514721919305</v>
          </cell>
          <cell r="AC28">
            <v>96.23246843611922</v>
          </cell>
          <cell r="AD28">
            <v>99.698451964313605</v>
          </cell>
          <cell r="AF28">
            <v>98.131972155454278</v>
          </cell>
          <cell r="AG28">
            <v>97.965460200216413</v>
          </cell>
        </row>
        <row r="29">
          <cell r="A29">
            <v>40205</v>
          </cell>
          <cell r="B29">
            <v>12.993907</v>
          </cell>
          <cell r="C29">
            <v>56.63</v>
          </cell>
          <cell r="D29">
            <v>53.840992</v>
          </cell>
          <cell r="E29">
            <v>31.029855999999999</v>
          </cell>
          <cell r="F29">
            <v>72.19</v>
          </cell>
          <cell r="G29">
            <v>0.97529719999999998</v>
          </cell>
          <cell r="H29">
            <v>19.18</v>
          </cell>
          <cell r="I29">
            <v>30.175000000000001</v>
          </cell>
          <cell r="J29">
            <v>26.335000000000001</v>
          </cell>
          <cell r="K29">
            <v>4.1788550000000004</v>
          </cell>
          <cell r="L29">
            <v>2.2200000000000002</v>
          </cell>
          <cell r="M29">
            <v>16.809999999999999</v>
          </cell>
          <cell r="N29">
            <v>7.7734813999999997</v>
          </cell>
          <cell r="O29">
            <v>10.407603</v>
          </cell>
          <cell r="Q29">
            <v>94.002011645872045</v>
          </cell>
          <cell r="R29">
            <v>93.789334216628021</v>
          </cell>
          <cell r="S29">
            <v>103.34695143627349</v>
          </cell>
          <cell r="T29">
            <v>113.50587134980725</v>
          </cell>
          <cell r="U29">
            <v>96.459112773917681</v>
          </cell>
          <cell r="V29">
            <v>94.432302698565962</v>
          </cell>
          <cell r="W29">
            <v>98.057259713701441</v>
          </cell>
          <cell r="X29">
            <v>84.928229665071768</v>
          </cell>
          <cell r="Y29">
            <v>100.76525731777311</v>
          </cell>
          <cell r="Z29">
            <v>91.647485966745663</v>
          </cell>
          <cell r="AA29">
            <v>108.82352941176472</v>
          </cell>
          <cell r="AB29">
            <v>91.657579062159215</v>
          </cell>
          <cell r="AC29">
            <v>95.109550289256802</v>
          </cell>
          <cell r="AD29">
            <v>98.654351843768325</v>
          </cell>
          <cell r="AF29">
            <v>97.617910438190009</v>
          </cell>
          <cell r="AG29">
            <v>96.881951066512556</v>
          </cell>
        </row>
        <row r="30">
          <cell r="A30">
            <v>40206</v>
          </cell>
          <cell r="B30">
            <v>12.947317999999999</v>
          </cell>
          <cell r="C30">
            <v>56.05</v>
          </cell>
          <cell r="D30">
            <v>56.154784999999997</v>
          </cell>
          <cell r="E30">
            <v>31.135325999999999</v>
          </cell>
          <cell r="F30">
            <v>71.040000000000006</v>
          </cell>
          <cell r="G30">
            <v>0.99048703999999999</v>
          </cell>
          <cell r="H30">
            <v>18.57</v>
          </cell>
          <cell r="I30">
            <v>30.95</v>
          </cell>
          <cell r="J30">
            <v>26.05</v>
          </cell>
          <cell r="K30">
            <v>4.2798824</v>
          </cell>
          <cell r="L30">
            <v>2.21</v>
          </cell>
          <cell r="M30">
            <v>16.7</v>
          </cell>
          <cell r="N30">
            <v>7.6540889999999999</v>
          </cell>
          <cell r="O30">
            <v>10.474016000000001</v>
          </cell>
          <cell r="Q30">
            <v>93.664972161091256</v>
          </cell>
          <cell r="R30">
            <v>92.828751242133151</v>
          </cell>
          <cell r="S30">
            <v>107.78824131452443</v>
          </cell>
          <cell r="T30">
            <v>113.89167604871608</v>
          </cell>
          <cell r="U30">
            <v>94.922501336183856</v>
          </cell>
          <cell r="V30">
            <v>95.90304573855704</v>
          </cell>
          <cell r="W30">
            <v>94.938650306748471</v>
          </cell>
          <cell r="X30">
            <v>87.109484942302274</v>
          </cell>
          <cell r="Y30">
            <v>99.674765639946429</v>
          </cell>
          <cell r="Z30">
            <v>93.863142462067174</v>
          </cell>
          <cell r="AA30">
            <v>108.33333333333333</v>
          </cell>
          <cell r="AB30">
            <v>91.057797164667392</v>
          </cell>
          <cell r="AC30">
            <v>93.648768833993387</v>
          </cell>
          <cell r="AD30">
            <v>99.283885029171373</v>
          </cell>
          <cell r="AF30">
            <v>97.831363474189232</v>
          </cell>
          <cell r="AG30">
            <v>96.466326931582387</v>
          </cell>
        </row>
        <row r="31">
          <cell r="A31">
            <v>40207</v>
          </cell>
          <cell r="B31">
            <v>12.612781</v>
          </cell>
          <cell r="C31">
            <v>55.67</v>
          </cell>
          <cell r="D31">
            <v>55.816006000000002</v>
          </cell>
          <cell r="E31">
            <v>29.893553000000001</v>
          </cell>
          <cell r="F31">
            <v>71.099999999999994</v>
          </cell>
          <cell r="G31">
            <v>0.98308110000000004</v>
          </cell>
          <cell r="H31">
            <v>18.899999999999999</v>
          </cell>
          <cell r="I31">
            <v>32.56</v>
          </cell>
          <cell r="J31">
            <v>25.57</v>
          </cell>
          <cell r="K31">
            <v>4.1598176999999996</v>
          </cell>
          <cell r="L31">
            <v>2.2000000000000002</v>
          </cell>
          <cell r="M31">
            <v>17.059999999999999</v>
          </cell>
          <cell r="N31">
            <v>7.7241635000000004</v>
          </cell>
          <cell r="O31">
            <v>10.414662</v>
          </cell>
          <cell r="Q31">
            <v>91.244826244241537</v>
          </cell>
          <cell r="R31">
            <v>92.199403776084793</v>
          </cell>
          <cell r="S31">
            <v>107.13796026359897</v>
          </cell>
          <cell r="T31">
            <v>109.3493241156725</v>
          </cell>
          <cell r="U31">
            <v>95.002672367717793</v>
          </cell>
          <cell r="V31">
            <v>95.185972042613471</v>
          </cell>
          <cell r="W31">
            <v>96.625766871165638</v>
          </cell>
          <cell r="X31">
            <v>91.640866873065022</v>
          </cell>
          <cell r="Y31">
            <v>97.838148077290981</v>
          </cell>
          <cell r="Z31">
            <v>91.229974307548389</v>
          </cell>
          <cell r="AA31">
            <v>107.84313725490198</v>
          </cell>
          <cell r="AB31">
            <v>93.020719738276981</v>
          </cell>
          <cell r="AC31">
            <v>94.506139404371879</v>
          </cell>
          <cell r="AD31">
            <v>98.721264568020501</v>
          </cell>
          <cell r="AF31">
            <v>97.359897661014827</v>
          </cell>
          <cell r="AG31">
            <v>96.61370198619619</v>
          </cell>
        </row>
        <row r="32">
          <cell r="A32">
            <v>40208</v>
          </cell>
          <cell r="B32">
            <v>12.612781</v>
          </cell>
          <cell r="C32">
            <v>55.67</v>
          </cell>
          <cell r="D32">
            <v>55.816006000000002</v>
          </cell>
          <cell r="E32">
            <v>29.893553000000001</v>
          </cell>
          <cell r="F32">
            <v>71.099999999999994</v>
          </cell>
          <cell r="G32">
            <v>0.98308110000000004</v>
          </cell>
          <cell r="H32">
            <v>18.899999999999999</v>
          </cell>
          <cell r="I32">
            <v>32.56</v>
          </cell>
          <cell r="J32">
            <v>25.57</v>
          </cell>
          <cell r="K32">
            <v>4.1598176999999996</v>
          </cell>
          <cell r="L32">
            <v>2.2000000000000002</v>
          </cell>
          <cell r="M32">
            <v>17.059999999999999</v>
          </cell>
          <cell r="N32">
            <v>7.7241635000000004</v>
          </cell>
          <cell r="O32">
            <v>10.414662</v>
          </cell>
          <cell r="Q32">
            <v>91.244826244241537</v>
          </cell>
          <cell r="R32">
            <v>92.199403776084793</v>
          </cell>
          <cell r="S32">
            <v>107.13796026359897</v>
          </cell>
          <cell r="T32">
            <v>109.3493241156725</v>
          </cell>
          <cell r="U32">
            <v>95.002672367717793</v>
          </cell>
          <cell r="V32">
            <v>95.185972042613471</v>
          </cell>
          <cell r="W32">
            <v>96.625766871165638</v>
          </cell>
          <cell r="X32">
            <v>91.640866873065022</v>
          </cell>
          <cell r="Y32">
            <v>97.838148077290981</v>
          </cell>
          <cell r="Z32">
            <v>91.229974307548389</v>
          </cell>
          <cell r="AA32">
            <v>107.84313725490198</v>
          </cell>
          <cell r="AB32">
            <v>93.020719738276981</v>
          </cell>
          <cell r="AC32">
            <v>94.506139404371879</v>
          </cell>
          <cell r="AD32">
            <v>98.721264568020501</v>
          </cell>
          <cell r="AF32">
            <v>97.359897661014827</v>
          </cell>
          <cell r="AG32">
            <v>96.61370198619619</v>
          </cell>
        </row>
        <row r="33">
          <cell r="A33">
            <v>40209</v>
          </cell>
          <cell r="B33">
            <v>12.612781</v>
          </cell>
          <cell r="C33">
            <v>55.67</v>
          </cell>
          <cell r="D33">
            <v>55.816006000000002</v>
          </cell>
          <cell r="E33">
            <v>29.893553000000001</v>
          </cell>
          <cell r="F33">
            <v>71.099999999999994</v>
          </cell>
          <cell r="G33">
            <v>0.98308110000000004</v>
          </cell>
          <cell r="H33">
            <v>18.899999999999999</v>
          </cell>
          <cell r="I33">
            <v>32.56</v>
          </cell>
          <cell r="J33">
            <v>25.57</v>
          </cell>
          <cell r="K33">
            <v>4.1598176999999996</v>
          </cell>
          <cell r="L33">
            <v>2.2000000000000002</v>
          </cell>
          <cell r="M33">
            <v>17.059999999999999</v>
          </cell>
          <cell r="N33">
            <v>7.7241635000000004</v>
          </cell>
          <cell r="O33">
            <v>10.414662</v>
          </cell>
          <cell r="Q33">
            <v>91.244826244241537</v>
          </cell>
          <cell r="R33">
            <v>92.199403776084793</v>
          </cell>
          <cell r="S33">
            <v>107.13796026359897</v>
          </cell>
          <cell r="T33">
            <v>109.3493241156725</v>
          </cell>
          <cell r="U33">
            <v>95.002672367717793</v>
          </cell>
          <cell r="V33">
            <v>95.185972042613471</v>
          </cell>
          <cell r="W33">
            <v>96.625766871165638</v>
          </cell>
          <cell r="X33">
            <v>91.640866873065022</v>
          </cell>
          <cell r="Y33">
            <v>97.838148077290981</v>
          </cell>
          <cell r="Z33">
            <v>91.229974307548389</v>
          </cell>
          <cell r="AA33">
            <v>107.84313725490198</v>
          </cell>
          <cell r="AB33">
            <v>93.020719738276981</v>
          </cell>
          <cell r="AC33">
            <v>94.506139404371879</v>
          </cell>
          <cell r="AD33">
            <v>98.721264568020501</v>
          </cell>
          <cell r="AF33">
            <v>97.359897661014827</v>
          </cell>
          <cell r="AG33">
            <v>96.61370198619619</v>
          </cell>
        </row>
        <row r="34">
          <cell r="A34">
            <v>40210</v>
          </cell>
          <cell r="B34">
            <v>12.746661</v>
          </cell>
          <cell r="C34">
            <v>56.44</v>
          </cell>
          <cell r="D34">
            <v>55.962542999999997</v>
          </cell>
          <cell r="E34">
            <v>30.492977</v>
          </cell>
          <cell r="F34">
            <v>71.599999999999994</v>
          </cell>
          <cell r="G34">
            <v>0.98379225000000003</v>
          </cell>
          <cell r="H34">
            <v>18.809999999999999</v>
          </cell>
          <cell r="I34">
            <v>31.67</v>
          </cell>
          <cell r="J34">
            <v>25.734999999999999</v>
          </cell>
          <cell r="K34">
            <v>4.2518399999999996</v>
          </cell>
          <cell r="L34">
            <v>2.27</v>
          </cell>
          <cell r="M34">
            <v>17.13</v>
          </cell>
          <cell r="N34">
            <v>7.8474139999999997</v>
          </cell>
          <cell r="O34">
            <v>10.270545</v>
          </cell>
          <cell r="Q34">
            <v>92.213356288295984</v>
          </cell>
          <cell r="R34">
            <v>93.474660483603827</v>
          </cell>
          <cell r="S34">
            <v>107.4192357687497</v>
          </cell>
          <cell r="T34">
            <v>111.54199118534845</v>
          </cell>
          <cell r="U34">
            <v>95.670764297167281</v>
          </cell>
          <cell r="V34">
            <v>95.254828522529621</v>
          </cell>
          <cell r="W34">
            <v>96.165644171779135</v>
          </cell>
          <cell r="X34">
            <v>89.135941457922883</v>
          </cell>
          <cell r="Y34">
            <v>98.469485364453789</v>
          </cell>
          <cell r="Z34">
            <v>93.248137763298274</v>
          </cell>
          <cell r="AA34">
            <v>111.27450980392157</v>
          </cell>
          <cell r="AB34">
            <v>93.402399127589959</v>
          </cell>
          <cell r="AC34">
            <v>96.014125212111253</v>
          </cell>
          <cell r="AD34">
            <v>97.35517006723407</v>
          </cell>
          <cell r="AF34">
            <v>98.105912852888366</v>
          </cell>
          <cell r="AG34">
            <v>96.684647639672662</v>
          </cell>
        </row>
        <row r="35">
          <cell r="A35">
            <v>40211</v>
          </cell>
          <cell r="B35">
            <v>12.6595955</v>
          </cell>
          <cell r="C35">
            <v>57</v>
          </cell>
          <cell r="D35">
            <v>57.221912000000003</v>
          </cell>
          <cell r="E35">
            <v>30.160485999999999</v>
          </cell>
          <cell r="F35">
            <v>72.599999999999994</v>
          </cell>
          <cell r="G35">
            <v>0.99318949999999995</v>
          </cell>
          <cell r="H35">
            <v>19.024999999999999</v>
          </cell>
          <cell r="I35">
            <v>31.42</v>
          </cell>
          <cell r="J35">
            <v>26.105</v>
          </cell>
          <cell r="K35">
            <v>4.1550349999999998</v>
          </cell>
          <cell r="L35">
            <v>2.5</v>
          </cell>
          <cell r="M35">
            <v>17.149999999999999</v>
          </cell>
          <cell r="N35">
            <v>8.2925500000000003</v>
          </cell>
          <cell r="O35">
            <v>10.277324</v>
          </cell>
          <cell r="Q35">
            <v>91.583497066973734</v>
          </cell>
          <cell r="R35">
            <v>94.402119907254061</v>
          </cell>
          <cell r="S35">
            <v>109.83657508677989</v>
          </cell>
          <cell r="T35">
            <v>110.32575348605107</v>
          </cell>
          <cell r="U35">
            <v>97.006948156066258</v>
          </cell>
          <cell r="V35">
            <v>96.164709076410119</v>
          </cell>
          <cell r="W35">
            <v>97.264826175869118</v>
          </cell>
          <cell r="X35">
            <v>88.432310723332392</v>
          </cell>
          <cell r="Y35">
            <v>99.885211402334022</v>
          </cell>
          <cell r="Z35">
            <v>91.12508374993557</v>
          </cell>
          <cell r="AA35">
            <v>122.54901960784315</v>
          </cell>
          <cell r="AB35">
            <v>93.511450381679381</v>
          </cell>
          <cell r="AC35">
            <v>101.46042174246104</v>
          </cell>
          <cell r="AD35">
            <v>97.419428653111041</v>
          </cell>
          <cell r="AF35">
            <v>99.340625401710724</v>
          </cell>
          <cell r="AG35">
            <v>99.439925197786039</v>
          </cell>
        </row>
        <row r="36">
          <cell r="A36">
            <v>40212</v>
          </cell>
          <cell r="B36">
            <v>12.736465000000001</v>
          </cell>
          <cell r="C36">
            <v>56.48</v>
          </cell>
          <cell r="D36">
            <v>56.831924000000001</v>
          </cell>
          <cell r="E36">
            <v>30.570518</v>
          </cell>
          <cell r="F36">
            <v>71.8</v>
          </cell>
          <cell r="G36">
            <v>0.99164180000000002</v>
          </cell>
          <cell r="H36">
            <v>19.18</v>
          </cell>
          <cell r="I36">
            <v>31.05</v>
          </cell>
          <cell r="J36">
            <v>26.08</v>
          </cell>
          <cell r="K36">
            <v>4.1159452999999999</v>
          </cell>
          <cell r="L36">
            <v>2.46</v>
          </cell>
          <cell r="M36">
            <v>17.059999999999999</v>
          </cell>
          <cell r="N36">
            <v>8.3428135000000001</v>
          </cell>
          <cell r="O36">
            <v>10.23349</v>
          </cell>
          <cell r="Q36">
            <v>92.139595216222631</v>
          </cell>
          <cell r="R36">
            <v>93.540907585293127</v>
          </cell>
          <cell r="S36">
            <v>109.08799915235564</v>
          </cell>
          <cell r="T36">
            <v>111.82563281005775</v>
          </cell>
          <cell r="U36">
            <v>95.938001068947074</v>
          </cell>
          <cell r="V36">
            <v>96.014854370699325</v>
          </cell>
          <cell r="W36">
            <v>98.057259713701441</v>
          </cell>
          <cell r="X36">
            <v>87.390937236138484</v>
          </cell>
          <cell r="Y36">
            <v>99.789554237612393</v>
          </cell>
          <cell r="Z36">
            <v>90.267798026407405</v>
          </cell>
          <cell r="AA36">
            <v>120.58823529411764</v>
          </cell>
          <cell r="AB36">
            <v>93.020719738276981</v>
          </cell>
          <cell r="AC36">
            <v>102.07540216564234</v>
          </cell>
          <cell r="AD36">
            <v>97.003923290471846</v>
          </cell>
          <cell r="AF36">
            <v>98.971791204152495</v>
          </cell>
          <cell r="AG36">
            <v>99.539662728057095</v>
          </cell>
        </row>
        <row r="37">
          <cell r="A37">
            <v>40213</v>
          </cell>
          <cell r="B37">
            <v>12.443592000000001</v>
          </cell>
          <cell r="C37">
            <v>55.43</v>
          </cell>
          <cell r="D37">
            <v>60.780518000000001</v>
          </cell>
          <cell r="E37">
            <v>30.877388</v>
          </cell>
          <cell r="F37">
            <v>70.540000000000006</v>
          </cell>
          <cell r="G37">
            <v>0.97306440000000005</v>
          </cell>
          <cell r="H37">
            <v>18.920000000000002</v>
          </cell>
          <cell r="I37">
            <v>32.6</v>
          </cell>
          <cell r="J37">
            <v>25.465</v>
          </cell>
          <cell r="K37">
            <v>4.0868659999999997</v>
          </cell>
          <cell r="L37">
            <v>2.19</v>
          </cell>
          <cell r="M37">
            <v>16.149999999999999</v>
          </cell>
          <cell r="N37">
            <v>7.7420726000000002</v>
          </cell>
          <cell r="O37">
            <v>9.5079010000000004</v>
          </cell>
          <cell r="Q37">
            <v>90.020859784549828</v>
          </cell>
          <cell r="R37">
            <v>91.801921165948983</v>
          </cell>
          <cell r="S37">
            <v>116.6672642661849</v>
          </cell>
          <cell r="T37">
            <v>112.94814999934523</v>
          </cell>
          <cell r="U37">
            <v>94.254409406734368</v>
          </cell>
          <cell r="V37">
            <v>94.216113781520619</v>
          </cell>
          <cell r="W37">
            <v>96.728016359918215</v>
          </cell>
          <cell r="X37">
            <v>91.753447790599495</v>
          </cell>
          <cell r="Y37">
            <v>97.436387985460101</v>
          </cell>
          <cell r="Z37">
            <v>89.630052821399616</v>
          </cell>
          <cell r="AA37">
            <v>107.35294117647058</v>
          </cell>
          <cell r="AB37">
            <v>88.05888767720829</v>
          </cell>
          <cell r="AC37">
            <v>94.725259559092436</v>
          </cell>
          <cell r="AD37">
            <v>90.126017542148446</v>
          </cell>
          <cell r="AF37">
            <v>97.572371017945031</v>
          </cell>
          <cell r="AG37">
            <v>92.425638550620448</v>
          </cell>
        </row>
        <row r="38">
          <cell r="A38">
            <v>40214</v>
          </cell>
          <cell r="B38">
            <v>12.478343000000001</v>
          </cell>
          <cell r="C38">
            <v>55.6</v>
          </cell>
          <cell r="D38">
            <v>61.548789999999997</v>
          </cell>
          <cell r="E38">
            <v>30.528199999999998</v>
          </cell>
          <cell r="F38">
            <v>70.64</v>
          </cell>
          <cell r="G38">
            <v>0.93549979999999999</v>
          </cell>
          <cell r="H38">
            <v>19</v>
          </cell>
          <cell r="I38">
            <v>32.39</v>
          </cell>
          <cell r="J38">
            <v>27.45</v>
          </cell>
          <cell r="K38">
            <v>4.0037929999999999</v>
          </cell>
          <cell r="L38">
            <v>2.2000000000000002</v>
          </cell>
          <cell r="M38">
            <v>15.93</v>
          </cell>
          <cell r="N38">
            <v>7.6853337000000002</v>
          </cell>
          <cell r="O38">
            <v>9.4346680000000003</v>
          </cell>
          <cell r="Q38">
            <v>90.27225945261776</v>
          </cell>
          <cell r="R38">
            <v>92.083471348128526</v>
          </cell>
          <cell r="S38">
            <v>118.14195048804812</v>
          </cell>
          <cell r="T38">
            <v>111.6708353961161</v>
          </cell>
          <cell r="U38">
            <v>94.388027792624257</v>
          </cell>
          <cell r="V38">
            <v>90.578954074766045</v>
          </cell>
          <cell r="W38">
            <v>97.137014314928422</v>
          </cell>
          <cell r="X38">
            <v>91.162397973543492</v>
          </cell>
          <cell r="Y38">
            <v>105.03156686435813</v>
          </cell>
          <cell r="Z38">
            <v>87.808158641841956</v>
          </cell>
          <cell r="AA38">
            <v>107.84313725490198</v>
          </cell>
          <cell r="AB38">
            <v>86.859323882224643</v>
          </cell>
          <cell r="AC38">
            <v>94.031051779434378</v>
          </cell>
          <cell r="AD38">
            <v>89.431837129177779</v>
          </cell>
          <cell r="AF38">
            <v>97.748091457008272</v>
          </cell>
          <cell r="AG38">
            <v>91.731444454306086</v>
          </cell>
        </row>
        <row r="39">
          <cell r="A39">
            <v>40215</v>
          </cell>
          <cell r="B39">
            <v>12.478343000000001</v>
          </cell>
          <cell r="C39">
            <v>55.6</v>
          </cell>
          <cell r="D39">
            <v>61.548789999999997</v>
          </cell>
          <cell r="E39">
            <v>30.528199999999998</v>
          </cell>
          <cell r="F39">
            <v>70.64</v>
          </cell>
          <cell r="G39">
            <v>0.93549979999999999</v>
          </cell>
          <cell r="H39">
            <v>19</v>
          </cell>
          <cell r="I39">
            <v>32.39</v>
          </cell>
          <cell r="J39">
            <v>27.45</v>
          </cell>
          <cell r="K39">
            <v>4.0037929999999999</v>
          </cell>
          <cell r="L39">
            <v>2.2000000000000002</v>
          </cell>
          <cell r="M39">
            <v>15.93</v>
          </cell>
          <cell r="N39">
            <v>7.6853337000000002</v>
          </cell>
          <cell r="O39">
            <v>9.4346680000000003</v>
          </cell>
          <cell r="Q39">
            <v>90.27225945261776</v>
          </cell>
          <cell r="R39">
            <v>92.083471348128526</v>
          </cell>
          <cell r="S39">
            <v>118.14195048804812</v>
          </cell>
          <cell r="T39">
            <v>111.6708353961161</v>
          </cell>
          <cell r="U39">
            <v>94.388027792624257</v>
          </cell>
          <cell r="V39">
            <v>90.578954074766045</v>
          </cell>
          <cell r="W39">
            <v>97.137014314928422</v>
          </cell>
          <cell r="X39">
            <v>91.162397973543492</v>
          </cell>
          <cell r="Y39">
            <v>105.03156686435813</v>
          </cell>
          <cell r="Z39">
            <v>87.808158641841956</v>
          </cell>
          <cell r="AA39">
            <v>107.84313725490198</v>
          </cell>
          <cell r="AB39">
            <v>86.859323882224643</v>
          </cell>
          <cell r="AC39">
            <v>94.031051779434378</v>
          </cell>
          <cell r="AD39">
            <v>89.431837129177779</v>
          </cell>
          <cell r="AF39">
            <v>97.748091457008272</v>
          </cell>
          <cell r="AG39">
            <v>91.731444454306086</v>
          </cell>
        </row>
        <row r="40">
          <cell r="A40">
            <v>40216</v>
          </cell>
          <cell r="B40">
            <v>12.478343000000001</v>
          </cell>
          <cell r="C40">
            <v>55.6</v>
          </cell>
          <cell r="D40">
            <v>61.548789999999997</v>
          </cell>
          <cell r="E40">
            <v>30.528199999999998</v>
          </cell>
          <cell r="F40">
            <v>70.64</v>
          </cell>
          <cell r="G40">
            <v>0.93549979999999999</v>
          </cell>
          <cell r="H40">
            <v>19</v>
          </cell>
          <cell r="I40">
            <v>32.39</v>
          </cell>
          <cell r="J40">
            <v>27.45</v>
          </cell>
          <cell r="K40">
            <v>4.0037929999999999</v>
          </cell>
          <cell r="L40">
            <v>2.2000000000000002</v>
          </cell>
          <cell r="M40">
            <v>15.93</v>
          </cell>
          <cell r="N40">
            <v>7.6853337000000002</v>
          </cell>
          <cell r="O40">
            <v>9.4346680000000003</v>
          </cell>
          <cell r="Q40">
            <v>90.27225945261776</v>
          </cell>
          <cell r="R40">
            <v>92.083471348128526</v>
          </cell>
          <cell r="S40">
            <v>118.14195048804812</v>
          </cell>
          <cell r="T40">
            <v>111.6708353961161</v>
          </cell>
          <cell r="U40">
            <v>94.388027792624257</v>
          </cell>
          <cell r="V40">
            <v>90.578954074766045</v>
          </cell>
          <cell r="W40">
            <v>97.137014314928422</v>
          </cell>
          <cell r="X40">
            <v>91.162397973543492</v>
          </cell>
          <cell r="Y40">
            <v>105.03156686435813</v>
          </cell>
          <cell r="Z40">
            <v>87.808158641841956</v>
          </cell>
          <cell r="AA40">
            <v>107.84313725490198</v>
          </cell>
          <cell r="AB40">
            <v>86.859323882224643</v>
          </cell>
          <cell r="AC40">
            <v>94.031051779434378</v>
          </cell>
          <cell r="AD40">
            <v>89.431837129177779</v>
          </cell>
          <cell r="AF40">
            <v>97.748091457008272</v>
          </cell>
          <cell r="AG40">
            <v>91.731444454306086</v>
          </cell>
        </row>
        <row r="41">
          <cell r="A41">
            <v>40217</v>
          </cell>
          <cell r="B41">
            <v>12.69403</v>
          </cell>
          <cell r="C41">
            <v>55</v>
          </cell>
          <cell r="D41">
            <v>60.395539999999997</v>
          </cell>
          <cell r="E41">
            <v>29.077256999999999</v>
          </cell>
          <cell r="F41">
            <v>70.14</v>
          </cell>
          <cell r="G41">
            <v>0.94916690000000004</v>
          </cell>
          <cell r="H41">
            <v>18.975000000000001</v>
          </cell>
          <cell r="I41">
            <v>31.25</v>
          </cell>
          <cell r="J41">
            <v>27.42</v>
          </cell>
          <cell r="K41">
            <v>4.071834</v>
          </cell>
          <cell r="L41">
            <v>2.25</v>
          </cell>
          <cell r="M41">
            <v>15.52</v>
          </cell>
          <cell r="N41">
            <v>7.9067273</v>
          </cell>
          <cell r="O41">
            <v>9.5845610000000008</v>
          </cell>
          <cell r="Q41">
            <v>91.832607074457997</v>
          </cell>
          <cell r="R41">
            <v>91.089764822788993</v>
          </cell>
          <cell r="S41">
            <v>115.92830494927568</v>
          </cell>
          <cell r="T41">
            <v>106.36334864871053</v>
          </cell>
          <cell r="U41">
            <v>93.719935863174769</v>
          </cell>
          <cell r="V41">
            <v>91.902259139326446</v>
          </cell>
          <cell r="W41">
            <v>97.00920245398774</v>
          </cell>
          <cell r="X41">
            <v>87.953841823810862</v>
          </cell>
          <cell r="Y41">
            <v>104.91677826669216</v>
          </cell>
          <cell r="Z41">
            <v>89.300382371227954</v>
          </cell>
          <cell r="AA41">
            <v>110.29411764705883</v>
          </cell>
          <cell r="AB41">
            <v>84.623773173391498</v>
          </cell>
          <cell r="AC41">
            <v>96.739831108721717</v>
          </cell>
          <cell r="AD41">
            <v>90.852682713018552</v>
          </cell>
          <cell r="AF41">
            <v>97.077859686158618</v>
          </cell>
          <cell r="AG41">
            <v>93.796256910870142</v>
          </cell>
        </row>
        <row r="42">
          <cell r="A42">
            <v>40218</v>
          </cell>
          <cell r="B42">
            <v>12.830894000000001</v>
          </cell>
          <cell r="C42">
            <v>55.68</v>
          </cell>
          <cell r="D42">
            <v>60.409443000000003</v>
          </cell>
          <cell r="E42">
            <v>28.783981000000001</v>
          </cell>
          <cell r="F42">
            <v>70.150000000000006</v>
          </cell>
          <cell r="G42">
            <v>0.95191084999999998</v>
          </cell>
          <cell r="H42">
            <v>19.175000000000001</v>
          </cell>
          <cell r="I42">
            <v>31.34</v>
          </cell>
          <cell r="J42">
            <v>27.135000000000002</v>
          </cell>
          <cell r="K42">
            <v>4.0412955000000004</v>
          </cell>
          <cell r="L42">
            <v>2.35</v>
          </cell>
          <cell r="M42">
            <v>15.97</v>
          </cell>
          <cell r="N42">
            <v>8.0086300000000001</v>
          </cell>
          <cell r="O42">
            <v>9.9770800000000008</v>
          </cell>
          <cell r="Q42">
            <v>92.822724313399334</v>
          </cell>
          <cell r="R42">
            <v>92.215965551507111</v>
          </cell>
          <cell r="S42">
            <v>115.95499154275115</v>
          </cell>
          <cell r="T42">
            <v>105.29055772354525</v>
          </cell>
          <cell r="U42">
            <v>93.73329770176376</v>
          </cell>
          <cell r="V42">
            <v>92.167939710325442</v>
          </cell>
          <cell r="W42">
            <v>98.031697341513308</v>
          </cell>
          <cell r="X42">
            <v>88.207148888263433</v>
          </cell>
          <cell r="Y42">
            <v>103.8262865888655</v>
          </cell>
          <cell r="Z42">
            <v>88.630635095910819</v>
          </cell>
          <cell r="AA42">
            <v>115.19607843137256</v>
          </cell>
          <cell r="AB42">
            <v>87.077426390403488</v>
          </cell>
          <cell r="AC42">
            <v>97.986623822506445</v>
          </cell>
          <cell r="AD42">
            <v>94.573396073372919</v>
          </cell>
          <cell r="AF42">
            <v>97.762895773301764</v>
          </cell>
          <cell r="AG42">
            <v>96.280009947939675</v>
          </cell>
        </row>
        <row r="43">
          <cell r="A43">
            <v>40219</v>
          </cell>
          <cell r="B43">
            <v>12.854134</v>
          </cell>
          <cell r="C43">
            <v>55.76</v>
          </cell>
          <cell r="D43">
            <v>60.218170000000001</v>
          </cell>
          <cell r="E43">
            <v>28.495104000000001</v>
          </cell>
          <cell r="F43">
            <v>70.97</v>
          </cell>
          <cell r="G43">
            <v>0.95862406</v>
          </cell>
          <cell r="H43">
            <v>19.350000000000001</v>
          </cell>
          <cell r="I43">
            <v>31.29</v>
          </cell>
          <cell r="J43">
            <v>27.14</v>
          </cell>
          <cell r="K43">
            <v>4.0403694999999997</v>
          </cell>
          <cell r="L43">
            <v>2.39</v>
          </cell>
          <cell r="M43">
            <v>15.74</v>
          </cell>
          <cell r="N43">
            <v>8.3191900000000008</v>
          </cell>
          <cell r="O43">
            <v>10.205017</v>
          </cell>
          <cell r="Q43">
            <v>92.990849785641842</v>
          </cell>
          <cell r="R43">
            <v>92.34845975488571</v>
          </cell>
          <cell r="S43">
            <v>115.58784597748981</v>
          </cell>
          <cell r="T43">
            <v>104.23385815014348</v>
          </cell>
          <cell r="U43">
            <v>94.828968466060928</v>
          </cell>
          <cell r="V43">
            <v>92.817940426824009</v>
          </cell>
          <cell r="W43">
            <v>98.926380368098179</v>
          </cell>
          <cell r="X43">
            <v>88.066422741345335</v>
          </cell>
          <cell r="Y43">
            <v>103.84541802180982</v>
          </cell>
          <cell r="Z43">
            <v>88.610326764560426</v>
          </cell>
          <cell r="AA43">
            <v>117.15686274509804</v>
          </cell>
          <cell r="AB43">
            <v>85.823336968375145</v>
          </cell>
          <cell r="AC43">
            <v>101.78636558786678</v>
          </cell>
          <cell r="AD43">
            <v>96.734025854909817</v>
          </cell>
          <cell r="AF43">
            <v>97.936389180861056</v>
          </cell>
          <cell r="AG43">
            <v>99.2601957213883</v>
          </cell>
        </row>
        <row r="44">
          <cell r="A44">
            <v>40220</v>
          </cell>
          <cell r="B44">
            <v>13.052269000000001</v>
          </cell>
          <cell r="C44">
            <v>55.9</v>
          </cell>
          <cell r="D44">
            <v>60.258409999999998</v>
          </cell>
          <cell r="E44">
            <v>28.514147000000001</v>
          </cell>
          <cell r="F44">
            <v>71.56</v>
          </cell>
          <cell r="G44">
            <v>0.94039459999999997</v>
          </cell>
          <cell r="H44">
            <v>19.71</v>
          </cell>
          <cell r="I44">
            <v>31.41</v>
          </cell>
          <cell r="J44">
            <v>27.75</v>
          </cell>
          <cell r="K44">
            <v>4.0943092999999999</v>
          </cell>
          <cell r="L44">
            <v>2.31</v>
          </cell>
          <cell r="M44">
            <v>16.07</v>
          </cell>
          <cell r="N44">
            <v>8.2261659999999992</v>
          </cell>
          <cell r="O44">
            <v>10.078665000000001</v>
          </cell>
          <cell r="Q44">
            <v>94.424220716914078</v>
          </cell>
          <cell r="R44">
            <v>92.580324610798272</v>
          </cell>
          <cell r="S44">
            <v>115.66508603513577</v>
          </cell>
          <cell r="T44">
            <v>104.30351662062154</v>
          </cell>
          <cell r="U44">
            <v>95.617316942811328</v>
          </cell>
          <cell r="V44">
            <v>91.052888825372264</v>
          </cell>
          <cell r="W44">
            <v>100.76687116564418</v>
          </cell>
          <cell r="X44">
            <v>88.404165493948767</v>
          </cell>
          <cell r="Y44">
            <v>106.17945284101779</v>
          </cell>
          <cell r="Z44">
            <v>89.793293645093257</v>
          </cell>
          <cell r="AA44">
            <v>113.23529411764706</v>
          </cell>
          <cell r="AB44">
            <v>87.6226826608506</v>
          </cell>
          <cell r="AC44">
            <v>100.64820491688246</v>
          </cell>
          <cell r="AD44">
            <v>95.536326954964878</v>
          </cell>
          <cell r="AF44">
            <v>98.303759472987906</v>
          </cell>
          <cell r="AG44">
            <v>98.092265935923677</v>
          </cell>
        </row>
        <row r="45">
          <cell r="A45">
            <v>40221</v>
          </cell>
          <cell r="B45">
            <v>13.139564500000001</v>
          </cell>
          <cell r="C45">
            <v>56.07</v>
          </cell>
          <cell r="D45">
            <v>60.222225000000002</v>
          </cell>
          <cell r="E45">
            <v>29.477779999999999</v>
          </cell>
          <cell r="F45">
            <v>71.760000000000005</v>
          </cell>
          <cell r="G45">
            <v>0.99002889999999999</v>
          </cell>
          <cell r="H45">
            <v>19.715</v>
          </cell>
          <cell r="I45">
            <v>31.69</v>
          </cell>
          <cell r="J45">
            <v>27.99</v>
          </cell>
          <cell r="K45">
            <v>4.0829659999999999</v>
          </cell>
          <cell r="L45">
            <v>2.2999999999999998</v>
          </cell>
          <cell r="M45">
            <v>16.29</v>
          </cell>
          <cell r="N45">
            <v>8.2613129999999995</v>
          </cell>
          <cell r="O45">
            <v>9.9307529999999993</v>
          </cell>
          <cell r="Q45">
            <v>95.055743830603618</v>
          </cell>
          <cell r="R45">
            <v>92.861874792977801</v>
          </cell>
          <cell r="S45">
            <v>115.59562948727498</v>
          </cell>
          <cell r="T45">
            <v>107.82844446193761</v>
          </cell>
          <cell r="U45">
            <v>95.884553714591121</v>
          </cell>
          <cell r="V45">
            <v>95.858686731724745</v>
          </cell>
          <cell r="W45">
            <v>100.79243353783231</v>
          </cell>
          <cell r="X45">
            <v>89.192231916690119</v>
          </cell>
          <cell r="Y45">
            <v>107.0977616223455</v>
          </cell>
          <cell r="Z45">
            <v>89.544520972299736</v>
          </cell>
          <cell r="AA45">
            <v>112.74509803921569</v>
          </cell>
          <cell r="AB45">
            <v>88.822246455834247</v>
          </cell>
          <cell r="AC45">
            <v>101.07823300751591</v>
          </cell>
          <cell r="AD45">
            <v>94.134259400128713</v>
          </cell>
          <cell r="AF45">
            <v>99.273268796943952</v>
          </cell>
          <cell r="AG45">
            <v>97.606246203822309</v>
          </cell>
        </row>
        <row r="46">
          <cell r="A46">
            <v>40222</v>
          </cell>
          <cell r="B46">
            <v>13.139564500000001</v>
          </cell>
          <cell r="C46">
            <v>56.07</v>
          </cell>
          <cell r="D46">
            <v>60.222225000000002</v>
          </cell>
          <cell r="E46">
            <v>29.477779999999999</v>
          </cell>
          <cell r="F46">
            <v>71.760000000000005</v>
          </cell>
          <cell r="G46">
            <v>0.99002889999999999</v>
          </cell>
          <cell r="H46">
            <v>19.715</v>
          </cell>
          <cell r="I46">
            <v>31.69</v>
          </cell>
          <cell r="J46">
            <v>27.99</v>
          </cell>
          <cell r="K46">
            <v>4.0829659999999999</v>
          </cell>
          <cell r="L46">
            <v>2.2999999999999998</v>
          </cell>
          <cell r="M46">
            <v>16.29</v>
          </cell>
          <cell r="N46">
            <v>8.2613129999999995</v>
          </cell>
          <cell r="O46">
            <v>9.9307529999999993</v>
          </cell>
          <cell r="Q46">
            <v>95.055743830603618</v>
          </cell>
          <cell r="R46">
            <v>92.861874792977801</v>
          </cell>
          <cell r="S46">
            <v>115.59562948727498</v>
          </cell>
          <cell r="T46">
            <v>107.82844446193761</v>
          </cell>
          <cell r="U46">
            <v>95.884553714591121</v>
          </cell>
          <cell r="V46">
            <v>95.858686731724745</v>
          </cell>
          <cell r="W46">
            <v>100.79243353783231</v>
          </cell>
          <cell r="X46">
            <v>89.192231916690119</v>
          </cell>
          <cell r="Y46">
            <v>107.0977616223455</v>
          </cell>
          <cell r="Z46">
            <v>89.544520972299736</v>
          </cell>
          <cell r="AA46">
            <v>112.74509803921569</v>
          </cell>
          <cell r="AB46">
            <v>88.822246455834247</v>
          </cell>
          <cell r="AC46">
            <v>101.07823300751591</v>
          </cell>
          <cell r="AD46">
            <v>94.134259400128713</v>
          </cell>
          <cell r="AF46">
            <v>99.273268796943952</v>
          </cell>
          <cell r="AG46">
            <v>97.606246203822309</v>
          </cell>
        </row>
        <row r="47">
          <cell r="A47">
            <v>40223</v>
          </cell>
          <cell r="B47">
            <v>13.139564500000001</v>
          </cell>
          <cell r="C47">
            <v>56.07</v>
          </cell>
          <cell r="D47">
            <v>60.222225000000002</v>
          </cell>
          <cell r="E47">
            <v>29.477779999999999</v>
          </cell>
          <cell r="F47">
            <v>71.760000000000005</v>
          </cell>
          <cell r="G47">
            <v>0.99002889999999999</v>
          </cell>
          <cell r="H47">
            <v>19.715</v>
          </cell>
          <cell r="I47">
            <v>31.69</v>
          </cell>
          <cell r="J47">
            <v>27.99</v>
          </cell>
          <cell r="K47">
            <v>4.0829659999999999</v>
          </cell>
          <cell r="L47">
            <v>2.2999999999999998</v>
          </cell>
          <cell r="M47">
            <v>16.29</v>
          </cell>
          <cell r="N47">
            <v>8.2613129999999995</v>
          </cell>
          <cell r="O47">
            <v>9.9307529999999993</v>
          </cell>
          <cell r="Q47">
            <v>95.055743830603618</v>
          </cell>
          <cell r="R47">
            <v>92.861874792977801</v>
          </cell>
          <cell r="S47">
            <v>115.59562948727498</v>
          </cell>
          <cell r="T47">
            <v>107.82844446193761</v>
          </cell>
          <cell r="U47">
            <v>95.884553714591121</v>
          </cell>
          <cell r="V47">
            <v>95.858686731724745</v>
          </cell>
          <cell r="W47">
            <v>100.79243353783231</v>
          </cell>
          <cell r="X47">
            <v>89.192231916690119</v>
          </cell>
          <cell r="Y47">
            <v>107.0977616223455</v>
          </cell>
          <cell r="Z47">
            <v>89.544520972299736</v>
          </cell>
          <cell r="AA47">
            <v>112.74509803921569</v>
          </cell>
          <cell r="AB47">
            <v>88.822246455834247</v>
          </cell>
          <cell r="AC47">
            <v>101.07823300751591</v>
          </cell>
          <cell r="AD47">
            <v>94.134259400128713</v>
          </cell>
          <cell r="AF47">
            <v>99.273268796943952</v>
          </cell>
          <cell r="AG47">
            <v>97.606246203822309</v>
          </cell>
        </row>
        <row r="48">
          <cell r="A48">
            <v>40224</v>
          </cell>
          <cell r="B48">
            <v>13.139564500000001</v>
          </cell>
          <cell r="C48">
            <v>56.07</v>
          </cell>
          <cell r="D48">
            <v>60.222225000000002</v>
          </cell>
          <cell r="E48">
            <v>29.477779999999999</v>
          </cell>
          <cell r="F48">
            <v>71.760000000000005</v>
          </cell>
          <cell r="G48">
            <v>0.99002889999999999</v>
          </cell>
          <cell r="H48">
            <v>19.715</v>
          </cell>
          <cell r="I48">
            <v>31.69</v>
          </cell>
          <cell r="J48">
            <v>27.99</v>
          </cell>
          <cell r="K48">
            <v>4.0829659999999999</v>
          </cell>
          <cell r="L48">
            <v>2.2999999999999998</v>
          </cell>
          <cell r="M48">
            <v>16.29</v>
          </cell>
          <cell r="N48">
            <v>8.2613129999999995</v>
          </cell>
          <cell r="O48">
            <v>9.9307529999999993</v>
          </cell>
          <cell r="Q48">
            <v>95.055743830603618</v>
          </cell>
          <cell r="R48">
            <v>92.861874792977801</v>
          </cell>
          <cell r="S48">
            <v>115.59562948727498</v>
          </cell>
          <cell r="T48">
            <v>107.82844446193761</v>
          </cell>
          <cell r="U48">
            <v>95.884553714591121</v>
          </cell>
          <cell r="V48">
            <v>95.858686731724745</v>
          </cell>
          <cell r="W48">
            <v>100.79243353783231</v>
          </cell>
          <cell r="X48">
            <v>89.192231916690119</v>
          </cell>
          <cell r="Y48">
            <v>107.0977616223455</v>
          </cell>
          <cell r="Z48">
            <v>89.544520972299736</v>
          </cell>
          <cell r="AA48">
            <v>112.74509803921569</v>
          </cell>
          <cell r="AB48">
            <v>88.822246455834247</v>
          </cell>
          <cell r="AC48">
            <v>101.07823300751591</v>
          </cell>
          <cell r="AD48">
            <v>94.134259400128713</v>
          </cell>
          <cell r="AF48">
            <v>99.273268796943952</v>
          </cell>
          <cell r="AG48">
            <v>97.606246203822309</v>
          </cell>
        </row>
        <row r="49">
          <cell r="A49">
            <v>40225</v>
          </cell>
          <cell r="B49">
            <v>12.910726</v>
          </cell>
          <cell r="C49">
            <v>56.69</v>
          </cell>
          <cell r="D49">
            <v>58.390120000000003</v>
          </cell>
          <cell r="E49">
            <v>28.962387</v>
          </cell>
          <cell r="F49">
            <v>72.430000000000007</v>
          </cell>
          <cell r="G49">
            <v>0.99587420000000004</v>
          </cell>
          <cell r="H49">
            <v>19.79</v>
          </cell>
          <cell r="I49">
            <v>32.17</v>
          </cell>
          <cell r="J49">
            <v>27.725000000000001</v>
          </cell>
          <cell r="K49">
            <v>3.8543503000000001</v>
          </cell>
          <cell r="L49">
            <v>2.25</v>
          </cell>
          <cell r="M49">
            <v>16.079999999999998</v>
          </cell>
          <cell r="N49">
            <v>8.3437249999999992</v>
          </cell>
          <cell r="O49">
            <v>10.029819</v>
          </cell>
          <cell r="Q49">
            <v>93.400254119770381</v>
          </cell>
          <cell r="R49">
            <v>93.88870486916197</v>
          </cell>
          <cell r="S49">
            <v>112.07893227521109</v>
          </cell>
          <cell r="T49">
            <v>105.94315915630837</v>
          </cell>
          <cell r="U49">
            <v>96.779796900053455</v>
          </cell>
          <cell r="V49">
            <v>96.424652817717742</v>
          </cell>
          <cell r="W49">
            <v>101.1758691206544</v>
          </cell>
          <cell r="X49">
            <v>90.543202927103863</v>
          </cell>
          <cell r="Y49">
            <v>106.08379567629615</v>
          </cell>
          <cell r="Z49">
            <v>84.530694419924103</v>
          </cell>
          <cell r="AA49">
            <v>110.29411764705883</v>
          </cell>
          <cell r="AB49">
            <v>87.677208287895297</v>
          </cell>
          <cell r="AC49">
            <v>102.0865544860285</v>
          </cell>
          <cell r="AD49">
            <v>95.073312515409413</v>
          </cell>
          <cell r="AF49">
            <v>98.235032351429638</v>
          </cell>
          <cell r="AG49">
            <v>98.579933500718965</v>
          </cell>
        </row>
        <row r="50">
          <cell r="A50">
            <v>40226</v>
          </cell>
          <cell r="B50">
            <v>12.764614</v>
          </cell>
          <cell r="C50">
            <v>57.39</v>
          </cell>
          <cell r="D50">
            <v>58.111378000000002</v>
          </cell>
          <cell r="E50">
            <v>28.923618000000001</v>
          </cell>
          <cell r="F50">
            <v>73.150000000000006</v>
          </cell>
          <cell r="G50">
            <v>0.96745510000000001</v>
          </cell>
          <cell r="H50">
            <v>19.899999999999999</v>
          </cell>
          <cell r="I50">
            <v>32.6</v>
          </cell>
          <cell r="J50">
            <v>27.895</v>
          </cell>
          <cell r="K50">
            <v>3.9220383000000001</v>
          </cell>
          <cell r="L50">
            <v>2.2400000000000002</v>
          </cell>
          <cell r="M50">
            <v>15.92</v>
          </cell>
          <cell r="N50">
            <v>8.4937249999999995</v>
          </cell>
          <cell r="O50">
            <v>10.344920999999999</v>
          </cell>
          <cell r="Q50">
            <v>92.343233939034775</v>
          </cell>
          <cell r="R50">
            <v>95.048029148724737</v>
          </cell>
          <cell r="S50">
            <v>111.54389131725009</v>
          </cell>
          <cell r="T50">
            <v>105.80134383088887</v>
          </cell>
          <cell r="U50">
            <v>97.74184927846072</v>
          </cell>
          <cell r="V50">
            <v>93.672998190163369</v>
          </cell>
          <cell r="W50">
            <v>101.73824130879345</v>
          </cell>
          <cell r="X50">
            <v>91.753447790599495</v>
          </cell>
          <cell r="Y50">
            <v>106.73426439640328</v>
          </cell>
          <cell r="Z50">
            <v>86.015176420404387</v>
          </cell>
          <cell r="AA50">
            <v>109.80392156862746</v>
          </cell>
          <cell r="AB50">
            <v>86.804798255179932</v>
          </cell>
          <cell r="AC50">
            <v>103.92182388583547</v>
          </cell>
          <cell r="AD50">
            <v>98.060185052214962</v>
          </cell>
          <cell r="AF50">
            <v>98.250099620377554</v>
          </cell>
          <cell r="AG50">
            <v>100.99100446902521</v>
          </cell>
        </row>
        <row r="51">
          <cell r="A51">
            <v>40227</v>
          </cell>
          <cell r="B51">
            <v>12.779724999999999</v>
          </cell>
          <cell r="C51">
            <v>57.7</v>
          </cell>
          <cell r="D51">
            <v>57.827618000000001</v>
          </cell>
          <cell r="E51">
            <v>29.133686000000001</v>
          </cell>
          <cell r="F51">
            <v>73.12</v>
          </cell>
          <cell r="G51">
            <v>0.95268565000000005</v>
          </cell>
          <cell r="H51">
            <v>19.899999999999999</v>
          </cell>
          <cell r="I51">
            <v>32.799999999999997</v>
          </cell>
          <cell r="J51">
            <v>28.715</v>
          </cell>
          <cell r="K51">
            <v>3.9655</v>
          </cell>
          <cell r="L51">
            <v>2.2000000000000002</v>
          </cell>
          <cell r="M51">
            <v>16.13</v>
          </cell>
          <cell r="N51">
            <v>8.6987559999999995</v>
          </cell>
          <cell r="O51">
            <v>10.928361000000001</v>
          </cell>
          <cell r="Q51">
            <v>92.452551667565587</v>
          </cell>
          <cell r="R51">
            <v>95.561444186816829</v>
          </cell>
          <cell r="S51">
            <v>110.99921838589776</v>
          </cell>
          <cell r="T51">
            <v>106.56976349041649</v>
          </cell>
          <cell r="U51">
            <v>97.701763762693744</v>
          </cell>
          <cell r="V51">
            <v>92.242959046104176</v>
          </cell>
          <cell r="W51">
            <v>101.73824130879345</v>
          </cell>
          <cell r="X51">
            <v>92.316352378271873</v>
          </cell>
          <cell r="Y51">
            <v>109.87181939927299</v>
          </cell>
          <cell r="Z51">
            <v>86.968345539897868</v>
          </cell>
          <cell r="AA51">
            <v>107.84313725490198</v>
          </cell>
          <cell r="AB51">
            <v>87.949836423118867</v>
          </cell>
          <cell r="AC51">
            <v>106.43040468791428</v>
          </cell>
          <cell r="AD51">
            <v>103.59065110090344</v>
          </cell>
          <cell r="AF51">
            <v>98.517952736979296</v>
          </cell>
          <cell r="AG51">
            <v>105.01052789440885</v>
          </cell>
        </row>
        <row r="52">
          <cell r="A52">
            <v>40228</v>
          </cell>
          <cell r="B52">
            <v>12.799215999999999</v>
          </cell>
          <cell r="C52">
            <v>57.5</v>
          </cell>
          <cell r="D52">
            <v>56.639670000000002</v>
          </cell>
          <cell r="E52">
            <v>28.591618</v>
          </cell>
          <cell r="F52">
            <v>73.98</v>
          </cell>
          <cell r="G52">
            <v>0.94803499999999996</v>
          </cell>
          <cell r="H52">
            <v>19.91</v>
          </cell>
          <cell r="I52">
            <v>32.53</v>
          </cell>
          <cell r="J52">
            <v>28.734999999999999</v>
          </cell>
          <cell r="K52">
            <v>3.8344019999999999</v>
          </cell>
          <cell r="L52">
            <v>2.15</v>
          </cell>
          <cell r="M52">
            <v>16.38</v>
          </cell>
          <cell r="N52">
            <v>8.8241790000000009</v>
          </cell>
          <cell r="O52">
            <v>10.986102000000001</v>
          </cell>
          <cell r="Q52">
            <v>92.59355569422128</v>
          </cell>
          <cell r="R52">
            <v>95.230208678370317</v>
          </cell>
          <cell r="S52">
            <v>108.71897057276649</v>
          </cell>
          <cell r="T52">
            <v>104.586902188358</v>
          </cell>
          <cell r="U52">
            <v>98.850881881346879</v>
          </cell>
          <cell r="V52">
            <v>91.792663906791674</v>
          </cell>
          <cell r="W52">
            <v>101.78936605316974</v>
          </cell>
          <cell r="X52">
            <v>91.55643118491416</v>
          </cell>
          <cell r="Y52">
            <v>109.94834513105032</v>
          </cell>
          <cell r="Z52">
            <v>84.093203398026844</v>
          </cell>
          <cell r="AA52">
            <v>105.3921568627451</v>
          </cell>
          <cell r="AB52">
            <v>89.312977099236633</v>
          </cell>
          <cell r="AC52">
            <v>107.96497131412752</v>
          </cell>
          <cell r="AD52">
            <v>104.13798182919996</v>
          </cell>
          <cell r="AF52">
            <v>97.822138554249776</v>
          </cell>
          <cell r="AG52">
            <v>106.05147657166374</v>
          </cell>
        </row>
        <row r="53">
          <cell r="A53">
            <v>40229</v>
          </cell>
          <cell r="B53">
            <v>12.799215999999999</v>
          </cell>
          <cell r="C53">
            <v>57.5</v>
          </cell>
          <cell r="D53">
            <v>56.639670000000002</v>
          </cell>
          <cell r="E53">
            <v>28.591618</v>
          </cell>
          <cell r="F53">
            <v>73.98</v>
          </cell>
          <cell r="G53">
            <v>0.94803499999999996</v>
          </cell>
          <cell r="H53">
            <v>19.91</v>
          </cell>
          <cell r="I53">
            <v>32.53</v>
          </cell>
          <cell r="J53">
            <v>28.734999999999999</v>
          </cell>
          <cell r="K53">
            <v>3.8344019999999999</v>
          </cell>
          <cell r="L53">
            <v>2.15</v>
          </cell>
          <cell r="M53">
            <v>16.38</v>
          </cell>
          <cell r="N53">
            <v>8.8241790000000009</v>
          </cell>
          <cell r="O53">
            <v>10.986102000000001</v>
          </cell>
          <cell r="Q53">
            <v>92.59355569422128</v>
          </cell>
          <cell r="R53">
            <v>95.230208678370317</v>
          </cell>
          <cell r="S53">
            <v>108.71897057276649</v>
          </cell>
          <cell r="T53">
            <v>104.586902188358</v>
          </cell>
          <cell r="U53">
            <v>98.850881881346879</v>
          </cell>
          <cell r="V53">
            <v>91.792663906791674</v>
          </cell>
          <cell r="W53">
            <v>101.78936605316974</v>
          </cell>
          <cell r="X53">
            <v>91.55643118491416</v>
          </cell>
          <cell r="Y53">
            <v>109.94834513105032</v>
          </cell>
          <cell r="Z53">
            <v>84.093203398026844</v>
          </cell>
          <cell r="AA53">
            <v>105.3921568627451</v>
          </cell>
          <cell r="AB53">
            <v>89.312977099236633</v>
          </cell>
          <cell r="AC53">
            <v>107.96497131412752</v>
          </cell>
          <cell r="AD53">
            <v>104.13798182919996</v>
          </cell>
          <cell r="AF53">
            <v>97.822138554249776</v>
          </cell>
          <cell r="AG53">
            <v>106.05147657166374</v>
          </cell>
        </row>
        <row r="54">
          <cell r="A54">
            <v>40230</v>
          </cell>
          <cell r="B54">
            <v>12.799215999999999</v>
          </cell>
          <cell r="C54">
            <v>57.5</v>
          </cell>
          <cell r="D54">
            <v>56.639670000000002</v>
          </cell>
          <cell r="E54">
            <v>28.591618</v>
          </cell>
          <cell r="F54">
            <v>73.98</v>
          </cell>
          <cell r="G54">
            <v>0.94803499999999996</v>
          </cell>
          <cell r="H54">
            <v>19.91</v>
          </cell>
          <cell r="I54">
            <v>32.53</v>
          </cell>
          <cell r="J54">
            <v>28.734999999999999</v>
          </cell>
          <cell r="K54">
            <v>3.8344019999999999</v>
          </cell>
          <cell r="L54">
            <v>2.15</v>
          </cell>
          <cell r="M54">
            <v>16.38</v>
          </cell>
          <cell r="N54">
            <v>8.8241790000000009</v>
          </cell>
          <cell r="O54">
            <v>10.986102000000001</v>
          </cell>
          <cell r="Q54">
            <v>92.59355569422128</v>
          </cell>
          <cell r="R54">
            <v>95.230208678370317</v>
          </cell>
          <cell r="S54">
            <v>108.71897057276649</v>
          </cell>
          <cell r="T54">
            <v>104.586902188358</v>
          </cell>
          <cell r="U54">
            <v>98.850881881346879</v>
          </cell>
          <cell r="V54">
            <v>91.792663906791674</v>
          </cell>
          <cell r="W54">
            <v>101.78936605316974</v>
          </cell>
          <cell r="X54">
            <v>91.55643118491416</v>
          </cell>
          <cell r="Y54">
            <v>109.94834513105032</v>
          </cell>
          <cell r="Z54">
            <v>84.093203398026844</v>
          </cell>
          <cell r="AA54">
            <v>105.3921568627451</v>
          </cell>
          <cell r="AB54">
            <v>89.312977099236633</v>
          </cell>
          <cell r="AC54">
            <v>107.96497131412752</v>
          </cell>
          <cell r="AD54">
            <v>104.13798182919996</v>
          </cell>
          <cell r="AF54">
            <v>97.822138554249776</v>
          </cell>
          <cell r="AG54">
            <v>106.05147657166374</v>
          </cell>
        </row>
        <row r="55">
          <cell r="A55">
            <v>40231</v>
          </cell>
          <cell r="B55">
            <v>13.033754</v>
          </cell>
          <cell r="C55">
            <v>57.37</v>
          </cell>
          <cell r="D55">
            <v>58.026653000000003</v>
          </cell>
          <cell r="E55">
            <v>29.024296</v>
          </cell>
          <cell r="F55">
            <v>73.97</v>
          </cell>
          <cell r="G55">
            <v>0.95829629999999999</v>
          </cell>
          <cell r="H55">
            <v>19.72</v>
          </cell>
          <cell r="I55">
            <v>32.479999999999997</v>
          </cell>
          <cell r="J55">
            <v>28.975000000000001</v>
          </cell>
          <cell r="K55">
            <v>3.8678499999999998</v>
          </cell>
          <cell r="L55">
            <v>2.21</v>
          </cell>
          <cell r="M55">
            <v>16.170000000000002</v>
          </cell>
          <cell r="N55">
            <v>8.5864159999999998</v>
          </cell>
          <cell r="O55">
            <v>10.900055</v>
          </cell>
          <cell r="Q55">
            <v>94.29027738134738</v>
          </cell>
          <cell r="R55">
            <v>95.014905597880087</v>
          </cell>
          <cell r="S55">
            <v>111.38126299011158</v>
          </cell>
          <cell r="T55">
            <v>106.16961960102959</v>
          </cell>
          <cell r="U55">
            <v>98.837520042757873</v>
          </cell>
          <cell r="V55">
            <v>92.786205350036667</v>
          </cell>
          <cell r="W55">
            <v>100.81799591002046</v>
          </cell>
          <cell r="X55">
            <v>91.415705037996048</v>
          </cell>
          <cell r="Y55">
            <v>110.86665391237804</v>
          </cell>
          <cell r="Z55">
            <v>84.826759625896841</v>
          </cell>
          <cell r="AA55">
            <v>108.33333333333333</v>
          </cell>
          <cell r="AB55">
            <v>88.167938931297712</v>
          </cell>
          <cell r="AC55">
            <v>105.05591025875218</v>
          </cell>
          <cell r="AD55">
            <v>103.32233666930091</v>
          </cell>
          <cell r="AF55">
            <v>98.575681476173784</v>
          </cell>
          <cell r="AG55">
            <v>104.18912346402655</v>
          </cell>
        </row>
        <row r="56">
          <cell r="A56">
            <v>40232</v>
          </cell>
          <cell r="B56">
            <v>12.725329</v>
          </cell>
          <cell r="C56">
            <v>56.7</v>
          </cell>
          <cell r="D56">
            <v>58.869183</v>
          </cell>
          <cell r="E56">
            <v>29.212862000000001</v>
          </cell>
          <cell r="F56">
            <v>73.400000000000006</v>
          </cell>
          <cell r="G56">
            <v>0.97820306000000001</v>
          </cell>
          <cell r="H56">
            <v>20.13</v>
          </cell>
          <cell r="I56">
            <v>31.91</v>
          </cell>
          <cell r="J56">
            <v>28.47</v>
          </cell>
          <cell r="K56">
            <v>3.7996756999999999</v>
          </cell>
          <cell r="L56">
            <v>2.19</v>
          </cell>
          <cell r="M56">
            <v>15.7</v>
          </cell>
          <cell r="N56">
            <v>8.3424809999999994</v>
          </cell>
          <cell r="O56">
            <v>10.592755</v>
          </cell>
          <cell r="Q56">
            <v>92.059033888387333</v>
          </cell>
          <cell r="R56">
            <v>93.905266644584302</v>
          </cell>
          <cell r="S56">
            <v>112.99848629449652</v>
          </cell>
          <cell r="T56">
            <v>106.85938587441956</v>
          </cell>
          <cell r="U56">
            <v>98.075895243185457</v>
          </cell>
          <cell r="V56">
            <v>94.713660064422911</v>
          </cell>
          <cell r="W56">
            <v>102.91411042944785</v>
          </cell>
          <cell r="X56">
            <v>89.811426963129747</v>
          </cell>
          <cell r="Y56">
            <v>108.93437918500095</v>
          </cell>
          <cell r="Z56">
            <v>83.331612461771101</v>
          </cell>
          <cell r="AA56">
            <v>107.35294117647058</v>
          </cell>
          <cell r="AB56">
            <v>85.605234460196286</v>
          </cell>
          <cell r="AC56">
            <v>102.07133398513943</v>
          </cell>
          <cell r="AD56">
            <v>100.40941980250746</v>
          </cell>
          <cell r="AF56">
            <v>98.046786057126042</v>
          </cell>
          <cell r="AG56">
            <v>101.24037689382345</v>
          </cell>
        </row>
        <row r="57">
          <cell r="A57">
            <v>40233</v>
          </cell>
          <cell r="B57">
            <v>12.342031</v>
          </cell>
          <cell r="C57">
            <v>56.82</v>
          </cell>
          <cell r="D57">
            <v>58.594616000000002</v>
          </cell>
          <cell r="E57">
            <v>29.097173999999999</v>
          </cell>
          <cell r="F57">
            <v>73.5</v>
          </cell>
          <cell r="G57">
            <v>0.96563476000000004</v>
          </cell>
          <cell r="H57">
            <v>20.395</v>
          </cell>
          <cell r="I57">
            <v>32.479999999999997</v>
          </cell>
          <cell r="J57">
            <v>28.76</v>
          </cell>
          <cell r="K57">
            <v>3.8099314999999998</v>
          </cell>
          <cell r="L57">
            <v>2.2000000000000002</v>
          </cell>
          <cell r="M57">
            <v>15.44</v>
          </cell>
          <cell r="N57">
            <v>8.3537130000000008</v>
          </cell>
          <cell r="O57">
            <v>10.799372999999999</v>
          </cell>
          <cell r="Q57">
            <v>89.286135555357902</v>
          </cell>
          <cell r="R57">
            <v>94.1040079496522</v>
          </cell>
          <cell r="S57">
            <v>112.47145918446478</v>
          </cell>
          <cell r="T57">
            <v>106.43620417339213</v>
          </cell>
          <cell r="U57">
            <v>98.209513629075346</v>
          </cell>
          <cell r="V57">
            <v>93.49674535370049</v>
          </cell>
          <cell r="W57">
            <v>104.26891615541922</v>
          </cell>
          <cell r="X57">
            <v>91.415705037996048</v>
          </cell>
          <cell r="Y57">
            <v>110.04400229577196</v>
          </cell>
          <cell r="Z57">
            <v>83.556534907411759</v>
          </cell>
          <cell r="AA57">
            <v>107.84313725490198</v>
          </cell>
          <cell r="AB57">
            <v>84.187568157033795</v>
          </cell>
          <cell r="AC57">
            <v>102.208758957797</v>
          </cell>
          <cell r="AD57">
            <v>102.36796538396899</v>
          </cell>
          <cell r="AF57">
            <v>97.943327471181476</v>
          </cell>
          <cell r="AG57">
            <v>102.288362170883</v>
          </cell>
        </row>
        <row r="58">
          <cell r="A58">
            <v>40234</v>
          </cell>
          <cell r="B58">
            <v>11.932708999999999</v>
          </cell>
          <cell r="C58">
            <v>56.69</v>
          </cell>
          <cell r="D58">
            <v>59.041836000000004</v>
          </cell>
          <cell r="E58">
            <v>30.083221000000002</v>
          </cell>
          <cell r="F58">
            <v>73.13</v>
          </cell>
          <cell r="G58">
            <v>0.97841120000000004</v>
          </cell>
          <cell r="H58">
            <v>20.225000000000001</v>
          </cell>
          <cell r="I58">
            <v>32.18</v>
          </cell>
          <cell r="J58">
            <v>28.77</v>
          </cell>
          <cell r="K58">
            <v>3.7008177999999998</v>
          </cell>
          <cell r="L58">
            <v>2.1</v>
          </cell>
          <cell r="M58">
            <v>15.07</v>
          </cell>
          <cell r="N58">
            <v>8.0636379999999992</v>
          </cell>
          <cell r="O58">
            <v>10.488177</v>
          </cell>
          <cell r="Q58">
            <v>86.324971418127134</v>
          </cell>
          <cell r="R58">
            <v>93.88870486916197</v>
          </cell>
          <cell r="S58">
            <v>113.32989105773579</v>
          </cell>
          <cell r="T58">
            <v>110.04312145740607</v>
          </cell>
          <cell r="U58">
            <v>97.715125601282722</v>
          </cell>
          <cell r="V58">
            <v>94.733813038802083</v>
          </cell>
          <cell r="W58">
            <v>103.39979550102252</v>
          </cell>
          <cell r="X58">
            <v>90.571348156487474</v>
          </cell>
          <cell r="Y58">
            <v>110.0822651616606</v>
          </cell>
          <cell r="Z58">
            <v>81.163535798916811</v>
          </cell>
          <cell r="AA58">
            <v>102.94117647058825</v>
          </cell>
          <cell r="AB58">
            <v>82.170119956379509</v>
          </cell>
          <cell r="AC58">
            <v>98.65965381680364</v>
          </cell>
          <cell r="AD58">
            <v>99.418118077497624</v>
          </cell>
          <cell r="AF58">
            <v>97.19698904063091</v>
          </cell>
          <cell r="AG58">
            <v>99.038885947150632</v>
          </cell>
        </row>
        <row r="59">
          <cell r="A59">
            <v>40235</v>
          </cell>
          <cell r="B59">
            <v>12.134026</v>
          </cell>
          <cell r="C59">
            <v>56.75</v>
          </cell>
          <cell r="D59">
            <v>59.415970000000002</v>
          </cell>
          <cell r="E59">
            <v>30.270636</v>
          </cell>
          <cell r="F59">
            <v>73.31</v>
          </cell>
          <cell r="G59">
            <v>0.96748953999999998</v>
          </cell>
          <cell r="H59">
            <v>19.805</v>
          </cell>
          <cell r="I59">
            <v>32.549999999999997</v>
          </cell>
          <cell r="J59">
            <v>28.54</v>
          </cell>
          <cell r="K59">
            <v>3.8148303000000001</v>
          </cell>
          <cell r="L59">
            <v>2.13</v>
          </cell>
          <cell r="M59">
            <v>15.02</v>
          </cell>
          <cell r="N59">
            <v>8.1813149999999997</v>
          </cell>
          <cell r="O59">
            <v>11.050303</v>
          </cell>
          <cell r="Q59">
            <v>87.781361938585093</v>
          </cell>
          <cell r="R59">
            <v>93.988075521695919</v>
          </cell>
          <cell r="S59">
            <v>114.04803548435889</v>
          </cell>
          <cell r="T59">
            <v>110.72867742257148</v>
          </cell>
          <cell r="U59">
            <v>97.955638695884545</v>
          </cell>
          <cell r="V59">
            <v>93.676332813194108</v>
          </cell>
          <cell r="W59">
            <v>101.25255623721883</v>
          </cell>
          <cell r="X59">
            <v>91.612721643681382</v>
          </cell>
          <cell r="Y59">
            <v>109.20221924622153</v>
          </cell>
          <cell r="Z59">
            <v>83.663971682378573</v>
          </cell>
          <cell r="AA59">
            <v>104.41176470588233</v>
          </cell>
          <cell r="AB59">
            <v>81.897491821155938</v>
          </cell>
          <cell r="AC59">
            <v>100.09944713121087</v>
          </cell>
          <cell r="AD59">
            <v>104.74654732143883</v>
          </cell>
          <cell r="AF59">
            <v>97.518237267735728</v>
          </cell>
          <cell r="AG59">
            <v>102.42299722632484</v>
          </cell>
        </row>
        <row r="60">
          <cell r="A60">
            <v>40236</v>
          </cell>
          <cell r="B60">
            <v>12.134026</v>
          </cell>
          <cell r="C60">
            <v>56.75</v>
          </cell>
          <cell r="D60">
            <v>59.415970000000002</v>
          </cell>
          <cell r="E60">
            <v>30.270636</v>
          </cell>
          <cell r="F60">
            <v>73.31</v>
          </cell>
          <cell r="G60">
            <v>0.96748953999999998</v>
          </cell>
          <cell r="H60">
            <v>19.805</v>
          </cell>
          <cell r="I60">
            <v>32.549999999999997</v>
          </cell>
          <cell r="J60">
            <v>28.54</v>
          </cell>
          <cell r="K60">
            <v>3.8148303000000001</v>
          </cell>
          <cell r="L60">
            <v>2.13</v>
          </cell>
          <cell r="M60">
            <v>15.02</v>
          </cell>
          <cell r="N60">
            <v>8.1813149999999997</v>
          </cell>
          <cell r="O60">
            <v>11.050303</v>
          </cell>
          <cell r="Q60">
            <v>87.781361938585093</v>
          </cell>
          <cell r="R60">
            <v>93.988075521695919</v>
          </cell>
          <cell r="S60">
            <v>114.04803548435889</v>
          </cell>
          <cell r="T60">
            <v>110.72867742257148</v>
          </cell>
          <cell r="U60">
            <v>97.955638695884545</v>
          </cell>
          <cell r="V60">
            <v>93.676332813194108</v>
          </cell>
          <cell r="W60">
            <v>101.25255623721883</v>
          </cell>
          <cell r="X60">
            <v>91.612721643681382</v>
          </cell>
          <cell r="Y60">
            <v>109.20221924622153</v>
          </cell>
          <cell r="Z60">
            <v>83.663971682378573</v>
          </cell>
          <cell r="AA60">
            <v>104.41176470588233</v>
          </cell>
          <cell r="AB60">
            <v>81.897491821155938</v>
          </cell>
          <cell r="AC60">
            <v>100.09944713121087</v>
          </cell>
          <cell r="AD60">
            <v>104.74654732143883</v>
          </cell>
          <cell r="AF60">
            <v>97.518237267735728</v>
          </cell>
          <cell r="AG60">
            <v>102.42299722632484</v>
          </cell>
        </row>
        <row r="61">
          <cell r="A61">
            <v>40237</v>
          </cell>
          <cell r="B61">
            <v>12.134026</v>
          </cell>
          <cell r="C61">
            <v>56.75</v>
          </cell>
          <cell r="D61">
            <v>59.415970000000002</v>
          </cell>
          <cell r="E61">
            <v>30.270636</v>
          </cell>
          <cell r="F61">
            <v>73.31</v>
          </cell>
          <cell r="G61">
            <v>0.96748953999999998</v>
          </cell>
          <cell r="H61">
            <v>19.805</v>
          </cell>
          <cell r="I61">
            <v>32.549999999999997</v>
          </cell>
          <cell r="J61">
            <v>28.54</v>
          </cell>
          <cell r="K61">
            <v>3.8148303000000001</v>
          </cell>
          <cell r="L61">
            <v>2.13</v>
          </cell>
          <cell r="M61">
            <v>15.02</v>
          </cell>
          <cell r="N61">
            <v>8.1813149999999997</v>
          </cell>
          <cell r="O61">
            <v>11.050303</v>
          </cell>
          <cell r="Q61">
            <v>87.781361938585093</v>
          </cell>
          <cell r="R61">
            <v>93.988075521695919</v>
          </cell>
          <cell r="S61">
            <v>114.04803548435889</v>
          </cell>
          <cell r="T61">
            <v>110.72867742257148</v>
          </cell>
          <cell r="U61">
            <v>97.955638695884545</v>
          </cell>
          <cell r="V61">
            <v>93.676332813194108</v>
          </cell>
          <cell r="W61">
            <v>101.25255623721883</v>
          </cell>
          <cell r="X61">
            <v>91.612721643681382</v>
          </cell>
          <cell r="Y61">
            <v>109.20221924622153</v>
          </cell>
          <cell r="Z61">
            <v>83.663971682378573</v>
          </cell>
          <cell r="AA61">
            <v>104.41176470588233</v>
          </cell>
          <cell r="AB61">
            <v>81.897491821155938</v>
          </cell>
          <cell r="AC61">
            <v>100.09944713121087</v>
          </cell>
          <cell r="AD61">
            <v>104.74654732143883</v>
          </cell>
          <cell r="AF61">
            <v>97.518237267735728</v>
          </cell>
          <cell r="AG61">
            <v>102.42299722632484</v>
          </cell>
        </row>
        <row r="62">
          <cell r="A62">
            <v>40238</v>
          </cell>
          <cell r="B62">
            <v>12.315616</v>
          </cell>
          <cell r="C62">
            <v>56.84</v>
          </cell>
          <cell r="D62">
            <v>58.955143</v>
          </cell>
          <cell r="E62">
            <v>29.734870000000001</v>
          </cell>
          <cell r="F62">
            <v>74.19</v>
          </cell>
          <cell r="G62">
            <v>0.99541396000000004</v>
          </cell>
          <cell r="H62">
            <v>20.645</v>
          </cell>
          <cell r="I62">
            <v>31.5</v>
          </cell>
          <cell r="J62">
            <v>29.085000000000001</v>
          </cell>
          <cell r="K62">
            <v>3.8654853999999998</v>
          </cell>
          <cell r="L62">
            <v>2.11</v>
          </cell>
          <cell r="M62">
            <v>15.1</v>
          </cell>
          <cell r="N62">
            <v>8.4384200000000007</v>
          </cell>
          <cell r="O62">
            <v>10.682740000000001</v>
          </cell>
          <cell r="Q62">
            <v>89.095041134132188</v>
          </cell>
          <cell r="R62">
            <v>94.137131500496849</v>
          </cell>
          <cell r="S62">
            <v>113.16348518503445</v>
          </cell>
          <cell r="T62">
            <v>108.76886856398056</v>
          </cell>
          <cell r="U62">
            <v>99.131480491715649</v>
          </cell>
          <cell r="V62">
            <v>96.380090480212829</v>
          </cell>
          <cell r="W62">
            <v>105.54703476482618</v>
          </cell>
          <cell r="X62">
            <v>88.657472558401352</v>
          </cell>
          <cell r="Y62">
            <v>111.28754543715324</v>
          </cell>
          <cell r="Z62">
            <v>84.774901007850275</v>
          </cell>
          <cell r="AA62">
            <v>103.4313725490196</v>
          </cell>
          <cell r="AB62">
            <v>82.333696837513628</v>
          </cell>
          <cell r="AC62">
            <v>103.24516005812666</v>
          </cell>
          <cell r="AD62">
            <v>101.26239352284072</v>
          </cell>
          <cell r="AF62">
            <v>98.059010042528072</v>
          </cell>
          <cell r="AG62">
            <v>102.2537767904837</v>
          </cell>
        </row>
        <row r="63">
          <cell r="A63">
            <v>40239</v>
          </cell>
          <cell r="B63">
            <v>12.193873999999999</v>
          </cell>
          <cell r="C63">
            <v>56.65</v>
          </cell>
          <cell r="D63">
            <v>59.305855000000001</v>
          </cell>
          <cell r="E63">
            <v>29.686624999999999</v>
          </cell>
          <cell r="F63">
            <v>74.650000000000006</v>
          </cell>
          <cell r="G63">
            <v>1.018591</v>
          </cell>
          <cell r="H63">
            <v>20.984999999999999</v>
          </cell>
          <cell r="I63">
            <v>32.4</v>
          </cell>
          <cell r="J63">
            <v>29.45</v>
          </cell>
          <cell r="K63">
            <v>3.8749422999999998</v>
          </cell>
          <cell r="L63">
            <v>2.16</v>
          </cell>
          <cell r="M63">
            <v>15.35</v>
          </cell>
          <cell r="N63">
            <v>8.6136759999999999</v>
          </cell>
          <cell r="O63">
            <v>10.6338215</v>
          </cell>
          <cell r="Q63">
            <v>88.214321201182713</v>
          </cell>
          <cell r="R63">
            <v>93.82245776747267</v>
          </cell>
          <cell r="S63">
            <v>113.8366714449035</v>
          </cell>
          <cell r="T63">
            <v>108.59239044035436</v>
          </cell>
          <cell r="U63">
            <v>99.746125066809199</v>
          </cell>
          <cell r="V63">
            <v>98.62418720984229</v>
          </cell>
          <cell r="W63">
            <v>107.28527607361964</v>
          </cell>
          <cell r="X63">
            <v>91.190543202927103</v>
          </cell>
          <cell r="Y63">
            <v>112.68414004208915</v>
          </cell>
          <cell r="Z63">
            <v>84.982302583171503</v>
          </cell>
          <cell r="AA63">
            <v>105.88235294117648</v>
          </cell>
          <cell r="AB63">
            <v>83.696837513631408</v>
          </cell>
          <cell r="AC63">
            <v>105.38943988434377</v>
          </cell>
          <cell r="AD63">
            <v>100.79869185102739</v>
          </cell>
          <cell r="AF63">
            <v>99.046467123931677</v>
          </cell>
          <cell r="AG63">
            <v>103.09406586768557</v>
          </cell>
        </row>
        <row r="64">
          <cell r="A64">
            <v>40240</v>
          </cell>
          <cell r="B64">
            <v>11.95722</v>
          </cell>
          <cell r="C64">
            <v>55.83</v>
          </cell>
          <cell r="D64">
            <v>61.109229999999997</v>
          </cell>
          <cell r="E64">
            <v>30.046312</v>
          </cell>
          <cell r="F64">
            <v>73.28</v>
          </cell>
          <cell r="G64">
            <v>1.0214650999999999</v>
          </cell>
          <cell r="H64">
            <v>20.605</v>
          </cell>
          <cell r="I64">
            <v>31.63</v>
          </cell>
          <cell r="J64">
            <v>29.63</v>
          </cell>
          <cell r="K64">
            <v>3.7683360000000001</v>
          </cell>
          <cell r="L64">
            <v>2.1800000000000002</v>
          </cell>
          <cell r="M64">
            <v>15.98</v>
          </cell>
          <cell r="N64">
            <v>8.5127930000000003</v>
          </cell>
          <cell r="O64">
            <v>10.683161</v>
          </cell>
          <cell r="Q64">
            <v>86.502291704277567</v>
          </cell>
          <cell r="R64">
            <v>92.464392182841991</v>
          </cell>
          <cell r="S64">
            <v>117.29822186630712</v>
          </cell>
          <cell r="T64">
            <v>109.90810993155013</v>
          </cell>
          <cell r="U64">
            <v>97.91555318011757</v>
          </cell>
          <cell r="V64">
            <v>98.902469441336379</v>
          </cell>
          <cell r="W64">
            <v>105.34253578732107</v>
          </cell>
          <cell r="X64">
            <v>89.023360540388396</v>
          </cell>
          <cell r="Y64">
            <v>113.37287162808494</v>
          </cell>
          <cell r="Z64">
            <v>82.644293874274766</v>
          </cell>
          <cell r="AA64">
            <v>106.86274509803921</v>
          </cell>
          <cell r="AB64">
            <v>87.131952017448199</v>
          </cell>
          <cell r="AC64">
            <v>104.15512333193892</v>
          </cell>
          <cell r="AD64">
            <v>101.26638420946917</v>
          </cell>
          <cell r="AF64">
            <v>98.947399770998928</v>
          </cell>
          <cell r="AG64">
            <v>102.71075377070404</v>
          </cell>
        </row>
        <row r="65">
          <cell r="A65">
            <v>40241</v>
          </cell>
          <cell r="B65">
            <v>11.825533999999999</v>
          </cell>
          <cell r="C65">
            <v>55.95</v>
          </cell>
          <cell r="D65">
            <v>61.375900000000001</v>
          </cell>
          <cell r="E65">
            <v>30.058454999999999</v>
          </cell>
          <cell r="F65">
            <v>72.59</v>
          </cell>
          <cell r="G65">
            <v>1.0358254</v>
          </cell>
          <cell r="H65">
            <v>21.484999999999999</v>
          </cell>
          <cell r="I65">
            <v>32.07</v>
          </cell>
          <cell r="J65">
            <v>29.545000000000002</v>
          </cell>
          <cell r="K65">
            <v>3.7286906000000002</v>
          </cell>
          <cell r="L65">
            <v>2.21</v>
          </cell>
          <cell r="M65">
            <v>16.3</v>
          </cell>
          <cell r="N65">
            <v>8.4001239999999999</v>
          </cell>
          <cell r="O65">
            <v>10.611857000000001</v>
          </cell>
          <cell r="Q65">
            <v>85.549633746544117</v>
          </cell>
          <cell r="R65">
            <v>92.663133487909903</v>
          </cell>
          <cell r="S65">
            <v>117.81009080697433</v>
          </cell>
          <cell r="T65">
            <v>109.95252850042137</v>
          </cell>
          <cell r="U65">
            <v>96.993586317477281</v>
          </cell>
          <cell r="V65">
            <v>100.29289299268281</v>
          </cell>
          <cell r="W65">
            <v>109.84151329243355</v>
          </cell>
          <cell r="X65">
            <v>90.261750633267653</v>
          </cell>
          <cell r="Y65">
            <v>113.04763726803138</v>
          </cell>
          <cell r="Z65">
            <v>81.774820958812029</v>
          </cell>
          <cell r="AA65">
            <v>108.33333333333333</v>
          </cell>
          <cell r="AB65">
            <v>88.876772082878958</v>
          </cell>
          <cell r="AC65">
            <v>102.77660354522659</v>
          </cell>
          <cell r="AD65">
            <v>100.59048891409057</v>
          </cell>
          <cell r="AF65">
            <v>99.616474451730554</v>
          </cell>
          <cell r="AG65">
            <v>101.68354622965859</v>
          </cell>
        </row>
        <row r="66">
          <cell r="A66">
            <v>40242</v>
          </cell>
          <cell r="B66">
            <v>12.127140000000001</v>
          </cell>
          <cell r="C66">
            <v>56.19</v>
          </cell>
          <cell r="D66">
            <v>60.843640000000001</v>
          </cell>
          <cell r="E66">
            <v>29.781359999999999</v>
          </cell>
          <cell r="F66">
            <v>72.45</v>
          </cell>
          <cell r="G66">
            <v>1.0294907</v>
          </cell>
          <cell r="H66">
            <v>21.945</v>
          </cell>
          <cell r="I66">
            <v>32.880000000000003</v>
          </cell>
          <cell r="J66">
            <v>29.75</v>
          </cell>
          <cell r="K66">
            <v>3.8243640000000001</v>
          </cell>
          <cell r="L66">
            <v>2.29</v>
          </cell>
          <cell r="M66">
            <v>16.440000000000001</v>
          </cell>
          <cell r="N66">
            <v>8.5772940000000002</v>
          </cell>
          <cell r="O66">
            <v>10.827076</v>
          </cell>
          <cell r="Q66">
            <v>87.731546447971411</v>
          </cell>
          <cell r="R66">
            <v>93.060616098045699</v>
          </cell>
          <cell r="S66">
            <v>116.78842596893659</v>
          </cell>
          <cell r="T66">
            <v>108.93892697350242</v>
          </cell>
          <cell r="U66">
            <v>96.806520577231424</v>
          </cell>
          <cell r="V66">
            <v>99.679541177559585</v>
          </cell>
          <cell r="W66">
            <v>112.19325153374233</v>
          </cell>
          <cell r="X66">
            <v>92.541514213340847</v>
          </cell>
          <cell r="Y66">
            <v>113.83202601874881</v>
          </cell>
          <cell r="Z66">
            <v>83.873057577189741</v>
          </cell>
          <cell r="AA66">
            <v>112.25490196078431</v>
          </cell>
          <cell r="AB66">
            <v>89.640130861504915</v>
          </cell>
          <cell r="AC66">
            <v>104.94430140898525</v>
          </cell>
          <cell r="AD66">
            <v>102.63056393899919</v>
          </cell>
          <cell r="AF66">
            <v>100.61170495071319</v>
          </cell>
          <cell r="AG66">
            <v>103.78743267399221</v>
          </cell>
        </row>
        <row r="67">
          <cell r="A67">
            <v>40243</v>
          </cell>
          <cell r="B67">
            <v>12.127140000000001</v>
          </cell>
          <cell r="C67">
            <v>56.19</v>
          </cell>
          <cell r="D67">
            <v>60.843640000000001</v>
          </cell>
          <cell r="E67">
            <v>29.781359999999999</v>
          </cell>
          <cell r="F67">
            <v>72.45</v>
          </cell>
          <cell r="G67">
            <v>1.0294907</v>
          </cell>
          <cell r="H67">
            <v>21.945</v>
          </cell>
          <cell r="I67">
            <v>32.880000000000003</v>
          </cell>
          <cell r="J67">
            <v>29.75</v>
          </cell>
          <cell r="K67">
            <v>3.8243640000000001</v>
          </cell>
          <cell r="L67">
            <v>2.29</v>
          </cell>
          <cell r="M67">
            <v>16.440000000000001</v>
          </cell>
          <cell r="N67">
            <v>8.5772940000000002</v>
          </cell>
          <cell r="O67">
            <v>10.827076</v>
          </cell>
          <cell r="Q67">
            <v>87.731546447971411</v>
          </cell>
          <cell r="R67">
            <v>93.060616098045699</v>
          </cell>
          <cell r="S67">
            <v>116.78842596893659</v>
          </cell>
          <cell r="T67">
            <v>108.93892697350242</v>
          </cell>
          <cell r="U67">
            <v>96.806520577231424</v>
          </cell>
          <cell r="V67">
            <v>99.679541177559585</v>
          </cell>
          <cell r="W67">
            <v>112.19325153374233</v>
          </cell>
          <cell r="X67">
            <v>92.541514213340847</v>
          </cell>
          <cell r="Y67">
            <v>113.83202601874881</v>
          </cell>
          <cell r="Z67">
            <v>83.873057577189741</v>
          </cell>
          <cell r="AA67">
            <v>112.25490196078431</v>
          </cell>
          <cell r="AB67">
            <v>89.640130861504915</v>
          </cell>
          <cell r="AC67">
            <v>104.94430140898525</v>
          </cell>
          <cell r="AD67">
            <v>102.63056393899919</v>
          </cell>
          <cell r="AF67">
            <v>100.61170495071319</v>
          </cell>
          <cell r="AG67">
            <v>103.78743267399221</v>
          </cell>
        </row>
        <row r="68">
          <cell r="A68">
            <v>40244</v>
          </cell>
          <cell r="B68">
            <v>12.127140000000001</v>
          </cell>
          <cell r="C68">
            <v>56.19</v>
          </cell>
          <cell r="D68">
            <v>60.843640000000001</v>
          </cell>
          <cell r="E68">
            <v>29.781359999999999</v>
          </cell>
          <cell r="F68">
            <v>72.45</v>
          </cell>
          <cell r="G68">
            <v>1.0294907</v>
          </cell>
          <cell r="H68">
            <v>21.945</v>
          </cell>
          <cell r="I68">
            <v>32.880000000000003</v>
          </cell>
          <cell r="J68">
            <v>29.75</v>
          </cell>
          <cell r="K68">
            <v>3.8243640000000001</v>
          </cell>
          <cell r="L68">
            <v>2.29</v>
          </cell>
          <cell r="M68">
            <v>16.440000000000001</v>
          </cell>
          <cell r="N68">
            <v>8.5772940000000002</v>
          </cell>
          <cell r="O68">
            <v>10.827076</v>
          </cell>
          <cell r="Q68">
            <v>87.731546447971411</v>
          </cell>
          <cell r="R68">
            <v>93.060616098045699</v>
          </cell>
          <cell r="S68">
            <v>116.78842596893659</v>
          </cell>
          <cell r="T68">
            <v>108.93892697350242</v>
          </cell>
          <cell r="U68">
            <v>96.806520577231424</v>
          </cell>
          <cell r="V68">
            <v>99.679541177559585</v>
          </cell>
          <cell r="W68">
            <v>112.19325153374233</v>
          </cell>
          <cell r="X68">
            <v>92.541514213340847</v>
          </cell>
          <cell r="Y68">
            <v>113.83202601874881</v>
          </cell>
          <cell r="Z68">
            <v>83.873057577189741</v>
          </cell>
          <cell r="AA68">
            <v>112.25490196078431</v>
          </cell>
          <cell r="AB68">
            <v>89.640130861504915</v>
          </cell>
          <cell r="AC68">
            <v>104.94430140898525</v>
          </cell>
          <cell r="AD68">
            <v>102.63056393899919</v>
          </cell>
          <cell r="AF68">
            <v>100.61170495071319</v>
          </cell>
          <cell r="AG68">
            <v>103.78743267399221</v>
          </cell>
        </row>
        <row r="69">
          <cell r="A69">
            <v>40245</v>
          </cell>
          <cell r="B69">
            <v>12.044743</v>
          </cell>
          <cell r="C69">
            <v>55.93</v>
          </cell>
          <cell r="D69">
            <v>62.175020000000004</v>
          </cell>
          <cell r="E69">
            <v>29.538665999999999</v>
          </cell>
          <cell r="F69">
            <v>72.040000000000006</v>
          </cell>
          <cell r="G69">
            <v>1.0077906999999999</v>
          </cell>
          <cell r="H69">
            <v>21.684999999999999</v>
          </cell>
          <cell r="I69">
            <v>33.15</v>
          </cell>
          <cell r="J69">
            <v>29.59</v>
          </cell>
          <cell r="K69">
            <v>3.8357313</v>
          </cell>
          <cell r="L69">
            <v>2.3199999999999998</v>
          </cell>
          <cell r="M69">
            <v>16.28</v>
          </cell>
          <cell r="N69">
            <v>8.3335670000000004</v>
          </cell>
          <cell r="O69">
            <v>10.738556000000001</v>
          </cell>
          <cell r="Q69">
            <v>87.13546062454779</v>
          </cell>
          <cell r="R69">
            <v>92.630009937065253</v>
          </cell>
          <cell r="S69">
            <v>119.3439892877407</v>
          </cell>
          <cell r="T69">
            <v>108.05116281689887</v>
          </cell>
          <cell r="U69">
            <v>96.258685195082847</v>
          </cell>
          <cell r="V69">
            <v>97.578457560628365</v>
          </cell>
          <cell r="W69">
            <v>110.8640081799591</v>
          </cell>
          <cell r="X69">
            <v>93.301435406698559</v>
          </cell>
          <cell r="Y69">
            <v>113.21982016453032</v>
          </cell>
          <cell r="Z69">
            <v>84.122356599823888</v>
          </cell>
          <cell r="AA69">
            <v>113.72549019607843</v>
          </cell>
          <cell r="AB69">
            <v>88.76772082878955</v>
          </cell>
          <cell r="AC69">
            <v>101.96227004227359</v>
          </cell>
          <cell r="AD69">
            <v>101.79147704980767</v>
          </cell>
          <cell r="AF69">
            <v>100.41654973315364</v>
          </cell>
          <cell r="AG69">
            <v>101.87687354604063</v>
          </cell>
        </row>
        <row r="70">
          <cell r="A70">
            <v>40246</v>
          </cell>
          <cell r="B70">
            <v>12.301174</v>
          </cell>
          <cell r="C70">
            <v>55.72</v>
          </cell>
          <cell r="D70">
            <v>60.04233</v>
          </cell>
          <cell r="E70">
            <v>30.143702000000001</v>
          </cell>
          <cell r="F70">
            <v>71.89</v>
          </cell>
          <cell r="G70">
            <v>1.001001</v>
          </cell>
          <cell r="H70">
            <v>21.625</v>
          </cell>
          <cell r="I70">
            <v>34.19</v>
          </cell>
          <cell r="J70">
            <v>29.68</v>
          </cell>
          <cell r="K70">
            <v>3.8783376000000001</v>
          </cell>
          <cell r="L70">
            <v>2.36</v>
          </cell>
          <cell r="M70">
            <v>16.27</v>
          </cell>
          <cell r="N70">
            <v>8.3612219999999997</v>
          </cell>
          <cell r="O70">
            <v>10.625836</v>
          </cell>
          <cell r="Q70">
            <v>88.990563162095782</v>
          </cell>
          <cell r="R70">
            <v>92.28221265319641</v>
          </cell>
          <cell r="S70">
            <v>115.25032381704088</v>
          </cell>
          <cell r="T70">
            <v>110.26435833988168</v>
          </cell>
          <cell r="U70">
            <v>96.058257616247985</v>
          </cell>
          <cell r="V70">
            <v>96.921050766440459</v>
          </cell>
          <cell r="W70">
            <v>110.55725971370143</v>
          </cell>
          <cell r="X70">
            <v>96.228539262594978</v>
          </cell>
          <cell r="Y70">
            <v>113.56418595752822</v>
          </cell>
          <cell r="Z70">
            <v>85.056765733748136</v>
          </cell>
          <cell r="AA70">
            <v>115.68627450980391</v>
          </cell>
          <cell r="AB70">
            <v>88.713195201744824</v>
          </cell>
          <cell r="AC70">
            <v>102.30063254395132</v>
          </cell>
          <cell r="AD70">
            <v>100.72299677247294</v>
          </cell>
          <cell r="AF70">
            <v>100.79774889450208</v>
          </cell>
          <cell r="AG70">
            <v>101.51181465821213</v>
          </cell>
        </row>
        <row r="71">
          <cell r="A71">
            <v>40247</v>
          </cell>
          <cell r="B71">
            <v>12.509969999999999</v>
          </cell>
          <cell r="C71">
            <v>55.75</v>
          </cell>
          <cell r="D71">
            <v>60.131293999999997</v>
          </cell>
          <cell r="E71">
            <v>31.168973999999999</v>
          </cell>
          <cell r="F71">
            <v>72.319999999999993</v>
          </cell>
          <cell r="G71">
            <v>1.0300798</v>
          </cell>
          <cell r="H71">
            <v>22.004999999999999</v>
          </cell>
          <cell r="I71">
            <v>33.83</v>
          </cell>
          <cell r="J71">
            <v>30.09</v>
          </cell>
          <cell r="K71">
            <v>3.9311802</v>
          </cell>
          <cell r="L71">
            <v>2.4</v>
          </cell>
          <cell r="M71">
            <v>16.39</v>
          </cell>
          <cell r="N71">
            <v>8.4016970000000004</v>
          </cell>
          <cell r="O71">
            <v>10.721358</v>
          </cell>
          <cell r="Q71">
            <v>90.501059121749137</v>
          </cell>
          <cell r="R71">
            <v>92.331897979463392</v>
          </cell>
          <cell r="S71">
            <v>115.42108883911877</v>
          </cell>
          <cell r="T71">
            <v>114.01475897759524</v>
          </cell>
          <cell r="U71">
            <v>96.632816675574546</v>
          </cell>
          <cell r="V71">
            <v>99.736580272432121</v>
          </cell>
          <cell r="W71">
            <v>112.5</v>
          </cell>
          <cell r="X71">
            <v>95.215311004784681</v>
          </cell>
          <cell r="Y71">
            <v>115.13296345896306</v>
          </cell>
          <cell r="Z71">
            <v>86.215669654067526</v>
          </cell>
          <cell r="AA71">
            <v>117.64705882352942</v>
          </cell>
          <cell r="AB71">
            <v>89.367502726281359</v>
          </cell>
          <cell r="AC71">
            <v>102.79584940366591</v>
          </cell>
          <cell r="AD71">
            <v>101.62845607917599</v>
          </cell>
          <cell r="AF71">
            <v>102.0597256277966</v>
          </cell>
          <cell r="AG71">
            <v>102.21215274142095</v>
          </cell>
        </row>
        <row r="72">
          <cell r="A72">
            <v>40248</v>
          </cell>
          <cell r="B72">
            <v>12.511044</v>
          </cell>
          <cell r="C72">
            <v>55.93</v>
          </cell>
          <cell r="D72">
            <v>60.318165</v>
          </cell>
          <cell r="E72">
            <v>30.711447</v>
          </cell>
          <cell r="F72">
            <v>73.78</v>
          </cell>
          <cell r="G72">
            <v>1.0373815</v>
          </cell>
          <cell r="H72">
            <v>22.725000000000001</v>
          </cell>
          <cell r="I72">
            <v>34.159999999999997</v>
          </cell>
          <cell r="J72">
            <v>30.32</v>
          </cell>
          <cell r="K72">
            <v>3.8868372</v>
          </cell>
          <cell r="L72">
            <v>2.46</v>
          </cell>
          <cell r="M72">
            <v>16.329999999999998</v>
          </cell>
          <cell r="N72">
            <v>8.6197149999999993</v>
          </cell>
          <cell r="O72">
            <v>10.739317</v>
          </cell>
          <cell r="Q72">
            <v>90.50882877567291</v>
          </cell>
          <cell r="R72">
            <v>92.630009937065253</v>
          </cell>
          <cell r="S72">
            <v>115.77978483346168</v>
          </cell>
          <cell r="T72">
            <v>112.34114499752832</v>
          </cell>
          <cell r="U72">
            <v>98.583645109567072</v>
          </cell>
          <cell r="V72">
            <v>100.44356102108402</v>
          </cell>
          <cell r="W72">
            <v>116.18098159509205</v>
          </cell>
          <cell r="X72">
            <v>96.144103574444117</v>
          </cell>
          <cell r="Y72">
            <v>116.01300937440213</v>
          </cell>
          <cell r="Z72">
            <v>85.243172529801811</v>
          </cell>
          <cell r="AA72">
            <v>120.58823529411764</v>
          </cell>
          <cell r="AB72">
            <v>89.040348964013077</v>
          </cell>
          <cell r="AC72">
            <v>105.46332783038</v>
          </cell>
          <cell r="AD72">
            <v>101.79869061874886</v>
          </cell>
          <cell r="AF72">
            <v>102.79140216718748</v>
          </cell>
          <cell r="AG72">
            <v>103.63100922456442</v>
          </cell>
        </row>
        <row r="73">
          <cell r="A73">
            <v>40249</v>
          </cell>
          <cell r="B73">
            <v>12.534300999999999</v>
          </cell>
          <cell r="C73">
            <v>55.97</v>
          </cell>
          <cell r="D73">
            <v>59.847900000000003</v>
          </cell>
          <cell r="E73">
            <v>30.805686999999999</v>
          </cell>
          <cell r="F73">
            <v>73.7</v>
          </cell>
          <cell r="G73">
            <v>1.0614645</v>
          </cell>
          <cell r="H73">
            <v>22.51</v>
          </cell>
          <cell r="I73">
            <v>34.75</v>
          </cell>
          <cell r="J73">
            <v>30.344999999999999</v>
          </cell>
          <cell r="K73">
            <v>3.8757377000000002</v>
          </cell>
          <cell r="L73">
            <v>2.75</v>
          </cell>
          <cell r="M73">
            <v>16.36</v>
          </cell>
          <cell r="N73">
            <v>8.6348450000000003</v>
          </cell>
          <cell r="O73">
            <v>10.758167</v>
          </cell>
          <cell r="Q73">
            <v>90.677077231264292</v>
          </cell>
          <cell r="R73">
            <v>92.696257038754553</v>
          </cell>
          <cell r="S73">
            <v>114.87711843910589</v>
          </cell>
          <cell r="T73">
            <v>112.68587084208286</v>
          </cell>
          <cell r="U73">
            <v>98.476750400855167</v>
          </cell>
          <cell r="V73">
            <v>102.77537653935845</v>
          </cell>
          <cell r="W73">
            <v>115.08179959100207</v>
          </cell>
          <cell r="X73">
            <v>97.804672108077668</v>
          </cell>
          <cell r="Y73">
            <v>116.10866653912377</v>
          </cell>
          <cell r="Z73">
            <v>84.999746694139205</v>
          </cell>
          <cell r="AA73">
            <v>134.80392156862743</v>
          </cell>
          <cell r="AB73">
            <v>89.203925845147211</v>
          </cell>
          <cell r="AC73">
            <v>105.64844533717385</v>
          </cell>
          <cell r="AD73">
            <v>101.97737100579427</v>
          </cell>
          <cell r="AF73">
            <v>104.18259856979489</v>
          </cell>
          <cell r="AG73">
            <v>103.81290817148405</v>
          </cell>
        </row>
        <row r="74">
          <cell r="A74">
            <v>40250</v>
          </cell>
          <cell r="B74">
            <v>12.534300999999999</v>
          </cell>
          <cell r="C74">
            <v>55.97</v>
          </cell>
          <cell r="D74">
            <v>59.847900000000003</v>
          </cell>
          <cell r="E74">
            <v>30.805686999999999</v>
          </cell>
          <cell r="F74">
            <v>73.7</v>
          </cell>
          <cell r="G74">
            <v>1.0614645</v>
          </cell>
          <cell r="H74">
            <v>22.51</v>
          </cell>
          <cell r="I74">
            <v>34.75</v>
          </cell>
          <cell r="J74">
            <v>30.344999999999999</v>
          </cell>
          <cell r="K74">
            <v>3.8757377000000002</v>
          </cell>
          <cell r="L74">
            <v>2.75</v>
          </cell>
          <cell r="M74">
            <v>16.36</v>
          </cell>
          <cell r="N74">
            <v>8.6348450000000003</v>
          </cell>
          <cell r="O74">
            <v>10.758167</v>
          </cell>
          <cell r="Q74">
            <v>90.677077231264292</v>
          </cell>
          <cell r="R74">
            <v>92.696257038754553</v>
          </cell>
          <cell r="S74">
            <v>114.87711843910589</v>
          </cell>
          <cell r="T74">
            <v>112.68587084208286</v>
          </cell>
          <cell r="U74">
            <v>98.476750400855167</v>
          </cell>
          <cell r="V74">
            <v>102.77537653935845</v>
          </cell>
          <cell r="W74">
            <v>115.08179959100207</v>
          </cell>
          <cell r="X74">
            <v>97.804672108077668</v>
          </cell>
          <cell r="Y74">
            <v>116.10866653912377</v>
          </cell>
          <cell r="Z74">
            <v>84.999746694139205</v>
          </cell>
          <cell r="AA74">
            <v>134.80392156862743</v>
          </cell>
          <cell r="AB74">
            <v>89.203925845147211</v>
          </cell>
          <cell r="AC74">
            <v>105.64844533717385</v>
          </cell>
          <cell r="AD74">
            <v>101.97737100579427</v>
          </cell>
          <cell r="AF74">
            <v>104.18259856979489</v>
          </cell>
          <cell r="AG74">
            <v>103.81290817148405</v>
          </cell>
        </row>
        <row r="75">
          <cell r="A75">
            <v>40251</v>
          </cell>
          <cell r="B75">
            <v>12.534300999999999</v>
          </cell>
          <cell r="C75">
            <v>55.97</v>
          </cell>
          <cell r="D75">
            <v>59.847900000000003</v>
          </cell>
          <cell r="E75">
            <v>30.805686999999999</v>
          </cell>
          <cell r="F75">
            <v>73.7</v>
          </cell>
          <cell r="G75">
            <v>1.0614645</v>
          </cell>
          <cell r="H75">
            <v>22.51</v>
          </cell>
          <cell r="I75">
            <v>34.75</v>
          </cell>
          <cell r="J75">
            <v>30.344999999999999</v>
          </cell>
          <cell r="K75">
            <v>3.8757377000000002</v>
          </cell>
          <cell r="L75">
            <v>2.75</v>
          </cell>
          <cell r="M75">
            <v>16.36</v>
          </cell>
          <cell r="N75">
            <v>8.6348450000000003</v>
          </cell>
          <cell r="O75">
            <v>10.758167</v>
          </cell>
          <cell r="Q75">
            <v>90.677077231264292</v>
          </cell>
          <cell r="R75">
            <v>92.696257038754553</v>
          </cell>
          <cell r="S75">
            <v>114.87711843910589</v>
          </cell>
          <cell r="T75">
            <v>112.68587084208286</v>
          </cell>
          <cell r="U75">
            <v>98.476750400855167</v>
          </cell>
          <cell r="V75">
            <v>102.77537653935845</v>
          </cell>
          <cell r="W75">
            <v>115.08179959100207</v>
          </cell>
          <cell r="X75">
            <v>97.804672108077668</v>
          </cell>
          <cell r="Y75">
            <v>116.10866653912377</v>
          </cell>
          <cell r="Z75">
            <v>84.999746694139205</v>
          </cell>
          <cell r="AA75">
            <v>134.80392156862743</v>
          </cell>
          <cell r="AB75">
            <v>89.203925845147211</v>
          </cell>
          <cell r="AC75">
            <v>105.64844533717385</v>
          </cell>
          <cell r="AD75">
            <v>101.97737100579427</v>
          </cell>
          <cell r="AF75">
            <v>104.18259856979489</v>
          </cell>
          <cell r="AG75">
            <v>103.81290817148405</v>
          </cell>
        </row>
        <row r="76">
          <cell r="A76">
            <v>40252</v>
          </cell>
          <cell r="B76">
            <v>12.488234500000001</v>
          </cell>
          <cell r="C76">
            <v>56.32</v>
          </cell>
          <cell r="D76">
            <v>59.028354999999998</v>
          </cell>
          <cell r="E76">
            <v>30.785387</v>
          </cell>
          <cell r="F76">
            <v>74.67</v>
          </cell>
          <cell r="G76">
            <v>1.0729613</v>
          </cell>
          <cell r="H76">
            <v>22.184999999999999</v>
          </cell>
          <cell r="I76">
            <v>35.799999999999997</v>
          </cell>
          <cell r="J76">
            <v>30.315000000000001</v>
          </cell>
          <cell r="K76">
            <v>3.8467406999999998</v>
          </cell>
          <cell r="L76">
            <v>3</v>
          </cell>
          <cell r="M76">
            <v>16.61</v>
          </cell>
          <cell r="N76">
            <v>8.5455579999999998</v>
          </cell>
          <cell r="O76">
            <v>10.865875000000001</v>
          </cell>
          <cell r="Q76">
            <v>90.343817675883116</v>
          </cell>
          <cell r="R76">
            <v>93.275919178535943</v>
          </cell>
          <cell r="S76">
            <v>113.30401448673366</v>
          </cell>
          <cell r="T76">
            <v>112.61161431996427</v>
          </cell>
          <cell r="U76">
            <v>99.772848743987169</v>
          </cell>
          <cell r="V76">
            <v>103.88854419498676</v>
          </cell>
          <cell r="W76">
            <v>113.42024539877301</v>
          </cell>
          <cell r="X76">
            <v>100.7599211933577</v>
          </cell>
          <cell r="Y76">
            <v>115.99387794145781</v>
          </cell>
          <cell r="Z76">
            <v>84.36380643045986</v>
          </cell>
          <cell r="AA76">
            <v>147.05882352941174</v>
          </cell>
          <cell r="AB76">
            <v>90.567066521264991</v>
          </cell>
          <cell r="AC76">
            <v>104.55600734450343</v>
          </cell>
          <cell r="AD76">
            <v>102.99834220621274</v>
          </cell>
          <cell r="AF76">
            <v>105.44670830123466</v>
          </cell>
          <cell r="AG76">
            <v>103.77717477535808</v>
          </cell>
        </row>
        <row r="77">
          <cell r="A77">
            <v>40253</v>
          </cell>
          <cell r="B77">
            <v>12.704489000000001</v>
          </cell>
          <cell r="C77">
            <v>56.95</v>
          </cell>
          <cell r="D77">
            <v>59.493533999999997</v>
          </cell>
          <cell r="E77">
            <v>30.609311999999999</v>
          </cell>
          <cell r="F77">
            <v>75</v>
          </cell>
          <cell r="G77">
            <v>1.1398257000000001</v>
          </cell>
          <cell r="H77">
            <v>22.035</v>
          </cell>
          <cell r="I77">
            <v>35.799999999999997</v>
          </cell>
          <cell r="J77">
            <v>30.5</v>
          </cell>
          <cell r="K77">
            <v>3.9421412999999998</v>
          </cell>
          <cell r="L77">
            <v>3</v>
          </cell>
          <cell r="M77">
            <v>16.84</v>
          </cell>
          <cell r="N77">
            <v>8.6542010000000005</v>
          </cell>
          <cell r="O77">
            <v>10.839031</v>
          </cell>
          <cell r="Q77">
            <v>91.908270771281764</v>
          </cell>
          <cell r="R77">
            <v>94.31931103014243</v>
          </cell>
          <cell r="S77">
            <v>114.19691838274981</v>
          </cell>
          <cell r="T77">
            <v>111.96753958439612</v>
          </cell>
          <cell r="U77">
            <v>100.21378941742383</v>
          </cell>
          <cell r="V77">
            <v>110.36263154042156</v>
          </cell>
          <cell r="W77">
            <v>112.65337423312884</v>
          </cell>
          <cell r="X77">
            <v>100.7599211933577</v>
          </cell>
          <cell r="Y77">
            <v>116.70174096039794</v>
          </cell>
          <cell r="Z77">
            <v>86.456060205649266</v>
          </cell>
          <cell r="AA77">
            <v>147.05882352941174</v>
          </cell>
          <cell r="AB77">
            <v>91.821155943293348</v>
          </cell>
          <cell r="AC77">
            <v>105.88526850052496</v>
          </cell>
          <cell r="AD77">
            <v>102.74388616855505</v>
          </cell>
          <cell r="AF77">
            <v>106.53496139930455</v>
          </cell>
          <cell r="AG77">
            <v>104.31457733454</v>
          </cell>
        </row>
        <row r="78">
          <cell r="A78">
            <v>40254</v>
          </cell>
          <cell r="B78">
            <v>12.886627000000001</v>
          </cell>
          <cell r="C78">
            <v>57.49</v>
          </cell>
          <cell r="D78">
            <v>59.711395000000003</v>
          </cell>
          <cell r="E78">
            <v>31.237905999999999</v>
          </cell>
          <cell r="F78">
            <v>75.709999999999994</v>
          </cell>
          <cell r="G78">
            <v>1.1197242999999999</v>
          </cell>
          <cell r="H78">
            <v>22.035</v>
          </cell>
          <cell r="I78">
            <v>36</v>
          </cell>
          <cell r="J78">
            <v>30.9</v>
          </cell>
          <cell r="K78">
            <v>4.1049023</v>
          </cell>
          <cell r="L78">
            <v>3.01</v>
          </cell>
          <cell r="M78">
            <v>16.829999999999998</v>
          </cell>
          <cell r="N78">
            <v>8.5237730000000003</v>
          </cell>
          <cell r="O78">
            <v>11.061082000000001</v>
          </cell>
          <cell r="Q78">
            <v>93.22591437125179</v>
          </cell>
          <cell r="R78">
            <v>95.213646902947985</v>
          </cell>
          <cell r="S78">
            <v>114.61509920279968</v>
          </cell>
          <cell r="T78">
            <v>114.26690925260408</v>
          </cell>
          <cell r="U78">
            <v>101.1624799572421</v>
          </cell>
          <cell r="V78">
            <v>108.41633097740859</v>
          </cell>
          <cell r="W78">
            <v>112.65337423312884</v>
          </cell>
          <cell r="X78">
            <v>101.32282578103012</v>
          </cell>
          <cell r="Y78">
            <v>118.23225559594412</v>
          </cell>
          <cell r="Z78">
            <v>90.025611305994573</v>
          </cell>
          <cell r="AA78">
            <v>147.54901960784312</v>
          </cell>
          <cell r="AB78">
            <v>91.766630316248637</v>
          </cell>
          <cell r="AC78">
            <v>104.2894650520048</v>
          </cell>
          <cell r="AD78">
            <v>104.8487221698188</v>
          </cell>
          <cell r="AF78">
            <v>107.37084145870364</v>
          </cell>
          <cell r="AG78">
            <v>104.56909361091181</v>
          </cell>
        </row>
        <row r="79">
          <cell r="A79">
            <v>40255</v>
          </cell>
          <cell r="B79">
            <v>12.686109999999999</v>
          </cell>
          <cell r="C79">
            <v>57.69</v>
          </cell>
          <cell r="D79">
            <v>59.135624</v>
          </cell>
          <cell r="E79">
            <v>31.612690000000001</v>
          </cell>
          <cell r="F79">
            <v>76.17</v>
          </cell>
          <cell r="G79">
            <v>1.1173584000000001</v>
          </cell>
          <cell r="H79">
            <v>22.08</v>
          </cell>
          <cell r="I79">
            <v>36.03</v>
          </cell>
          <cell r="J79">
            <v>31.35</v>
          </cell>
          <cell r="K79">
            <v>3.9741840000000002</v>
          </cell>
          <cell r="L79">
            <v>2.83</v>
          </cell>
          <cell r="M79">
            <v>17.14</v>
          </cell>
          <cell r="N79">
            <v>8.3810599999999997</v>
          </cell>
          <cell r="O79">
            <v>11.062998</v>
          </cell>
          <cell r="Q79">
            <v>91.775311302506154</v>
          </cell>
          <cell r="R79">
            <v>95.544882411394497</v>
          </cell>
          <cell r="S79">
            <v>113.50991567320546</v>
          </cell>
          <cell r="T79">
            <v>115.63785291692423</v>
          </cell>
          <cell r="U79">
            <v>101.77712453233565</v>
          </cell>
          <cell r="V79">
            <v>108.18725476868522</v>
          </cell>
          <cell r="W79">
            <v>112.88343558282207</v>
          </cell>
          <cell r="X79">
            <v>101.40726146918098</v>
          </cell>
          <cell r="Y79">
            <v>119.95408456093361</v>
          </cell>
          <cell r="Z79">
            <v>87.158796457226956</v>
          </cell>
          <cell r="AA79">
            <v>138.72549019607843</v>
          </cell>
          <cell r="AB79">
            <v>93.456924754634684</v>
          </cell>
          <cell r="AC79">
            <v>102.54335303964046</v>
          </cell>
          <cell r="AD79">
            <v>104.86688405955773</v>
          </cell>
          <cell r="AF79">
            <v>106.66819455216067</v>
          </cell>
          <cell r="AG79">
            <v>103.70511854959909</v>
          </cell>
        </row>
        <row r="80">
          <cell r="A80">
            <v>40256</v>
          </cell>
          <cell r="B80">
            <v>12.662576</v>
          </cell>
          <cell r="C80">
            <v>57.3</v>
          </cell>
          <cell r="D80">
            <v>58.55706</v>
          </cell>
          <cell r="E80">
            <v>31.300407</v>
          </cell>
          <cell r="F80">
            <v>75.510000000000005</v>
          </cell>
          <cell r="G80">
            <v>1.1087663000000001</v>
          </cell>
          <cell r="H80">
            <v>21.925000000000001</v>
          </cell>
          <cell r="I80">
            <v>35.86</v>
          </cell>
          <cell r="J80">
            <v>31.09</v>
          </cell>
          <cell r="K80">
            <v>4.0131755</v>
          </cell>
          <cell r="L80">
            <v>2.8</v>
          </cell>
          <cell r="M80">
            <v>17.41</v>
          </cell>
          <cell r="N80">
            <v>8.5077979999999993</v>
          </cell>
          <cell r="O80">
            <v>10.926682</v>
          </cell>
          <cell r="Q80">
            <v>91.605058941759381</v>
          </cell>
          <cell r="R80">
            <v>94.898973169923806</v>
          </cell>
          <cell r="S80">
            <v>112.39937102330791</v>
          </cell>
          <cell r="T80">
            <v>114.49553520772402</v>
          </cell>
          <cell r="U80">
            <v>100.89524318546232</v>
          </cell>
          <cell r="V80">
            <v>107.35533216292326</v>
          </cell>
          <cell r="W80">
            <v>112.09100204498978</v>
          </cell>
          <cell r="X80">
            <v>100.92879256965944</v>
          </cell>
          <cell r="Y80">
            <v>118.95925004782856</v>
          </cell>
          <cell r="Z80">
            <v>88.01392853265726</v>
          </cell>
          <cell r="AA80">
            <v>137.25490196078428</v>
          </cell>
          <cell r="AB80">
            <v>94.929116684841873</v>
          </cell>
          <cell r="AC80">
            <v>104.09400886092534</v>
          </cell>
          <cell r="AD80">
            <v>103.57473574971779</v>
          </cell>
          <cell r="AF80">
            <v>106.15220879432182</v>
          </cell>
          <cell r="AG80">
            <v>103.83437230532157</v>
          </cell>
        </row>
        <row r="81">
          <cell r="A81">
            <v>40257</v>
          </cell>
          <cell r="B81">
            <v>12.662576</v>
          </cell>
          <cell r="C81">
            <v>57.3</v>
          </cell>
          <cell r="D81">
            <v>58.55706</v>
          </cell>
          <cell r="E81">
            <v>31.300407</v>
          </cell>
          <cell r="F81">
            <v>75.510000000000005</v>
          </cell>
          <cell r="G81">
            <v>1.1087663000000001</v>
          </cell>
          <cell r="H81">
            <v>21.925000000000001</v>
          </cell>
          <cell r="I81">
            <v>35.86</v>
          </cell>
          <cell r="J81">
            <v>31.09</v>
          </cell>
          <cell r="K81">
            <v>4.0131755</v>
          </cell>
          <cell r="L81">
            <v>2.8</v>
          </cell>
          <cell r="M81">
            <v>17.41</v>
          </cell>
          <cell r="N81">
            <v>8.5077979999999993</v>
          </cell>
          <cell r="O81">
            <v>10.926682</v>
          </cell>
          <cell r="Q81">
            <v>91.605058941759381</v>
          </cell>
          <cell r="R81">
            <v>94.898973169923806</v>
          </cell>
          <cell r="S81">
            <v>112.39937102330791</v>
          </cell>
          <cell r="T81">
            <v>114.49553520772402</v>
          </cell>
          <cell r="U81">
            <v>100.89524318546232</v>
          </cell>
          <cell r="V81">
            <v>107.35533216292326</v>
          </cell>
          <cell r="W81">
            <v>112.09100204498978</v>
          </cell>
          <cell r="X81">
            <v>100.92879256965944</v>
          </cell>
          <cell r="Y81">
            <v>118.95925004782856</v>
          </cell>
          <cell r="Z81">
            <v>88.01392853265726</v>
          </cell>
          <cell r="AA81">
            <v>137.25490196078428</v>
          </cell>
          <cell r="AB81">
            <v>94.929116684841873</v>
          </cell>
          <cell r="AC81">
            <v>104.09400886092534</v>
          </cell>
          <cell r="AD81">
            <v>103.57473574971779</v>
          </cell>
          <cell r="AF81">
            <v>106.15220879432182</v>
          </cell>
          <cell r="AG81">
            <v>103.83437230532157</v>
          </cell>
        </row>
        <row r="82">
          <cell r="A82">
            <v>40258</v>
          </cell>
          <cell r="B82">
            <v>12.662576</v>
          </cell>
          <cell r="C82">
            <v>57.3</v>
          </cell>
          <cell r="D82">
            <v>58.55706</v>
          </cell>
          <cell r="E82">
            <v>31.300407</v>
          </cell>
          <cell r="F82">
            <v>75.510000000000005</v>
          </cell>
          <cell r="G82">
            <v>1.1087663000000001</v>
          </cell>
          <cell r="H82">
            <v>21.925000000000001</v>
          </cell>
          <cell r="I82">
            <v>35.86</v>
          </cell>
          <cell r="J82">
            <v>31.09</v>
          </cell>
          <cell r="K82">
            <v>4.0131755</v>
          </cell>
          <cell r="L82">
            <v>2.8</v>
          </cell>
          <cell r="M82">
            <v>17.41</v>
          </cell>
          <cell r="N82">
            <v>8.5077979999999993</v>
          </cell>
          <cell r="O82">
            <v>10.926682</v>
          </cell>
          <cell r="Q82">
            <v>91.605058941759381</v>
          </cell>
          <cell r="R82">
            <v>94.898973169923806</v>
          </cell>
          <cell r="S82">
            <v>112.39937102330791</v>
          </cell>
          <cell r="T82">
            <v>114.49553520772402</v>
          </cell>
          <cell r="U82">
            <v>100.89524318546232</v>
          </cell>
          <cell r="V82">
            <v>107.35533216292326</v>
          </cell>
          <cell r="W82">
            <v>112.09100204498978</v>
          </cell>
          <cell r="X82">
            <v>100.92879256965944</v>
          </cell>
          <cell r="Y82">
            <v>118.95925004782856</v>
          </cell>
          <cell r="Z82">
            <v>88.01392853265726</v>
          </cell>
          <cell r="AA82">
            <v>137.25490196078428</v>
          </cell>
          <cell r="AB82">
            <v>94.929116684841873</v>
          </cell>
          <cell r="AC82">
            <v>104.09400886092534</v>
          </cell>
          <cell r="AD82">
            <v>103.57473574971779</v>
          </cell>
          <cell r="AF82">
            <v>106.15220879432182</v>
          </cell>
          <cell r="AG82">
            <v>103.83437230532157</v>
          </cell>
        </row>
        <row r="83">
          <cell r="A83">
            <v>40259</v>
          </cell>
          <cell r="B83">
            <v>12.557231</v>
          </cell>
          <cell r="C83">
            <v>57.95</v>
          </cell>
          <cell r="D83">
            <v>58.865993000000003</v>
          </cell>
          <cell r="E83">
            <v>31.465537999999999</v>
          </cell>
          <cell r="F83">
            <v>76.260000000000005</v>
          </cell>
          <cell r="G83">
            <v>1.1265596</v>
          </cell>
          <cell r="H83">
            <v>22.184999999999999</v>
          </cell>
          <cell r="I83">
            <v>35.979999999999997</v>
          </cell>
          <cell r="J83">
            <v>31.215</v>
          </cell>
          <cell r="K83">
            <v>3.9813377999999999</v>
          </cell>
          <cell r="L83">
            <v>2.93</v>
          </cell>
          <cell r="M83">
            <v>17.829999999999998</v>
          </cell>
          <cell r="N83">
            <v>8.4595330000000004</v>
          </cell>
          <cell r="O83">
            <v>10.928051999999999</v>
          </cell>
          <cell r="Q83">
            <v>90.842960065968271</v>
          </cell>
          <cell r="R83">
            <v>95.975488572374957</v>
          </cell>
          <cell r="S83">
            <v>112.99236313883326</v>
          </cell>
          <cell r="T83">
            <v>115.0995772645697</v>
          </cell>
          <cell r="U83">
            <v>101.89738107963655</v>
          </cell>
          <cell r="V83">
            <v>109.07815295191598</v>
          </cell>
          <cell r="W83">
            <v>113.42024539877301</v>
          </cell>
          <cell r="X83">
            <v>101.26653532226287</v>
          </cell>
          <cell r="Y83">
            <v>119.43753587143678</v>
          </cell>
          <cell r="Z83">
            <v>87.31568818596817</v>
          </cell>
          <cell r="AA83">
            <v>143.62745098039215</v>
          </cell>
          <cell r="AB83">
            <v>97.219193020719729</v>
          </cell>
          <cell r="AC83">
            <v>103.50348034371414</v>
          </cell>
          <cell r="AD83">
            <v>103.58772206962506</v>
          </cell>
          <cell r="AF83">
            <v>107.34771432107094</v>
          </cell>
          <cell r="AG83">
            <v>103.5456012066696</v>
          </cell>
        </row>
        <row r="84">
          <cell r="A84">
            <v>40260</v>
          </cell>
          <cell r="B84">
            <v>12.720532</v>
          </cell>
          <cell r="C84">
            <v>57.28</v>
          </cell>
          <cell r="D84">
            <v>58.947369999999999</v>
          </cell>
          <cell r="E84">
            <v>31.612188</v>
          </cell>
          <cell r="F84">
            <v>74.33</v>
          </cell>
          <cell r="G84">
            <v>1.1352277</v>
          </cell>
          <cell r="H84">
            <v>22.085000000000001</v>
          </cell>
          <cell r="I84">
            <v>35.630000000000003</v>
          </cell>
          <cell r="J84">
            <v>31.414999999999999</v>
          </cell>
          <cell r="K84">
            <v>4.0228109999999999</v>
          </cell>
          <cell r="L84">
            <v>2.9</v>
          </cell>
          <cell r="M84">
            <v>17.78</v>
          </cell>
          <cell r="N84">
            <v>8.5812840000000001</v>
          </cell>
          <cell r="O84">
            <v>11.077147500000001</v>
          </cell>
          <cell r="Q84">
            <v>92.024330881057409</v>
          </cell>
          <cell r="R84">
            <v>94.865849619079171</v>
          </cell>
          <cell r="S84">
            <v>113.1485650317521</v>
          </cell>
          <cell r="T84">
            <v>115.63601662263341</v>
          </cell>
          <cell r="U84">
            <v>99.31854623196152</v>
          </cell>
          <cell r="V84">
            <v>109.91743419154369</v>
          </cell>
          <cell r="W84">
            <v>112.90899795501024</v>
          </cell>
          <cell r="X84">
            <v>100.28145229383621</v>
          </cell>
          <cell r="Y84">
            <v>120.20279318920986</v>
          </cell>
          <cell r="Z84">
            <v>88.225247028042375</v>
          </cell>
          <cell r="AA84">
            <v>142.15686274509801</v>
          </cell>
          <cell r="AB84">
            <v>96.946564885496187</v>
          </cell>
          <cell r="AC84">
            <v>104.99311957502012</v>
          </cell>
          <cell r="AD84">
            <v>105.00100809862931</v>
          </cell>
          <cell r="AF84">
            <v>107.13605505622668</v>
          </cell>
          <cell r="AG84">
            <v>104.99706383682471</v>
          </cell>
        </row>
        <row r="85">
          <cell r="A85">
            <v>40261</v>
          </cell>
          <cell r="B85">
            <v>12.87144</v>
          </cell>
          <cell r="C85">
            <v>57.45</v>
          </cell>
          <cell r="D85">
            <v>58.221786000000002</v>
          </cell>
          <cell r="E85">
            <v>31.058873999999999</v>
          </cell>
          <cell r="F85">
            <v>73.98</v>
          </cell>
          <cell r="G85">
            <v>1.1384255000000001</v>
          </cell>
          <cell r="H85">
            <v>21.64</v>
          </cell>
          <cell r="I85">
            <v>35.880000000000003</v>
          </cell>
          <cell r="J85">
            <v>31.704999999999998</v>
          </cell>
          <cell r="K85">
            <v>4.0541400000000003</v>
          </cell>
          <cell r="L85">
            <v>2.97</v>
          </cell>
          <cell r="M85">
            <v>17.28</v>
          </cell>
          <cell r="N85">
            <v>8.4982670000000002</v>
          </cell>
          <cell r="O85">
            <v>10.801743999999999</v>
          </cell>
          <cell r="Q85">
            <v>93.116046834808301</v>
          </cell>
          <cell r="R85">
            <v>95.147399801258686</v>
          </cell>
          <cell r="S85">
            <v>111.75581776567394</v>
          </cell>
          <cell r="T85">
            <v>113.61201793891256</v>
          </cell>
          <cell r="U85">
            <v>98.850881881346879</v>
          </cell>
          <cell r="V85">
            <v>110.22705839385812</v>
          </cell>
          <cell r="W85">
            <v>110.63394683026586</v>
          </cell>
          <cell r="X85">
            <v>100.98508302842669</v>
          </cell>
          <cell r="Y85">
            <v>121.31241629998087</v>
          </cell>
          <cell r="Z85">
            <v>88.912330951234793</v>
          </cell>
          <cell r="AA85">
            <v>145.58823529411765</v>
          </cell>
          <cell r="AB85">
            <v>94.220283533260641</v>
          </cell>
          <cell r="AC85">
            <v>103.97739584326162</v>
          </cell>
          <cell r="AD85">
            <v>102.39044024856764</v>
          </cell>
          <cell r="AF85">
            <v>107.0301265460954</v>
          </cell>
          <cell r="AG85">
            <v>103.18391804591462</v>
          </cell>
        </row>
        <row r="86">
          <cell r="A86">
            <v>40262</v>
          </cell>
          <cell r="B86">
            <v>12.729426</v>
          </cell>
          <cell r="C86">
            <v>57.95</v>
          </cell>
          <cell r="D86">
            <v>57.719279999999998</v>
          </cell>
          <cell r="E86">
            <v>30.553457000000002</v>
          </cell>
          <cell r="F86">
            <v>74.900000000000006</v>
          </cell>
          <cell r="G86">
            <v>1.1737925</v>
          </cell>
          <cell r="H86">
            <v>21.33</v>
          </cell>
          <cell r="I86">
            <v>36.03</v>
          </cell>
          <cell r="J86">
            <v>31.594999999999999</v>
          </cell>
          <cell r="K86">
            <v>4.0759696999999999</v>
          </cell>
          <cell r="L86">
            <v>2.8</v>
          </cell>
          <cell r="M86">
            <v>16.899999999999999</v>
          </cell>
          <cell r="N86">
            <v>8.4224530000000009</v>
          </cell>
          <cell r="O86">
            <v>10.832826000000001</v>
          </cell>
          <cell r="Q86">
            <v>92.088672875468973</v>
          </cell>
          <cell r="R86">
            <v>95.975488572374957</v>
          </cell>
          <cell r="S86">
            <v>110.79126527045919</v>
          </cell>
          <cell r="T86">
            <v>111.76322440986735</v>
          </cell>
          <cell r="U86">
            <v>100.08017103153395</v>
          </cell>
          <cell r="V86">
            <v>113.65143739293673</v>
          </cell>
          <cell r="W86">
            <v>109.04907975460122</v>
          </cell>
          <cell r="X86">
            <v>101.40726146918098</v>
          </cell>
          <cell r="Y86">
            <v>120.89152477520567</v>
          </cell>
          <cell r="Z86">
            <v>89.391083414387552</v>
          </cell>
          <cell r="AA86">
            <v>137.25490196078428</v>
          </cell>
          <cell r="AB86">
            <v>92.148309705561601</v>
          </cell>
          <cell r="AC86">
            <v>103.04980174808188</v>
          </cell>
          <cell r="AD86">
            <v>102.68506856634727</v>
          </cell>
          <cell r="AF86">
            <v>106.20770171936353</v>
          </cell>
          <cell r="AG86">
            <v>102.86743515721457</v>
          </cell>
        </row>
        <row r="87">
          <cell r="A87">
            <v>40263</v>
          </cell>
          <cell r="B87">
            <v>12.983594</v>
          </cell>
          <cell r="C87">
            <v>57.89</v>
          </cell>
          <cell r="D87">
            <v>58.661479999999997</v>
          </cell>
          <cell r="E87">
            <v>30.886402</v>
          </cell>
          <cell r="F87">
            <v>75.58</v>
          </cell>
          <cell r="G87">
            <v>1.1968369999999999</v>
          </cell>
          <cell r="H87">
            <v>21.74</v>
          </cell>
          <cell r="I87">
            <v>35.97</v>
          </cell>
          <cell r="J87">
            <v>31.48</v>
          </cell>
          <cell r="K87">
            <v>4.0144260000000003</v>
          </cell>
          <cell r="L87">
            <v>2.85</v>
          </cell>
          <cell r="M87">
            <v>16.739999999999998</v>
          </cell>
          <cell r="N87">
            <v>8.3960240000000006</v>
          </cell>
          <cell r="O87">
            <v>10.685848</v>
          </cell>
          <cell r="Q87">
            <v>93.92740415898578</v>
          </cell>
          <cell r="R87">
            <v>95.876117919841008</v>
          </cell>
          <cell r="S87">
            <v>112.59980359834248</v>
          </cell>
          <cell r="T87">
            <v>112.9811228215313</v>
          </cell>
          <cell r="U87">
            <v>100.98877605558525</v>
          </cell>
          <cell r="V87">
            <v>115.88270105240083</v>
          </cell>
          <cell r="W87">
            <v>111.14519427402863</v>
          </cell>
          <cell r="X87">
            <v>101.23839009287924</v>
          </cell>
          <cell r="Y87">
            <v>120.45150181748612</v>
          </cell>
          <cell r="Z87">
            <v>88.041353552477631</v>
          </cell>
          <cell r="AA87">
            <v>139.70588235294116</v>
          </cell>
          <cell r="AB87">
            <v>91.275899672846222</v>
          </cell>
          <cell r="AC87">
            <v>102.72643951496521</v>
          </cell>
          <cell r="AD87">
            <v>101.29185445880555</v>
          </cell>
          <cell r="AF87">
            <v>107.00951228077882</v>
          </cell>
          <cell r="AG87">
            <v>102.00914698688538</v>
          </cell>
        </row>
        <row r="88">
          <cell r="A88">
            <v>40264</v>
          </cell>
          <cell r="B88">
            <v>12.983594</v>
          </cell>
          <cell r="C88">
            <v>57.89</v>
          </cell>
          <cell r="D88">
            <v>58.661479999999997</v>
          </cell>
          <cell r="E88">
            <v>30.886402</v>
          </cell>
          <cell r="F88">
            <v>75.58</v>
          </cell>
          <cell r="G88">
            <v>1.1968369999999999</v>
          </cell>
          <cell r="H88">
            <v>21.74</v>
          </cell>
          <cell r="I88">
            <v>35.97</v>
          </cell>
          <cell r="J88">
            <v>31.48</v>
          </cell>
          <cell r="K88">
            <v>4.0144260000000003</v>
          </cell>
          <cell r="L88">
            <v>2.85</v>
          </cell>
          <cell r="M88">
            <v>16.739999999999998</v>
          </cell>
          <cell r="N88">
            <v>8.3960240000000006</v>
          </cell>
          <cell r="O88">
            <v>10.685848</v>
          </cell>
          <cell r="Q88">
            <v>93.92740415898578</v>
          </cell>
          <cell r="R88">
            <v>95.876117919841008</v>
          </cell>
          <cell r="S88">
            <v>112.59980359834248</v>
          </cell>
          <cell r="T88">
            <v>112.9811228215313</v>
          </cell>
          <cell r="U88">
            <v>100.98877605558525</v>
          </cell>
          <cell r="V88">
            <v>115.88270105240083</v>
          </cell>
          <cell r="W88">
            <v>111.14519427402863</v>
          </cell>
          <cell r="X88">
            <v>101.23839009287924</v>
          </cell>
          <cell r="Y88">
            <v>120.45150181748612</v>
          </cell>
          <cell r="Z88">
            <v>88.041353552477631</v>
          </cell>
          <cell r="AA88">
            <v>139.70588235294116</v>
          </cell>
          <cell r="AB88">
            <v>91.275899672846222</v>
          </cell>
          <cell r="AC88">
            <v>102.72643951496521</v>
          </cell>
          <cell r="AD88">
            <v>101.29185445880555</v>
          </cell>
          <cell r="AF88">
            <v>107.00951228077882</v>
          </cell>
          <cell r="AG88">
            <v>102.00914698688538</v>
          </cell>
        </row>
        <row r="89">
          <cell r="A89">
            <v>40265</v>
          </cell>
          <cell r="B89">
            <v>12.983594</v>
          </cell>
          <cell r="C89">
            <v>57.89</v>
          </cell>
          <cell r="D89">
            <v>58.661479999999997</v>
          </cell>
          <cell r="E89">
            <v>30.886402</v>
          </cell>
          <cell r="F89">
            <v>75.58</v>
          </cell>
          <cell r="G89">
            <v>1.1968369999999999</v>
          </cell>
          <cell r="H89">
            <v>21.74</v>
          </cell>
          <cell r="I89">
            <v>35.97</v>
          </cell>
          <cell r="J89">
            <v>31.48</v>
          </cell>
          <cell r="K89">
            <v>4.0144260000000003</v>
          </cell>
          <cell r="L89">
            <v>2.85</v>
          </cell>
          <cell r="M89">
            <v>16.739999999999998</v>
          </cell>
          <cell r="N89">
            <v>8.3960240000000006</v>
          </cell>
          <cell r="O89">
            <v>10.685848</v>
          </cell>
          <cell r="Q89">
            <v>93.92740415898578</v>
          </cell>
          <cell r="R89">
            <v>95.876117919841008</v>
          </cell>
          <cell r="S89">
            <v>112.59980359834248</v>
          </cell>
          <cell r="T89">
            <v>112.9811228215313</v>
          </cell>
          <cell r="U89">
            <v>100.98877605558525</v>
          </cell>
          <cell r="V89">
            <v>115.88270105240083</v>
          </cell>
          <cell r="W89">
            <v>111.14519427402863</v>
          </cell>
          <cell r="X89">
            <v>101.23839009287924</v>
          </cell>
          <cell r="Y89">
            <v>120.45150181748612</v>
          </cell>
          <cell r="Z89">
            <v>88.041353552477631</v>
          </cell>
          <cell r="AA89">
            <v>139.70588235294116</v>
          </cell>
          <cell r="AB89">
            <v>91.275899672846222</v>
          </cell>
          <cell r="AC89">
            <v>102.72643951496521</v>
          </cell>
          <cell r="AD89">
            <v>101.29185445880555</v>
          </cell>
          <cell r="AF89">
            <v>107.00951228077882</v>
          </cell>
          <cell r="AG89">
            <v>102.00914698688538</v>
          </cell>
        </row>
        <row r="90">
          <cell r="A90">
            <v>40266</v>
          </cell>
          <cell r="B90">
            <v>13.1451435</v>
          </cell>
          <cell r="C90">
            <v>58.49</v>
          </cell>
          <cell r="D90">
            <v>57.836525000000002</v>
          </cell>
          <cell r="E90">
            <v>30.601564</v>
          </cell>
          <cell r="F90">
            <v>75.81</v>
          </cell>
          <cell r="G90">
            <v>1.2082648</v>
          </cell>
          <cell r="H90">
            <v>21.965</v>
          </cell>
          <cell r="I90">
            <v>35.770000000000003</v>
          </cell>
          <cell r="J90">
            <v>31.745000000000001</v>
          </cell>
          <cell r="K90">
            <v>4.1193</v>
          </cell>
          <cell r="L90">
            <v>3.17</v>
          </cell>
          <cell r="M90">
            <v>16.98</v>
          </cell>
          <cell r="N90">
            <v>8.5370910000000002</v>
          </cell>
          <cell r="O90">
            <v>10.664455999999999</v>
          </cell>
          <cell r="Q90">
            <v>95.096104071982296</v>
          </cell>
          <cell r="R90">
            <v>96.869824445180512</v>
          </cell>
          <cell r="S90">
            <v>111.01631523464161</v>
          </cell>
          <cell r="T90">
            <v>111.93919773546139</v>
          </cell>
          <cell r="U90">
            <v>101.29609834313203</v>
          </cell>
          <cell r="V90">
            <v>116.9891878430721</v>
          </cell>
          <cell r="W90">
            <v>112.2955010224949</v>
          </cell>
          <cell r="X90">
            <v>100.67548550520686</v>
          </cell>
          <cell r="Y90">
            <v>121.46546776353549</v>
          </cell>
          <cell r="Z90">
            <v>90.341370768503666</v>
          </cell>
          <cell r="AA90">
            <v>155.39215686274511</v>
          </cell>
          <cell r="AB90">
            <v>92.584514721919305</v>
          </cell>
          <cell r="AC90">
            <v>104.45241250444899</v>
          </cell>
          <cell r="AD90">
            <v>101.08907828693947</v>
          </cell>
          <cell r="AF90">
            <v>108.83010202648961</v>
          </cell>
          <cell r="AG90">
            <v>102.77074539569423</v>
          </cell>
        </row>
        <row r="91">
          <cell r="A91">
            <v>40267</v>
          </cell>
          <cell r="B91">
            <v>13.164254</v>
          </cell>
          <cell r="C91">
            <v>58.64</v>
          </cell>
          <cell r="D91">
            <v>57.849460000000001</v>
          </cell>
          <cell r="E91">
            <v>30.892472999999999</v>
          </cell>
          <cell r="F91">
            <v>75.95</v>
          </cell>
          <cell r="G91">
            <v>1.214329</v>
          </cell>
          <cell r="H91">
            <v>22.08</v>
          </cell>
          <cell r="I91">
            <v>36.130000000000003</v>
          </cell>
          <cell r="J91">
            <v>31.934999999999999</v>
          </cell>
          <cell r="K91">
            <v>4.0788060000000002</v>
          </cell>
          <cell r="L91">
            <v>3.12</v>
          </cell>
          <cell r="M91">
            <v>16.84</v>
          </cell>
          <cell r="N91">
            <v>8.6576229999999992</v>
          </cell>
          <cell r="O91">
            <v>10.813672</v>
          </cell>
          <cell r="Q91">
            <v>95.234355441917344</v>
          </cell>
          <cell r="R91">
            <v>97.118251076515392</v>
          </cell>
          <cell r="S91">
            <v>111.0411437670882</v>
          </cell>
          <cell r="T91">
            <v>113.00333027698855</v>
          </cell>
          <cell r="U91">
            <v>101.48316408337787</v>
          </cell>
          <cell r="V91">
            <v>117.57634873108105</v>
          </cell>
          <cell r="W91">
            <v>112.88343558282207</v>
          </cell>
          <cell r="X91">
            <v>101.68871376301718</v>
          </cell>
          <cell r="Y91">
            <v>122.19246221541992</v>
          </cell>
          <cell r="Z91">
            <v>89.453286999926533</v>
          </cell>
          <cell r="AA91">
            <v>152.94117647058826</v>
          </cell>
          <cell r="AB91">
            <v>91.821155943293348</v>
          </cell>
          <cell r="AC91">
            <v>105.92713711309921</v>
          </cell>
          <cell r="AD91">
            <v>102.50350654335161</v>
          </cell>
          <cell r="AF91">
            <v>108.86973536266966</v>
          </cell>
          <cell r="AG91">
            <v>104.2153218282254</v>
          </cell>
        </row>
        <row r="92">
          <cell r="A92">
            <v>40268</v>
          </cell>
          <cell r="B92">
            <v>13.189503999999999</v>
          </cell>
          <cell r="C92">
            <v>58.29</v>
          </cell>
          <cell r="D92">
            <v>58.647263000000002</v>
          </cell>
          <cell r="E92">
            <v>30.500855999999999</v>
          </cell>
          <cell r="F92">
            <v>75.709999999999994</v>
          </cell>
          <cell r="G92">
            <v>1.1444513000000001</v>
          </cell>
          <cell r="H92">
            <v>21.984999999999999</v>
          </cell>
          <cell r="I92">
            <v>35.49</v>
          </cell>
          <cell r="J92">
            <v>31.824999999999999</v>
          </cell>
          <cell r="K92">
            <v>4.0568967000000002</v>
          </cell>
          <cell r="L92">
            <v>3.18</v>
          </cell>
          <cell r="M92">
            <v>16.07</v>
          </cell>
          <cell r="N92">
            <v>8.7409649999999992</v>
          </cell>
          <cell r="O92">
            <v>10.646046999999999</v>
          </cell>
          <cell r="Q92">
            <v>95.417021886586994</v>
          </cell>
          <cell r="R92">
            <v>96.538588936734016</v>
          </cell>
          <cell r="S92">
            <v>112.57251428672339</v>
          </cell>
          <cell r="T92">
            <v>111.57081222661802</v>
          </cell>
          <cell r="U92">
            <v>101.1624799572421</v>
          </cell>
          <cell r="V92">
            <v>110.81050123528226</v>
          </cell>
          <cell r="W92">
            <v>112.39775051124745</v>
          </cell>
          <cell r="X92">
            <v>99.887419082465527</v>
          </cell>
          <cell r="Y92">
            <v>121.77157069064472</v>
          </cell>
          <cell r="Z92">
            <v>88.972788809802395</v>
          </cell>
          <cell r="AA92">
            <v>155.88235294117646</v>
          </cell>
          <cell r="AB92">
            <v>87.6226826608506</v>
          </cell>
          <cell r="AC92">
            <v>106.94683726189061</v>
          </cell>
          <cell r="AD92">
            <v>100.914578167835</v>
          </cell>
          <cell r="AF92">
            <v>107.88387360211449</v>
          </cell>
          <cell r="AG92">
            <v>103.93070771486281</v>
          </cell>
        </row>
        <row r="93">
          <cell r="A93">
            <v>40269</v>
          </cell>
          <cell r="B93">
            <v>13.26024</v>
          </cell>
          <cell r="C93">
            <v>59.07</v>
          </cell>
          <cell r="D93">
            <v>58.529316000000001</v>
          </cell>
          <cell r="E93">
            <v>30.360754</v>
          </cell>
          <cell r="F93">
            <v>77.17</v>
          </cell>
          <cell r="G93">
            <v>1.1736921</v>
          </cell>
          <cell r="H93">
            <v>21.875</v>
          </cell>
          <cell r="I93">
            <v>35.75</v>
          </cell>
          <cell r="J93">
            <v>31.864999999999998</v>
          </cell>
          <cell r="K93">
            <v>4.0056972999999996</v>
          </cell>
          <cell r="L93">
            <v>3.3</v>
          </cell>
          <cell r="M93">
            <v>16.04</v>
          </cell>
          <cell r="N93">
            <v>8.5639179999999993</v>
          </cell>
          <cell r="O93">
            <v>10.350187</v>
          </cell>
          <cell r="Q93">
            <v>95.928748366989112</v>
          </cell>
          <cell r="R93">
            <v>97.830407419675382</v>
          </cell>
          <cell r="S93">
            <v>112.34611684439813</v>
          </cell>
          <cell r="T93">
            <v>111.05832516938352</v>
          </cell>
          <cell r="U93">
            <v>103.11330839123463</v>
          </cell>
          <cell r="V93">
            <v>113.64171625030355</v>
          </cell>
          <cell r="W93">
            <v>111.83537832310839</v>
          </cell>
          <cell r="X93">
            <v>100.61919504643964</v>
          </cell>
          <cell r="Y93">
            <v>121.92462215419934</v>
          </cell>
          <cell r="Z93">
            <v>87.849922308570399</v>
          </cell>
          <cell r="AA93">
            <v>161.76470588235293</v>
          </cell>
          <cell r="AB93">
            <v>87.459105779716467</v>
          </cell>
          <cell r="AC93">
            <v>104.78064431903979</v>
          </cell>
          <cell r="AD93">
            <v>98.110101811800178</v>
          </cell>
          <cell r="AF93">
            <v>108.7809626613643</v>
          </cell>
          <cell r="AG93">
            <v>101.44537306541999</v>
          </cell>
        </row>
        <row r="94">
          <cell r="A94">
            <v>40270</v>
          </cell>
          <cell r="B94">
            <v>13.26024</v>
          </cell>
          <cell r="C94">
            <v>59.07</v>
          </cell>
          <cell r="D94">
            <v>58.529316000000001</v>
          </cell>
          <cell r="E94">
            <v>30.360754</v>
          </cell>
          <cell r="F94">
            <v>77.17</v>
          </cell>
          <cell r="G94">
            <v>1.1736921</v>
          </cell>
          <cell r="H94">
            <v>21.875</v>
          </cell>
          <cell r="I94">
            <v>35.75</v>
          </cell>
          <cell r="J94">
            <v>31.864999999999998</v>
          </cell>
          <cell r="K94">
            <v>4.0056972999999996</v>
          </cell>
          <cell r="L94">
            <v>3.3</v>
          </cell>
          <cell r="M94">
            <v>16.04</v>
          </cell>
          <cell r="N94">
            <v>8.5639179999999993</v>
          </cell>
          <cell r="O94">
            <v>10.350187</v>
          </cell>
          <cell r="Q94">
            <v>95.928748366989112</v>
          </cell>
          <cell r="R94">
            <v>97.830407419675382</v>
          </cell>
          <cell r="S94">
            <v>112.34611684439813</v>
          </cell>
          <cell r="T94">
            <v>111.05832516938352</v>
          </cell>
          <cell r="U94">
            <v>103.11330839123463</v>
          </cell>
          <cell r="V94">
            <v>113.64171625030355</v>
          </cell>
          <cell r="W94">
            <v>111.83537832310839</v>
          </cell>
          <cell r="X94">
            <v>100.61919504643964</v>
          </cell>
          <cell r="Y94">
            <v>121.92462215419934</v>
          </cell>
          <cell r="Z94">
            <v>87.849922308570399</v>
          </cell>
          <cell r="AA94">
            <v>161.76470588235293</v>
          </cell>
          <cell r="AB94">
            <v>87.459105779716467</v>
          </cell>
          <cell r="AC94">
            <v>104.78064431903979</v>
          </cell>
          <cell r="AD94">
            <v>98.110101811800178</v>
          </cell>
          <cell r="AF94">
            <v>108.7809626613643</v>
          </cell>
          <cell r="AG94">
            <v>101.44537306541999</v>
          </cell>
        </row>
        <row r="95">
          <cell r="A95">
            <v>40271</v>
          </cell>
          <cell r="B95">
            <v>13.26024</v>
          </cell>
          <cell r="C95">
            <v>59.07</v>
          </cell>
          <cell r="D95">
            <v>58.529316000000001</v>
          </cell>
          <cell r="E95">
            <v>30.360754</v>
          </cell>
          <cell r="F95">
            <v>77.17</v>
          </cell>
          <cell r="G95">
            <v>1.1736921</v>
          </cell>
          <cell r="H95">
            <v>21.875</v>
          </cell>
          <cell r="I95">
            <v>35.75</v>
          </cell>
          <cell r="J95">
            <v>31.864999999999998</v>
          </cell>
          <cell r="K95">
            <v>4.0056972999999996</v>
          </cell>
          <cell r="L95">
            <v>3.3</v>
          </cell>
          <cell r="M95">
            <v>16.04</v>
          </cell>
          <cell r="N95">
            <v>8.5639179999999993</v>
          </cell>
          <cell r="O95">
            <v>10.350187</v>
          </cell>
          <cell r="Q95">
            <v>95.928748366989112</v>
          </cell>
          <cell r="R95">
            <v>97.830407419675382</v>
          </cell>
          <cell r="S95">
            <v>112.34611684439813</v>
          </cell>
          <cell r="T95">
            <v>111.05832516938352</v>
          </cell>
          <cell r="U95">
            <v>103.11330839123463</v>
          </cell>
          <cell r="V95">
            <v>113.64171625030355</v>
          </cell>
          <cell r="W95">
            <v>111.83537832310839</v>
          </cell>
          <cell r="X95">
            <v>100.61919504643964</v>
          </cell>
          <cell r="Y95">
            <v>121.92462215419934</v>
          </cell>
          <cell r="Z95">
            <v>87.849922308570399</v>
          </cell>
          <cell r="AA95">
            <v>161.76470588235293</v>
          </cell>
          <cell r="AB95">
            <v>87.459105779716467</v>
          </cell>
          <cell r="AC95">
            <v>104.78064431903979</v>
          </cell>
          <cell r="AD95">
            <v>98.110101811800178</v>
          </cell>
          <cell r="AF95">
            <v>108.7809626613643</v>
          </cell>
          <cell r="AG95">
            <v>101.44537306541999</v>
          </cell>
        </row>
        <row r="96">
          <cell r="A96">
            <v>40272</v>
          </cell>
          <cell r="B96">
            <v>13.26024</v>
          </cell>
          <cell r="C96">
            <v>59.07</v>
          </cell>
          <cell r="D96">
            <v>58.529316000000001</v>
          </cell>
          <cell r="E96">
            <v>30.360754</v>
          </cell>
          <cell r="F96">
            <v>77.17</v>
          </cell>
          <cell r="G96">
            <v>1.1736921</v>
          </cell>
          <cell r="H96">
            <v>21.875</v>
          </cell>
          <cell r="I96">
            <v>35.75</v>
          </cell>
          <cell r="J96">
            <v>31.864999999999998</v>
          </cell>
          <cell r="K96">
            <v>4.0056972999999996</v>
          </cell>
          <cell r="L96">
            <v>3.3</v>
          </cell>
          <cell r="M96">
            <v>16.04</v>
          </cell>
          <cell r="N96">
            <v>8.5639179999999993</v>
          </cell>
          <cell r="O96">
            <v>10.350187</v>
          </cell>
          <cell r="Q96">
            <v>95.928748366989112</v>
          </cell>
          <cell r="R96">
            <v>97.830407419675382</v>
          </cell>
          <cell r="S96">
            <v>112.34611684439813</v>
          </cell>
          <cell r="T96">
            <v>111.05832516938352</v>
          </cell>
          <cell r="U96">
            <v>103.11330839123463</v>
          </cell>
          <cell r="V96">
            <v>113.64171625030355</v>
          </cell>
          <cell r="W96">
            <v>111.83537832310839</v>
          </cell>
          <cell r="X96">
            <v>100.61919504643964</v>
          </cell>
          <cell r="Y96">
            <v>121.92462215419934</v>
          </cell>
          <cell r="Z96">
            <v>87.849922308570399</v>
          </cell>
          <cell r="AA96">
            <v>161.76470588235293</v>
          </cell>
          <cell r="AB96">
            <v>87.459105779716467</v>
          </cell>
          <cell r="AC96">
            <v>104.78064431903979</v>
          </cell>
          <cell r="AD96">
            <v>98.110101811800178</v>
          </cell>
          <cell r="AF96">
            <v>108.7809626613643</v>
          </cell>
          <cell r="AG96">
            <v>101.44537306541999</v>
          </cell>
        </row>
        <row r="97">
          <cell r="A97">
            <v>40273</v>
          </cell>
          <cell r="B97">
            <v>13.252319</v>
          </cell>
          <cell r="C97">
            <v>58.9</v>
          </cell>
          <cell r="D97">
            <v>59.374504000000002</v>
          </cell>
          <cell r="E97">
            <v>30.269354</v>
          </cell>
          <cell r="F97">
            <v>76.89</v>
          </cell>
          <cell r="G97">
            <v>1.202663</v>
          </cell>
          <cell r="H97">
            <v>21.93</v>
          </cell>
          <cell r="I97">
            <v>36.450000000000003</v>
          </cell>
          <cell r="J97">
            <v>31.785</v>
          </cell>
          <cell r="K97">
            <v>4.0033050000000001</v>
          </cell>
          <cell r="L97">
            <v>3.37</v>
          </cell>
          <cell r="M97">
            <v>15.81</v>
          </cell>
          <cell r="N97">
            <v>8.4297284999999995</v>
          </cell>
          <cell r="O97">
            <v>10.117948</v>
          </cell>
          <cell r="Q97">
            <v>95.871445360722646</v>
          </cell>
          <cell r="R97">
            <v>97.548857237495852</v>
          </cell>
          <cell r="S97">
            <v>113.96844213867429</v>
          </cell>
          <cell r="T97">
            <v>110.72398792201209</v>
          </cell>
          <cell r="U97">
            <v>102.73917691074293</v>
          </cell>
          <cell r="V97">
            <v>116.44679843268845</v>
          </cell>
          <cell r="W97">
            <v>112.11656441717793</v>
          </cell>
          <cell r="X97">
            <v>102.589361103293</v>
          </cell>
          <cell r="Y97">
            <v>121.6185192270901</v>
          </cell>
          <cell r="Z97">
            <v>87.797456195082802</v>
          </cell>
          <cell r="AA97">
            <v>165.19607843137257</v>
          </cell>
          <cell r="AB97">
            <v>86.205016357688109</v>
          </cell>
          <cell r="AC97">
            <v>103.13881843153716</v>
          </cell>
          <cell r="AD97">
            <v>95.908693089941266</v>
          </cell>
          <cell r="AF97">
            <v>109.40180864450339</v>
          </cell>
          <cell r="AG97">
            <v>99.52375576073922</v>
          </cell>
        </row>
        <row r="98">
          <cell r="A98">
            <v>40274</v>
          </cell>
          <cell r="B98">
            <v>13.276539</v>
          </cell>
          <cell r="C98">
            <v>58.4</v>
          </cell>
          <cell r="D98">
            <v>60.122369999999997</v>
          </cell>
          <cell r="E98">
            <v>30.508113999999999</v>
          </cell>
          <cell r="F98">
            <v>77.150000000000006</v>
          </cell>
          <cell r="G98">
            <v>1.209562</v>
          </cell>
          <cell r="H98">
            <v>21.89</v>
          </cell>
          <cell r="I98">
            <v>36.42</v>
          </cell>
          <cell r="J98">
            <v>31.605</v>
          </cell>
          <cell r="K98">
            <v>4.1050024000000001</v>
          </cell>
          <cell r="L98">
            <v>3.35</v>
          </cell>
          <cell r="M98">
            <v>16.079999999999998</v>
          </cell>
          <cell r="N98">
            <v>8.1799579999999992</v>
          </cell>
          <cell r="O98">
            <v>9.8841169999999998</v>
          </cell>
          <cell r="Q98">
            <v>96.046660461312712</v>
          </cell>
          <cell r="R98">
            <v>96.720768466379596</v>
          </cell>
          <cell r="S98">
            <v>115.40395935913786</v>
          </cell>
          <cell r="T98">
            <v>111.59736167674299</v>
          </cell>
          <cell r="U98">
            <v>103.08658471405666</v>
          </cell>
          <cell r="V98">
            <v>117.11478810426487</v>
          </cell>
          <cell r="W98">
            <v>111.9120654396728</v>
          </cell>
          <cell r="X98">
            <v>102.50492541514214</v>
          </cell>
          <cell r="Y98">
            <v>120.92978764109432</v>
          </cell>
          <cell r="Z98">
            <v>90.027806623454808</v>
          </cell>
          <cell r="AA98">
            <v>164.21568627450981</v>
          </cell>
          <cell r="AB98">
            <v>87.677208287895297</v>
          </cell>
          <cell r="AC98">
            <v>100.08284406070726</v>
          </cell>
          <cell r="AD98">
            <v>93.692193695606164</v>
          </cell>
          <cell r="AF98">
            <v>109.76980020530533</v>
          </cell>
          <cell r="AG98">
            <v>96.887518878156712</v>
          </cell>
        </row>
        <row r="99">
          <cell r="A99">
            <v>40275</v>
          </cell>
          <cell r="B99">
            <v>13.331614999999999</v>
          </cell>
          <cell r="C99">
            <v>58.21</v>
          </cell>
          <cell r="D99">
            <v>59.900700000000001</v>
          </cell>
          <cell r="E99">
            <v>31.018098999999999</v>
          </cell>
          <cell r="F99">
            <v>76.459999999999994</v>
          </cell>
          <cell r="G99">
            <v>1.2181578</v>
          </cell>
          <cell r="H99">
            <v>22.05</v>
          </cell>
          <cell r="I99">
            <v>36.97</v>
          </cell>
          <cell r="J99">
            <v>31.32</v>
          </cell>
          <cell r="K99">
            <v>4.1134377000000004</v>
          </cell>
          <cell r="L99">
            <v>3.38</v>
          </cell>
          <cell r="M99">
            <v>16.37</v>
          </cell>
          <cell r="N99">
            <v>8.3912119999999994</v>
          </cell>
          <cell r="O99">
            <v>9.695252</v>
          </cell>
          <cell r="Q99">
            <v>96.445097574446436</v>
          </cell>
          <cell r="R99">
            <v>96.406094733355417</v>
          </cell>
          <cell r="S99">
            <v>114.97846722249821</v>
          </cell>
          <cell r="T99">
            <v>113.46286475224329</v>
          </cell>
          <cell r="U99">
            <v>102.16461785141635</v>
          </cell>
          <cell r="V99">
            <v>117.94706895930713</v>
          </cell>
          <cell r="W99">
            <v>112.73006134969326</v>
          </cell>
          <cell r="X99">
            <v>104.0529130312412</v>
          </cell>
          <cell r="Y99">
            <v>119.83929596326763</v>
          </cell>
          <cell r="Z99">
            <v>90.212803240560518</v>
          </cell>
          <cell r="AA99">
            <v>165.68627450980392</v>
          </cell>
          <cell r="AB99">
            <v>89.258451472191936</v>
          </cell>
          <cell r="AC99">
            <v>102.66756407261938</v>
          </cell>
          <cell r="AD99">
            <v>91.901929966198608</v>
          </cell>
          <cell r="AF99">
            <v>110.26533422166877</v>
          </cell>
          <cell r="AG99">
            <v>97.284747019408996</v>
          </cell>
        </row>
        <row r="100">
          <cell r="A100">
            <v>40276</v>
          </cell>
          <cell r="B100">
            <v>13.359408</v>
          </cell>
          <cell r="C100">
            <v>58.01</v>
          </cell>
          <cell r="D100">
            <v>59.155082999999998</v>
          </cell>
          <cell r="E100">
            <v>31.144988999999999</v>
          </cell>
          <cell r="F100">
            <v>76.13</v>
          </cell>
          <cell r="G100">
            <v>1.2194685000000001</v>
          </cell>
          <cell r="H100">
            <v>22.66</v>
          </cell>
          <cell r="I100">
            <v>36.74</v>
          </cell>
          <cell r="J100">
            <v>30.69</v>
          </cell>
          <cell r="K100">
            <v>4.1690250000000004</v>
          </cell>
          <cell r="L100">
            <v>3.43</v>
          </cell>
          <cell r="M100">
            <v>16.11</v>
          </cell>
          <cell r="N100">
            <v>8.4923909999999996</v>
          </cell>
          <cell r="O100">
            <v>9.8769589999999994</v>
          </cell>
          <cell r="Q100">
            <v>96.646160881246601</v>
          </cell>
          <cell r="R100">
            <v>96.074859224908906</v>
          </cell>
          <cell r="S100">
            <v>113.54726692275148</v>
          </cell>
          <cell r="T100">
            <v>113.92702288483589</v>
          </cell>
          <cell r="U100">
            <v>101.72367717797968</v>
          </cell>
          <cell r="V100">
            <v>118.07397634625238</v>
          </cell>
          <cell r="W100">
            <v>115.84867075664621</v>
          </cell>
          <cell r="X100">
            <v>103.40557275541795</v>
          </cell>
          <cell r="Y100">
            <v>117.42873541228238</v>
          </cell>
          <cell r="Z100">
            <v>91.431901844527232</v>
          </cell>
          <cell r="AA100">
            <v>168.13725490196077</v>
          </cell>
          <cell r="AB100">
            <v>87.840785169029445</v>
          </cell>
          <cell r="AC100">
            <v>103.90550222330653</v>
          </cell>
          <cell r="AD100">
            <v>93.624342543857026</v>
          </cell>
          <cell r="AF100">
            <v>110.34049035648657</v>
          </cell>
          <cell r="AG100">
            <v>98.764922383581776</v>
          </cell>
        </row>
        <row r="101">
          <cell r="A101">
            <v>40277</v>
          </cell>
          <cell r="B101">
            <v>13.485948</v>
          </cell>
          <cell r="C101">
            <v>58.15</v>
          </cell>
          <cell r="D101">
            <v>58.867603000000003</v>
          </cell>
          <cell r="E101">
            <v>31.456707000000002</v>
          </cell>
          <cell r="F101">
            <v>76.16</v>
          </cell>
          <cell r="G101">
            <v>1.2517084999999999</v>
          </cell>
          <cell r="H101">
            <v>22.795000000000002</v>
          </cell>
          <cell r="I101">
            <v>36.96</v>
          </cell>
          <cell r="J101">
            <v>30.79</v>
          </cell>
          <cell r="K101">
            <v>4.2190149999999997</v>
          </cell>
          <cell r="L101">
            <v>3.5</v>
          </cell>
          <cell r="M101">
            <v>15.77</v>
          </cell>
          <cell r="N101">
            <v>8.5954239999999995</v>
          </cell>
          <cell r="O101">
            <v>10.089054000000001</v>
          </cell>
          <cell r="Q101">
            <v>97.561591055840637</v>
          </cell>
          <cell r="R101">
            <v>96.306724080821454</v>
          </cell>
          <cell r="S101">
            <v>112.9954535089329</v>
          </cell>
          <cell r="T101">
            <v>115.06727384846972</v>
          </cell>
          <cell r="U101">
            <v>101.76376269374666</v>
          </cell>
          <cell r="V101">
            <v>121.19558629140732</v>
          </cell>
          <cell r="W101">
            <v>116.53885480572599</v>
          </cell>
          <cell r="X101">
            <v>104.02476780185759</v>
          </cell>
          <cell r="Y101">
            <v>117.81136407116892</v>
          </cell>
          <cell r="Z101">
            <v>92.528244700040901</v>
          </cell>
          <cell r="AA101">
            <v>171.56862745098039</v>
          </cell>
          <cell r="AB101">
            <v>85.986913849509278</v>
          </cell>
          <cell r="AC101">
            <v>105.16612430377525</v>
          </cell>
          <cell r="AD101">
            <v>95.63480496775081</v>
          </cell>
          <cell r="AF101">
            <v>111.11243034654179</v>
          </cell>
          <cell r="AG101">
            <v>100.40046463576303</v>
          </cell>
        </row>
        <row r="102">
          <cell r="A102">
            <v>40278</v>
          </cell>
          <cell r="B102">
            <v>13.485948</v>
          </cell>
          <cell r="C102">
            <v>58.15</v>
          </cell>
          <cell r="D102">
            <v>58.867603000000003</v>
          </cell>
          <cell r="E102">
            <v>31.456707000000002</v>
          </cell>
          <cell r="F102">
            <v>76.16</v>
          </cell>
          <cell r="G102">
            <v>1.2517084999999999</v>
          </cell>
          <cell r="H102">
            <v>22.795000000000002</v>
          </cell>
          <cell r="I102">
            <v>36.96</v>
          </cell>
          <cell r="J102">
            <v>30.79</v>
          </cell>
          <cell r="K102">
            <v>4.2190149999999997</v>
          </cell>
          <cell r="L102">
            <v>3.5</v>
          </cell>
          <cell r="M102">
            <v>15.77</v>
          </cell>
          <cell r="N102">
            <v>8.5954239999999995</v>
          </cell>
          <cell r="O102">
            <v>10.089054000000001</v>
          </cell>
          <cell r="Q102">
            <v>97.561591055840637</v>
          </cell>
          <cell r="R102">
            <v>96.306724080821454</v>
          </cell>
          <cell r="S102">
            <v>112.9954535089329</v>
          </cell>
          <cell r="T102">
            <v>115.06727384846972</v>
          </cell>
          <cell r="U102">
            <v>101.76376269374666</v>
          </cell>
          <cell r="V102">
            <v>121.19558629140732</v>
          </cell>
          <cell r="W102">
            <v>116.53885480572599</v>
          </cell>
          <cell r="X102">
            <v>104.02476780185759</v>
          </cell>
          <cell r="Y102">
            <v>117.81136407116892</v>
          </cell>
          <cell r="Z102">
            <v>92.528244700040901</v>
          </cell>
          <cell r="AA102">
            <v>171.56862745098039</v>
          </cell>
          <cell r="AB102">
            <v>85.986913849509278</v>
          </cell>
          <cell r="AC102">
            <v>105.16612430377525</v>
          </cell>
          <cell r="AD102">
            <v>95.63480496775081</v>
          </cell>
          <cell r="AF102">
            <v>111.11243034654179</v>
          </cell>
          <cell r="AG102">
            <v>100.40046463576303</v>
          </cell>
        </row>
        <row r="103">
          <cell r="A103">
            <v>40279</v>
          </cell>
          <cell r="B103">
            <v>13.485948</v>
          </cell>
          <cell r="C103">
            <v>58.15</v>
          </cell>
          <cell r="D103">
            <v>58.867603000000003</v>
          </cell>
          <cell r="E103">
            <v>31.456707000000002</v>
          </cell>
          <cell r="F103">
            <v>76.16</v>
          </cell>
          <cell r="G103">
            <v>1.2517084999999999</v>
          </cell>
          <cell r="H103">
            <v>22.795000000000002</v>
          </cell>
          <cell r="I103">
            <v>36.96</v>
          </cell>
          <cell r="J103">
            <v>30.79</v>
          </cell>
          <cell r="K103">
            <v>4.2190149999999997</v>
          </cell>
          <cell r="L103">
            <v>3.5</v>
          </cell>
          <cell r="M103">
            <v>15.77</v>
          </cell>
          <cell r="N103">
            <v>8.5954239999999995</v>
          </cell>
          <cell r="O103">
            <v>10.089054000000001</v>
          </cell>
          <cell r="Q103">
            <v>97.561591055840637</v>
          </cell>
          <cell r="R103">
            <v>96.306724080821454</v>
          </cell>
          <cell r="S103">
            <v>112.9954535089329</v>
          </cell>
          <cell r="T103">
            <v>115.06727384846972</v>
          </cell>
          <cell r="U103">
            <v>101.76376269374666</v>
          </cell>
          <cell r="V103">
            <v>121.19558629140732</v>
          </cell>
          <cell r="W103">
            <v>116.53885480572599</v>
          </cell>
          <cell r="X103">
            <v>104.02476780185759</v>
          </cell>
          <cell r="Y103">
            <v>117.81136407116892</v>
          </cell>
          <cell r="Z103">
            <v>92.528244700040901</v>
          </cell>
          <cell r="AA103">
            <v>171.56862745098039</v>
          </cell>
          <cell r="AB103">
            <v>85.986913849509278</v>
          </cell>
          <cell r="AC103">
            <v>105.16612430377525</v>
          </cell>
          <cell r="AD103">
            <v>95.63480496775081</v>
          </cell>
          <cell r="AF103">
            <v>111.11243034654179</v>
          </cell>
          <cell r="AG103">
            <v>100.40046463576303</v>
          </cell>
        </row>
        <row r="104">
          <cell r="A104">
            <v>40280</v>
          </cell>
          <cell r="B104">
            <v>13.248253999999999</v>
          </cell>
          <cell r="C104">
            <v>58.1</v>
          </cell>
          <cell r="D104">
            <v>58.517764999999997</v>
          </cell>
          <cell r="E104">
            <v>31.788221</v>
          </cell>
          <cell r="F104">
            <v>76.67</v>
          </cell>
          <cell r="G104">
            <v>1.2513934</v>
          </cell>
          <cell r="H104">
            <v>22.87</v>
          </cell>
          <cell r="I104">
            <v>37.31</v>
          </cell>
          <cell r="J104">
            <v>30.8</v>
          </cell>
          <cell r="K104">
            <v>4.208596</v>
          </cell>
          <cell r="L104">
            <v>3.45</v>
          </cell>
          <cell r="M104">
            <v>16.09</v>
          </cell>
          <cell r="N104">
            <v>8.591329</v>
          </cell>
          <cell r="O104">
            <v>10.228854999999999</v>
          </cell>
          <cell r="Q104">
            <v>95.842037871709479</v>
          </cell>
          <cell r="R104">
            <v>96.223915203709836</v>
          </cell>
          <cell r="S104">
            <v>112.32394487854653</v>
          </cell>
          <cell r="T104">
            <v>116.27993772401786</v>
          </cell>
          <cell r="U104">
            <v>102.44521646178515</v>
          </cell>
          <cell r="V104">
            <v>121.16507700810342</v>
          </cell>
          <cell r="W104">
            <v>116.92229038854806</v>
          </cell>
          <cell r="X104">
            <v>105.00985083028426</v>
          </cell>
          <cell r="Y104">
            <v>117.84962693705758</v>
          </cell>
          <cell r="Z104">
            <v>92.299743075484059</v>
          </cell>
          <cell r="AA104">
            <v>169.11764705882354</v>
          </cell>
          <cell r="AB104">
            <v>87.731733914940023</v>
          </cell>
          <cell r="AC104">
            <v>105.11602144916053</v>
          </cell>
          <cell r="AD104">
            <v>96.959987821296494</v>
          </cell>
          <cell r="AF104">
            <v>111.10091844608412</v>
          </cell>
          <cell r="AG104">
            <v>101.0380046352285</v>
          </cell>
        </row>
        <row r="105">
          <cell r="A105">
            <v>40281</v>
          </cell>
          <cell r="B105">
            <v>13.388206500000001</v>
          </cell>
          <cell r="C105">
            <v>58.25</v>
          </cell>
          <cell r="D105">
            <v>59.054057999999998</v>
          </cell>
          <cell r="E105">
            <v>31.910665999999999</v>
          </cell>
          <cell r="F105">
            <v>76.44</v>
          </cell>
          <cell r="G105">
            <v>1.2278309000000001</v>
          </cell>
          <cell r="H105">
            <v>23.18</v>
          </cell>
          <cell r="I105">
            <v>37.42</v>
          </cell>
          <cell r="J105">
            <v>30.95</v>
          </cell>
          <cell r="K105">
            <v>4.1514534999999997</v>
          </cell>
          <cell r="L105">
            <v>3.43</v>
          </cell>
          <cell r="M105">
            <v>16</v>
          </cell>
          <cell r="N105">
            <v>8.3809959999999997</v>
          </cell>
          <cell r="O105">
            <v>10.204428999999999</v>
          </cell>
          <cell r="Q105">
            <v>96.85449829141767</v>
          </cell>
          <cell r="R105">
            <v>96.472341835044716</v>
          </cell>
          <cell r="S105">
            <v>113.35335099770967</v>
          </cell>
          <cell r="T105">
            <v>116.7278362388362</v>
          </cell>
          <cell r="U105">
            <v>102.13789417423837</v>
          </cell>
          <cell r="V105">
            <v>118.88365844939644</v>
          </cell>
          <cell r="W105">
            <v>118.50715746421268</v>
          </cell>
          <cell r="X105">
            <v>105.31944835350409</v>
          </cell>
          <cell r="Y105">
            <v>118.42356992538741</v>
          </cell>
          <cell r="Z105">
            <v>91.046537001845508</v>
          </cell>
          <cell r="AA105">
            <v>168.13725490196077</v>
          </cell>
          <cell r="AB105">
            <v>87.241003271537622</v>
          </cell>
          <cell r="AC105">
            <v>102.54256999136322</v>
          </cell>
          <cell r="AD105">
            <v>96.72845216432188</v>
          </cell>
          <cell r="AF105">
            <v>111.0920459087576</v>
          </cell>
          <cell r="AG105">
            <v>99.635511077842551</v>
          </cell>
        </row>
        <row r="106">
          <cell r="A106">
            <v>40282</v>
          </cell>
          <cell r="B106">
            <v>13.468306999999999</v>
          </cell>
          <cell r="C106">
            <v>58.19</v>
          </cell>
          <cell r="D106">
            <v>59.305250000000001</v>
          </cell>
          <cell r="E106">
            <v>31.954181999999999</v>
          </cell>
          <cell r="F106">
            <v>76.260000000000005</v>
          </cell>
          <cell r="G106">
            <v>1.2503636</v>
          </cell>
          <cell r="H106">
            <v>23.295000000000002</v>
          </cell>
          <cell r="I106">
            <v>37.590000000000003</v>
          </cell>
          <cell r="J106">
            <v>31.074999999999999</v>
          </cell>
          <cell r="K106">
            <v>4.2526580000000003</v>
          </cell>
          <cell r="L106">
            <v>3.45</v>
          </cell>
          <cell r="M106">
            <v>16.34</v>
          </cell>
          <cell r="N106">
            <v>8.6644670000000001</v>
          </cell>
          <cell r="O106">
            <v>10.328504000000001</v>
          </cell>
          <cell r="Q106">
            <v>97.433970511269635</v>
          </cell>
          <cell r="R106">
            <v>96.372971182510753</v>
          </cell>
          <cell r="S106">
            <v>113.83551015676045</v>
          </cell>
          <cell r="T106">
            <v>116.88701588496984</v>
          </cell>
          <cell r="U106">
            <v>101.89738107963655</v>
          </cell>
          <cell r="V106">
            <v>121.06536751922251</v>
          </cell>
          <cell r="W106">
            <v>119.09509202453989</v>
          </cell>
          <cell r="X106">
            <v>105.7979172530256</v>
          </cell>
          <cell r="Y106">
            <v>118.90185574899559</v>
          </cell>
          <cell r="Z106">
            <v>93.266077520365911</v>
          </cell>
          <cell r="AA106">
            <v>169.11764705882354</v>
          </cell>
          <cell r="AB106">
            <v>89.094874591057788</v>
          </cell>
          <cell r="AC106">
            <v>106.01087433824775</v>
          </cell>
          <cell r="AD106">
            <v>97.904567231837021</v>
          </cell>
          <cell r="AF106">
            <v>111.89714004426484</v>
          </cell>
          <cell r="AG106">
            <v>101.95772078504238</v>
          </cell>
        </row>
        <row r="107">
          <cell r="A107">
            <v>40283</v>
          </cell>
          <cell r="B107">
            <v>13.286550500000001</v>
          </cell>
          <cell r="C107">
            <v>59.25</v>
          </cell>
          <cell r="D107">
            <v>60.137455000000003</v>
          </cell>
          <cell r="E107">
            <v>31.604379999999999</v>
          </cell>
          <cell r="F107">
            <v>77.75</v>
          </cell>
          <cell r="G107">
            <v>1.2367234</v>
          </cell>
          <cell r="H107">
            <v>23.355</v>
          </cell>
          <cell r="I107">
            <v>37.549999999999997</v>
          </cell>
          <cell r="J107">
            <v>30.97</v>
          </cell>
          <cell r="K107">
            <v>4.2389979999999996</v>
          </cell>
          <cell r="L107">
            <v>3.51</v>
          </cell>
          <cell r="M107">
            <v>16.3</v>
          </cell>
          <cell r="N107">
            <v>8.8103449999999999</v>
          </cell>
          <cell r="O107">
            <v>10.229884</v>
          </cell>
          <cell r="Q107">
            <v>96.119086802334905</v>
          </cell>
          <cell r="R107">
            <v>98.128519377277229</v>
          </cell>
          <cell r="S107">
            <v>115.43291478333242</v>
          </cell>
          <cell r="T107">
            <v>115.6074552962934</v>
          </cell>
          <cell r="U107">
            <v>103.88829502939605</v>
          </cell>
          <cell r="V107">
            <v>119.74466702375406</v>
          </cell>
          <cell r="W107">
            <v>119.40184049079757</v>
          </cell>
          <cell r="X107">
            <v>105.68533633549113</v>
          </cell>
          <cell r="Y107">
            <v>118.50009565716471</v>
          </cell>
          <cell r="Z107">
            <v>92.966496736082689</v>
          </cell>
          <cell r="AA107">
            <v>172.05882352941174</v>
          </cell>
          <cell r="AB107">
            <v>88.876772082878958</v>
          </cell>
          <cell r="AC107">
            <v>107.79571053494799</v>
          </cell>
          <cell r="AD107">
            <v>96.969741779825398</v>
          </cell>
          <cell r="AF107">
            <v>112.20085859535122</v>
          </cell>
          <cell r="AG107">
            <v>102.38272615738668</v>
          </cell>
        </row>
        <row r="108">
          <cell r="A108">
            <v>40284</v>
          </cell>
          <cell r="B108">
            <v>13.403097000000001</v>
          </cell>
          <cell r="C108">
            <v>58.26</v>
          </cell>
          <cell r="D108">
            <v>60.382669999999997</v>
          </cell>
          <cell r="E108">
            <v>32.196865000000003</v>
          </cell>
          <cell r="F108">
            <v>76.98</v>
          </cell>
          <cell r="G108">
            <v>1.2311951999999999</v>
          </cell>
          <cell r="H108">
            <v>23.38</v>
          </cell>
          <cell r="I108">
            <v>38.31</v>
          </cell>
          <cell r="J108">
            <v>30.81</v>
          </cell>
          <cell r="K108">
            <v>4.2481790000000004</v>
          </cell>
          <cell r="L108">
            <v>3.65</v>
          </cell>
          <cell r="M108">
            <v>16.47</v>
          </cell>
          <cell r="N108">
            <v>8.7338740000000001</v>
          </cell>
          <cell r="O108">
            <v>10.160977000000001</v>
          </cell>
          <cell r="Q108">
            <v>96.962220853570287</v>
          </cell>
          <cell r="R108">
            <v>96.488903610467034</v>
          </cell>
          <cell r="S108">
            <v>115.90360118332381</v>
          </cell>
          <cell r="T108">
            <v>117.77473980404913</v>
          </cell>
          <cell r="U108">
            <v>102.85943345804382</v>
          </cell>
          <cell r="V108">
            <v>119.20940386932462</v>
          </cell>
          <cell r="W108">
            <v>119.52965235173825</v>
          </cell>
          <cell r="X108">
            <v>107.82437376864623</v>
          </cell>
          <cell r="Y108">
            <v>117.88788980294622</v>
          </cell>
          <cell r="Z108">
            <v>93.167847481361193</v>
          </cell>
          <cell r="AA108">
            <v>178.92156862745097</v>
          </cell>
          <cell r="AB108">
            <v>89.803707742639034</v>
          </cell>
          <cell r="AC108">
            <v>106.86007795979708</v>
          </cell>
          <cell r="AD108">
            <v>96.316567804751742</v>
          </cell>
          <cell r="AF108">
            <v>113.02777854613005</v>
          </cell>
          <cell r="AG108">
            <v>101.58832288227441</v>
          </cell>
        </row>
        <row r="109">
          <cell r="A109">
            <v>40285</v>
          </cell>
          <cell r="B109">
            <v>13.403097000000001</v>
          </cell>
          <cell r="C109">
            <v>58.26</v>
          </cell>
          <cell r="D109">
            <v>60.382669999999997</v>
          </cell>
          <cell r="E109">
            <v>32.196865000000003</v>
          </cell>
          <cell r="F109">
            <v>76.98</v>
          </cell>
          <cell r="G109">
            <v>1.2311951999999999</v>
          </cell>
          <cell r="H109">
            <v>23.38</v>
          </cell>
          <cell r="I109">
            <v>38.31</v>
          </cell>
          <cell r="J109">
            <v>30.81</v>
          </cell>
          <cell r="K109">
            <v>4.2481790000000004</v>
          </cell>
          <cell r="L109">
            <v>3.65</v>
          </cell>
          <cell r="M109">
            <v>16.47</v>
          </cell>
          <cell r="N109">
            <v>8.7338740000000001</v>
          </cell>
          <cell r="O109">
            <v>10.160977000000001</v>
          </cell>
          <cell r="Q109">
            <v>96.962220853570287</v>
          </cell>
          <cell r="R109">
            <v>96.488903610467034</v>
          </cell>
          <cell r="S109">
            <v>115.90360118332381</v>
          </cell>
          <cell r="T109">
            <v>117.77473980404913</v>
          </cell>
          <cell r="U109">
            <v>102.85943345804382</v>
          </cell>
          <cell r="V109">
            <v>119.20940386932462</v>
          </cell>
          <cell r="W109">
            <v>119.52965235173825</v>
          </cell>
          <cell r="X109">
            <v>107.82437376864623</v>
          </cell>
          <cell r="Y109">
            <v>117.88788980294622</v>
          </cell>
          <cell r="Z109">
            <v>93.167847481361193</v>
          </cell>
          <cell r="AA109">
            <v>178.92156862745097</v>
          </cell>
          <cell r="AB109">
            <v>89.803707742639034</v>
          </cell>
          <cell r="AC109">
            <v>106.86007795979708</v>
          </cell>
          <cell r="AD109">
            <v>96.316567804751742</v>
          </cell>
          <cell r="AF109">
            <v>113.02777854613005</v>
          </cell>
          <cell r="AG109">
            <v>101.58832288227441</v>
          </cell>
        </row>
        <row r="110">
          <cell r="A110">
            <v>40286</v>
          </cell>
          <cell r="B110">
            <v>13.403097000000001</v>
          </cell>
          <cell r="C110">
            <v>58.26</v>
          </cell>
          <cell r="D110">
            <v>60.382669999999997</v>
          </cell>
          <cell r="E110">
            <v>32.196865000000003</v>
          </cell>
          <cell r="F110">
            <v>76.98</v>
          </cell>
          <cell r="G110">
            <v>1.2311951999999999</v>
          </cell>
          <cell r="H110">
            <v>23.38</v>
          </cell>
          <cell r="I110">
            <v>38.31</v>
          </cell>
          <cell r="J110">
            <v>30.81</v>
          </cell>
          <cell r="K110">
            <v>4.2481790000000004</v>
          </cell>
          <cell r="L110">
            <v>3.65</v>
          </cell>
          <cell r="M110">
            <v>16.47</v>
          </cell>
          <cell r="N110">
            <v>8.7338740000000001</v>
          </cell>
          <cell r="O110">
            <v>10.160977000000001</v>
          </cell>
          <cell r="Q110">
            <v>96.962220853570287</v>
          </cell>
          <cell r="R110">
            <v>96.488903610467034</v>
          </cell>
          <cell r="S110">
            <v>115.90360118332381</v>
          </cell>
          <cell r="T110">
            <v>117.77473980404913</v>
          </cell>
          <cell r="U110">
            <v>102.85943345804382</v>
          </cell>
          <cell r="V110">
            <v>119.20940386932462</v>
          </cell>
          <cell r="W110">
            <v>119.52965235173825</v>
          </cell>
          <cell r="X110">
            <v>107.82437376864623</v>
          </cell>
          <cell r="Y110">
            <v>117.88788980294622</v>
          </cell>
          <cell r="Z110">
            <v>93.167847481361193</v>
          </cell>
          <cell r="AA110">
            <v>178.92156862745097</v>
          </cell>
          <cell r="AB110">
            <v>89.803707742639034</v>
          </cell>
          <cell r="AC110">
            <v>106.86007795979708</v>
          </cell>
          <cell r="AD110">
            <v>96.316567804751742</v>
          </cell>
          <cell r="AF110">
            <v>113.02777854613005</v>
          </cell>
          <cell r="AG110">
            <v>101.58832288227441</v>
          </cell>
        </row>
        <row r="111">
          <cell r="A111">
            <v>40287</v>
          </cell>
          <cell r="B111">
            <v>13.155284999999999</v>
          </cell>
          <cell r="C111">
            <v>59.86</v>
          </cell>
          <cell r="D111">
            <v>60.169125000000001</v>
          </cell>
          <cell r="E111">
            <v>31.613184</v>
          </cell>
          <cell r="F111">
            <v>79.33</v>
          </cell>
          <cell r="G111">
            <v>1.2177884999999999</v>
          </cell>
          <cell r="H111">
            <v>23.64</v>
          </cell>
          <cell r="I111">
            <v>38.28</v>
          </cell>
          <cell r="J111">
            <v>30.934999999999999</v>
          </cell>
          <cell r="K111">
            <v>4.2041716999999998</v>
          </cell>
          <cell r="L111">
            <v>3.4</v>
          </cell>
          <cell r="M111">
            <v>16.559999999999999</v>
          </cell>
          <cell r="N111">
            <v>8.6484020000000008</v>
          </cell>
          <cell r="O111">
            <v>10.070836999999999</v>
          </cell>
          <cell r="Q111">
            <v>95.169470873907741</v>
          </cell>
          <cell r="R111">
            <v>99.13878767803908</v>
          </cell>
          <cell r="S111">
            <v>115.49370485852246</v>
          </cell>
          <cell r="T111">
            <v>115.639659947561</v>
          </cell>
          <cell r="U111">
            <v>105.99946552645643</v>
          </cell>
          <cell r="V111">
            <v>117.91131180816738</v>
          </cell>
          <cell r="W111">
            <v>120.85889570552149</v>
          </cell>
          <cell r="X111">
            <v>107.73993808049536</v>
          </cell>
          <cell r="Y111">
            <v>118.36617562655442</v>
          </cell>
          <cell r="Z111">
            <v>92.202712675491057</v>
          </cell>
          <cell r="AA111">
            <v>166.66666666666666</v>
          </cell>
          <cell r="AB111">
            <v>90.294438386041435</v>
          </cell>
          <cell r="AC111">
            <v>105.81431698552841</v>
          </cell>
          <cell r="AD111">
            <v>95.462124829246491</v>
          </cell>
          <cell r="AF111">
            <v>112.1234356527854</v>
          </cell>
          <cell r="AG111">
            <v>100.63822090738745</v>
          </cell>
        </row>
        <row r="112">
          <cell r="A112">
            <v>40288</v>
          </cell>
          <cell r="B112">
            <v>13.236033000000001</v>
          </cell>
          <cell r="C112">
            <v>59.6</v>
          </cell>
          <cell r="D112">
            <v>60.755684000000002</v>
          </cell>
          <cell r="E112">
            <v>31.902101999999999</v>
          </cell>
          <cell r="F112">
            <v>80.239999999999995</v>
          </cell>
          <cell r="G112">
            <v>1.2358693000000001</v>
          </cell>
          <cell r="H112">
            <v>23.89</v>
          </cell>
          <cell r="I112">
            <v>38.729999999999997</v>
          </cell>
          <cell r="J112">
            <v>31.77</v>
          </cell>
          <cell r="K112">
            <v>4.2693887000000004</v>
          </cell>
          <cell r="L112">
            <v>3.4</v>
          </cell>
          <cell r="M112">
            <v>16.64</v>
          </cell>
          <cell r="N112">
            <v>8.6802589999999995</v>
          </cell>
          <cell r="O112">
            <v>10.279254</v>
          </cell>
          <cell r="Q112">
            <v>95.753627312489371</v>
          </cell>
          <cell r="R112">
            <v>98.70818151705862</v>
          </cell>
          <cell r="S112">
            <v>116.61959578726891</v>
          </cell>
          <cell r="T112">
            <v>116.69650949718971</v>
          </cell>
          <cell r="U112">
            <v>107.2153928380545</v>
          </cell>
          <cell r="V112">
            <v>119.6619695344812</v>
          </cell>
          <cell r="W112">
            <v>122.13701431492842</v>
          </cell>
          <cell r="X112">
            <v>109.00647340275822</v>
          </cell>
          <cell r="Y112">
            <v>121.56112492825713</v>
          </cell>
          <cell r="Z112">
            <v>93.633002573631416</v>
          </cell>
          <cell r="AA112">
            <v>166.66666666666666</v>
          </cell>
          <cell r="AB112">
            <v>90.730643402399139</v>
          </cell>
          <cell r="AC112">
            <v>106.20409150065939</v>
          </cell>
          <cell r="AD112">
            <v>97.437723249768737</v>
          </cell>
          <cell r="AF112">
            <v>113.19918348126528</v>
          </cell>
          <cell r="AG112">
            <v>101.82090737521406</v>
          </cell>
        </row>
        <row r="113">
          <cell r="A113">
            <v>40289</v>
          </cell>
          <cell r="B113">
            <v>13.356863000000001</v>
          </cell>
          <cell r="C113">
            <v>58.03</v>
          </cell>
          <cell r="D113">
            <v>62.104469999999999</v>
          </cell>
          <cell r="E113">
            <v>31.760159999999999</v>
          </cell>
          <cell r="F113">
            <v>81</v>
          </cell>
          <cell r="G113">
            <v>1.2392025</v>
          </cell>
          <cell r="H113">
            <v>23.99</v>
          </cell>
          <cell r="I113">
            <v>38.4</v>
          </cell>
          <cell r="J113">
            <v>31.67</v>
          </cell>
          <cell r="K113">
            <v>4.3284406999999998</v>
          </cell>
          <cell r="L113">
            <v>3.44</v>
          </cell>
          <cell r="M113">
            <v>16.62</v>
          </cell>
          <cell r="N113">
            <v>8.6802589999999995</v>
          </cell>
          <cell r="O113">
            <v>10.279254</v>
          </cell>
          <cell r="Q113">
            <v>96.627749550486826</v>
          </cell>
          <cell r="R113">
            <v>96.107982775753555</v>
          </cell>
          <cell r="S113">
            <v>119.20856965387085</v>
          </cell>
          <cell r="T113">
            <v>116.17729179952671</v>
          </cell>
          <cell r="U113">
            <v>108.23089257081774</v>
          </cell>
          <cell r="V113">
            <v>119.98470372397223</v>
          </cell>
          <cell r="W113">
            <v>122.64826175869121</v>
          </cell>
          <cell r="X113">
            <v>108.07768083309878</v>
          </cell>
          <cell r="Y113">
            <v>121.17849626937058</v>
          </cell>
          <cell r="Z113">
            <v>94.928086356463851</v>
          </cell>
          <cell r="AA113">
            <v>168.62745098039215</v>
          </cell>
          <cell r="AB113">
            <v>90.621592148309716</v>
          </cell>
          <cell r="AC113">
            <v>106.20409150065939</v>
          </cell>
          <cell r="AD113">
            <v>97.437723249768737</v>
          </cell>
          <cell r="AF113">
            <v>113.53489653506284</v>
          </cell>
          <cell r="AG113">
            <v>101.82090737521406</v>
          </cell>
        </row>
        <row r="114">
          <cell r="A114">
            <v>40290</v>
          </cell>
          <cell r="B114">
            <v>12.983221</v>
          </cell>
          <cell r="C114">
            <v>58.02</v>
          </cell>
          <cell r="D114">
            <v>62.097121999999999</v>
          </cell>
          <cell r="E114">
            <v>31.843575999999999</v>
          </cell>
          <cell r="F114">
            <v>80.69</v>
          </cell>
          <cell r="G114">
            <v>1.201398</v>
          </cell>
          <cell r="H114">
            <v>24.63</v>
          </cell>
          <cell r="I114">
            <v>38.08</v>
          </cell>
          <cell r="J114">
            <v>31.875</v>
          </cell>
          <cell r="K114">
            <v>4.185746</v>
          </cell>
          <cell r="L114">
            <v>3.62</v>
          </cell>
          <cell r="M114">
            <v>16.690000000000001</v>
          </cell>
          <cell r="N114">
            <v>8.5208779999999997</v>
          </cell>
          <cell r="O114">
            <v>10.134466</v>
          </cell>
          <cell r="Q114">
            <v>93.924705759624928</v>
          </cell>
          <cell r="R114">
            <v>96.091421000331238</v>
          </cell>
          <cell r="S114">
            <v>119.19446528151542</v>
          </cell>
          <cell r="T114">
            <v>116.48242392016934</v>
          </cell>
          <cell r="U114">
            <v>107.81667557455906</v>
          </cell>
          <cell r="V114">
            <v>116.32431590847563</v>
          </cell>
          <cell r="W114">
            <v>125.92024539877301</v>
          </cell>
          <cell r="X114">
            <v>107.17703349282294</v>
          </cell>
          <cell r="Y114">
            <v>121.96288502008801</v>
          </cell>
          <cell r="Z114">
            <v>91.798614164732143</v>
          </cell>
          <cell r="AA114">
            <v>177.45098039215685</v>
          </cell>
          <cell r="AB114">
            <v>91.00327153762268</v>
          </cell>
          <cell r="AC114">
            <v>104.25404435258852</v>
          </cell>
          <cell r="AD114">
            <v>96.065268295947419</v>
          </cell>
          <cell r="AF114">
            <v>113.76225312090594</v>
          </cell>
          <cell r="AG114">
            <v>100.15965632426797</v>
          </cell>
        </row>
        <row r="115">
          <cell r="A115">
            <v>40291</v>
          </cell>
          <cell r="B115">
            <v>12.710933000000001</v>
          </cell>
          <cell r="C115">
            <v>57.83</v>
          </cell>
          <cell r="D115">
            <v>60.258853999999999</v>
          </cell>
          <cell r="E115">
            <v>31.116060000000001</v>
          </cell>
          <cell r="F115">
            <v>79.989999999999995</v>
          </cell>
          <cell r="G115">
            <v>1.2179114</v>
          </cell>
          <cell r="H115">
            <v>24.11</v>
          </cell>
          <cell r="I115">
            <v>38.32</v>
          </cell>
          <cell r="J115">
            <v>31.805</v>
          </cell>
          <cell r="K115">
            <v>4.0925703000000002</v>
          </cell>
          <cell r="L115">
            <v>3.88</v>
          </cell>
          <cell r="M115">
            <v>17.260000000000002</v>
          </cell>
          <cell r="N115">
            <v>8.5967199999999995</v>
          </cell>
          <cell r="O115">
            <v>10.213924</v>
          </cell>
          <cell r="Q115">
            <v>91.95488869482439</v>
          </cell>
          <cell r="R115">
            <v>95.776747267307044</v>
          </cell>
          <cell r="S115">
            <v>115.66593828626885</v>
          </cell>
          <cell r="T115">
            <v>113.82120185388176</v>
          </cell>
          <cell r="U115">
            <v>106.88134687332975</v>
          </cell>
          <cell r="V115">
            <v>117.92321149372134</v>
          </cell>
          <cell r="W115">
            <v>123.26175869120655</v>
          </cell>
          <cell r="X115">
            <v>107.85251899802984</v>
          </cell>
          <cell r="Y115">
            <v>121.6950449588674</v>
          </cell>
          <cell r="Z115">
            <v>89.755155212892063</v>
          </cell>
          <cell r="AA115">
            <v>190.19607843137254</v>
          </cell>
          <cell r="AB115">
            <v>94.111232279171219</v>
          </cell>
          <cell r="AC115">
            <v>105.18198103138958</v>
          </cell>
          <cell r="AD115">
            <v>96.818455892438408</v>
          </cell>
          <cell r="AF115">
            <v>114.0745935867394</v>
          </cell>
          <cell r="AG115">
            <v>101.00021846191399</v>
          </cell>
        </row>
        <row r="116">
          <cell r="A116">
            <v>40292</v>
          </cell>
          <cell r="B116">
            <v>12.710933000000001</v>
          </cell>
          <cell r="C116">
            <v>57.83</v>
          </cell>
          <cell r="D116">
            <v>60.258853999999999</v>
          </cell>
          <cell r="E116">
            <v>31.116060000000001</v>
          </cell>
          <cell r="F116">
            <v>79.989999999999995</v>
          </cell>
          <cell r="G116">
            <v>1.2179114</v>
          </cell>
          <cell r="H116">
            <v>24.11</v>
          </cell>
          <cell r="I116">
            <v>38.32</v>
          </cell>
          <cell r="J116">
            <v>31.805</v>
          </cell>
          <cell r="K116">
            <v>4.0925703000000002</v>
          </cell>
          <cell r="L116">
            <v>3.88</v>
          </cell>
          <cell r="M116">
            <v>17.260000000000002</v>
          </cell>
          <cell r="N116">
            <v>8.5967199999999995</v>
          </cell>
          <cell r="O116">
            <v>10.213924</v>
          </cell>
          <cell r="Q116">
            <v>91.95488869482439</v>
          </cell>
          <cell r="R116">
            <v>95.776747267307044</v>
          </cell>
          <cell r="S116">
            <v>115.66593828626885</v>
          </cell>
          <cell r="T116">
            <v>113.82120185388176</v>
          </cell>
          <cell r="U116">
            <v>106.88134687332975</v>
          </cell>
          <cell r="V116">
            <v>117.92321149372134</v>
          </cell>
          <cell r="W116">
            <v>123.26175869120655</v>
          </cell>
          <cell r="X116">
            <v>107.85251899802984</v>
          </cell>
          <cell r="Y116">
            <v>121.6950449588674</v>
          </cell>
          <cell r="Z116">
            <v>89.755155212892063</v>
          </cell>
          <cell r="AA116">
            <v>190.19607843137254</v>
          </cell>
          <cell r="AB116">
            <v>94.111232279171219</v>
          </cell>
          <cell r="AC116">
            <v>105.18198103138958</v>
          </cell>
          <cell r="AD116">
            <v>96.818455892438408</v>
          </cell>
          <cell r="AF116">
            <v>114.0745935867394</v>
          </cell>
          <cell r="AG116">
            <v>101.00021846191399</v>
          </cell>
        </row>
        <row r="117">
          <cell r="A117">
            <v>40293</v>
          </cell>
          <cell r="B117">
            <v>12.710933000000001</v>
          </cell>
          <cell r="C117">
            <v>57.83</v>
          </cell>
          <cell r="D117">
            <v>60.258853999999999</v>
          </cell>
          <cell r="E117">
            <v>31.116060000000001</v>
          </cell>
          <cell r="F117">
            <v>79.989999999999995</v>
          </cell>
          <cell r="G117">
            <v>1.2179114</v>
          </cell>
          <cell r="H117">
            <v>24.11</v>
          </cell>
          <cell r="I117">
            <v>38.32</v>
          </cell>
          <cell r="J117">
            <v>31.805</v>
          </cell>
          <cell r="K117">
            <v>4.0925703000000002</v>
          </cell>
          <cell r="L117">
            <v>3.88</v>
          </cell>
          <cell r="M117">
            <v>17.260000000000002</v>
          </cell>
          <cell r="N117">
            <v>8.5967199999999995</v>
          </cell>
          <cell r="O117">
            <v>10.213924</v>
          </cell>
          <cell r="Q117">
            <v>91.95488869482439</v>
          </cell>
          <cell r="R117">
            <v>95.776747267307044</v>
          </cell>
          <cell r="S117">
            <v>115.66593828626885</v>
          </cell>
          <cell r="T117">
            <v>113.82120185388176</v>
          </cell>
          <cell r="U117">
            <v>106.88134687332975</v>
          </cell>
          <cell r="V117">
            <v>117.92321149372134</v>
          </cell>
          <cell r="W117">
            <v>123.26175869120655</v>
          </cell>
          <cell r="X117">
            <v>107.85251899802984</v>
          </cell>
          <cell r="Y117">
            <v>121.6950449588674</v>
          </cell>
          <cell r="Z117">
            <v>89.755155212892063</v>
          </cell>
          <cell r="AA117">
            <v>190.19607843137254</v>
          </cell>
          <cell r="AB117">
            <v>94.111232279171219</v>
          </cell>
          <cell r="AC117">
            <v>105.18198103138958</v>
          </cell>
          <cell r="AD117">
            <v>96.818455892438408</v>
          </cell>
          <cell r="AF117">
            <v>114.0745935867394</v>
          </cell>
          <cell r="AG117">
            <v>101.00021846191399</v>
          </cell>
        </row>
        <row r="118">
          <cell r="A118">
            <v>40294</v>
          </cell>
          <cell r="B118">
            <v>12.785398000000001</v>
          </cell>
          <cell r="C118">
            <v>57.4</v>
          </cell>
          <cell r="D118">
            <v>61.201720000000002</v>
          </cell>
          <cell r="E118">
            <v>31.812145000000001</v>
          </cell>
          <cell r="F118">
            <v>78.91</v>
          </cell>
          <cell r="G118">
            <v>1.2496803000000001</v>
          </cell>
          <cell r="H118">
            <v>23.63</v>
          </cell>
          <cell r="I118">
            <v>38.07</v>
          </cell>
          <cell r="J118">
            <v>31.605</v>
          </cell>
          <cell r="K118">
            <v>4.1165456999999996</v>
          </cell>
          <cell r="L118">
            <v>4.04</v>
          </cell>
          <cell r="M118">
            <v>16.510000000000002</v>
          </cell>
          <cell r="N118">
            <v>8.5423530000000003</v>
          </cell>
          <cell r="O118">
            <v>10.325355</v>
          </cell>
          <cell r="Q118">
            <v>92.493591934520495</v>
          </cell>
          <cell r="R118">
            <v>95.064590924147069</v>
          </cell>
          <cell r="S118">
            <v>117.47575499085173</v>
          </cell>
          <cell r="T118">
            <v>116.36745068141516</v>
          </cell>
          <cell r="U118">
            <v>105.43826830571885</v>
          </cell>
          <cell r="V118">
            <v>120.99920759132164</v>
          </cell>
          <cell r="W118">
            <v>120.8077709611452</v>
          </cell>
          <cell r="X118">
            <v>107.14888826343933</v>
          </cell>
          <cell r="Y118">
            <v>120.92978764109432</v>
          </cell>
          <cell r="Z118">
            <v>90.280965544920107</v>
          </cell>
          <cell r="AA118">
            <v>198.03921568627453</v>
          </cell>
          <cell r="AB118">
            <v>90.021810250817893</v>
          </cell>
          <cell r="AC118">
            <v>104.51679375499423</v>
          </cell>
          <cell r="AD118">
            <v>97.874717654181509</v>
          </cell>
          <cell r="AF118">
            <v>114.58894189797219</v>
          </cell>
          <cell r="AG118">
            <v>101.19575570458787</v>
          </cell>
        </row>
        <row r="119">
          <cell r="A119">
            <v>40295</v>
          </cell>
          <cell r="B119">
            <v>12.708812</v>
          </cell>
          <cell r="C119">
            <v>56.35</v>
          </cell>
          <cell r="D119">
            <v>61.390377000000001</v>
          </cell>
          <cell r="E119">
            <v>31.315508000000001</v>
          </cell>
          <cell r="F119">
            <v>77.42</v>
          </cell>
          <cell r="G119">
            <v>1.2562538000000001</v>
          </cell>
          <cell r="H119">
            <v>23.25</v>
          </cell>
          <cell r="I119">
            <v>38.049999999999997</v>
          </cell>
          <cell r="J119">
            <v>30.47</v>
          </cell>
          <cell r="K119">
            <v>4.0975279999999996</v>
          </cell>
          <cell r="L119">
            <v>3.83</v>
          </cell>
          <cell r="M119">
            <v>16.11</v>
          </cell>
          <cell r="N119">
            <v>8.5069929999999996</v>
          </cell>
          <cell r="O119">
            <v>9.9914360000000002</v>
          </cell>
          <cell r="Q119">
            <v>91.939544713472131</v>
          </cell>
          <cell r="R119">
            <v>93.325604504802911</v>
          </cell>
          <cell r="S119">
            <v>117.83787918457224</v>
          </cell>
          <cell r="T119">
            <v>114.55077401267542</v>
          </cell>
          <cell r="U119">
            <v>103.44735435595938</v>
          </cell>
          <cell r="V119">
            <v>121.63568100864408</v>
          </cell>
          <cell r="W119">
            <v>118.86503067484664</v>
          </cell>
          <cell r="X119">
            <v>107.09259780467211</v>
          </cell>
          <cell r="Y119">
            <v>116.58695236273195</v>
          </cell>
          <cell r="Z119">
            <v>89.863883738092696</v>
          </cell>
          <cell r="AA119">
            <v>187.74509803921569</v>
          </cell>
          <cell r="AB119">
            <v>87.840785169029445</v>
          </cell>
          <cell r="AC119">
            <v>104.08415958181305</v>
          </cell>
          <cell r="AD119">
            <v>94.709477539496206</v>
          </cell>
          <cell r="AF119">
            <v>112.56093213072621</v>
          </cell>
          <cell r="AG119">
            <v>99.396818560654623</v>
          </cell>
        </row>
        <row r="120">
          <cell r="A120">
            <v>40296</v>
          </cell>
          <cell r="B120">
            <v>12.706268</v>
          </cell>
          <cell r="C120">
            <v>56.69</v>
          </cell>
          <cell r="D120">
            <v>59.642780000000002</v>
          </cell>
          <cell r="E120">
            <v>31.044014000000001</v>
          </cell>
          <cell r="F120">
            <v>78.13</v>
          </cell>
          <cell r="G120">
            <v>1.2520473000000001</v>
          </cell>
          <cell r="H120">
            <v>23.77</v>
          </cell>
          <cell r="I120">
            <v>37.700000000000003</v>
          </cell>
          <cell r="J120">
            <v>30.99</v>
          </cell>
          <cell r="K120">
            <v>4.0416454999999996</v>
          </cell>
          <cell r="L120">
            <v>3.91</v>
          </cell>
          <cell r="M120">
            <v>15.92</v>
          </cell>
          <cell r="N120">
            <v>8.4772280000000002</v>
          </cell>
          <cell r="O120">
            <v>9.9564760000000003</v>
          </cell>
          <cell r="Q120">
            <v>91.921140617026992</v>
          </cell>
          <cell r="R120">
            <v>93.88870486916197</v>
          </cell>
          <cell r="S120">
            <v>114.48339377150303</v>
          </cell>
          <cell r="T120">
            <v>113.55766070153905</v>
          </cell>
          <cell r="U120">
            <v>104.39604489577765</v>
          </cell>
          <cell r="V120">
            <v>121.22839030658781</v>
          </cell>
          <cell r="W120">
            <v>121.52351738241309</v>
          </cell>
          <cell r="X120">
            <v>106.10751477624542</v>
          </cell>
          <cell r="Y120">
            <v>118.57662138894203</v>
          </cell>
          <cell r="Z120">
            <v>88.638311031086431</v>
          </cell>
          <cell r="AA120">
            <v>191.66666666666669</v>
          </cell>
          <cell r="AB120">
            <v>86.804798255179932</v>
          </cell>
          <cell r="AC120">
            <v>103.7199809572447</v>
          </cell>
          <cell r="AD120">
            <v>94.378089405219924</v>
          </cell>
          <cell r="AF120">
            <v>112.73273038851084</v>
          </cell>
          <cell r="AG120">
            <v>99.049035181232313</v>
          </cell>
        </row>
        <row r="121">
          <cell r="A121">
            <v>40297</v>
          </cell>
          <cell r="B121">
            <v>12.943505999999999</v>
          </cell>
          <cell r="C121">
            <v>57.25</v>
          </cell>
          <cell r="D121">
            <v>59.544662000000002</v>
          </cell>
          <cell r="E121">
            <v>30.992943</v>
          </cell>
          <cell r="F121">
            <v>78.83</v>
          </cell>
          <cell r="G121">
            <v>1.2421</v>
          </cell>
          <cell r="H121">
            <v>24.19</v>
          </cell>
          <cell r="I121">
            <v>38.659999999999997</v>
          </cell>
          <cell r="J121">
            <v>30.844999999999999</v>
          </cell>
          <cell r="K121">
            <v>4.0825399999999998</v>
          </cell>
          <cell r="L121">
            <v>3.93</v>
          </cell>
          <cell r="M121">
            <v>16.260000000000002</v>
          </cell>
          <cell r="N121">
            <v>8.6775669999999998</v>
          </cell>
          <cell r="O121">
            <v>10.225894</v>
          </cell>
          <cell r="Q121">
            <v>93.637394953682119</v>
          </cell>
          <cell r="R121">
            <v>94.816164292812189</v>
          </cell>
          <cell r="S121">
            <v>114.29505778800137</v>
          </cell>
          <cell r="T121">
            <v>113.37084519212431</v>
          </cell>
          <cell r="U121">
            <v>105.33137359700694</v>
          </cell>
          <cell r="V121">
            <v>120.26525164010393</v>
          </cell>
          <cell r="W121">
            <v>123.67075664621679</v>
          </cell>
          <cell r="X121">
            <v>108.80945679707288</v>
          </cell>
          <cell r="Y121">
            <v>118.02180983355652</v>
          </cell>
          <cell r="Z121">
            <v>89.535178262628818</v>
          </cell>
          <cell r="AA121">
            <v>192.64705882352942</v>
          </cell>
          <cell r="AB121">
            <v>88.658669574700127</v>
          </cell>
          <cell r="AC121">
            <v>106.17115453249752</v>
          </cell>
          <cell r="AD121">
            <v>96.931920307978643</v>
          </cell>
          <cell r="AF121">
            <v>113.58825145011961</v>
          </cell>
          <cell r="AG121">
            <v>101.55153742023808</v>
          </cell>
        </row>
        <row r="122">
          <cell r="A122">
            <v>40298</v>
          </cell>
          <cell r="B122">
            <v>12.845731000000001</v>
          </cell>
          <cell r="C122">
            <v>57.16</v>
          </cell>
          <cell r="D122">
            <v>60.099986999999999</v>
          </cell>
          <cell r="E122">
            <v>32.12424</v>
          </cell>
          <cell r="F122">
            <v>78.569999999999993</v>
          </cell>
          <cell r="G122">
            <v>1.2550622</v>
          </cell>
          <cell r="H122">
            <v>23.4</v>
          </cell>
          <cell r="I122">
            <v>38.79</v>
          </cell>
          <cell r="J122">
            <v>34.215000000000003</v>
          </cell>
          <cell r="K122">
            <v>4.0678143999999996</v>
          </cell>
          <cell r="L122">
            <v>3.68</v>
          </cell>
          <cell r="M122">
            <v>16.29</v>
          </cell>
          <cell r="N122">
            <v>8.7245419999999996</v>
          </cell>
          <cell r="O122">
            <v>10.244113</v>
          </cell>
          <cell r="Q122">
            <v>92.930059839718709</v>
          </cell>
          <cell r="R122">
            <v>94.667108314011244</v>
          </cell>
          <cell r="S122">
            <v>115.36099553681456</v>
          </cell>
          <cell r="T122">
            <v>117.50908069474548</v>
          </cell>
          <cell r="U122">
            <v>104.9839657936932</v>
          </cell>
          <cell r="V122">
            <v>121.52030537555952</v>
          </cell>
          <cell r="W122">
            <v>119.6319018404908</v>
          </cell>
          <cell r="X122">
            <v>109.17534477905994</v>
          </cell>
          <cell r="Y122">
            <v>130.91639563803329</v>
          </cell>
          <cell r="Z122">
            <v>89.212227545422337</v>
          </cell>
          <cell r="AA122">
            <v>180.39215686274511</v>
          </cell>
          <cell r="AB122">
            <v>88.822246455834247</v>
          </cell>
          <cell r="AC122">
            <v>106.74589973287041</v>
          </cell>
          <cell r="AD122">
            <v>97.104619404614212</v>
          </cell>
          <cell r="AF122">
            <v>113.76014905634405</v>
          </cell>
          <cell r="AG122">
            <v>101.92525956874232</v>
          </cell>
        </row>
        <row r="123">
          <cell r="A123">
            <v>40299</v>
          </cell>
          <cell r="B123">
            <v>12.845731000000001</v>
          </cell>
          <cell r="C123">
            <v>57.16</v>
          </cell>
          <cell r="D123">
            <v>60.099986999999999</v>
          </cell>
          <cell r="E123">
            <v>32.12424</v>
          </cell>
          <cell r="F123">
            <v>78.569999999999993</v>
          </cell>
          <cell r="G123">
            <v>1.2550622</v>
          </cell>
          <cell r="H123">
            <v>23.4</v>
          </cell>
          <cell r="I123">
            <v>38.79</v>
          </cell>
          <cell r="J123">
            <v>34.215000000000003</v>
          </cell>
          <cell r="K123">
            <v>4.0678143999999996</v>
          </cell>
          <cell r="L123">
            <v>3.68</v>
          </cell>
          <cell r="M123">
            <v>16.29</v>
          </cell>
          <cell r="N123">
            <v>8.7245419999999996</v>
          </cell>
          <cell r="O123">
            <v>10.244113</v>
          </cell>
          <cell r="Q123">
            <v>92.930059839718709</v>
          </cell>
          <cell r="R123">
            <v>94.667108314011244</v>
          </cell>
          <cell r="S123">
            <v>115.36099553681456</v>
          </cell>
          <cell r="T123">
            <v>117.50908069474548</v>
          </cell>
          <cell r="U123">
            <v>104.9839657936932</v>
          </cell>
          <cell r="V123">
            <v>121.52030537555952</v>
          </cell>
          <cell r="W123">
            <v>119.6319018404908</v>
          </cell>
          <cell r="X123">
            <v>109.17534477905994</v>
          </cell>
          <cell r="Y123">
            <v>130.91639563803329</v>
          </cell>
          <cell r="Z123">
            <v>89.212227545422337</v>
          </cell>
          <cell r="AA123">
            <v>180.39215686274511</v>
          </cell>
          <cell r="AB123">
            <v>88.822246455834247</v>
          </cell>
          <cell r="AC123">
            <v>106.74589973287041</v>
          </cell>
          <cell r="AD123">
            <v>97.104619404614212</v>
          </cell>
          <cell r="AF123">
            <v>113.76014905634405</v>
          </cell>
          <cell r="AG123">
            <v>101.92525956874232</v>
          </cell>
        </row>
        <row r="124">
          <cell r="A124">
            <v>40300</v>
          </cell>
          <cell r="B124">
            <v>12.845731000000001</v>
          </cell>
          <cell r="C124">
            <v>57.16</v>
          </cell>
          <cell r="D124">
            <v>60.099986999999999</v>
          </cell>
          <cell r="E124">
            <v>32.12424</v>
          </cell>
          <cell r="F124">
            <v>78.569999999999993</v>
          </cell>
          <cell r="G124">
            <v>1.2550622</v>
          </cell>
          <cell r="H124">
            <v>23.4</v>
          </cell>
          <cell r="I124">
            <v>38.79</v>
          </cell>
          <cell r="J124">
            <v>34.215000000000003</v>
          </cell>
          <cell r="K124">
            <v>4.0678143999999996</v>
          </cell>
          <cell r="L124">
            <v>3.68</v>
          </cell>
          <cell r="M124">
            <v>16.29</v>
          </cell>
          <cell r="N124">
            <v>8.7245419999999996</v>
          </cell>
          <cell r="O124">
            <v>10.244113</v>
          </cell>
          <cell r="Q124">
            <v>92.930059839718709</v>
          </cell>
          <cell r="R124">
            <v>94.667108314011244</v>
          </cell>
          <cell r="S124">
            <v>115.36099553681456</v>
          </cell>
          <cell r="T124">
            <v>117.50908069474548</v>
          </cell>
          <cell r="U124">
            <v>104.9839657936932</v>
          </cell>
          <cell r="V124">
            <v>121.52030537555952</v>
          </cell>
          <cell r="W124">
            <v>119.6319018404908</v>
          </cell>
          <cell r="X124">
            <v>109.17534477905994</v>
          </cell>
          <cell r="Y124">
            <v>130.91639563803329</v>
          </cell>
          <cell r="Z124">
            <v>89.212227545422337</v>
          </cell>
          <cell r="AA124">
            <v>180.39215686274511</v>
          </cell>
          <cell r="AB124">
            <v>88.822246455834247</v>
          </cell>
          <cell r="AC124">
            <v>106.74589973287041</v>
          </cell>
          <cell r="AD124">
            <v>97.104619404614212</v>
          </cell>
          <cell r="AF124">
            <v>113.76014905634405</v>
          </cell>
          <cell r="AG124">
            <v>101.92525956874232</v>
          </cell>
        </row>
        <row r="125">
          <cell r="A125">
            <v>40301</v>
          </cell>
          <cell r="B125">
            <v>12.835749</v>
          </cell>
          <cell r="C125">
            <v>56.74</v>
          </cell>
          <cell r="D125">
            <v>59.782032000000001</v>
          </cell>
          <cell r="E125">
            <v>31.95429</v>
          </cell>
          <cell r="F125">
            <v>78.56</v>
          </cell>
          <cell r="G125">
            <v>1.2311053999999999</v>
          </cell>
          <cell r="H125">
            <v>23.61</v>
          </cell>
          <cell r="I125">
            <v>38.119999999999997</v>
          </cell>
          <cell r="J125">
            <v>34.340000000000003</v>
          </cell>
          <cell r="K125">
            <v>4.0660400000000001</v>
          </cell>
          <cell r="L125">
            <v>3.62</v>
          </cell>
          <cell r="M125">
            <v>16.64</v>
          </cell>
          <cell r="N125">
            <v>8.8498125000000005</v>
          </cell>
          <cell r="O125">
            <v>10.47564</v>
          </cell>
          <cell r="Q125">
            <v>92.857846910978395</v>
          </cell>
          <cell r="R125">
            <v>93.971513746273601</v>
          </cell>
          <cell r="S125">
            <v>114.75068583182397</v>
          </cell>
          <cell r="T125">
            <v>116.88741094429935</v>
          </cell>
          <cell r="U125">
            <v>104.97060395510422</v>
          </cell>
          <cell r="V125">
            <v>119.20070906246745</v>
          </cell>
          <cell r="W125">
            <v>120.70552147239265</v>
          </cell>
          <cell r="X125">
            <v>107.28961441035743</v>
          </cell>
          <cell r="Y125">
            <v>131.39468146164148</v>
          </cell>
          <cell r="Z125">
            <v>89.173312747206239</v>
          </cell>
          <cell r="AA125">
            <v>177.45098039215685</v>
          </cell>
          <cell r="AB125">
            <v>90.730643402399139</v>
          </cell>
          <cell r="AC125">
            <v>108.27860050186054</v>
          </cell>
          <cell r="AD125">
            <v>99.299279031747574</v>
          </cell>
          <cell r="AF125">
            <v>113.28196036142508</v>
          </cell>
          <cell r="AG125">
            <v>103.78893976680405</v>
          </cell>
        </row>
        <row r="126">
          <cell r="A126">
            <v>40302</v>
          </cell>
          <cell r="B126">
            <v>12.521437000000001</v>
          </cell>
          <cell r="C126">
            <v>55.98</v>
          </cell>
          <cell r="D126">
            <v>59.778869999999998</v>
          </cell>
          <cell r="E126">
            <v>31.9526</v>
          </cell>
          <cell r="F126">
            <v>77.83</v>
          </cell>
          <cell r="G126">
            <v>1.2260593</v>
          </cell>
          <cell r="H126">
            <v>23</v>
          </cell>
          <cell r="I126">
            <v>37.950000000000003</v>
          </cell>
          <cell r="J126">
            <v>33.854999999999997</v>
          </cell>
          <cell r="K126">
            <v>4.0614986000000002</v>
          </cell>
          <cell r="L126">
            <v>3.44</v>
          </cell>
          <cell r="M126">
            <v>15.96</v>
          </cell>
          <cell r="N126">
            <v>8.6585029999999996</v>
          </cell>
          <cell r="O126">
            <v>10.139562</v>
          </cell>
          <cell r="Q126">
            <v>90.584015007730414</v>
          </cell>
          <cell r="R126">
            <v>92.71281881417687</v>
          </cell>
          <cell r="S126">
            <v>114.74461642172764</v>
          </cell>
          <cell r="T126">
            <v>116.88122899738404</v>
          </cell>
          <cell r="U126">
            <v>103.99518973810795</v>
          </cell>
          <cell r="V126">
            <v>118.71212482102061</v>
          </cell>
          <cell r="W126">
            <v>117.58691206543968</v>
          </cell>
          <cell r="X126">
            <v>106.81114551083593</v>
          </cell>
          <cell r="Y126">
            <v>129.5389324660417</v>
          </cell>
          <cell r="Z126">
            <v>89.073714198615917</v>
          </cell>
          <cell r="AA126">
            <v>168.62745098039215</v>
          </cell>
          <cell r="AB126">
            <v>87.022900763358777</v>
          </cell>
          <cell r="AC126">
            <v>105.93790402691141</v>
          </cell>
          <cell r="AD126">
            <v>96.113573614376264</v>
          </cell>
          <cell r="AF126">
            <v>111.35758748206933</v>
          </cell>
          <cell r="AG126">
            <v>101.02573882064384</v>
          </cell>
        </row>
        <row r="127">
          <cell r="A127">
            <v>40303</v>
          </cell>
          <cell r="B127">
            <v>12.428639</v>
          </cell>
          <cell r="C127">
            <v>56.59</v>
          </cell>
          <cell r="D127">
            <v>59.867550000000001</v>
          </cell>
          <cell r="E127">
            <v>32</v>
          </cell>
          <cell r="F127">
            <v>77.67</v>
          </cell>
          <cell r="G127">
            <v>1.1920577000000001</v>
          </cell>
          <cell r="H127">
            <v>23</v>
          </cell>
          <cell r="I127">
            <v>37.25</v>
          </cell>
          <cell r="J127">
            <v>33.795000000000002</v>
          </cell>
          <cell r="K127">
            <v>3.9191039999999999</v>
          </cell>
          <cell r="L127">
            <v>3.59</v>
          </cell>
          <cell r="M127">
            <v>15.99</v>
          </cell>
          <cell r="N127">
            <v>8.4962389999999992</v>
          </cell>
          <cell r="O127">
            <v>9.8442270000000001</v>
          </cell>
          <cell r="Q127">
            <v>89.912685077732178</v>
          </cell>
          <cell r="R127">
            <v>93.723087114938721</v>
          </cell>
          <cell r="S127">
            <v>114.9148363101979</v>
          </cell>
          <cell r="T127">
            <v>117.05461614755262</v>
          </cell>
          <cell r="U127">
            <v>103.78140032068413</v>
          </cell>
          <cell r="V127">
            <v>115.41994948878798</v>
          </cell>
          <cell r="W127">
            <v>117.58691206543968</v>
          </cell>
          <cell r="X127">
            <v>104.84097945398254</v>
          </cell>
          <cell r="Y127">
            <v>129.30935527070977</v>
          </cell>
          <cell r="Z127">
            <v>85.950823573016237</v>
          </cell>
          <cell r="AA127">
            <v>175.98039215686273</v>
          </cell>
          <cell r="AB127">
            <v>87.186477644492911</v>
          </cell>
          <cell r="AC127">
            <v>103.95258300097623</v>
          </cell>
          <cell r="AD127">
            <v>93.314073767794937</v>
          </cell>
          <cell r="AF127">
            <v>111.30512621869978</v>
          </cell>
          <cell r="AG127">
            <v>98.633328384385578</v>
          </cell>
        </row>
        <row r="128">
          <cell r="A128">
            <v>40304</v>
          </cell>
          <cell r="B128">
            <v>12.142575000000001</v>
          </cell>
          <cell r="C128">
            <v>55.07</v>
          </cell>
          <cell r="D128">
            <v>59.882164000000003</v>
          </cell>
          <cell r="E128">
            <v>31.933584</v>
          </cell>
          <cell r="F128">
            <v>76.260000000000005</v>
          </cell>
          <cell r="G128">
            <v>1.153543</v>
          </cell>
          <cell r="H128">
            <v>22.16</v>
          </cell>
          <cell r="I128">
            <v>36.26</v>
          </cell>
          <cell r="J128">
            <v>32.844999999999999</v>
          </cell>
          <cell r="K128">
            <v>3.9305964000000002</v>
          </cell>
          <cell r="L128">
            <v>3.31</v>
          </cell>
          <cell r="M128">
            <v>15.91</v>
          </cell>
          <cell r="N128">
            <v>8.2943960000000008</v>
          </cell>
          <cell r="O128">
            <v>9.5109080000000006</v>
          </cell>
          <cell r="Q128">
            <v>87.843208094445728</v>
          </cell>
          <cell r="R128">
            <v>91.205697250745274</v>
          </cell>
          <cell r="S128">
            <v>114.942887657177</v>
          </cell>
          <cell r="T128">
            <v>116.81166929173837</v>
          </cell>
          <cell r="U128">
            <v>101.89738107963655</v>
          </cell>
          <cell r="V128">
            <v>111.69079717629855</v>
          </cell>
          <cell r="W128">
            <v>113.29243353783231</v>
          </cell>
          <cell r="X128">
            <v>102.05460174500421</v>
          </cell>
          <cell r="Y128">
            <v>125.67438301128753</v>
          </cell>
          <cell r="Z128">
            <v>86.202866194194584</v>
          </cell>
          <cell r="AA128">
            <v>162.25490196078431</v>
          </cell>
          <cell r="AB128">
            <v>86.750272628135221</v>
          </cell>
          <cell r="AC128">
            <v>101.483007791208</v>
          </cell>
          <cell r="AD128">
            <v>90.154521092485069</v>
          </cell>
          <cell r="AF128">
            <v>108.38509163560663</v>
          </cell>
          <cell r="AG128">
            <v>95.818764441846525</v>
          </cell>
        </row>
        <row r="129">
          <cell r="A129">
            <v>40305</v>
          </cell>
          <cell r="B129">
            <v>11.498613000000001</v>
          </cell>
          <cell r="C129">
            <v>54.5</v>
          </cell>
          <cell r="D129">
            <v>58.555343999999998</v>
          </cell>
          <cell r="E129">
            <v>31.299092999999999</v>
          </cell>
          <cell r="F129">
            <v>75.23</v>
          </cell>
          <cell r="G129">
            <v>1.1237161</v>
          </cell>
          <cell r="H129">
            <v>20.79</v>
          </cell>
          <cell r="I129">
            <v>27.89</v>
          </cell>
          <cell r="J129">
            <v>31.815000000000001</v>
          </cell>
          <cell r="K129">
            <v>3.8505340000000001</v>
          </cell>
          <cell r="L129">
            <v>3.32</v>
          </cell>
          <cell r="M129">
            <v>15.38</v>
          </cell>
          <cell r="N129">
            <v>7.9578322999999997</v>
          </cell>
          <cell r="O129">
            <v>9.168806</v>
          </cell>
          <cell r="Q129">
            <v>83.184584369995562</v>
          </cell>
          <cell r="R129">
            <v>90.261676051672737</v>
          </cell>
          <cell r="S129">
            <v>112.39607718784765</v>
          </cell>
          <cell r="T129">
            <v>114.49072865254848</v>
          </cell>
          <cell r="U129">
            <v>100.52111170497059</v>
          </cell>
          <cell r="V129">
            <v>108.80283353879415</v>
          </cell>
          <cell r="W129">
            <v>106.28834355828221</v>
          </cell>
          <cell r="X129">
            <v>78.497044750914725</v>
          </cell>
          <cell r="Y129">
            <v>121.73330782475607</v>
          </cell>
          <cell r="Z129">
            <v>84.446998215893359</v>
          </cell>
          <cell r="AA129">
            <v>162.74509803921569</v>
          </cell>
          <cell r="AB129">
            <v>83.860414394765542</v>
          </cell>
          <cell r="AC129">
            <v>97.365107393235945</v>
          </cell>
          <cell r="AD129">
            <v>86.911713783784222</v>
          </cell>
          <cell r="AF129">
            <v>103.9356848574714</v>
          </cell>
          <cell r="AG129">
            <v>92.138410588510084</v>
          </cell>
        </row>
        <row r="130">
          <cell r="A130">
            <v>40306</v>
          </cell>
          <cell r="B130">
            <v>11.498613000000001</v>
          </cell>
          <cell r="C130">
            <v>54.5</v>
          </cell>
          <cell r="D130">
            <v>58.555343999999998</v>
          </cell>
          <cell r="E130">
            <v>31.299092999999999</v>
          </cell>
          <cell r="F130">
            <v>75.23</v>
          </cell>
          <cell r="G130">
            <v>1.1237161</v>
          </cell>
          <cell r="H130">
            <v>20.79</v>
          </cell>
          <cell r="I130">
            <v>27.89</v>
          </cell>
          <cell r="J130">
            <v>31.815000000000001</v>
          </cell>
          <cell r="K130">
            <v>3.8505340000000001</v>
          </cell>
          <cell r="L130">
            <v>3.32</v>
          </cell>
          <cell r="M130">
            <v>15.38</v>
          </cell>
          <cell r="N130">
            <v>7.9578322999999997</v>
          </cell>
          <cell r="O130">
            <v>9.168806</v>
          </cell>
          <cell r="Q130">
            <v>83.184584369995562</v>
          </cell>
          <cell r="R130">
            <v>90.261676051672737</v>
          </cell>
          <cell r="S130">
            <v>112.39607718784765</v>
          </cell>
          <cell r="T130">
            <v>114.49072865254848</v>
          </cell>
          <cell r="U130">
            <v>100.52111170497059</v>
          </cell>
          <cell r="V130">
            <v>108.80283353879415</v>
          </cell>
          <cell r="W130">
            <v>106.28834355828221</v>
          </cell>
          <cell r="X130">
            <v>78.497044750914725</v>
          </cell>
          <cell r="Y130">
            <v>121.73330782475607</v>
          </cell>
          <cell r="Z130">
            <v>84.446998215893359</v>
          </cell>
          <cell r="AA130">
            <v>162.74509803921569</v>
          </cell>
          <cell r="AB130">
            <v>83.860414394765542</v>
          </cell>
          <cell r="AC130">
            <v>97.365107393235945</v>
          </cell>
          <cell r="AD130">
            <v>86.911713783784222</v>
          </cell>
          <cell r="AF130">
            <v>103.9356848574714</v>
          </cell>
          <cell r="AG130">
            <v>92.138410588510084</v>
          </cell>
        </row>
        <row r="131">
          <cell r="A131">
            <v>40307</v>
          </cell>
          <cell r="B131">
            <v>11.498613000000001</v>
          </cell>
          <cell r="C131">
            <v>54.5</v>
          </cell>
          <cell r="D131">
            <v>58.555343999999998</v>
          </cell>
          <cell r="E131">
            <v>31.299092999999999</v>
          </cell>
          <cell r="F131">
            <v>75.23</v>
          </cell>
          <cell r="G131">
            <v>1.1237161</v>
          </cell>
          <cell r="H131">
            <v>20.79</v>
          </cell>
          <cell r="I131">
            <v>27.89</v>
          </cell>
          <cell r="J131">
            <v>31.815000000000001</v>
          </cell>
          <cell r="K131">
            <v>3.8505340000000001</v>
          </cell>
          <cell r="L131">
            <v>3.32</v>
          </cell>
          <cell r="M131">
            <v>15.38</v>
          </cell>
          <cell r="N131">
            <v>7.9578322999999997</v>
          </cell>
          <cell r="O131">
            <v>9.168806</v>
          </cell>
          <cell r="Q131">
            <v>83.184584369995562</v>
          </cell>
          <cell r="R131">
            <v>90.261676051672737</v>
          </cell>
          <cell r="S131">
            <v>112.39607718784765</v>
          </cell>
          <cell r="T131">
            <v>114.49072865254848</v>
          </cell>
          <cell r="U131">
            <v>100.52111170497059</v>
          </cell>
          <cell r="V131">
            <v>108.80283353879415</v>
          </cell>
          <cell r="W131">
            <v>106.28834355828221</v>
          </cell>
          <cell r="X131">
            <v>78.497044750914725</v>
          </cell>
          <cell r="Y131">
            <v>121.73330782475607</v>
          </cell>
          <cell r="Z131">
            <v>84.446998215893359</v>
          </cell>
          <cell r="AA131">
            <v>162.74509803921569</v>
          </cell>
          <cell r="AB131">
            <v>83.860414394765542</v>
          </cell>
          <cell r="AC131">
            <v>97.365107393235945</v>
          </cell>
          <cell r="AD131">
            <v>86.911713783784222</v>
          </cell>
          <cell r="AF131">
            <v>103.9356848574714</v>
          </cell>
          <cell r="AG131">
            <v>92.138410588510084</v>
          </cell>
        </row>
        <row r="132">
          <cell r="A132">
            <v>40308</v>
          </cell>
          <cell r="B132">
            <v>11.678756</v>
          </cell>
          <cell r="C132">
            <v>54.93</v>
          </cell>
          <cell r="D132">
            <v>56.499595999999997</v>
          </cell>
          <cell r="E132">
            <v>31.08014</v>
          </cell>
          <cell r="F132">
            <v>76.86</v>
          </cell>
          <cell r="G132">
            <v>1.1583711000000001</v>
          </cell>
          <cell r="H132">
            <v>21.96</v>
          </cell>
          <cell r="I132">
            <v>29.8</v>
          </cell>
          <cell r="J132">
            <v>33.21</v>
          </cell>
          <cell r="K132">
            <v>3.9229105</v>
          </cell>
          <cell r="L132">
            <v>3.23</v>
          </cell>
          <cell r="M132">
            <v>15.97</v>
          </cell>
          <cell r="N132">
            <v>8.5477729999999994</v>
          </cell>
          <cell r="O132">
            <v>9.4316410000000008</v>
          </cell>
          <cell r="Q132">
            <v>84.487795512258018</v>
          </cell>
          <cell r="R132">
            <v>90.973832394832726</v>
          </cell>
          <cell r="S132">
            <v>108.45010069615864</v>
          </cell>
          <cell r="T132">
            <v>113.68980804725612</v>
          </cell>
          <cell r="U132">
            <v>102.69909139497595</v>
          </cell>
          <cell r="V132">
            <v>112.15827375744627</v>
          </cell>
          <cell r="W132">
            <v>112.26993865030677</v>
          </cell>
          <cell r="X132">
            <v>83.872783563186033</v>
          </cell>
          <cell r="Y132">
            <v>127.07097761622346</v>
          </cell>
          <cell r="Z132">
            <v>86.034304850862071</v>
          </cell>
          <cell r="AA132">
            <v>158.33333333333331</v>
          </cell>
          <cell r="AB132">
            <v>87.077426390403488</v>
          </cell>
          <cell r="AC132">
            <v>104.58310815597392</v>
          </cell>
          <cell r="AD132">
            <v>89.40314399752863</v>
          </cell>
          <cell r="AF132">
            <v>105.59313885060357</v>
          </cell>
          <cell r="AG132">
            <v>96.993126076751281</v>
          </cell>
        </row>
        <row r="133">
          <cell r="A133">
            <v>40309</v>
          </cell>
          <cell r="B133">
            <v>11.536025</v>
          </cell>
          <cell r="C133">
            <v>54.89</v>
          </cell>
          <cell r="D133">
            <v>55.345776000000001</v>
          </cell>
          <cell r="E133">
            <v>29.970870999999999</v>
          </cell>
          <cell r="F133">
            <v>76.94</v>
          </cell>
          <cell r="G133">
            <v>1.1859135999999999</v>
          </cell>
          <cell r="H133">
            <v>22.45</v>
          </cell>
          <cell r="I133">
            <v>29.65</v>
          </cell>
          <cell r="J133">
            <v>33.784999999999997</v>
          </cell>
          <cell r="K133">
            <v>3.8811955</v>
          </cell>
          <cell r="L133">
            <v>3.23</v>
          </cell>
          <cell r="M133">
            <v>15.95</v>
          </cell>
          <cell r="N133">
            <v>8.5761559999999992</v>
          </cell>
          <cell r="O133">
            <v>9.5072500000000009</v>
          </cell>
          <cell r="Q133">
            <v>83.45523454932156</v>
          </cell>
          <cell r="R133">
            <v>90.907585293143427</v>
          </cell>
          <cell r="S133">
            <v>106.23536105120186</v>
          </cell>
          <cell r="T133">
            <v>109.63215001602551</v>
          </cell>
          <cell r="U133">
            <v>102.80598610368786</v>
          </cell>
          <cell r="V133">
            <v>114.82505235280698</v>
          </cell>
          <cell r="W133">
            <v>114.77505112474438</v>
          </cell>
          <cell r="X133">
            <v>83.450605122431739</v>
          </cell>
          <cell r="Y133">
            <v>129.2710924048211</v>
          </cell>
          <cell r="Z133">
            <v>85.119443034143643</v>
          </cell>
          <cell r="AA133">
            <v>158.33333333333331</v>
          </cell>
          <cell r="AB133">
            <v>86.968375136314066</v>
          </cell>
          <cell r="AC133">
            <v>104.93037783180537</v>
          </cell>
          <cell r="AD133">
            <v>90.119846670426085</v>
          </cell>
          <cell r="AF133">
            <v>105.48160579349796</v>
          </cell>
          <cell r="AG133">
            <v>97.525112251115729</v>
          </cell>
        </row>
        <row r="134">
          <cell r="A134">
            <v>40310</v>
          </cell>
          <cell r="B134">
            <v>11.647041</v>
          </cell>
          <cell r="C134">
            <v>55.39</v>
          </cell>
          <cell r="D134">
            <v>56.7254</v>
          </cell>
          <cell r="E134">
            <v>29.447786000000001</v>
          </cell>
          <cell r="F134">
            <v>77.19</v>
          </cell>
          <cell r="G134">
            <v>1.2251704000000001</v>
          </cell>
          <cell r="H134">
            <v>23.11</v>
          </cell>
          <cell r="I134">
            <v>29.98</v>
          </cell>
          <cell r="J134">
            <v>34.384999999999998</v>
          </cell>
          <cell r="K134">
            <v>3.9539110000000002</v>
          </cell>
          <cell r="L134">
            <v>3.43</v>
          </cell>
          <cell r="M134">
            <v>16.14</v>
          </cell>
          <cell r="N134">
            <v>8.6365049999999997</v>
          </cell>
          <cell r="O134">
            <v>9.6864329999999992</v>
          </cell>
          <cell r="Q134">
            <v>84.258359223438291</v>
          </cell>
          <cell r="R134">
            <v>91.735674064259683</v>
          </cell>
          <cell r="S134">
            <v>108.88352798186163</v>
          </cell>
          <cell r="T134">
            <v>107.7187277070398</v>
          </cell>
          <cell r="U134">
            <v>103.14003206841261</v>
          </cell>
          <cell r="V134">
            <v>118.62605785203029</v>
          </cell>
          <cell r="W134">
            <v>118.14928425357874</v>
          </cell>
          <cell r="X134">
            <v>84.379397692091189</v>
          </cell>
          <cell r="Y134">
            <v>131.56686435814041</v>
          </cell>
          <cell r="Z134">
            <v>86.714184360611043</v>
          </cell>
          <cell r="AA134">
            <v>168.13725490196077</v>
          </cell>
          <cell r="AB134">
            <v>88.004362050163579</v>
          </cell>
          <cell r="AC134">
            <v>105.66875565186504</v>
          </cell>
          <cell r="AD134">
            <v>91.818334086445091</v>
          </cell>
          <cell r="AF134">
            <v>107.60947720946564</v>
          </cell>
          <cell r="AG134">
            <v>98.743544869155073</v>
          </cell>
        </row>
        <row r="135">
          <cell r="A135">
            <v>40311</v>
          </cell>
          <cell r="B135">
            <v>11.691549999999999</v>
          </cell>
          <cell r="C135">
            <v>55.25</v>
          </cell>
          <cell r="D135">
            <v>57.229239999999997</v>
          </cell>
          <cell r="E135">
            <v>29.132923000000002</v>
          </cell>
          <cell r="F135">
            <v>77.8</v>
          </cell>
          <cell r="G135">
            <v>1.208656</v>
          </cell>
          <cell r="H135">
            <v>24.26</v>
          </cell>
          <cell r="I135">
            <v>30.09</v>
          </cell>
          <cell r="J135">
            <v>34.409999999999997</v>
          </cell>
          <cell r="K135">
            <v>4.0470750000000004</v>
          </cell>
          <cell r="L135">
            <v>3.27</v>
          </cell>
          <cell r="M135">
            <v>16.22</v>
          </cell>
          <cell r="N135">
            <v>8.6500210000000006</v>
          </cell>
          <cell r="O135">
            <v>9.9873049999999992</v>
          </cell>
          <cell r="Q135">
            <v>84.580351333767084</v>
          </cell>
          <cell r="R135">
            <v>91.503809208347135</v>
          </cell>
          <cell r="S135">
            <v>109.85064106944465</v>
          </cell>
          <cell r="T135">
            <v>106.56697246941273</v>
          </cell>
          <cell r="U135">
            <v>103.95510422234098</v>
          </cell>
          <cell r="V135">
            <v>117.02706544265476</v>
          </cell>
          <cell r="W135">
            <v>124.02862985685073</v>
          </cell>
          <cell r="X135">
            <v>84.688995215310996</v>
          </cell>
          <cell r="Y135">
            <v>131.66252152286205</v>
          </cell>
          <cell r="Z135">
            <v>88.757386716903838</v>
          </cell>
          <cell r="AA135">
            <v>160.29411764705884</v>
          </cell>
          <cell r="AB135">
            <v>88.440567066521254</v>
          </cell>
          <cell r="AC135">
            <v>105.83412565991699</v>
          </cell>
          <cell r="AD135">
            <v>94.670319519396202</v>
          </cell>
          <cell r="AF135">
            <v>107.61301348095624</v>
          </cell>
          <cell r="AG135">
            <v>100.2522225896566</v>
          </cell>
        </row>
        <row r="136">
          <cell r="A136">
            <v>40312</v>
          </cell>
          <cell r="B136">
            <v>11.715992999999999</v>
          </cell>
          <cell r="C136">
            <v>54.97</v>
          </cell>
          <cell r="D136">
            <v>56.739131999999998</v>
          </cell>
          <cell r="E136">
            <v>29.467392</v>
          </cell>
          <cell r="F136">
            <v>77.47</v>
          </cell>
          <cell r="G136">
            <v>1.2119025999999999</v>
          </cell>
          <cell r="H136">
            <v>24.02</v>
          </cell>
          <cell r="I136">
            <v>29.51</v>
          </cell>
          <cell r="J136">
            <v>34.145000000000003</v>
          </cell>
          <cell r="K136">
            <v>4.7042165000000002</v>
          </cell>
          <cell r="L136">
            <v>3.25</v>
          </cell>
          <cell r="M136">
            <v>15.97</v>
          </cell>
          <cell r="N136">
            <v>8.4698539999999998</v>
          </cell>
          <cell r="O136">
            <v>9.7514769999999995</v>
          </cell>
          <cell r="Q136">
            <v>84.757179686521951</v>
          </cell>
          <cell r="R136">
            <v>91.040079496522026</v>
          </cell>
          <cell r="S136">
            <v>108.90988634348176</v>
          </cell>
          <cell r="T136">
            <v>107.79044560717071</v>
          </cell>
          <cell r="U136">
            <v>103.51416354890432</v>
          </cell>
          <cell r="V136">
            <v>117.34141466250401</v>
          </cell>
          <cell r="W136">
            <v>122.80163599182006</v>
          </cell>
          <cell r="X136">
            <v>83.05657191106107</v>
          </cell>
          <cell r="Y136">
            <v>130.6485555768127</v>
          </cell>
          <cell r="Z136">
            <v>103.16931687466624</v>
          </cell>
          <cell r="AA136">
            <v>159.31372549019608</v>
          </cell>
          <cell r="AB136">
            <v>87.077426390403488</v>
          </cell>
          <cell r="AC136">
            <v>103.62975911355019</v>
          </cell>
          <cell r="AD136">
            <v>92.43489043100648</v>
          </cell>
          <cell r="AF136">
            <v>108.28503346500536</v>
          </cell>
          <cell r="AG136">
            <v>98.032324772278344</v>
          </cell>
        </row>
        <row r="137">
          <cell r="A137">
            <v>40313</v>
          </cell>
          <cell r="B137">
            <v>11.715992999999999</v>
          </cell>
          <cell r="C137">
            <v>54.97</v>
          </cell>
          <cell r="D137">
            <v>56.739131999999998</v>
          </cell>
          <cell r="E137">
            <v>29.467392</v>
          </cell>
          <cell r="F137">
            <v>77.47</v>
          </cell>
          <cell r="G137">
            <v>1.2119025999999999</v>
          </cell>
          <cell r="H137">
            <v>24.02</v>
          </cell>
          <cell r="I137">
            <v>29.51</v>
          </cell>
          <cell r="J137">
            <v>34.145000000000003</v>
          </cell>
          <cell r="K137">
            <v>4.7042165000000002</v>
          </cell>
          <cell r="L137">
            <v>3.25</v>
          </cell>
          <cell r="M137">
            <v>15.97</v>
          </cell>
          <cell r="N137">
            <v>8.4698539999999998</v>
          </cell>
          <cell r="O137">
            <v>9.7514769999999995</v>
          </cell>
          <cell r="Q137">
            <v>84.757179686521951</v>
          </cell>
          <cell r="R137">
            <v>91.040079496522026</v>
          </cell>
          <cell r="S137">
            <v>108.90988634348176</v>
          </cell>
          <cell r="T137">
            <v>107.79044560717071</v>
          </cell>
          <cell r="U137">
            <v>103.51416354890432</v>
          </cell>
          <cell r="V137">
            <v>117.34141466250401</v>
          </cell>
          <cell r="W137">
            <v>122.80163599182006</v>
          </cell>
          <cell r="X137">
            <v>83.05657191106107</v>
          </cell>
          <cell r="Y137">
            <v>130.6485555768127</v>
          </cell>
          <cell r="Z137">
            <v>103.16931687466624</v>
          </cell>
          <cell r="AA137">
            <v>159.31372549019608</v>
          </cell>
          <cell r="AB137">
            <v>87.077426390403488</v>
          </cell>
          <cell r="AC137">
            <v>103.62975911355019</v>
          </cell>
          <cell r="AD137">
            <v>92.43489043100648</v>
          </cell>
          <cell r="AF137">
            <v>108.28503346500536</v>
          </cell>
          <cell r="AG137">
            <v>98.032324772278344</v>
          </cell>
        </row>
        <row r="138">
          <cell r="A138">
            <v>40314</v>
          </cell>
          <cell r="B138">
            <v>11.715992999999999</v>
          </cell>
          <cell r="C138">
            <v>54.97</v>
          </cell>
          <cell r="D138">
            <v>56.739131999999998</v>
          </cell>
          <cell r="E138">
            <v>29.467392</v>
          </cell>
          <cell r="F138">
            <v>77.47</v>
          </cell>
          <cell r="G138">
            <v>1.2119025999999999</v>
          </cell>
          <cell r="H138">
            <v>24.02</v>
          </cell>
          <cell r="I138">
            <v>29.51</v>
          </cell>
          <cell r="J138">
            <v>34.145000000000003</v>
          </cell>
          <cell r="K138">
            <v>4.7042165000000002</v>
          </cell>
          <cell r="L138">
            <v>3.25</v>
          </cell>
          <cell r="M138">
            <v>15.97</v>
          </cell>
          <cell r="N138">
            <v>8.4698539999999998</v>
          </cell>
          <cell r="O138">
            <v>9.7514769999999995</v>
          </cell>
          <cell r="Q138">
            <v>84.757179686521951</v>
          </cell>
          <cell r="R138">
            <v>91.040079496522026</v>
          </cell>
          <cell r="S138">
            <v>108.90988634348176</v>
          </cell>
          <cell r="T138">
            <v>107.79044560717071</v>
          </cell>
          <cell r="U138">
            <v>103.51416354890432</v>
          </cell>
          <cell r="V138">
            <v>117.34141466250401</v>
          </cell>
          <cell r="W138">
            <v>122.80163599182006</v>
          </cell>
          <cell r="X138">
            <v>83.05657191106107</v>
          </cell>
          <cell r="Y138">
            <v>130.6485555768127</v>
          </cell>
          <cell r="Z138">
            <v>103.16931687466624</v>
          </cell>
          <cell r="AA138">
            <v>159.31372549019608</v>
          </cell>
          <cell r="AB138">
            <v>87.077426390403488</v>
          </cell>
          <cell r="AC138">
            <v>103.62975911355019</v>
          </cell>
          <cell r="AD138">
            <v>92.43489043100648</v>
          </cell>
          <cell r="AF138">
            <v>108.28503346500536</v>
          </cell>
          <cell r="AG138">
            <v>98.032324772278344</v>
          </cell>
        </row>
        <row r="139">
          <cell r="A139">
            <v>40315</v>
          </cell>
          <cell r="B139">
            <v>11.339745000000001</v>
          </cell>
          <cell r="C139">
            <v>54.66</v>
          </cell>
          <cell r="D139">
            <v>56.114173999999998</v>
          </cell>
          <cell r="E139">
            <v>29.019354</v>
          </cell>
          <cell r="F139">
            <v>77.52</v>
          </cell>
          <cell r="G139">
            <v>1.1861969000000001</v>
          </cell>
          <cell r="H139">
            <v>24.04</v>
          </cell>
          <cell r="I139">
            <v>29.03</v>
          </cell>
          <cell r="J139">
            <v>34.36</v>
          </cell>
          <cell r="K139">
            <v>4.5710597000000002</v>
          </cell>
          <cell r="L139">
            <v>3.46</v>
          </cell>
          <cell r="M139">
            <v>16.29</v>
          </cell>
          <cell r="N139">
            <v>8.4596649999999993</v>
          </cell>
          <cell r="O139">
            <v>9.5440959999999997</v>
          </cell>
          <cell r="Q139">
            <v>82.035283271707229</v>
          </cell>
          <cell r="R139">
            <v>90.526664458429934</v>
          </cell>
          <cell r="S139">
            <v>107.71028912811637</v>
          </cell>
          <cell r="T139">
            <v>106.1515419787483</v>
          </cell>
          <cell r="U139">
            <v>103.58097274184928</v>
          </cell>
          <cell r="V139">
            <v>114.85248262878289</v>
          </cell>
          <cell r="W139">
            <v>122.90388548057261</v>
          </cell>
          <cell r="X139">
            <v>81.70560090064734</v>
          </cell>
          <cell r="Y139">
            <v>131.47120719341879</v>
          </cell>
          <cell r="Z139">
            <v>100.24902268896783</v>
          </cell>
          <cell r="AA139">
            <v>169.60784313725489</v>
          </cell>
          <cell r="AB139">
            <v>88.822246455834247</v>
          </cell>
          <cell r="AC139">
            <v>103.50509538078596</v>
          </cell>
          <cell r="AD139">
            <v>90.469112322472512</v>
          </cell>
          <cell r="AF139">
            <v>108.3014200053608</v>
          </cell>
          <cell r="AG139">
            <v>96.987103851629229</v>
          </cell>
        </row>
        <row r="140">
          <cell r="A140">
            <v>40316</v>
          </cell>
          <cell r="B140">
            <v>11.316675999999999</v>
          </cell>
          <cell r="C140">
            <v>54.3</v>
          </cell>
          <cell r="D140">
            <v>57.587383000000003</v>
          </cell>
          <cell r="E140">
            <v>29.744475999999999</v>
          </cell>
          <cell r="F140">
            <v>76.930000000000007</v>
          </cell>
          <cell r="G140">
            <v>1.2172285</v>
          </cell>
          <cell r="H140">
            <v>22.9</v>
          </cell>
          <cell r="I140">
            <v>29.15</v>
          </cell>
          <cell r="J140">
            <v>33.22</v>
          </cell>
          <cell r="K140">
            <v>4.5389147000000003</v>
          </cell>
          <cell r="L140">
            <v>3.47</v>
          </cell>
          <cell r="M140">
            <v>15.77</v>
          </cell>
          <cell r="N140">
            <v>8.5654660000000007</v>
          </cell>
          <cell r="O140">
            <v>9.5171840000000003</v>
          </cell>
          <cell r="Q140">
            <v>81.868394867268222</v>
          </cell>
          <cell r="R140">
            <v>89.930440543226226</v>
          </cell>
          <cell r="S140">
            <v>110.53809101888544</v>
          </cell>
          <cell r="T140">
            <v>108.80400689656535</v>
          </cell>
          <cell r="U140">
            <v>102.79262426509888</v>
          </cell>
          <cell r="V140">
            <v>117.8570902954724</v>
          </cell>
          <cell r="W140">
            <v>117.07566462167689</v>
          </cell>
          <cell r="X140">
            <v>82.043343653250773</v>
          </cell>
          <cell r="Y140">
            <v>127.1092404821121</v>
          </cell>
          <cell r="Z140">
            <v>99.54404287119452</v>
          </cell>
          <cell r="AA140">
            <v>170.0980392156863</v>
          </cell>
          <cell r="AB140">
            <v>85.986913849509278</v>
          </cell>
          <cell r="AC140">
            <v>104.79958429924581</v>
          </cell>
          <cell r="AD140">
            <v>90.214011708352288</v>
          </cell>
          <cell r="AF140">
            <v>107.80399104832888</v>
          </cell>
          <cell r="AG140">
            <v>97.506798003799048</v>
          </cell>
        </row>
        <row r="141">
          <cell r="A141">
            <v>40317</v>
          </cell>
          <cell r="B141">
            <v>10.703092</v>
          </cell>
          <cell r="C141">
            <v>54.29</v>
          </cell>
          <cell r="D141">
            <v>58.562747999999999</v>
          </cell>
          <cell r="E141">
            <v>30.080456000000002</v>
          </cell>
          <cell r="F141">
            <v>77.709999999999994</v>
          </cell>
          <cell r="G141">
            <v>1.1926867999999999</v>
          </cell>
          <cell r="H141">
            <v>22.87</v>
          </cell>
          <cell r="I141">
            <v>28.54</v>
          </cell>
          <cell r="J141">
            <v>32.354999999999997</v>
          </cell>
          <cell r="K141">
            <v>4.3620780000000003</v>
          </cell>
          <cell r="L141">
            <v>3.26</v>
          </cell>
          <cell r="M141">
            <v>15.62</v>
          </cell>
          <cell r="N141">
            <v>8.0537650000000003</v>
          </cell>
          <cell r="O141">
            <v>9.2509460000000008</v>
          </cell>
          <cell r="Q141">
            <v>77.429535152963609</v>
          </cell>
          <cell r="R141">
            <v>89.913878767803908</v>
          </cell>
          <cell r="S141">
            <v>112.41028905133699</v>
          </cell>
          <cell r="T141">
            <v>110.03300720697958</v>
          </cell>
          <cell r="U141">
            <v>103.83484767504008</v>
          </cell>
          <cell r="V141">
            <v>115.480861548853</v>
          </cell>
          <cell r="W141">
            <v>116.92229038854806</v>
          </cell>
          <cell r="X141">
            <v>80.326484660849985</v>
          </cell>
          <cell r="Y141">
            <v>123.79950258274344</v>
          </cell>
          <cell r="Z141">
            <v>95.665794168701709</v>
          </cell>
          <cell r="AA141">
            <v>159.80392156862743</v>
          </cell>
          <cell r="AB141">
            <v>85.169029443838596</v>
          </cell>
          <cell r="AC141">
            <v>98.538856384908357</v>
          </cell>
          <cell r="AD141">
            <v>87.690324234283466</v>
          </cell>
          <cell r="AF141">
            <v>105.89912018469052</v>
          </cell>
          <cell r="AG141">
            <v>93.114590309595911</v>
          </cell>
        </row>
        <row r="142">
          <cell r="A142">
            <v>40318</v>
          </cell>
          <cell r="B142">
            <v>10.340197</v>
          </cell>
          <cell r="C142">
            <v>52.21</v>
          </cell>
          <cell r="D142">
            <v>58.176537000000003</v>
          </cell>
          <cell r="E142">
            <v>31.075873999999999</v>
          </cell>
          <cell r="F142">
            <v>75.98</v>
          </cell>
          <cell r="G142">
            <v>1.1674802</v>
          </cell>
          <cell r="H142">
            <v>21.85</v>
          </cell>
          <cell r="I142">
            <v>27.6</v>
          </cell>
          <cell r="J142">
            <v>31.28</v>
          </cell>
          <cell r="K142">
            <v>4.3671354999999998</v>
          </cell>
          <cell r="L142">
            <v>2.96</v>
          </cell>
          <cell r="M142">
            <v>14.42</v>
          </cell>
          <cell r="N142">
            <v>7.4215429999999998</v>
          </cell>
          <cell r="O142">
            <v>8.8528409999999997</v>
          </cell>
          <cell r="Q142">
            <v>74.804238541541906</v>
          </cell>
          <cell r="R142">
            <v>86.469029479960241</v>
          </cell>
          <cell r="S142">
            <v>111.66896300999744</v>
          </cell>
          <cell r="T142">
            <v>113.67420320374096</v>
          </cell>
          <cell r="U142">
            <v>101.52324959914485</v>
          </cell>
          <cell r="V142">
            <v>113.04025443832128</v>
          </cell>
          <cell r="W142">
            <v>111.7075664621677</v>
          </cell>
          <cell r="X142">
            <v>77.680833098789762</v>
          </cell>
          <cell r="Y142">
            <v>119.68624449971304</v>
          </cell>
          <cell r="Z142">
            <v>95.776711431989554</v>
          </cell>
          <cell r="AA142">
            <v>145.09803921568627</v>
          </cell>
          <cell r="AB142">
            <v>78.625954198473281</v>
          </cell>
          <cell r="AC142">
            <v>90.803538448343332</v>
          </cell>
          <cell r="AD142">
            <v>83.91666081334364</v>
          </cell>
          <cell r="AF142">
            <v>102.47960726496051</v>
          </cell>
          <cell r="AG142">
            <v>87.360099630843479</v>
          </cell>
        </row>
        <row r="143">
          <cell r="A143">
            <v>40319</v>
          </cell>
          <cell r="B143">
            <v>8.3153030000000001</v>
          </cell>
          <cell r="C143">
            <v>52.25</v>
          </cell>
          <cell r="D143">
            <v>57.737231999999999</v>
          </cell>
          <cell r="E143">
            <v>30.414950999999999</v>
          </cell>
          <cell r="F143">
            <v>76</v>
          </cell>
          <cell r="G143">
            <v>1.1488955000000001</v>
          </cell>
          <cell r="H143">
            <v>22.09</v>
          </cell>
          <cell r="I143">
            <v>27.14</v>
          </cell>
          <cell r="J143">
            <v>30.565000000000001</v>
          </cell>
          <cell r="K143">
            <v>4.3269299999999999</v>
          </cell>
          <cell r="L143">
            <v>3.03</v>
          </cell>
          <cell r="M143">
            <v>14.26</v>
          </cell>
          <cell r="N143">
            <v>7.9827000000000004</v>
          </cell>
          <cell r="O143">
            <v>8.8637339999999991</v>
          </cell>
          <cell r="Q143">
            <v>60.155518232118702</v>
          </cell>
          <cell r="R143">
            <v>86.535276581649541</v>
          </cell>
          <cell r="S143">
            <v>110.8257238568126</v>
          </cell>
          <cell r="T143">
            <v>111.25657545161316</v>
          </cell>
          <cell r="U143">
            <v>101.54997327632283</v>
          </cell>
          <cell r="V143">
            <v>111.24080703299497</v>
          </cell>
          <cell r="W143">
            <v>112.93456032719837</v>
          </cell>
          <cell r="X143">
            <v>76.386152547143254</v>
          </cell>
          <cell r="Y143">
            <v>116.9504495886742</v>
          </cell>
          <cell r="Z143">
            <v>94.894954827121495</v>
          </cell>
          <cell r="AA143">
            <v>148.52941176470586</v>
          </cell>
          <cell r="AB143">
            <v>77.753544165757901</v>
          </cell>
          <cell r="AC143">
            <v>97.669366918926485</v>
          </cell>
          <cell r="AD143">
            <v>84.019916275204949</v>
          </cell>
          <cell r="AF143">
            <v>100.75107897100941</v>
          </cell>
          <cell r="AG143">
            <v>90.844641597065717</v>
          </cell>
        </row>
        <row r="144">
          <cell r="A144">
            <v>40320</v>
          </cell>
          <cell r="B144">
            <v>8.3153030000000001</v>
          </cell>
          <cell r="C144">
            <v>52.25</v>
          </cell>
          <cell r="D144">
            <v>57.737231999999999</v>
          </cell>
          <cell r="E144">
            <v>30.414950999999999</v>
          </cell>
          <cell r="F144">
            <v>76</v>
          </cell>
          <cell r="G144">
            <v>1.1488955000000001</v>
          </cell>
          <cell r="H144">
            <v>22.09</v>
          </cell>
          <cell r="I144">
            <v>27.14</v>
          </cell>
          <cell r="J144">
            <v>30.565000000000001</v>
          </cell>
          <cell r="K144">
            <v>4.3269299999999999</v>
          </cell>
          <cell r="L144">
            <v>3.03</v>
          </cell>
          <cell r="M144">
            <v>14.26</v>
          </cell>
          <cell r="N144">
            <v>7.9827000000000004</v>
          </cell>
          <cell r="O144">
            <v>8.8637339999999991</v>
          </cell>
          <cell r="Q144">
            <v>60.155518232118702</v>
          </cell>
          <cell r="R144">
            <v>86.535276581649541</v>
          </cell>
          <cell r="S144">
            <v>110.8257238568126</v>
          </cell>
          <cell r="T144">
            <v>111.25657545161316</v>
          </cell>
          <cell r="U144">
            <v>101.54997327632283</v>
          </cell>
          <cell r="V144">
            <v>111.24080703299497</v>
          </cell>
          <cell r="W144">
            <v>112.93456032719837</v>
          </cell>
          <cell r="X144">
            <v>76.386152547143254</v>
          </cell>
          <cell r="Y144">
            <v>116.9504495886742</v>
          </cell>
          <cell r="Z144">
            <v>94.894954827121495</v>
          </cell>
          <cell r="AA144">
            <v>148.52941176470586</v>
          </cell>
          <cell r="AB144">
            <v>77.753544165757901</v>
          </cell>
          <cell r="AC144">
            <v>97.669366918926485</v>
          </cell>
          <cell r="AD144">
            <v>84.019916275204949</v>
          </cell>
          <cell r="AF144">
            <v>100.75107897100941</v>
          </cell>
          <cell r="AG144">
            <v>90.844641597065717</v>
          </cell>
        </row>
        <row r="145">
          <cell r="A145">
            <v>40321</v>
          </cell>
          <cell r="B145">
            <v>8.3153030000000001</v>
          </cell>
          <cell r="C145">
            <v>52.25</v>
          </cell>
          <cell r="D145">
            <v>57.737231999999999</v>
          </cell>
          <cell r="E145">
            <v>30.414950999999999</v>
          </cell>
          <cell r="F145">
            <v>76</v>
          </cell>
          <cell r="G145">
            <v>1.1488955000000001</v>
          </cell>
          <cell r="H145">
            <v>22.09</v>
          </cell>
          <cell r="I145">
            <v>27.14</v>
          </cell>
          <cell r="J145">
            <v>30.565000000000001</v>
          </cell>
          <cell r="K145">
            <v>4.3269299999999999</v>
          </cell>
          <cell r="L145">
            <v>3.03</v>
          </cell>
          <cell r="M145">
            <v>14.26</v>
          </cell>
          <cell r="N145">
            <v>7.9827000000000004</v>
          </cell>
          <cell r="O145">
            <v>8.8637339999999991</v>
          </cell>
          <cell r="Q145">
            <v>60.155518232118702</v>
          </cell>
          <cell r="R145">
            <v>86.535276581649541</v>
          </cell>
          <cell r="S145">
            <v>110.8257238568126</v>
          </cell>
          <cell r="T145">
            <v>111.25657545161316</v>
          </cell>
          <cell r="U145">
            <v>101.54997327632283</v>
          </cell>
          <cell r="V145">
            <v>111.24080703299497</v>
          </cell>
          <cell r="W145">
            <v>112.93456032719837</v>
          </cell>
          <cell r="X145">
            <v>76.386152547143254</v>
          </cell>
          <cell r="Y145">
            <v>116.9504495886742</v>
          </cell>
          <cell r="Z145">
            <v>94.894954827121495</v>
          </cell>
          <cell r="AA145">
            <v>148.52941176470586</v>
          </cell>
          <cell r="AB145">
            <v>77.753544165757901</v>
          </cell>
          <cell r="AC145">
            <v>97.669366918926485</v>
          </cell>
          <cell r="AD145">
            <v>84.019916275204949</v>
          </cell>
          <cell r="AF145">
            <v>100.75107897100941</v>
          </cell>
          <cell r="AG145">
            <v>90.844641597065717</v>
          </cell>
        </row>
        <row r="146">
          <cell r="A146">
            <v>40322</v>
          </cell>
          <cell r="B146">
            <v>8.5390820000000005</v>
          </cell>
          <cell r="C146">
            <v>51.84</v>
          </cell>
          <cell r="D146">
            <v>57.133384999999997</v>
          </cell>
          <cell r="E146">
            <v>30.544813000000001</v>
          </cell>
          <cell r="F146">
            <v>75.400000000000006</v>
          </cell>
          <cell r="G146">
            <v>1.1375755000000001</v>
          </cell>
          <cell r="H146">
            <v>22.14</v>
          </cell>
          <cell r="I146">
            <v>26.36</v>
          </cell>
          <cell r="J146">
            <v>31.05</v>
          </cell>
          <cell r="K146">
            <v>4.3609122999999999</v>
          </cell>
          <cell r="L146">
            <v>2.94</v>
          </cell>
          <cell r="M146">
            <v>14.01</v>
          </cell>
          <cell r="N146">
            <v>8.1687849999999997</v>
          </cell>
          <cell r="O146">
            <v>8.9369755000000008</v>
          </cell>
          <cell r="Q146">
            <v>61.774405928028919</v>
          </cell>
          <cell r="R146">
            <v>85.856243789334215</v>
          </cell>
          <cell r="S146">
            <v>109.6666488794433</v>
          </cell>
          <cell r="T146">
            <v>111.73160503168047</v>
          </cell>
          <cell r="U146">
            <v>100.74826296098342</v>
          </cell>
          <cell r="V146">
            <v>110.1447578835175</v>
          </cell>
          <cell r="W146">
            <v>113.19018404907976</v>
          </cell>
          <cell r="X146">
            <v>74.190824655220936</v>
          </cell>
          <cell r="Y146">
            <v>118.80619858427394</v>
          </cell>
          <cell r="Z146">
            <v>95.640228918318172</v>
          </cell>
          <cell r="AA146">
            <v>144.11764705882354</v>
          </cell>
          <cell r="AB146">
            <v>76.390403489640136</v>
          </cell>
          <cell r="AC146">
            <v>99.946140960680324</v>
          </cell>
          <cell r="AD146">
            <v>84.714177260233441</v>
          </cell>
          <cell r="AF146">
            <v>100.18811760236203</v>
          </cell>
          <cell r="AG146">
            <v>92.33015911045689</v>
          </cell>
        </row>
        <row r="147">
          <cell r="A147">
            <v>40323</v>
          </cell>
          <cell r="B147">
            <v>8.2763360000000006</v>
          </cell>
          <cell r="C147">
            <v>51.48</v>
          </cell>
          <cell r="D147">
            <v>55.468834000000001</v>
          </cell>
          <cell r="E147">
            <v>29.902998</v>
          </cell>
          <cell r="F147">
            <v>75.459999999999994</v>
          </cell>
          <cell r="G147">
            <v>1.1265225000000001</v>
          </cell>
          <cell r="H147">
            <v>22.58</v>
          </cell>
          <cell r="I147">
            <v>25.46</v>
          </cell>
          <cell r="J147">
            <v>31.004999999999999</v>
          </cell>
          <cell r="K147">
            <v>4.1951900000000002</v>
          </cell>
          <cell r="L147">
            <v>2.77</v>
          </cell>
          <cell r="M147">
            <v>13.88</v>
          </cell>
          <cell r="N147">
            <v>7.8925046999999999</v>
          </cell>
          <cell r="O147">
            <v>8.7458919999999996</v>
          </cell>
          <cell r="Q147">
            <v>59.873618693526907</v>
          </cell>
          <cell r="R147">
            <v>85.260019874130506</v>
          </cell>
          <cell r="S147">
            <v>106.47156897898012</v>
          </cell>
          <cell r="T147">
            <v>109.38387351721981</v>
          </cell>
          <cell r="U147">
            <v>100.82843399251735</v>
          </cell>
          <cell r="V147">
            <v>109.07456077669994</v>
          </cell>
          <cell r="W147">
            <v>115.43967280163598</v>
          </cell>
          <cell r="X147">
            <v>71.657754010695186</v>
          </cell>
          <cell r="Y147">
            <v>118.634015687775</v>
          </cell>
          <cell r="Z147">
            <v>92.005732827014029</v>
          </cell>
          <cell r="AA147">
            <v>135.78431372549019</v>
          </cell>
          <cell r="AB147">
            <v>75.68157033805889</v>
          </cell>
          <cell r="AC147">
            <v>96.565815758283762</v>
          </cell>
          <cell r="AD147">
            <v>82.902884223735157</v>
          </cell>
          <cell r="AF147">
            <v>98.341261268645326</v>
          </cell>
          <cell r="AG147">
            <v>89.734349991009452</v>
          </cell>
        </row>
        <row r="148">
          <cell r="A148">
            <v>40324</v>
          </cell>
          <cell r="B148">
            <v>8.4072399999999998</v>
          </cell>
          <cell r="C148">
            <v>51.74</v>
          </cell>
          <cell r="D148">
            <v>54.548470000000002</v>
          </cell>
          <cell r="E148">
            <v>29.324638</v>
          </cell>
          <cell r="F148">
            <v>74.989999999999995</v>
          </cell>
          <cell r="G148">
            <v>1.1013215999999999</v>
          </cell>
          <cell r="H148">
            <v>22.3</v>
          </cell>
          <cell r="I148">
            <v>25.98</v>
          </cell>
          <cell r="J148">
            <v>30.57</v>
          </cell>
          <cell r="K148">
            <v>4.2951836999999999</v>
          </cell>
          <cell r="L148">
            <v>2.8</v>
          </cell>
          <cell r="M148">
            <v>13.88</v>
          </cell>
          <cell r="N148">
            <v>8.0725765000000003</v>
          </cell>
          <cell r="O148">
            <v>9.2351150000000004</v>
          </cell>
          <cell r="Q148">
            <v>60.820619417211574</v>
          </cell>
          <cell r="R148">
            <v>85.690626035110967</v>
          </cell>
          <cell r="S148">
            <v>104.70494451538006</v>
          </cell>
          <cell r="T148">
            <v>107.26825764862298</v>
          </cell>
          <cell r="U148">
            <v>100.20042757883483</v>
          </cell>
          <cell r="V148">
            <v>106.63450556370815</v>
          </cell>
          <cell r="W148">
            <v>114.00817995910022</v>
          </cell>
          <cell r="X148">
            <v>73.121305938643403</v>
          </cell>
          <cell r="Y148">
            <v>116.96958102161852</v>
          </cell>
          <cell r="Z148">
            <v>94.198718996075399</v>
          </cell>
          <cell r="AA148">
            <v>137.25490196078428</v>
          </cell>
          <cell r="AB148">
            <v>75.68157033805889</v>
          </cell>
          <cell r="AC148">
            <v>98.769017520338139</v>
          </cell>
          <cell r="AD148">
            <v>87.540261146362184</v>
          </cell>
          <cell r="AF148">
            <v>98.046136581095766</v>
          </cell>
          <cell r="AG148">
            <v>93.154639333350161</v>
          </cell>
        </row>
        <row r="149">
          <cell r="A149">
            <v>40325</v>
          </cell>
          <cell r="B149">
            <v>8.3933230000000005</v>
          </cell>
          <cell r="C149">
            <v>52.87</v>
          </cell>
          <cell r="D149">
            <v>54.906930000000003</v>
          </cell>
          <cell r="E149">
            <v>29.39751</v>
          </cell>
          <cell r="F149">
            <v>76.41</v>
          </cell>
          <cell r="G149">
            <v>1.1736255</v>
          </cell>
          <cell r="H149">
            <v>22.96</v>
          </cell>
          <cell r="I149">
            <v>26.75</v>
          </cell>
          <cell r="J149">
            <v>31.864999999999998</v>
          </cell>
          <cell r="K149">
            <v>4.3864599999999996</v>
          </cell>
          <cell r="L149">
            <v>3.05</v>
          </cell>
          <cell r="M149">
            <v>14.26</v>
          </cell>
          <cell r="N149">
            <v>8.2428080000000001</v>
          </cell>
          <cell r="O149">
            <v>9.3618649999999999</v>
          </cell>
          <cell r="Q149">
            <v>60.719939460361374</v>
          </cell>
          <cell r="R149">
            <v>87.562106657833709</v>
          </cell>
          <cell r="S149">
            <v>105.39300294141809</v>
          </cell>
          <cell r="T149">
            <v>107.53482027324499</v>
          </cell>
          <cell r="U149">
            <v>102.09780865847139</v>
          </cell>
          <cell r="V149">
            <v>113.63526776325803</v>
          </cell>
          <cell r="W149">
            <v>117.38241308793458</v>
          </cell>
          <cell r="X149">
            <v>75.288488601182095</v>
          </cell>
          <cell r="Y149">
            <v>121.92462215419934</v>
          </cell>
          <cell r="Z149">
            <v>96.200521744279499</v>
          </cell>
          <cell r="AA149">
            <v>149.50980392156862</v>
          </cell>
          <cell r="AB149">
            <v>77.753544165757901</v>
          </cell>
          <cell r="AC149">
            <v>100.8518219392264</v>
          </cell>
          <cell r="AD149">
            <v>88.741732714426192</v>
          </cell>
          <cell r="AF149">
            <v>101.25019495245913</v>
          </cell>
          <cell r="AG149">
            <v>94.796777326826287</v>
          </cell>
        </row>
        <row r="150">
          <cell r="A150">
            <v>40326</v>
          </cell>
          <cell r="B150">
            <v>8.5193849999999998</v>
          </cell>
          <cell r="C150">
            <v>52.75</v>
          </cell>
          <cell r="D150">
            <v>56.740704000000001</v>
          </cell>
          <cell r="E150">
            <v>29.436990000000002</v>
          </cell>
          <cell r="F150">
            <v>75.61</v>
          </cell>
          <cell r="G150">
            <v>1.1759675000000001</v>
          </cell>
          <cell r="H150">
            <v>22.87</v>
          </cell>
          <cell r="I150">
            <v>26.66</v>
          </cell>
          <cell r="J150">
            <v>31.445</v>
          </cell>
          <cell r="K150">
            <v>4.4334709999999999</v>
          </cell>
          <cell r="L150">
            <v>2.96</v>
          </cell>
          <cell r="M150">
            <v>14.18</v>
          </cell>
          <cell r="N150">
            <v>8.2049885000000007</v>
          </cell>
          <cell r="O150">
            <v>9.7725410000000004</v>
          </cell>
          <cell r="Q150">
            <v>61.631911632557291</v>
          </cell>
          <cell r="R150">
            <v>87.363365352765811</v>
          </cell>
          <cell r="S150">
            <v>108.91290377316913</v>
          </cell>
          <cell r="T150">
            <v>107.67923640591704</v>
          </cell>
          <cell r="U150">
            <v>101.02886157135219</v>
          </cell>
          <cell r="V150">
            <v>113.86202987527892</v>
          </cell>
          <cell r="W150">
            <v>116.92229038854806</v>
          </cell>
          <cell r="X150">
            <v>75.035181536729525</v>
          </cell>
          <cell r="Y150">
            <v>120.31758178687583</v>
          </cell>
          <cell r="Z150">
            <v>97.231531425826887</v>
          </cell>
          <cell r="AA150">
            <v>145.09803921568627</v>
          </cell>
          <cell r="AB150">
            <v>77.317339149400226</v>
          </cell>
          <cell r="AC150">
            <v>100.38909546545307</v>
          </cell>
          <cell r="AD150">
            <v>92.634557469347328</v>
          </cell>
          <cell r="AF150">
            <v>101.03335600950892</v>
          </cell>
          <cell r="AG150">
            <v>96.511826467400198</v>
          </cell>
        </row>
        <row r="151">
          <cell r="A151">
            <v>40327</v>
          </cell>
          <cell r="B151">
            <v>8.5193849999999998</v>
          </cell>
          <cell r="C151">
            <v>52.75</v>
          </cell>
          <cell r="D151">
            <v>56.740704000000001</v>
          </cell>
          <cell r="E151">
            <v>29.436990000000002</v>
          </cell>
          <cell r="F151">
            <v>75.61</v>
          </cell>
          <cell r="G151">
            <v>1.1759675000000001</v>
          </cell>
          <cell r="H151">
            <v>22.87</v>
          </cell>
          <cell r="I151">
            <v>26.66</v>
          </cell>
          <cell r="J151">
            <v>31.445</v>
          </cell>
          <cell r="K151">
            <v>4.4334709999999999</v>
          </cell>
          <cell r="L151">
            <v>2.96</v>
          </cell>
          <cell r="M151">
            <v>14.18</v>
          </cell>
          <cell r="N151">
            <v>8.2049885000000007</v>
          </cell>
          <cell r="O151">
            <v>9.7725410000000004</v>
          </cell>
          <cell r="Q151">
            <v>61.631911632557291</v>
          </cell>
          <cell r="R151">
            <v>87.363365352765811</v>
          </cell>
          <cell r="S151">
            <v>108.91290377316913</v>
          </cell>
          <cell r="T151">
            <v>107.67923640591704</v>
          </cell>
          <cell r="U151">
            <v>101.02886157135219</v>
          </cell>
          <cell r="V151">
            <v>113.86202987527892</v>
          </cell>
          <cell r="W151">
            <v>116.92229038854806</v>
          </cell>
          <cell r="X151">
            <v>75.035181536729525</v>
          </cell>
          <cell r="Y151">
            <v>120.31758178687583</v>
          </cell>
          <cell r="Z151">
            <v>97.231531425826887</v>
          </cell>
          <cell r="AA151">
            <v>145.09803921568627</v>
          </cell>
          <cell r="AB151">
            <v>77.317339149400226</v>
          </cell>
          <cell r="AC151">
            <v>100.38909546545307</v>
          </cell>
          <cell r="AD151">
            <v>92.634557469347328</v>
          </cell>
          <cell r="AF151">
            <v>101.03335600950892</v>
          </cell>
          <cell r="AG151">
            <v>96.511826467400198</v>
          </cell>
        </row>
        <row r="152">
          <cell r="A152">
            <v>40328</v>
          </cell>
          <cell r="B152">
            <v>8.5193849999999998</v>
          </cell>
          <cell r="C152">
            <v>52.75</v>
          </cell>
          <cell r="D152">
            <v>56.740704000000001</v>
          </cell>
          <cell r="E152">
            <v>29.436990000000002</v>
          </cell>
          <cell r="F152">
            <v>75.61</v>
          </cell>
          <cell r="G152">
            <v>1.1759675000000001</v>
          </cell>
          <cell r="H152">
            <v>22.87</v>
          </cell>
          <cell r="I152">
            <v>26.66</v>
          </cell>
          <cell r="J152">
            <v>31.445</v>
          </cell>
          <cell r="K152">
            <v>4.4334709999999999</v>
          </cell>
          <cell r="L152">
            <v>2.96</v>
          </cell>
          <cell r="M152">
            <v>14.18</v>
          </cell>
          <cell r="N152">
            <v>8.2049885000000007</v>
          </cell>
          <cell r="O152">
            <v>9.7725410000000004</v>
          </cell>
          <cell r="Q152">
            <v>61.631911632557291</v>
          </cell>
          <cell r="R152">
            <v>87.363365352765811</v>
          </cell>
          <cell r="S152">
            <v>108.91290377316913</v>
          </cell>
          <cell r="T152">
            <v>107.67923640591704</v>
          </cell>
          <cell r="U152">
            <v>101.02886157135219</v>
          </cell>
          <cell r="V152">
            <v>113.86202987527892</v>
          </cell>
          <cell r="W152">
            <v>116.92229038854806</v>
          </cell>
          <cell r="X152">
            <v>75.035181536729525</v>
          </cell>
          <cell r="Y152">
            <v>120.31758178687583</v>
          </cell>
          <cell r="Z152">
            <v>97.231531425826887</v>
          </cell>
          <cell r="AA152">
            <v>145.09803921568627</v>
          </cell>
          <cell r="AB152">
            <v>77.317339149400226</v>
          </cell>
          <cell r="AC152">
            <v>100.38909546545307</v>
          </cell>
          <cell r="AD152">
            <v>92.634557469347328</v>
          </cell>
          <cell r="AF152">
            <v>101.03335600950892</v>
          </cell>
          <cell r="AG152">
            <v>96.511826467400198</v>
          </cell>
        </row>
        <row r="153">
          <cell r="A153">
            <v>40329</v>
          </cell>
          <cell r="B153">
            <v>8.5193849999999998</v>
          </cell>
          <cell r="C153">
            <v>52.75</v>
          </cell>
          <cell r="D153">
            <v>56.740704000000001</v>
          </cell>
          <cell r="E153">
            <v>29.436990000000002</v>
          </cell>
          <cell r="F153">
            <v>75.61</v>
          </cell>
          <cell r="G153">
            <v>1.1759675000000001</v>
          </cell>
          <cell r="H153">
            <v>22.87</v>
          </cell>
          <cell r="I153">
            <v>26.66</v>
          </cell>
          <cell r="J153">
            <v>31.445</v>
          </cell>
          <cell r="K153">
            <v>4.4334709999999999</v>
          </cell>
          <cell r="L153">
            <v>2.96</v>
          </cell>
          <cell r="M153">
            <v>14.18</v>
          </cell>
          <cell r="N153">
            <v>8.2049885000000007</v>
          </cell>
          <cell r="O153">
            <v>9.7725410000000004</v>
          </cell>
          <cell r="Q153">
            <v>61.631911632557291</v>
          </cell>
          <cell r="R153">
            <v>87.363365352765811</v>
          </cell>
          <cell r="S153">
            <v>108.91290377316913</v>
          </cell>
          <cell r="T153">
            <v>107.67923640591704</v>
          </cell>
          <cell r="U153">
            <v>101.02886157135219</v>
          </cell>
          <cell r="V153">
            <v>113.86202987527892</v>
          </cell>
          <cell r="W153">
            <v>116.92229038854806</v>
          </cell>
          <cell r="X153">
            <v>75.035181536729525</v>
          </cell>
          <cell r="Y153">
            <v>120.31758178687583</v>
          </cell>
          <cell r="Z153">
            <v>97.231531425826887</v>
          </cell>
          <cell r="AA153">
            <v>145.09803921568627</v>
          </cell>
          <cell r="AB153">
            <v>77.317339149400226</v>
          </cell>
          <cell r="AC153">
            <v>100.38909546545307</v>
          </cell>
          <cell r="AD153">
            <v>92.634557469347328</v>
          </cell>
          <cell r="AF153">
            <v>101.03335600950892</v>
          </cell>
          <cell r="AG153">
            <v>96.511826467400198</v>
          </cell>
        </row>
        <row r="154">
          <cell r="A154">
            <v>40330</v>
          </cell>
          <cell r="B154">
            <v>8.5397020000000001</v>
          </cell>
          <cell r="C154">
            <v>51.54</v>
          </cell>
          <cell r="D154">
            <v>57.070872999999999</v>
          </cell>
          <cell r="E154">
            <v>29.433674</v>
          </cell>
          <cell r="F154">
            <v>75</v>
          </cell>
          <cell r="G154">
            <v>1.1992620000000001</v>
          </cell>
          <cell r="H154">
            <v>22.5</v>
          </cell>
          <cell r="I154">
            <v>25.17</v>
          </cell>
          <cell r="J154">
            <v>31.65</v>
          </cell>
          <cell r="K154">
            <v>4.6863200000000003</v>
          </cell>
          <cell r="L154">
            <v>2.78</v>
          </cell>
          <cell r="M154">
            <v>13.6</v>
          </cell>
          <cell r="N154">
            <v>8.1300810000000006</v>
          </cell>
          <cell r="O154">
            <v>9.6187649999999998</v>
          </cell>
          <cell r="Q154">
            <v>61.778891203105957</v>
          </cell>
          <cell r="R154">
            <v>85.359390526664455</v>
          </cell>
          <cell r="S154">
            <v>109.54665806225732</v>
          </cell>
          <cell r="T154">
            <v>107.66710662131874</v>
          </cell>
          <cell r="U154">
            <v>100.21378941742383</v>
          </cell>
          <cell r="V154">
            <v>116.11749956719615</v>
          </cell>
          <cell r="W154">
            <v>115.03067484662577</v>
          </cell>
          <cell r="X154">
            <v>70.841542358570223</v>
          </cell>
          <cell r="Y154">
            <v>121.10197053759326</v>
          </cell>
          <cell r="Z154">
            <v>102.77682437789286</v>
          </cell>
          <cell r="AA154">
            <v>136.27450980392155</v>
          </cell>
          <cell r="AB154">
            <v>74.154852780806976</v>
          </cell>
          <cell r="AC154">
            <v>99.472592515012821</v>
          </cell>
          <cell r="AD154">
            <v>91.176904673681747</v>
          </cell>
          <cell r="AF154">
            <v>100.07197584194809</v>
          </cell>
          <cell r="AG154">
            <v>95.324748594347284</v>
          </cell>
        </row>
        <row r="155">
          <cell r="A155">
            <v>40331</v>
          </cell>
          <cell r="B155">
            <v>8.6382100000000008</v>
          </cell>
          <cell r="C155">
            <v>52.54</v>
          </cell>
          <cell r="D155">
            <v>56.241875</v>
          </cell>
          <cell r="E155">
            <v>28.727785000000001</v>
          </cell>
          <cell r="F155">
            <v>76.58</v>
          </cell>
          <cell r="G155">
            <v>1.2260808000000001</v>
          </cell>
          <cell r="H155">
            <v>23.09</v>
          </cell>
          <cell r="I155">
            <v>25.78</v>
          </cell>
          <cell r="J155">
            <v>32.49</v>
          </cell>
          <cell r="K155">
            <v>4.6231502999999998</v>
          </cell>
          <cell r="L155">
            <v>3.05</v>
          </cell>
          <cell r="M155">
            <v>14.21</v>
          </cell>
          <cell r="N155">
            <v>8.3712820000000008</v>
          </cell>
          <cell r="O155">
            <v>9.5983420000000006</v>
          </cell>
          <cell r="Q155">
            <v>62.491529069700782</v>
          </cell>
          <cell r="R155">
            <v>87.015568068896982</v>
          </cell>
          <cell r="S155">
            <v>107.95540922258573</v>
          </cell>
          <cell r="T155">
            <v>105.08499518576313</v>
          </cell>
          <cell r="U155">
            <v>102.32495991448423</v>
          </cell>
          <cell r="V155">
            <v>118.71420653981157</v>
          </cell>
          <cell r="W155">
            <v>118.04703476482618</v>
          </cell>
          <cell r="X155">
            <v>72.55840135097101</v>
          </cell>
          <cell r="Y155">
            <v>124.31605127224029</v>
          </cell>
          <cell r="Z155">
            <v>101.39143431428128</v>
          </cell>
          <cell r="AA155">
            <v>149.50980392156862</v>
          </cell>
          <cell r="AB155">
            <v>77.48091603053436</v>
          </cell>
          <cell r="AC155">
            <v>102.42371794503174</v>
          </cell>
          <cell r="AD155">
            <v>90.983313716407039</v>
          </cell>
          <cell r="AF155">
            <v>102.24085913797201</v>
          </cell>
          <cell r="AG155">
            <v>96.703515830719397</v>
          </cell>
        </row>
        <row r="156">
          <cell r="A156">
            <v>40332</v>
          </cell>
          <cell r="B156">
            <v>8.8525100000000005</v>
          </cell>
          <cell r="C156">
            <v>52.93</v>
          </cell>
          <cell r="D156">
            <v>57.028460000000003</v>
          </cell>
          <cell r="E156">
            <v>29.055298000000001</v>
          </cell>
          <cell r="F156">
            <v>76.87</v>
          </cell>
          <cell r="G156">
            <v>1.2603247</v>
          </cell>
          <cell r="H156">
            <v>23.39</v>
          </cell>
          <cell r="I156">
            <v>26.09</v>
          </cell>
          <cell r="J156">
            <v>32.76</v>
          </cell>
          <cell r="K156">
            <v>4.7258395999999996</v>
          </cell>
          <cell r="L156">
            <v>2.95</v>
          </cell>
          <cell r="M156">
            <v>14.61</v>
          </cell>
          <cell r="N156">
            <v>8.4377750000000002</v>
          </cell>
          <cell r="O156">
            <v>9.6745824999999996</v>
          </cell>
          <cell r="Q156">
            <v>64.041842697134811</v>
          </cell>
          <cell r="R156">
            <v>87.661477310367658</v>
          </cell>
          <cell r="S156">
            <v>109.46524696471911</v>
          </cell>
          <cell r="T156">
            <v>106.28302357633603</v>
          </cell>
          <cell r="U156">
            <v>102.71245323356494</v>
          </cell>
          <cell r="V156">
            <v>122.02984235869778</v>
          </cell>
          <cell r="W156">
            <v>119.58077709611452</v>
          </cell>
          <cell r="X156">
            <v>73.43090346186321</v>
          </cell>
          <cell r="Y156">
            <v>125.34914865123396</v>
          </cell>
          <cell r="Z156">
            <v>103.64353834294104</v>
          </cell>
          <cell r="AA156">
            <v>144.60784313725489</v>
          </cell>
          <cell r="AB156">
            <v>79.661941112322793</v>
          </cell>
          <cell r="AC156">
            <v>103.23726839970749</v>
          </cell>
          <cell r="AD156">
            <v>91.706002419247142</v>
          </cell>
          <cell r="AF156">
            <v>103.20566982854591</v>
          </cell>
          <cell r="AG156">
            <v>97.471635409477315</v>
          </cell>
        </row>
        <row r="157">
          <cell r="A157">
            <v>40333</v>
          </cell>
          <cell r="B157">
            <v>8.7902299999999993</v>
          </cell>
          <cell r="C157">
            <v>51.53</v>
          </cell>
          <cell r="D157">
            <v>57.553173000000001</v>
          </cell>
          <cell r="E157">
            <v>29.037699</v>
          </cell>
          <cell r="F157">
            <v>75.05</v>
          </cell>
          <cell r="G157">
            <v>1.2545184</v>
          </cell>
          <cell r="H157">
            <v>22.36</v>
          </cell>
          <cell r="I157">
            <v>25.35</v>
          </cell>
          <cell r="J157">
            <v>32.215000000000003</v>
          </cell>
          <cell r="K157">
            <v>4.5984769999999999</v>
          </cell>
          <cell r="L157">
            <v>2.8</v>
          </cell>
          <cell r="M157">
            <v>13.685</v>
          </cell>
          <cell r="N157">
            <v>8.3707019999999996</v>
          </cell>
          <cell r="O157">
            <v>9.7567609999999991</v>
          </cell>
          <cell r="Q157">
            <v>63.591289581331765</v>
          </cell>
          <cell r="R157">
            <v>85.342828751242124</v>
          </cell>
          <cell r="S157">
            <v>110.47242545297915</v>
          </cell>
          <cell r="T157">
            <v>106.21864719541163</v>
          </cell>
          <cell r="U157">
            <v>100.28059861036877</v>
          </cell>
          <cell r="V157">
            <v>121.46765241376747</v>
          </cell>
          <cell r="W157">
            <v>114.31492842535789</v>
          </cell>
          <cell r="X157">
            <v>71.348156487475379</v>
          </cell>
          <cell r="Y157">
            <v>123.26382246030228</v>
          </cell>
          <cell r="Z157">
            <v>100.85031816751302</v>
          </cell>
          <cell r="AA157">
            <v>137.25490196078428</v>
          </cell>
          <cell r="AB157">
            <v>74.618320610687022</v>
          </cell>
          <cell r="AC157">
            <v>102.41662157001912</v>
          </cell>
          <cell r="AD157">
            <v>92.484977813772957</v>
          </cell>
          <cell r="AF157">
            <v>100.75199084310174</v>
          </cell>
          <cell r="AG157">
            <v>97.450799691896037</v>
          </cell>
        </row>
        <row r="158">
          <cell r="A158">
            <v>40334</v>
          </cell>
          <cell r="B158">
            <v>8.7902299999999993</v>
          </cell>
          <cell r="C158">
            <v>51.53</v>
          </cell>
          <cell r="D158">
            <v>57.553173000000001</v>
          </cell>
          <cell r="E158">
            <v>29.037699</v>
          </cell>
          <cell r="F158">
            <v>75.05</v>
          </cell>
          <cell r="G158">
            <v>1.2545184</v>
          </cell>
          <cell r="H158">
            <v>22.36</v>
          </cell>
          <cell r="I158">
            <v>25.35</v>
          </cell>
          <cell r="J158">
            <v>32.215000000000003</v>
          </cell>
          <cell r="K158">
            <v>4.5984769999999999</v>
          </cell>
          <cell r="L158">
            <v>2.8</v>
          </cell>
          <cell r="M158">
            <v>13.685</v>
          </cell>
          <cell r="N158">
            <v>8.3707019999999996</v>
          </cell>
          <cell r="O158">
            <v>9.7567609999999991</v>
          </cell>
          <cell r="Q158">
            <v>63.591289581331765</v>
          </cell>
          <cell r="R158">
            <v>85.342828751242124</v>
          </cell>
          <cell r="S158">
            <v>110.47242545297915</v>
          </cell>
          <cell r="T158">
            <v>106.21864719541163</v>
          </cell>
          <cell r="U158">
            <v>100.28059861036877</v>
          </cell>
          <cell r="V158">
            <v>121.46765241376747</v>
          </cell>
          <cell r="W158">
            <v>114.31492842535789</v>
          </cell>
          <cell r="X158">
            <v>71.348156487475379</v>
          </cell>
          <cell r="Y158">
            <v>123.26382246030228</v>
          </cell>
          <cell r="Z158">
            <v>100.85031816751302</v>
          </cell>
          <cell r="AA158">
            <v>137.25490196078428</v>
          </cell>
          <cell r="AB158">
            <v>74.618320610687022</v>
          </cell>
          <cell r="AC158">
            <v>102.41662157001912</v>
          </cell>
          <cell r="AD158">
            <v>92.484977813772957</v>
          </cell>
          <cell r="AF158">
            <v>100.75199084310174</v>
          </cell>
          <cell r="AG158">
            <v>97.450799691896037</v>
          </cell>
        </row>
        <row r="159">
          <cell r="A159">
            <v>40335</v>
          </cell>
          <cell r="B159">
            <v>8.7902299999999993</v>
          </cell>
          <cell r="C159">
            <v>51.53</v>
          </cell>
          <cell r="D159">
            <v>57.553173000000001</v>
          </cell>
          <cell r="E159">
            <v>29.037699</v>
          </cell>
          <cell r="F159">
            <v>75.05</v>
          </cell>
          <cell r="G159">
            <v>1.2545184</v>
          </cell>
          <cell r="H159">
            <v>22.36</v>
          </cell>
          <cell r="I159">
            <v>25.35</v>
          </cell>
          <cell r="J159">
            <v>32.215000000000003</v>
          </cell>
          <cell r="K159">
            <v>4.5984769999999999</v>
          </cell>
          <cell r="L159">
            <v>2.8</v>
          </cell>
          <cell r="M159">
            <v>13.685</v>
          </cell>
          <cell r="N159">
            <v>8.3707019999999996</v>
          </cell>
          <cell r="O159">
            <v>9.7567609999999991</v>
          </cell>
          <cell r="Q159">
            <v>63.591289581331765</v>
          </cell>
          <cell r="R159">
            <v>85.342828751242124</v>
          </cell>
          <cell r="S159">
            <v>110.47242545297915</v>
          </cell>
          <cell r="T159">
            <v>106.21864719541163</v>
          </cell>
          <cell r="U159">
            <v>100.28059861036877</v>
          </cell>
          <cell r="V159">
            <v>121.46765241376747</v>
          </cell>
          <cell r="W159">
            <v>114.31492842535789</v>
          </cell>
          <cell r="X159">
            <v>71.348156487475379</v>
          </cell>
          <cell r="Y159">
            <v>123.26382246030228</v>
          </cell>
          <cell r="Z159">
            <v>100.85031816751302</v>
          </cell>
          <cell r="AA159">
            <v>137.25490196078428</v>
          </cell>
          <cell r="AB159">
            <v>74.618320610687022</v>
          </cell>
          <cell r="AC159">
            <v>102.41662157001912</v>
          </cell>
          <cell r="AD159">
            <v>92.484977813772957</v>
          </cell>
          <cell r="AF159">
            <v>100.75199084310174</v>
          </cell>
          <cell r="AG159">
            <v>97.450799691896037</v>
          </cell>
        </row>
        <row r="160">
          <cell r="A160">
            <v>40336</v>
          </cell>
          <cell r="B160">
            <v>8.4184330000000003</v>
          </cell>
          <cell r="C160">
            <v>51.81</v>
          </cell>
          <cell r="D160">
            <v>56.706657</v>
          </cell>
          <cell r="E160">
            <v>28.604144999999999</v>
          </cell>
          <cell r="F160">
            <v>75</v>
          </cell>
          <cell r="G160">
            <v>1.2626082999999999</v>
          </cell>
          <cell r="H160">
            <v>22.3</v>
          </cell>
          <cell r="I160">
            <v>24.89</v>
          </cell>
          <cell r="J160">
            <v>31.47</v>
          </cell>
          <cell r="K160">
            <v>4.4740753</v>
          </cell>
          <cell r="L160">
            <v>2.8</v>
          </cell>
          <cell r="M160">
            <v>13.11</v>
          </cell>
          <cell r="N160">
            <v>8.0209609999999998</v>
          </cell>
          <cell r="O160">
            <v>9.8390459999999997</v>
          </cell>
          <cell r="Q160">
            <v>60.90159310098138</v>
          </cell>
          <cell r="R160">
            <v>85.806558463067233</v>
          </cell>
          <cell r="S160">
            <v>108.84755108324188</v>
          </cell>
          <cell r="T160">
            <v>104.632725412623</v>
          </cell>
          <cell r="U160">
            <v>100.21378941742383</v>
          </cell>
          <cell r="V160">
            <v>122.25094994153758</v>
          </cell>
          <cell r="W160">
            <v>114.00817995910022</v>
          </cell>
          <cell r="X160">
            <v>70.053475935828885</v>
          </cell>
          <cell r="Y160">
            <v>120.41323895159746</v>
          </cell>
          <cell r="Z160">
            <v>98.122034210546516</v>
          </cell>
          <cell r="AA160">
            <v>137.25490196078428</v>
          </cell>
          <cell r="AB160">
            <v>71.483097055616142</v>
          </cell>
          <cell r="AC160">
            <v>98.137495202299903</v>
          </cell>
          <cell r="AD160">
            <v>93.264962728787921</v>
          </cell>
          <cell r="AF160">
            <v>99.499007957695696</v>
          </cell>
          <cell r="AG160">
            <v>95.701228965543919</v>
          </cell>
        </row>
        <row r="161">
          <cell r="A161">
            <v>40337</v>
          </cell>
          <cell r="B161">
            <v>8.54392</v>
          </cell>
          <cell r="C161">
            <v>51.82</v>
          </cell>
          <cell r="D161">
            <v>56.813186999999999</v>
          </cell>
          <cell r="E161">
            <v>29.263736999999999</v>
          </cell>
          <cell r="F161">
            <v>75.459999999999994</v>
          </cell>
          <cell r="G161">
            <v>1.3047925</v>
          </cell>
          <cell r="H161">
            <v>22.61</v>
          </cell>
          <cell r="I161">
            <v>22.635000000000002</v>
          </cell>
          <cell r="J161">
            <v>31.414999999999999</v>
          </cell>
          <cell r="K161">
            <v>4.4477440000000001</v>
          </cell>
          <cell r="L161">
            <v>2.7</v>
          </cell>
          <cell r="M161">
            <v>12.94</v>
          </cell>
          <cell r="N161">
            <v>7.7715509999999997</v>
          </cell>
          <cell r="O161">
            <v>10.141446999999999</v>
          </cell>
          <cell r="Q161">
            <v>61.809405542259086</v>
          </cell>
          <cell r="R161">
            <v>85.823120238489565</v>
          </cell>
          <cell r="S161">
            <v>109.05203377064309</v>
          </cell>
          <cell r="T161">
            <v>107.04548442431042</v>
          </cell>
          <cell r="U161">
            <v>100.82843399251735</v>
          </cell>
          <cell r="V161">
            <v>126.33539839837398</v>
          </cell>
          <cell r="W161">
            <v>115.59304703476482</v>
          </cell>
          <cell r="X161">
            <v>63.706726709822689</v>
          </cell>
          <cell r="Y161">
            <v>120.20279318920986</v>
          </cell>
          <cell r="Z161">
            <v>97.544556062289118</v>
          </cell>
          <cell r="AA161">
            <v>132.35294117647058</v>
          </cell>
          <cell r="AB161">
            <v>70.556161395856051</v>
          </cell>
          <cell r="AC161">
            <v>95.085931595594218</v>
          </cell>
          <cell r="AD161">
            <v>96.131441653080799</v>
          </cell>
          <cell r="AF161">
            <v>99.237508494583878</v>
          </cell>
          <cell r="AG161">
            <v>95.608686624337508</v>
          </cell>
        </row>
        <row r="162">
          <cell r="A162">
            <v>40338</v>
          </cell>
          <cell r="B162">
            <v>9.0155399999999997</v>
          </cell>
          <cell r="C162">
            <v>51.83</v>
          </cell>
          <cell r="D162">
            <v>55.537334000000001</v>
          </cell>
          <cell r="E162">
            <v>28.402756</v>
          </cell>
          <cell r="F162">
            <v>75.569999999999993</v>
          </cell>
          <cell r="G162">
            <v>1.3095954999999999</v>
          </cell>
          <cell r="H162">
            <v>22.5</v>
          </cell>
          <cell r="I162">
            <v>21.95</v>
          </cell>
          <cell r="J162">
            <v>31.344999999999999</v>
          </cell>
          <cell r="K162">
            <v>4.4869199999999996</v>
          </cell>
          <cell r="L162">
            <v>2.7</v>
          </cell>
          <cell r="M162">
            <v>12.46</v>
          </cell>
          <cell r="N162">
            <v>7.8642225000000003</v>
          </cell>
          <cell r="O162">
            <v>9.9117449999999998</v>
          </cell>
          <cell r="Q162">
            <v>65.22125301295641</v>
          </cell>
          <cell r="R162">
            <v>85.839682013911883</v>
          </cell>
          <cell r="S162">
            <v>106.60305366955536</v>
          </cell>
          <cell r="T162">
            <v>103.89605315976867</v>
          </cell>
          <cell r="U162">
            <v>100.97541421699626</v>
          </cell>
          <cell r="V162">
            <v>126.8004446938634</v>
          </cell>
          <cell r="W162">
            <v>115.03067484662577</v>
          </cell>
          <cell r="X162">
            <v>61.778778497044748</v>
          </cell>
          <cell r="Y162">
            <v>119.93495312798927</v>
          </cell>
          <cell r="Z162">
            <v>98.403734452119153</v>
          </cell>
          <cell r="AA162">
            <v>132.35294117647058</v>
          </cell>
          <cell r="AB162">
            <v>67.938931297709928</v>
          </cell>
          <cell r="AC162">
            <v>96.219779383488955</v>
          </cell>
          <cell r="AD162">
            <v>93.954081320714437</v>
          </cell>
          <cell r="AF162">
            <v>98.731326180417611</v>
          </cell>
          <cell r="AG162">
            <v>95.086930352101689</v>
          </cell>
        </row>
        <row r="163">
          <cell r="A163">
            <v>40339</v>
          </cell>
          <cell r="B163">
            <v>9.1940760000000008</v>
          </cell>
          <cell r="C163">
            <v>52.58</v>
          </cell>
          <cell r="D163">
            <v>56.642017000000003</v>
          </cell>
          <cell r="E163">
            <v>28.846890999999999</v>
          </cell>
          <cell r="F163">
            <v>77.47</v>
          </cell>
          <cell r="G163">
            <v>1.3106346</v>
          </cell>
          <cell r="H163">
            <v>23</v>
          </cell>
          <cell r="I163">
            <v>22.984999999999999</v>
          </cell>
          <cell r="J163">
            <v>31.83</v>
          </cell>
          <cell r="K163">
            <v>4.5462417999999998</v>
          </cell>
          <cell r="L163">
            <v>2.7</v>
          </cell>
          <cell r="M163">
            <v>13.295</v>
          </cell>
          <cell r="N163">
            <v>7.8890257000000004</v>
          </cell>
          <cell r="O163">
            <v>10.245844999999999</v>
          </cell>
          <cell r="Q163">
            <v>66.512838611591789</v>
          </cell>
          <cell r="R163">
            <v>87.081815170586282</v>
          </cell>
          <cell r="S163">
            <v>108.72347560296767</v>
          </cell>
          <cell r="T163">
            <v>105.52067978297781</v>
          </cell>
          <cell r="U163">
            <v>103.51416354890432</v>
          </cell>
          <cell r="V163">
            <v>126.90105464715158</v>
          </cell>
          <cell r="W163">
            <v>117.58691206543968</v>
          </cell>
          <cell r="X163">
            <v>64.691809738249361</v>
          </cell>
          <cell r="Y163">
            <v>121.79070212358904</v>
          </cell>
          <cell r="Z163">
            <v>99.704735284409836</v>
          </cell>
          <cell r="AA163">
            <v>132.35294117647058</v>
          </cell>
          <cell r="AB163">
            <v>72.491821155943299</v>
          </cell>
          <cell r="AC163">
            <v>96.523249743337573</v>
          </cell>
          <cell r="AD163">
            <v>97.121037146277999</v>
          </cell>
          <cell r="AF163">
            <v>100.57274574235679</v>
          </cell>
          <cell r="AG163">
            <v>96.822143444807779</v>
          </cell>
        </row>
        <row r="164">
          <cell r="A164">
            <v>40340</v>
          </cell>
          <cell r="B164">
            <v>9.1708210000000001</v>
          </cell>
          <cell r="C164">
            <v>52.77</v>
          </cell>
          <cell r="D164">
            <v>57.379730000000002</v>
          </cell>
          <cell r="E164">
            <v>29.180755999999999</v>
          </cell>
          <cell r="F164">
            <v>78.239999999999995</v>
          </cell>
          <cell r="G164">
            <v>1.3186971000000001</v>
          </cell>
          <cell r="H164">
            <v>23.19</v>
          </cell>
          <cell r="I164">
            <v>22.06</v>
          </cell>
          <cell r="J164">
            <v>32.19</v>
          </cell>
          <cell r="K164">
            <v>4.5344614999999999</v>
          </cell>
          <cell r="L164">
            <v>2.61</v>
          </cell>
          <cell r="M164">
            <v>13.4</v>
          </cell>
          <cell r="N164">
            <v>8.0756680000000003</v>
          </cell>
          <cell r="O164">
            <v>10.232867000000001</v>
          </cell>
          <cell r="Q164">
            <v>66.344604624629682</v>
          </cell>
          <cell r="R164">
            <v>87.396488903610475</v>
          </cell>
          <cell r="S164">
            <v>110.13950429695807</v>
          </cell>
          <cell r="T164">
            <v>106.74194351485602</v>
          </cell>
          <cell r="U164">
            <v>104.54302512025653</v>
          </cell>
          <cell r="V164">
            <v>127.68169919376484</v>
          </cell>
          <cell r="W164">
            <v>118.55828220858898</v>
          </cell>
          <cell r="X164">
            <v>62.088376020264555</v>
          </cell>
          <cell r="Y164">
            <v>123.16816529558064</v>
          </cell>
          <cell r="Z164">
            <v>99.446378658268458</v>
          </cell>
          <cell r="AA164">
            <v>127.94117647058823</v>
          </cell>
          <cell r="AB164">
            <v>73.064340239912767</v>
          </cell>
          <cell r="AC164">
            <v>98.806842422668169</v>
          </cell>
          <cell r="AD164">
            <v>96.99801783258701</v>
          </cell>
          <cell r="AF164">
            <v>100.5928320456066</v>
          </cell>
          <cell r="AG164">
            <v>97.902430127627582</v>
          </cell>
        </row>
        <row r="165">
          <cell r="A165">
            <v>40341</v>
          </cell>
          <cell r="B165">
            <v>9.1708210000000001</v>
          </cell>
          <cell r="C165">
            <v>52.77</v>
          </cell>
          <cell r="D165">
            <v>57.379730000000002</v>
          </cell>
          <cell r="E165">
            <v>29.180755999999999</v>
          </cell>
          <cell r="F165">
            <v>78.239999999999995</v>
          </cell>
          <cell r="G165">
            <v>1.3186971000000001</v>
          </cell>
          <cell r="H165">
            <v>23.19</v>
          </cell>
          <cell r="I165">
            <v>22.06</v>
          </cell>
          <cell r="J165">
            <v>32.19</v>
          </cell>
          <cell r="K165">
            <v>4.5344614999999999</v>
          </cell>
          <cell r="L165">
            <v>2.61</v>
          </cell>
          <cell r="M165">
            <v>13.4</v>
          </cell>
          <cell r="N165">
            <v>8.0756680000000003</v>
          </cell>
          <cell r="O165">
            <v>10.232867000000001</v>
          </cell>
          <cell r="Q165">
            <v>66.344604624629682</v>
          </cell>
          <cell r="R165">
            <v>87.396488903610475</v>
          </cell>
          <cell r="S165">
            <v>110.13950429695807</v>
          </cell>
          <cell r="T165">
            <v>106.74194351485602</v>
          </cell>
          <cell r="U165">
            <v>104.54302512025653</v>
          </cell>
          <cell r="V165">
            <v>127.68169919376484</v>
          </cell>
          <cell r="W165">
            <v>118.55828220858898</v>
          </cell>
          <cell r="X165">
            <v>62.088376020264555</v>
          </cell>
          <cell r="Y165">
            <v>123.16816529558064</v>
          </cell>
          <cell r="Z165">
            <v>99.446378658268458</v>
          </cell>
          <cell r="AA165">
            <v>127.94117647058823</v>
          </cell>
          <cell r="AB165">
            <v>73.064340239912767</v>
          </cell>
          <cell r="AC165">
            <v>98.806842422668169</v>
          </cell>
          <cell r="AD165">
            <v>96.99801783258701</v>
          </cell>
          <cell r="AF165">
            <v>100.5928320456066</v>
          </cell>
          <cell r="AG165">
            <v>97.902430127627582</v>
          </cell>
        </row>
        <row r="166">
          <cell r="A166">
            <v>40342</v>
          </cell>
          <cell r="B166">
            <v>9.1708210000000001</v>
          </cell>
          <cell r="C166">
            <v>52.77</v>
          </cell>
          <cell r="D166">
            <v>57.379730000000002</v>
          </cell>
          <cell r="E166">
            <v>29.180755999999999</v>
          </cell>
          <cell r="F166">
            <v>78.239999999999995</v>
          </cell>
          <cell r="G166">
            <v>1.3186971000000001</v>
          </cell>
          <cell r="H166">
            <v>23.19</v>
          </cell>
          <cell r="I166">
            <v>22.06</v>
          </cell>
          <cell r="J166">
            <v>32.19</v>
          </cell>
          <cell r="K166">
            <v>4.5344614999999999</v>
          </cell>
          <cell r="L166">
            <v>2.61</v>
          </cell>
          <cell r="M166">
            <v>13.4</v>
          </cell>
          <cell r="N166">
            <v>8.0756680000000003</v>
          </cell>
          <cell r="O166">
            <v>10.232867000000001</v>
          </cell>
          <cell r="Q166">
            <v>66.344604624629682</v>
          </cell>
          <cell r="R166">
            <v>87.396488903610475</v>
          </cell>
          <cell r="S166">
            <v>110.13950429695807</v>
          </cell>
          <cell r="T166">
            <v>106.74194351485602</v>
          </cell>
          <cell r="U166">
            <v>104.54302512025653</v>
          </cell>
          <cell r="V166">
            <v>127.68169919376484</v>
          </cell>
          <cell r="W166">
            <v>118.55828220858898</v>
          </cell>
          <cell r="X166">
            <v>62.088376020264555</v>
          </cell>
          <cell r="Y166">
            <v>123.16816529558064</v>
          </cell>
          <cell r="Z166">
            <v>99.446378658268458</v>
          </cell>
          <cell r="AA166">
            <v>127.94117647058823</v>
          </cell>
          <cell r="AB166">
            <v>73.064340239912767</v>
          </cell>
          <cell r="AC166">
            <v>98.806842422668169</v>
          </cell>
          <cell r="AD166">
            <v>96.99801783258701</v>
          </cell>
          <cell r="AF166">
            <v>100.5928320456066</v>
          </cell>
          <cell r="AG166">
            <v>97.902430127627582</v>
          </cell>
        </row>
        <row r="167">
          <cell r="A167">
            <v>40343</v>
          </cell>
          <cell r="B167">
            <v>9.3403799999999997</v>
          </cell>
          <cell r="C167">
            <v>52.91</v>
          </cell>
          <cell r="D167">
            <v>60.041409999999999</v>
          </cell>
          <cell r="E167">
            <v>28.756675999999999</v>
          </cell>
          <cell r="F167">
            <v>78.81</v>
          </cell>
          <cell r="G167">
            <v>1.426779</v>
          </cell>
          <cell r="H167">
            <v>23.32</v>
          </cell>
          <cell r="I167">
            <v>22.06</v>
          </cell>
          <cell r="J167">
            <v>32.56</v>
          </cell>
          <cell r="K167">
            <v>4.6182990000000004</v>
          </cell>
          <cell r="L167">
            <v>2.63</v>
          </cell>
          <cell r="M167">
            <v>13.22</v>
          </cell>
          <cell r="N167">
            <v>8.1616789999999995</v>
          </cell>
          <cell r="O167">
            <v>10.104937</v>
          </cell>
          <cell r="Q167">
            <v>67.571247780738346</v>
          </cell>
          <cell r="R167">
            <v>87.628353759523009</v>
          </cell>
          <cell r="S167">
            <v>115.24855789126964</v>
          </cell>
          <cell r="T167">
            <v>105.19067721436058</v>
          </cell>
          <cell r="U167">
            <v>105.30464991982898</v>
          </cell>
          <cell r="V167">
            <v>138.14663510974628</v>
          </cell>
          <cell r="W167">
            <v>119.22290388548058</v>
          </cell>
          <cell r="X167">
            <v>62.088376020264555</v>
          </cell>
          <cell r="Y167">
            <v>124.58389133346088</v>
          </cell>
          <cell r="Z167">
            <v>101.28503927337404</v>
          </cell>
          <cell r="AA167">
            <v>128.92156862745097</v>
          </cell>
          <cell r="AB167">
            <v>72.082878953107965</v>
          </cell>
          <cell r="AC167">
            <v>99.859198131646792</v>
          </cell>
          <cell r="AD167">
            <v>95.785360967084614</v>
          </cell>
          <cell r="AF167">
            <v>102.27289831405049</v>
          </cell>
          <cell r="AG167">
            <v>97.822279549365703</v>
          </cell>
        </row>
        <row r="168">
          <cell r="A168">
            <v>40344</v>
          </cell>
          <cell r="B168">
            <v>9.3816299999999995</v>
          </cell>
          <cell r="C168">
            <v>53.69</v>
          </cell>
          <cell r="D168">
            <v>60.735626000000003</v>
          </cell>
          <cell r="E168">
            <v>28.372526000000001</v>
          </cell>
          <cell r="F168">
            <v>79.599999999999994</v>
          </cell>
          <cell r="G168">
            <v>1.3969982999999999</v>
          </cell>
          <cell r="H168">
            <v>23.57</v>
          </cell>
          <cell r="I168">
            <v>22.88</v>
          </cell>
          <cell r="J168">
            <v>33.045000000000002</v>
          </cell>
          <cell r="K168">
            <v>4.6219587000000004</v>
          </cell>
          <cell r="L168">
            <v>2.76</v>
          </cell>
          <cell r="M168">
            <v>13.63</v>
          </cell>
          <cell r="N168">
            <v>8.3331009999999992</v>
          </cell>
          <cell r="O168">
            <v>10.183662999999999</v>
          </cell>
          <cell r="Q168">
            <v>67.869663259654118</v>
          </cell>
          <cell r="R168">
            <v>88.920172242464375</v>
          </cell>
          <cell r="S168">
            <v>116.58109476648704</v>
          </cell>
          <cell r="T168">
            <v>103.78547312707678</v>
          </cell>
          <cell r="U168">
            <v>106.36023516835915</v>
          </cell>
          <cell r="V168">
            <v>135.26314474703923</v>
          </cell>
          <cell r="W168">
            <v>120.50102249488755</v>
          </cell>
          <cell r="X168">
            <v>64.396284829721367</v>
          </cell>
          <cell r="Y168">
            <v>126.43964032906065</v>
          </cell>
          <cell r="Z168">
            <v>101.36530104469479</v>
          </cell>
          <cell r="AA168">
            <v>135.29411764705881</v>
          </cell>
          <cell r="AB168">
            <v>74.318429661941124</v>
          </cell>
          <cell r="AC168">
            <v>101.95656847200485</v>
          </cell>
          <cell r="AD168">
            <v>96.531609887537513</v>
          </cell>
          <cell r="AF168">
            <v>103.4245482765371</v>
          </cell>
          <cell r="AG168">
            <v>99.24408917977118</v>
          </cell>
        </row>
        <row r="169">
          <cell r="A169">
            <v>40345</v>
          </cell>
          <cell r="B169">
            <v>9.3781979999999994</v>
          </cell>
          <cell r="C169">
            <v>53.65</v>
          </cell>
          <cell r="D169">
            <v>60.29766</v>
          </cell>
          <cell r="E169">
            <v>27.817903999999999</v>
          </cell>
          <cell r="F169">
            <v>80.39</v>
          </cell>
          <cell r="G169">
            <v>1.3775786000000001</v>
          </cell>
          <cell r="H169">
            <v>23.18</v>
          </cell>
          <cell r="I169">
            <v>17.190000000000001</v>
          </cell>
          <cell r="J169">
            <v>32.729999999999997</v>
          </cell>
          <cell r="K169">
            <v>4.6674899999999999</v>
          </cell>
          <cell r="L169">
            <v>2.69</v>
          </cell>
          <cell r="M169">
            <v>13.35</v>
          </cell>
          <cell r="N169">
            <v>8.48996</v>
          </cell>
          <cell r="O169">
            <v>10.1097555</v>
          </cell>
          <cell r="Q169">
            <v>67.844835091808335</v>
          </cell>
          <cell r="R169">
            <v>88.853925140775075</v>
          </cell>
          <cell r="S169">
            <v>115.74042580309312</v>
          </cell>
          <cell r="T169">
            <v>101.75668983592088</v>
          </cell>
          <cell r="U169">
            <v>107.41582041688935</v>
          </cell>
          <cell r="V169">
            <v>133.38284919331946</v>
          </cell>
          <cell r="W169">
            <v>118.50715746421268</v>
          </cell>
          <cell r="X169">
            <v>48.38164931044188</v>
          </cell>
          <cell r="Y169">
            <v>125.23436005356798</v>
          </cell>
          <cell r="Z169">
            <v>102.36385906544392</v>
          </cell>
          <cell r="AA169">
            <v>131.86274509803923</v>
          </cell>
          <cell r="AB169">
            <v>72.791712104689196</v>
          </cell>
          <cell r="AC169">
            <v>103.87575862390031</v>
          </cell>
          <cell r="AD169">
            <v>95.831035844802301</v>
          </cell>
          <cell r="AF169">
            <v>101.17800238151675</v>
          </cell>
          <cell r="AG169">
            <v>99.853397234351306</v>
          </cell>
        </row>
        <row r="170">
          <cell r="A170">
            <v>40346</v>
          </cell>
          <cell r="B170">
            <v>9.4028849999999995</v>
          </cell>
          <cell r="C170">
            <v>53.42</v>
          </cell>
          <cell r="D170">
            <v>61.340232999999998</v>
          </cell>
          <cell r="E170">
            <v>28.500633000000001</v>
          </cell>
          <cell r="F170">
            <v>80.400000000000006</v>
          </cell>
          <cell r="G170">
            <v>1.3278782</v>
          </cell>
          <cell r="H170">
            <v>23.21</v>
          </cell>
          <cell r="I170">
            <v>16.78</v>
          </cell>
          <cell r="J170">
            <v>32.35</v>
          </cell>
          <cell r="K170">
            <v>4.6496835000000001</v>
          </cell>
          <cell r="L170">
            <v>2.79</v>
          </cell>
          <cell r="M170">
            <v>13.34</v>
          </cell>
          <cell r="N170">
            <v>8.6113140000000001</v>
          </cell>
          <cell r="O170">
            <v>10.259573</v>
          </cell>
          <cell r="Q170">
            <v>68.023428617335469</v>
          </cell>
          <cell r="R170">
            <v>88.473004306061611</v>
          </cell>
          <cell r="S170">
            <v>117.74162855210209</v>
          </cell>
          <cell r="T170">
            <v>104.2540829930397</v>
          </cell>
          <cell r="U170">
            <v>107.42918225547835</v>
          </cell>
          <cell r="V170">
            <v>128.57065121198636</v>
          </cell>
          <cell r="W170">
            <v>118.66053169734153</v>
          </cell>
          <cell r="X170">
            <v>47.227694905713484</v>
          </cell>
          <cell r="Y170">
            <v>123.78037114979912</v>
          </cell>
          <cell r="Z170">
            <v>101.97334038057286</v>
          </cell>
          <cell r="AA170">
            <v>136.76470588235296</v>
          </cell>
          <cell r="AB170">
            <v>72.737186477644485</v>
          </cell>
          <cell r="AC170">
            <v>105.36054050886148</v>
          </cell>
          <cell r="AD170">
            <v>97.251165759188325</v>
          </cell>
          <cell r="AF170">
            <v>101.30298403578566</v>
          </cell>
          <cell r="AG170">
            <v>101.3058531340249</v>
          </cell>
        </row>
        <row r="171">
          <cell r="A171">
            <v>40347</v>
          </cell>
          <cell r="B171">
            <v>9.5237619999999996</v>
          </cell>
          <cell r="C171">
            <v>53.09</v>
          </cell>
          <cell r="D171">
            <v>60.996426</v>
          </cell>
          <cell r="E171">
            <v>27.184146999999999</v>
          </cell>
          <cell r="F171">
            <v>80.25</v>
          </cell>
          <cell r="G171">
            <v>1.3298639999999999</v>
          </cell>
          <cell r="H171">
            <v>23.34</v>
          </cell>
          <cell r="I171">
            <v>16.670000000000002</v>
          </cell>
          <cell r="J171">
            <v>31.684999999999999</v>
          </cell>
          <cell r="K171">
            <v>4.6879520000000001</v>
          </cell>
          <cell r="L171">
            <v>2.89</v>
          </cell>
          <cell r="M171">
            <v>13.6</v>
          </cell>
          <cell r="N171">
            <v>8.7976539999999996</v>
          </cell>
          <cell r="O171">
            <v>10.354162000000001</v>
          </cell>
          <cell r="Q171">
            <v>68.89789086812101</v>
          </cell>
          <cell r="R171">
            <v>87.926465717124884</v>
          </cell>
          <cell r="S171">
            <v>117.08169633293997</v>
          </cell>
          <cell r="T171">
            <v>99.438434136988874</v>
          </cell>
          <cell r="U171">
            <v>107.2287546766435</v>
          </cell>
          <cell r="V171">
            <v>128.76292456896803</v>
          </cell>
          <cell r="W171">
            <v>119.32515337423312</v>
          </cell>
          <cell r="X171">
            <v>46.91809738249367</v>
          </cell>
          <cell r="Y171">
            <v>121.23589056820354</v>
          </cell>
          <cell r="Z171">
            <v>102.81261616705466</v>
          </cell>
          <cell r="AA171">
            <v>141.66666666666669</v>
          </cell>
          <cell r="AB171">
            <v>74.154852780806976</v>
          </cell>
          <cell r="AC171">
            <v>107.64043450859499</v>
          </cell>
          <cell r="AD171">
            <v>98.147781097662545</v>
          </cell>
          <cell r="AF171">
            <v>101.28745360335375</v>
          </cell>
          <cell r="AG171">
            <v>102.89410780312878</v>
          </cell>
        </row>
        <row r="172">
          <cell r="A172">
            <v>40348</v>
          </cell>
          <cell r="B172">
            <v>9.5237619999999996</v>
          </cell>
          <cell r="C172">
            <v>53.09</v>
          </cell>
          <cell r="D172">
            <v>60.996426</v>
          </cell>
          <cell r="E172">
            <v>27.184146999999999</v>
          </cell>
          <cell r="F172">
            <v>80.25</v>
          </cell>
          <cell r="G172">
            <v>1.3298639999999999</v>
          </cell>
          <cell r="H172">
            <v>23.34</v>
          </cell>
          <cell r="I172">
            <v>16.670000000000002</v>
          </cell>
          <cell r="J172">
            <v>31.684999999999999</v>
          </cell>
          <cell r="K172">
            <v>4.6879520000000001</v>
          </cell>
          <cell r="L172">
            <v>2.89</v>
          </cell>
          <cell r="M172">
            <v>13.6</v>
          </cell>
          <cell r="N172">
            <v>8.7976539999999996</v>
          </cell>
          <cell r="O172">
            <v>10.354162000000001</v>
          </cell>
          <cell r="Q172">
            <v>68.89789086812101</v>
          </cell>
          <cell r="R172">
            <v>87.926465717124884</v>
          </cell>
          <cell r="S172">
            <v>117.08169633293997</v>
          </cell>
          <cell r="T172">
            <v>99.438434136988874</v>
          </cell>
          <cell r="U172">
            <v>107.2287546766435</v>
          </cell>
          <cell r="V172">
            <v>128.76292456896803</v>
          </cell>
          <cell r="W172">
            <v>119.32515337423312</v>
          </cell>
          <cell r="X172">
            <v>46.91809738249367</v>
          </cell>
          <cell r="Y172">
            <v>121.23589056820354</v>
          </cell>
          <cell r="Z172">
            <v>102.81261616705466</v>
          </cell>
          <cell r="AA172">
            <v>141.66666666666669</v>
          </cell>
          <cell r="AB172">
            <v>74.154852780806976</v>
          </cell>
          <cell r="AC172">
            <v>107.64043450859499</v>
          </cell>
          <cell r="AD172">
            <v>98.147781097662545</v>
          </cell>
          <cell r="AF172">
            <v>101.28745360335375</v>
          </cell>
          <cell r="AG172">
            <v>102.89410780312878</v>
          </cell>
        </row>
        <row r="173">
          <cell r="A173">
            <v>40349</v>
          </cell>
          <cell r="B173">
            <v>9.5237619999999996</v>
          </cell>
          <cell r="C173">
            <v>53.09</v>
          </cell>
          <cell r="D173">
            <v>60.996426</v>
          </cell>
          <cell r="E173">
            <v>27.184146999999999</v>
          </cell>
          <cell r="F173">
            <v>80.25</v>
          </cell>
          <cell r="G173">
            <v>1.3298639999999999</v>
          </cell>
          <cell r="H173">
            <v>23.34</v>
          </cell>
          <cell r="I173">
            <v>16.670000000000002</v>
          </cell>
          <cell r="J173">
            <v>31.684999999999999</v>
          </cell>
          <cell r="K173">
            <v>4.6879520000000001</v>
          </cell>
          <cell r="L173">
            <v>2.89</v>
          </cell>
          <cell r="M173">
            <v>13.6</v>
          </cell>
          <cell r="N173">
            <v>8.7976539999999996</v>
          </cell>
          <cell r="O173">
            <v>10.354162000000001</v>
          </cell>
          <cell r="Q173">
            <v>68.89789086812101</v>
          </cell>
          <cell r="R173">
            <v>87.926465717124884</v>
          </cell>
          <cell r="S173">
            <v>117.08169633293997</v>
          </cell>
          <cell r="T173">
            <v>99.438434136988874</v>
          </cell>
          <cell r="U173">
            <v>107.2287546766435</v>
          </cell>
          <cell r="V173">
            <v>128.76292456896803</v>
          </cell>
          <cell r="W173">
            <v>119.32515337423312</v>
          </cell>
          <cell r="X173">
            <v>46.91809738249367</v>
          </cell>
          <cell r="Y173">
            <v>121.23589056820354</v>
          </cell>
          <cell r="Z173">
            <v>102.81261616705466</v>
          </cell>
          <cell r="AA173">
            <v>141.66666666666669</v>
          </cell>
          <cell r="AB173">
            <v>74.154852780806976</v>
          </cell>
          <cell r="AC173">
            <v>107.64043450859499</v>
          </cell>
          <cell r="AD173">
            <v>98.147781097662545</v>
          </cell>
          <cell r="AF173">
            <v>101.28745360335375</v>
          </cell>
          <cell r="AG173">
            <v>102.89410780312878</v>
          </cell>
        </row>
        <row r="174">
          <cell r="A174">
            <v>40350</v>
          </cell>
          <cell r="B174">
            <v>9.6507830000000006</v>
          </cell>
          <cell r="C174">
            <v>53.09</v>
          </cell>
          <cell r="D174">
            <v>61.543526</v>
          </cell>
          <cell r="E174">
            <v>27.414843000000001</v>
          </cell>
          <cell r="F174">
            <v>80.22</v>
          </cell>
          <cell r="G174">
            <v>1.3457482999999999</v>
          </cell>
          <cell r="H174">
            <v>22.93</v>
          </cell>
          <cell r="I174">
            <v>16.29</v>
          </cell>
          <cell r="J174">
            <v>31.824999999999999</v>
          </cell>
          <cell r="K174">
            <v>4.6711549999999997</v>
          </cell>
          <cell r="L174">
            <v>2.91</v>
          </cell>
          <cell r="M174">
            <v>13.34</v>
          </cell>
          <cell r="N174">
            <v>8.8166919999999998</v>
          </cell>
          <cell r="O174">
            <v>10.489312</v>
          </cell>
          <cell r="Q174">
            <v>69.816800748057076</v>
          </cell>
          <cell r="R174">
            <v>87.926465717124884</v>
          </cell>
          <cell r="S174">
            <v>118.13184632146144</v>
          </cell>
          <cell r="T174">
            <v>100.28231012845062</v>
          </cell>
          <cell r="U174">
            <v>107.18866916087653</v>
          </cell>
          <cell r="V174">
            <v>130.30090809414867</v>
          </cell>
          <cell r="W174">
            <v>117.22903885480574</v>
          </cell>
          <cell r="X174">
            <v>45.848578665916122</v>
          </cell>
          <cell r="Y174">
            <v>121.77157069064472</v>
          </cell>
          <cell r="Z174">
            <v>102.44423707235445</v>
          </cell>
          <cell r="AA174">
            <v>142.64705882352942</v>
          </cell>
          <cell r="AB174">
            <v>72.737186477644485</v>
          </cell>
          <cell r="AC174">
            <v>107.87336690081848</v>
          </cell>
          <cell r="AD174">
            <v>99.428876816982864</v>
          </cell>
          <cell r="AF174">
            <v>101.3603892295845</v>
          </cell>
          <cell r="AG174">
            <v>103.65112185890067</v>
          </cell>
        </row>
        <row r="175">
          <cell r="A175">
            <v>40351</v>
          </cell>
          <cell r="B175">
            <v>9.533353</v>
          </cell>
          <cell r="C175">
            <v>52.14</v>
          </cell>
          <cell r="D175">
            <v>60.679609999999997</v>
          </cell>
          <cell r="E175">
            <v>28.144307999999999</v>
          </cell>
          <cell r="F175">
            <v>78.95</v>
          </cell>
          <cell r="G175">
            <v>1.3084654</v>
          </cell>
          <cell r="H175">
            <v>22.8</v>
          </cell>
          <cell r="I175">
            <v>16.22</v>
          </cell>
          <cell r="J175">
            <v>31.64</v>
          </cell>
          <cell r="K175">
            <v>4.6568449999999997</v>
          </cell>
          <cell r="L175">
            <v>2.59</v>
          </cell>
          <cell r="M175">
            <v>12.72</v>
          </cell>
          <cell r="N175">
            <v>9.0921979999999998</v>
          </cell>
          <cell r="O175">
            <v>10.656689999999999</v>
          </cell>
          <cell r="Q175">
            <v>68.967275179836932</v>
          </cell>
          <cell r="R175">
            <v>86.353097052003974</v>
          </cell>
          <cell r="S175">
            <v>116.47357292083353</v>
          </cell>
          <cell r="T175">
            <v>102.95066155245294</v>
          </cell>
          <cell r="U175">
            <v>105.49171566007483</v>
          </cell>
          <cell r="V175">
            <v>126.6910237447623</v>
          </cell>
          <cell r="W175">
            <v>116.56441717791412</v>
          </cell>
          <cell r="X175">
            <v>45.651562060230788</v>
          </cell>
          <cell r="Y175">
            <v>121.06370767170461</v>
          </cell>
          <cell r="Z175">
            <v>102.13040097988795</v>
          </cell>
          <cell r="AA175">
            <v>126.96078431372548</v>
          </cell>
          <cell r="AB175">
            <v>69.356597600872419</v>
          </cell>
          <cell r="AC175">
            <v>111.24421844257324</v>
          </cell>
          <cell r="AD175">
            <v>101.01546386328988</v>
          </cell>
          <cell r="AF175">
            <v>99.054567992858324</v>
          </cell>
          <cell r="AG175">
            <v>106.12984115293156</v>
          </cell>
        </row>
        <row r="176">
          <cell r="A176">
            <v>40352</v>
          </cell>
          <cell r="B176">
            <v>9.1895579999999999</v>
          </cell>
          <cell r="C176">
            <v>51.59</v>
          </cell>
          <cell r="D176">
            <v>59.597136999999996</v>
          </cell>
          <cell r="E176">
            <v>27.91188</v>
          </cell>
          <cell r="F176">
            <v>78.41</v>
          </cell>
          <cell r="G176">
            <v>1.2708212999999999</v>
          </cell>
          <cell r="H176">
            <v>23.01</v>
          </cell>
          <cell r="I176">
            <v>15.89</v>
          </cell>
          <cell r="J176">
            <v>30.975000000000001</v>
          </cell>
          <cell r="K176">
            <v>4.6078204999999999</v>
          </cell>
          <cell r="L176">
            <v>2.52</v>
          </cell>
          <cell r="M176">
            <v>12.55</v>
          </cell>
          <cell r="N176">
            <v>8.7041219999999999</v>
          </cell>
          <cell r="O176">
            <v>10.579625999999999</v>
          </cell>
          <cell r="Q176">
            <v>66.48015397804653</v>
          </cell>
          <cell r="R176">
            <v>85.442199403776087</v>
          </cell>
          <cell r="S176">
            <v>114.39578273892015</v>
          </cell>
          <cell r="T176">
            <v>102.10044997989223</v>
          </cell>
          <cell r="U176">
            <v>104.77017637626938</v>
          </cell>
          <cell r="V176">
            <v>123.04616651968763</v>
          </cell>
          <cell r="W176">
            <v>117.63803680981597</v>
          </cell>
          <cell r="X176">
            <v>44.722769490571345</v>
          </cell>
          <cell r="Y176">
            <v>118.51922709010904</v>
          </cell>
          <cell r="Z176">
            <v>101.05523273983732</v>
          </cell>
          <cell r="AA176">
            <v>123.52941176470588</v>
          </cell>
          <cell r="AB176">
            <v>68.429661941112329</v>
          </cell>
          <cell r="AC176">
            <v>106.49605839191003</v>
          </cell>
          <cell r="AD176">
            <v>100.28496914990697</v>
          </cell>
          <cell r="AF176">
            <v>97.510772402728648</v>
          </cell>
          <cell r="AG176">
            <v>103.3905137709085</v>
          </cell>
        </row>
        <row r="177">
          <cell r="A177">
            <v>40353</v>
          </cell>
          <cell r="B177">
            <v>9.1378819999999994</v>
          </cell>
          <cell r="C177">
            <v>50.58</v>
          </cell>
          <cell r="D177">
            <v>59.669750000000001</v>
          </cell>
          <cell r="E177">
            <v>27.7302</v>
          </cell>
          <cell r="F177">
            <v>77.05</v>
          </cell>
          <cell r="G177">
            <v>1.247938</v>
          </cell>
          <cell r="H177">
            <v>23</v>
          </cell>
          <cell r="I177">
            <v>15.61</v>
          </cell>
          <cell r="J177">
            <v>30.695</v>
          </cell>
          <cell r="K177">
            <v>4.633902</v>
          </cell>
          <cell r="L177">
            <v>2.4500000000000002</v>
          </cell>
          <cell r="M177">
            <v>12.49</v>
          </cell>
          <cell r="N177">
            <v>8.8707879999999992</v>
          </cell>
          <cell r="O177">
            <v>10.600312000000001</v>
          </cell>
          <cell r="Q177">
            <v>66.106313534690102</v>
          </cell>
          <cell r="R177">
            <v>83.769460086121228</v>
          </cell>
          <cell r="S177">
            <v>114.53516226938352</v>
          </cell>
          <cell r="T177">
            <v>101.43587239671447</v>
          </cell>
          <cell r="U177">
            <v>102.95296632816675</v>
          </cell>
          <cell r="V177">
            <v>120.8305109099493</v>
          </cell>
          <cell r="W177">
            <v>117.58691206543968</v>
          </cell>
          <cell r="X177">
            <v>43.93470306783</v>
          </cell>
          <cell r="Y177">
            <v>117.4478668452267</v>
          </cell>
          <cell r="Z177">
            <v>101.62723246350367</v>
          </cell>
          <cell r="AA177">
            <v>120.0980392156863</v>
          </cell>
          <cell r="AB177">
            <v>68.102508178844062</v>
          </cell>
          <cell r="AC177">
            <v>108.53523845716487</v>
          </cell>
          <cell r="AD177">
            <v>100.48105310144129</v>
          </cell>
          <cell r="AF177">
            <v>96.535628946796336</v>
          </cell>
          <cell r="AG177">
            <v>104.50814577930308</v>
          </cell>
        </row>
        <row r="178">
          <cell r="A178">
            <v>40354</v>
          </cell>
          <cell r="B178">
            <v>9.1194199999999999</v>
          </cell>
          <cell r="C178">
            <v>50.74</v>
          </cell>
          <cell r="D178">
            <v>59.248469999999998</v>
          </cell>
          <cell r="E178">
            <v>28.112223</v>
          </cell>
          <cell r="F178">
            <v>77.19</v>
          </cell>
          <cell r="G178">
            <v>1.2431287</v>
          </cell>
          <cell r="H178">
            <v>22.74</v>
          </cell>
          <cell r="I178">
            <v>15.8</v>
          </cell>
          <cell r="J178">
            <v>30.844999999999999</v>
          </cell>
          <cell r="K178">
            <v>4.5035242999999996</v>
          </cell>
          <cell r="L178">
            <v>2.7</v>
          </cell>
          <cell r="M178">
            <v>12.71</v>
          </cell>
          <cell r="N178">
            <v>9.0944699999999994</v>
          </cell>
          <cell r="O178">
            <v>10.745467</v>
          </cell>
          <cell r="Q178">
            <v>65.972753617799356</v>
          </cell>
          <cell r="R178">
            <v>84.03444849287844</v>
          </cell>
          <cell r="S178">
            <v>113.72652182492304</v>
          </cell>
          <cell r="T178">
            <v>102.83329600998125</v>
          </cell>
          <cell r="U178">
            <v>103.14003206841261</v>
          </cell>
          <cell r="V178">
            <v>120.36485462244207</v>
          </cell>
          <cell r="W178">
            <v>116.25766871165644</v>
          </cell>
          <cell r="X178">
            <v>44.469462426118774</v>
          </cell>
          <cell r="Y178">
            <v>118.02180983355652</v>
          </cell>
          <cell r="Z178">
            <v>98.767887396224083</v>
          </cell>
          <cell r="AA178">
            <v>132.35294117647058</v>
          </cell>
          <cell r="AB178">
            <v>69.302071973827708</v>
          </cell>
          <cell r="AC178">
            <v>111.27201665641566</v>
          </cell>
          <cell r="AD178">
            <v>101.85698687234724</v>
          </cell>
          <cell r="AF178">
            <v>97.436979012857549</v>
          </cell>
          <cell r="AG178">
            <v>106.56450176438145</v>
          </cell>
        </row>
        <row r="179">
          <cell r="A179">
            <v>40355</v>
          </cell>
          <cell r="B179">
            <v>9.1194199999999999</v>
          </cell>
          <cell r="C179">
            <v>50.74</v>
          </cell>
          <cell r="D179">
            <v>59.248469999999998</v>
          </cell>
          <cell r="E179">
            <v>28.112223</v>
          </cell>
          <cell r="F179">
            <v>77.19</v>
          </cell>
          <cell r="G179">
            <v>1.2431287</v>
          </cell>
          <cell r="H179">
            <v>22.74</v>
          </cell>
          <cell r="I179">
            <v>15.8</v>
          </cell>
          <cell r="J179">
            <v>30.844999999999999</v>
          </cell>
          <cell r="K179">
            <v>4.5035242999999996</v>
          </cell>
          <cell r="L179">
            <v>2.7</v>
          </cell>
          <cell r="M179">
            <v>12.71</v>
          </cell>
          <cell r="N179">
            <v>9.0944699999999994</v>
          </cell>
          <cell r="O179">
            <v>10.745467</v>
          </cell>
          <cell r="Q179">
            <v>65.972753617799356</v>
          </cell>
          <cell r="R179">
            <v>84.03444849287844</v>
          </cell>
          <cell r="S179">
            <v>113.72652182492304</v>
          </cell>
          <cell r="T179">
            <v>102.83329600998125</v>
          </cell>
          <cell r="U179">
            <v>103.14003206841261</v>
          </cell>
          <cell r="V179">
            <v>120.36485462244207</v>
          </cell>
          <cell r="W179">
            <v>116.25766871165644</v>
          </cell>
          <cell r="X179">
            <v>44.469462426118774</v>
          </cell>
          <cell r="Y179">
            <v>118.02180983355652</v>
          </cell>
          <cell r="Z179">
            <v>98.767887396224083</v>
          </cell>
          <cell r="AA179">
            <v>132.35294117647058</v>
          </cell>
          <cell r="AB179">
            <v>69.302071973827708</v>
          </cell>
          <cell r="AC179">
            <v>111.27201665641566</v>
          </cell>
          <cell r="AD179">
            <v>101.85698687234724</v>
          </cell>
          <cell r="AF179">
            <v>97.436979012857549</v>
          </cell>
          <cell r="AG179">
            <v>106.56450176438145</v>
          </cell>
        </row>
        <row r="180">
          <cell r="A180">
            <v>40356</v>
          </cell>
          <cell r="B180">
            <v>9.1194199999999999</v>
          </cell>
          <cell r="C180">
            <v>50.74</v>
          </cell>
          <cell r="D180">
            <v>59.248469999999998</v>
          </cell>
          <cell r="E180">
            <v>28.112223</v>
          </cell>
          <cell r="F180">
            <v>77.19</v>
          </cell>
          <cell r="G180">
            <v>1.2431287</v>
          </cell>
          <cell r="H180">
            <v>22.74</v>
          </cell>
          <cell r="I180">
            <v>15.8</v>
          </cell>
          <cell r="J180">
            <v>30.844999999999999</v>
          </cell>
          <cell r="K180">
            <v>4.5035242999999996</v>
          </cell>
          <cell r="L180">
            <v>2.7</v>
          </cell>
          <cell r="M180">
            <v>12.71</v>
          </cell>
          <cell r="N180">
            <v>9.0944699999999994</v>
          </cell>
          <cell r="O180">
            <v>10.745467</v>
          </cell>
          <cell r="Q180">
            <v>65.972753617799356</v>
          </cell>
          <cell r="R180">
            <v>84.03444849287844</v>
          </cell>
          <cell r="S180">
            <v>113.72652182492304</v>
          </cell>
          <cell r="T180">
            <v>102.83329600998125</v>
          </cell>
          <cell r="U180">
            <v>103.14003206841261</v>
          </cell>
          <cell r="V180">
            <v>120.36485462244207</v>
          </cell>
          <cell r="W180">
            <v>116.25766871165644</v>
          </cell>
          <cell r="X180">
            <v>44.469462426118774</v>
          </cell>
          <cell r="Y180">
            <v>118.02180983355652</v>
          </cell>
          <cell r="Z180">
            <v>98.767887396224083</v>
          </cell>
          <cell r="AA180">
            <v>132.35294117647058</v>
          </cell>
          <cell r="AB180">
            <v>69.302071973827708</v>
          </cell>
          <cell r="AC180">
            <v>111.27201665641566</v>
          </cell>
          <cell r="AD180">
            <v>101.85698687234724</v>
          </cell>
          <cell r="AF180">
            <v>97.436979012857549</v>
          </cell>
          <cell r="AG180">
            <v>106.56450176438145</v>
          </cell>
        </row>
        <row r="181">
          <cell r="A181">
            <v>40357</v>
          </cell>
          <cell r="B181">
            <v>9.1270299999999995</v>
          </cell>
          <cell r="C181">
            <v>51.08</v>
          </cell>
          <cell r="D181">
            <v>58.381892999999998</v>
          </cell>
          <cell r="E181">
            <v>28.305693000000002</v>
          </cell>
          <cell r="F181">
            <v>78</v>
          </cell>
          <cell r="G181">
            <v>1.2610794999999999</v>
          </cell>
          <cell r="H181">
            <v>22.74</v>
          </cell>
          <cell r="I181">
            <v>16.32</v>
          </cell>
          <cell r="J181">
            <v>30.82</v>
          </cell>
          <cell r="K181">
            <v>4.5154779999999999</v>
          </cell>
          <cell r="L181">
            <v>2.4900000000000002</v>
          </cell>
          <cell r="M181">
            <v>12.63</v>
          </cell>
          <cell r="N181">
            <v>9.55593</v>
          </cell>
          <cell r="O181">
            <v>10.961214</v>
          </cell>
          <cell r="Q181">
            <v>66.027806752212683</v>
          </cell>
          <cell r="R181">
            <v>84.597548857237499</v>
          </cell>
          <cell r="S181">
            <v>112.06314067595031</v>
          </cell>
          <cell r="T181">
            <v>103.54100090329585</v>
          </cell>
          <cell r="U181">
            <v>104.22234099412077</v>
          </cell>
          <cell r="V181">
            <v>122.10292521188025</v>
          </cell>
          <cell r="W181">
            <v>116.25766871165644</v>
          </cell>
          <cell r="X181">
            <v>45.933014354066984</v>
          </cell>
          <cell r="Y181">
            <v>117.92615266883489</v>
          </cell>
          <cell r="Z181">
            <v>99.030046899963921</v>
          </cell>
          <cell r="AA181">
            <v>122.05882352941177</v>
          </cell>
          <cell r="AB181">
            <v>68.865866957470018</v>
          </cell>
          <cell r="AC181">
            <v>116.91803943798178</v>
          </cell>
          <cell r="AD181">
            <v>103.90206684390624</v>
          </cell>
          <cell r="AF181">
            <v>96.885528043008435</v>
          </cell>
          <cell r="AG181">
            <v>110.410053140944</v>
          </cell>
        </row>
        <row r="182">
          <cell r="A182">
            <v>40358</v>
          </cell>
          <cell r="B182">
            <v>9.0460410000000007</v>
          </cell>
          <cell r="C182">
            <v>50.05</v>
          </cell>
          <cell r="D182">
            <v>58.002147999999998</v>
          </cell>
          <cell r="E182">
            <v>28.92193</v>
          </cell>
          <cell r="F182">
            <v>76.52</v>
          </cell>
          <cell r="G182">
            <v>1.2406858999999999</v>
          </cell>
          <cell r="H182">
            <v>22.13</v>
          </cell>
          <cell r="I182">
            <v>16.37</v>
          </cell>
          <cell r="J182">
            <v>30.265000000000001</v>
          </cell>
          <cell r="K182">
            <v>4.4888839999999997</v>
          </cell>
          <cell r="L182">
            <v>2.4</v>
          </cell>
          <cell r="M182">
            <v>12.14</v>
          </cell>
          <cell r="N182">
            <v>9.2104540000000004</v>
          </cell>
          <cell r="O182">
            <v>10.819509</v>
          </cell>
          <cell r="Q182">
            <v>65.441906843802727</v>
          </cell>
          <cell r="R182">
            <v>82.89168598873799</v>
          </cell>
          <cell r="S182">
            <v>111.33422602160725</v>
          </cell>
          <cell r="T182">
            <v>105.79516919988707</v>
          </cell>
          <cell r="U182">
            <v>102.24478888295027</v>
          </cell>
          <cell r="V182">
            <v>120.12833263813607</v>
          </cell>
          <cell r="W182">
            <v>113.13905930470347</v>
          </cell>
          <cell r="X182">
            <v>46.073740500985082</v>
          </cell>
          <cell r="Y182">
            <v>115.80256361201452</v>
          </cell>
          <cell r="Z182">
            <v>98.446807414076119</v>
          </cell>
          <cell r="AA182">
            <v>117.64705882352942</v>
          </cell>
          <cell r="AB182">
            <v>66.19411123227917</v>
          </cell>
          <cell r="AC182">
            <v>112.69109589686373</v>
          </cell>
          <cell r="AD182">
            <v>102.55883584940912</v>
          </cell>
          <cell r="AF182">
            <v>95.428287538559104</v>
          </cell>
          <cell r="AG182">
            <v>107.62496587313643</v>
          </cell>
        </row>
        <row r="183">
          <cell r="A183">
            <v>40359</v>
          </cell>
          <cell r="B183">
            <v>8.8096999999999994</v>
          </cell>
          <cell r="C183">
            <v>49.77</v>
          </cell>
          <cell r="D183">
            <v>57.181601999999998</v>
          </cell>
          <cell r="E183">
            <v>30.1616</v>
          </cell>
          <cell r="F183">
            <v>75.349999999999994</v>
          </cell>
          <cell r="G183">
            <v>1.2248406000000001</v>
          </cell>
          <cell r="H183">
            <v>22.17</v>
          </cell>
          <cell r="I183">
            <v>17.2</v>
          </cell>
          <cell r="J183">
            <v>30.405000000000001</v>
          </cell>
          <cell r="K183">
            <v>4.3837336999999996</v>
          </cell>
          <cell r="L183">
            <v>2.37</v>
          </cell>
          <cell r="M183">
            <v>11.92</v>
          </cell>
          <cell r="N183">
            <v>9.4257969999999993</v>
          </cell>
          <cell r="O183">
            <v>11.090153000000001</v>
          </cell>
          <cell r="Q183">
            <v>63.732141687380015</v>
          </cell>
          <cell r="R183">
            <v>82.42795627691288</v>
          </cell>
          <cell r="S183">
            <v>109.75920066521654</v>
          </cell>
          <cell r="T183">
            <v>110.32982844987571</v>
          </cell>
          <cell r="U183">
            <v>100.68145376803848</v>
          </cell>
          <cell r="V183">
            <v>118.59412525401811</v>
          </cell>
          <cell r="W183">
            <v>113.34355828220862</v>
          </cell>
          <cell r="X183">
            <v>48.409794539825498</v>
          </cell>
          <cell r="Y183">
            <v>116.33824373445572</v>
          </cell>
          <cell r="Z183">
            <v>96.140730595510007</v>
          </cell>
          <cell r="AA183">
            <v>116.1764705882353</v>
          </cell>
          <cell r="AB183">
            <v>64.994547437295523</v>
          </cell>
          <cell r="AC183">
            <v>115.32584535261459</v>
          </cell>
          <cell r="AD183">
            <v>105.12428808662501</v>
          </cell>
          <cell r="AF183">
            <v>95.077337606581025</v>
          </cell>
          <cell r="AG183">
            <v>110.2250667196198</v>
          </cell>
        </row>
        <row r="184">
          <cell r="A184">
            <v>40360</v>
          </cell>
          <cell r="B184">
            <v>8.6154349999999997</v>
          </cell>
          <cell r="C184">
            <v>49.31</v>
          </cell>
          <cell r="D184">
            <v>58.120840000000001</v>
          </cell>
          <cell r="E184">
            <v>30.611073999999999</v>
          </cell>
          <cell r="F184">
            <v>75.42</v>
          </cell>
          <cell r="G184">
            <v>1.2951235999999999</v>
          </cell>
          <cell r="H184">
            <v>20.86</v>
          </cell>
          <cell r="I184">
            <v>17.22</v>
          </cell>
          <cell r="J184">
            <v>29.805</v>
          </cell>
          <cell r="K184">
            <v>4.3160819999999998</v>
          </cell>
          <cell r="L184">
            <v>2.25</v>
          </cell>
          <cell r="M184">
            <v>11.68</v>
          </cell>
          <cell r="N184">
            <v>9.3346630000000008</v>
          </cell>
          <cell r="O184">
            <v>11.046480000000001</v>
          </cell>
          <cell r="Q184">
            <v>62.326767553766061</v>
          </cell>
          <cell r="R184">
            <v>81.666114607485923</v>
          </cell>
          <cell r="S184">
            <v>111.56205347991029</v>
          </cell>
          <cell r="T184">
            <v>111.97398490419775</v>
          </cell>
          <cell r="U184">
            <v>100.77498663816141</v>
          </cell>
          <cell r="V184">
            <v>125.39921556962992</v>
          </cell>
          <cell r="W184">
            <v>106.64621676891616</v>
          </cell>
          <cell r="X184">
            <v>48.466084998592734</v>
          </cell>
          <cell r="Y184">
            <v>114.0424717811364</v>
          </cell>
          <cell r="Z184">
            <v>94.657044699163635</v>
          </cell>
          <cell r="AA184">
            <v>110.29411764705883</v>
          </cell>
          <cell r="AB184">
            <v>63.685932388222469</v>
          </cell>
          <cell r="AC184">
            <v>114.21080907606789</v>
          </cell>
          <cell r="AD184">
            <v>104.71030885355157</v>
          </cell>
          <cell r="AF184">
            <v>94.291249253020126</v>
          </cell>
          <cell r="AG184">
            <v>109.46055896480974</v>
          </cell>
        </row>
        <row r="185">
          <cell r="A185">
            <v>40361</v>
          </cell>
          <cell r="B185">
            <v>8.7291720000000002</v>
          </cell>
          <cell r="C185">
            <v>49.2</v>
          </cell>
          <cell r="D185">
            <v>57.471916</v>
          </cell>
          <cell r="E185">
            <v>30.389417999999999</v>
          </cell>
          <cell r="F185">
            <v>74.5</v>
          </cell>
          <cell r="G185">
            <v>1.2928712</v>
          </cell>
          <cell r="H185">
            <v>20.86</v>
          </cell>
          <cell r="I185">
            <v>17.170000000000002</v>
          </cell>
          <cell r="J185">
            <v>30.585000000000001</v>
          </cell>
          <cell r="K185">
            <v>4.4153365999999998</v>
          </cell>
          <cell r="L185">
            <v>2.1800000000000002</v>
          </cell>
          <cell r="M185">
            <v>11.68</v>
          </cell>
          <cell r="N185">
            <v>9.7143820000000005</v>
          </cell>
          <cell r="O185">
            <v>11.244073999999999</v>
          </cell>
          <cell r="Q185">
            <v>63.149576798019282</v>
          </cell>
          <cell r="R185">
            <v>81.483935077840343</v>
          </cell>
          <cell r="S185">
            <v>110.31645389820434</v>
          </cell>
          <cell r="T185">
            <v>111.16317684179768</v>
          </cell>
          <cell r="U185">
            <v>99.545697487974337</v>
          </cell>
          <cell r="V185">
            <v>125.18112889964024</v>
          </cell>
          <cell r="W185">
            <v>106.64621676891616</v>
          </cell>
          <cell r="X185">
            <v>48.325358851674643</v>
          </cell>
          <cell r="Y185">
            <v>117.0269753204515</v>
          </cell>
          <cell r="Z185">
            <v>96.833821486258415</v>
          </cell>
          <cell r="AA185">
            <v>106.86274509803921</v>
          </cell>
          <cell r="AB185">
            <v>63.685932388222469</v>
          </cell>
          <cell r="AC185">
            <v>118.85672015090319</v>
          </cell>
          <cell r="AD185">
            <v>106.58331534680632</v>
          </cell>
          <cell r="AF185">
            <v>94.185084909753201</v>
          </cell>
          <cell r="AG185">
            <v>112.72001774885476</v>
          </cell>
        </row>
        <row r="186">
          <cell r="A186">
            <v>40362</v>
          </cell>
          <cell r="B186">
            <v>8.7291720000000002</v>
          </cell>
          <cell r="C186">
            <v>49.2</v>
          </cell>
          <cell r="D186">
            <v>57.471916</v>
          </cell>
          <cell r="E186">
            <v>30.389417999999999</v>
          </cell>
          <cell r="F186">
            <v>74.5</v>
          </cell>
          <cell r="G186">
            <v>1.2928712</v>
          </cell>
          <cell r="H186">
            <v>20.86</v>
          </cell>
          <cell r="I186">
            <v>17.170000000000002</v>
          </cell>
          <cell r="J186">
            <v>30.585000000000001</v>
          </cell>
          <cell r="K186">
            <v>4.4153365999999998</v>
          </cell>
          <cell r="L186">
            <v>2.1800000000000002</v>
          </cell>
          <cell r="M186">
            <v>11.68</v>
          </cell>
          <cell r="N186">
            <v>9.7143820000000005</v>
          </cell>
          <cell r="O186">
            <v>11.244073999999999</v>
          </cell>
          <cell r="Q186">
            <v>63.149576798019282</v>
          </cell>
          <cell r="R186">
            <v>81.483935077840343</v>
          </cell>
          <cell r="S186">
            <v>110.31645389820434</v>
          </cell>
          <cell r="T186">
            <v>111.16317684179768</v>
          </cell>
          <cell r="U186">
            <v>99.545697487974337</v>
          </cell>
          <cell r="V186">
            <v>125.18112889964024</v>
          </cell>
          <cell r="W186">
            <v>106.64621676891616</v>
          </cell>
          <cell r="X186">
            <v>48.325358851674643</v>
          </cell>
          <cell r="Y186">
            <v>117.0269753204515</v>
          </cell>
          <cell r="Z186">
            <v>96.833821486258415</v>
          </cell>
          <cell r="AA186">
            <v>106.86274509803921</v>
          </cell>
          <cell r="AB186">
            <v>63.685932388222469</v>
          </cell>
          <cell r="AC186">
            <v>118.85672015090319</v>
          </cell>
          <cell r="AD186">
            <v>106.58331534680632</v>
          </cell>
          <cell r="AF186">
            <v>94.185084909753201</v>
          </cell>
          <cell r="AG186">
            <v>112.72001774885476</v>
          </cell>
        </row>
        <row r="187">
          <cell r="A187">
            <v>40363</v>
          </cell>
          <cell r="B187">
            <v>8.7291720000000002</v>
          </cell>
          <cell r="C187">
            <v>49.2</v>
          </cell>
          <cell r="D187">
            <v>57.471916</v>
          </cell>
          <cell r="E187">
            <v>30.389417999999999</v>
          </cell>
          <cell r="F187">
            <v>74.5</v>
          </cell>
          <cell r="G187">
            <v>1.2928712</v>
          </cell>
          <cell r="H187">
            <v>20.86</v>
          </cell>
          <cell r="I187">
            <v>17.170000000000002</v>
          </cell>
          <cell r="J187">
            <v>30.585000000000001</v>
          </cell>
          <cell r="K187">
            <v>4.4153365999999998</v>
          </cell>
          <cell r="L187">
            <v>2.1800000000000002</v>
          </cell>
          <cell r="M187">
            <v>11.68</v>
          </cell>
          <cell r="N187">
            <v>9.7143820000000005</v>
          </cell>
          <cell r="O187">
            <v>11.244073999999999</v>
          </cell>
          <cell r="Q187">
            <v>63.149576798019282</v>
          </cell>
          <cell r="R187">
            <v>81.483935077840343</v>
          </cell>
          <cell r="S187">
            <v>110.31645389820434</v>
          </cell>
          <cell r="T187">
            <v>111.16317684179768</v>
          </cell>
          <cell r="U187">
            <v>99.545697487974337</v>
          </cell>
          <cell r="V187">
            <v>125.18112889964024</v>
          </cell>
          <cell r="W187">
            <v>106.64621676891616</v>
          </cell>
          <cell r="X187">
            <v>48.325358851674643</v>
          </cell>
          <cell r="Y187">
            <v>117.0269753204515</v>
          </cell>
          <cell r="Z187">
            <v>96.833821486258415</v>
          </cell>
          <cell r="AA187">
            <v>106.86274509803921</v>
          </cell>
          <cell r="AB187">
            <v>63.685932388222469</v>
          </cell>
          <cell r="AC187">
            <v>118.85672015090319</v>
          </cell>
          <cell r="AD187">
            <v>106.58331534680632</v>
          </cell>
          <cell r="AF187">
            <v>94.185084909753201</v>
          </cell>
          <cell r="AG187">
            <v>112.72001774885476</v>
          </cell>
        </row>
        <row r="188">
          <cell r="A188">
            <v>40364</v>
          </cell>
          <cell r="B188">
            <v>8.7291720000000002</v>
          </cell>
          <cell r="C188">
            <v>49.2</v>
          </cell>
          <cell r="D188">
            <v>57.471916</v>
          </cell>
          <cell r="E188">
            <v>30.389417999999999</v>
          </cell>
          <cell r="F188">
            <v>74.5</v>
          </cell>
          <cell r="G188">
            <v>1.2928712</v>
          </cell>
          <cell r="H188">
            <v>20.86</v>
          </cell>
          <cell r="I188">
            <v>17.170000000000002</v>
          </cell>
          <cell r="J188">
            <v>30.585000000000001</v>
          </cell>
          <cell r="K188">
            <v>4.4153365999999998</v>
          </cell>
          <cell r="L188">
            <v>2.1800000000000002</v>
          </cell>
          <cell r="M188">
            <v>11.68</v>
          </cell>
          <cell r="N188">
            <v>9.7143820000000005</v>
          </cell>
          <cell r="O188">
            <v>11.244073999999999</v>
          </cell>
          <cell r="Q188">
            <v>63.149576798019282</v>
          </cell>
          <cell r="R188">
            <v>81.483935077840343</v>
          </cell>
          <cell r="S188">
            <v>110.31645389820434</v>
          </cell>
          <cell r="T188">
            <v>111.16317684179768</v>
          </cell>
          <cell r="U188">
            <v>99.545697487974337</v>
          </cell>
          <cell r="V188">
            <v>125.18112889964024</v>
          </cell>
          <cell r="W188">
            <v>106.64621676891616</v>
          </cell>
          <cell r="X188">
            <v>48.325358851674643</v>
          </cell>
          <cell r="Y188">
            <v>117.0269753204515</v>
          </cell>
          <cell r="Z188">
            <v>96.833821486258415</v>
          </cell>
          <cell r="AA188">
            <v>106.86274509803921</v>
          </cell>
          <cell r="AB188">
            <v>63.685932388222469</v>
          </cell>
          <cell r="AC188">
            <v>118.85672015090319</v>
          </cell>
          <cell r="AD188">
            <v>106.58331534680632</v>
          </cell>
          <cell r="AF188">
            <v>94.185084909753201</v>
          </cell>
          <cell r="AG188">
            <v>112.72001774885476</v>
          </cell>
        </row>
        <row r="189">
          <cell r="A189">
            <v>40365</v>
          </cell>
          <cell r="B189">
            <v>8.7475194999999992</v>
          </cell>
          <cell r="C189">
            <v>48.91</v>
          </cell>
          <cell r="D189">
            <v>57.649410000000003</v>
          </cell>
          <cell r="E189">
            <v>30.826422000000001</v>
          </cell>
          <cell r="F189">
            <v>74.2</v>
          </cell>
          <cell r="G189">
            <v>1.3350171</v>
          </cell>
          <cell r="H189">
            <v>20.69</v>
          </cell>
          <cell r="I189">
            <v>17.07</v>
          </cell>
          <cell r="J189">
            <v>30.975000000000001</v>
          </cell>
          <cell r="K189">
            <v>4.4420999999999999</v>
          </cell>
          <cell r="L189">
            <v>2.17</v>
          </cell>
          <cell r="M189">
            <v>11.82</v>
          </cell>
          <cell r="N189">
            <v>10.143654</v>
          </cell>
          <cell r="O189">
            <v>11.447029000000001</v>
          </cell>
          <cell r="Q189">
            <v>63.282308385883688</v>
          </cell>
          <cell r="R189">
            <v>81.003643590592901</v>
          </cell>
          <cell r="S189">
            <v>110.65715088607244</v>
          </cell>
          <cell r="T189">
            <v>112.76171857538972</v>
          </cell>
          <cell r="U189">
            <v>99.144842330304655</v>
          </cell>
          <cell r="V189">
            <v>129.26186899230481</v>
          </cell>
          <cell r="W189">
            <v>105.77709611451944</v>
          </cell>
          <cell r="X189">
            <v>48.043906557838447</v>
          </cell>
          <cell r="Y189">
            <v>118.51922709010904</v>
          </cell>
          <cell r="Z189">
            <v>97.420776124771223</v>
          </cell>
          <cell r="AA189">
            <v>106.37254901960785</v>
          </cell>
          <cell r="AB189">
            <v>64.449291166848425</v>
          </cell>
          <cell r="AC189">
            <v>124.1089185895294</v>
          </cell>
          <cell r="AD189">
            <v>108.50713911088073</v>
          </cell>
          <cell r="AF189">
            <v>94.724531569520238</v>
          </cell>
          <cell r="AG189">
            <v>116.30802885020506</v>
          </cell>
        </row>
        <row r="190">
          <cell r="A190">
            <v>40366</v>
          </cell>
          <cell r="B190">
            <v>8.8324210000000001</v>
          </cell>
          <cell r="C190">
            <v>49.77</v>
          </cell>
          <cell r="D190">
            <v>56.599452999999997</v>
          </cell>
          <cell r="E190">
            <v>30.648489000000001</v>
          </cell>
          <cell r="F190">
            <v>74.989999999999995</v>
          </cell>
          <cell r="G190">
            <v>1.3063875</v>
          </cell>
          <cell r="H190">
            <v>20.81</v>
          </cell>
          <cell r="I190">
            <v>17.28</v>
          </cell>
          <cell r="J190">
            <v>32.01</v>
          </cell>
          <cell r="K190">
            <v>4.4548363999999996</v>
          </cell>
          <cell r="L190">
            <v>2.12</v>
          </cell>
          <cell r="M190">
            <v>12.05</v>
          </cell>
          <cell r="N190">
            <v>9.7186140000000005</v>
          </cell>
          <cell r="O190">
            <v>11.764042</v>
          </cell>
          <cell r="Q190">
            <v>63.896512550324161</v>
          </cell>
          <cell r="R190">
            <v>82.42795627691288</v>
          </cell>
          <cell r="S190">
            <v>108.64177466326481</v>
          </cell>
          <cell r="T190">
            <v>112.11084735617153</v>
          </cell>
          <cell r="U190">
            <v>100.20042757883483</v>
          </cell>
          <cell r="V190">
            <v>126.48983288542493</v>
          </cell>
          <cell r="W190">
            <v>106.39059304703477</v>
          </cell>
          <cell r="X190">
            <v>48.634956374894458</v>
          </cell>
          <cell r="Y190">
            <v>122.47943370958482</v>
          </cell>
          <cell r="Z190">
            <v>97.700101212688097</v>
          </cell>
          <cell r="AA190">
            <v>103.92156862745099</v>
          </cell>
          <cell r="AB190">
            <v>65.703380588876783</v>
          </cell>
          <cell r="AC190">
            <v>118.90849921823641</v>
          </cell>
          <cell r="AD190">
            <v>111.51212614209707</v>
          </cell>
          <cell r="AF190">
            <v>94.883115405955252</v>
          </cell>
          <cell r="AG190">
            <v>115.21031268016674</v>
          </cell>
        </row>
        <row r="191">
          <cell r="A191">
            <v>40367</v>
          </cell>
          <cell r="B191">
            <v>9.0875199999999996</v>
          </cell>
          <cell r="C191">
            <v>49.88</v>
          </cell>
          <cell r="D191">
            <v>56.458897</v>
          </cell>
          <cell r="E191">
            <v>30.171634999999998</v>
          </cell>
          <cell r="F191">
            <v>75.62</v>
          </cell>
          <cell r="G191">
            <v>1.2876156999999999</v>
          </cell>
          <cell r="H191">
            <v>21.19</v>
          </cell>
          <cell r="I191">
            <v>17.03</v>
          </cell>
          <cell r="J191">
            <v>32.5</v>
          </cell>
          <cell r="K191">
            <v>4.5874499999999996</v>
          </cell>
          <cell r="L191">
            <v>2.21</v>
          </cell>
          <cell r="M191">
            <v>12.13</v>
          </cell>
          <cell r="N191">
            <v>9.6115790000000008</v>
          </cell>
          <cell r="O191">
            <v>12.099282000000001</v>
          </cell>
          <cell r="Q191">
            <v>65.741978980771151</v>
          </cell>
          <cell r="R191">
            <v>82.610135806558461</v>
          </cell>
          <cell r="S191">
            <v>108.3719795951116</v>
          </cell>
          <cell r="T191">
            <v>110.36653604590822</v>
          </cell>
          <cell r="U191">
            <v>101.0422234099412</v>
          </cell>
          <cell r="V191">
            <v>124.67226968541065</v>
          </cell>
          <cell r="W191">
            <v>108.33333333333334</v>
          </cell>
          <cell r="X191">
            <v>47.931325640303967</v>
          </cell>
          <cell r="Y191">
            <v>124.35431413812894</v>
          </cell>
          <cell r="Z191">
            <v>100.60848234699394</v>
          </cell>
          <cell r="AA191">
            <v>108.33333333333333</v>
          </cell>
          <cell r="AB191">
            <v>66.139585605234458</v>
          </cell>
          <cell r="AC191">
            <v>117.59891215018084</v>
          </cell>
          <cell r="AD191">
            <v>114.68988810247403</v>
          </cell>
          <cell r="AF191">
            <v>95.708791493419099</v>
          </cell>
          <cell r="AG191">
            <v>116.14440012632744</v>
          </cell>
        </row>
        <row r="192">
          <cell r="A192">
            <v>40368</v>
          </cell>
          <cell r="B192">
            <v>9.2034230000000008</v>
          </cell>
          <cell r="C192">
            <v>49.73</v>
          </cell>
          <cell r="D192">
            <v>56.280726999999999</v>
          </cell>
          <cell r="E192">
            <v>29.575635999999999</v>
          </cell>
          <cell r="F192">
            <v>74.33</v>
          </cell>
          <cell r="G192">
            <v>1.302413</v>
          </cell>
          <cell r="H192">
            <v>21.43</v>
          </cell>
          <cell r="I192">
            <v>17.03</v>
          </cell>
          <cell r="J192">
            <v>32.465000000000003</v>
          </cell>
          <cell r="K192">
            <v>4.6192083000000004</v>
          </cell>
          <cell r="L192">
            <v>2.2000000000000002</v>
          </cell>
          <cell r="M192">
            <v>12.21</v>
          </cell>
          <cell r="N192">
            <v>9.6549759999999996</v>
          </cell>
          <cell r="O192">
            <v>12.153911000000001</v>
          </cell>
          <cell r="Q192">
            <v>66.580457750535444</v>
          </cell>
          <cell r="R192">
            <v>82.361709175223581</v>
          </cell>
          <cell r="S192">
            <v>108.02998503569856</v>
          </cell>
          <cell r="T192">
            <v>108.18639747811683</v>
          </cell>
          <cell r="U192">
            <v>99.31854623196152</v>
          </cell>
          <cell r="V192">
            <v>126.10500538148514</v>
          </cell>
          <cell r="W192">
            <v>109.56032719836402</v>
          </cell>
          <cell r="X192">
            <v>47.931325640303967</v>
          </cell>
          <cell r="Y192">
            <v>124.22039410751866</v>
          </cell>
          <cell r="Z192">
            <v>101.30498135296034</v>
          </cell>
          <cell r="AA192">
            <v>107.84313725490198</v>
          </cell>
          <cell r="AB192">
            <v>66.575790621592162</v>
          </cell>
          <cell r="AC192">
            <v>118.12988005780363</v>
          </cell>
          <cell r="AD192">
            <v>115.2077199785432</v>
          </cell>
          <cell r="AF192">
            <v>95.668171435721845</v>
          </cell>
          <cell r="AG192">
            <v>116.66880001817341</v>
          </cell>
        </row>
        <row r="193">
          <cell r="A193">
            <v>40369</v>
          </cell>
          <cell r="B193">
            <v>9.2034230000000008</v>
          </cell>
          <cell r="C193">
            <v>49.73</v>
          </cell>
          <cell r="D193">
            <v>56.280726999999999</v>
          </cell>
          <cell r="E193">
            <v>29.575635999999999</v>
          </cell>
          <cell r="F193">
            <v>74.33</v>
          </cell>
          <cell r="G193">
            <v>1.302413</v>
          </cell>
          <cell r="H193">
            <v>21.43</v>
          </cell>
          <cell r="I193">
            <v>17.03</v>
          </cell>
          <cell r="J193">
            <v>32.465000000000003</v>
          </cell>
          <cell r="K193">
            <v>4.6192083000000004</v>
          </cell>
          <cell r="L193">
            <v>2.2000000000000002</v>
          </cell>
          <cell r="M193">
            <v>12.21</v>
          </cell>
          <cell r="N193">
            <v>9.6549759999999996</v>
          </cell>
          <cell r="O193">
            <v>12.153911000000001</v>
          </cell>
          <cell r="Q193">
            <v>66.580457750535444</v>
          </cell>
          <cell r="R193">
            <v>82.361709175223581</v>
          </cell>
          <cell r="S193">
            <v>108.02998503569856</v>
          </cell>
          <cell r="T193">
            <v>108.18639747811683</v>
          </cell>
          <cell r="U193">
            <v>99.31854623196152</v>
          </cell>
          <cell r="V193">
            <v>126.10500538148514</v>
          </cell>
          <cell r="W193">
            <v>109.56032719836402</v>
          </cell>
          <cell r="X193">
            <v>47.931325640303967</v>
          </cell>
          <cell r="Y193">
            <v>124.22039410751866</v>
          </cell>
          <cell r="Z193">
            <v>101.30498135296034</v>
          </cell>
          <cell r="AA193">
            <v>107.84313725490198</v>
          </cell>
          <cell r="AB193">
            <v>66.575790621592162</v>
          </cell>
          <cell r="AC193">
            <v>118.12988005780363</v>
          </cell>
          <cell r="AD193">
            <v>115.2077199785432</v>
          </cell>
          <cell r="AF193">
            <v>95.668171435721845</v>
          </cell>
          <cell r="AG193">
            <v>116.66880001817341</v>
          </cell>
        </row>
        <row r="194">
          <cell r="A194">
            <v>40370</v>
          </cell>
          <cell r="B194">
            <v>9.2034230000000008</v>
          </cell>
          <cell r="C194">
            <v>49.73</v>
          </cell>
          <cell r="D194">
            <v>56.280726999999999</v>
          </cell>
          <cell r="E194">
            <v>29.575635999999999</v>
          </cell>
          <cell r="F194">
            <v>74.33</v>
          </cell>
          <cell r="G194">
            <v>1.302413</v>
          </cell>
          <cell r="H194">
            <v>21.43</v>
          </cell>
          <cell r="I194">
            <v>17.03</v>
          </cell>
          <cell r="J194">
            <v>32.465000000000003</v>
          </cell>
          <cell r="K194">
            <v>4.6192083000000004</v>
          </cell>
          <cell r="L194">
            <v>2.2000000000000002</v>
          </cell>
          <cell r="M194">
            <v>12.21</v>
          </cell>
          <cell r="N194">
            <v>9.6549759999999996</v>
          </cell>
          <cell r="O194">
            <v>12.153911000000001</v>
          </cell>
          <cell r="Q194">
            <v>66.580457750535444</v>
          </cell>
          <cell r="R194">
            <v>82.361709175223581</v>
          </cell>
          <cell r="S194">
            <v>108.02998503569856</v>
          </cell>
          <cell r="T194">
            <v>108.18639747811683</v>
          </cell>
          <cell r="U194">
            <v>99.31854623196152</v>
          </cell>
          <cell r="V194">
            <v>126.10500538148514</v>
          </cell>
          <cell r="W194">
            <v>109.56032719836402</v>
          </cell>
          <cell r="X194">
            <v>47.931325640303967</v>
          </cell>
          <cell r="Y194">
            <v>124.22039410751866</v>
          </cell>
          <cell r="Z194">
            <v>101.30498135296034</v>
          </cell>
          <cell r="AA194">
            <v>107.84313725490198</v>
          </cell>
          <cell r="AB194">
            <v>66.575790621592162</v>
          </cell>
          <cell r="AC194">
            <v>118.12988005780363</v>
          </cell>
          <cell r="AD194">
            <v>115.2077199785432</v>
          </cell>
          <cell r="AF194">
            <v>95.668171435721845</v>
          </cell>
          <cell r="AG194">
            <v>116.66880001817341</v>
          </cell>
        </row>
        <row r="195">
          <cell r="A195">
            <v>40371</v>
          </cell>
          <cell r="B195">
            <v>9.1513030000000004</v>
          </cell>
          <cell r="C195">
            <v>49.47</v>
          </cell>
          <cell r="D195">
            <v>56.594180000000001</v>
          </cell>
          <cell r="E195">
            <v>29.166899999999998</v>
          </cell>
          <cell r="F195">
            <v>74.87</v>
          </cell>
          <cell r="G195">
            <v>1.2946154000000001</v>
          </cell>
          <cell r="H195">
            <v>21.44</v>
          </cell>
          <cell r="I195">
            <v>16.93</v>
          </cell>
          <cell r="J195">
            <v>32.674999999999997</v>
          </cell>
          <cell r="K195">
            <v>4.6761670000000004</v>
          </cell>
          <cell r="L195">
            <v>2.14</v>
          </cell>
          <cell r="M195">
            <v>12.67</v>
          </cell>
          <cell r="N195">
            <v>9.5283999999999995</v>
          </cell>
          <cell r="O195">
            <v>11.456769</v>
          </cell>
          <cell r="Q195">
            <v>66.203405271478701</v>
          </cell>
          <cell r="R195">
            <v>81.931103014243121</v>
          </cell>
          <cell r="S195">
            <v>108.63165322131734</v>
          </cell>
          <cell r="T195">
            <v>106.69125886606415</v>
          </cell>
          <cell r="U195">
            <v>100.04008551576698</v>
          </cell>
          <cell r="V195">
            <v>125.35000954685923</v>
          </cell>
          <cell r="W195">
            <v>109.61145194274029</v>
          </cell>
          <cell r="X195">
            <v>47.649873346467771</v>
          </cell>
          <cell r="Y195">
            <v>125.02391429118038</v>
          </cell>
          <cell r="Z195">
            <v>102.55415646406951</v>
          </cell>
          <cell r="AA195">
            <v>104.90196078431373</v>
          </cell>
          <cell r="AB195">
            <v>69.083969465648849</v>
          </cell>
          <cell r="AC195">
            <v>116.58120632747054</v>
          </cell>
          <cell r="AD195">
            <v>108.59946521007554</v>
          </cell>
          <cell r="AF195">
            <v>95.639403477512488</v>
          </cell>
          <cell r="AG195">
            <v>112.59033576877303</v>
          </cell>
        </row>
        <row r="196">
          <cell r="A196">
            <v>40372</v>
          </cell>
          <cell r="B196">
            <v>9.2493759999999998</v>
          </cell>
          <cell r="C196">
            <v>50.51</v>
          </cell>
          <cell r="D196">
            <v>57.220706999999997</v>
          </cell>
          <cell r="E196">
            <v>29.473206000000001</v>
          </cell>
          <cell r="F196">
            <v>75.84</v>
          </cell>
          <cell r="G196">
            <v>1.2922897</v>
          </cell>
          <cell r="H196">
            <v>21.95</v>
          </cell>
          <cell r="I196">
            <v>17.3</v>
          </cell>
          <cell r="J196">
            <v>33.115000000000002</v>
          </cell>
          <cell r="K196">
            <v>4.7124430000000004</v>
          </cell>
          <cell r="L196">
            <v>2.02</v>
          </cell>
          <cell r="M196">
            <v>13.27</v>
          </cell>
          <cell r="N196">
            <v>9.5909569999999995</v>
          </cell>
          <cell r="O196">
            <v>11.703251</v>
          </cell>
          <cell r="Q196">
            <v>66.912896211204952</v>
          </cell>
          <cell r="R196">
            <v>83.653527658164947</v>
          </cell>
          <cell r="S196">
            <v>109.83426210791647</v>
          </cell>
          <cell r="T196">
            <v>107.81171296774204</v>
          </cell>
          <cell r="U196">
            <v>101.33618385889898</v>
          </cell>
          <cell r="V196">
            <v>125.12482566815429</v>
          </cell>
          <cell r="W196">
            <v>112.21881390593047</v>
          </cell>
          <cell r="X196">
            <v>48.691246833661694</v>
          </cell>
          <cell r="Y196">
            <v>126.70748039028123</v>
          </cell>
          <cell r="Z196">
            <v>103.34973424815861</v>
          </cell>
          <cell r="AA196">
            <v>99.019607843137265</v>
          </cell>
          <cell r="AB196">
            <v>72.355507088331521</v>
          </cell>
          <cell r="AC196">
            <v>117.34659931309537</v>
          </cell>
          <cell r="AD196">
            <v>110.93588426364202</v>
          </cell>
          <cell r="AF196">
            <v>96.41798323179853</v>
          </cell>
          <cell r="AG196">
            <v>114.14124178836869</v>
          </cell>
        </row>
        <row r="197">
          <cell r="A197">
            <v>40373</v>
          </cell>
          <cell r="B197">
            <v>9.1785189999999997</v>
          </cell>
          <cell r="C197">
            <v>50.6</v>
          </cell>
          <cell r="D197">
            <v>57.310805999999999</v>
          </cell>
          <cell r="E197">
            <v>29.254508999999999</v>
          </cell>
          <cell r="F197">
            <v>76.290000000000006</v>
          </cell>
          <cell r="G197">
            <v>1.3166987000000001</v>
          </cell>
          <cell r="H197">
            <v>22.04</v>
          </cell>
          <cell r="I197">
            <v>17.920000000000002</v>
          </cell>
          <cell r="J197">
            <v>33.405000000000001</v>
          </cell>
          <cell r="K197">
            <v>4.8187230000000003</v>
          </cell>
          <cell r="L197">
            <v>2.15</v>
          </cell>
          <cell r="M197">
            <v>13.07</v>
          </cell>
          <cell r="N197">
            <v>9.6034000000000006</v>
          </cell>
          <cell r="O197">
            <v>11.331445</v>
          </cell>
          <cell r="Q197">
            <v>66.400294378731346</v>
          </cell>
          <cell r="R197">
            <v>83.802583636965878</v>
          </cell>
          <cell r="S197">
            <v>110.00720574494042</v>
          </cell>
          <cell r="T197">
            <v>107.01172879937886</v>
          </cell>
          <cell r="U197">
            <v>101.93746659540352</v>
          </cell>
          <cell r="V197">
            <v>127.48820585274756</v>
          </cell>
          <cell r="W197">
            <v>112.67893660531698</v>
          </cell>
          <cell r="X197">
            <v>50.4362510554461</v>
          </cell>
          <cell r="Y197">
            <v>127.81710350105222</v>
          </cell>
          <cell r="Z197">
            <v>105.68058679234731</v>
          </cell>
          <cell r="AA197">
            <v>105.3921568627451</v>
          </cell>
          <cell r="AB197">
            <v>71.264994547437297</v>
          </cell>
          <cell r="AC197">
            <v>117.49884102737403</v>
          </cell>
          <cell r="AD197">
            <v>107.41151078959386</v>
          </cell>
          <cell r="AF197">
            <v>97.493126197709373</v>
          </cell>
          <cell r="AG197">
            <v>112.45517590848394</v>
          </cell>
        </row>
        <row r="198">
          <cell r="A198">
            <v>40374</v>
          </cell>
          <cell r="B198">
            <v>9.0914169999999999</v>
          </cell>
          <cell r="C198">
            <v>50.7</v>
          </cell>
          <cell r="D198">
            <v>56.260722999999999</v>
          </cell>
          <cell r="E198">
            <v>29.228131999999999</v>
          </cell>
          <cell r="F198">
            <v>76.58</v>
          </cell>
          <cell r="G198">
            <v>1.3019128</v>
          </cell>
          <cell r="H198">
            <v>21.35</v>
          </cell>
          <cell r="I198">
            <v>18.149999999999999</v>
          </cell>
          <cell r="J198">
            <v>33.42</v>
          </cell>
          <cell r="K198">
            <v>4.7475452000000002</v>
          </cell>
          <cell r="L198">
            <v>2.14</v>
          </cell>
          <cell r="M198">
            <v>13.08</v>
          </cell>
          <cell r="N198">
            <v>9.6139720000000004</v>
          </cell>
          <cell r="O198">
            <v>11.303905500000001</v>
          </cell>
          <cell r="Q198">
            <v>65.770171104924728</v>
          </cell>
          <cell r="R198">
            <v>83.96820139118914</v>
          </cell>
          <cell r="S198">
            <v>107.99158766708152</v>
          </cell>
          <cell r="T198">
            <v>106.91524287406247</v>
          </cell>
          <cell r="U198">
            <v>102.32495991448423</v>
          </cell>
          <cell r="V198">
            <v>126.05657395175294</v>
          </cell>
          <cell r="W198">
            <v>109.1513292433538</v>
          </cell>
          <cell r="X198">
            <v>51.083591331269339</v>
          </cell>
          <cell r="Y198">
            <v>127.87449779988521</v>
          </cell>
          <cell r="Z198">
            <v>104.11956913879297</v>
          </cell>
          <cell r="AA198">
            <v>104.90196078431373</v>
          </cell>
          <cell r="AB198">
            <v>71.319520174482008</v>
          </cell>
          <cell r="AC198">
            <v>117.62819081467242</v>
          </cell>
          <cell r="AD198">
            <v>107.15046206179349</v>
          </cell>
          <cell r="AF198">
            <v>96.789767114632681</v>
          </cell>
          <cell r="AG198">
            <v>112.38932643823296</v>
          </cell>
        </row>
        <row r="199">
          <cell r="A199">
            <v>40375</v>
          </cell>
          <cell r="B199">
            <v>8.9395199999999999</v>
          </cell>
          <cell r="C199">
            <v>49.29</v>
          </cell>
          <cell r="D199">
            <v>56.124516</v>
          </cell>
          <cell r="E199">
            <v>29.508766000000001</v>
          </cell>
          <cell r="F199">
            <v>75.03</v>
          </cell>
          <cell r="G199">
            <v>1.3092337000000001</v>
          </cell>
          <cell r="H199">
            <v>20.8</v>
          </cell>
          <cell r="I199">
            <v>17.64</v>
          </cell>
          <cell r="J199">
            <v>33.229999999999997</v>
          </cell>
          <cell r="K199">
            <v>4.7141999999999999</v>
          </cell>
          <cell r="L199">
            <v>2.09</v>
          </cell>
          <cell r="M199">
            <v>12.15</v>
          </cell>
          <cell r="N199">
            <v>9.5031909999999993</v>
          </cell>
          <cell r="O199">
            <v>11.24638</v>
          </cell>
          <cell r="Q199">
            <v>64.671300413994501</v>
          </cell>
          <cell r="R199">
            <v>81.632991056641274</v>
          </cell>
          <cell r="S199">
            <v>107.73014043716644</v>
          </cell>
          <cell r="T199">
            <v>107.94178990993599</v>
          </cell>
          <cell r="U199">
            <v>100.2538749331908</v>
          </cell>
          <cell r="V199">
            <v>126.76541372369725</v>
          </cell>
          <cell r="W199">
            <v>106.3394683026585</v>
          </cell>
          <cell r="X199">
            <v>49.648184632704755</v>
          </cell>
          <cell r="Y199">
            <v>127.14750334800075</v>
          </cell>
          <cell r="Z199">
            <v>103.38826744274026</v>
          </cell>
          <cell r="AA199">
            <v>102.45098039215685</v>
          </cell>
          <cell r="AB199">
            <v>66.248636859323881</v>
          </cell>
          <cell r="AC199">
            <v>116.27277095213897</v>
          </cell>
          <cell r="AD199">
            <v>106.60517407213929</v>
          </cell>
          <cell r="AF199">
            <v>95.351545954350925</v>
          </cell>
          <cell r="AG199">
            <v>111.43897251213913</v>
          </cell>
        </row>
        <row r="200">
          <cell r="A200">
            <v>40376</v>
          </cell>
          <cell r="B200">
            <v>8.9395199999999999</v>
          </cell>
          <cell r="C200">
            <v>49.29</v>
          </cell>
          <cell r="D200">
            <v>56.124516</v>
          </cell>
          <cell r="E200">
            <v>29.508766000000001</v>
          </cell>
          <cell r="F200">
            <v>75.03</v>
          </cell>
          <cell r="G200">
            <v>1.3092337000000001</v>
          </cell>
          <cell r="H200">
            <v>20.8</v>
          </cell>
          <cell r="I200">
            <v>17.64</v>
          </cell>
          <cell r="J200">
            <v>33.229999999999997</v>
          </cell>
          <cell r="K200">
            <v>4.7141999999999999</v>
          </cell>
          <cell r="L200">
            <v>2.09</v>
          </cell>
          <cell r="M200">
            <v>12.15</v>
          </cell>
          <cell r="N200">
            <v>9.5031909999999993</v>
          </cell>
          <cell r="O200">
            <v>11.24638</v>
          </cell>
          <cell r="Q200">
            <v>64.671300413994501</v>
          </cell>
          <cell r="R200">
            <v>81.632991056641274</v>
          </cell>
          <cell r="S200">
            <v>107.73014043716644</v>
          </cell>
          <cell r="T200">
            <v>107.94178990993599</v>
          </cell>
          <cell r="U200">
            <v>100.2538749331908</v>
          </cell>
          <cell r="V200">
            <v>126.76541372369725</v>
          </cell>
          <cell r="W200">
            <v>106.3394683026585</v>
          </cell>
          <cell r="X200">
            <v>49.648184632704755</v>
          </cell>
          <cell r="Y200">
            <v>127.14750334800075</v>
          </cell>
          <cell r="Z200">
            <v>103.38826744274026</v>
          </cell>
          <cell r="AA200">
            <v>102.45098039215685</v>
          </cell>
          <cell r="AB200">
            <v>66.248636859323881</v>
          </cell>
          <cell r="AC200">
            <v>116.27277095213897</v>
          </cell>
          <cell r="AD200">
            <v>106.60517407213929</v>
          </cell>
          <cell r="AF200">
            <v>95.351545954350925</v>
          </cell>
          <cell r="AG200">
            <v>111.43897251213913</v>
          </cell>
        </row>
        <row r="201">
          <cell r="A201">
            <v>40377</v>
          </cell>
          <cell r="B201">
            <v>8.9395199999999999</v>
          </cell>
          <cell r="C201">
            <v>49.29</v>
          </cell>
          <cell r="D201">
            <v>56.124516</v>
          </cell>
          <cell r="E201">
            <v>29.508766000000001</v>
          </cell>
          <cell r="F201">
            <v>75.03</v>
          </cell>
          <cell r="G201">
            <v>1.3092337000000001</v>
          </cell>
          <cell r="H201">
            <v>20.8</v>
          </cell>
          <cell r="I201">
            <v>17.64</v>
          </cell>
          <cell r="J201">
            <v>33.229999999999997</v>
          </cell>
          <cell r="K201">
            <v>4.7141999999999999</v>
          </cell>
          <cell r="L201">
            <v>2.09</v>
          </cell>
          <cell r="M201">
            <v>12.15</v>
          </cell>
          <cell r="N201">
            <v>9.5031909999999993</v>
          </cell>
          <cell r="O201">
            <v>11.24638</v>
          </cell>
          <cell r="Q201">
            <v>64.671300413994501</v>
          </cell>
          <cell r="R201">
            <v>81.632991056641274</v>
          </cell>
          <cell r="S201">
            <v>107.73014043716644</v>
          </cell>
          <cell r="T201">
            <v>107.94178990993599</v>
          </cell>
          <cell r="U201">
            <v>100.2538749331908</v>
          </cell>
          <cell r="V201">
            <v>126.76541372369725</v>
          </cell>
          <cell r="W201">
            <v>106.3394683026585</v>
          </cell>
          <cell r="X201">
            <v>49.648184632704755</v>
          </cell>
          <cell r="Y201">
            <v>127.14750334800075</v>
          </cell>
          <cell r="Z201">
            <v>103.38826744274026</v>
          </cell>
          <cell r="AA201">
            <v>102.45098039215685</v>
          </cell>
          <cell r="AB201">
            <v>66.248636859323881</v>
          </cell>
          <cell r="AC201">
            <v>116.27277095213897</v>
          </cell>
          <cell r="AD201">
            <v>106.60517407213929</v>
          </cell>
          <cell r="AF201">
            <v>95.351545954350925</v>
          </cell>
          <cell r="AG201">
            <v>111.43897251213913</v>
          </cell>
        </row>
        <row r="202">
          <cell r="A202">
            <v>40378</v>
          </cell>
          <cell r="B202">
            <v>8.8709439999999997</v>
          </cell>
          <cell r="C202">
            <v>49.42</v>
          </cell>
          <cell r="D202">
            <v>55.956153999999998</v>
          </cell>
          <cell r="E202">
            <v>29.420245999999999</v>
          </cell>
          <cell r="F202">
            <v>75.27</v>
          </cell>
          <cell r="G202">
            <v>1.3060039000000001</v>
          </cell>
          <cell r="H202">
            <v>20.69</v>
          </cell>
          <cell r="I202">
            <v>16.97</v>
          </cell>
          <cell r="J202">
            <v>32.354999999999997</v>
          </cell>
          <cell r="K202">
            <v>5.1508713000000004</v>
          </cell>
          <cell r="L202">
            <v>2.04</v>
          </cell>
          <cell r="M202">
            <v>12</v>
          </cell>
          <cell r="N202">
            <v>9.4408340000000006</v>
          </cell>
          <cell r="O202">
            <v>11.211340999999999</v>
          </cell>
          <cell r="Q202">
            <v>64.175200053215619</v>
          </cell>
          <cell r="R202">
            <v>81.848294137131504</v>
          </cell>
          <cell r="S202">
            <v>107.40697218206232</v>
          </cell>
          <cell r="T202">
            <v>107.61798757801782</v>
          </cell>
          <cell r="U202">
            <v>100.57455905932655</v>
          </cell>
          <cell r="V202">
            <v>126.45269114922885</v>
          </cell>
          <cell r="W202">
            <v>105.77709611451944</v>
          </cell>
          <cell r="X202">
            <v>47.762454264002244</v>
          </cell>
          <cell r="Y202">
            <v>123.79950258274344</v>
          </cell>
          <cell r="Z202">
            <v>112.96501199090731</v>
          </cell>
          <cell r="AA202">
            <v>100</v>
          </cell>
          <cell r="AB202">
            <v>65.430752453653213</v>
          </cell>
          <cell r="AC202">
            <v>115.50982499238059</v>
          </cell>
          <cell r="AD202">
            <v>106.27303709167859</v>
          </cell>
          <cell r="AF202">
            <v>95.317543463734026</v>
          </cell>
          <cell r="AG202">
            <v>110.89143104202958</v>
          </cell>
        </row>
        <row r="203">
          <cell r="A203">
            <v>40379</v>
          </cell>
          <cell r="B203">
            <v>8.7862790000000004</v>
          </cell>
          <cell r="C203">
            <v>49.95</v>
          </cell>
          <cell r="D203">
            <v>56.940936999999998</v>
          </cell>
          <cell r="E203">
            <v>30.360838000000001</v>
          </cell>
          <cell r="F203">
            <v>76.8</v>
          </cell>
          <cell r="G203">
            <v>1.3316353999999999</v>
          </cell>
          <cell r="H203">
            <v>21.29</v>
          </cell>
          <cell r="I203">
            <v>17.5</v>
          </cell>
          <cell r="J203">
            <v>32.33</v>
          </cell>
          <cell r="K203">
            <v>5.1946792999999998</v>
          </cell>
          <cell r="L203">
            <v>2</v>
          </cell>
          <cell r="M203">
            <v>12.23</v>
          </cell>
          <cell r="N203">
            <v>9.4895840000000007</v>
          </cell>
          <cell r="O203">
            <v>11.230276999999999</v>
          </cell>
          <cell r="Q203">
            <v>63.56270680418762</v>
          </cell>
          <cell r="R203">
            <v>82.726068234514742</v>
          </cell>
          <cell r="S203">
            <v>109.2972479198546</v>
          </cell>
          <cell r="T203">
            <v>111.05863243775092</v>
          </cell>
          <cell r="U203">
            <v>102.618920363442</v>
          </cell>
          <cell r="V203">
            <v>128.93443883251788</v>
          </cell>
          <cell r="W203">
            <v>108.84458077709611</v>
          </cell>
          <cell r="X203">
            <v>49.254151421334079</v>
          </cell>
          <cell r="Y203">
            <v>123.7038454180218</v>
          </cell>
          <cell r="Z203">
            <v>113.92577589997597</v>
          </cell>
          <cell r="AA203">
            <v>98.039215686274503</v>
          </cell>
          <cell r="AB203">
            <v>66.68484187568157</v>
          </cell>
          <cell r="AC203">
            <v>116.10628754731785</v>
          </cell>
          <cell r="AD203">
            <v>106.4525326783678</v>
          </cell>
          <cell r="AF203">
            <v>96.55420213922099</v>
          </cell>
          <cell r="AG203">
            <v>111.27941011284283</v>
          </cell>
        </row>
        <row r="204">
          <cell r="A204">
            <v>40380</v>
          </cell>
          <cell r="B204">
            <v>8.9704484999999998</v>
          </cell>
          <cell r="C204">
            <v>46.7</v>
          </cell>
          <cell r="D204">
            <v>56.77908</v>
          </cell>
          <cell r="E204">
            <v>30.282174999999999</v>
          </cell>
          <cell r="F204">
            <v>75.95</v>
          </cell>
          <cell r="G204">
            <v>1.3462379</v>
          </cell>
          <cell r="H204">
            <v>20.88</v>
          </cell>
          <cell r="I204">
            <v>16.98</v>
          </cell>
          <cell r="J204">
            <v>31.594999999999999</v>
          </cell>
          <cell r="K204">
            <v>5.2305564999999996</v>
          </cell>
          <cell r="L204">
            <v>2</v>
          </cell>
          <cell r="M204">
            <v>11.96</v>
          </cell>
          <cell r="N204">
            <v>9.5495649999999994</v>
          </cell>
          <cell r="O204">
            <v>11.166512000000001</v>
          </cell>
          <cell r="Q204">
            <v>64.895046914349592</v>
          </cell>
          <cell r="R204">
            <v>77.343491222259033</v>
          </cell>
          <cell r="S204">
            <v>108.98656591164382</v>
          </cell>
          <cell r="T204">
            <v>110.77088658556293</v>
          </cell>
          <cell r="U204">
            <v>101.48316408337787</v>
          </cell>
          <cell r="V204">
            <v>130.3483131881049</v>
          </cell>
          <cell r="W204">
            <v>106.74846625766872</v>
          </cell>
          <cell r="X204">
            <v>47.790599493385869</v>
          </cell>
          <cell r="Y204">
            <v>120.89152477520567</v>
          </cell>
          <cell r="Z204">
            <v>114.71260750421352</v>
          </cell>
          <cell r="AA204">
            <v>98.039215686274503</v>
          </cell>
          <cell r="AB204">
            <v>65.212649945474382</v>
          </cell>
          <cell r="AC204">
            <v>116.84016283978329</v>
          </cell>
          <cell r="AD204">
            <v>105.84810005874179</v>
          </cell>
          <cell r="AF204">
            <v>95.601877630626745</v>
          </cell>
          <cell r="AG204">
            <v>111.34413144926253</v>
          </cell>
        </row>
        <row r="205">
          <cell r="A205">
            <v>40381</v>
          </cell>
          <cell r="B205">
            <v>8.8689640000000001</v>
          </cell>
          <cell r="C205">
            <v>44.56</v>
          </cell>
          <cell r="D205">
            <v>56.279792999999998</v>
          </cell>
          <cell r="E205">
            <v>29.610061999999999</v>
          </cell>
          <cell r="F205">
            <v>72.239999999999995</v>
          </cell>
          <cell r="G205">
            <v>1.3545004</v>
          </cell>
          <cell r="H205">
            <v>20.93</v>
          </cell>
          <cell r="I205">
            <v>17.100000000000001</v>
          </cell>
          <cell r="J205">
            <v>32.145000000000003</v>
          </cell>
          <cell r="K205">
            <v>5.3178099999999997</v>
          </cell>
          <cell r="L205">
            <v>1.96</v>
          </cell>
          <cell r="M205">
            <v>12.44</v>
          </cell>
          <cell r="N205">
            <v>9.7076360000000008</v>
          </cell>
          <cell r="O205">
            <v>11.4618225</v>
          </cell>
          <cell r="Q205">
            <v>64.160876110227662</v>
          </cell>
          <cell r="R205">
            <v>73.799271281881417</v>
          </cell>
          <cell r="S205">
            <v>108.02819223714386</v>
          </cell>
          <cell r="T205">
            <v>108.31232629735106</v>
          </cell>
          <cell r="U205">
            <v>96.525921966862626</v>
          </cell>
          <cell r="V205">
            <v>131.14832256068064</v>
          </cell>
          <cell r="W205">
            <v>107.00408997955012</v>
          </cell>
          <cell r="X205">
            <v>48.128342245989309</v>
          </cell>
          <cell r="Y205">
            <v>122.9959823990817</v>
          </cell>
          <cell r="Z205">
            <v>116.62618524663327</v>
          </cell>
          <cell r="AA205">
            <v>96.078431372549005</v>
          </cell>
          <cell r="AB205">
            <v>67.829880043620491</v>
          </cell>
          <cell r="AC205">
            <v>118.77418196842922</v>
          </cell>
          <cell r="AD205">
            <v>108.64736766821528</v>
          </cell>
          <cell r="AF205">
            <v>95.053151811797591</v>
          </cell>
          <cell r="AG205">
            <v>113.71077481832225</v>
          </cell>
        </row>
        <row r="206">
          <cell r="A206">
            <v>40382</v>
          </cell>
          <cell r="B206">
            <v>9.0030819999999991</v>
          </cell>
          <cell r="C206">
            <v>44.71</v>
          </cell>
          <cell r="D206">
            <v>57.509450000000001</v>
          </cell>
          <cell r="E206">
            <v>29.76286</v>
          </cell>
          <cell r="F206">
            <v>72.959999999999994</v>
          </cell>
          <cell r="G206">
            <v>1.3332362</v>
          </cell>
          <cell r="H206">
            <v>21.03</v>
          </cell>
          <cell r="I206">
            <v>17.52</v>
          </cell>
          <cell r="J206">
            <v>32.840000000000003</v>
          </cell>
          <cell r="K206">
            <v>5.355359</v>
          </cell>
          <cell r="L206">
            <v>1.99</v>
          </cell>
          <cell r="M206">
            <v>13.16</v>
          </cell>
          <cell r="N206">
            <v>9.6208430000000007</v>
          </cell>
          <cell r="O206">
            <v>11.363379</v>
          </cell>
          <cell r="Q206">
            <v>65.13112792116651</v>
          </cell>
          <cell r="R206">
            <v>74.047697913216297</v>
          </cell>
          <cell r="S206">
            <v>110.38849983070148</v>
          </cell>
          <cell r="T206">
            <v>108.87125477354212</v>
          </cell>
          <cell r="U206">
            <v>97.487974345269905</v>
          </cell>
          <cell r="V206">
            <v>129.08943489952173</v>
          </cell>
          <cell r="W206">
            <v>107.5153374233129</v>
          </cell>
          <cell r="X206">
            <v>49.310441880101322</v>
          </cell>
          <cell r="Y206">
            <v>125.65525157834323</v>
          </cell>
          <cell r="Z206">
            <v>117.44968150351831</v>
          </cell>
          <cell r="AA206">
            <v>97.549019607843135</v>
          </cell>
          <cell r="AB206">
            <v>71.755725190839698</v>
          </cell>
          <cell r="AC206">
            <v>117.71225838831292</v>
          </cell>
          <cell r="AD206">
            <v>107.71421527128659</v>
          </cell>
          <cell r="AF206">
            <v>96.187620572281375</v>
          </cell>
          <cell r="AG206">
            <v>112.71323682979975</v>
          </cell>
        </row>
        <row r="207">
          <cell r="A207">
            <v>40383</v>
          </cell>
          <cell r="B207">
            <v>9.0030819999999991</v>
          </cell>
          <cell r="C207">
            <v>44.71</v>
          </cell>
          <cell r="D207">
            <v>57.509450000000001</v>
          </cell>
          <cell r="E207">
            <v>29.76286</v>
          </cell>
          <cell r="F207">
            <v>72.959999999999994</v>
          </cell>
          <cell r="G207">
            <v>1.3332362</v>
          </cell>
          <cell r="H207">
            <v>21.03</v>
          </cell>
          <cell r="I207">
            <v>17.52</v>
          </cell>
          <cell r="J207">
            <v>32.840000000000003</v>
          </cell>
          <cell r="K207">
            <v>5.355359</v>
          </cell>
          <cell r="L207">
            <v>1.99</v>
          </cell>
          <cell r="M207">
            <v>13.16</v>
          </cell>
          <cell r="N207">
            <v>9.6208430000000007</v>
          </cell>
          <cell r="O207">
            <v>11.363379</v>
          </cell>
          <cell r="Q207">
            <v>65.13112792116651</v>
          </cell>
          <cell r="R207">
            <v>74.047697913216297</v>
          </cell>
          <cell r="S207">
            <v>110.38849983070148</v>
          </cell>
          <cell r="T207">
            <v>108.87125477354212</v>
          </cell>
          <cell r="U207">
            <v>97.487974345269905</v>
          </cell>
          <cell r="V207">
            <v>129.08943489952173</v>
          </cell>
          <cell r="W207">
            <v>107.5153374233129</v>
          </cell>
          <cell r="X207">
            <v>49.310441880101322</v>
          </cell>
          <cell r="Y207">
            <v>125.65525157834323</v>
          </cell>
          <cell r="Z207">
            <v>117.44968150351831</v>
          </cell>
          <cell r="AA207">
            <v>97.549019607843135</v>
          </cell>
          <cell r="AB207">
            <v>71.755725190839698</v>
          </cell>
          <cell r="AC207">
            <v>117.71225838831292</v>
          </cell>
          <cell r="AD207">
            <v>107.71421527128659</v>
          </cell>
          <cell r="AF207">
            <v>96.187620572281375</v>
          </cell>
          <cell r="AG207">
            <v>112.71323682979975</v>
          </cell>
        </row>
        <row r="208">
          <cell r="A208">
            <v>40384</v>
          </cell>
          <cell r="B208">
            <v>9.0030819999999991</v>
          </cell>
          <cell r="C208">
            <v>44.71</v>
          </cell>
          <cell r="D208">
            <v>57.509450000000001</v>
          </cell>
          <cell r="E208">
            <v>29.76286</v>
          </cell>
          <cell r="F208">
            <v>72.959999999999994</v>
          </cell>
          <cell r="G208">
            <v>1.3332362</v>
          </cell>
          <cell r="H208">
            <v>21.03</v>
          </cell>
          <cell r="I208">
            <v>17.52</v>
          </cell>
          <cell r="J208">
            <v>32.840000000000003</v>
          </cell>
          <cell r="K208">
            <v>5.355359</v>
          </cell>
          <cell r="L208">
            <v>1.99</v>
          </cell>
          <cell r="M208">
            <v>13.16</v>
          </cell>
          <cell r="N208">
            <v>9.6208430000000007</v>
          </cell>
          <cell r="O208">
            <v>11.363379</v>
          </cell>
          <cell r="Q208">
            <v>65.13112792116651</v>
          </cell>
          <cell r="R208">
            <v>74.047697913216297</v>
          </cell>
          <cell r="S208">
            <v>110.38849983070148</v>
          </cell>
          <cell r="T208">
            <v>108.87125477354212</v>
          </cell>
          <cell r="U208">
            <v>97.487974345269905</v>
          </cell>
          <cell r="V208">
            <v>129.08943489952173</v>
          </cell>
          <cell r="W208">
            <v>107.5153374233129</v>
          </cell>
          <cell r="X208">
            <v>49.310441880101322</v>
          </cell>
          <cell r="Y208">
            <v>125.65525157834323</v>
          </cell>
          <cell r="Z208">
            <v>117.44968150351831</v>
          </cell>
          <cell r="AA208">
            <v>97.549019607843135</v>
          </cell>
          <cell r="AB208">
            <v>71.755725190839698</v>
          </cell>
          <cell r="AC208">
            <v>117.71225838831292</v>
          </cell>
          <cell r="AD208">
            <v>107.71421527128659</v>
          </cell>
          <cell r="AF208">
            <v>96.187620572281375</v>
          </cell>
          <cell r="AG208">
            <v>112.71323682979975</v>
          </cell>
        </row>
        <row r="209">
          <cell r="A209">
            <v>40385</v>
          </cell>
          <cell r="B209">
            <v>9.1762379999999997</v>
          </cell>
          <cell r="C209">
            <v>45.65</v>
          </cell>
          <cell r="D209">
            <v>57.657035999999998</v>
          </cell>
          <cell r="E209">
            <v>29.734065999999999</v>
          </cell>
          <cell r="F209">
            <v>74.400000000000006</v>
          </cell>
          <cell r="G209">
            <v>1.3711686999999999</v>
          </cell>
          <cell r="H209">
            <v>21.59</v>
          </cell>
          <cell r="I209">
            <v>17.899999999999999</v>
          </cell>
          <cell r="J209">
            <v>32.344999999999999</v>
          </cell>
          <cell r="K209">
            <v>5.3745250000000002</v>
          </cell>
          <cell r="L209">
            <v>2.08</v>
          </cell>
          <cell r="M209">
            <v>14.57</v>
          </cell>
          <cell r="N209">
            <v>9.4557979999999997</v>
          </cell>
          <cell r="O209">
            <v>11.31873</v>
          </cell>
          <cell r="Q209">
            <v>66.383792907036636</v>
          </cell>
          <cell r="R209">
            <v>75.60450480291486</v>
          </cell>
          <cell r="S209">
            <v>110.6717888751283</v>
          </cell>
          <cell r="T209">
            <v>108.76592756674985</v>
          </cell>
          <cell r="U209">
            <v>99.412079102084448</v>
          </cell>
          <cell r="V209">
            <v>132.7622162036343</v>
          </cell>
          <cell r="W209">
            <v>110.37832310838446</v>
          </cell>
          <cell r="X209">
            <v>50.379960596678849</v>
          </cell>
          <cell r="Y209">
            <v>123.76123971685477</v>
          </cell>
          <cell r="Z209">
            <v>117.87001571373588</v>
          </cell>
          <cell r="AA209">
            <v>101.96078431372548</v>
          </cell>
          <cell r="AB209">
            <v>79.443838604143949</v>
          </cell>
          <cell r="AC209">
            <v>115.6929114677053</v>
          </cell>
          <cell r="AD209">
            <v>107.29098447016243</v>
          </cell>
          <cell r="AF209">
            <v>98.116205959255993</v>
          </cell>
          <cell r="AG209">
            <v>111.49194796893386</v>
          </cell>
        </row>
        <row r="210">
          <cell r="A210">
            <v>40386</v>
          </cell>
          <cell r="B210">
            <v>9.2942049999999998</v>
          </cell>
          <cell r="C210">
            <v>46.17</v>
          </cell>
          <cell r="D210">
            <v>56.055087999999998</v>
          </cell>
          <cell r="E210">
            <v>29.729115</v>
          </cell>
          <cell r="F210">
            <v>74.510000000000005</v>
          </cell>
          <cell r="G210">
            <v>1.4391659999999999</v>
          </cell>
          <cell r="H210">
            <v>21.55</v>
          </cell>
          <cell r="I210">
            <v>17.86</v>
          </cell>
          <cell r="J210">
            <v>31.995000000000001</v>
          </cell>
          <cell r="K210">
            <v>5.4050760000000002</v>
          </cell>
          <cell r="L210">
            <v>2.08</v>
          </cell>
          <cell r="M210">
            <v>14.43</v>
          </cell>
          <cell r="N210">
            <v>9.5089854999999996</v>
          </cell>
          <cell r="O210">
            <v>11.399463000000001</v>
          </cell>
          <cell r="Q210">
            <v>67.237203302218674</v>
          </cell>
          <cell r="R210">
            <v>76.465717124875781</v>
          </cell>
          <cell r="S210">
            <v>107.59687446494368</v>
          </cell>
          <cell r="T210">
            <v>108.74781702285776</v>
          </cell>
          <cell r="U210">
            <v>99.559059326563343</v>
          </cell>
          <cell r="V210">
            <v>139.34599560573369</v>
          </cell>
          <cell r="W210">
            <v>110.17382413087935</v>
          </cell>
          <cell r="X210">
            <v>50.267379679144383</v>
          </cell>
          <cell r="Y210">
            <v>122.42203941075186</v>
          </cell>
          <cell r="Z210">
            <v>118.54003712959499</v>
          </cell>
          <cell r="AA210">
            <v>101.96078431372548</v>
          </cell>
          <cell r="AB210">
            <v>78.680479825517992</v>
          </cell>
          <cell r="AC210">
            <v>116.34366740905352</v>
          </cell>
          <cell r="AD210">
            <v>108.05625787532622</v>
          </cell>
          <cell r="AF210">
            <v>98.416434278067243</v>
          </cell>
          <cell r="AG210">
            <v>112.19996264218987</v>
          </cell>
        </row>
        <row r="211">
          <cell r="A211">
            <v>40387</v>
          </cell>
          <cell r="B211">
            <v>9.2877200000000002</v>
          </cell>
          <cell r="C211">
            <v>46.44</v>
          </cell>
          <cell r="D211">
            <v>57.110219999999998</v>
          </cell>
          <cell r="E211">
            <v>30.142776000000001</v>
          </cell>
          <cell r="F211">
            <v>73.63</v>
          </cell>
          <cell r="G211">
            <v>1.4276823999999999</v>
          </cell>
          <cell r="H211">
            <v>21.18</v>
          </cell>
          <cell r="I211">
            <v>17.399999999999999</v>
          </cell>
          <cell r="J211">
            <v>31.895</v>
          </cell>
          <cell r="K211">
            <v>5.3582999999999998</v>
          </cell>
          <cell r="L211">
            <v>2.04</v>
          </cell>
          <cell r="M211">
            <v>14.11</v>
          </cell>
          <cell r="N211">
            <v>9.3259249999999998</v>
          </cell>
          <cell r="O211">
            <v>11.253472</v>
          </cell>
          <cell r="Q211">
            <v>67.190288771775784</v>
          </cell>
          <cell r="R211">
            <v>76.912885061278558</v>
          </cell>
          <cell r="S211">
            <v>109.62218402021446</v>
          </cell>
          <cell r="T211">
            <v>110.26097107192692</v>
          </cell>
          <cell r="U211">
            <v>98.38321753073221</v>
          </cell>
          <cell r="V211">
            <v>138.2341060286189</v>
          </cell>
          <cell r="W211">
            <v>108.28220858895705</v>
          </cell>
          <cell r="X211">
            <v>48.972699127497883</v>
          </cell>
          <cell r="Y211">
            <v>122.0394107518653</v>
          </cell>
          <cell r="Z211">
            <v>117.51418129023696</v>
          </cell>
          <cell r="AA211">
            <v>100</v>
          </cell>
          <cell r="AB211">
            <v>76.935659760087233</v>
          </cell>
          <cell r="AC211">
            <v>114.10389851596446</v>
          </cell>
          <cell r="AD211">
            <v>106.67239960555715</v>
          </cell>
          <cell r="AF211">
            <v>97.862317666932597</v>
          </cell>
          <cell r="AG211">
            <v>110.38814906076081</v>
          </cell>
        </row>
        <row r="212">
          <cell r="A212">
            <v>40388</v>
          </cell>
          <cell r="B212">
            <v>9.3898200000000003</v>
          </cell>
          <cell r="C212">
            <v>46.31</v>
          </cell>
          <cell r="D212">
            <v>57.398690000000002</v>
          </cell>
          <cell r="E212">
            <v>29.962116000000002</v>
          </cell>
          <cell r="F212">
            <v>73.239999999999995</v>
          </cell>
          <cell r="G212">
            <v>1.4313503999999999</v>
          </cell>
          <cell r="H212">
            <v>21.04</v>
          </cell>
          <cell r="I212">
            <v>17.72</v>
          </cell>
          <cell r="J212">
            <v>32</v>
          </cell>
          <cell r="K212">
            <v>5.43004</v>
          </cell>
          <cell r="L212">
            <v>2.0299999999999998</v>
          </cell>
          <cell r="M212">
            <v>14.46</v>
          </cell>
          <cell r="N212">
            <v>9.3267190000000006</v>
          </cell>
          <cell r="O212">
            <v>11.362156000000001</v>
          </cell>
          <cell r="Q212">
            <v>67.928912296558877</v>
          </cell>
          <cell r="R212">
            <v>76.697581980788343</v>
          </cell>
          <cell r="S212">
            <v>110.17589772372168</v>
          </cell>
          <cell r="T212">
            <v>109.60012460463891</v>
          </cell>
          <cell r="U212">
            <v>97.862105825761617</v>
          </cell>
          <cell r="V212">
            <v>138.58925693677114</v>
          </cell>
          <cell r="W212">
            <v>107.56646216768917</v>
          </cell>
          <cell r="X212">
            <v>49.873346467773708</v>
          </cell>
          <cell r="Y212">
            <v>122.44117084369618</v>
          </cell>
          <cell r="Z212">
            <v>119.08752868880772</v>
          </cell>
          <cell r="AA212">
            <v>99.509803921568619</v>
          </cell>
          <cell r="AB212">
            <v>78.84405670665214</v>
          </cell>
          <cell r="AC212">
            <v>114.1136132086541</v>
          </cell>
          <cell r="AD212">
            <v>107.7026223740263</v>
          </cell>
          <cell r="AF212">
            <v>98.181354013702332</v>
          </cell>
          <cell r="AG212">
            <v>110.9081177913402</v>
          </cell>
        </row>
        <row r="213">
          <cell r="A213">
            <v>40389</v>
          </cell>
          <cell r="B213">
            <v>9.3240759999999998</v>
          </cell>
          <cell r="C213">
            <v>46.99</v>
          </cell>
          <cell r="D213">
            <v>57.350563000000001</v>
          </cell>
          <cell r="E213">
            <v>29.679205</v>
          </cell>
          <cell r="F213">
            <v>72.98</v>
          </cell>
          <cell r="G213">
            <v>1.4416534999999999</v>
          </cell>
          <cell r="H213">
            <v>20.97</v>
          </cell>
          <cell r="I213">
            <v>17.28</v>
          </cell>
          <cell r="J213">
            <v>32.844999999999999</v>
          </cell>
          <cell r="K213">
            <v>5.4314999999999998</v>
          </cell>
          <cell r="L213">
            <v>2.0499999999999998</v>
          </cell>
          <cell r="M213">
            <v>14.24</v>
          </cell>
          <cell r="N213">
            <v>9.61205</v>
          </cell>
          <cell r="O213">
            <v>11.59585</v>
          </cell>
          <cell r="Q213">
            <v>67.453299514841532</v>
          </cell>
          <cell r="R213">
            <v>77.82378270950646</v>
          </cell>
          <cell r="S213">
            <v>110.08351869155648</v>
          </cell>
          <cell r="T213">
            <v>108.56524840123514</v>
          </cell>
          <cell r="U213">
            <v>97.514698022447888</v>
          </cell>
          <cell r="V213">
            <v>139.58684562864227</v>
          </cell>
          <cell r="W213">
            <v>107.20858895705521</v>
          </cell>
          <cell r="X213">
            <v>48.634956374894458</v>
          </cell>
          <cell r="Y213">
            <v>125.67438301128753</v>
          </cell>
          <cell r="Z213">
            <v>119.11954830411177</v>
          </cell>
          <cell r="AA213">
            <v>100.49019607843137</v>
          </cell>
          <cell r="AB213">
            <v>77.644492911668479</v>
          </cell>
          <cell r="AC213">
            <v>117.60467489609621</v>
          </cell>
          <cell r="AD213">
            <v>109.91782313637069</v>
          </cell>
          <cell r="AF213">
            <v>98.316629883806556</v>
          </cell>
          <cell r="AG213">
            <v>113.76124901623345</v>
          </cell>
        </row>
        <row r="214">
          <cell r="A214">
            <v>40390</v>
          </cell>
          <cell r="B214">
            <v>9.3240759999999998</v>
          </cell>
          <cell r="C214">
            <v>46.99</v>
          </cell>
          <cell r="D214">
            <v>57.350563000000001</v>
          </cell>
          <cell r="E214">
            <v>29.679205</v>
          </cell>
          <cell r="F214">
            <v>72.98</v>
          </cell>
          <cell r="G214">
            <v>1.4416534999999999</v>
          </cell>
          <cell r="H214">
            <v>20.97</v>
          </cell>
          <cell r="I214">
            <v>17.28</v>
          </cell>
          <cell r="J214">
            <v>32.844999999999999</v>
          </cell>
          <cell r="K214">
            <v>5.4314999999999998</v>
          </cell>
          <cell r="L214">
            <v>2.0499999999999998</v>
          </cell>
          <cell r="M214">
            <v>14.24</v>
          </cell>
          <cell r="N214">
            <v>9.61205</v>
          </cell>
          <cell r="O214">
            <v>11.59585</v>
          </cell>
          <cell r="Q214">
            <v>67.453299514841532</v>
          </cell>
          <cell r="R214">
            <v>77.82378270950646</v>
          </cell>
          <cell r="S214">
            <v>110.08351869155648</v>
          </cell>
          <cell r="T214">
            <v>108.56524840123514</v>
          </cell>
          <cell r="U214">
            <v>97.514698022447888</v>
          </cell>
          <cell r="V214">
            <v>139.58684562864227</v>
          </cell>
          <cell r="W214">
            <v>107.20858895705521</v>
          </cell>
          <cell r="X214">
            <v>48.634956374894458</v>
          </cell>
          <cell r="Y214">
            <v>125.67438301128753</v>
          </cell>
          <cell r="Z214">
            <v>119.11954830411177</v>
          </cell>
          <cell r="AA214">
            <v>100.49019607843137</v>
          </cell>
          <cell r="AB214">
            <v>77.644492911668479</v>
          </cell>
          <cell r="AC214">
            <v>117.60467489609621</v>
          </cell>
          <cell r="AD214">
            <v>109.91782313637069</v>
          </cell>
          <cell r="AF214">
            <v>98.316629883806556</v>
          </cell>
          <cell r="AG214">
            <v>113.76124901623345</v>
          </cell>
        </row>
        <row r="215">
          <cell r="A215">
            <v>40391</v>
          </cell>
          <cell r="B215">
            <v>9.3240759999999998</v>
          </cell>
          <cell r="C215">
            <v>46.99</v>
          </cell>
          <cell r="D215">
            <v>57.350563000000001</v>
          </cell>
          <cell r="E215">
            <v>29.679205</v>
          </cell>
          <cell r="F215">
            <v>72.98</v>
          </cell>
          <cell r="G215">
            <v>1.4416534999999999</v>
          </cell>
          <cell r="H215">
            <v>20.97</v>
          </cell>
          <cell r="I215">
            <v>17.28</v>
          </cell>
          <cell r="J215">
            <v>32.844999999999999</v>
          </cell>
          <cell r="K215">
            <v>5.4314999999999998</v>
          </cell>
          <cell r="L215">
            <v>2.0499999999999998</v>
          </cell>
          <cell r="M215">
            <v>14.24</v>
          </cell>
          <cell r="N215">
            <v>9.61205</v>
          </cell>
          <cell r="O215">
            <v>11.59585</v>
          </cell>
          <cell r="Q215">
            <v>67.453299514841532</v>
          </cell>
          <cell r="R215">
            <v>77.82378270950646</v>
          </cell>
          <cell r="S215">
            <v>110.08351869155648</v>
          </cell>
          <cell r="T215">
            <v>108.56524840123514</v>
          </cell>
          <cell r="U215">
            <v>97.514698022447888</v>
          </cell>
          <cell r="V215">
            <v>139.58684562864227</v>
          </cell>
          <cell r="W215">
            <v>107.20858895705521</v>
          </cell>
          <cell r="X215">
            <v>48.634956374894458</v>
          </cell>
          <cell r="Y215">
            <v>125.67438301128753</v>
          </cell>
          <cell r="Z215">
            <v>119.11954830411177</v>
          </cell>
          <cell r="AA215">
            <v>100.49019607843137</v>
          </cell>
          <cell r="AB215">
            <v>77.644492911668479</v>
          </cell>
          <cell r="AC215">
            <v>117.60467489609621</v>
          </cell>
          <cell r="AD215">
            <v>109.91782313637069</v>
          </cell>
          <cell r="AF215">
            <v>98.316629883806556</v>
          </cell>
          <cell r="AG215">
            <v>113.76124901623345</v>
          </cell>
        </row>
        <row r="216">
          <cell r="A216">
            <v>40392</v>
          </cell>
          <cell r="B216">
            <v>9.6175750000000004</v>
          </cell>
          <cell r="C216">
            <v>48.12</v>
          </cell>
          <cell r="D216">
            <v>57.483226999999999</v>
          </cell>
          <cell r="E216">
            <v>29.747859999999999</v>
          </cell>
          <cell r="F216">
            <v>74.87</v>
          </cell>
          <cell r="G216">
            <v>1.480111</v>
          </cell>
          <cell r="H216">
            <v>20.94</v>
          </cell>
          <cell r="I216">
            <v>18.13</v>
          </cell>
          <cell r="J216">
            <v>33.47</v>
          </cell>
          <cell r="K216">
            <v>5.4892335000000001</v>
          </cell>
          <cell r="L216">
            <v>2.08</v>
          </cell>
          <cell r="M216">
            <v>14.75</v>
          </cell>
          <cell r="N216">
            <v>9.7012370000000008</v>
          </cell>
          <cell r="O216">
            <v>11.532738</v>
          </cell>
          <cell r="Q216">
            <v>69.576563627479246</v>
          </cell>
          <cell r="R216">
            <v>79.695263332229203</v>
          </cell>
          <cell r="S216">
            <v>110.3381651877678</v>
          </cell>
          <cell r="T216">
            <v>108.81638542222296</v>
          </cell>
          <cell r="U216">
            <v>100.04008551576698</v>
          </cell>
          <cell r="V216">
            <v>143.31045960090643</v>
          </cell>
          <cell r="W216">
            <v>107.05521472392638</v>
          </cell>
          <cell r="X216">
            <v>51.027300872502103</v>
          </cell>
          <cell r="Y216">
            <v>128.06581212932849</v>
          </cell>
          <cell r="Z216">
            <v>120.38571574257546</v>
          </cell>
          <cell r="AA216">
            <v>101.96078431372548</v>
          </cell>
          <cell r="AB216">
            <v>80.425299890948736</v>
          </cell>
          <cell r="AC216">
            <v>118.69588937583345</v>
          </cell>
          <cell r="AD216">
            <v>109.31958034659826</v>
          </cell>
          <cell r="AF216">
            <v>100.05808752994828</v>
          </cell>
          <cell r="AG216">
            <v>114.00773486121585</v>
          </cell>
        </row>
        <row r="217">
          <cell r="A217">
            <v>40393</v>
          </cell>
          <cell r="B217">
            <v>9.4709210000000006</v>
          </cell>
          <cell r="C217">
            <v>47.47</v>
          </cell>
          <cell r="D217">
            <v>59.070255000000003</v>
          </cell>
          <cell r="E217">
            <v>30.222532000000001</v>
          </cell>
          <cell r="F217">
            <v>75.040000000000006</v>
          </cell>
          <cell r="G217">
            <v>1.4661778999999999</v>
          </cell>
          <cell r="H217">
            <v>21.32</v>
          </cell>
          <cell r="I217">
            <v>17.97</v>
          </cell>
          <cell r="J217">
            <v>33.695</v>
          </cell>
          <cell r="K217">
            <v>5.4889330000000003</v>
          </cell>
          <cell r="L217">
            <v>2.0499999999999998</v>
          </cell>
          <cell r="M217">
            <v>14.55</v>
          </cell>
          <cell r="N217">
            <v>9.5373260000000002</v>
          </cell>
          <cell r="O217">
            <v>11.467499999999999</v>
          </cell>
          <cell r="Q217">
            <v>68.515622448208561</v>
          </cell>
          <cell r="R217">
            <v>78.618747929778067</v>
          </cell>
          <cell r="S217">
            <v>113.38444088870598</v>
          </cell>
          <cell r="T217">
            <v>110.55271507084767</v>
          </cell>
          <cell r="U217">
            <v>100.26723677177981</v>
          </cell>
          <cell r="V217">
            <v>141.9613993178159</v>
          </cell>
          <cell r="W217">
            <v>108.99795501022496</v>
          </cell>
          <cell r="X217">
            <v>50.576977202364191</v>
          </cell>
          <cell r="Y217">
            <v>128.92672661182323</v>
          </cell>
          <cell r="Z217">
            <v>120.37912540394609</v>
          </cell>
          <cell r="AA217">
            <v>100.49019607843137</v>
          </cell>
          <cell r="AB217">
            <v>79.334787350054526</v>
          </cell>
          <cell r="AC217">
            <v>116.69041709188839</v>
          </cell>
          <cell r="AD217">
            <v>108.70118506330546</v>
          </cell>
          <cell r="AF217">
            <v>100.16716084033169</v>
          </cell>
          <cell r="AG217">
            <v>112.69580107759693</v>
          </cell>
        </row>
        <row r="218">
          <cell r="A218">
            <v>40394</v>
          </cell>
          <cell r="B218">
            <v>9.6587040000000002</v>
          </cell>
          <cell r="C218">
            <v>48.28</v>
          </cell>
          <cell r="D218">
            <v>63.727477999999998</v>
          </cell>
          <cell r="E218">
            <v>29.685417000000001</v>
          </cell>
          <cell r="F218">
            <v>75.650000000000006</v>
          </cell>
          <cell r="G218">
            <v>1.4708055</v>
          </cell>
          <cell r="H218">
            <v>21.63</v>
          </cell>
          <cell r="I218">
            <v>18.05</v>
          </cell>
          <cell r="J218">
            <v>33.844999999999999</v>
          </cell>
          <cell r="K218">
            <v>5.4970464999999997</v>
          </cell>
          <cell r="L218">
            <v>2.09</v>
          </cell>
          <cell r="M218">
            <v>14.86</v>
          </cell>
          <cell r="N218">
            <v>9.7086830000000006</v>
          </cell>
          <cell r="O218">
            <v>11.311638</v>
          </cell>
          <cell r="Q218">
            <v>69.874103754323542</v>
          </cell>
          <cell r="R218">
            <v>79.960251738986415</v>
          </cell>
          <cell r="S218">
            <v>122.32390840834037</v>
          </cell>
          <cell r="T218">
            <v>108.58797162859479</v>
          </cell>
          <cell r="U218">
            <v>101.08230892570818</v>
          </cell>
          <cell r="V218">
            <v>142.40946266093624</v>
          </cell>
          <cell r="W218">
            <v>110.58282208588956</v>
          </cell>
          <cell r="X218">
            <v>50.802139037433157</v>
          </cell>
          <cell r="Y218">
            <v>129.50066960015303</v>
          </cell>
          <cell r="Z218">
            <v>120.55706454693889</v>
          </cell>
          <cell r="AA218">
            <v>102.45098039215685</v>
          </cell>
          <cell r="AB218">
            <v>81.025081788440573</v>
          </cell>
          <cell r="AC218">
            <v>118.78699214883986</v>
          </cell>
          <cell r="AD218">
            <v>107.22375893674459</v>
          </cell>
          <cell r="AF218">
            <v>101.59639704732513</v>
          </cell>
          <cell r="AG218">
            <v>113.00537554279222</v>
          </cell>
        </row>
        <row r="219">
          <cell r="A219">
            <v>40395</v>
          </cell>
          <cell r="B219">
            <v>9.7771760000000008</v>
          </cell>
          <cell r="C219">
            <v>48.2</v>
          </cell>
          <cell r="D219">
            <v>64.384674000000004</v>
          </cell>
          <cell r="E219">
            <v>30.201419999999999</v>
          </cell>
          <cell r="F219">
            <v>75.739999999999995</v>
          </cell>
          <cell r="G219">
            <v>1.470045</v>
          </cell>
          <cell r="H219">
            <v>21.65</v>
          </cell>
          <cell r="I219">
            <v>17.850000000000001</v>
          </cell>
          <cell r="J219">
            <v>34.015000000000001</v>
          </cell>
          <cell r="K219">
            <v>5.4814210000000001</v>
          </cell>
          <cell r="L219">
            <v>2.12</v>
          </cell>
          <cell r="M219">
            <v>14.67</v>
          </cell>
          <cell r="N219">
            <v>9.6506959999999999</v>
          </cell>
          <cell r="O219">
            <v>11.5295925</v>
          </cell>
          <cell r="Q219">
            <v>70.731167478398987</v>
          </cell>
          <cell r="R219">
            <v>79.82775753560783</v>
          </cell>
          <cell r="S219">
            <v>123.5853859661111</v>
          </cell>
          <cell r="T219">
            <v>110.47548828784433</v>
          </cell>
          <cell r="U219">
            <v>101.20256547300907</v>
          </cell>
          <cell r="V219">
            <v>142.33582791021385</v>
          </cell>
          <cell r="W219">
            <v>110.68507157464214</v>
          </cell>
          <cell r="X219">
            <v>50.239234449760772</v>
          </cell>
          <cell r="Y219">
            <v>130.15113832026017</v>
          </cell>
          <cell r="Z219">
            <v>120.21437790383369</v>
          </cell>
          <cell r="AA219">
            <v>103.92156862745099</v>
          </cell>
          <cell r="AB219">
            <v>79.989094874591061</v>
          </cell>
          <cell r="AC219">
            <v>118.07751370426247</v>
          </cell>
          <cell r="AD219">
            <v>109.28976394567245</v>
          </cell>
          <cell r="AF219">
            <v>101.94655653347701</v>
          </cell>
          <cell r="AG219">
            <v>113.68363882496746</v>
          </cell>
        </row>
        <row r="220">
          <cell r="A220">
            <v>40396</v>
          </cell>
          <cell r="B220">
            <v>9.8400130000000008</v>
          </cell>
          <cell r="C220">
            <v>48.11</v>
          </cell>
          <cell r="D220">
            <v>67.316730000000007</v>
          </cell>
          <cell r="E220">
            <v>30.509868999999998</v>
          </cell>
          <cell r="F220">
            <v>75.5</v>
          </cell>
          <cell r="G220">
            <v>1.4840648000000001</v>
          </cell>
          <cell r="H220">
            <v>21.33</v>
          </cell>
          <cell r="I220">
            <v>17.91</v>
          </cell>
          <cell r="J220">
            <v>32.49</v>
          </cell>
          <cell r="K220">
            <v>5.4921002000000003</v>
          </cell>
          <cell r="L220">
            <v>2.15</v>
          </cell>
          <cell r="M220">
            <v>14.49</v>
          </cell>
          <cell r="N220">
            <v>9.5408679999999997</v>
          </cell>
          <cell r="O220">
            <v>11.383084</v>
          </cell>
          <cell r="Q220">
            <v>71.185750107456712</v>
          </cell>
          <cell r="R220">
            <v>79.678701556806885</v>
          </cell>
          <cell r="S220">
            <v>129.21342211077268</v>
          </cell>
          <cell r="T220">
            <v>111.60378139084735</v>
          </cell>
          <cell r="U220">
            <v>100.88188134687333</v>
          </cell>
          <cell r="V220">
            <v>143.69328284535911</v>
          </cell>
          <cell r="W220">
            <v>109.04907975460122</v>
          </cell>
          <cell r="X220">
            <v>50.408105826062474</v>
          </cell>
          <cell r="Y220">
            <v>124.31605127224029</v>
          </cell>
          <cell r="Z220">
            <v>120.44858603791255</v>
          </cell>
          <cell r="AA220">
            <v>105.3921568627451</v>
          </cell>
          <cell r="AB220">
            <v>79.007633587786259</v>
          </cell>
          <cell r="AC220">
            <v>116.73375391998249</v>
          </cell>
          <cell r="AD220">
            <v>107.90100025944203</v>
          </cell>
          <cell r="AF220">
            <v>102.07320272495535</v>
          </cell>
          <cell r="AG220">
            <v>112.31737708971227</v>
          </cell>
        </row>
        <row r="221">
          <cell r="A221">
            <v>40397</v>
          </cell>
          <cell r="B221">
            <v>9.8400130000000008</v>
          </cell>
          <cell r="C221">
            <v>48.11</v>
          </cell>
          <cell r="D221">
            <v>67.316730000000007</v>
          </cell>
          <cell r="E221">
            <v>30.509868999999998</v>
          </cell>
          <cell r="F221">
            <v>75.5</v>
          </cell>
          <cell r="G221">
            <v>1.4840648000000001</v>
          </cell>
          <cell r="H221">
            <v>21.33</v>
          </cell>
          <cell r="I221">
            <v>17.91</v>
          </cell>
          <cell r="J221">
            <v>32.49</v>
          </cell>
          <cell r="K221">
            <v>5.4921002000000003</v>
          </cell>
          <cell r="L221">
            <v>2.15</v>
          </cell>
          <cell r="M221">
            <v>14.49</v>
          </cell>
          <cell r="N221">
            <v>9.5408679999999997</v>
          </cell>
          <cell r="O221">
            <v>11.383084</v>
          </cell>
          <cell r="Q221">
            <v>71.185750107456712</v>
          </cell>
          <cell r="R221">
            <v>79.678701556806885</v>
          </cell>
          <cell r="S221">
            <v>129.21342211077268</v>
          </cell>
          <cell r="T221">
            <v>111.60378139084735</v>
          </cell>
          <cell r="U221">
            <v>100.88188134687333</v>
          </cell>
          <cell r="V221">
            <v>143.69328284535911</v>
          </cell>
          <cell r="W221">
            <v>109.04907975460122</v>
          </cell>
          <cell r="X221">
            <v>50.408105826062474</v>
          </cell>
          <cell r="Y221">
            <v>124.31605127224029</v>
          </cell>
          <cell r="Z221">
            <v>120.44858603791255</v>
          </cell>
          <cell r="AA221">
            <v>105.3921568627451</v>
          </cell>
          <cell r="AB221">
            <v>79.007633587786259</v>
          </cell>
          <cell r="AC221">
            <v>116.73375391998249</v>
          </cell>
          <cell r="AD221">
            <v>107.90100025944203</v>
          </cell>
          <cell r="AF221">
            <v>102.07320272495535</v>
          </cell>
          <cell r="AG221">
            <v>112.31737708971227</v>
          </cell>
        </row>
        <row r="222">
          <cell r="A222">
            <v>40398</v>
          </cell>
          <cell r="B222">
            <v>9.8400130000000008</v>
          </cell>
          <cell r="C222">
            <v>48.11</v>
          </cell>
          <cell r="D222">
            <v>67.316730000000007</v>
          </cell>
          <cell r="E222">
            <v>30.509868999999998</v>
          </cell>
          <cell r="F222">
            <v>75.5</v>
          </cell>
          <cell r="G222">
            <v>1.4840648000000001</v>
          </cell>
          <cell r="H222">
            <v>21.33</v>
          </cell>
          <cell r="I222">
            <v>17.91</v>
          </cell>
          <cell r="J222">
            <v>32.49</v>
          </cell>
          <cell r="K222">
            <v>5.4921002000000003</v>
          </cell>
          <cell r="L222">
            <v>2.15</v>
          </cell>
          <cell r="M222">
            <v>14.49</v>
          </cell>
          <cell r="N222">
            <v>9.5408679999999997</v>
          </cell>
          <cell r="O222">
            <v>11.383084</v>
          </cell>
          <cell r="Q222">
            <v>71.185750107456712</v>
          </cell>
          <cell r="R222">
            <v>79.678701556806885</v>
          </cell>
          <cell r="S222">
            <v>129.21342211077268</v>
          </cell>
          <cell r="T222">
            <v>111.60378139084735</v>
          </cell>
          <cell r="U222">
            <v>100.88188134687333</v>
          </cell>
          <cell r="V222">
            <v>143.69328284535911</v>
          </cell>
          <cell r="W222">
            <v>109.04907975460122</v>
          </cell>
          <cell r="X222">
            <v>50.408105826062474</v>
          </cell>
          <cell r="Y222">
            <v>124.31605127224029</v>
          </cell>
          <cell r="Z222">
            <v>120.44858603791255</v>
          </cell>
          <cell r="AA222">
            <v>105.3921568627451</v>
          </cell>
          <cell r="AB222">
            <v>79.007633587786259</v>
          </cell>
          <cell r="AC222">
            <v>116.73375391998249</v>
          </cell>
          <cell r="AD222">
            <v>107.90100025944203</v>
          </cell>
          <cell r="AF222">
            <v>102.07320272495535</v>
          </cell>
          <cell r="AG222">
            <v>112.31737708971227</v>
          </cell>
        </row>
        <row r="223">
          <cell r="A223">
            <v>40399</v>
          </cell>
          <cell r="B223">
            <v>10.006962</v>
          </cell>
          <cell r="C223">
            <v>48.38</v>
          </cell>
          <cell r="D223">
            <v>64.828316000000001</v>
          </cell>
          <cell r="E223">
            <v>30.525274</v>
          </cell>
          <cell r="F223">
            <v>75.41</v>
          </cell>
          <cell r="G223">
            <v>1.4837346</v>
          </cell>
          <cell r="H223">
            <v>21.47</v>
          </cell>
          <cell r="I223">
            <v>18.16</v>
          </cell>
          <cell r="J223">
            <v>32.755000000000003</v>
          </cell>
          <cell r="K223">
            <v>5.5024556999999996</v>
          </cell>
          <cell r="L223">
            <v>2.21</v>
          </cell>
          <cell r="M223">
            <v>14.54</v>
          </cell>
          <cell r="N223">
            <v>9.4157879999999992</v>
          </cell>
          <cell r="O223">
            <v>11.627243</v>
          </cell>
          <cell r="Q223">
            <v>72.393511702353962</v>
          </cell>
          <cell r="R223">
            <v>80.125869493209677</v>
          </cell>
          <cell r="S223">
            <v>124.43694992371968</v>
          </cell>
          <cell r="T223">
            <v>111.66013221465212</v>
          </cell>
          <cell r="U223">
            <v>100.7616247995724</v>
          </cell>
          <cell r="V223">
            <v>143.66131151769503</v>
          </cell>
          <cell r="W223">
            <v>109.76482617586912</v>
          </cell>
          <cell r="X223">
            <v>51.111736560652965</v>
          </cell>
          <cell r="Y223">
            <v>125.33001721828964</v>
          </cell>
          <cell r="Z223">
            <v>120.67569502851609</v>
          </cell>
          <cell r="AA223">
            <v>108.33333333333333</v>
          </cell>
          <cell r="AB223">
            <v>79.280261723009815</v>
          </cell>
          <cell r="AC223">
            <v>115.20338394313012</v>
          </cell>
          <cell r="AD223">
            <v>110.21539944355989</v>
          </cell>
          <cell r="AF223">
            <v>102.29460580757281</v>
          </cell>
          <cell r="AG223">
            <v>112.709391693345</v>
          </cell>
        </row>
        <row r="224">
          <cell r="A224">
            <v>40400</v>
          </cell>
          <cell r="B224">
            <v>9.6519860000000008</v>
          </cell>
          <cell r="C224">
            <v>48.8</v>
          </cell>
          <cell r="D224">
            <v>64.076430000000002</v>
          </cell>
          <cell r="E224">
            <v>32.609076999999999</v>
          </cell>
          <cell r="F224">
            <v>76.540000000000006</v>
          </cell>
          <cell r="G224">
            <v>1.4373640999999999</v>
          </cell>
          <cell r="H224">
            <v>20.93</v>
          </cell>
          <cell r="I224">
            <v>17.93</v>
          </cell>
          <cell r="J224">
            <v>32.130000000000003</v>
          </cell>
          <cell r="K224">
            <v>5.4621881999999999</v>
          </cell>
          <cell r="L224">
            <v>2.15</v>
          </cell>
          <cell r="M224">
            <v>14.58</v>
          </cell>
          <cell r="N224">
            <v>9.3675490000000003</v>
          </cell>
          <cell r="O224">
            <v>11.479506000000001</v>
          </cell>
          <cell r="Q224">
            <v>69.825503628569464</v>
          </cell>
          <cell r="R224">
            <v>80.821464060947321</v>
          </cell>
          <cell r="S224">
            <v>122.99371637542966</v>
          </cell>
          <cell r="T224">
            <v>119.28259347378084</v>
          </cell>
          <cell r="U224">
            <v>102.27151256012827</v>
          </cell>
          <cell r="V224">
            <v>139.17152820622456</v>
          </cell>
          <cell r="W224">
            <v>107.00408997955012</v>
          </cell>
          <cell r="X224">
            <v>50.464396284829718</v>
          </cell>
          <cell r="Y224">
            <v>122.93858810024871</v>
          </cell>
          <cell r="Z224">
            <v>119.79257868655976</v>
          </cell>
          <cell r="AA224">
            <v>105.3921568627451</v>
          </cell>
          <cell r="AB224">
            <v>79.49836423118866</v>
          </cell>
          <cell r="AC224">
            <v>114.61317353928155</v>
          </cell>
          <cell r="AD224">
            <v>108.81499072520826</v>
          </cell>
          <cell r="AF224">
            <v>101.62137437085018</v>
          </cell>
          <cell r="AG224">
            <v>111.7140821322449</v>
          </cell>
        </row>
        <row r="225">
          <cell r="A225">
            <v>40401</v>
          </cell>
          <cell r="B225">
            <v>9.2715449999999997</v>
          </cell>
          <cell r="C225">
            <v>47.34</v>
          </cell>
          <cell r="D225">
            <v>63.203564</v>
          </cell>
          <cell r="E225">
            <v>33.337242000000003</v>
          </cell>
          <cell r="F225">
            <v>74.94</v>
          </cell>
          <cell r="G225">
            <v>1.4297236</v>
          </cell>
          <cell r="H225">
            <v>19.329999999999998</v>
          </cell>
          <cell r="I225">
            <v>17.18</v>
          </cell>
          <cell r="J225">
            <v>31.664999999999999</v>
          </cell>
          <cell r="K225">
            <v>5.4369063000000004</v>
          </cell>
          <cell r="L225">
            <v>2.06</v>
          </cell>
          <cell r="M225">
            <v>14.18</v>
          </cell>
          <cell r="N225">
            <v>9.0288360000000001</v>
          </cell>
          <cell r="O225">
            <v>11.359405000000001</v>
          </cell>
          <cell r="Q225">
            <v>67.073273732467598</v>
          </cell>
          <cell r="R225">
            <v>78.403444849287851</v>
          </cell>
          <cell r="S225">
            <v>121.31826358822295</v>
          </cell>
          <cell r="T225">
            <v>121.94618955400219</v>
          </cell>
          <cell r="U225">
            <v>100.1336183858899</v>
          </cell>
          <cell r="V225">
            <v>138.43174344239216</v>
          </cell>
          <cell r="W225">
            <v>98.824130879345603</v>
          </cell>
          <cell r="X225">
            <v>48.353504081058254</v>
          </cell>
          <cell r="Y225">
            <v>121.15936483642625</v>
          </cell>
          <cell r="Z225">
            <v>119.23811518508325</v>
          </cell>
          <cell r="AA225">
            <v>100.98039215686273</v>
          </cell>
          <cell r="AB225">
            <v>77.317339149400226</v>
          </cell>
          <cell r="AC225">
            <v>110.46897617783613</v>
          </cell>
          <cell r="AD225">
            <v>107.67654546448988</v>
          </cell>
          <cell r="AF225">
            <v>99.431614986703252</v>
          </cell>
          <cell r="AG225">
            <v>109.072760821163</v>
          </cell>
        </row>
        <row r="226">
          <cell r="A226">
            <v>40402</v>
          </cell>
          <cell r="B226">
            <v>9.1057100000000002</v>
          </cell>
          <cell r="C226">
            <v>47.41</v>
          </cell>
          <cell r="D226">
            <v>62.947234999999999</v>
          </cell>
          <cell r="E226">
            <v>32.718597000000003</v>
          </cell>
          <cell r="F226">
            <v>75.42</v>
          </cell>
          <cell r="G226">
            <v>1.4023496</v>
          </cell>
          <cell r="H226">
            <v>19.64</v>
          </cell>
          <cell r="I226">
            <v>17.739999999999998</v>
          </cell>
          <cell r="J226">
            <v>31.045000000000002</v>
          </cell>
          <cell r="K226">
            <v>5.3631463000000004</v>
          </cell>
          <cell r="L226">
            <v>2.0099</v>
          </cell>
          <cell r="M226">
            <v>14.25</v>
          </cell>
          <cell r="N226">
            <v>9.2355520000000002</v>
          </cell>
          <cell r="O226">
            <v>11.524656</v>
          </cell>
          <cell r="Q226">
            <v>65.873571164079721</v>
          </cell>
          <cell r="R226">
            <v>78.519377277244104</v>
          </cell>
          <cell r="S226">
            <v>120.82624403712128</v>
          </cell>
          <cell r="T226">
            <v>119.68321289754584</v>
          </cell>
          <cell r="U226">
            <v>100.77498663816141</v>
          </cell>
          <cell r="V226">
            <v>135.78127971290485</v>
          </cell>
          <cell r="W226">
            <v>100.40899795501024</v>
          </cell>
          <cell r="X226">
            <v>49.929636926540944</v>
          </cell>
          <cell r="Y226">
            <v>118.78706715132962</v>
          </cell>
          <cell r="Z226">
            <v>117.62046667492744</v>
          </cell>
          <cell r="AA226">
            <v>98.524509803921561</v>
          </cell>
          <cell r="AB226">
            <v>77.69901853871319</v>
          </cell>
          <cell r="AC226">
            <v>112.99817317283942</v>
          </cell>
          <cell r="AD226">
            <v>109.24297053821093</v>
          </cell>
          <cell r="AF226">
            <v>98.702364064791709</v>
          </cell>
          <cell r="AG226">
            <v>111.12057185552517</v>
          </cell>
        </row>
        <row r="227">
          <cell r="A227">
            <v>40403</v>
          </cell>
          <cell r="B227">
            <v>9.2080819999999992</v>
          </cell>
          <cell r="C227">
            <v>47.36</v>
          </cell>
          <cell r="D227">
            <v>63.115229999999997</v>
          </cell>
          <cell r="E227">
            <v>32.171399999999998</v>
          </cell>
          <cell r="F227">
            <v>75.010000000000005</v>
          </cell>
          <cell r="G227">
            <v>1.4381098999999999</v>
          </cell>
          <cell r="H227">
            <v>19.43</v>
          </cell>
          <cell r="I227">
            <v>17.21</v>
          </cell>
          <cell r="J227">
            <v>31.375</v>
          </cell>
          <cell r="K227">
            <v>5.3975315000000004</v>
          </cell>
          <cell r="L227">
            <v>2.0099999999999998</v>
          </cell>
          <cell r="M227">
            <v>13.74</v>
          </cell>
          <cell r="N227">
            <v>8.9215140000000002</v>
          </cell>
          <cell r="O227">
            <v>11.547148999999999</v>
          </cell>
          <cell r="Q227">
            <v>66.614162422444977</v>
          </cell>
          <cell r="R227">
            <v>78.436568400132487</v>
          </cell>
          <cell r="S227">
            <v>121.14870784140142</v>
          </cell>
          <cell r="T227">
            <v>117.68158993529295</v>
          </cell>
          <cell r="U227">
            <v>100.22715125601283</v>
          </cell>
          <cell r="V227">
            <v>139.24373964223869</v>
          </cell>
          <cell r="W227">
            <v>99.335378323108387</v>
          </cell>
          <cell r="X227">
            <v>48.437939769209123</v>
          </cell>
          <cell r="Y227">
            <v>120.04974172565524</v>
          </cell>
          <cell r="Z227">
            <v>118.37457686407345</v>
          </cell>
          <cell r="AA227">
            <v>98.52941176470587</v>
          </cell>
          <cell r="AB227">
            <v>74.918211559432933</v>
          </cell>
          <cell r="AC227">
            <v>109.15587762766225</v>
          </cell>
          <cell r="AD227">
            <v>109.45618316133094</v>
          </cell>
          <cell r="AF227">
            <v>98.583098291975702</v>
          </cell>
          <cell r="AG227">
            <v>109.30603039449659</v>
          </cell>
        </row>
        <row r="228">
          <cell r="A228">
            <v>40404</v>
          </cell>
          <cell r="B228">
            <v>9.2080819999999992</v>
          </cell>
          <cell r="C228">
            <v>47.36</v>
          </cell>
          <cell r="D228">
            <v>63.115229999999997</v>
          </cell>
          <cell r="E228">
            <v>32.171399999999998</v>
          </cell>
          <cell r="F228">
            <v>75.010000000000005</v>
          </cell>
          <cell r="G228">
            <v>1.4381098999999999</v>
          </cell>
          <cell r="H228">
            <v>19.43</v>
          </cell>
          <cell r="I228">
            <v>17.21</v>
          </cell>
          <cell r="J228">
            <v>31.375</v>
          </cell>
          <cell r="K228">
            <v>5.3975315000000004</v>
          </cell>
          <cell r="L228">
            <v>2.0099999999999998</v>
          </cell>
          <cell r="M228">
            <v>13.74</v>
          </cell>
          <cell r="N228">
            <v>8.9215140000000002</v>
          </cell>
          <cell r="O228">
            <v>11.547148999999999</v>
          </cell>
          <cell r="Q228">
            <v>66.614162422444977</v>
          </cell>
          <cell r="R228">
            <v>78.436568400132487</v>
          </cell>
          <cell r="S228">
            <v>121.14870784140142</v>
          </cell>
          <cell r="T228">
            <v>117.68158993529295</v>
          </cell>
          <cell r="U228">
            <v>100.22715125601283</v>
          </cell>
          <cell r="V228">
            <v>139.24373964223869</v>
          </cell>
          <cell r="W228">
            <v>99.335378323108387</v>
          </cell>
          <cell r="X228">
            <v>48.437939769209123</v>
          </cell>
          <cell r="Y228">
            <v>120.04974172565524</v>
          </cell>
          <cell r="Z228">
            <v>118.37457686407345</v>
          </cell>
          <cell r="AA228">
            <v>98.52941176470587</v>
          </cell>
          <cell r="AB228">
            <v>74.918211559432933</v>
          </cell>
          <cell r="AC228">
            <v>109.15587762766225</v>
          </cell>
          <cell r="AD228">
            <v>109.45618316133094</v>
          </cell>
          <cell r="AF228">
            <v>98.583098291975702</v>
          </cell>
          <cell r="AG228">
            <v>109.30603039449659</v>
          </cell>
        </row>
        <row r="229">
          <cell r="A229">
            <v>40405</v>
          </cell>
          <cell r="B229">
            <v>9.2080819999999992</v>
          </cell>
          <cell r="C229">
            <v>47.36</v>
          </cell>
          <cell r="D229">
            <v>63.115229999999997</v>
          </cell>
          <cell r="E229">
            <v>32.171399999999998</v>
          </cell>
          <cell r="F229">
            <v>75.010000000000005</v>
          </cell>
          <cell r="G229">
            <v>1.4381098999999999</v>
          </cell>
          <cell r="H229">
            <v>19.43</v>
          </cell>
          <cell r="I229">
            <v>17.21</v>
          </cell>
          <cell r="J229">
            <v>31.375</v>
          </cell>
          <cell r="K229">
            <v>5.3975315000000004</v>
          </cell>
          <cell r="L229">
            <v>2.0099999999999998</v>
          </cell>
          <cell r="M229">
            <v>13.74</v>
          </cell>
          <cell r="N229">
            <v>8.9215140000000002</v>
          </cell>
          <cell r="O229">
            <v>11.547148999999999</v>
          </cell>
          <cell r="Q229">
            <v>66.614162422444977</v>
          </cell>
          <cell r="R229">
            <v>78.436568400132487</v>
          </cell>
          <cell r="S229">
            <v>121.14870784140142</v>
          </cell>
          <cell r="T229">
            <v>117.68158993529295</v>
          </cell>
          <cell r="U229">
            <v>100.22715125601283</v>
          </cell>
          <cell r="V229">
            <v>139.24373964223869</v>
          </cell>
          <cell r="W229">
            <v>99.335378323108387</v>
          </cell>
          <cell r="X229">
            <v>48.437939769209123</v>
          </cell>
          <cell r="Y229">
            <v>120.04974172565524</v>
          </cell>
          <cell r="Z229">
            <v>118.37457686407345</v>
          </cell>
          <cell r="AA229">
            <v>98.52941176470587</v>
          </cell>
          <cell r="AB229">
            <v>74.918211559432933</v>
          </cell>
          <cell r="AC229">
            <v>109.15587762766225</v>
          </cell>
          <cell r="AD229">
            <v>109.45618316133094</v>
          </cell>
          <cell r="AF229">
            <v>98.583098291975702</v>
          </cell>
          <cell r="AG229">
            <v>109.30603039449659</v>
          </cell>
        </row>
        <row r="230">
          <cell r="A230">
            <v>40406</v>
          </cell>
          <cell r="B230">
            <v>9.1187349999999991</v>
          </cell>
          <cell r="C230">
            <v>47.08</v>
          </cell>
          <cell r="D230">
            <v>62.917400000000001</v>
          </cell>
          <cell r="E230">
            <v>33.591095000000003</v>
          </cell>
          <cell r="F230">
            <v>74.86</v>
          </cell>
          <cell r="G230">
            <v>1.4175542999999999</v>
          </cell>
          <cell r="H230">
            <v>19.57</v>
          </cell>
          <cell r="I230">
            <v>17</v>
          </cell>
          <cell r="J230">
            <v>31.405000000000001</v>
          </cell>
          <cell r="K230">
            <v>5.4013723999999996</v>
          </cell>
          <cell r="L230">
            <v>2</v>
          </cell>
          <cell r="M230">
            <v>13.85</v>
          </cell>
          <cell r="N230">
            <v>8.9442199999999996</v>
          </cell>
          <cell r="O230">
            <v>11.405723999999999</v>
          </cell>
          <cell r="Q230">
            <v>65.9677981122707</v>
          </cell>
          <cell r="R230">
            <v>77.972838688307377</v>
          </cell>
          <cell r="S230">
            <v>120.76897621605103</v>
          </cell>
          <cell r="T230">
            <v>122.87477285003045</v>
          </cell>
          <cell r="U230">
            <v>100.02672367717797</v>
          </cell>
          <cell r="V230">
            <v>137.25346155946491</v>
          </cell>
          <cell r="W230">
            <v>100.0511247443763</v>
          </cell>
          <cell r="X230">
            <v>47.846889952153113</v>
          </cell>
          <cell r="Y230">
            <v>120.16453032332122</v>
          </cell>
          <cell r="Z230">
            <v>118.4588125766908</v>
          </cell>
          <cell r="AA230">
            <v>98.039215686274503</v>
          </cell>
          <cell r="AB230">
            <v>75.517993456924742</v>
          </cell>
          <cell r="AC230">
            <v>109.43368847427568</v>
          </cell>
          <cell r="AD230">
            <v>108.11560630520904</v>
          </cell>
          <cell r="AF230">
            <v>98.745261486920256</v>
          </cell>
          <cell r="AG230">
            <v>108.77464738974237</v>
          </cell>
        </row>
        <row r="231">
          <cell r="A231">
            <v>40407</v>
          </cell>
          <cell r="B231">
            <v>9.2915770000000002</v>
          </cell>
          <cell r="C231">
            <v>47.7</v>
          </cell>
          <cell r="D231">
            <v>63.573684999999998</v>
          </cell>
          <cell r="E231">
            <v>33.329436999999999</v>
          </cell>
          <cell r="F231">
            <v>76.069999999999993</v>
          </cell>
          <cell r="G231">
            <v>1.4321041999999999</v>
          </cell>
          <cell r="H231">
            <v>19.46</v>
          </cell>
          <cell r="I231">
            <v>17.48</v>
          </cell>
          <cell r="J231">
            <v>32.094999999999999</v>
          </cell>
          <cell r="K231">
            <v>5.4682919999999999</v>
          </cell>
          <cell r="L231">
            <v>2.0099999999999998</v>
          </cell>
          <cell r="M231">
            <v>14.07</v>
          </cell>
          <cell r="N231">
            <v>9.3108269999999997</v>
          </cell>
          <cell r="O231">
            <v>11.624254000000001</v>
          </cell>
          <cell r="Q231">
            <v>67.218191523343734</v>
          </cell>
          <cell r="R231">
            <v>78.99966876449156</v>
          </cell>
          <cell r="S231">
            <v>122.02870512341133</v>
          </cell>
          <cell r="T231">
            <v>121.91763920153242</v>
          </cell>
          <cell r="U231">
            <v>101.64350614644573</v>
          </cell>
          <cell r="V231">
            <v>138.66224296582379</v>
          </cell>
          <cell r="W231">
            <v>99.48875255623723</v>
          </cell>
          <cell r="X231">
            <v>49.19786096256685</v>
          </cell>
          <cell r="Y231">
            <v>122.80466806963841</v>
          </cell>
          <cell r="Z231">
            <v>119.9264426097741</v>
          </cell>
          <cell r="AA231">
            <v>98.52941176470587</v>
          </cell>
          <cell r="AB231">
            <v>76.717557251908403</v>
          </cell>
          <cell r="AC231">
            <v>113.91917253330921</v>
          </cell>
          <cell r="AD231">
            <v>110.18706651640453</v>
          </cell>
          <cell r="AF231">
            <v>99.761220578323289</v>
          </cell>
          <cell r="AG231">
            <v>112.05311952485687</v>
          </cell>
        </row>
        <row r="232">
          <cell r="A232">
            <v>40408</v>
          </cell>
          <cell r="B232">
            <v>9.3110490000000006</v>
          </cell>
          <cell r="C232">
            <v>47.62</v>
          </cell>
          <cell r="D232">
            <v>63.620387999999998</v>
          </cell>
          <cell r="E232">
            <v>32.817810000000001</v>
          </cell>
          <cell r="F232">
            <v>76</v>
          </cell>
          <cell r="G232">
            <v>1.4504014999999999</v>
          </cell>
          <cell r="H232">
            <v>19.5</v>
          </cell>
          <cell r="I232">
            <v>17.170000000000002</v>
          </cell>
          <cell r="J232">
            <v>31.79</v>
          </cell>
          <cell r="K232">
            <v>5.4284499999999998</v>
          </cell>
          <cell r="L232">
            <v>2.09</v>
          </cell>
          <cell r="M232">
            <v>14.12</v>
          </cell>
          <cell r="N232">
            <v>9.5819310000000009</v>
          </cell>
          <cell r="O232">
            <v>12.023042999999999</v>
          </cell>
          <cell r="Q232">
            <v>67.359058098021279</v>
          </cell>
          <cell r="R232">
            <v>78.867174561112947</v>
          </cell>
          <cell r="S232">
            <v>122.11835080960019</v>
          </cell>
          <cell r="T232">
            <v>120.04612976104106</v>
          </cell>
          <cell r="U232">
            <v>101.54997327632283</v>
          </cell>
          <cell r="V232">
            <v>140.43386311624201</v>
          </cell>
          <cell r="W232">
            <v>99.693251533742327</v>
          </cell>
          <cell r="X232">
            <v>48.325358851674643</v>
          </cell>
          <cell r="Y232">
            <v>121.63765066003442</v>
          </cell>
          <cell r="Z232">
            <v>119.052658011867</v>
          </cell>
          <cell r="AA232">
            <v>102.45098039215685</v>
          </cell>
          <cell r="AB232">
            <v>76.990185387131945</v>
          </cell>
          <cell r="AC232">
            <v>117.23616503574432</v>
          </cell>
          <cell r="AD232">
            <v>113.96721361823235</v>
          </cell>
          <cell r="AF232">
            <v>99.877052871578954</v>
          </cell>
          <cell r="AG232">
            <v>115.60168932698834</v>
          </cell>
        </row>
        <row r="233">
          <cell r="A233">
            <v>40409</v>
          </cell>
          <cell r="B233">
            <v>9.2415599999999998</v>
          </cell>
          <cell r="C233">
            <v>46.26</v>
          </cell>
          <cell r="D233">
            <v>64.667839999999998</v>
          </cell>
          <cell r="E233">
            <v>32.992355000000003</v>
          </cell>
          <cell r="F233">
            <v>74.95</v>
          </cell>
          <cell r="G233">
            <v>1.4484186999999999</v>
          </cell>
          <cell r="H233">
            <v>19.12</v>
          </cell>
          <cell r="I233">
            <v>17.170000000000002</v>
          </cell>
          <cell r="J233">
            <v>31.715</v>
          </cell>
          <cell r="K233">
            <v>5.4894150000000002</v>
          </cell>
          <cell r="L233">
            <v>2.0598999999999998</v>
          </cell>
          <cell r="M233">
            <v>13.66</v>
          </cell>
          <cell r="N233">
            <v>10.151709</v>
          </cell>
          <cell r="O233">
            <v>13.140508000000001</v>
          </cell>
          <cell r="Q233">
            <v>66.856352807975711</v>
          </cell>
          <cell r="R233">
            <v>76.614773103676697</v>
          </cell>
          <cell r="S233">
            <v>124.12891872365026</v>
          </cell>
          <cell r="T233">
            <v>120.68460782277464</v>
          </cell>
          <cell r="U233">
            <v>100.14698022447888</v>
          </cell>
          <cell r="V233">
            <v>140.24188023164979</v>
          </cell>
          <cell r="W233">
            <v>97.750511247443768</v>
          </cell>
          <cell r="X233">
            <v>48.325358851674643</v>
          </cell>
          <cell r="Y233">
            <v>121.35067916586952</v>
          </cell>
          <cell r="Z233">
            <v>120.3896962632451</v>
          </cell>
          <cell r="AA233">
            <v>100.97549019607843</v>
          </cell>
          <cell r="AB233">
            <v>74.482006543075258</v>
          </cell>
          <cell r="AC233">
            <v>124.20747255629902</v>
          </cell>
          <cell r="AD233">
            <v>124.55973768771275</v>
          </cell>
          <cell r="AF233">
            <v>99.328937931799388</v>
          </cell>
          <cell r="AG233">
            <v>124.38360512200589</v>
          </cell>
        </row>
        <row r="234">
          <cell r="A234">
            <v>40410</v>
          </cell>
          <cell r="B234">
            <v>9.0378039999999995</v>
          </cell>
          <cell r="C234">
            <v>46.38</v>
          </cell>
          <cell r="D234">
            <v>63.214370000000002</v>
          </cell>
          <cell r="E234">
            <v>32.645206000000002</v>
          </cell>
          <cell r="F234">
            <v>75.760000000000005</v>
          </cell>
          <cell r="G234">
            <v>1.4355652000000001</v>
          </cell>
          <cell r="H234">
            <v>19.100000000000001</v>
          </cell>
          <cell r="I234">
            <v>17.28</v>
          </cell>
          <cell r="J234">
            <v>31.385000000000002</v>
          </cell>
          <cell r="K234">
            <v>5.4333359999999997</v>
          </cell>
          <cell r="L234">
            <v>1.96</v>
          </cell>
          <cell r="M234">
            <v>13.36</v>
          </cell>
          <cell r="N234">
            <v>10.402494000000001</v>
          </cell>
          <cell r="O234">
            <v>12.641723000000001</v>
          </cell>
          <cell r="Q234">
            <v>65.382317794109895</v>
          </cell>
          <cell r="R234">
            <v>76.813514408744624</v>
          </cell>
          <cell r="S234">
            <v>121.33900553809679</v>
          </cell>
          <cell r="T234">
            <v>119.41475179336818</v>
          </cell>
          <cell r="U234">
            <v>101.22928915018707</v>
          </cell>
          <cell r="V234">
            <v>138.99735127910486</v>
          </cell>
          <cell r="W234">
            <v>97.64826175869122</v>
          </cell>
          <cell r="X234">
            <v>48.634956374894458</v>
          </cell>
          <cell r="Y234">
            <v>120.08800459154389</v>
          </cell>
          <cell r="Z234">
            <v>119.1598140669188</v>
          </cell>
          <cell r="AA234">
            <v>96.078431372549005</v>
          </cell>
          <cell r="AB234">
            <v>72.846237731733908</v>
          </cell>
          <cell r="AC234">
            <v>127.27585946583628</v>
          </cell>
          <cell r="AD234">
            <v>119.8317219395723</v>
          </cell>
          <cell r="AF234">
            <v>98.13599465499523</v>
          </cell>
          <cell r="AG234">
            <v>123.55379070270429</v>
          </cell>
        </row>
        <row r="235">
          <cell r="A235">
            <v>40411</v>
          </cell>
          <cell r="B235">
            <v>9.0378039999999995</v>
          </cell>
          <cell r="C235">
            <v>46.38</v>
          </cell>
          <cell r="D235">
            <v>63.214370000000002</v>
          </cell>
          <cell r="E235">
            <v>32.645206000000002</v>
          </cell>
          <cell r="F235">
            <v>75.760000000000005</v>
          </cell>
          <cell r="G235">
            <v>1.4355652000000001</v>
          </cell>
          <cell r="H235">
            <v>19.100000000000001</v>
          </cell>
          <cell r="I235">
            <v>17.28</v>
          </cell>
          <cell r="J235">
            <v>31.385000000000002</v>
          </cell>
          <cell r="K235">
            <v>5.4333359999999997</v>
          </cell>
          <cell r="L235">
            <v>1.96</v>
          </cell>
          <cell r="M235">
            <v>13.36</v>
          </cell>
          <cell r="N235">
            <v>10.402494000000001</v>
          </cell>
          <cell r="O235">
            <v>12.641723000000001</v>
          </cell>
          <cell r="Q235">
            <v>65.382317794109895</v>
          </cell>
          <cell r="R235">
            <v>76.813514408744624</v>
          </cell>
          <cell r="S235">
            <v>121.33900553809679</v>
          </cell>
          <cell r="T235">
            <v>119.41475179336818</v>
          </cell>
          <cell r="U235">
            <v>101.22928915018707</v>
          </cell>
          <cell r="V235">
            <v>138.99735127910486</v>
          </cell>
          <cell r="W235">
            <v>97.64826175869122</v>
          </cell>
          <cell r="X235">
            <v>48.634956374894458</v>
          </cell>
          <cell r="Y235">
            <v>120.08800459154389</v>
          </cell>
          <cell r="Z235">
            <v>119.1598140669188</v>
          </cell>
          <cell r="AA235">
            <v>96.078431372549005</v>
          </cell>
          <cell r="AB235">
            <v>72.846237731733908</v>
          </cell>
          <cell r="AC235">
            <v>127.27585946583628</v>
          </cell>
          <cell r="AD235">
            <v>119.8317219395723</v>
          </cell>
          <cell r="AF235">
            <v>98.13599465499523</v>
          </cell>
          <cell r="AG235">
            <v>123.55379070270429</v>
          </cell>
        </row>
        <row r="236">
          <cell r="A236">
            <v>40412</v>
          </cell>
          <cell r="B236">
            <v>9.0378039999999995</v>
          </cell>
          <cell r="C236">
            <v>46.38</v>
          </cell>
          <cell r="D236">
            <v>63.214370000000002</v>
          </cell>
          <cell r="E236">
            <v>32.645206000000002</v>
          </cell>
          <cell r="F236">
            <v>75.760000000000005</v>
          </cell>
          <cell r="G236">
            <v>1.4355652000000001</v>
          </cell>
          <cell r="H236">
            <v>19.100000000000001</v>
          </cell>
          <cell r="I236">
            <v>17.28</v>
          </cell>
          <cell r="J236">
            <v>31.385000000000002</v>
          </cell>
          <cell r="K236">
            <v>5.4333359999999997</v>
          </cell>
          <cell r="L236">
            <v>1.96</v>
          </cell>
          <cell r="M236">
            <v>13.36</v>
          </cell>
          <cell r="N236">
            <v>10.402494000000001</v>
          </cell>
          <cell r="O236">
            <v>12.641723000000001</v>
          </cell>
          <cell r="Q236">
            <v>65.382317794109895</v>
          </cell>
          <cell r="R236">
            <v>76.813514408744624</v>
          </cell>
          <cell r="S236">
            <v>121.33900553809679</v>
          </cell>
          <cell r="T236">
            <v>119.41475179336818</v>
          </cell>
          <cell r="U236">
            <v>101.22928915018707</v>
          </cell>
          <cell r="V236">
            <v>138.99735127910486</v>
          </cell>
          <cell r="W236">
            <v>97.64826175869122</v>
          </cell>
          <cell r="X236">
            <v>48.634956374894458</v>
          </cell>
          <cell r="Y236">
            <v>120.08800459154389</v>
          </cell>
          <cell r="Z236">
            <v>119.1598140669188</v>
          </cell>
          <cell r="AA236">
            <v>96.078431372549005</v>
          </cell>
          <cell r="AB236">
            <v>72.846237731733908</v>
          </cell>
          <cell r="AC236">
            <v>127.27585946583628</v>
          </cell>
          <cell r="AD236">
            <v>119.8317219395723</v>
          </cell>
          <cell r="AF236">
            <v>98.13599465499523</v>
          </cell>
          <cell r="AG236">
            <v>123.55379070270429</v>
          </cell>
        </row>
        <row r="237">
          <cell r="A237">
            <v>40413</v>
          </cell>
          <cell r="B237">
            <v>9.3134689999999996</v>
          </cell>
          <cell r="C237">
            <v>46.19</v>
          </cell>
          <cell r="D237">
            <v>62.918182000000002</v>
          </cell>
          <cell r="E237">
            <v>32.914659999999998</v>
          </cell>
          <cell r="F237">
            <v>75.61</v>
          </cell>
          <cell r="G237">
            <v>1.4660921</v>
          </cell>
          <cell r="H237">
            <v>18.77</v>
          </cell>
          <cell r="I237">
            <v>17.18</v>
          </cell>
          <cell r="J237">
            <v>31.355</v>
          </cell>
          <cell r="K237">
            <v>5.4559245000000001</v>
          </cell>
          <cell r="L237">
            <v>1.94</v>
          </cell>
          <cell r="M237">
            <v>13.04</v>
          </cell>
          <cell r="N237">
            <v>10.440901</v>
          </cell>
          <cell r="O237">
            <v>12.370196999999999</v>
          </cell>
          <cell r="Q237">
            <v>67.376565139450989</v>
          </cell>
          <cell r="R237">
            <v>76.49884067572043</v>
          </cell>
          <cell r="S237">
            <v>120.77047725295658</v>
          </cell>
          <cell r="T237">
            <v>120.40040287272514</v>
          </cell>
          <cell r="U237">
            <v>101.02886157135219</v>
          </cell>
          <cell r="V237">
            <v>141.95309180747802</v>
          </cell>
          <cell r="W237">
            <v>95.961145194274039</v>
          </cell>
          <cell r="X237">
            <v>48.353504081058254</v>
          </cell>
          <cell r="Y237">
            <v>119.97321599387793</v>
          </cell>
          <cell r="Z237">
            <v>119.65520795753233</v>
          </cell>
          <cell r="AA237">
            <v>95.098039215686271</v>
          </cell>
          <cell r="AB237">
            <v>71.101417666303163</v>
          </cell>
          <cell r="AC237">
            <v>127.74577407809218</v>
          </cell>
          <cell r="AD237">
            <v>117.25790916647448</v>
          </cell>
          <cell r="AF237">
            <v>98.180897452367944</v>
          </cell>
          <cell r="AG237">
            <v>122.50184162228334</v>
          </cell>
        </row>
        <row r="238">
          <cell r="A238">
            <v>40414</v>
          </cell>
          <cell r="B238">
            <v>9.5612399999999997</v>
          </cell>
          <cell r="C238">
            <v>45.12</v>
          </cell>
          <cell r="D238">
            <v>63.218043999999999</v>
          </cell>
          <cell r="E238">
            <v>33.728194999999999</v>
          </cell>
          <cell r="F238">
            <v>75.53</v>
          </cell>
          <cell r="G238">
            <v>1.506799</v>
          </cell>
          <cell r="H238">
            <v>18.510000000000002</v>
          </cell>
          <cell r="I238">
            <v>17.34</v>
          </cell>
          <cell r="J238">
            <v>30.43</v>
          </cell>
          <cell r="K238">
            <v>5.4091829999999996</v>
          </cell>
          <cell r="L238">
            <v>1.9</v>
          </cell>
          <cell r="M238">
            <v>12.92</v>
          </cell>
          <cell r="N238">
            <v>10.322399000000001</v>
          </cell>
          <cell r="O238">
            <v>11.736425000000001</v>
          </cell>
          <cell r="Q238">
            <v>69.16901851221327</v>
          </cell>
          <cell r="R238">
            <v>74.726730705531637</v>
          </cell>
          <cell r="S238">
            <v>121.34605772427449</v>
          </cell>
          <cell r="T238">
            <v>123.3762787210876</v>
          </cell>
          <cell r="U238">
            <v>100.9219668626403</v>
          </cell>
          <cell r="V238">
            <v>145.8945019773424</v>
          </cell>
          <cell r="W238">
            <v>94.631901840490812</v>
          </cell>
          <cell r="X238">
            <v>48.803827751196174</v>
          </cell>
          <cell r="Y238">
            <v>116.43390089917733</v>
          </cell>
          <cell r="Z238">
            <v>118.63010874607018</v>
          </cell>
          <cell r="AA238">
            <v>93.137254901960773</v>
          </cell>
          <cell r="AB238">
            <v>70.447110141766629</v>
          </cell>
          <cell r="AC238">
            <v>126.29588678198603</v>
          </cell>
          <cell r="AD238">
            <v>111.2503427867107</v>
          </cell>
          <cell r="AF238">
            <v>98.126554898645963</v>
          </cell>
          <cell r="AG238">
            <v>118.77311478434837</v>
          </cell>
        </row>
        <row r="239">
          <cell r="A239">
            <v>40415</v>
          </cell>
          <cell r="B239">
            <v>9.6629500000000004</v>
          </cell>
          <cell r="C239">
            <v>45.38</v>
          </cell>
          <cell r="D239">
            <v>62.876730000000002</v>
          </cell>
          <cell r="E239">
            <v>33.849426000000001</v>
          </cell>
          <cell r="F239">
            <v>76.12</v>
          </cell>
          <cell r="G239">
            <v>1.5056921999999999</v>
          </cell>
          <cell r="H239">
            <v>19.190000000000001</v>
          </cell>
          <cell r="I239">
            <v>17.79</v>
          </cell>
          <cell r="J239">
            <v>30.335000000000001</v>
          </cell>
          <cell r="K239">
            <v>5.3761140000000003</v>
          </cell>
          <cell r="L239">
            <v>1.91</v>
          </cell>
          <cell r="M239">
            <v>13.15</v>
          </cell>
          <cell r="N239">
            <v>10.421373000000001</v>
          </cell>
          <cell r="O239">
            <v>12.200632000000001</v>
          </cell>
          <cell r="Q239">
            <v>69.90482065428661</v>
          </cell>
          <cell r="R239">
            <v>75.157336866512097</v>
          </cell>
          <cell r="S239">
            <v>120.69091078005548</v>
          </cell>
          <cell r="T239">
            <v>123.81973647640585</v>
          </cell>
          <cell r="U239">
            <v>101.7103153393907</v>
          </cell>
          <cell r="V239">
            <v>145.78733703046592</v>
          </cell>
          <cell r="W239">
            <v>98.108384458077722</v>
          </cell>
          <cell r="X239">
            <v>50.070363073459049</v>
          </cell>
          <cell r="Y239">
            <v>116.07040367323511</v>
          </cell>
          <cell r="Z239">
            <v>117.90486445943323</v>
          </cell>
          <cell r="AA239">
            <v>93.62745098039214</v>
          </cell>
          <cell r="AB239">
            <v>71.701199563794987</v>
          </cell>
          <cell r="AC239">
            <v>127.50684647249599</v>
          </cell>
          <cell r="AD239">
            <v>115.65059140364393</v>
          </cell>
          <cell r="AF239">
            <v>98.712760279625741</v>
          </cell>
          <cell r="AG239">
            <v>121.57871893806995</v>
          </cell>
        </row>
        <row r="240">
          <cell r="A240">
            <v>40416</v>
          </cell>
          <cell r="B240">
            <v>9.6717770000000005</v>
          </cell>
          <cell r="C240">
            <v>44.74</v>
          </cell>
          <cell r="D240">
            <v>62.389225000000003</v>
          </cell>
          <cell r="E240">
            <v>34.621291999999997</v>
          </cell>
          <cell r="F240">
            <v>75.08</v>
          </cell>
          <cell r="G240">
            <v>1.497547</v>
          </cell>
          <cell r="H240">
            <v>19.12</v>
          </cell>
          <cell r="I240">
            <v>17.47</v>
          </cell>
          <cell r="J240">
            <v>29.875</v>
          </cell>
          <cell r="K240">
            <v>5.4403743999999996</v>
          </cell>
          <cell r="L240">
            <v>1.86</v>
          </cell>
          <cell r="M240">
            <v>12.88</v>
          </cell>
          <cell r="N240">
            <v>10.359540000000001</v>
          </cell>
          <cell r="O240">
            <v>12.344977</v>
          </cell>
          <cell r="Q240">
            <v>69.968677949617273</v>
          </cell>
          <cell r="R240">
            <v>74.097383239483278</v>
          </cell>
          <cell r="S240">
            <v>119.75515247233446</v>
          </cell>
          <cell r="T240">
            <v>126.64318892476044</v>
          </cell>
          <cell r="U240">
            <v>100.32068412613575</v>
          </cell>
          <cell r="V240">
            <v>144.99868512831716</v>
          </cell>
          <cell r="W240">
            <v>97.750511247443768</v>
          </cell>
          <cell r="X240">
            <v>49.169715733183224</v>
          </cell>
          <cell r="Y240">
            <v>114.31031184235698</v>
          </cell>
          <cell r="Z240">
            <v>119.31417493017639</v>
          </cell>
          <cell r="AA240">
            <v>91.17647058823529</v>
          </cell>
          <cell r="AB240">
            <v>70.229007633587798</v>
          </cell>
          <cell r="AC240">
            <v>126.75031172050757</v>
          </cell>
          <cell r="AD240">
            <v>117.01884713139303</v>
          </cell>
          <cell r="AF240">
            <v>98.144496984635978</v>
          </cell>
          <cell r="AG240">
            <v>121.88457942595031</v>
          </cell>
        </row>
        <row r="241">
          <cell r="A241">
            <v>40417</v>
          </cell>
          <cell r="B241">
            <v>9.7074960000000008</v>
          </cell>
          <cell r="C241">
            <v>44.65</v>
          </cell>
          <cell r="D241">
            <v>64.132739999999998</v>
          </cell>
          <cell r="E241">
            <v>34.278652000000001</v>
          </cell>
          <cell r="F241">
            <v>75.22</v>
          </cell>
          <cell r="G241">
            <v>1.5125803</v>
          </cell>
          <cell r="H241">
            <v>19.690000000000001</v>
          </cell>
          <cell r="I241">
            <v>17.68</v>
          </cell>
          <cell r="J241">
            <v>30.594999999999999</v>
          </cell>
          <cell r="K241">
            <v>5.5024050000000004</v>
          </cell>
          <cell r="L241">
            <v>1.93</v>
          </cell>
          <cell r="M241">
            <v>13.09</v>
          </cell>
          <cell r="N241">
            <v>10.270163</v>
          </cell>
          <cell r="O241">
            <v>12.381251000000001</v>
          </cell>
          <cell r="Q241">
            <v>70.227080434257104</v>
          </cell>
          <cell r="R241">
            <v>73.948327260682348</v>
          </cell>
          <cell r="S241">
            <v>123.10180254953613</v>
          </cell>
          <cell r="T241">
            <v>125.38982662236053</v>
          </cell>
          <cell r="U241">
            <v>100.5077498663816</v>
          </cell>
          <cell r="V241">
            <v>146.45427131902738</v>
          </cell>
          <cell r="W241">
            <v>100.66462167689163</v>
          </cell>
          <cell r="X241">
            <v>49.760765550239235</v>
          </cell>
          <cell r="Y241">
            <v>117.06523818634014</v>
          </cell>
          <cell r="Z241">
            <v>120.67458311447781</v>
          </cell>
          <cell r="AA241">
            <v>94.607843137254903</v>
          </cell>
          <cell r="AB241">
            <v>71.374045801526719</v>
          </cell>
          <cell r="AC241">
            <v>125.65677256619725</v>
          </cell>
          <cell r="AD241">
            <v>117.36269075790156</v>
          </cell>
          <cell r="AF241">
            <v>99.481346293247967</v>
          </cell>
          <cell r="AG241">
            <v>121.5097316620494</v>
          </cell>
        </row>
        <row r="242">
          <cell r="A242">
            <v>40418</v>
          </cell>
          <cell r="B242">
            <v>9.7074960000000008</v>
          </cell>
          <cell r="C242">
            <v>44.65</v>
          </cell>
          <cell r="D242">
            <v>64.132739999999998</v>
          </cell>
          <cell r="E242">
            <v>34.278652000000001</v>
          </cell>
          <cell r="F242">
            <v>75.22</v>
          </cell>
          <cell r="G242">
            <v>1.5125803</v>
          </cell>
          <cell r="H242">
            <v>19.690000000000001</v>
          </cell>
          <cell r="I242">
            <v>17.68</v>
          </cell>
          <cell r="J242">
            <v>30.594999999999999</v>
          </cell>
          <cell r="K242">
            <v>5.5024050000000004</v>
          </cell>
          <cell r="L242">
            <v>1.93</v>
          </cell>
          <cell r="M242">
            <v>13.09</v>
          </cell>
          <cell r="N242">
            <v>10.270163</v>
          </cell>
          <cell r="O242">
            <v>12.381251000000001</v>
          </cell>
          <cell r="Q242">
            <v>70.227080434257104</v>
          </cell>
          <cell r="R242">
            <v>73.948327260682348</v>
          </cell>
          <cell r="S242">
            <v>123.10180254953613</v>
          </cell>
          <cell r="T242">
            <v>125.38982662236053</v>
          </cell>
          <cell r="U242">
            <v>100.5077498663816</v>
          </cell>
          <cell r="V242">
            <v>146.45427131902738</v>
          </cell>
          <cell r="W242">
            <v>100.66462167689163</v>
          </cell>
          <cell r="X242">
            <v>49.760765550239235</v>
          </cell>
          <cell r="Y242">
            <v>117.06523818634014</v>
          </cell>
          <cell r="Z242">
            <v>120.67458311447781</v>
          </cell>
          <cell r="AA242">
            <v>94.607843137254903</v>
          </cell>
          <cell r="AB242">
            <v>71.374045801526719</v>
          </cell>
          <cell r="AC242">
            <v>125.65677256619725</v>
          </cell>
          <cell r="AD242">
            <v>117.36269075790156</v>
          </cell>
          <cell r="AF242">
            <v>99.481346293247967</v>
          </cell>
          <cell r="AG242">
            <v>121.5097316620494</v>
          </cell>
        </row>
        <row r="243">
          <cell r="A243">
            <v>40419</v>
          </cell>
          <cell r="B243">
            <v>9.7074960000000008</v>
          </cell>
          <cell r="C243">
            <v>44.65</v>
          </cell>
          <cell r="D243">
            <v>64.132739999999998</v>
          </cell>
          <cell r="E243">
            <v>34.278652000000001</v>
          </cell>
          <cell r="F243">
            <v>75.22</v>
          </cell>
          <cell r="G243">
            <v>1.5125803</v>
          </cell>
          <cell r="H243">
            <v>19.690000000000001</v>
          </cell>
          <cell r="I243">
            <v>17.68</v>
          </cell>
          <cell r="J243">
            <v>30.594999999999999</v>
          </cell>
          <cell r="K243">
            <v>5.5024050000000004</v>
          </cell>
          <cell r="L243">
            <v>1.93</v>
          </cell>
          <cell r="M243">
            <v>13.09</v>
          </cell>
          <cell r="N243">
            <v>10.270163</v>
          </cell>
          <cell r="O243">
            <v>12.381251000000001</v>
          </cell>
          <cell r="Q243">
            <v>70.227080434257104</v>
          </cell>
          <cell r="R243">
            <v>73.948327260682348</v>
          </cell>
          <cell r="S243">
            <v>123.10180254953613</v>
          </cell>
          <cell r="T243">
            <v>125.38982662236053</v>
          </cell>
          <cell r="U243">
            <v>100.5077498663816</v>
          </cell>
          <cell r="V243">
            <v>146.45427131902738</v>
          </cell>
          <cell r="W243">
            <v>100.66462167689163</v>
          </cell>
          <cell r="X243">
            <v>49.760765550239235</v>
          </cell>
          <cell r="Y243">
            <v>117.06523818634014</v>
          </cell>
          <cell r="Z243">
            <v>120.67458311447781</v>
          </cell>
          <cell r="AA243">
            <v>94.607843137254903</v>
          </cell>
          <cell r="AB243">
            <v>71.374045801526719</v>
          </cell>
          <cell r="AC243">
            <v>125.65677256619725</v>
          </cell>
          <cell r="AD243">
            <v>117.36269075790156</v>
          </cell>
          <cell r="AF243">
            <v>99.481346293247967</v>
          </cell>
          <cell r="AG243">
            <v>121.5097316620494</v>
          </cell>
        </row>
        <row r="244">
          <cell r="A244">
            <v>40420</v>
          </cell>
          <cell r="B244">
            <v>9.9249100000000006</v>
          </cell>
          <cell r="C244">
            <v>44.33</v>
          </cell>
          <cell r="D244">
            <v>64.451400000000007</v>
          </cell>
          <cell r="E244">
            <v>34.409492</v>
          </cell>
          <cell r="F244">
            <v>73.97</v>
          </cell>
          <cell r="G244">
            <v>1.5362457</v>
          </cell>
          <cell r="H244">
            <v>19.89</v>
          </cell>
          <cell r="I244">
            <v>17.489999999999998</v>
          </cell>
          <cell r="J244">
            <v>30.19</v>
          </cell>
          <cell r="K244">
            <v>5.5357346999999999</v>
          </cell>
          <cell r="L244">
            <v>1.86</v>
          </cell>
          <cell r="M244">
            <v>12.57</v>
          </cell>
          <cell r="N244">
            <v>10.936432</v>
          </cell>
          <cell r="O244">
            <v>12.018682999999999</v>
          </cell>
          <cell r="Q244">
            <v>71.799921717481283</v>
          </cell>
          <cell r="R244">
            <v>73.418350447167938</v>
          </cell>
          <cell r="S244">
            <v>123.71346549112316</v>
          </cell>
          <cell r="T244">
            <v>125.86843368413383</v>
          </cell>
          <cell r="U244">
            <v>98.837520042757873</v>
          </cell>
          <cell r="V244">
            <v>148.74565308069208</v>
          </cell>
          <cell r="W244">
            <v>101.68711656441718</v>
          </cell>
          <cell r="X244">
            <v>49.226006191950461</v>
          </cell>
          <cell r="Y244">
            <v>115.51559211784964</v>
          </cell>
          <cell r="Z244">
            <v>121.40554487625843</v>
          </cell>
          <cell r="AA244">
            <v>91.17647058823529</v>
          </cell>
          <cell r="AB244">
            <v>68.538713195201751</v>
          </cell>
          <cell r="AC244">
            <v>133.80865995113044</v>
          </cell>
          <cell r="AD244">
            <v>113.92588489210407</v>
          </cell>
          <cell r="AF244">
            <v>99.161065666439114</v>
          </cell>
          <cell r="AG244">
            <v>123.86727242161726</v>
          </cell>
        </row>
        <row r="245">
          <cell r="A245">
            <v>40421</v>
          </cell>
          <cell r="B245">
            <v>9.8350524999999998</v>
          </cell>
          <cell r="C245">
            <v>43.5</v>
          </cell>
          <cell r="D245">
            <v>63.236865999999999</v>
          </cell>
          <cell r="E245">
            <v>33.511966999999999</v>
          </cell>
          <cell r="F245">
            <v>72.62</v>
          </cell>
          <cell r="G245">
            <v>1.5132501</v>
          </cell>
          <cell r="H245">
            <v>19.82</v>
          </cell>
          <cell r="I245">
            <v>17.18</v>
          </cell>
          <cell r="J245">
            <v>30.14</v>
          </cell>
          <cell r="K245">
            <v>5.4738072999999998</v>
          </cell>
          <cell r="L245">
            <v>1.84</v>
          </cell>
          <cell r="M245">
            <v>12.5</v>
          </cell>
          <cell r="N245">
            <v>10.490606</v>
          </cell>
          <cell r="O245">
            <v>12.315061</v>
          </cell>
          <cell r="Q245">
            <v>71.14986428968308</v>
          </cell>
          <cell r="R245">
            <v>72.043723087114927</v>
          </cell>
          <cell r="S245">
            <v>121.38218626217241</v>
          </cell>
          <cell r="T245">
            <v>122.58532604795155</v>
          </cell>
          <cell r="U245">
            <v>97.033671833244256</v>
          </cell>
          <cell r="V245">
            <v>146.51912412117579</v>
          </cell>
          <cell r="W245">
            <v>101.32924335378324</v>
          </cell>
          <cell r="X245">
            <v>48.353504081058254</v>
          </cell>
          <cell r="Y245">
            <v>115.32427778840635</v>
          </cell>
          <cell r="Z245">
            <v>120.04739999627168</v>
          </cell>
          <cell r="AA245">
            <v>90.196078431372555</v>
          </cell>
          <cell r="AB245">
            <v>68.157033805888773</v>
          </cell>
          <cell r="AC245">
            <v>128.35392118154155</v>
          </cell>
          <cell r="AD245">
            <v>116.73527140413304</v>
          </cell>
          <cell r="AF245">
            <v>97.843452758176909</v>
          </cell>
          <cell r="AG245">
            <v>122.5445962928373</v>
          </cell>
        </row>
        <row r="246">
          <cell r="A246">
            <v>40422</v>
          </cell>
          <cell r="B246">
            <v>10.427858000000001</v>
          </cell>
          <cell r="C246">
            <v>44.92</v>
          </cell>
          <cell r="D246">
            <v>62.208027000000001</v>
          </cell>
          <cell r="E246">
            <v>33.232807000000001</v>
          </cell>
          <cell r="F246">
            <v>74</v>
          </cell>
          <cell r="G246">
            <v>1.5228614</v>
          </cell>
          <cell r="H246">
            <v>19.989999999999998</v>
          </cell>
          <cell r="I246">
            <v>17.7</v>
          </cell>
          <cell r="J246">
            <v>30.83</v>
          </cell>
          <cell r="K246">
            <v>5.5863529999999999</v>
          </cell>
          <cell r="L246">
            <v>1.86</v>
          </cell>
          <cell r="M246">
            <v>13.36</v>
          </cell>
          <cell r="N246">
            <v>10.344530000000001</v>
          </cell>
          <cell r="O246">
            <v>12.442171</v>
          </cell>
          <cell r="Q246">
            <v>75.438405797232505</v>
          </cell>
          <cell r="R246">
            <v>74.395495197085125</v>
          </cell>
          <cell r="S246">
            <v>119.40734571375265</v>
          </cell>
          <cell r="T246">
            <v>121.56417084033437</v>
          </cell>
          <cell r="U246">
            <v>98.877605558524849</v>
          </cell>
          <cell r="V246">
            <v>147.44972988004267</v>
          </cell>
          <cell r="W246">
            <v>102.19836400817996</v>
          </cell>
          <cell r="X246">
            <v>49.817056009006471</v>
          </cell>
          <cell r="Y246">
            <v>117.96441553472354</v>
          </cell>
          <cell r="Z246">
            <v>122.51566713197455</v>
          </cell>
          <cell r="AA246">
            <v>91.17647058823529</v>
          </cell>
          <cell r="AB246">
            <v>72.846237731733908</v>
          </cell>
          <cell r="AC246">
            <v>126.56666242923353</v>
          </cell>
          <cell r="AD246">
            <v>117.94015543582232</v>
          </cell>
          <cell r="AF246">
            <v>99.470913665902174</v>
          </cell>
          <cell r="AG246">
            <v>122.25340893252792</v>
          </cell>
        </row>
        <row r="247">
          <cell r="A247">
            <v>40423</v>
          </cell>
          <cell r="B247">
            <v>10.4765</v>
          </cell>
          <cell r="C247">
            <v>45</v>
          </cell>
          <cell r="D247">
            <v>64.045550000000006</v>
          </cell>
          <cell r="E247">
            <v>33.896698000000001</v>
          </cell>
          <cell r="F247">
            <v>74.56</v>
          </cell>
          <cell r="G247">
            <v>1.5149827</v>
          </cell>
          <cell r="H247">
            <v>20.27</v>
          </cell>
          <cell r="I247">
            <v>17.95</v>
          </cell>
          <cell r="J247">
            <v>31.49</v>
          </cell>
          <cell r="K247">
            <v>5.6026496999999997</v>
          </cell>
          <cell r="L247">
            <v>1.87</v>
          </cell>
          <cell r="M247">
            <v>13.66</v>
          </cell>
          <cell r="N247">
            <v>10.596026</v>
          </cell>
          <cell r="O247">
            <v>12.669162</v>
          </cell>
          <cell r="Q247">
            <v>75.790297329970002</v>
          </cell>
          <cell r="R247">
            <v>74.527989400463724</v>
          </cell>
          <cell r="S247">
            <v>122.93444269302145</v>
          </cell>
          <cell r="T247">
            <v>123.99265540810983</v>
          </cell>
          <cell r="U247">
            <v>99.625868519508288</v>
          </cell>
          <cell r="V247">
            <v>146.68688160848893</v>
          </cell>
          <cell r="W247">
            <v>103.62985685071575</v>
          </cell>
          <cell r="X247">
            <v>50.520686743596954</v>
          </cell>
          <cell r="Y247">
            <v>120.48976468337477</v>
          </cell>
          <cell r="Z247">
            <v>122.87307402562226</v>
          </cell>
          <cell r="AA247">
            <v>91.666666666666671</v>
          </cell>
          <cell r="AB247">
            <v>74.482006543075258</v>
          </cell>
          <cell r="AC247">
            <v>129.64374851572586</v>
          </cell>
          <cell r="AD247">
            <v>120.09181802127729</v>
          </cell>
          <cell r="AF247">
            <v>100.6016825393845</v>
          </cell>
          <cell r="AG247">
            <v>124.86778326850157</v>
          </cell>
        </row>
        <row r="248">
          <cell r="A248">
            <v>40424</v>
          </cell>
          <cell r="B248">
            <v>10.642452</v>
          </cell>
          <cell r="C248">
            <v>45.93</v>
          </cell>
          <cell r="D248">
            <v>64.852683999999996</v>
          </cell>
          <cell r="E248">
            <v>33.268124</v>
          </cell>
          <cell r="F248">
            <v>75.05</v>
          </cell>
          <cell r="G248">
            <v>1.4946461</v>
          </cell>
          <cell r="H248">
            <v>20.27</v>
          </cell>
          <cell r="I248">
            <v>17.91</v>
          </cell>
          <cell r="J248">
            <v>32.229999999999997</v>
          </cell>
          <cell r="K248">
            <v>5.6138015000000001</v>
          </cell>
          <cell r="L248">
            <v>1.86</v>
          </cell>
          <cell r="M248">
            <v>13.57</v>
          </cell>
          <cell r="N248">
            <v>11.128822</v>
          </cell>
          <cell r="O248">
            <v>12.403999000000001</v>
          </cell>
          <cell r="Q248">
            <v>76.990846313170806</v>
          </cell>
          <cell r="R248">
            <v>76.06823451473997</v>
          </cell>
          <cell r="S248">
            <v>124.48372392284286</v>
          </cell>
          <cell r="T248">
            <v>121.69335889903697</v>
          </cell>
          <cell r="U248">
            <v>100.28059861036877</v>
          </cell>
          <cell r="V248">
            <v>144.71780801014407</v>
          </cell>
          <cell r="W248">
            <v>103.62985685071575</v>
          </cell>
          <cell r="X248">
            <v>50.408105826062474</v>
          </cell>
          <cell r="Y248">
            <v>123.32121675913524</v>
          </cell>
          <cell r="Z248">
            <v>123.11764686531257</v>
          </cell>
          <cell r="AA248">
            <v>91.17647058823529</v>
          </cell>
          <cell r="AB248">
            <v>73.991275899672843</v>
          </cell>
          <cell r="AC248">
            <v>136.16257648332285</v>
          </cell>
          <cell r="AD248">
            <v>117.57832054275615</v>
          </cell>
          <cell r="AF248">
            <v>100.82326192161982</v>
          </cell>
          <cell r="AG248">
            <v>126.87044851303949</v>
          </cell>
        </row>
        <row r="249">
          <cell r="A249">
            <v>40425</v>
          </cell>
          <cell r="B249">
            <v>10.642452</v>
          </cell>
          <cell r="C249">
            <v>45.93</v>
          </cell>
          <cell r="D249">
            <v>64.852683999999996</v>
          </cell>
          <cell r="E249">
            <v>33.268124</v>
          </cell>
          <cell r="F249">
            <v>75.05</v>
          </cell>
          <cell r="G249">
            <v>1.4946461</v>
          </cell>
          <cell r="H249">
            <v>20.27</v>
          </cell>
          <cell r="I249">
            <v>17.91</v>
          </cell>
          <cell r="J249">
            <v>32.229999999999997</v>
          </cell>
          <cell r="K249">
            <v>5.6138015000000001</v>
          </cell>
          <cell r="L249">
            <v>1.86</v>
          </cell>
          <cell r="M249">
            <v>13.57</v>
          </cell>
          <cell r="N249">
            <v>11.128822</v>
          </cell>
          <cell r="O249">
            <v>12.403999000000001</v>
          </cell>
          <cell r="Q249">
            <v>76.990846313170806</v>
          </cell>
          <cell r="R249">
            <v>76.06823451473997</v>
          </cell>
          <cell r="S249">
            <v>124.48372392284286</v>
          </cell>
          <cell r="T249">
            <v>121.69335889903697</v>
          </cell>
          <cell r="U249">
            <v>100.28059861036877</v>
          </cell>
          <cell r="V249">
            <v>144.71780801014407</v>
          </cell>
          <cell r="W249">
            <v>103.62985685071575</v>
          </cell>
          <cell r="X249">
            <v>50.408105826062474</v>
          </cell>
          <cell r="Y249">
            <v>123.32121675913524</v>
          </cell>
          <cell r="Z249">
            <v>123.11764686531257</v>
          </cell>
          <cell r="AA249">
            <v>91.17647058823529</v>
          </cell>
          <cell r="AB249">
            <v>73.991275899672843</v>
          </cell>
          <cell r="AC249">
            <v>136.16257648332285</v>
          </cell>
          <cell r="AD249">
            <v>117.57832054275615</v>
          </cell>
          <cell r="AF249">
            <v>100.82326192161982</v>
          </cell>
          <cell r="AG249">
            <v>126.87044851303949</v>
          </cell>
        </row>
        <row r="250">
          <cell r="A250">
            <v>40426</v>
          </cell>
          <cell r="B250">
            <v>10.642452</v>
          </cell>
          <cell r="C250">
            <v>45.93</v>
          </cell>
          <cell r="D250">
            <v>64.852683999999996</v>
          </cell>
          <cell r="E250">
            <v>33.268124</v>
          </cell>
          <cell r="F250">
            <v>75.05</v>
          </cell>
          <cell r="G250">
            <v>1.4946461</v>
          </cell>
          <cell r="H250">
            <v>20.27</v>
          </cell>
          <cell r="I250">
            <v>17.91</v>
          </cell>
          <cell r="J250">
            <v>32.229999999999997</v>
          </cell>
          <cell r="K250">
            <v>5.6138015000000001</v>
          </cell>
          <cell r="L250">
            <v>1.86</v>
          </cell>
          <cell r="M250">
            <v>13.57</v>
          </cell>
          <cell r="N250">
            <v>11.128822</v>
          </cell>
          <cell r="O250">
            <v>12.403999000000001</v>
          </cell>
          <cell r="Q250">
            <v>76.990846313170806</v>
          </cell>
          <cell r="R250">
            <v>76.06823451473997</v>
          </cell>
          <cell r="S250">
            <v>124.48372392284286</v>
          </cell>
          <cell r="T250">
            <v>121.69335889903697</v>
          </cell>
          <cell r="U250">
            <v>100.28059861036877</v>
          </cell>
          <cell r="V250">
            <v>144.71780801014407</v>
          </cell>
          <cell r="W250">
            <v>103.62985685071575</v>
          </cell>
          <cell r="X250">
            <v>50.408105826062474</v>
          </cell>
          <cell r="Y250">
            <v>123.32121675913524</v>
          </cell>
          <cell r="Z250">
            <v>123.11764686531257</v>
          </cell>
          <cell r="AA250">
            <v>91.17647058823529</v>
          </cell>
          <cell r="AB250">
            <v>73.991275899672843</v>
          </cell>
          <cell r="AC250">
            <v>136.16257648332285</v>
          </cell>
          <cell r="AD250">
            <v>117.57832054275615</v>
          </cell>
          <cell r="AF250">
            <v>100.82326192161982</v>
          </cell>
          <cell r="AG250">
            <v>126.87044851303949</v>
          </cell>
        </row>
        <row r="251">
          <cell r="A251">
            <v>40427</v>
          </cell>
          <cell r="B251">
            <v>10.642452</v>
          </cell>
          <cell r="C251">
            <v>45.93</v>
          </cell>
          <cell r="D251">
            <v>64.852683999999996</v>
          </cell>
          <cell r="E251">
            <v>33.268124</v>
          </cell>
          <cell r="F251">
            <v>75.05</v>
          </cell>
          <cell r="G251">
            <v>1.4946461</v>
          </cell>
          <cell r="H251">
            <v>20.27</v>
          </cell>
          <cell r="I251">
            <v>17.91</v>
          </cell>
          <cell r="J251">
            <v>32.229999999999997</v>
          </cell>
          <cell r="K251">
            <v>5.6138015000000001</v>
          </cell>
          <cell r="L251">
            <v>1.86</v>
          </cell>
          <cell r="M251">
            <v>13.57</v>
          </cell>
          <cell r="N251">
            <v>11.128822</v>
          </cell>
          <cell r="O251">
            <v>12.403999000000001</v>
          </cell>
          <cell r="Q251">
            <v>76.990846313170806</v>
          </cell>
          <cell r="R251">
            <v>76.06823451473997</v>
          </cell>
          <cell r="S251">
            <v>124.48372392284286</v>
          </cell>
          <cell r="T251">
            <v>121.69335889903697</v>
          </cell>
          <cell r="U251">
            <v>100.28059861036877</v>
          </cell>
          <cell r="V251">
            <v>144.71780801014407</v>
          </cell>
          <cell r="W251">
            <v>103.62985685071575</v>
          </cell>
          <cell r="X251">
            <v>50.408105826062474</v>
          </cell>
          <cell r="Y251">
            <v>123.32121675913524</v>
          </cell>
          <cell r="Z251">
            <v>123.11764686531257</v>
          </cell>
          <cell r="AA251">
            <v>91.17647058823529</v>
          </cell>
          <cell r="AB251">
            <v>73.991275899672843</v>
          </cell>
          <cell r="AC251">
            <v>136.16257648332285</v>
          </cell>
          <cell r="AD251">
            <v>117.57832054275615</v>
          </cell>
          <cell r="AF251">
            <v>100.82326192161982</v>
          </cell>
          <cell r="AG251">
            <v>126.87044851303949</v>
          </cell>
        </row>
        <row r="252">
          <cell r="A252">
            <v>40428</v>
          </cell>
          <cell r="B252">
            <v>10.570930000000001</v>
          </cell>
          <cell r="C252">
            <v>45.54</v>
          </cell>
          <cell r="D252">
            <v>65.209599999999995</v>
          </cell>
          <cell r="E252">
            <v>33.787170000000003</v>
          </cell>
          <cell r="F252">
            <v>74.599999999999994</v>
          </cell>
          <cell r="G252">
            <v>1.54234</v>
          </cell>
          <cell r="H252">
            <v>19.600000000000001</v>
          </cell>
          <cell r="I252">
            <v>17.77</v>
          </cell>
          <cell r="J252">
            <v>32.049999999999997</v>
          </cell>
          <cell r="K252">
            <v>5.6280837000000004</v>
          </cell>
          <cell r="L252">
            <v>1.83</v>
          </cell>
          <cell r="M252">
            <v>13.26</v>
          </cell>
          <cell r="N252">
            <v>11.1178665</v>
          </cell>
          <cell r="O252">
            <v>12.681316000000001</v>
          </cell>
          <cell r="Q252">
            <v>76.473433661461357</v>
          </cell>
          <cell r="R252">
            <v>75.42232527326928</v>
          </cell>
          <cell r="S252">
            <v>125.16881866476047</v>
          </cell>
          <cell r="T252">
            <v>123.59200672069079</v>
          </cell>
          <cell r="U252">
            <v>99.679315873864226</v>
          </cell>
          <cell r="V252">
            <v>149.33572837500839</v>
          </cell>
          <cell r="W252">
            <v>100.20449897750512</v>
          </cell>
          <cell r="X252">
            <v>50.014072614691806</v>
          </cell>
          <cell r="Y252">
            <v>122.63248517313944</v>
          </cell>
          <cell r="Z252">
            <v>123.43087326921369</v>
          </cell>
          <cell r="AA252">
            <v>89.705882352941174</v>
          </cell>
          <cell r="AB252">
            <v>72.30098146128681</v>
          </cell>
          <cell r="AC252">
            <v>136.0285345239256</v>
          </cell>
          <cell r="AD252">
            <v>120.20702658489269</v>
          </cell>
          <cell r="AF252">
            <v>100.66336853481938</v>
          </cell>
          <cell r="AG252">
            <v>128.11778055440914</v>
          </cell>
        </row>
        <row r="253">
          <cell r="A253">
            <v>40429</v>
          </cell>
          <cell r="B253">
            <v>10.114336</v>
          </cell>
          <cell r="C253">
            <v>45.45</v>
          </cell>
          <cell r="D253">
            <v>64.827510000000004</v>
          </cell>
          <cell r="E253">
            <v>33.796104</v>
          </cell>
          <cell r="F253">
            <v>74.31</v>
          </cell>
          <cell r="G253">
            <v>1.5570870000000001</v>
          </cell>
          <cell r="H253">
            <v>19.61</v>
          </cell>
          <cell r="I253">
            <v>17.95</v>
          </cell>
          <cell r="J253">
            <v>31.69</v>
          </cell>
          <cell r="K253">
            <v>5.6496972999999997</v>
          </cell>
          <cell r="L253">
            <v>1.9</v>
          </cell>
          <cell r="M253">
            <v>13.6</v>
          </cell>
          <cell r="N253">
            <v>11.485782</v>
          </cell>
          <cell r="O253">
            <v>12.681369999999999</v>
          </cell>
          <cell r="Q253">
            <v>73.170289002550419</v>
          </cell>
          <cell r="R253">
            <v>75.273269294468363</v>
          </cell>
          <cell r="S253">
            <v>124.43540281918533</v>
          </cell>
          <cell r="T253">
            <v>123.62468690633648</v>
          </cell>
          <cell r="U253">
            <v>99.291822554783536</v>
          </cell>
          <cell r="V253">
            <v>150.7635938173533</v>
          </cell>
          <cell r="W253">
            <v>100.25562372188139</v>
          </cell>
          <cell r="X253">
            <v>50.520686743596954</v>
          </cell>
          <cell r="Y253">
            <v>121.25502200114788</v>
          </cell>
          <cell r="Z253">
            <v>123.90488639067658</v>
          </cell>
          <cell r="AA253">
            <v>93.137254901960773</v>
          </cell>
          <cell r="AB253">
            <v>74.154852780806976</v>
          </cell>
          <cell r="AC253">
            <v>140.53002824969013</v>
          </cell>
          <cell r="AD253">
            <v>120.20753845443646</v>
          </cell>
          <cell r="AF253">
            <v>100.81561591122899</v>
          </cell>
          <cell r="AG253">
            <v>130.3687833520633</v>
          </cell>
        </row>
        <row r="254">
          <cell r="A254">
            <v>40430</v>
          </cell>
          <cell r="B254">
            <v>10.462104999999999</v>
          </cell>
          <cell r="C254">
            <v>46.61</v>
          </cell>
          <cell r="D254">
            <v>64.466064000000003</v>
          </cell>
          <cell r="E254">
            <v>34.226703999999998</v>
          </cell>
          <cell r="F254">
            <v>75.790000000000006</v>
          </cell>
          <cell r="G254">
            <v>1.6032214</v>
          </cell>
          <cell r="H254">
            <v>19.739999999999998</v>
          </cell>
          <cell r="I254">
            <v>18.18</v>
          </cell>
          <cell r="J254">
            <v>32.369999999999997</v>
          </cell>
          <cell r="K254">
            <v>5.6939773999999996</v>
          </cell>
          <cell r="L254">
            <v>2.14</v>
          </cell>
          <cell r="M254">
            <v>13.1</v>
          </cell>
          <cell r="N254">
            <v>11.701509</v>
          </cell>
          <cell r="O254">
            <v>12.659697</v>
          </cell>
          <cell r="Q254">
            <v>75.686159370721697</v>
          </cell>
          <cell r="R254">
            <v>77.194435243458088</v>
          </cell>
          <cell r="S254">
            <v>123.74161281232891</v>
          </cell>
          <cell r="T254">
            <v>125.19980308487197</v>
          </cell>
          <cell r="U254">
            <v>101.26937466595405</v>
          </cell>
          <cell r="V254">
            <v>155.230516951775</v>
          </cell>
          <cell r="W254">
            <v>100.92024539877301</v>
          </cell>
          <cell r="X254">
            <v>51.168027019420201</v>
          </cell>
          <cell r="Y254">
            <v>123.85689688157642</v>
          </cell>
          <cell r="Z254">
            <v>124.87600403973502</v>
          </cell>
          <cell r="AA254">
            <v>104.90196078431373</v>
          </cell>
          <cell r="AB254">
            <v>71.428571428571431</v>
          </cell>
          <cell r="AC254">
            <v>143.16947599510448</v>
          </cell>
          <cell r="AD254">
            <v>120.00209866512954</v>
          </cell>
          <cell r="AF254">
            <v>102.95613397345829</v>
          </cell>
          <cell r="AG254">
            <v>131.585787330117</v>
          </cell>
        </row>
        <row r="255">
          <cell r="A255">
            <v>40431</v>
          </cell>
          <cell r="B255">
            <v>10.182235</v>
          </cell>
          <cell r="C255">
            <v>47.74</v>
          </cell>
          <cell r="D255">
            <v>65.756675999999999</v>
          </cell>
          <cell r="E255">
            <v>33.946587000000001</v>
          </cell>
          <cell r="F255">
            <v>76.650000000000006</v>
          </cell>
          <cell r="G255">
            <v>1.6041783999999999</v>
          </cell>
          <cell r="H255">
            <v>19.64</v>
          </cell>
          <cell r="I255">
            <v>18</v>
          </cell>
          <cell r="J255">
            <v>32.31</v>
          </cell>
          <cell r="K255">
            <v>5.6887100000000004</v>
          </cell>
          <cell r="L255">
            <v>2.39</v>
          </cell>
          <cell r="M255">
            <v>13.2</v>
          </cell>
          <cell r="N255">
            <v>11.820193</v>
          </cell>
          <cell r="O255">
            <v>12.687785</v>
          </cell>
          <cell r="Q255">
            <v>73.661491732317771</v>
          </cell>
          <cell r="R255">
            <v>79.065915866180859</v>
          </cell>
          <cell r="S255">
            <v>126.21892258565315</v>
          </cell>
          <cell r="T255">
            <v>124.17514721264062</v>
          </cell>
          <cell r="U255">
            <v>102.41849278460717</v>
          </cell>
          <cell r="V255">
            <v>155.32317764400557</v>
          </cell>
          <cell r="W255">
            <v>100.40899795501024</v>
          </cell>
          <cell r="X255">
            <v>50.661412890515059</v>
          </cell>
          <cell r="Y255">
            <v>123.62731968624449</v>
          </cell>
          <cell r="Z255">
            <v>124.76048340846613</v>
          </cell>
          <cell r="AA255">
            <v>117.15686274509804</v>
          </cell>
          <cell r="AB255">
            <v>71.973827699018528</v>
          </cell>
          <cell r="AC255">
            <v>144.62159008474907</v>
          </cell>
          <cell r="AD255">
            <v>120.26834666042565</v>
          </cell>
          <cell r="AF255">
            <v>104.12100435081315</v>
          </cell>
          <cell r="AG255">
            <v>132.44496837258737</v>
          </cell>
        </row>
        <row r="256">
          <cell r="A256">
            <v>40432</v>
          </cell>
          <cell r="B256">
            <v>10.182235</v>
          </cell>
          <cell r="C256">
            <v>47.74</v>
          </cell>
          <cell r="D256">
            <v>65.756675999999999</v>
          </cell>
          <cell r="E256">
            <v>33.946587000000001</v>
          </cell>
          <cell r="F256">
            <v>76.650000000000006</v>
          </cell>
          <cell r="G256">
            <v>1.6041783999999999</v>
          </cell>
          <cell r="H256">
            <v>19.64</v>
          </cell>
          <cell r="I256">
            <v>18</v>
          </cell>
          <cell r="J256">
            <v>32.31</v>
          </cell>
          <cell r="K256">
            <v>5.6887100000000004</v>
          </cell>
          <cell r="L256">
            <v>2.39</v>
          </cell>
          <cell r="M256">
            <v>13.2</v>
          </cell>
          <cell r="N256">
            <v>11.820193</v>
          </cell>
          <cell r="O256">
            <v>12.687785</v>
          </cell>
          <cell r="Q256">
            <v>73.661491732317771</v>
          </cell>
          <cell r="R256">
            <v>79.065915866180859</v>
          </cell>
          <cell r="S256">
            <v>126.21892258565315</v>
          </cell>
          <cell r="T256">
            <v>124.17514721264062</v>
          </cell>
          <cell r="U256">
            <v>102.41849278460717</v>
          </cell>
          <cell r="V256">
            <v>155.32317764400557</v>
          </cell>
          <cell r="W256">
            <v>100.40899795501024</v>
          </cell>
          <cell r="X256">
            <v>50.661412890515059</v>
          </cell>
          <cell r="Y256">
            <v>123.62731968624449</v>
          </cell>
          <cell r="Z256">
            <v>124.76048340846613</v>
          </cell>
          <cell r="AA256">
            <v>117.15686274509804</v>
          </cell>
          <cell r="AB256">
            <v>71.973827699018528</v>
          </cell>
          <cell r="AC256">
            <v>144.62159008474907</v>
          </cell>
          <cell r="AD256">
            <v>120.26834666042565</v>
          </cell>
          <cell r="AF256">
            <v>104.12100435081315</v>
          </cell>
          <cell r="AG256">
            <v>132.44496837258737</v>
          </cell>
        </row>
        <row r="257">
          <cell r="A257">
            <v>40433</v>
          </cell>
          <cell r="B257">
            <v>10.182235</v>
          </cell>
          <cell r="C257">
            <v>47.74</v>
          </cell>
          <cell r="D257">
            <v>65.756675999999999</v>
          </cell>
          <cell r="E257">
            <v>33.946587000000001</v>
          </cell>
          <cell r="F257">
            <v>76.650000000000006</v>
          </cell>
          <cell r="G257">
            <v>1.6041783999999999</v>
          </cell>
          <cell r="H257">
            <v>19.64</v>
          </cell>
          <cell r="I257">
            <v>18</v>
          </cell>
          <cell r="J257">
            <v>32.31</v>
          </cell>
          <cell r="K257">
            <v>5.6887100000000004</v>
          </cell>
          <cell r="L257">
            <v>2.39</v>
          </cell>
          <cell r="M257">
            <v>13.2</v>
          </cell>
          <cell r="N257">
            <v>11.820193</v>
          </cell>
          <cell r="O257">
            <v>12.687785</v>
          </cell>
          <cell r="Q257">
            <v>73.661491732317771</v>
          </cell>
          <cell r="R257">
            <v>79.065915866180859</v>
          </cell>
          <cell r="S257">
            <v>126.21892258565315</v>
          </cell>
          <cell r="T257">
            <v>124.17514721264062</v>
          </cell>
          <cell r="U257">
            <v>102.41849278460717</v>
          </cell>
          <cell r="V257">
            <v>155.32317764400557</v>
          </cell>
          <cell r="W257">
            <v>100.40899795501024</v>
          </cell>
          <cell r="X257">
            <v>50.661412890515059</v>
          </cell>
          <cell r="Y257">
            <v>123.62731968624449</v>
          </cell>
          <cell r="Z257">
            <v>124.76048340846613</v>
          </cell>
          <cell r="AA257">
            <v>117.15686274509804</v>
          </cell>
          <cell r="AB257">
            <v>71.973827699018528</v>
          </cell>
          <cell r="AC257">
            <v>144.62159008474907</v>
          </cell>
          <cell r="AD257">
            <v>120.26834666042565</v>
          </cell>
          <cell r="AF257">
            <v>104.12100435081315</v>
          </cell>
          <cell r="AG257">
            <v>132.44496837258737</v>
          </cell>
        </row>
        <row r="258">
          <cell r="A258">
            <v>40434</v>
          </cell>
          <cell r="B258">
            <v>10.390155999999999</v>
          </cell>
          <cell r="C258">
            <v>47.02</v>
          </cell>
          <cell r="D258">
            <v>65.759636</v>
          </cell>
          <cell r="E258">
            <v>34.073276999999997</v>
          </cell>
          <cell r="F258">
            <v>73.05</v>
          </cell>
          <cell r="G258">
            <v>1.5940728</v>
          </cell>
          <cell r="H258">
            <v>19.72</v>
          </cell>
          <cell r="I258">
            <v>18.170000000000002</v>
          </cell>
          <cell r="J258">
            <v>33.06</v>
          </cell>
          <cell r="K258">
            <v>5.7473473999999998</v>
          </cell>
          <cell r="L258">
            <v>2.58</v>
          </cell>
          <cell r="M258">
            <v>13.26</v>
          </cell>
          <cell r="N258">
            <v>11.940299</v>
          </cell>
          <cell r="O258">
            <v>12.721549</v>
          </cell>
          <cell r="Q258">
            <v>75.165657666660792</v>
          </cell>
          <cell r="R258">
            <v>77.873468035773442</v>
          </cell>
          <cell r="S258">
            <v>126.22460425987363</v>
          </cell>
          <cell r="T258">
            <v>124.63857375388227</v>
          </cell>
          <cell r="U258">
            <v>97.608230892570816</v>
          </cell>
          <cell r="V258">
            <v>154.34471171777238</v>
          </cell>
          <cell r="W258">
            <v>100.81799591002046</v>
          </cell>
          <cell r="X258">
            <v>51.13988179003659</v>
          </cell>
          <cell r="Y258">
            <v>126.49703462789364</v>
          </cell>
          <cell r="Z258">
            <v>126.04647449780192</v>
          </cell>
          <cell r="AA258">
            <v>126.47058823529412</v>
          </cell>
          <cell r="AB258">
            <v>72.30098146128681</v>
          </cell>
          <cell r="AC258">
            <v>146.09110252830382</v>
          </cell>
          <cell r="AD258">
            <v>120.58839783221353</v>
          </cell>
          <cell r="AF258">
            <v>104.92735023740558</v>
          </cell>
          <cell r="AG258">
            <v>133.33975018025868</v>
          </cell>
        </row>
        <row r="259">
          <cell r="A259">
            <v>40435</v>
          </cell>
          <cell r="B259">
            <v>10.319553000000001</v>
          </cell>
          <cell r="C259">
            <v>47.48</v>
          </cell>
          <cell r="D259">
            <v>68.396649999999994</v>
          </cell>
          <cell r="E259">
            <v>35.137577</v>
          </cell>
          <cell r="F259">
            <v>74.819999999999993</v>
          </cell>
          <cell r="G259">
            <v>1.6058231999999999</v>
          </cell>
          <cell r="H259">
            <v>20</v>
          </cell>
          <cell r="I259">
            <v>17.329999999999998</v>
          </cell>
          <cell r="J259">
            <v>33.1</v>
          </cell>
          <cell r="K259">
            <v>5.7988749999999998</v>
          </cell>
          <cell r="L259">
            <v>2.52</v>
          </cell>
          <cell r="M259">
            <v>13.3</v>
          </cell>
          <cell r="N259">
            <v>11.89395</v>
          </cell>
          <cell r="O259">
            <v>12.778672</v>
          </cell>
          <cell r="Q259">
            <v>74.654893350105851</v>
          </cell>
          <cell r="R259">
            <v>78.635309705200385</v>
          </cell>
          <cell r="S259">
            <v>131.28631184867089</v>
          </cell>
          <cell r="T259">
            <v>128.53173712781481</v>
          </cell>
          <cell r="U259">
            <v>99.973276322822002</v>
          </cell>
          <cell r="V259">
            <v>155.48243397272114</v>
          </cell>
          <cell r="W259">
            <v>102.24948875255623</v>
          </cell>
          <cell r="X259">
            <v>48.775682521812548</v>
          </cell>
          <cell r="Y259">
            <v>126.65008609144826</v>
          </cell>
          <cell r="Z259">
            <v>127.17653883310433</v>
          </cell>
          <cell r="AA259">
            <v>123.52941176470588</v>
          </cell>
          <cell r="AB259">
            <v>72.519083969465655</v>
          </cell>
          <cell r="AC259">
            <v>145.52401651889281</v>
          </cell>
          <cell r="AD259">
            <v>121.12987049795333</v>
          </cell>
          <cell r="AF259">
            <v>105.78868785503566</v>
          </cell>
          <cell r="AG259">
            <v>133.32694350842308</v>
          </cell>
        </row>
        <row r="260">
          <cell r="A260">
            <v>40436</v>
          </cell>
          <cell r="B260">
            <v>10.399706999999999</v>
          </cell>
          <cell r="C260">
            <v>48.43</v>
          </cell>
          <cell r="D260">
            <v>67.141525000000001</v>
          </cell>
          <cell r="E260">
            <v>33.734237999999998</v>
          </cell>
          <cell r="F260">
            <v>75.45</v>
          </cell>
          <cell r="G260">
            <v>1.6376280999999999</v>
          </cell>
          <cell r="H260">
            <v>20.41</v>
          </cell>
          <cell r="I260">
            <v>16.88</v>
          </cell>
          <cell r="J260">
            <v>33.43</v>
          </cell>
          <cell r="K260">
            <v>5.8257184000000004</v>
          </cell>
          <cell r="L260">
            <v>2.46</v>
          </cell>
          <cell r="M260">
            <v>13.42</v>
          </cell>
          <cell r="N260">
            <v>11.977097499999999</v>
          </cell>
          <cell r="O260">
            <v>12.824259</v>
          </cell>
          <cell r="Q260">
            <v>75.234752605791087</v>
          </cell>
          <cell r="R260">
            <v>80.208678370321294</v>
          </cell>
          <cell r="S260">
            <v>128.8771188230028</v>
          </cell>
          <cell r="T260">
            <v>123.39838375375571</v>
          </cell>
          <cell r="U260">
            <v>100.81507215392837</v>
          </cell>
          <cell r="V260">
            <v>158.56191573899468</v>
          </cell>
          <cell r="W260">
            <v>104.34560327198366</v>
          </cell>
          <cell r="X260">
            <v>47.509147199549673</v>
          </cell>
          <cell r="Y260">
            <v>127.91276066577386</v>
          </cell>
          <cell r="Z260">
            <v>127.76524797108586</v>
          </cell>
          <cell r="AA260">
            <v>120.58823529411764</v>
          </cell>
          <cell r="AB260">
            <v>73.173391494002189</v>
          </cell>
          <cell r="AC260">
            <v>146.54133693502914</v>
          </cell>
          <cell r="AD260">
            <v>121.56199266263448</v>
          </cell>
          <cell r="AF260">
            <v>105.69919227852556</v>
          </cell>
          <cell r="AG260">
            <v>134.05166479883181</v>
          </cell>
        </row>
        <row r="261">
          <cell r="A261">
            <v>40437</v>
          </cell>
          <cell r="B261">
            <v>10.092879999999999</v>
          </cell>
          <cell r="C261">
            <v>47.8</v>
          </cell>
          <cell r="D261">
            <v>66.651110000000003</v>
          </cell>
          <cell r="E261">
            <v>33.652389999999997</v>
          </cell>
          <cell r="F261">
            <v>74.52</v>
          </cell>
          <cell r="G261">
            <v>1.6982756000000001</v>
          </cell>
          <cell r="H261">
            <v>20.34</v>
          </cell>
          <cell r="I261">
            <v>16.64</v>
          </cell>
          <cell r="J261">
            <v>33.270000000000003</v>
          </cell>
          <cell r="K261">
            <v>5.8343596</v>
          </cell>
          <cell r="L261">
            <v>2.4900000000000002</v>
          </cell>
          <cell r="M261">
            <v>13.29</v>
          </cell>
          <cell r="N261">
            <v>12.054859</v>
          </cell>
          <cell r="O261">
            <v>12.811927000000001</v>
          </cell>
          <cell r="Q261">
            <v>73.015069547626368</v>
          </cell>
          <cell r="R261">
            <v>79.165286518714794</v>
          </cell>
          <cell r="S261">
            <v>127.935774815288</v>
          </cell>
          <cell r="T261">
            <v>123.09898730930431</v>
          </cell>
          <cell r="U261">
            <v>99.572421165152321</v>
          </cell>
          <cell r="V261">
            <v>164.43405715179819</v>
          </cell>
          <cell r="W261">
            <v>103.98773006134969</v>
          </cell>
          <cell r="X261">
            <v>46.833661694342808</v>
          </cell>
          <cell r="Y261">
            <v>127.3005548115554</v>
          </cell>
          <cell r="Z261">
            <v>127.95476023119916</v>
          </cell>
          <cell r="AA261">
            <v>122.05882352941177</v>
          </cell>
          <cell r="AB261">
            <v>72.464558342420943</v>
          </cell>
          <cell r="AC261">
            <v>147.49275894458307</v>
          </cell>
          <cell r="AD261">
            <v>121.4450968253377</v>
          </cell>
          <cell r="AF261">
            <v>105.65180709818031</v>
          </cell>
          <cell r="AG261">
            <v>134.46892788496038</v>
          </cell>
        </row>
        <row r="262">
          <cell r="A262">
            <v>40438</v>
          </cell>
          <cell r="B262">
            <v>10.336213000000001</v>
          </cell>
          <cell r="C262">
            <v>48.27</v>
          </cell>
          <cell r="D262">
            <v>67.206339999999997</v>
          </cell>
          <cell r="E262">
            <v>32.96255</v>
          </cell>
          <cell r="F262">
            <v>74.959999999999994</v>
          </cell>
          <cell r="G262">
            <v>1.6913636000000001</v>
          </cell>
          <cell r="H262">
            <v>20.21</v>
          </cell>
          <cell r="I262">
            <v>16.190000000000001</v>
          </cell>
          <cell r="J262">
            <v>33.06</v>
          </cell>
          <cell r="K262">
            <v>5.838133</v>
          </cell>
          <cell r="L262">
            <v>2.4900000000000002</v>
          </cell>
          <cell r="M262">
            <v>12.72</v>
          </cell>
          <cell r="N262">
            <v>12.215164</v>
          </cell>
          <cell r="O262">
            <v>13.054375</v>
          </cell>
          <cell r="Q262">
            <v>74.77541703201463</v>
          </cell>
          <cell r="R262">
            <v>79.943689963564097</v>
          </cell>
          <cell r="S262">
            <v>129.00153021307042</v>
          </cell>
          <cell r="T262">
            <v>120.57558242170346</v>
          </cell>
          <cell r="U262">
            <v>100.16034206306787</v>
          </cell>
          <cell r="V262">
            <v>163.76480876653417</v>
          </cell>
          <cell r="W262">
            <v>103.32310838445808</v>
          </cell>
          <cell r="X262">
            <v>45.567126372079933</v>
          </cell>
          <cell r="Y262">
            <v>126.49703462789364</v>
          </cell>
          <cell r="Z262">
            <v>128.0375155848898</v>
          </cell>
          <cell r="AA262">
            <v>122.05882352941177</v>
          </cell>
          <cell r="AB262">
            <v>69.356597600872419</v>
          </cell>
          <cell r="AC262">
            <v>149.45411135215673</v>
          </cell>
          <cell r="AD262">
            <v>123.74327732816992</v>
          </cell>
          <cell r="AF262">
            <v>105.25513137996336</v>
          </cell>
          <cell r="AG262">
            <v>136.59869434016332</v>
          </cell>
        </row>
        <row r="263">
          <cell r="A263">
            <v>40439</v>
          </cell>
          <cell r="B263">
            <v>10.336213000000001</v>
          </cell>
          <cell r="C263">
            <v>48.27</v>
          </cell>
          <cell r="D263">
            <v>67.206339999999997</v>
          </cell>
          <cell r="E263">
            <v>32.96255</v>
          </cell>
          <cell r="F263">
            <v>74.959999999999994</v>
          </cell>
          <cell r="G263">
            <v>1.6913636000000001</v>
          </cell>
          <cell r="H263">
            <v>20.21</v>
          </cell>
          <cell r="I263">
            <v>16.190000000000001</v>
          </cell>
          <cell r="J263">
            <v>33.06</v>
          </cell>
          <cell r="K263">
            <v>5.838133</v>
          </cell>
          <cell r="L263">
            <v>2.4900000000000002</v>
          </cell>
          <cell r="M263">
            <v>12.72</v>
          </cell>
          <cell r="N263">
            <v>12.215164</v>
          </cell>
          <cell r="O263">
            <v>13.054375</v>
          </cell>
          <cell r="Q263">
            <v>74.77541703201463</v>
          </cell>
          <cell r="R263">
            <v>79.943689963564097</v>
          </cell>
          <cell r="S263">
            <v>129.00153021307042</v>
          </cell>
          <cell r="T263">
            <v>120.57558242170346</v>
          </cell>
          <cell r="U263">
            <v>100.16034206306787</v>
          </cell>
          <cell r="V263">
            <v>163.76480876653417</v>
          </cell>
          <cell r="W263">
            <v>103.32310838445808</v>
          </cell>
          <cell r="X263">
            <v>45.567126372079933</v>
          </cell>
          <cell r="Y263">
            <v>126.49703462789364</v>
          </cell>
          <cell r="Z263">
            <v>128.0375155848898</v>
          </cell>
          <cell r="AA263">
            <v>122.05882352941177</v>
          </cell>
          <cell r="AB263">
            <v>69.356597600872419</v>
          </cell>
          <cell r="AC263">
            <v>149.45411135215673</v>
          </cell>
          <cell r="AD263">
            <v>123.74327732816992</v>
          </cell>
          <cell r="AF263">
            <v>105.25513137996336</v>
          </cell>
          <cell r="AG263">
            <v>136.59869434016332</v>
          </cell>
        </row>
        <row r="264">
          <cell r="A264">
            <v>40440</v>
          </cell>
          <cell r="B264">
            <v>10.336213000000001</v>
          </cell>
          <cell r="C264">
            <v>48.27</v>
          </cell>
          <cell r="D264">
            <v>67.206339999999997</v>
          </cell>
          <cell r="E264">
            <v>32.96255</v>
          </cell>
          <cell r="F264">
            <v>74.959999999999994</v>
          </cell>
          <cell r="G264">
            <v>1.6913636000000001</v>
          </cell>
          <cell r="H264">
            <v>20.21</v>
          </cell>
          <cell r="I264">
            <v>16.190000000000001</v>
          </cell>
          <cell r="J264">
            <v>33.06</v>
          </cell>
          <cell r="K264">
            <v>5.838133</v>
          </cell>
          <cell r="L264">
            <v>2.4900000000000002</v>
          </cell>
          <cell r="M264">
            <v>12.72</v>
          </cell>
          <cell r="N264">
            <v>12.215164</v>
          </cell>
          <cell r="O264">
            <v>13.054375</v>
          </cell>
          <cell r="Q264">
            <v>74.77541703201463</v>
          </cell>
          <cell r="R264">
            <v>79.943689963564097</v>
          </cell>
          <cell r="S264">
            <v>129.00153021307042</v>
          </cell>
          <cell r="T264">
            <v>120.57558242170346</v>
          </cell>
          <cell r="U264">
            <v>100.16034206306787</v>
          </cell>
          <cell r="V264">
            <v>163.76480876653417</v>
          </cell>
          <cell r="W264">
            <v>103.32310838445808</v>
          </cell>
          <cell r="X264">
            <v>45.567126372079933</v>
          </cell>
          <cell r="Y264">
            <v>126.49703462789364</v>
          </cell>
          <cell r="Z264">
            <v>128.0375155848898</v>
          </cell>
          <cell r="AA264">
            <v>122.05882352941177</v>
          </cell>
          <cell r="AB264">
            <v>69.356597600872419</v>
          </cell>
          <cell r="AC264">
            <v>149.45411135215673</v>
          </cell>
          <cell r="AD264">
            <v>123.74327732816992</v>
          </cell>
          <cell r="AF264">
            <v>105.25513137996336</v>
          </cell>
          <cell r="AG264">
            <v>136.59869434016332</v>
          </cell>
        </row>
        <row r="265">
          <cell r="A265">
            <v>40441</v>
          </cell>
          <cell r="B265">
            <v>10.434049999999999</v>
          </cell>
          <cell r="C265">
            <v>49.71</v>
          </cell>
          <cell r="D265">
            <v>67.288634999999999</v>
          </cell>
          <cell r="E265">
            <v>33.002920000000003</v>
          </cell>
          <cell r="F265">
            <v>76.510000000000005</v>
          </cell>
          <cell r="G265">
            <v>1.6867832</v>
          </cell>
          <cell r="H265">
            <v>20.47</v>
          </cell>
          <cell r="I265">
            <v>16.39</v>
          </cell>
          <cell r="J265">
            <v>33.159999999999997</v>
          </cell>
          <cell r="K265">
            <v>5.8999804999999999</v>
          </cell>
          <cell r="L265">
            <v>2.4700000000000002</v>
          </cell>
          <cell r="M265">
            <v>13.2</v>
          </cell>
          <cell r="N265">
            <v>12.152799</v>
          </cell>
          <cell r="O265">
            <v>13.212600999999999</v>
          </cell>
          <cell r="Q265">
            <v>75.483200673485754</v>
          </cell>
          <cell r="R265">
            <v>82.328585624378931</v>
          </cell>
          <cell r="S265">
            <v>129.1594941927915</v>
          </cell>
          <cell r="T265">
            <v>120.72325413588712</v>
          </cell>
          <cell r="U265">
            <v>102.2314270443613</v>
          </cell>
          <cell r="V265">
            <v>163.32131552234102</v>
          </cell>
          <cell r="W265">
            <v>104.65235173824129</v>
          </cell>
          <cell r="X265">
            <v>46.130030959752318</v>
          </cell>
          <cell r="Y265">
            <v>126.87966328678016</v>
          </cell>
          <cell r="Z265">
            <v>129.39390815853218</v>
          </cell>
          <cell r="AA265">
            <v>121.07843137254903</v>
          </cell>
          <cell r="AB265">
            <v>71.973827699018528</v>
          </cell>
          <cell r="AC265">
            <v>148.69106751136368</v>
          </cell>
          <cell r="AD265">
            <v>125.24311196587006</v>
          </cell>
          <cell r="AF265">
            <v>106.11295753400992</v>
          </cell>
          <cell r="AG265">
            <v>136.96708973861686</v>
          </cell>
        </row>
        <row r="266">
          <cell r="A266">
            <v>40442</v>
          </cell>
          <cell r="B266">
            <v>10.309343999999999</v>
          </cell>
          <cell r="C266">
            <v>49.06</v>
          </cell>
          <cell r="D266">
            <v>68.088589999999996</v>
          </cell>
          <cell r="E266">
            <v>33.821632000000001</v>
          </cell>
          <cell r="F266">
            <v>76.38</v>
          </cell>
          <cell r="G266">
            <v>1.6818078999999999</v>
          </cell>
          <cell r="H266">
            <v>20.7</v>
          </cell>
          <cell r="I266">
            <v>14.65</v>
          </cell>
          <cell r="J266">
            <v>32.42</v>
          </cell>
          <cell r="K266">
            <v>5.8937606999999996</v>
          </cell>
          <cell r="L266">
            <v>2.4700000000000002</v>
          </cell>
          <cell r="M266">
            <v>12.81</v>
          </cell>
          <cell r="N266">
            <v>11.676975000000001</v>
          </cell>
          <cell r="O266">
            <v>12.746401000000001</v>
          </cell>
          <cell r="Q266">
            <v>74.581038231942173</v>
          </cell>
          <cell r="R266">
            <v>81.252070221927781</v>
          </cell>
          <cell r="S266">
            <v>130.69499544314368</v>
          </cell>
          <cell r="T266">
            <v>123.71806722636821</v>
          </cell>
          <cell r="U266">
            <v>102.05772314270443</v>
          </cell>
          <cell r="V266">
            <v>162.83958642928488</v>
          </cell>
          <cell r="W266">
            <v>105.82822085889572</v>
          </cell>
          <cell r="X266">
            <v>41.232761047002533</v>
          </cell>
          <cell r="Y266">
            <v>124.04821121101971</v>
          </cell>
          <cell r="Z266">
            <v>129.25750021108823</v>
          </cell>
          <cell r="AA266">
            <v>121.07843137254903</v>
          </cell>
          <cell r="AB266">
            <v>69.847328244274806</v>
          </cell>
          <cell r="AC266">
            <v>142.86929933207207</v>
          </cell>
          <cell r="AD266">
            <v>120.82397157114471</v>
          </cell>
          <cell r="AF266">
            <v>105.5363278033501</v>
          </cell>
          <cell r="AG266">
            <v>131.84663545160839</v>
          </cell>
        </row>
        <row r="267">
          <cell r="A267">
            <v>40443</v>
          </cell>
          <cell r="B267">
            <v>10.275494999999999</v>
          </cell>
          <cell r="C267">
            <v>48.93</v>
          </cell>
          <cell r="D267">
            <v>68.536934000000002</v>
          </cell>
          <cell r="E267">
            <v>34.552554999999998</v>
          </cell>
          <cell r="F267">
            <v>76.25</v>
          </cell>
          <cell r="G267">
            <v>1.6970246</v>
          </cell>
          <cell r="H267">
            <v>20.83</v>
          </cell>
          <cell r="I267">
            <v>13.99</v>
          </cell>
          <cell r="J267">
            <v>32.61</v>
          </cell>
          <cell r="K267">
            <v>5.9605519999999999</v>
          </cell>
          <cell r="L267">
            <v>2.4</v>
          </cell>
          <cell r="M267">
            <v>12.41</v>
          </cell>
          <cell r="N267">
            <v>11.460152000000001</v>
          </cell>
          <cell r="O267">
            <v>12.681791</v>
          </cell>
          <cell r="Q267">
            <v>74.336163915679862</v>
          </cell>
          <cell r="R267">
            <v>81.036767141437565</v>
          </cell>
          <cell r="S267">
            <v>131.55558481703088</v>
          </cell>
          <cell r="T267">
            <v>126.39175195131872</v>
          </cell>
          <cell r="U267">
            <v>101.88401924104757</v>
          </cell>
          <cell r="V267">
            <v>164.31293016540275</v>
          </cell>
          <cell r="W267">
            <v>106.49284253578732</v>
          </cell>
          <cell r="X267">
            <v>39.375175907683648</v>
          </cell>
          <cell r="Y267">
            <v>124.77520566290414</v>
          </cell>
          <cell r="Z267">
            <v>130.72231646564853</v>
          </cell>
          <cell r="AA267">
            <v>117.64705882352942</v>
          </cell>
          <cell r="AB267">
            <v>67.666303162486372</v>
          </cell>
          <cell r="AC267">
            <v>140.21644188490976</v>
          </cell>
          <cell r="AD267">
            <v>120.2115291410649</v>
          </cell>
          <cell r="AF267">
            <v>105.51634331582973</v>
          </cell>
          <cell r="AG267">
            <v>130.21398551298734</v>
          </cell>
        </row>
        <row r="268">
          <cell r="A268">
            <v>40444</v>
          </cell>
          <cell r="B268">
            <v>10.422756</v>
          </cell>
          <cell r="C268">
            <v>48.78</v>
          </cell>
          <cell r="D268">
            <v>68.687349999999995</v>
          </cell>
          <cell r="E268">
            <v>34.628390000000003</v>
          </cell>
          <cell r="F268">
            <v>75.900000000000006</v>
          </cell>
          <cell r="G268">
            <v>1.6512102</v>
          </cell>
          <cell r="H268">
            <v>20.5</v>
          </cell>
          <cell r="I268">
            <v>13.66</v>
          </cell>
          <cell r="J268">
            <v>32.35</v>
          </cell>
          <cell r="K268">
            <v>5.9300249999999997</v>
          </cell>
          <cell r="L268">
            <v>2.37</v>
          </cell>
          <cell r="M268">
            <v>12.26</v>
          </cell>
          <cell r="N268">
            <v>11.446168</v>
          </cell>
          <cell r="O268">
            <v>12.648887999999999</v>
          </cell>
          <cell r="Q268">
            <v>75.40149632393728</v>
          </cell>
          <cell r="R268">
            <v>80.788340510102685</v>
          </cell>
          <cell r="S268">
            <v>131.8443060026888</v>
          </cell>
          <cell r="T268">
            <v>126.66915310180468</v>
          </cell>
          <cell r="U268">
            <v>101.41635489043293</v>
          </cell>
          <cell r="V268">
            <v>159.87699075252101</v>
          </cell>
          <cell r="W268">
            <v>104.80572597137015</v>
          </cell>
          <cell r="X268">
            <v>38.446383338024205</v>
          </cell>
          <cell r="Y268">
            <v>123.78037114979912</v>
          </cell>
          <cell r="Z268">
            <v>130.05282139963001</v>
          </cell>
          <cell r="AA268">
            <v>116.1764705882353</v>
          </cell>
          <cell r="AB268">
            <v>66.848418756815704</v>
          </cell>
          <cell r="AC268">
            <v>140.04534583633043</v>
          </cell>
          <cell r="AD268">
            <v>119.89963944478079</v>
          </cell>
          <cell r="AF268">
            <v>104.67556939878015</v>
          </cell>
          <cell r="AG268">
            <v>129.9724926405556</v>
          </cell>
        </row>
        <row r="269">
          <cell r="A269">
            <v>40445</v>
          </cell>
          <cell r="B269">
            <v>10.548999999999999</v>
          </cell>
          <cell r="C269">
            <v>49.14</v>
          </cell>
          <cell r="D269">
            <v>67.204939999999993</v>
          </cell>
          <cell r="E269">
            <v>34.065544000000003</v>
          </cell>
          <cell r="F269">
            <v>76.83</v>
          </cell>
          <cell r="G269">
            <v>1.6560173</v>
          </cell>
          <cell r="H269">
            <v>20.83</v>
          </cell>
          <cell r="I269">
            <v>13.92</v>
          </cell>
          <cell r="J269">
            <v>32.83</v>
          </cell>
          <cell r="K269">
            <v>5.9745699999999999</v>
          </cell>
          <cell r="L269">
            <v>2.4500000000000002</v>
          </cell>
          <cell r="M269">
            <v>12.27</v>
          </cell>
          <cell r="N269">
            <v>11.386862000000001</v>
          </cell>
          <cell r="O269">
            <v>12.379562999999999</v>
          </cell>
          <cell r="Q269">
            <v>76.314785141397749</v>
          </cell>
          <cell r="R269">
            <v>81.384564425306394</v>
          </cell>
          <cell r="S269">
            <v>128.99884293472292</v>
          </cell>
          <cell r="T269">
            <v>124.61028677429888</v>
          </cell>
          <cell r="U269">
            <v>102.65900587920898</v>
          </cell>
          <cell r="V269">
            <v>160.34243402694267</v>
          </cell>
          <cell r="W269">
            <v>106.49284253578732</v>
          </cell>
          <cell r="X269">
            <v>39.178159301998313</v>
          </cell>
          <cell r="Y269">
            <v>125.61698871245454</v>
          </cell>
          <cell r="Z269">
            <v>131.02974863505423</v>
          </cell>
          <cell r="AA269">
            <v>120.0980392156863</v>
          </cell>
          <cell r="AB269">
            <v>66.902944383860401</v>
          </cell>
          <cell r="AC269">
            <v>139.31972925616409</v>
          </cell>
          <cell r="AD269">
            <v>117.34669009512527</v>
          </cell>
          <cell r="AF269">
            <v>105.30238683055988</v>
          </cell>
          <cell r="AG269">
            <v>128.3332096756447</v>
          </cell>
        </row>
        <row r="270">
          <cell r="A270">
            <v>40446</v>
          </cell>
          <cell r="B270">
            <v>10.548999999999999</v>
          </cell>
          <cell r="C270">
            <v>49.14</v>
          </cell>
          <cell r="D270">
            <v>67.204939999999993</v>
          </cell>
          <cell r="E270">
            <v>34.065544000000003</v>
          </cell>
          <cell r="F270">
            <v>76.83</v>
          </cell>
          <cell r="G270">
            <v>1.6560173</v>
          </cell>
          <cell r="H270">
            <v>20.83</v>
          </cell>
          <cell r="I270">
            <v>13.92</v>
          </cell>
          <cell r="J270">
            <v>32.83</v>
          </cell>
          <cell r="K270">
            <v>5.9745699999999999</v>
          </cell>
          <cell r="L270">
            <v>2.4500000000000002</v>
          </cell>
          <cell r="M270">
            <v>12.27</v>
          </cell>
          <cell r="N270">
            <v>11.386862000000001</v>
          </cell>
          <cell r="O270">
            <v>12.379562999999999</v>
          </cell>
          <cell r="Q270">
            <v>76.314785141397749</v>
          </cell>
          <cell r="R270">
            <v>81.384564425306394</v>
          </cell>
          <cell r="S270">
            <v>128.99884293472292</v>
          </cell>
          <cell r="T270">
            <v>124.61028677429888</v>
          </cell>
          <cell r="U270">
            <v>102.65900587920898</v>
          </cell>
          <cell r="V270">
            <v>160.34243402694267</v>
          </cell>
          <cell r="W270">
            <v>106.49284253578732</v>
          </cell>
          <cell r="X270">
            <v>39.178159301998313</v>
          </cell>
          <cell r="Y270">
            <v>125.61698871245454</v>
          </cell>
          <cell r="Z270">
            <v>131.02974863505423</v>
          </cell>
          <cell r="AA270">
            <v>120.0980392156863</v>
          </cell>
          <cell r="AB270">
            <v>66.902944383860401</v>
          </cell>
          <cell r="AC270">
            <v>139.31972925616409</v>
          </cell>
          <cell r="AD270">
            <v>117.34669009512527</v>
          </cell>
          <cell r="AF270">
            <v>105.30238683055988</v>
          </cell>
          <cell r="AG270">
            <v>128.3332096756447</v>
          </cell>
        </row>
        <row r="271">
          <cell r="A271">
            <v>40447</v>
          </cell>
          <cell r="B271">
            <v>10.548999999999999</v>
          </cell>
          <cell r="C271">
            <v>49.14</v>
          </cell>
          <cell r="D271">
            <v>67.204939999999993</v>
          </cell>
          <cell r="E271">
            <v>34.065544000000003</v>
          </cell>
          <cell r="F271">
            <v>76.83</v>
          </cell>
          <cell r="G271">
            <v>1.6560173</v>
          </cell>
          <cell r="H271">
            <v>20.83</v>
          </cell>
          <cell r="I271">
            <v>13.92</v>
          </cell>
          <cell r="J271">
            <v>32.83</v>
          </cell>
          <cell r="K271">
            <v>5.9745699999999999</v>
          </cell>
          <cell r="L271">
            <v>2.4500000000000002</v>
          </cell>
          <cell r="M271">
            <v>12.27</v>
          </cell>
          <cell r="N271">
            <v>11.386862000000001</v>
          </cell>
          <cell r="O271">
            <v>12.379562999999999</v>
          </cell>
          <cell r="Q271">
            <v>76.314785141397749</v>
          </cell>
          <cell r="R271">
            <v>81.384564425306394</v>
          </cell>
          <cell r="S271">
            <v>128.99884293472292</v>
          </cell>
          <cell r="T271">
            <v>124.61028677429888</v>
          </cell>
          <cell r="U271">
            <v>102.65900587920898</v>
          </cell>
          <cell r="V271">
            <v>160.34243402694267</v>
          </cell>
          <cell r="W271">
            <v>106.49284253578732</v>
          </cell>
          <cell r="X271">
            <v>39.178159301998313</v>
          </cell>
          <cell r="Y271">
            <v>125.61698871245454</v>
          </cell>
          <cell r="Z271">
            <v>131.02974863505423</v>
          </cell>
          <cell r="AA271">
            <v>120.0980392156863</v>
          </cell>
          <cell r="AB271">
            <v>66.902944383860401</v>
          </cell>
          <cell r="AC271">
            <v>139.31972925616409</v>
          </cell>
          <cell r="AD271">
            <v>117.34669009512527</v>
          </cell>
          <cell r="AF271">
            <v>105.30238683055988</v>
          </cell>
          <cell r="AG271">
            <v>128.3332096756447</v>
          </cell>
        </row>
        <row r="272">
          <cell r="A272">
            <v>40448</v>
          </cell>
          <cell r="B272">
            <v>10.610309000000001</v>
          </cell>
          <cell r="C272">
            <v>48.63</v>
          </cell>
          <cell r="D272">
            <v>69.456810000000004</v>
          </cell>
          <cell r="E272">
            <v>34.479073</v>
          </cell>
          <cell r="F272">
            <v>76.3</v>
          </cell>
          <cell r="G272">
            <v>1.664712</v>
          </cell>
          <cell r="H272">
            <v>21.03</v>
          </cell>
          <cell r="I272">
            <v>13.76</v>
          </cell>
          <cell r="J272">
            <v>32.86</v>
          </cell>
          <cell r="K272">
            <v>5.7909389999999998</v>
          </cell>
          <cell r="L272">
            <v>2.4</v>
          </cell>
          <cell r="M272">
            <v>12.1</v>
          </cell>
          <cell r="N272">
            <v>11.853367</v>
          </cell>
          <cell r="O272">
            <v>12.472616</v>
          </cell>
          <cell r="Q272">
            <v>76.758313737684986</v>
          </cell>
          <cell r="R272">
            <v>80.539913878767805</v>
          </cell>
          <cell r="S272">
            <v>133.32127257217837</v>
          </cell>
          <cell r="T272">
            <v>126.12295797307642</v>
          </cell>
          <cell r="U272">
            <v>101.9508284339925</v>
          </cell>
          <cell r="V272">
            <v>161.1842907884234</v>
          </cell>
          <cell r="W272">
            <v>107.5153374233129</v>
          </cell>
          <cell r="X272">
            <v>38.727835631860394</v>
          </cell>
          <cell r="Y272">
            <v>125.73177731012053</v>
          </cell>
          <cell r="Z272">
            <v>127.00249248580772</v>
          </cell>
          <cell r="AA272">
            <v>117.64705882352942</v>
          </cell>
          <cell r="AB272">
            <v>65.976008724100325</v>
          </cell>
          <cell r="AC272">
            <v>145.02747826521036</v>
          </cell>
          <cell r="AD272">
            <v>118.22874558879835</v>
          </cell>
          <cell r="AF272">
            <v>105.2065073152379</v>
          </cell>
          <cell r="AG272">
            <v>131.62811192700434</v>
          </cell>
        </row>
        <row r="273">
          <cell r="A273">
            <v>40449</v>
          </cell>
          <cell r="B273">
            <v>10.739894</v>
          </cell>
          <cell r="C273">
            <v>49.81</v>
          </cell>
          <cell r="D273">
            <v>68.747765000000001</v>
          </cell>
          <cell r="E273">
            <v>34.838560000000001</v>
          </cell>
          <cell r="F273">
            <v>78.13</v>
          </cell>
          <cell r="G273">
            <v>1.6592165999999999</v>
          </cell>
          <cell r="H273">
            <v>20.94</v>
          </cell>
          <cell r="I273">
            <v>13.59</v>
          </cell>
          <cell r="J273">
            <v>32.93</v>
          </cell>
          <cell r="K273">
            <v>5.808999</v>
          </cell>
          <cell r="L273">
            <v>2.39</v>
          </cell>
          <cell r="M273">
            <v>12.37</v>
          </cell>
          <cell r="N273">
            <v>11.879682000000001</v>
          </cell>
          <cell r="O273">
            <v>12.371255</v>
          </cell>
          <cell r="Q273">
            <v>77.695772400358976</v>
          </cell>
          <cell r="R273">
            <v>82.49420337860218</v>
          </cell>
          <cell r="S273">
            <v>131.96027166080711</v>
          </cell>
          <cell r="T273">
            <v>127.43794587292128</v>
          </cell>
          <cell r="U273">
            <v>104.39604489577765</v>
          </cell>
          <cell r="V273">
            <v>160.65220346545181</v>
          </cell>
          <cell r="W273">
            <v>107.05521472392638</v>
          </cell>
          <cell r="X273">
            <v>38.249366732338871</v>
          </cell>
          <cell r="Y273">
            <v>125.99961737134112</v>
          </cell>
          <cell r="Z273">
            <v>127.39857074087028</v>
          </cell>
          <cell r="AA273">
            <v>117.15686274509804</v>
          </cell>
          <cell r="AB273">
            <v>67.448200654307527</v>
          </cell>
          <cell r="AC273">
            <v>145.34944569358316</v>
          </cell>
          <cell r="AD273">
            <v>117.26793801790653</v>
          </cell>
          <cell r="AF273">
            <v>105.66202288681677</v>
          </cell>
          <cell r="AG273">
            <v>131.30869185574485</v>
          </cell>
        </row>
        <row r="274">
          <cell r="A274">
            <v>40450</v>
          </cell>
          <cell r="B274">
            <v>10.685312</v>
          </cell>
          <cell r="C274">
            <v>49.62</v>
          </cell>
          <cell r="D274">
            <v>70.181730000000002</v>
          </cell>
          <cell r="E274">
            <v>35.533237</v>
          </cell>
          <cell r="F274">
            <v>78.150000000000006</v>
          </cell>
          <cell r="G274">
            <v>1.6710341</v>
          </cell>
          <cell r="H274">
            <v>21.03</v>
          </cell>
          <cell r="I274">
            <v>13.75</v>
          </cell>
          <cell r="J274">
            <v>32.22</v>
          </cell>
          <cell r="K274">
            <v>5.8318750000000001</v>
          </cell>
          <cell r="L274">
            <v>2.33</v>
          </cell>
          <cell r="M274">
            <v>12.08</v>
          </cell>
          <cell r="N274">
            <v>11.94904</v>
          </cell>
          <cell r="O274">
            <v>12.476203999999999</v>
          </cell>
          <cell r="Q274">
            <v>77.300909038657608</v>
          </cell>
          <cell r="R274">
            <v>82.179529645578</v>
          </cell>
          <cell r="S274">
            <v>134.71274530052602</v>
          </cell>
          <cell r="T274">
            <v>129.97904429734419</v>
          </cell>
          <cell r="U274">
            <v>104.42276857295565</v>
          </cell>
          <cell r="V274">
            <v>161.79642261951099</v>
          </cell>
          <cell r="W274">
            <v>107.5153374233129</v>
          </cell>
          <cell r="X274">
            <v>38.699690402476776</v>
          </cell>
          <cell r="Y274">
            <v>123.2829538932466</v>
          </cell>
          <cell r="Z274">
            <v>127.90026986394953</v>
          </cell>
          <cell r="AA274">
            <v>114.21568627450979</v>
          </cell>
          <cell r="AB274">
            <v>65.866957470010902</v>
          </cell>
          <cell r="AC274">
            <v>146.19804979379524</v>
          </cell>
          <cell r="AD274">
            <v>118.26275647626352</v>
          </cell>
          <cell r="AF274">
            <v>105.65602623350658</v>
          </cell>
          <cell r="AG274">
            <v>132.23040313502938</v>
          </cell>
        </row>
        <row r="275">
          <cell r="A275">
            <v>40451</v>
          </cell>
          <cell r="B275">
            <v>10.65075</v>
          </cell>
          <cell r="C275">
            <v>50.47</v>
          </cell>
          <cell r="D275">
            <v>69.308109999999999</v>
          </cell>
          <cell r="E275">
            <v>35.372275999999999</v>
          </cell>
          <cell r="F275">
            <v>78.430000000000007</v>
          </cell>
          <cell r="G275">
            <v>1.6801611000000001</v>
          </cell>
          <cell r="H275">
            <v>20.86</v>
          </cell>
          <cell r="I275">
            <v>14.2</v>
          </cell>
          <cell r="J275">
            <v>32.81</v>
          </cell>
          <cell r="K275">
            <v>5.8288650000000004</v>
          </cell>
          <cell r="L275">
            <v>2.4</v>
          </cell>
          <cell r="M275">
            <v>11.64</v>
          </cell>
          <cell r="N275">
            <v>12.041079999999999</v>
          </cell>
          <cell r="O275">
            <v>12.39523</v>
          </cell>
          <cell r="Q275">
            <v>77.050876656056715</v>
          </cell>
          <cell r="R275">
            <v>83.587280556475648</v>
          </cell>
          <cell r="S275">
            <v>133.03584522198071</v>
          </cell>
          <cell r="T275">
            <v>129.39025592016523</v>
          </cell>
          <cell r="U275">
            <v>104.79690005344735</v>
          </cell>
          <cell r="V275">
            <v>162.68013645230968</v>
          </cell>
          <cell r="W275">
            <v>106.64621676891616</v>
          </cell>
          <cell r="X275">
            <v>39.966225724739651</v>
          </cell>
          <cell r="Y275">
            <v>125.54046298067725</v>
          </cell>
          <cell r="Z275">
            <v>127.83425682143911</v>
          </cell>
          <cell r="AA275">
            <v>117.64705882352942</v>
          </cell>
          <cell r="AB275">
            <v>63.467829880043624</v>
          </cell>
          <cell r="AC275">
            <v>147.3241710975168</v>
          </cell>
          <cell r="AD275">
            <v>117.49519861628393</v>
          </cell>
          <cell r="AF275">
            <v>105.97027882164838</v>
          </cell>
          <cell r="AG275">
            <v>132.40968485690036</v>
          </cell>
        </row>
        <row r="276">
          <cell r="A276">
            <v>40452</v>
          </cell>
          <cell r="B276">
            <v>10.632296</v>
          </cell>
          <cell r="C276">
            <v>50.13</v>
          </cell>
          <cell r="D276">
            <v>70.360810000000001</v>
          </cell>
          <cell r="E276">
            <v>35.996876</v>
          </cell>
          <cell r="F276">
            <v>78.03</v>
          </cell>
          <cell r="G276">
            <v>1.7224953000000001</v>
          </cell>
          <cell r="H276">
            <v>20.41</v>
          </cell>
          <cell r="I276">
            <v>14.53</v>
          </cell>
          <cell r="J276">
            <v>32.83</v>
          </cell>
          <cell r="K276">
            <v>5.8400020000000001</v>
          </cell>
          <cell r="L276">
            <v>2.42</v>
          </cell>
          <cell r="M276">
            <v>11.35</v>
          </cell>
          <cell r="N276">
            <v>12.222618000000001</v>
          </cell>
          <cell r="O276">
            <v>12.54895</v>
          </cell>
          <cell r="Q276">
            <v>76.91737461368308</v>
          </cell>
          <cell r="R276">
            <v>83.024180192116589</v>
          </cell>
          <cell r="S276">
            <v>135.05648659086492</v>
          </cell>
          <cell r="T276">
            <v>131.67501570909531</v>
          </cell>
          <cell r="U276">
            <v>104.26242650988775</v>
          </cell>
          <cell r="V276">
            <v>166.77910852861794</v>
          </cell>
          <cell r="W276">
            <v>104.34560327198366</v>
          </cell>
          <cell r="X276">
            <v>40.895018294399094</v>
          </cell>
          <cell r="Y276">
            <v>125.61698871245454</v>
          </cell>
          <cell r="Z276">
            <v>128.07850507872769</v>
          </cell>
          <cell r="AA276">
            <v>118.62745098039215</v>
          </cell>
          <cell r="AB276">
            <v>61.886586695747006</v>
          </cell>
          <cell r="AC276">
            <v>149.54531200619783</v>
          </cell>
          <cell r="AD276">
            <v>118.95232058427445</v>
          </cell>
          <cell r="AF276">
            <v>106.43039543149747</v>
          </cell>
          <cell r="AG276">
            <v>134.24881629523614</v>
          </cell>
        </row>
        <row r="277">
          <cell r="A277">
            <v>40453</v>
          </cell>
          <cell r="B277">
            <v>10.632296</v>
          </cell>
          <cell r="C277">
            <v>50.13</v>
          </cell>
          <cell r="D277">
            <v>70.360810000000001</v>
          </cell>
          <cell r="E277">
            <v>35.996876</v>
          </cell>
          <cell r="F277">
            <v>78.03</v>
          </cell>
          <cell r="G277">
            <v>1.7224953000000001</v>
          </cell>
          <cell r="H277">
            <v>20.41</v>
          </cell>
          <cell r="I277">
            <v>14.53</v>
          </cell>
          <cell r="J277">
            <v>32.83</v>
          </cell>
          <cell r="K277">
            <v>5.8400020000000001</v>
          </cell>
          <cell r="L277">
            <v>2.42</v>
          </cell>
          <cell r="M277">
            <v>11.35</v>
          </cell>
          <cell r="N277">
            <v>12.222618000000001</v>
          </cell>
          <cell r="O277">
            <v>12.54895</v>
          </cell>
          <cell r="Q277">
            <v>76.91737461368308</v>
          </cell>
          <cell r="R277">
            <v>83.024180192116589</v>
          </cell>
          <cell r="S277">
            <v>135.05648659086492</v>
          </cell>
          <cell r="T277">
            <v>131.67501570909531</v>
          </cell>
          <cell r="U277">
            <v>104.26242650988775</v>
          </cell>
          <cell r="V277">
            <v>166.77910852861794</v>
          </cell>
          <cell r="W277">
            <v>104.34560327198366</v>
          </cell>
          <cell r="X277">
            <v>40.895018294399094</v>
          </cell>
          <cell r="Y277">
            <v>125.61698871245454</v>
          </cell>
          <cell r="Z277">
            <v>128.07850507872769</v>
          </cell>
          <cell r="AA277">
            <v>118.62745098039215</v>
          </cell>
          <cell r="AB277">
            <v>61.886586695747006</v>
          </cell>
          <cell r="AC277">
            <v>149.54531200619783</v>
          </cell>
          <cell r="AD277">
            <v>118.95232058427445</v>
          </cell>
          <cell r="AF277">
            <v>106.43039543149747</v>
          </cell>
          <cell r="AG277">
            <v>134.24881629523614</v>
          </cell>
        </row>
        <row r="278">
          <cell r="A278">
            <v>40454</v>
          </cell>
          <cell r="B278">
            <v>10.632296</v>
          </cell>
          <cell r="C278">
            <v>50.13</v>
          </cell>
          <cell r="D278">
            <v>70.360810000000001</v>
          </cell>
          <cell r="E278">
            <v>35.996876</v>
          </cell>
          <cell r="F278">
            <v>78.03</v>
          </cell>
          <cell r="G278">
            <v>1.7224953000000001</v>
          </cell>
          <cell r="H278">
            <v>20.41</v>
          </cell>
          <cell r="I278">
            <v>14.53</v>
          </cell>
          <cell r="J278">
            <v>32.83</v>
          </cell>
          <cell r="K278">
            <v>5.8400020000000001</v>
          </cell>
          <cell r="L278">
            <v>2.42</v>
          </cell>
          <cell r="M278">
            <v>11.35</v>
          </cell>
          <cell r="N278">
            <v>12.222618000000001</v>
          </cell>
          <cell r="O278">
            <v>12.54895</v>
          </cell>
          <cell r="Q278">
            <v>76.91737461368308</v>
          </cell>
          <cell r="R278">
            <v>83.024180192116589</v>
          </cell>
          <cell r="S278">
            <v>135.05648659086492</v>
          </cell>
          <cell r="T278">
            <v>131.67501570909531</v>
          </cell>
          <cell r="U278">
            <v>104.26242650988775</v>
          </cell>
          <cell r="V278">
            <v>166.77910852861794</v>
          </cell>
          <cell r="W278">
            <v>104.34560327198366</v>
          </cell>
          <cell r="X278">
            <v>40.895018294399094</v>
          </cell>
          <cell r="Y278">
            <v>125.61698871245454</v>
          </cell>
          <cell r="Z278">
            <v>128.07850507872769</v>
          </cell>
          <cell r="AA278">
            <v>118.62745098039215</v>
          </cell>
          <cell r="AB278">
            <v>61.886586695747006</v>
          </cell>
          <cell r="AC278">
            <v>149.54531200619783</v>
          </cell>
          <cell r="AD278">
            <v>118.95232058427445</v>
          </cell>
          <cell r="AF278">
            <v>106.43039543149747</v>
          </cell>
          <cell r="AG278">
            <v>134.24881629523614</v>
          </cell>
        </row>
        <row r="279">
          <cell r="A279">
            <v>40455</v>
          </cell>
          <cell r="B279">
            <v>10.56237</v>
          </cell>
          <cell r="C279">
            <v>49.48</v>
          </cell>
          <cell r="D279">
            <v>70.503590000000003</v>
          </cell>
          <cell r="E279">
            <v>35.587530000000001</v>
          </cell>
          <cell r="F279">
            <v>77.92</v>
          </cell>
          <cell r="G279">
            <v>1.7737514999999999</v>
          </cell>
          <cell r="H279">
            <v>20.239999999999998</v>
          </cell>
          <cell r="I279">
            <v>14.38</v>
          </cell>
          <cell r="J279">
            <v>32.43</v>
          </cell>
          <cell r="K279">
            <v>5.822845</v>
          </cell>
          <cell r="L279">
            <v>2.39</v>
          </cell>
          <cell r="M279">
            <v>11.24</v>
          </cell>
          <cell r="N279">
            <v>11.947558000000001</v>
          </cell>
          <cell r="O279">
            <v>12.5170555</v>
          </cell>
          <cell r="Q279">
            <v>76.41150792813967</v>
          </cell>
          <cell r="R279">
            <v>81.947664789665438</v>
          </cell>
          <cell r="S279">
            <v>135.33055059262165</v>
          </cell>
          <cell r="T279">
            <v>130.17764574342229</v>
          </cell>
          <cell r="U279">
            <v>104.11544628540888</v>
          </cell>
          <cell r="V279">
            <v>171.74194549111328</v>
          </cell>
          <cell r="W279">
            <v>103.47648261758691</v>
          </cell>
          <cell r="X279">
            <v>40.472839853644807</v>
          </cell>
          <cell r="Y279">
            <v>124.08647407690836</v>
          </cell>
          <cell r="Z279">
            <v>127.70223073641824</v>
          </cell>
          <cell r="AA279">
            <v>117.15686274509804</v>
          </cell>
          <cell r="AB279">
            <v>61.286804798255176</v>
          </cell>
          <cell r="AC279">
            <v>146.17991733212517</v>
          </cell>
          <cell r="AD279">
            <v>118.64999052567391</v>
          </cell>
          <cell r="AF279">
            <v>106.1588713048569</v>
          </cell>
          <cell r="AG279">
            <v>132.41495392889954</v>
          </cell>
        </row>
        <row r="280">
          <cell r="A280">
            <v>40456</v>
          </cell>
          <cell r="B280">
            <v>10.635776999999999</v>
          </cell>
          <cell r="C280">
            <v>50.66</v>
          </cell>
          <cell r="D280">
            <v>70.431015000000002</v>
          </cell>
          <cell r="E280">
            <v>35.179389999999998</v>
          </cell>
          <cell r="F280">
            <v>79.349999999999994</v>
          </cell>
          <cell r="G280">
            <v>1.7699115000000001</v>
          </cell>
          <cell r="H280">
            <v>21.13</v>
          </cell>
          <cell r="I280">
            <v>14.89</v>
          </cell>
          <cell r="J280">
            <v>33.130000000000003</v>
          </cell>
          <cell r="K280">
            <v>5.8312730000000004</v>
          </cell>
          <cell r="L280">
            <v>2.31</v>
          </cell>
          <cell r="M280">
            <v>11.67</v>
          </cell>
          <cell r="N280">
            <v>11.770999</v>
          </cell>
          <cell r="O280">
            <v>12.484394</v>
          </cell>
          <cell r="Q280">
            <v>76.942557262946238</v>
          </cell>
          <cell r="R280">
            <v>83.901954289499827</v>
          </cell>
          <cell r="S280">
            <v>135.19124400257056</v>
          </cell>
          <cell r="T280">
            <v>128.68468727359533</v>
          </cell>
          <cell r="U280">
            <v>106.0261892036344</v>
          </cell>
          <cell r="V280">
            <v>171.3701408326333</v>
          </cell>
          <cell r="W280">
            <v>108.02658486707566</v>
          </cell>
          <cell r="X280">
            <v>41.908246552209398</v>
          </cell>
          <cell r="Y280">
            <v>126.76487468911421</v>
          </cell>
          <cell r="Z280">
            <v>127.88706725544745</v>
          </cell>
          <cell r="AA280">
            <v>113.23529411764706</v>
          </cell>
          <cell r="AB280">
            <v>63.631406761177757</v>
          </cell>
          <cell r="AC280">
            <v>144.01969513238836</v>
          </cell>
          <cell r="AD280">
            <v>118.34039002373844</v>
          </cell>
          <cell r="AF280">
            <v>106.96418725896261</v>
          </cell>
          <cell r="AG280">
            <v>131.18004257806339</v>
          </cell>
        </row>
        <row r="281">
          <cell r="A281">
            <v>40457</v>
          </cell>
          <cell r="B281">
            <v>10.692028000000001</v>
          </cell>
          <cell r="C281">
            <v>50.62</v>
          </cell>
          <cell r="D281">
            <v>70.23048</v>
          </cell>
          <cell r="E281">
            <v>35.416916000000001</v>
          </cell>
          <cell r="F281">
            <v>79.14</v>
          </cell>
          <cell r="G281">
            <v>1.7881020999999999</v>
          </cell>
          <cell r="H281">
            <v>20.92</v>
          </cell>
          <cell r="I281">
            <v>14.92</v>
          </cell>
          <cell r="J281">
            <v>33.24</v>
          </cell>
          <cell r="K281">
            <v>5.8728109999999996</v>
          </cell>
          <cell r="L281">
            <v>2.36</v>
          </cell>
          <cell r="M281">
            <v>11.71</v>
          </cell>
          <cell r="N281">
            <v>11.650601</v>
          </cell>
          <cell r="O281">
            <v>12.495538</v>
          </cell>
          <cell r="Q281">
            <v>77.349494695782425</v>
          </cell>
          <cell r="R281">
            <v>83.835707187810527</v>
          </cell>
          <cell r="S281">
            <v>134.80632017155585</v>
          </cell>
          <cell r="T281">
            <v>129.5535471096911</v>
          </cell>
          <cell r="U281">
            <v>105.74559059326563</v>
          </cell>
          <cell r="V281">
            <v>173.13142984840053</v>
          </cell>
          <cell r="W281">
            <v>106.95296523517383</v>
          </cell>
          <cell r="X281">
            <v>41.99268224036026</v>
          </cell>
          <cell r="Y281">
            <v>127.18576621388942</v>
          </cell>
          <cell r="Z281">
            <v>128.79804724209129</v>
          </cell>
          <cell r="AA281">
            <v>115.68627450980391</v>
          </cell>
          <cell r="AB281">
            <v>63.849509269356609</v>
          </cell>
          <cell r="AC281">
            <v>142.54661003106867</v>
          </cell>
          <cell r="AD281">
            <v>118.4460247310718</v>
          </cell>
          <cell r="AF281">
            <v>107.40727785976513</v>
          </cell>
          <cell r="AG281">
            <v>130.49631738107024</v>
          </cell>
        </row>
        <row r="282">
          <cell r="A282">
            <v>40458</v>
          </cell>
          <cell r="B282">
            <v>10.781317</v>
          </cell>
          <cell r="C282">
            <v>50.23</v>
          </cell>
          <cell r="D282">
            <v>71.202910000000003</v>
          </cell>
          <cell r="E282">
            <v>36.25759</v>
          </cell>
          <cell r="F282">
            <v>78.599999999999994</v>
          </cell>
          <cell r="G282">
            <v>1.7756007</v>
          </cell>
          <cell r="H282">
            <v>20.69</v>
          </cell>
          <cell r="I282">
            <v>15.59</v>
          </cell>
          <cell r="J282">
            <v>32.71</v>
          </cell>
          <cell r="K282">
            <v>5.9164560000000002</v>
          </cell>
          <cell r="L282">
            <v>2.4</v>
          </cell>
          <cell r="M282">
            <v>11.8</v>
          </cell>
          <cell r="N282">
            <v>11.773122000000001</v>
          </cell>
          <cell r="O282">
            <v>12.518255999999999</v>
          </cell>
          <cell r="Q282">
            <v>77.995439415707551</v>
          </cell>
          <cell r="R282">
            <v>83.189797946339837</v>
          </cell>
          <cell r="S282">
            <v>136.6728845169003</v>
          </cell>
          <cell r="T282">
            <v>132.62869624641695</v>
          </cell>
          <cell r="U282">
            <v>105.02405130946018</v>
          </cell>
          <cell r="V282">
            <v>171.92099267196258</v>
          </cell>
          <cell r="W282">
            <v>105.77709611451944</v>
          </cell>
          <cell r="X282">
            <v>43.878412609062764</v>
          </cell>
          <cell r="Y282">
            <v>125.1578343217907</v>
          </cell>
          <cell r="Z282">
            <v>129.75523635849248</v>
          </cell>
          <cell r="AA282">
            <v>117.64705882352942</v>
          </cell>
          <cell r="AB282">
            <v>64.340239912759003</v>
          </cell>
          <cell r="AC282">
            <v>144.04567031196032</v>
          </cell>
          <cell r="AD282">
            <v>118.66137014395764</v>
          </cell>
          <cell r="AF282">
            <v>107.83231168724511</v>
          </cell>
          <cell r="AG282">
            <v>131.353520227959</v>
          </cell>
        </row>
        <row r="283">
          <cell r="A283">
            <v>40459</v>
          </cell>
          <cell r="B283">
            <v>10.819050000000001</v>
          </cell>
          <cell r="C283">
            <v>50.42</v>
          </cell>
          <cell r="D283">
            <v>69.028720000000007</v>
          </cell>
          <cell r="E283">
            <v>36.18815</v>
          </cell>
          <cell r="F283">
            <v>79.39</v>
          </cell>
          <cell r="G283">
            <v>1.8078059</v>
          </cell>
          <cell r="H283">
            <v>20.51</v>
          </cell>
          <cell r="I283">
            <v>16.07</v>
          </cell>
          <cell r="J283">
            <v>32.659999999999997</v>
          </cell>
          <cell r="K283">
            <v>5.9209709999999998</v>
          </cell>
          <cell r="L283">
            <v>2.44</v>
          </cell>
          <cell r="M283">
            <v>12.06</v>
          </cell>
          <cell r="N283">
            <v>12.170964</v>
          </cell>
          <cell r="O283">
            <v>12.498142</v>
          </cell>
          <cell r="Q283">
            <v>78.268411810033129</v>
          </cell>
          <cell r="R283">
            <v>83.504471679364016</v>
          </cell>
          <cell r="S283">
            <v>132.49956043804175</v>
          </cell>
          <cell r="T283">
            <v>132.37468772937675</v>
          </cell>
          <cell r="U283">
            <v>106.07963655799037</v>
          </cell>
          <cell r="V283">
            <v>175.03923313740003</v>
          </cell>
          <cell r="W283">
            <v>104.85685071574645</v>
          </cell>
          <cell r="X283">
            <v>45.229383619476501</v>
          </cell>
          <cell r="Y283">
            <v>124.9665199923474</v>
          </cell>
          <cell r="Z283">
            <v>129.85425592225812</v>
          </cell>
          <cell r="AA283">
            <v>119.6078431372549</v>
          </cell>
          <cell r="AB283">
            <v>65.757906215921494</v>
          </cell>
          <cell r="AC283">
            <v>148.9133186356803</v>
          </cell>
          <cell r="AD283">
            <v>118.47070821796126</v>
          </cell>
          <cell r="AF283">
            <v>108.16989674626757</v>
          </cell>
          <cell r="AG283">
            <v>133.69201342682078</v>
          </cell>
        </row>
        <row r="284">
          <cell r="A284">
            <v>40460</v>
          </cell>
          <cell r="B284">
            <v>10.819050000000001</v>
          </cell>
          <cell r="C284">
            <v>50.42</v>
          </cell>
          <cell r="D284">
            <v>69.028720000000007</v>
          </cell>
          <cell r="E284">
            <v>36.18815</v>
          </cell>
          <cell r="F284">
            <v>79.39</v>
          </cell>
          <cell r="G284">
            <v>1.8078059</v>
          </cell>
          <cell r="H284">
            <v>20.51</v>
          </cell>
          <cell r="I284">
            <v>16.07</v>
          </cell>
          <cell r="J284">
            <v>32.659999999999997</v>
          </cell>
          <cell r="K284">
            <v>5.9209709999999998</v>
          </cell>
          <cell r="L284">
            <v>2.44</v>
          </cell>
          <cell r="M284">
            <v>12.06</v>
          </cell>
          <cell r="N284">
            <v>12.170964</v>
          </cell>
          <cell r="O284">
            <v>12.498142</v>
          </cell>
          <cell r="Q284">
            <v>78.268411810033129</v>
          </cell>
          <cell r="R284">
            <v>83.504471679364016</v>
          </cell>
          <cell r="S284">
            <v>132.49956043804175</v>
          </cell>
          <cell r="T284">
            <v>132.37468772937675</v>
          </cell>
          <cell r="U284">
            <v>106.07963655799037</v>
          </cell>
          <cell r="V284">
            <v>175.03923313740003</v>
          </cell>
          <cell r="W284">
            <v>104.85685071574645</v>
          </cell>
          <cell r="X284">
            <v>45.229383619476501</v>
          </cell>
          <cell r="Y284">
            <v>124.9665199923474</v>
          </cell>
          <cell r="Z284">
            <v>129.85425592225812</v>
          </cell>
          <cell r="AA284">
            <v>119.6078431372549</v>
          </cell>
          <cell r="AB284">
            <v>65.757906215921494</v>
          </cell>
          <cell r="AC284">
            <v>148.9133186356803</v>
          </cell>
          <cell r="AD284">
            <v>118.47070821796126</v>
          </cell>
          <cell r="AF284">
            <v>108.16989674626757</v>
          </cell>
          <cell r="AG284">
            <v>133.69201342682078</v>
          </cell>
        </row>
        <row r="285">
          <cell r="A285">
            <v>40461</v>
          </cell>
          <cell r="B285">
            <v>10.819050000000001</v>
          </cell>
          <cell r="C285">
            <v>50.42</v>
          </cell>
          <cell r="D285">
            <v>69.028720000000007</v>
          </cell>
          <cell r="E285">
            <v>36.18815</v>
          </cell>
          <cell r="F285">
            <v>79.39</v>
          </cell>
          <cell r="G285">
            <v>1.8078059</v>
          </cell>
          <cell r="H285">
            <v>20.51</v>
          </cell>
          <cell r="I285">
            <v>16.07</v>
          </cell>
          <cell r="J285">
            <v>32.659999999999997</v>
          </cell>
          <cell r="K285">
            <v>5.9209709999999998</v>
          </cell>
          <cell r="L285">
            <v>2.44</v>
          </cell>
          <cell r="M285">
            <v>12.06</v>
          </cell>
          <cell r="N285">
            <v>12.170964</v>
          </cell>
          <cell r="O285">
            <v>12.498142</v>
          </cell>
          <cell r="Q285">
            <v>78.268411810033129</v>
          </cell>
          <cell r="R285">
            <v>83.504471679364016</v>
          </cell>
          <cell r="S285">
            <v>132.49956043804175</v>
          </cell>
          <cell r="T285">
            <v>132.37468772937675</v>
          </cell>
          <cell r="U285">
            <v>106.07963655799037</v>
          </cell>
          <cell r="V285">
            <v>175.03923313740003</v>
          </cell>
          <cell r="W285">
            <v>104.85685071574645</v>
          </cell>
          <cell r="X285">
            <v>45.229383619476501</v>
          </cell>
          <cell r="Y285">
            <v>124.9665199923474</v>
          </cell>
          <cell r="Z285">
            <v>129.85425592225812</v>
          </cell>
          <cell r="AA285">
            <v>119.6078431372549</v>
          </cell>
          <cell r="AB285">
            <v>65.757906215921494</v>
          </cell>
          <cell r="AC285">
            <v>148.9133186356803</v>
          </cell>
          <cell r="AD285">
            <v>118.47070821796126</v>
          </cell>
          <cell r="AF285">
            <v>108.16989674626757</v>
          </cell>
          <cell r="AG285">
            <v>133.69201342682078</v>
          </cell>
        </row>
        <row r="286">
          <cell r="A286">
            <v>40462</v>
          </cell>
          <cell r="B286">
            <v>10.78575</v>
          </cell>
          <cell r="C286">
            <v>50.47</v>
          </cell>
          <cell r="D286">
            <v>68.839479999999995</v>
          </cell>
          <cell r="E286">
            <v>36.088943</v>
          </cell>
          <cell r="F286">
            <v>79.89</v>
          </cell>
          <cell r="G286">
            <v>1.7993873</v>
          </cell>
          <cell r="H286">
            <v>20.56</v>
          </cell>
          <cell r="I286">
            <v>15.86</v>
          </cell>
          <cell r="J286">
            <v>32.4</v>
          </cell>
          <cell r="K286">
            <v>5.9297000000000004</v>
          </cell>
          <cell r="L286">
            <v>2.4500000000000002</v>
          </cell>
          <cell r="M286">
            <v>12.02</v>
          </cell>
          <cell r="N286">
            <v>12.312961</v>
          </cell>
          <cell r="O286">
            <v>12.937924000000001</v>
          </cell>
          <cell r="Q286">
            <v>78.027509132508371</v>
          </cell>
          <cell r="R286">
            <v>83.587280556475648</v>
          </cell>
          <cell r="S286">
            <v>132.13631718483788</v>
          </cell>
          <cell r="T286">
            <v>132.01179281362207</v>
          </cell>
          <cell r="U286">
            <v>106.74772848743987</v>
          </cell>
          <cell r="V286">
            <v>174.22410951816053</v>
          </cell>
          <cell r="W286">
            <v>105.11247443762781</v>
          </cell>
          <cell r="X286">
            <v>44.63833380242049</v>
          </cell>
          <cell r="Y286">
            <v>123.97168547924238</v>
          </cell>
          <cell r="Z286">
            <v>130.04569374553836</v>
          </cell>
          <cell r="AA286">
            <v>120.0980392156863</v>
          </cell>
          <cell r="AB286">
            <v>65.539803707742635</v>
          </cell>
          <cell r="AC286">
            <v>150.65067029544286</v>
          </cell>
          <cell r="AD286">
            <v>122.63943065698552</v>
          </cell>
          <cell r="AF286">
            <v>108.01173067344185</v>
          </cell>
          <cell r="AG286">
            <v>136.64505047621418</v>
          </cell>
        </row>
        <row r="287">
          <cell r="A287">
            <v>40463</v>
          </cell>
          <cell r="B287">
            <v>10.553490999999999</v>
          </cell>
          <cell r="C287">
            <v>50.6</v>
          </cell>
          <cell r="D287">
            <v>69.070899999999995</v>
          </cell>
          <cell r="E287">
            <v>35.709045000000003</v>
          </cell>
          <cell r="F287">
            <v>79.53</v>
          </cell>
          <cell r="G287">
            <v>1.7834588</v>
          </cell>
          <cell r="H287">
            <v>20.71</v>
          </cell>
          <cell r="I287">
            <v>16.190000000000001</v>
          </cell>
          <cell r="J287">
            <v>32.270000000000003</v>
          </cell>
          <cell r="K287">
            <v>5.9209709999999998</v>
          </cell>
          <cell r="L287">
            <v>2.4</v>
          </cell>
          <cell r="M287">
            <v>11.88</v>
          </cell>
          <cell r="N287">
            <v>12.269829</v>
          </cell>
          <cell r="O287">
            <v>12.892602</v>
          </cell>
          <cell r="Q287">
            <v>76.347274448447706</v>
          </cell>
          <cell r="R287">
            <v>83.802583636965878</v>
          </cell>
          <cell r="S287">
            <v>132.58052429568352</v>
          </cell>
          <cell r="T287">
            <v>130.62214235845886</v>
          </cell>
          <cell r="U287">
            <v>106.26670229823623</v>
          </cell>
          <cell r="V287">
            <v>172.68184636644216</v>
          </cell>
          <cell r="W287">
            <v>105.87934560327199</v>
          </cell>
          <cell r="X287">
            <v>45.567126372079933</v>
          </cell>
          <cell r="Y287">
            <v>123.47426822268987</v>
          </cell>
          <cell r="Z287">
            <v>129.85425592225812</v>
          </cell>
          <cell r="AA287">
            <v>117.64705882352942</v>
          </cell>
          <cell r="AB287">
            <v>64.776444929116693</v>
          </cell>
          <cell r="AC287">
            <v>150.12294469709306</v>
          </cell>
          <cell r="AD287">
            <v>122.20982044469521</v>
          </cell>
          <cell r="AF287">
            <v>107.45829777309837</v>
          </cell>
          <cell r="AG287">
            <v>136.16638257089414</v>
          </cell>
        </row>
        <row r="288">
          <cell r="A288">
            <v>40464</v>
          </cell>
          <cell r="B288">
            <v>10.669617000000001</v>
          </cell>
          <cell r="C288">
            <v>50.62</v>
          </cell>
          <cell r="D288">
            <v>69.682149999999993</v>
          </cell>
          <cell r="E288">
            <v>35.378970000000002</v>
          </cell>
          <cell r="F288">
            <v>80.400000000000006</v>
          </cell>
          <cell r="G288">
            <v>1.8050541</v>
          </cell>
          <cell r="H288">
            <v>21.21</v>
          </cell>
          <cell r="I288">
            <v>16.22</v>
          </cell>
          <cell r="J288">
            <v>31.71</v>
          </cell>
          <cell r="K288">
            <v>5.9694323999999996</v>
          </cell>
          <cell r="L288">
            <v>2.36</v>
          </cell>
          <cell r="M288">
            <v>12.23</v>
          </cell>
          <cell r="N288">
            <v>12.434358</v>
          </cell>
          <cell r="O288">
            <v>12.826703</v>
          </cell>
          <cell r="Q288">
            <v>77.187366470376801</v>
          </cell>
          <cell r="R288">
            <v>83.835707187810527</v>
          </cell>
          <cell r="S288">
            <v>133.75380921705761</v>
          </cell>
          <cell r="T288">
            <v>129.41474228268061</v>
          </cell>
          <cell r="U288">
            <v>107.42918225547835</v>
          </cell>
          <cell r="V288">
            <v>174.77279249698202</v>
          </cell>
          <cell r="W288">
            <v>108.43558282208589</v>
          </cell>
          <cell r="X288">
            <v>45.651562060230788</v>
          </cell>
          <cell r="Y288">
            <v>121.33154773292519</v>
          </cell>
          <cell r="Z288">
            <v>130.91707467917331</v>
          </cell>
          <cell r="AA288">
            <v>115.68627450980391</v>
          </cell>
          <cell r="AB288">
            <v>66.68484187568157</v>
          </cell>
          <cell r="AC288">
            <v>152.13597829096531</v>
          </cell>
          <cell r="AD288">
            <v>121.58515949902382</v>
          </cell>
          <cell r="AF288">
            <v>107.92504029919054</v>
          </cell>
          <cell r="AG288">
            <v>136.86056889499457</v>
          </cell>
        </row>
        <row r="289">
          <cell r="A289">
            <v>40465</v>
          </cell>
          <cell r="B289">
            <v>10.754099999999999</v>
          </cell>
          <cell r="C289">
            <v>49.97</v>
          </cell>
          <cell r="D289">
            <v>70.164664999999999</v>
          </cell>
          <cell r="E289">
            <v>35.070045</v>
          </cell>
          <cell r="F289">
            <v>78.98</v>
          </cell>
          <cell r="G289">
            <v>1.7742804999999999</v>
          </cell>
          <cell r="H289">
            <v>21.37</v>
          </cell>
          <cell r="I289">
            <v>15.84</v>
          </cell>
          <cell r="J289">
            <v>31.68</v>
          </cell>
          <cell r="K289">
            <v>5.994415</v>
          </cell>
          <cell r="L289">
            <v>2.2799999999999998</v>
          </cell>
          <cell r="M289">
            <v>12.31</v>
          </cell>
          <cell r="N289">
            <v>12.124506</v>
          </cell>
          <cell r="O289">
            <v>12.680012</v>
          </cell>
          <cell r="Q289">
            <v>77.798543074140255</v>
          </cell>
          <cell r="R289">
            <v>82.759191785359391</v>
          </cell>
          <cell r="S289">
            <v>134.67998929695423</v>
          </cell>
          <cell r="T289">
            <v>128.28470799226241</v>
          </cell>
          <cell r="U289">
            <v>105.53180117584179</v>
          </cell>
          <cell r="V289">
            <v>171.79316545578411</v>
          </cell>
          <cell r="W289">
            <v>109.25357873210635</v>
          </cell>
          <cell r="X289">
            <v>44.582043343653247</v>
          </cell>
          <cell r="Y289">
            <v>121.21675913525922</v>
          </cell>
          <cell r="Z289">
            <v>131.46497415951251</v>
          </cell>
          <cell r="AA289">
            <v>111.76470588235293</v>
          </cell>
          <cell r="AB289">
            <v>67.12104689203926</v>
          </cell>
          <cell r="AC289">
            <v>148.34489899717209</v>
          </cell>
          <cell r="AD289">
            <v>120.19466588331669</v>
          </cell>
          <cell r="AF289">
            <v>107.18754224377214</v>
          </cell>
          <cell r="AG289">
            <v>134.2697824402444</v>
          </cell>
        </row>
        <row r="290">
          <cell r="A290">
            <v>40466</v>
          </cell>
          <cell r="B290">
            <v>10.701521</v>
          </cell>
          <cell r="C290">
            <v>50.34</v>
          </cell>
          <cell r="D290">
            <v>67.363240000000005</v>
          </cell>
          <cell r="E290">
            <v>35.464042999999997</v>
          </cell>
          <cell r="F290">
            <v>79.12</v>
          </cell>
          <cell r="G290">
            <v>1.7654768000000001</v>
          </cell>
          <cell r="H290">
            <v>21.44</v>
          </cell>
          <cell r="I290">
            <v>15.8</v>
          </cell>
          <cell r="J290">
            <v>31.59</v>
          </cell>
          <cell r="K290">
            <v>5.9540810000000004</v>
          </cell>
          <cell r="L290">
            <v>2.2200000000000002</v>
          </cell>
          <cell r="M290">
            <v>12.07</v>
          </cell>
          <cell r="N290">
            <v>12.241706000000001</v>
          </cell>
          <cell r="O290">
            <v>12.632719</v>
          </cell>
          <cell r="Q290">
            <v>77.418170044663569</v>
          </cell>
          <cell r="R290">
            <v>83.371977475985432</v>
          </cell>
          <cell r="S290">
            <v>129.30269733644647</v>
          </cell>
          <cell r="T290">
            <v>129.7259356376656</v>
          </cell>
          <cell r="U290">
            <v>105.71886691608765</v>
          </cell>
          <cell r="V290">
            <v>170.94075486415383</v>
          </cell>
          <cell r="W290">
            <v>109.61145194274029</v>
          </cell>
          <cell r="X290">
            <v>44.469462426118774</v>
          </cell>
          <cell r="Y290">
            <v>120.87239334226132</v>
          </cell>
          <cell r="Z290">
            <v>130.58039938987284</v>
          </cell>
          <cell r="AA290">
            <v>108.82352941176472</v>
          </cell>
          <cell r="AB290">
            <v>65.812431842966205</v>
          </cell>
          <cell r="AC290">
            <v>149.77885615488793</v>
          </cell>
          <cell r="AD290">
            <v>119.74637243267803</v>
          </cell>
          <cell r="AF290">
            <v>106.3873392192272</v>
          </cell>
          <cell r="AG290">
            <v>134.76261429378297</v>
          </cell>
        </row>
        <row r="291">
          <cell r="A291">
            <v>40467</v>
          </cell>
          <cell r="B291">
            <v>10.701521</v>
          </cell>
          <cell r="C291">
            <v>50.34</v>
          </cell>
          <cell r="D291">
            <v>67.363240000000005</v>
          </cell>
          <cell r="E291">
            <v>35.464042999999997</v>
          </cell>
          <cell r="F291">
            <v>79.12</v>
          </cell>
          <cell r="G291">
            <v>1.7654768000000001</v>
          </cell>
          <cell r="H291">
            <v>21.44</v>
          </cell>
          <cell r="I291">
            <v>15.8</v>
          </cell>
          <cell r="J291">
            <v>31.59</v>
          </cell>
          <cell r="K291">
            <v>5.9540810000000004</v>
          </cell>
          <cell r="L291">
            <v>2.2200000000000002</v>
          </cell>
          <cell r="M291">
            <v>12.07</v>
          </cell>
          <cell r="N291">
            <v>12.241706000000001</v>
          </cell>
          <cell r="O291">
            <v>12.632719</v>
          </cell>
          <cell r="Q291">
            <v>77.418170044663569</v>
          </cell>
          <cell r="R291">
            <v>83.371977475985432</v>
          </cell>
          <cell r="S291">
            <v>129.30269733644647</v>
          </cell>
          <cell r="T291">
            <v>129.7259356376656</v>
          </cell>
          <cell r="U291">
            <v>105.71886691608765</v>
          </cell>
          <cell r="V291">
            <v>170.94075486415383</v>
          </cell>
          <cell r="W291">
            <v>109.61145194274029</v>
          </cell>
          <cell r="X291">
            <v>44.469462426118774</v>
          </cell>
          <cell r="Y291">
            <v>120.87239334226132</v>
          </cell>
          <cell r="Z291">
            <v>130.58039938987284</v>
          </cell>
          <cell r="AA291">
            <v>108.82352941176472</v>
          </cell>
          <cell r="AB291">
            <v>65.812431842966205</v>
          </cell>
          <cell r="AC291">
            <v>149.77885615488793</v>
          </cell>
          <cell r="AD291">
            <v>119.74637243267803</v>
          </cell>
          <cell r="AF291">
            <v>106.3873392192272</v>
          </cell>
          <cell r="AG291">
            <v>134.76261429378297</v>
          </cell>
        </row>
        <row r="292">
          <cell r="A292">
            <v>40468</v>
          </cell>
          <cell r="B292">
            <v>10.701521</v>
          </cell>
          <cell r="C292">
            <v>50.34</v>
          </cell>
          <cell r="D292">
            <v>67.363240000000005</v>
          </cell>
          <cell r="E292">
            <v>35.464042999999997</v>
          </cell>
          <cell r="F292">
            <v>79.12</v>
          </cell>
          <cell r="G292">
            <v>1.7654768000000001</v>
          </cell>
          <cell r="H292">
            <v>21.44</v>
          </cell>
          <cell r="I292">
            <v>15.8</v>
          </cell>
          <cell r="J292">
            <v>31.59</v>
          </cell>
          <cell r="K292">
            <v>5.9540810000000004</v>
          </cell>
          <cell r="L292">
            <v>2.2200000000000002</v>
          </cell>
          <cell r="M292">
            <v>12.07</v>
          </cell>
          <cell r="N292">
            <v>12.241706000000001</v>
          </cell>
          <cell r="O292">
            <v>12.632719</v>
          </cell>
          <cell r="Q292">
            <v>77.418170044663569</v>
          </cell>
          <cell r="R292">
            <v>83.371977475985432</v>
          </cell>
          <cell r="S292">
            <v>129.30269733644647</v>
          </cell>
          <cell r="T292">
            <v>129.7259356376656</v>
          </cell>
          <cell r="U292">
            <v>105.71886691608765</v>
          </cell>
          <cell r="V292">
            <v>170.94075486415383</v>
          </cell>
          <cell r="W292">
            <v>109.61145194274029</v>
          </cell>
          <cell r="X292">
            <v>44.469462426118774</v>
          </cell>
          <cell r="Y292">
            <v>120.87239334226132</v>
          </cell>
          <cell r="Z292">
            <v>130.58039938987284</v>
          </cell>
          <cell r="AA292">
            <v>108.82352941176472</v>
          </cell>
          <cell r="AB292">
            <v>65.812431842966205</v>
          </cell>
          <cell r="AC292">
            <v>149.77885615488793</v>
          </cell>
          <cell r="AD292">
            <v>119.74637243267803</v>
          </cell>
          <cell r="AF292">
            <v>106.3873392192272</v>
          </cell>
          <cell r="AG292">
            <v>134.76261429378297</v>
          </cell>
        </row>
        <row r="293">
          <cell r="A293">
            <v>40469</v>
          </cell>
          <cell r="B293">
            <v>10.758317999999999</v>
          </cell>
          <cell r="C293">
            <v>51.57</v>
          </cell>
          <cell r="D293">
            <v>68.855090000000004</v>
          </cell>
          <cell r="E293">
            <v>36.312125999999999</v>
          </cell>
          <cell r="F293">
            <v>79.959999999999994</v>
          </cell>
          <cell r="G293">
            <v>1.7392642</v>
          </cell>
          <cell r="H293">
            <v>21.95</v>
          </cell>
          <cell r="I293">
            <v>16.440000000000001</v>
          </cell>
          <cell r="J293">
            <v>31.45</v>
          </cell>
          <cell r="K293">
            <v>5.969131</v>
          </cell>
          <cell r="L293">
            <v>2.17</v>
          </cell>
          <cell r="M293">
            <v>12.06</v>
          </cell>
          <cell r="N293">
            <v>11.973846</v>
          </cell>
          <cell r="O293">
            <v>12.648768</v>
          </cell>
          <cell r="Q293">
            <v>77.829057413293384</v>
          </cell>
          <cell r="R293">
            <v>85.409075852931423</v>
          </cell>
          <cell r="S293">
            <v>132.1662803384128</v>
          </cell>
          <cell r="T293">
            <v>132.82818657598639</v>
          </cell>
          <cell r="U293">
            <v>106.84126135756277</v>
          </cell>
          <cell r="V293">
            <v>168.40274267903072</v>
          </cell>
          <cell r="W293">
            <v>112.21881390593047</v>
          </cell>
          <cell r="X293">
            <v>46.270757106670423</v>
          </cell>
          <cell r="Y293">
            <v>120.33671321982015</v>
          </cell>
          <cell r="Z293">
            <v>130.91046460242492</v>
          </cell>
          <cell r="AA293">
            <v>106.37254901960785</v>
          </cell>
          <cell r="AB293">
            <v>65.757906215921494</v>
          </cell>
          <cell r="AC293">
            <v>146.50155441200599</v>
          </cell>
          <cell r="AD293">
            <v>119.89850195690572</v>
          </cell>
          <cell r="AF293">
            <v>107.11198402396606</v>
          </cell>
          <cell r="AG293">
            <v>133.20002818445585</v>
          </cell>
        </row>
        <row r="294">
          <cell r="A294">
            <v>40470</v>
          </cell>
          <cell r="B294">
            <v>10.646686000000001</v>
          </cell>
          <cell r="C294">
            <v>50.08</v>
          </cell>
          <cell r="D294">
            <v>67.465170000000001</v>
          </cell>
          <cell r="E294">
            <v>36.066980000000001</v>
          </cell>
          <cell r="F294">
            <v>78.989999999999995</v>
          </cell>
          <cell r="G294">
            <v>1.6797099</v>
          </cell>
          <cell r="H294">
            <v>21.75</v>
          </cell>
          <cell r="I294">
            <v>16.03</v>
          </cell>
          <cell r="J294">
            <v>30.51</v>
          </cell>
          <cell r="K294">
            <v>5.8532460000000004</v>
          </cell>
          <cell r="L294">
            <v>2.0699999999999998</v>
          </cell>
          <cell r="M294">
            <v>11.58</v>
          </cell>
          <cell r="N294">
            <v>11.776192999999999</v>
          </cell>
          <cell r="O294">
            <v>12.427137999999999</v>
          </cell>
          <cell r="Q294">
            <v>77.021476401358186</v>
          </cell>
          <cell r="R294">
            <v>82.941371315004957</v>
          </cell>
          <cell r="S294">
            <v>129.49835039499152</v>
          </cell>
          <cell r="T294">
            <v>131.93145310942054</v>
          </cell>
          <cell r="U294">
            <v>105.54516301443077</v>
          </cell>
          <cell r="V294">
            <v>162.63644940493828</v>
          </cell>
          <cell r="W294">
            <v>111.19631901840492</v>
          </cell>
          <cell r="X294">
            <v>45.116802701942021</v>
          </cell>
          <cell r="Y294">
            <v>116.7400038262866</v>
          </cell>
          <cell r="Z294">
            <v>128.36896246577356</v>
          </cell>
          <cell r="AA294">
            <v>101.47058823529412</v>
          </cell>
          <cell r="AB294">
            <v>63.140676117775349</v>
          </cell>
          <cell r="AC294">
            <v>144.08324439413903</v>
          </cell>
          <cell r="AD294">
            <v>117.7976566422704</v>
          </cell>
          <cell r="AF294">
            <v>104.63396800046841</v>
          </cell>
          <cell r="AG294">
            <v>130.94045051820473</v>
          </cell>
        </row>
        <row r="295">
          <cell r="A295">
            <v>40471</v>
          </cell>
          <cell r="B295">
            <v>10.73977</v>
          </cell>
          <cell r="C295">
            <v>47.79</v>
          </cell>
          <cell r="D295">
            <v>67.218580000000003</v>
          </cell>
          <cell r="E295">
            <v>36.265909999999998</v>
          </cell>
          <cell r="F295">
            <v>78.319999999999993</v>
          </cell>
          <cell r="G295">
            <v>1.6742188</v>
          </cell>
          <cell r="H295">
            <v>21.91</v>
          </cell>
          <cell r="I295">
            <v>16.07</v>
          </cell>
          <cell r="J295">
            <v>30.94</v>
          </cell>
          <cell r="K295">
            <v>5.9315059999999997</v>
          </cell>
          <cell r="L295">
            <v>2.04</v>
          </cell>
          <cell r="M295">
            <v>11.85</v>
          </cell>
          <cell r="N295">
            <v>11.953569999999999</v>
          </cell>
          <cell r="O295">
            <v>12.484707999999999</v>
          </cell>
          <cell r="Q295">
            <v>77.694875345343576</v>
          </cell>
          <cell r="R295">
            <v>79.148724743292476</v>
          </cell>
          <cell r="S295">
            <v>129.02502470376595</v>
          </cell>
          <cell r="T295">
            <v>132.65913044661531</v>
          </cell>
          <cell r="U295">
            <v>104.64991982896845</v>
          </cell>
          <cell r="V295">
            <v>162.10477842572487</v>
          </cell>
          <cell r="W295">
            <v>112.01431492842538</v>
          </cell>
          <cell r="X295">
            <v>45.229383619476501</v>
          </cell>
          <cell r="Y295">
            <v>118.38530705949874</v>
          </cell>
          <cell r="Z295">
            <v>130.0853015710446</v>
          </cell>
          <cell r="AA295">
            <v>100</v>
          </cell>
          <cell r="AB295">
            <v>64.612868047982559</v>
          </cell>
          <cell r="AC295">
            <v>146.25347492966941</v>
          </cell>
          <cell r="AD295">
            <v>118.34336645034492</v>
          </cell>
          <cell r="AF295">
            <v>104.6341357266782</v>
          </cell>
          <cell r="AG295">
            <v>132.29842069000716</v>
          </cell>
        </row>
        <row r="296">
          <cell r="A296">
            <v>40472</v>
          </cell>
          <cell r="B296">
            <v>10.859714</v>
          </cell>
          <cell r="C296">
            <v>47.79</v>
          </cell>
          <cell r="D296">
            <v>66.387479999999996</v>
          </cell>
          <cell r="E296">
            <v>36.199039999999997</v>
          </cell>
          <cell r="F296">
            <v>78.08</v>
          </cell>
          <cell r="G296">
            <v>1.6888375</v>
          </cell>
          <cell r="H296">
            <v>22.09</v>
          </cell>
          <cell r="I296">
            <v>16.73</v>
          </cell>
          <cell r="J296">
            <v>31.36</v>
          </cell>
          <cell r="K296">
            <v>5.9378270000000004</v>
          </cell>
          <cell r="L296">
            <v>2</v>
          </cell>
          <cell r="M296">
            <v>11.52</v>
          </cell>
          <cell r="N296">
            <v>12.064938</v>
          </cell>
          <cell r="O296">
            <v>12.331075999999999</v>
          </cell>
          <cell r="Q296">
            <v>78.56258798056966</v>
          </cell>
          <cell r="R296">
            <v>79.148724743292476</v>
          </cell>
          <cell r="S296">
            <v>127.42974110760399</v>
          </cell>
          <cell r="T296">
            <v>132.41452287843444</v>
          </cell>
          <cell r="U296">
            <v>104.3292357028327</v>
          </cell>
          <cell r="V296">
            <v>163.52022133221482</v>
          </cell>
          <cell r="W296">
            <v>112.93456032719837</v>
          </cell>
          <cell r="X296">
            <v>47.086968758795386</v>
          </cell>
          <cell r="Y296">
            <v>119.99234742682225</v>
          </cell>
          <cell r="Z296">
            <v>130.22392896031653</v>
          </cell>
          <cell r="AA296">
            <v>98.039215686274503</v>
          </cell>
          <cell r="AB296">
            <v>62.813522355507089</v>
          </cell>
          <cell r="AC296">
            <v>147.61607681312074</v>
          </cell>
          <cell r="AD296">
            <v>116.88707864012946</v>
          </cell>
          <cell r="AF296">
            <v>104.70796477165517</v>
          </cell>
          <cell r="AG296">
            <v>132.2515777266251</v>
          </cell>
        </row>
        <row r="297">
          <cell r="A297">
            <v>40473</v>
          </cell>
          <cell r="B297">
            <v>10.819753</v>
          </cell>
          <cell r="C297">
            <v>49.03</v>
          </cell>
          <cell r="D297">
            <v>66.691230000000004</v>
          </cell>
          <cell r="E297">
            <v>36.747729999999997</v>
          </cell>
          <cell r="F297">
            <v>79.16</v>
          </cell>
          <cell r="G297">
            <v>1.6855879</v>
          </cell>
          <cell r="H297">
            <v>22.79</v>
          </cell>
          <cell r="I297">
            <v>17.329999999999998</v>
          </cell>
          <cell r="J297">
            <v>31.59</v>
          </cell>
          <cell r="K297">
            <v>5.8999009999999998</v>
          </cell>
          <cell r="L297">
            <v>2.08</v>
          </cell>
          <cell r="M297">
            <v>10.029999999999999</v>
          </cell>
          <cell r="N297">
            <v>11.976754</v>
          </cell>
          <cell r="O297">
            <v>12.389747</v>
          </cell>
          <cell r="Q297">
            <v>78.27349753322531</v>
          </cell>
          <cell r="R297">
            <v>81.202384895660813</v>
          </cell>
          <cell r="S297">
            <v>128.01278453478989</v>
          </cell>
          <cell r="T297">
            <v>134.42160717012197</v>
          </cell>
          <cell r="U297">
            <v>105.7723142704436</v>
          </cell>
          <cell r="V297">
            <v>163.20558163997615</v>
          </cell>
          <cell r="W297">
            <v>116.51329243353783</v>
          </cell>
          <cell r="X297">
            <v>48.775682521812548</v>
          </cell>
          <cell r="Y297">
            <v>120.87239334226132</v>
          </cell>
          <cell r="Z297">
            <v>129.39216462468514</v>
          </cell>
          <cell r="AA297">
            <v>101.96078431372548</v>
          </cell>
          <cell r="AB297">
            <v>54.689203925845142</v>
          </cell>
          <cell r="AC297">
            <v>146.53713416810356</v>
          </cell>
          <cell r="AD297">
            <v>117.44322489945793</v>
          </cell>
          <cell r="AF297">
            <v>105.25764093384043</v>
          </cell>
          <cell r="AG297">
            <v>131.99017953378075</v>
          </cell>
          <cell r="AH297">
            <v>0.25397242768097961</v>
          </cell>
        </row>
      </sheetData>
      <sheetData sheetId="3" refreshError="1"/>
      <sheetData sheetId="4" refreshError="1"/>
      <sheetData sheetId="5" refreshError="1"/>
      <sheetData sheetId="6" refreshError="1"/>
      <sheetData sheetId="7">
        <row r="1">
          <cell r="D1" t="str">
            <v xml:space="preserve">P / E </v>
          </cell>
          <cell r="H1" t="str">
            <v>EV / EBITDA</v>
          </cell>
          <cell r="L1" t="str">
            <v>PBV</v>
          </cell>
          <cell r="P1" t="str">
            <v>ROE</v>
          </cell>
          <cell r="T1" t="str">
            <v>EPS</v>
          </cell>
        </row>
        <row r="2">
          <cell r="Q2" t="str">
            <v>(%)</v>
          </cell>
        </row>
        <row r="3">
          <cell r="D3">
            <v>2009</v>
          </cell>
          <cell r="E3">
            <v>2010</v>
          </cell>
          <cell r="F3">
            <v>2011</v>
          </cell>
          <cell r="H3">
            <v>2009</v>
          </cell>
          <cell r="I3">
            <v>2010</v>
          </cell>
          <cell r="J3">
            <v>2011</v>
          </cell>
          <cell r="L3">
            <v>2009</v>
          </cell>
          <cell r="M3">
            <v>2010</v>
          </cell>
          <cell r="N3">
            <v>2011</v>
          </cell>
          <cell r="P3">
            <v>2009</v>
          </cell>
          <cell r="Q3">
            <v>2010</v>
          </cell>
          <cell r="R3">
            <v>2011</v>
          </cell>
          <cell r="T3">
            <v>2010</v>
          </cell>
          <cell r="U3">
            <v>2011</v>
          </cell>
        </row>
        <row r="4">
          <cell r="B4" t="str">
            <v>Company</v>
          </cell>
        </row>
        <row r="6">
          <cell r="B6" t="str">
            <v>SONIC HEALTHCARE</v>
          </cell>
          <cell r="D6">
            <v>14.740912926668001</v>
          </cell>
          <cell r="E6">
            <v>14.740912926668001</v>
          </cell>
          <cell r="F6">
            <v>14.740912926668001</v>
          </cell>
          <cell r="H6">
            <v>11.8863835662785</v>
          </cell>
          <cell r="I6">
            <v>11.8863835662785</v>
          </cell>
          <cell r="J6">
            <v>11.8863835662785</v>
          </cell>
          <cell r="L6">
            <v>2.3431096945388901</v>
          </cell>
          <cell r="M6">
            <v>2.3431096945388901</v>
          </cell>
          <cell r="N6">
            <v>2.3431096945388901</v>
          </cell>
          <cell r="P6">
            <v>15.039405923785901</v>
          </cell>
          <cell r="Q6">
            <v>13.670283312467399</v>
          </cell>
          <cell r="R6">
            <v>14.5663999029987</v>
          </cell>
          <cell r="T6">
            <v>0.86550279498333105</v>
          </cell>
          <cell r="U6">
            <v>0.93767619469294505</v>
          </cell>
          <cell r="V6">
            <v>8.338898514013926E-2</v>
          </cell>
        </row>
        <row r="7">
          <cell r="B7" t="str">
            <v>QUEST DIAGNOSTICS INC</v>
          </cell>
          <cell r="D7">
            <v>15.403060999999999</v>
          </cell>
          <cell r="E7">
            <v>12.269428</v>
          </cell>
          <cell r="F7">
            <v>11.377336999999999</v>
          </cell>
          <cell r="H7">
            <v>6.7233792349212695</v>
          </cell>
          <cell r="I7">
            <v>7.0151956179253556</v>
          </cell>
          <cell r="J7">
            <v>6.8536460986135239</v>
          </cell>
          <cell r="L7">
            <v>2.27623</v>
          </cell>
          <cell r="M7">
            <v>2.2842539999999998</v>
          </cell>
          <cell r="N7">
            <v>1.9771909999999999</v>
          </cell>
          <cell r="P7">
            <v>20.237708043578401</v>
          </cell>
          <cell r="Q7">
            <v>18.316372504123901</v>
          </cell>
          <cell r="R7">
            <v>18.726876325526501</v>
          </cell>
          <cell r="T7">
            <v>4.1000000000000005</v>
          </cell>
          <cell r="U7">
            <v>3.95</v>
          </cell>
          <cell r="V7">
            <v>-3.6585365853658569E-2</v>
          </cell>
        </row>
        <row r="8">
          <cell r="B8" t="str">
            <v>SYSMEX CORP</v>
          </cell>
          <cell r="H8" t="str">
            <v>NA</v>
          </cell>
          <cell r="I8" t="str">
            <v>NA</v>
          </cell>
          <cell r="J8" t="str">
            <v>NA</v>
          </cell>
        </row>
        <row r="9">
          <cell r="B9" t="str">
            <v>MIRACA HLDGS INC</v>
          </cell>
          <cell r="D9">
            <v>12.342984</v>
          </cell>
          <cell r="E9">
            <v>13.759500000000001</v>
          </cell>
          <cell r="F9">
            <v>12.934211999999999</v>
          </cell>
          <cell r="H9" t="str">
            <v>NA</v>
          </cell>
          <cell r="I9">
            <v>4.630552322871079</v>
          </cell>
          <cell r="J9" t="str">
            <v>NA</v>
          </cell>
          <cell r="L9">
            <v>1.8315489999999999</v>
          </cell>
          <cell r="M9">
            <v>1.651214</v>
          </cell>
          <cell r="N9">
            <v>1.4963069999999998</v>
          </cell>
          <cell r="P9">
            <v>12.183536</v>
          </cell>
          <cell r="Q9">
            <v>12.000537999999999</v>
          </cell>
          <cell r="R9">
            <v>11.568596999999999</v>
          </cell>
          <cell r="T9">
            <v>199.49</v>
          </cell>
          <cell r="U9">
            <v>199.49</v>
          </cell>
          <cell r="V9">
            <v>0</v>
          </cell>
        </row>
        <row r="10">
          <cell r="B10" t="str">
            <v>LABORATORY CP OF AMER HLDGS</v>
          </cell>
          <cell r="D10">
            <v>14.790514999999999</v>
          </cell>
          <cell r="E10">
            <v>14.283272</v>
          </cell>
          <cell r="F10">
            <v>13.131705999999999</v>
          </cell>
          <cell r="H10">
            <v>1.0724415518055177</v>
          </cell>
          <cell r="I10">
            <v>7.7275082191769542</v>
          </cell>
          <cell r="J10">
            <v>7.1713633391080878</v>
          </cell>
          <cell r="L10">
            <v>4.1745939999999999</v>
          </cell>
          <cell r="M10">
            <v>3.8504259999999997</v>
          </cell>
          <cell r="N10">
            <v>3.068238</v>
          </cell>
          <cell r="P10">
            <v>25.788</v>
          </cell>
          <cell r="Q10">
            <v>26.957590000000003</v>
          </cell>
          <cell r="R10">
            <v>23.365110000000001</v>
          </cell>
          <cell r="T10">
            <v>5.3100000000000005</v>
          </cell>
          <cell r="U10">
            <v>5.38</v>
          </cell>
          <cell r="V10">
            <v>1.3182674199623268E-2</v>
          </cell>
        </row>
        <row r="11">
          <cell r="B11" t="str">
            <v>RAFFLES MEDICAL</v>
          </cell>
          <cell r="H11" t="str">
            <v>NA</v>
          </cell>
          <cell r="I11" t="str">
            <v>NA</v>
          </cell>
          <cell r="J11" t="str">
            <v>NA</v>
          </cell>
        </row>
        <row r="12">
          <cell r="B12" t="str">
            <v>BIO REFERENCE LABS</v>
          </cell>
          <cell r="D12">
            <v>21.106260000000002</v>
          </cell>
          <cell r="E12">
            <v>26.149570000000001</v>
          </cell>
          <cell r="F12">
            <v>22.56118</v>
          </cell>
          <cell r="H12">
            <v>22.756013818352518</v>
          </cell>
          <cell r="I12">
            <v>20.358060425960169</v>
          </cell>
          <cell r="J12">
            <v>16.943852170607222</v>
          </cell>
          <cell r="L12">
            <v>4.5091999999999999</v>
          </cell>
          <cell r="M12">
            <v>3.4897860000000001</v>
          </cell>
          <cell r="N12">
            <v>3.0647600000000002</v>
          </cell>
          <cell r="P12">
            <v>14.367215</v>
          </cell>
          <cell r="Q12">
            <v>13.345480999999999</v>
          </cell>
          <cell r="R12">
            <v>13.584214999999999</v>
          </cell>
          <cell r="T12">
            <v>7.8600000000000003E-2</v>
          </cell>
          <cell r="U12">
            <v>7.8600000000000003E-2</v>
          </cell>
          <cell r="V12">
            <v>0</v>
          </cell>
        </row>
        <row r="13">
          <cell r="B13" t="str">
            <v>GENOPTIX INC</v>
          </cell>
          <cell r="D13">
            <v>19.738900000000001</v>
          </cell>
          <cell r="E13">
            <v>16.554820000000003</v>
          </cell>
          <cell r="F13">
            <v>17.167950000000001</v>
          </cell>
          <cell r="H13">
            <v>2.3942270028289863</v>
          </cell>
          <cell r="I13">
            <v>3.5378179332437933</v>
          </cell>
          <cell r="J13">
            <v>3.6818058854461033</v>
          </cell>
          <cell r="L13">
            <v>2.0245329999999999</v>
          </cell>
          <cell r="M13">
            <v>2.0667519999999997</v>
          </cell>
          <cell r="N13">
            <v>1.248</v>
          </cell>
          <cell r="P13">
            <v>19.97663</v>
          </cell>
          <cell r="Q13">
            <v>12.484292</v>
          </cell>
          <cell r="R13">
            <v>7.2693689999999993</v>
          </cell>
          <cell r="T13">
            <v>1.61</v>
          </cell>
          <cell r="U13">
            <v>1.54</v>
          </cell>
          <cell r="V13">
            <v>-4.3478260869565299E-2</v>
          </cell>
        </row>
        <row r="14">
          <cell r="B14" t="str">
            <v>RESMED INC</v>
          </cell>
          <cell r="H14" t="str">
            <v>NA</v>
          </cell>
          <cell r="I14" t="str">
            <v>NA</v>
          </cell>
          <cell r="J14" t="str">
            <v>NA</v>
          </cell>
        </row>
        <row r="15">
          <cell r="B15" t="str">
            <v>HEALTHSCOPE</v>
          </cell>
          <cell r="D15">
            <v>12.276786999999999</v>
          </cell>
          <cell r="E15">
            <v>14.607090000000001</v>
          </cell>
          <cell r="F15">
            <v>16.050150000000002</v>
          </cell>
          <cell r="H15">
            <v>12.343122020698383</v>
          </cell>
          <cell r="I15" t="str">
            <v>NA</v>
          </cell>
          <cell r="J15" t="str">
            <v>NA</v>
          </cell>
          <cell r="L15">
            <v>1.699576</v>
          </cell>
          <cell r="M15">
            <v>1.5921449999999999</v>
          </cell>
          <cell r="N15">
            <v>1.563267</v>
          </cell>
          <cell r="P15">
            <v>8.1026300000000013</v>
          </cell>
          <cell r="Q15">
            <v>8.6377839999999999</v>
          </cell>
          <cell r="R15">
            <v>8.862603</v>
          </cell>
          <cell r="T15">
            <v>0.27729999999999999</v>
          </cell>
          <cell r="U15">
            <v>0.31790000000000002</v>
          </cell>
          <cell r="V15">
            <v>0.14641182834475308</v>
          </cell>
        </row>
        <row r="16">
          <cell r="B16" t="str">
            <v>RADNET</v>
          </cell>
          <cell r="H16">
            <v>5.3397265114521026</v>
          </cell>
          <cell r="I16">
            <v>5.4134587490424702</v>
          </cell>
          <cell r="J16">
            <v>4.9100277152260521</v>
          </cell>
        </row>
        <row r="17">
          <cell r="B17" t="str">
            <v>DIAGNOSTICOS DA AMERICA</v>
          </cell>
          <cell r="D17">
            <v>19.729117892189201</v>
          </cell>
          <cell r="E17">
            <v>19.729117892189201</v>
          </cell>
          <cell r="F17">
            <v>19.729117892189201</v>
          </cell>
          <cell r="H17">
            <v>9.3578548665922803</v>
          </cell>
          <cell r="I17">
            <v>9.3578548665922803</v>
          </cell>
          <cell r="J17">
            <v>9.3578548665922803</v>
          </cell>
          <cell r="L17">
            <v>5.8275990300307701</v>
          </cell>
          <cell r="M17">
            <v>5.8275990300307701</v>
          </cell>
          <cell r="N17">
            <v>5.8275990300307701</v>
          </cell>
          <cell r="P17">
            <v>34.624095471756696</v>
          </cell>
          <cell r="Q17">
            <v>41.778721373458602</v>
          </cell>
          <cell r="R17">
            <v>43.987697208679897</v>
          </cell>
          <cell r="T17">
            <v>0.59893251255024504</v>
          </cell>
          <cell r="U17">
            <v>0.77030027228360198</v>
          </cell>
          <cell r="V17">
            <v>0.28612198560347935</v>
          </cell>
        </row>
        <row r="18">
          <cell r="B18" t="str">
            <v>FLEURY</v>
          </cell>
          <cell r="D18">
            <v>28.173704612007601</v>
          </cell>
          <cell r="E18">
            <v>28.173704612007601</v>
          </cell>
          <cell r="F18">
            <v>28.173704612007601</v>
          </cell>
          <cell r="H18">
            <v>10.138243304727901</v>
          </cell>
          <cell r="I18">
            <v>10.138243304727901</v>
          </cell>
          <cell r="J18">
            <v>10.138243304727901</v>
          </cell>
          <cell r="L18">
            <v>2.3879125306398898</v>
          </cell>
          <cell r="M18">
            <v>2.3879125306398898</v>
          </cell>
          <cell r="N18">
            <v>2.3879125306398898</v>
          </cell>
          <cell r="P18">
            <v>56.531105533718893</v>
          </cell>
          <cell r="Q18">
            <v>15.277778737413</v>
          </cell>
          <cell r="R18">
            <v>15.355089845118099</v>
          </cell>
          <cell r="T18">
            <v>0.68568158173660698</v>
          </cell>
          <cell r="U18">
            <v>0.76811682156984795</v>
          </cell>
          <cell r="V18">
            <v>0.12022379195961408</v>
          </cell>
        </row>
        <row r="19">
          <cell r="B19" t="str">
            <v>HEALTHWAYS</v>
          </cell>
          <cell r="D19">
            <v>59.161290000000008</v>
          </cell>
          <cell r="E19">
            <v>8.9991839999999996</v>
          </cell>
          <cell r="F19">
            <v>9.4541550000000001</v>
          </cell>
          <cell r="H19">
            <v>602.45385999999996</v>
          </cell>
          <cell r="I19">
            <v>602.45385999999996</v>
          </cell>
          <cell r="J19">
            <v>602.45385999999996</v>
          </cell>
          <cell r="L19">
            <v>0.91486780000000001</v>
          </cell>
          <cell r="M19">
            <v>0.84992000000000012</v>
          </cell>
          <cell r="N19">
            <v>0.75508160000000002</v>
          </cell>
          <cell r="P19">
            <v>9.486165999999999</v>
          </cell>
          <cell r="Q19">
            <v>9.4444109999999988</v>
          </cell>
          <cell r="R19">
            <v>7.9867700000000008</v>
          </cell>
          <cell r="T19">
            <v>1.1000000000000001</v>
          </cell>
          <cell r="U19">
            <v>1.0900000000000001</v>
          </cell>
          <cell r="V19">
            <v>-9.0909090909091494E-3</v>
          </cell>
        </row>
        <row r="21">
          <cell r="B21" t="str">
            <v>DASA</v>
          </cell>
        </row>
        <row r="22">
          <cell r="B22" t="str">
            <v>FLRY</v>
          </cell>
        </row>
      </sheetData>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LC BRL"/>
      <sheetName val="SLC USD"/>
      <sheetName val="AGRO BRL"/>
      <sheetName val="AGRO USD"/>
    </sheetNames>
    <sheetDataSet>
      <sheetData sheetId="0"/>
      <sheetData sheetId="1"/>
      <sheetData sheetId="2">
        <row r="1">
          <cell r="B1" t="str">
            <v>SLCE3-BR</v>
          </cell>
          <cell r="C1">
            <v>180264</v>
          </cell>
          <cell r="E1" t="str">
            <v>SLCE3 (base 100)</v>
          </cell>
          <cell r="F1" t="str">
            <v>Ibovespa (base 100)</v>
          </cell>
          <cell r="H1" t="str">
            <v>Soybean (USD/bu)</v>
          </cell>
        </row>
        <row r="2">
          <cell r="A2">
            <v>40239</v>
          </cell>
          <cell r="B2">
            <v>8.6978480000000005</v>
          </cell>
          <cell r="C2">
            <v>38034.375</v>
          </cell>
          <cell r="E2">
            <v>100</v>
          </cell>
          <cell r="F2">
            <v>100</v>
          </cell>
          <cell r="H2">
            <v>9.5425000000000004</v>
          </cell>
        </row>
        <row r="3">
          <cell r="A3">
            <v>40240</v>
          </cell>
          <cell r="B3">
            <v>8.5409050000000004</v>
          </cell>
          <cell r="C3">
            <v>38032.805</v>
          </cell>
          <cell r="E3">
            <v>98.19561114427384</v>
          </cell>
          <cell r="F3">
            <v>99.995872155122839</v>
          </cell>
          <cell r="H3">
            <v>9.5449999999999999</v>
          </cell>
        </row>
        <row r="4">
          <cell r="A4">
            <v>40241</v>
          </cell>
          <cell r="B4">
            <v>8.573264</v>
          </cell>
          <cell r="C4">
            <v>37875.792999999998</v>
          </cell>
          <cell r="E4">
            <v>98.567645698108308</v>
          </cell>
          <cell r="F4">
            <v>99.58305611699943</v>
          </cell>
          <cell r="H4">
            <v>9.3249999999999993</v>
          </cell>
        </row>
        <row r="5">
          <cell r="A5">
            <v>40242</v>
          </cell>
          <cell r="B5">
            <v>8.7179059999999993</v>
          </cell>
          <cell r="C5">
            <v>38722.406000000003</v>
          </cell>
          <cell r="E5">
            <v>100.23060876667422</v>
          </cell>
          <cell r="F5">
            <v>101.80897148960646</v>
          </cell>
          <cell r="H5">
            <v>9.3475000000000001</v>
          </cell>
        </row>
        <row r="6">
          <cell r="A6">
            <v>40243</v>
          </cell>
          <cell r="B6">
            <v>8.7179059999999993</v>
          </cell>
          <cell r="C6">
            <v>38722.406000000003</v>
          </cell>
          <cell r="E6">
            <v>100.23060876667422</v>
          </cell>
          <cell r="F6">
            <v>101.80897148960646</v>
          </cell>
          <cell r="H6">
            <v>9.3475000000000001</v>
          </cell>
        </row>
        <row r="7">
          <cell r="A7">
            <v>40244</v>
          </cell>
          <cell r="B7">
            <v>8.7179059999999993</v>
          </cell>
          <cell r="C7">
            <v>38722.406000000003</v>
          </cell>
          <cell r="E7">
            <v>100.23060876667422</v>
          </cell>
          <cell r="F7">
            <v>101.80897148960646</v>
          </cell>
          <cell r="H7">
            <v>9.3475000000000001</v>
          </cell>
        </row>
        <row r="8">
          <cell r="A8">
            <v>40245</v>
          </cell>
          <cell r="B8">
            <v>8.7530409999999996</v>
          </cell>
          <cell r="C8">
            <v>38354.241999999998</v>
          </cell>
          <cell r="E8">
            <v>100.63455926109538</v>
          </cell>
          <cell r="F8">
            <v>100.84099449511132</v>
          </cell>
          <cell r="H8">
            <v>9.4049999999999994</v>
          </cell>
        </row>
        <row r="9">
          <cell r="A9">
            <v>40246</v>
          </cell>
          <cell r="B9">
            <v>8.7851409999999994</v>
          </cell>
          <cell r="C9">
            <v>38808.78</v>
          </cell>
          <cell r="E9">
            <v>101.00361606687078</v>
          </cell>
          <cell r="F9">
            <v>102.03606605866405</v>
          </cell>
          <cell r="H9">
            <v>9.4149999999999991</v>
          </cell>
        </row>
        <row r="10">
          <cell r="A10">
            <v>40247</v>
          </cell>
          <cell r="B10">
            <v>8.9391789999999993</v>
          </cell>
          <cell r="C10">
            <v>39592.239999999998</v>
          </cell>
          <cell r="E10">
            <v>102.77460585652909</v>
          </cell>
          <cell r="F10">
            <v>104.09593952838713</v>
          </cell>
          <cell r="H10">
            <v>9.52</v>
          </cell>
        </row>
        <row r="11">
          <cell r="A11">
            <v>40248</v>
          </cell>
          <cell r="B11">
            <v>8.4614519999999995</v>
          </cell>
          <cell r="C11">
            <v>39500.684000000001</v>
          </cell>
          <cell r="E11">
            <v>97.282132315947564</v>
          </cell>
          <cell r="F11">
            <v>103.85522044203435</v>
          </cell>
          <cell r="H11">
            <v>9.2550000000000008</v>
          </cell>
        </row>
        <row r="12">
          <cell r="A12">
            <v>40249</v>
          </cell>
          <cell r="B12">
            <v>8.2724639999999994</v>
          </cell>
          <cell r="C12">
            <v>39262.43</v>
          </cell>
          <cell r="E12">
            <v>95.109318994767435</v>
          </cell>
          <cell r="F12">
            <v>103.22880289212063</v>
          </cell>
          <cell r="H12">
            <v>9.26</v>
          </cell>
        </row>
        <row r="13">
          <cell r="A13">
            <v>40250</v>
          </cell>
          <cell r="B13">
            <v>8.2724639999999994</v>
          </cell>
          <cell r="C13">
            <v>39262.43</v>
          </cell>
          <cell r="E13">
            <v>95.109318994767435</v>
          </cell>
          <cell r="F13">
            <v>103.22880289212063</v>
          </cell>
          <cell r="H13">
            <v>9.26</v>
          </cell>
        </row>
        <row r="14">
          <cell r="A14">
            <v>40251</v>
          </cell>
          <cell r="B14">
            <v>8.2724639999999994</v>
          </cell>
          <cell r="C14">
            <v>39262.43</v>
          </cell>
          <cell r="E14">
            <v>95.109318994767435</v>
          </cell>
          <cell r="F14">
            <v>103.22880289212063</v>
          </cell>
          <cell r="H14">
            <v>9.26</v>
          </cell>
        </row>
        <row r="15">
          <cell r="A15">
            <v>40252</v>
          </cell>
          <cell r="B15">
            <v>8.0305605</v>
          </cell>
          <cell r="C15">
            <v>39062.675999999999</v>
          </cell>
          <cell r="E15">
            <v>92.328131050347167</v>
          </cell>
          <cell r="F15">
            <v>102.70360956371702</v>
          </cell>
          <cell r="H15">
            <v>9.3000000000000007</v>
          </cell>
        </row>
        <row r="16">
          <cell r="A16">
            <v>40253</v>
          </cell>
          <cell r="B16">
            <v>8.3477560000000004</v>
          </cell>
          <cell r="C16">
            <v>39691.402000000002</v>
          </cell>
          <cell r="E16">
            <v>95.974958403503948</v>
          </cell>
          <cell r="F16">
            <v>104.35665631418946</v>
          </cell>
          <cell r="H16">
            <v>9.4499999999999993</v>
          </cell>
        </row>
        <row r="17">
          <cell r="A17">
            <v>40254</v>
          </cell>
          <cell r="B17">
            <v>8.2122729999999997</v>
          </cell>
          <cell r="C17">
            <v>39488.707000000002</v>
          </cell>
          <cell r="E17">
            <v>94.417297244099913</v>
          </cell>
          <cell r="F17">
            <v>103.82373050694274</v>
          </cell>
          <cell r="H17">
            <v>9.59</v>
          </cell>
        </row>
        <row r="18">
          <cell r="A18">
            <v>40255</v>
          </cell>
          <cell r="B18">
            <v>8.1575640000000007</v>
          </cell>
          <cell r="C18">
            <v>38942.495999999999</v>
          </cell>
          <cell r="E18">
            <v>93.788302577833051</v>
          </cell>
          <cell r="F18">
            <v>102.38763224057186</v>
          </cell>
          <cell r="H18">
            <v>9.5950000000000006</v>
          </cell>
        </row>
        <row r="19">
          <cell r="A19">
            <v>40256</v>
          </cell>
          <cell r="B19">
            <v>8.3076139999999992</v>
          </cell>
          <cell r="C19">
            <v>38273.402000000002</v>
          </cell>
          <cell r="E19">
            <v>95.513441945639883</v>
          </cell>
          <cell r="F19">
            <v>100.62844992194562</v>
          </cell>
          <cell r="H19">
            <v>9.6174999999999997</v>
          </cell>
        </row>
        <row r="20">
          <cell r="A20">
            <v>40257</v>
          </cell>
          <cell r="B20">
            <v>8.3076139999999992</v>
          </cell>
          <cell r="C20">
            <v>38273.402000000002</v>
          </cell>
          <cell r="E20">
            <v>95.513441945639883</v>
          </cell>
          <cell r="F20">
            <v>100.62844992194562</v>
          </cell>
          <cell r="H20">
            <v>9.6174999999999997</v>
          </cell>
        </row>
        <row r="21">
          <cell r="A21">
            <v>40258</v>
          </cell>
          <cell r="B21">
            <v>8.3076139999999992</v>
          </cell>
          <cell r="C21">
            <v>38273.402000000002</v>
          </cell>
          <cell r="E21">
            <v>95.513441945639883</v>
          </cell>
          <cell r="F21">
            <v>100.62844992194562</v>
          </cell>
          <cell r="H21">
            <v>9.6174999999999997</v>
          </cell>
        </row>
        <row r="22">
          <cell r="A22">
            <v>40259</v>
          </cell>
          <cell r="B22">
            <v>8.4151539999999994</v>
          </cell>
          <cell r="C22">
            <v>38299.063000000002</v>
          </cell>
          <cell r="E22">
            <v>96.749839730471251</v>
          </cell>
          <cell r="F22">
            <v>100.69591783748255</v>
          </cell>
          <cell r="H22">
            <v>9.6850000000000005</v>
          </cell>
        </row>
        <row r="23">
          <cell r="A23">
            <v>40260</v>
          </cell>
          <cell r="B23">
            <v>8.6093270000000004</v>
          </cell>
          <cell r="C23">
            <v>38916.805</v>
          </cell>
          <cell r="E23">
            <v>98.982265498316366</v>
          </cell>
          <cell r="F23">
            <v>102.32008544901817</v>
          </cell>
          <cell r="H23">
            <v>9.68</v>
          </cell>
        </row>
        <row r="24">
          <cell r="A24">
            <v>40261</v>
          </cell>
          <cell r="B24">
            <v>8.5877219999999994</v>
          </cell>
          <cell r="C24">
            <v>38529.241999999998</v>
          </cell>
          <cell r="E24">
            <v>98.733870722965023</v>
          </cell>
          <cell r="F24">
            <v>101.30110459288473</v>
          </cell>
          <cell r="H24">
            <v>9.6</v>
          </cell>
        </row>
        <row r="25">
          <cell r="A25">
            <v>40262</v>
          </cell>
          <cell r="B25">
            <v>8.5886849999999999</v>
          </cell>
          <cell r="C25">
            <v>37924.120000000003</v>
          </cell>
          <cell r="E25">
            <v>98.744942427138298</v>
          </cell>
          <cell r="F25">
            <v>99.710117492399974</v>
          </cell>
          <cell r="H25">
            <v>9.4250000000000007</v>
          </cell>
        </row>
        <row r="26">
          <cell r="A26">
            <v>40263</v>
          </cell>
          <cell r="B26">
            <v>8.3191469999999992</v>
          </cell>
          <cell r="C26">
            <v>37714.925999999999</v>
          </cell>
          <cell r="E26">
            <v>95.646037962493708</v>
          </cell>
          <cell r="F26">
            <v>99.160104510722206</v>
          </cell>
          <cell r="H26">
            <v>9.52</v>
          </cell>
        </row>
        <row r="27">
          <cell r="A27">
            <v>40264</v>
          </cell>
          <cell r="B27">
            <v>8.3191469999999992</v>
          </cell>
          <cell r="C27">
            <v>37714.925999999999</v>
          </cell>
          <cell r="E27">
            <v>95.646037962493708</v>
          </cell>
          <cell r="F27">
            <v>99.160104510722206</v>
          </cell>
          <cell r="H27">
            <v>9.52</v>
          </cell>
        </row>
        <row r="28">
          <cell r="A28">
            <v>40265</v>
          </cell>
          <cell r="B28">
            <v>8.3191469999999992</v>
          </cell>
          <cell r="C28">
            <v>37714.925999999999</v>
          </cell>
          <cell r="E28">
            <v>95.646037962493708</v>
          </cell>
          <cell r="F28">
            <v>99.160104510722206</v>
          </cell>
          <cell r="H28">
            <v>9.52</v>
          </cell>
        </row>
        <row r="29">
          <cell r="A29">
            <v>40266</v>
          </cell>
          <cell r="B29">
            <v>8.4210530000000006</v>
          </cell>
          <cell r="C29">
            <v>38645.733999999997</v>
          </cell>
          <cell r="E29">
            <v>96.817661104217962</v>
          </cell>
          <cell r="F29">
            <v>101.6073854243694</v>
          </cell>
          <cell r="H29">
            <v>9.6750000000000007</v>
          </cell>
        </row>
        <row r="30">
          <cell r="A30">
            <v>40267</v>
          </cell>
          <cell r="B30">
            <v>8.2063570000000006</v>
          </cell>
          <cell r="C30">
            <v>38975.78</v>
          </cell>
          <cell r="E30">
            <v>94.349280419708421</v>
          </cell>
          <cell r="F30">
            <v>102.47514255196779</v>
          </cell>
          <cell r="H30">
            <v>9.74</v>
          </cell>
        </row>
        <row r="31">
          <cell r="A31">
            <v>40268</v>
          </cell>
          <cell r="B31">
            <v>8.1470269999999996</v>
          </cell>
          <cell r="C31">
            <v>39430.457000000002</v>
          </cell>
          <cell r="E31">
            <v>93.667157669345329</v>
          </cell>
          <cell r="F31">
            <v>103.67057957439816</v>
          </cell>
          <cell r="H31">
            <v>9.41</v>
          </cell>
        </row>
        <row r="32">
          <cell r="A32">
            <v>40269</v>
          </cell>
          <cell r="B32">
            <v>8.0269069999999996</v>
          </cell>
          <cell r="C32">
            <v>40211.605000000003</v>
          </cell>
          <cell r="E32">
            <v>92.286126407359603</v>
          </cell>
          <cell r="F32">
            <v>105.72437433242956</v>
          </cell>
          <cell r="H32">
            <v>9.42</v>
          </cell>
        </row>
        <row r="33">
          <cell r="A33">
            <v>40270</v>
          </cell>
          <cell r="B33">
            <v>8.0269069999999996</v>
          </cell>
          <cell r="C33">
            <v>40211.605000000003</v>
          </cell>
          <cell r="E33">
            <v>92.286126407359603</v>
          </cell>
          <cell r="F33">
            <v>105.72437433242956</v>
          </cell>
          <cell r="H33">
            <v>9.42</v>
          </cell>
        </row>
        <row r="34">
          <cell r="A34">
            <v>40271</v>
          </cell>
          <cell r="B34">
            <v>8.0269069999999996</v>
          </cell>
          <cell r="C34">
            <v>40211.605000000003</v>
          </cell>
          <cell r="E34">
            <v>92.286126407359603</v>
          </cell>
          <cell r="F34">
            <v>105.72437433242956</v>
          </cell>
          <cell r="H34">
            <v>9.42</v>
          </cell>
        </row>
        <row r="35">
          <cell r="A35">
            <v>40272</v>
          </cell>
          <cell r="B35">
            <v>8.0269069999999996</v>
          </cell>
          <cell r="C35">
            <v>40211.605000000003</v>
          </cell>
          <cell r="E35">
            <v>92.286126407359603</v>
          </cell>
          <cell r="F35">
            <v>105.72437433242956</v>
          </cell>
          <cell r="H35">
            <v>9.42</v>
          </cell>
        </row>
        <row r="36">
          <cell r="A36">
            <v>40273</v>
          </cell>
          <cell r="B36">
            <v>8.0147790000000008</v>
          </cell>
          <cell r="C36">
            <v>40522.769999999997</v>
          </cell>
          <cell r="E36">
            <v>92.146689617937682</v>
          </cell>
          <cell r="F36">
            <v>106.54248952427901</v>
          </cell>
          <cell r="H36">
            <v>9.36</v>
          </cell>
        </row>
        <row r="37">
          <cell r="A37">
            <v>40274</v>
          </cell>
          <cell r="B37">
            <v>8.1572370000000003</v>
          </cell>
          <cell r="C37">
            <v>40386.074000000001</v>
          </cell>
          <cell r="E37">
            <v>93.784543027194772</v>
          </cell>
          <cell r="F37">
            <v>106.18308832470626</v>
          </cell>
          <cell r="H37">
            <v>9.4450000000000003</v>
          </cell>
        </row>
        <row r="38">
          <cell r="A38">
            <v>40275</v>
          </cell>
          <cell r="B38">
            <v>8.1360740000000007</v>
          </cell>
          <cell r="C38">
            <v>40137.741999999998</v>
          </cell>
          <cell r="E38">
            <v>93.541229968608334</v>
          </cell>
          <cell r="F38">
            <v>105.5301736915619</v>
          </cell>
          <cell r="H38">
            <v>9.5250000000000004</v>
          </cell>
        </row>
        <row r="39">
          <cell r="A39">
            <v>40276</v>
          </cell>
          <cell r="B39">
            <v>7.9878920000000004</v>
          </cell>
          <cell r="C39">
            <v>40239.233999999997</v>
          </cell>
          <cell r="E39">
            <v>91.837567177536329</v>
          </cell>
          <cell r="F39">
            <v>105.797016514666</v>
          </cell>
          <cell r="H39">
            <v>9.4649999999999999</v>
          </cell>
        </row>
        <row r="40">
          <cell r="A40">
            <v>40277</v>
          </cell>
          <cell r="B40">
            <v>8.0599710000000009</v>
          </cell>
          <cell r="C40">
            <v>40253.226999999999</v>
          </cell>
          <cell r="E40">
            <v>92.666266414405044</v>
          </cell>
          <cell r="F40">
            <v>105.83380691808398</v>
          </cell>
          <cell r="H40">
            <v>9.5225000000000009</v>
          </cell>
        </row>
        <row r="41">
          <cell r="A41">
            <v>40278</v>
          </cell>
          <cell r="B41">
            <v>8.0599710000000009</v>
          </cell>
          <cell r="C41">
            <v>40253.226999999999</v>
          </cell>
          <cell r="E41">
            <v>92.666266414405044</v>
          </cell>
          <cell r="F41">
            <v>105.83380691808398</v>
          </cell>
          <cell r="H41">
            <v>9.5225000000000009</v>
          </cell>
        </row>
        <row r="42">
          <cell r="A42">
            <v>40279</v>
          </cell>
          <cell r="B42">
            <v>8.0599710000000009</v>
          </cell>
          <cell r="C42">
            <v>40253.226999999999</v>
          </cell>
          <cell r="E42">
            <v>92.666266414405044</v>
          </cell>
          <cell r="F42">
            <v>105.83380691808398</v>
          </cell>
          <cell r="H42">
            <v>9.5225000000000009</v>
          </cell>
        </row>
        <row r="43">
          <cell r="A43">
            <v>40280</v>
          </cell>
          <cell r="B43">
            <v>7.9601990000000002</v>
          </cell>
          <cell r="C43">
            <v>40150.31</v>
          </cell>
          <cell r="E43">
            <v>91.519178077151949</v>
          </cell>
          <cell r="F43">
            <v>105.56321748418371</v>
          </cell>
          <cell r="H43">
            <v>9.6</v>
          </cell>
        </row>
        <row r="44">
          <cell r="A44">
            <v>40281</v>
          </cell>
          <cell r="B44">
            <v>8.0129110000000008</v>
          </cell>
          <cell r="C44">
            <v>40088.565999999999</v>
          </cell>
          <cell r="E44">
            <v>92.125213041202841</v>
          </cell>
          <cell r="F44">
            <v>105.40088012488702</v>
          </cell>
          <cell r="H44">
            <v>9.68</v>
          </cell>
        </row>
        <row r="45">
          <cell r="A45">
            <v>40282</v>
          </cell>
          <cell r="B45">
            <v>8.4808489999999992</v>
          </cell>
          <cell r="C45">
            <v>40760.207000000002</v>
          </cell>
          <cell r="E45">
            <v>97.505141501667978</v>
          </cell>
          <cell r="F45">
            <v>107.1667590173363</v>
          </cell>
          <cell r="H45">
            <v>9.69</v>
          </cell>
        </row>
        <row r="46">
          <cell r="A46">
            <v>40283</v>
          </cell>
          <cell r="B46">
            <v>8.5459770000000006</v>
          </cell>
          <cell r="C46">
            <v>40531.233999999997</v>
          </cell>
          <cell r="E46">
            <v>98.253924419005713</v>
          </cell>
          <cell r="F46">
            <v>106.5647430778079</v>
          </cell>
          <cell r="H46">
            <v>9.84</v>
          </cell>
        </row>
        <row r="47">
          <cell r="A47">
            <v>40284</v>
          </cell>
          <cell r="B47">
            <v>8.3913689999999992</v>
          </cell>
          <cell r="C47">
            <v>39628.582000000002</v>
          </cell>
          <cell r="E47">
            <v>96.476381284198098</v>
          </cell>
          <cell r="F47">
            <v>104.19148993509162</v>
          </cell>
          <cell r="H47">
            <v>9.8524999999999991</v>
          </cell>
        </row>
        <row r="48">
          <cell r="A48">
            <v>40285</v>
          </cell>
          <cell r="B48">
            <v>8.3913689999999992</v>
          </cell>
          <cell r="C48">
            <v>39628.582000000002</v>
          </cell>
          <cell r="E48">
            <v>96.476381284198098</v>
          </cell>
          <cell r="F48">
            <v>104.19148993509162</v>
          </cell>
          <cell r="H48">
            <v>9.8524999999999991</v>
          </cell>
        </row>
        <row r="49">
          <cell r="A49">
            <v>40286</v>
          </cell>
          <cell r="B49">
            <v>8.3913689999999992</v>
          </cell>
          <cell r="C49">
            <v>39628.582000000002</v>
          </cell>
          <cell r="E49">
            <v>96.476381284198098</v>
          </cell>
          <cell r="F49">
            <v>104.19148993509162</v>
          </cell>
          <cell r="H49">
            <v>9.8524999999999991</v>
          </cell>
        </row>
        <row r="50">
          <cell r="A50">
            <v>40287</v>
          </cell>
          <cell r="B50">
            <v>8.4777100000000001</v>
          </cell>
          <cell r="C50">
            <v>39314.714999999997</v>
          </cell>
          <cell r="E50">
            <v>97.469052114959936</v>
          </cell>
          <cell r="F50">
            <v>103.3662706433325</v>
          </cell>
          <cell r="H50">
            <v>9.7675000000000001</v>
          </cell>
        </row>
        <row r="51">
          <cell r="A51">
            <v>40288</v>
          </cell>
          <cell r="B51">
            <v>8.6231519999999993</v>
          </cell>
          <cell r="C51">
            <v>39585.656000000003</v>
          </cell>
          <cell r="E51">
            <v>99.141212860928334</v>
          </cell>
          <cell r="F51">
            <v>104.07862887190863</v>
          </cell>
          <cell r="H51">
            <v>9.84</v>
          </cell>
        </row>
        <row r="52">
          <cell r="A52">
            <v>40289</v>
          </cell>
          <cell r="B52">
            <v>8.6231519999999993</v>
          </cell>
          <cell r="C52">
            <v>39585.656000000003</v>
          </cell>
          <cell r="E52">
            <v>99.141212860928334</v>
          </cell>
          <cell r="F52">
            <v>104.07862887190863</v>
          </cell>
          <cell r="H52">
            <v>9.9550000000000001</v>
          </cell>
        </row>
        <row r="53">
          <cell r="A53">
            <v>40290</v>
          </cell>
          <cell r="B53">
            <v>8.8662419999999997</v>
          </cell>
          <cell r="C53">
            <v>39284.589999999997</v>
          </cell>
          <cell r="E53">
            <v>101.93604211064621</v>
          </cell>
          <cell r="F53">
            <v>103.28706597650151</v>
          </cell>
          <cell r="H53">
            <v>10.0425</v>
          </cell>
        </row>
        <row r="54">
          <cell r="A54">
            <v>40291</v>
          </cell>
          <cell r="B54">
            <v>8.8520690000000002</v>
          </cell>
          <cell r="C54">
            <v>39442.483999999997</v>
          </cell>
          <cell r="E54">
            <v>101.77309375836414</v>
          </cell>
          <cell r="F54">
            <v>103.7022009695177</v>
          </cell>
          <cell r="H54">
            <v>10</v>
          </cell>
        </row>
        <row r="55">
          <cell r="A55">
            <v>40292</v>
          </cell>
          <cell r="B55">
            <v>8.8520690000000002</v>
          </cell>
          <cell r="C55">
            <v>39442.483999999997</v>
          </cell>
          <cell r="E55">
            <v>101.77309375836414</v>
          </cell>
          <cell r="F55">
            <v>103.7022009695177</v>
          </cell>
          <cell r="H55">
            <v>10</v>
          </cell>
        </row>
        <row r="56">
          <cell r="A56">
            <v>40293</v>
          </cell>
          <cell r="B56">
            <v>8.8520690000000002</v>
          </cell>
          <cell r="C56">
            <v>39442.483999999997</v>
          </cell>
          <cell r="E56">
            <v>101.77309375836414</v>
          </cell>
          <cell r="F56">
            <v>103.7022009695177</v>
          </cell>
          <cell r="H56">
            <v>10</v>
          </cell>
        </row>
        <row r="57">
          <cell r="A57">
            <v>40294</v>
          </cell>
          <cell r="B57">
            <v>9.0755330000000001</v>
          </cell>
          <cell r="C57">
            <v>39485.129999999997</v>
          </cell>
          <cell r="E57">
            <v>104.3422809872051</v>
          </cell>
          <cell r="F57">
            <v>103.81432585654424</v>
          </cell>
          <cell r="H57">
            <v>9.9875000000000007</v>
          </cell>
        </row>
        <row r="58">
          <cell r="A58">
            <v>40295</v>
          </cell>
          <cell r="B58">
            <v>9.1293170000000003</v>
          </cell>
          <cell r="C58">
            <v>37973.792999999998</v>
          </cell>
          <cell r="E58">
            <v>104.96064083897534</v>
          </cell>
          <cell r="F58">
            <v>99.840717771752523</v>
          </cell>
          <cell r="H58">
            <v>9.8275000000000006</v>
          </cell>
        </row>
        <row r="59">
          <cell r="A59">
            <v>40296</v>
          </cell>
          <cell r="B59">
            <v>9.2737459999999992</v>
          </cell>
          <cell r="C59">
            <v>37923.199999999997</v>
          </cell>
          <cell r="E59">
            <v>106.62115502593284</v>
          </cell>
          <cell r="F59">
            <v>99.707698627885961</v>
          </cell>
          <cell r="H59">
            <v>9.8275000000000006</v>
          </cell>
        </row>
        <row r="60">
          <cell r="A60">
            <v>40297</v>
          </cell>
          <cell r="B60">
            <v>9.5268350000000002</v>
          </cell>
          <cell r="C60">
            <v>39273.24</v>
          </cell>
          <cell r="E60">
            <v>109.53094374608523</v>
          </cell>
          <cell r="F60">
            <v>103.25722455016022</v>
          </cell>
          <cell r="H60">
            <v>9.8574999999999999</v>
          </cell>
        </row>
        <row r="61">
          <cell r="A61">
            <v>40298</v>
          </cell>
          <cell r="B61">
            <v>9.5623269999999998</v>
          </cell>
          <cell r="C61">
            <v>39017.61</v>
          </cell>
          <cell r="E61">
            <v>109.93899870404724</v>
          </cell>
          <cell r="F61">
            <v>102.58512201133843</v>
          </cell>
          <cell r="H61">
            <v>9.8949999999999996</v>
          </cell>
        </row>
        <row r="62">
          <cell r="A62">
            <v>40299</v>
          </cell>
          <cell r="B62">
            <v>9.5623269999999998</v>
          </cell>
          <cell r="C62">
            <v>39017.61</v>
          </cell>
          <cell r="E62">
            <v>109.93899870404724</v>
          </cell>
          <cell r="F62">
            <v>102.58512201133843</v>
          </cell>
          <cell r="H62">
            <v>9.8949999999999996</v>
          </cell>
        </row>
        <row r="63">
          <cell r="A63">
            <v>40300</v>
          </cell>
          <cell r="B63">
            <v>9.5623269999999998</v>
          </cell>
          <cell r="C63">
            <v>39017.61</v>
          </cell>
          <cell r="E63">
            <v>109.93899870404724</v>
          </cell>
          <cell r="F63">
            <v>102.58512201133843</v>
          </cell>
          <cell r="H63">
            <v>9.8949999999999996</v>
          </cell>
        </row>
        <row r="64">
          <cell r="A64">
            <v>40301</v>
          </cell>
          <cell r="B64">
            <v>9.8010950000000001</v>
          </cell>
          <cell r="C64">
            <v>38696.688000000002</v>
          </cell>
          <cell r="E64">
            <v>112.68413750159809</v>
          </cell>
          <cell r="F64">
            <v>101.74135370963766</v>
          </cell>
          <cell r="H64">
            <v>9.7575000000000003</v>
          </cell>
        </row>
        <row r="65">
          <cell r="A65">
            <v>40302</v>
          </cell>
          <cell r="B65">
            <v>9.1142129999999995</v>
          </cell>
          <cell r="C65">
            <v>36952.050000000003</v>
          </cell>
          <cell r="E65">
            <v>104.78698868961609</v>
          </cell>
          <cell r="F65">
            <v>97.15435050529949</v>
          </cell>
          <cell r="H65">
            <v>9.77</v>
          </cell>
        </row>
        <row r="66">
          <cell r="A66">
            <v>40303</v>
          </cell>
          <cell r="B66">
            <v>8.893364</v>
          </cell>
          <cell r="C66">
            <v>36308.51</v>
          </cell>
          <cell r="E66">
            <v>102.24786636878456</v>
          </cell>
          <cell r="F66">
            <v>95.462354777750392</v>
          </cell>
          <cell r="H66">
            <v>9.6824999999999992</v>
          </cell>
        </row>
        <row r="67">
          <cell r="A67">
            <v>40304</v>
          </cell>
          <cell r="B67">
            <v>8.8473559999999996</v>
          </cell>
          <cell r="C67">
            <v>35065.51</v>
          </cell>
          <cell r="E67">
            <v>101.71890794136664</v>
          </cell>
          <cell r="F67">
            <v>92.194258483279938</v>
          </cell>
          <cell r="H67">
            <v>9.4550000000000001</v>
          </cell>
        </row>
        <row r="68">
          <cell r="A68">
            <v>40305</v>
          </cell>
          <cell r="B68">
            <v>8.9201239999999995</v>
          </cell>
          <cell r="C68">
            <v>33988.85</v>
          </cell>
          <cell r="E68">
            <v>102.55552867789825</v>
          </cell>
          <cell r="F68">
            <v>89.363503409744467</v>
          </cell>
          <cell r="H68">
            <v>9.5124999999999993</v>
          </cell>
        </row>
        <row r="69">
          <cell r="A69">
            <v>40306</v>
          </cell>
          <cell r="B69">
            <v>8.9201239999999995</v>
          </cell>
          <cell r="C69">
            <v>33988.85</v>
          </cell>
          <cell r="E69">
            <v>102.55552867789825</v>
          </cell>
          <cell r="F69">
            <v>89.363503409744467</v>
          </cell>
          <cell r="H69">
            <v>9.5124999999999993</v>
          </cell>
        </row>
        <row r="70">
          <cell r="A70">
            <v>40307</v>
          </cell>
          <cell r="B70">
            <v>8.9201239999999995</v>
          </cell>
          <cell r="C70">
            <v>33988.85</v>
          </cell>
          <cell r="E70">
            <v>102.55552867789825</v>
          </cell>
          <cell r="F70">
            <v>89.363503409744467</v>
          </cell>
          <cell r="H70">
            <v>9.5124999999999993</v>
          </cell>
        </row>
        <row r="71">
          <cell r="A71">
            <v>40308</v>
          </cell>
          <cell r="B71">
            <v>8.9449539999999992</v>
          </cell>
          <cell r="C71">
            <v>36614.836000000003</v>
          </cell>
          <cell r="E71">
            <v>102.84100159027841</v>
          </cell>
          <cell r="F71">
            <v>96.267747268096301</v>
          </cell>
          <cell r="H71">
            <v>9.5274999999999999</v>
          </cell>
        </row>
        <row r="72">
          <cell r="A72">
            <v>40309</v>
          </cell>
          <cell r="B72">
            <v>8.7444260000000007</v>
          </cell>
          <cell r="C72">
            <v>36135.9</v>
          </cell>
          <cell r="E72">
            <v>100.53551177256719</v>
          </cell>
          <cell r="F72">
            <v>95.00852846931231</v>
          </cell>
          <cell r="H72">
            <v>9.5824999999999996</v>
          </cell>
        </row>
        <row r="73">
          <cell r="A73">
            <v>40310</v>
          </cell>
          <cell r="B73">
            <v>9.0034150000000004</v>
          </cell>
          <cell r="C73">
            <v>36817.266000000003</v>
          </cell>
          <cell r="E73">
            <v>103.51313336356303</v>
          </cell>
          <cell r="F73">
            <v>96.799976337194977</v>
          </cell>
          <cell r="H73">
            <v>9.5950000000000006</v>
          </cell>
        </row>
        <row r="74">
          <cell r="A74">
            <v>40311</v>
          </cell>
          <cell r="B74">
            <v>9.0844970000000007</v>
          </cell>
          <cell r="C74">
            <v>36557.042999999998</v>
          </cell>
          <cell r="E74">
            <v>104.44534096250015</v>
          </cell>
          <cell r="F74">
            <v>96.11579788020704</v>
          </cell>
          <cell r="H74">
            <v>9.6050000000000004</v>
          </cell>
        </row>
        <row r="75">
          <cell r="A75">
            <v>40312</v>
          </cell>
          <cell r="B75">
            <v>8.6648840000000007</v>
          </cell>
          <cell r="C75">
            <v>35335.156000000003</v>
          </cell>
          <cell r="E75">
            <v>99.621009702629891</v>
          </cell>
          <cell r="F75">
            <v>92.903211897132536</v>
          </cell>
          <cell r="H75">
            <v>9.48</v>
          </cell>
        </row>
        <row r="76">
          <cell r="A76">
            <v>40313</v>
          </cell>
          <cell r="B76">
            <v>8.6648840000000007</v>
          </cell>
          <cell r="C76">
            <v>35335.156000000003</v>
          </cell>
          <cell r="E76">
            <v>99.621009702629891</v>
          </cell>
          <cell r="F76">
            <v>92.903211897132536</v>
          </cell>
          <cell r="H76">
            <v>9.48</v>
          </cell>
        </row>
        <row r="77">
          <cell r="A77">
            <v>40314</v>
          </cell>
          <cell r="B77">
            <v>8.6648840000000007</v>
          </cell>
          <cell r="C77">
            <v>35335.156000000003</v>
          </cell>
          <cell r="E77">
            <v>99.621009702629891</v>
          </cell>
          <cell r="F77">
            <v>92.903211897132536</v>
          </cell>
          <cell r="H77">
            <v>9.48</v>
          </cell>
        </row>
        <row r="78">
          <cell r="A78">
            <v>40315</v>
          </cell>
          <cell r="B78">
            <v>8.1940910000000002</v>
          </cell>
          <cell r="C78">
            <v>34782.703000000001</v>
          </cell>
          <cell r="E78">
            <v>94.208257030934547</v>
          </cell>
          <cell r="F78">
            <v>91.450702160874215</v>
          </cell>
          <cell r="H78">
            <v>9.41</v>
          </cell>
        </row>
        <row r="79">
          <cell r="A79">
            <v>40316</v>
          </cell>
          <cell r="B79">
            <v>8.2370950000000001</v>
          </cell>
          <cell r="C79">
            <v>33861.74</v>
          </cell>
          <cell r="E79">
            <v>94.702678179706055</v>
          </cell>
          <cell r="F79">
            <v>89.029305726727458</v>
          </cell>
          <cell r="H79">
            <v>9.3949999999999996</v>
          </cell>
        </row>
        <row r="80">
          <cell r="A80">
            <v>40317</v>
          </cell>
          <cell r="B80">
            <v>7.6782849999999998</v>
          </cell>
          <cell r="C80">
            <v>32481.333999999999</v>
          </cell>
          <cell r="E80">
            <v>88.277985543090651</v>
          </cell>
          <cell r="F80">
            <v>85.399941500287568</v>
          </cell>
          <cell r="H80">
            <v>9.3849999999999998</v>
          </cell>
        </row>
        <row r="81">
          <cell r="A81">
            <v>40318</v>
          </cell>
          <cell r="B81">
            <v>6.9444439999999998</v>
          </cell>
          <cell r="C81">
            <v>30848.217000000001</v>
          </cell>
          <cell r="E81">
            <v>79.840944564678523</v>
          </cell>
          <cell r="F81">
            <v>81.106149371456752</v>
          </cell>
          <cell r="H81">
            <v>9.44</v>
          </cell>
        </row>
        <row r="82">
          <cell r="A82">
            <v>40319</v>
          </cell>
          <cell r="B82">
            <v>7.2885520000000001</v>
          </cell>
          <cell r="C82">
            <v>32176.062999999998</v>
          </cell>
          <cell r="E82">
            <v>83.797187534203871</v>
          </cell>
          <cell r="F82">
            <v>84.59732281653109</v>
          </cell>
          <cell r="H82">
            <v>9.41</v>
          </cell>
        </row>
        <row r="83">
          <cell r="A83">
            <v>40320</v>
          </cell>
          <cell r="B83">
            <v>7.2885520000000001</v>
          </cell>
          <cell r="C83">
            <v>32176.062999999998</v>
          </cell>
          <cell r="E83">
            <v>83.797187534203871</v>
          </cell>
          <cell r="F83">
            <v>84.59732281653109</v>
          </cell>
          <cell r="H83">
            <v>9.41</v>
          </cell>
        </row>
        <row r="84">
          <cell r="A84">
            <v>40321</v>
          </cell>
          <cell r="B84">
            <v>7.2885520000000001</v>
          </cell>
          <cell r="C84">
            <v>32176.062999999998</v>
          </cell>
          <cell r="E84">
            <v>83.797187534203871</v>
          </cell>
          <cell r="F84">
            <v>84.59732281653109</v>
          </cell>
          <cell r="H84">
            <v>9.41</v>
          </cell>
        </row>
        <row r="85">
          <cell r="A85">
            <v>40322</v>
          </cell>
          <cell r="B85">
            <v>7.1192856000000004</v>
          </cell>
          <cell r="C85">
            <v>32412.842000000001</v>
          </cell>
          <cell r="E85">
            <v>81.851115356350206</v>
          </cell>
          <cell r="F85">
            <v>85.219862295620743</v>
          </cell>
          <cell r="H85">
            <v>9.4049999999999994</v>
          </cell>
        </row>
        <row r="86">
          <cell r="A86">
            <v>40323</v>
          </cell>
          <cell r="B86">
            <v>6.8641996000000001</v>
          </cell>
          <cell r="C86">
            <v>31370.76</v>
          </cell>
          <cell r="E86">
            <v>78.918366933981829</v>
          </cell>
          <cell r="F86">
            <v>82.48001971900419</v>
          </cell>
          <cell r="H86">
            <v>9.3049999999999997</v>
          </cell>
        </row>
        <row r="87">
          <cell r="A87">
            <v>40324</v>
          </cell>
          <cell r="B87">
            <v>7.1762275999999998</v>
          </cell>
          <cell r="C87">
            <v>32697.934000000001</v>
          </cell>
          <cell r="E87">
            <v>82.505783039666809</v>
          </cell>
          <cell r="F87">
            <v>85.969426341303105</v>
          </cell>
          <cell r="H87">
            <v>9.3800000000000008</v>
          </cell>
        </row>
        <row r="88">
          <cell r="A88">
            <v>40325</v>
          </cell>
          <cell r="B88">
            <v>7.2765979999999999</v>
          </cell>
          <cell r="C88">
            <v>33894.74</v>
          </cell>
          <cell r="E88">
            <v>83.659751239616966</v>
          </cell>
          <cell r="F88">
            <v>89.116069345164732</v>
          </cell>
          <cell r="H88">
            <v>9.5175000000000001</v>
          </cell>
        </row>
        <row r="89">
          <cell r="A89">
            <v>40326</v>
          </cell>
          <cell r="B89">
            <v>7.6404494999999999</v>
          </cell>
          <cell r="C89">
            <v>33952.86</v>
          </cell>
          <cell r="E89">
            <v>87.842987138887679</v>
          </cell>
          <cell r="F89">
            <v>89.268878481636676</v>
          </cell>
          <cell r="H89">
            <v>9.3774999999999995</v>
          </cell>
        </row>
        <row r="90">
          <cell r="A90">
            <v>40327</v>
          </cell>
          <cell r="B90">
            <v>7.6404494999999999</v>
          </cell>
          <cell r="C90">
            <v>33952.86</v>
          </cell>
          <cell r="E90">
            <v>87.842987138887679</v>
          </cell>
          <cell r="F90">
            <v>89.268878481636676</v>
          </cell>
          <cell r="H90">
            <v>9.3774999999999995</v>
          </cell>
        </row>
        <row r="91">
          <cell r="A91">
            <v>40328</v>
          </cell>
          <cell r="B91">
            <v>7.6404494999999999</v>
          </cell>
          <cell r="C91">
            <v>33952.86</v>
          </cell>
          <cell r="E91">
            <v>87.842987138887679</v>
          </cell>
          <cell r="F91">
            <v>89.268878481636676</v>
          </cell>
          <cell r="H91">
            <v>9.3774999999999995</v>
          </cell>
        </row>
        <row r="92">
          <cell r="A92">
            <v>40329</v>
          </cell>
          <cell r="B92">
            <v>7.6404494999999999</v>
          </cell>
          <cell r="C92">
            <v>33952.86</v>
          </cell>
          <cell r="E92">
            <v>87.842987138887679</v>
          </cell>
          <cell r="F92">
            <v>89.268878481636676</v>
          </cell>
          <cell r="H92">
            <v>9.3774999999999995</v>
          </cell>
        </row>
        <row r="93">
          <cell r="A93">
            <v>40330</v>
          </cell>
          <cell r="B93">
            <v>7.4708857999999996</v>
          </cell>
          <cell r="C93">
            <v>33971.097999999998</v>
          </cell>
          <cell r="E93">
            <v>85.89349687416933</v>
          </cell>
          <cell r="F93">
            <v>89.31682984142634</v>
          </cell>
          <cell r="H93">
            <v>9.32</v>
          </cell>
        </row>
        <row r="94">
          <cell r="A94">
            <v>40331</v>
          </cell>
          <cell r="B94">
            <v>7.3950863</v>
          </cell>
          <cell r="C94">
            <v>34326.565999999999</v>
          </cell>
          <cell r="E94">
            <v>85.022022688830617</v>
          </cell>
          <cell r="F94">
            <v>90.251426505628132</v>
          </cell>
          <cell r="H94">
            <v>9.3249999999999993</v>
          </cell>
        </row>
        <row r="95">
          <cell r="A95">
            <v>40332</v>
          </cell>
          <cell r="B95">
            <v>7.4538260000000003</v>
          </cell>
          <cell r="C95">
            <v>34599.222999999998</v>
          </cell>
          <cell r="E95">
            <v>85.697358702980324</v>
          </cell>
          <cell r="F95">
            <v>90.968296442362984</v>
          </cell>
          <cell r="H95">
            <v>9.5500000000000007</v>
          </cell>
        </row>
        <row r="96">
          <cell r="A96">
            <v>40333</v>
          </cell>
          <cell r="B96">
            <v>7.6151650000000002</v>
          </cell>
          <cell r="C96">
            <v>33523.983999999997</v>
          </cell>
          <cell r="E96">
            <v>87.552288796033224</v>
          </cell>
          <cell r="F96">
            <v>88.141277462821449</v>
          </cell>
          <cell r="H96">
            <v>9.35</v>
          </cell>
        </row>
        <row r="97">
          <cell r="A97">
            <v>40334</v>
          </cell>
          <cell r="B97">
            <v>7.6151650000000002</v>
          </cell>
          <cell r="C97">
            <v>33523.983999999997</v>
          </cell>
          <cell r="E97">
            <v>87.552288796033224</v>
          </cell>
          <cell r="F97">
            <v>88.141277462821449</v>
          </cell>
          <cell r="H97">
            <v>9.35</v>
          </cell>
        </row>
        <row r="98">
          <cell r="A98">
            <v>40335</v>
          </cell>
          <cell r="B98">
            <v>7.6151650000000002</v>
          </cell>
          <cell r="C98">
            <v>33523.983999999997</v>
          </cell>
          <cell r="E98">
            <v>87.552288796033224</v>
          </cell>
          <cell r="F98">
            <v>88.141277462821449</v>
          </cell>
          <cell r="H98">
            <v>9.35</v>
          </cell>
        </row>
        <row r="99">
          <cell r="A99">
            <v>40336</v>
          </cell>
          <cell r="B99">
            <v>7.5824819999999997</v>
          </cell>
          <cell r="C99">
            <v>32716.388999999999</v>
          </cell>
          <cell r="E99">
            <v>87.176529182850743</v>
          </cell>
          <cell r="F99">
            <v>86.017948237613993</v>
          </cell>
          <cell r="H99">
            <v>9.35</v>
          </cell>
        </row>
        <row r="100">
          <cell r="A100">
            <v>40337</v>
          </cell>
          <cell r="B100">
            <v>7.5687221999999998</v>
          </cell>
          <cell r="C100">
            <v>32982.656000000003</v>
          </cell>
          <cell r="E100">
            <v>87.018331430947043</v>
          </cell>
          <cell r="F100">
            <v>86.718017582778742</v>
          </cell>
          <cell r="H100">
            <v>9.31</v>
          </cell>
        </row>
        <row r="101">
          <cell r="A101">
            <v>40338</v>
          </cell>
          <cell r="B101">
            <v>7.5980987999999998</v>
          </cell>
          <cell r="C101">
            <v>33389.605000000003</v>
          </cell>
          <cell r="E101">
            <v>87.356077043424989</v>
          </cell>
          <cell r="F101">
            <v>87.787968120943233</v>
          </cell>
          <cell r="H101">
            <v>9.4350000000000005</v>
          </cell>
        </row>
        <row r="102">
          <cell r="A102">
            <v>40339</v>
          </cell>
          <cell r="B102">
            <v>7.7956320000000003</v>
          </cell>
          <cell r="C102">
            <v>34637.438000000002</v>
          </cell>
          <cell r="E102">
            <v>89.627135355779956</v>
          </cell>
          <cell r="F102">
            <v>91.068771341713912</v>
          </cell>
          <cell r="H102">
            <v>9.35</v>
          </cell>
        </row>
        <row r="103">
          <cell r="A103">
            <v>40340</v>
          </cell>
          <cell r="B103">
            <v>7.8488854999999997</v>
          </cell>
          <cell r="C103">
            <v>35181.913999999997</v>
          </cell>
          <cell r="E103">
            <v>90.239395997722653</v>
          </cell>
          <cell r="F103">
            <v>92.500307945115438</v>
          </cell>
          <cell r="H103">
            <v>9.4625000000000004</v>
          </cell>
        </row>
        <row r="104">
          <cell r="A104">
            <v>40341</v>
          </cell>
          <cell r="B104">
            <v>7.8488854999999997</v>
          </cell>
          <cell r="C104">
            <v>35181.913999999997</v>
          </cell>
          <cell r="E104">
            <v>90.239395997722653</v>
          </cell>
          <cell r="F104">
            <v>92.500307945115438</v>
          </cell>
          <cell r="H104">
            <v>9.4625000000000004</v>
          </cell>
        </row>
        <row r="105">
          <cell r="A105">
            <v>40342</v>
          </cell>
          <cell r="B105">
            <v>7.8488854999999997</v>
          </cell>
          <cell r="C105">
            <v>35181.913999999997</v>
          </cell>
          <cell r="E105">
            <v>90.239395997722653</v>
          </cell>
          <cell r="F105">
            <v>92.500307945115438</v>
          </cell>
          <cell r="H105">
            <v>9.4625000000000004</v>
          </cell>
        </row>
        <row r="106">
          <cell r="A106">
            <v>40343</v>
          </cell>
          <cell r="B106">
            <v>7.8840709999999996</v>
          </cell>
          <cell r="C106">
            <v>35274.472999999998</v>
          </cell>
          <cell r="E106">
            <v>90.643927095529833</v>
          </cell>
          <cell r="F106">
            <v>92.743664119628619</v>
          </cell>
          <cell r="H106">
            <v>9.5150000000000006</v>
          </cell>
        </row>
        <row r="107">
          <cell r="A107">
            <v>40344</v>
          </cell>
          <cell r="B107">
            <v>7.9150524000000004</v>
          </cell>
          <cell r="C107">
            <v>35919.995999999999</v>
          </cell>
          <cell r="E107">
            <v>91.000123248877202</v>
          </cell>
          <cell r="F107">
            <v>94.44087355188563</v>
          </cell>
          <cell r="H107">
            <v>9.4949999999999992</v>
          </cell>
        </row>
        <row r="108">
          <cell r="A108">
            <v>40345</v>
          </cell>
          <cell r="B108">
            <v>7.8197001999999998</v>
          </cell>
          <cell r="C108">
            <v>36166.508000000002</v>
          </cell>
          <cell r="E108">
            <v>89.903849779853587</v>
          </cell>
          <cell r="F108">
            <v>95.089003040013154</v>
          </cell>
          <cell r="H108">
            <v>9.5775000000000006</v>
          </cell>
        </row>
        <row r="109">
          <cell r="A109">
            <v>40346</v>
          </cell>
          <cell r="B109">
            <v>7.8488536</v>
          </cell>
          <cell r="C109">
            <v>36183.726999999999</v>
          </cell>
          <cell r="E109">
            <v>90.239029240336222</v>
          </cell>
          <cell r="F109">
            <v>95.134275244433482</v>
          </cell>
          <cell r="H109">
            <v>9.52</v>
          </cell>
        </row>
        <row r="110">
          <cell r="A110">
            <v>40347</v>
          </cell>
          <cell r="B110">
            <v>7.8614926000000001</v>
          </cell>
          <cell r="C110">
            <v>36339.71</v>
          </cell>
          <cell r="E110">
            <v>90.384341046199012</v>
          </cell>
          <cell r="F110">
            <v>95.544385835181984</v>
          </cell>
          <cell r="H110">
            <v>9.61</v>
          </cell>
        </row>
        <row r="111">
          <cell r="A111">
            <v>40348</v>
          </cell>
          <cell r="B111">
            <v>7.8614926000000001</v>
          </cell>
          <cell r="C111">
            <v>36339.71</v>
          </cell>
          <cell r="E111">
            <v>90.384341046199012</v>
          </cell>
          <cell r="F111">
            <v>95.544385835181984</v>
          </cell>
          <cell r="H111">
            <v>9.61</v>
          </cell>
        </row>
        <row r="112">
          <cell r="A112">
            <v>40349</v>
          </cell>
          <cell r="B112">
            <v>7.8614926000000001</v>
          </cell>
          <cell r="C112">
            <v>36339.71</v>
          </cell>
          <cell r="E112">
            <v>90.384341046199012</v>
          </cell>
          <cell r="F112">
            <v>95.544385835181984</v>
          </cell>
          <cell r="H112">
            <v>9.61</v>
          </cell>
        </row>
        <row r="113">
          <cell r="A113">
            <v>40350</v>
          </cell>
          <cell r="B113">
            <v>8.1079550000000005</v>
          </cell>
          <cell r="C113">
            <v>36757.402000000002</v>
          </cell>
          <cell r="E113">
            <v>93.217943105007123</v>
          </cell>
          <cell r="F113">
            <v>96.642581874948647</v>
          </cell>
          <cell r="H113">
            <v>9.6325000000000003</v>
          </cell>
        </row>
        <row r="114">
          <cell r="A114">
            <v>40351</v>
          </cell>
          <cell r="B114">
            <v>8.0718770000000006</v>
          </cell>
          <cell r="C114">
            <v>36737.593999999997</v>
          </cell>
          <cell r="E114">
            <v>92.803150848347784</v>
          </cell>
          <cell r="F114">
            <v>96.590502670281808</v>
          </cell>
          <cell r="H114">
            <v>9.6549999999999994</v>
          </cell>
        </row>
        <row r="115">
          <cell r="A115">
            <v>40352</v>
          </cell>
          <cell r="B115">
            <v>7.7635864999999997</v>
          </cell>
          <cell r="C115">
            <v>36263.644999999997</v>
          </cell>
          <cell r="E115">
            <v>89.258705141777597</v>
          </cell>
          <cell r="F115">
            <v>95.344395694684081</v>
          </cell>
          <cell r="H115">
            <v>9.58</v>
          </cell>
        </row>
        <row r="116">
          <cell r="A116">
            <v>40353</v>
          </cell>
          <cell r="B116">
            <v>7.7270700000000003</v>
          </cell>
          <cell r="C116">
            <v>35670.995999999999</v>
          </cell>
          <cell r="E116">
            <v>88.838871408192006</v>
          </cell>
          <cell r="F116">
            <v>93.786202612768051</v>
          </cell>
          <cell r="H116">
            <v>9.5549999999999997</v>
          </cell>
        </row>
        <row r="117">
          <cell r="A117">
            <v>40354</v>
          </cell>
          <cell r="B117">
            <v>7.667338</v>
          </cell>
          <cell r="C117">
            <v>36279.285000000003</v>
          </cell>
          <cell r="E117">
            <v>88.152126824934157</v>
          </cell>
          <cell r="F117">
            <v>95.385516391422243</v>
          </cell>
          <cell r="H117">
            <v>9.57</v>
          </cell>
        </row>
        <row r="118">
          <cell r="A118">
            <v>40355</v>
          </cell>
          <cell r="B118">
            <v>7.667338</v>
          </cell>
          <cell r="C118">
            <v>36279.285000000003</v>
          </cell>
          <cell r="E118">
            <v>88.152126824934157</v>
          </cell>
          <cell r="F118">
            <v>95.385516391422243</v>
          </cell>
          <cell r="H118">
            <v>9.57</v>
          </cell>
        </row>
        <row r="119">
          <cell r="A119">
            <v>40356</v>
          </cell>
          <cell r="B119">
            <v>7.667338</v>
          </cell>
          <cell r="C119">
            <v>36279.285000000003</v>
          </cell>
          <cell r="E119">
            <v>88.152126824934157</v>
          </cell>
          <cell r="F119">
            <v>95.385516391422243</v>
          </cell>
          <cell r="H119">
            <v>9.57</v>
          </cell>
        </row>
        <row r="120">
          <cell r="A120">
            <v>40357</v>
          </cell>
          <cell r="B120">
            <v>7.5885324000000001</v>
          </cell>
          <cell r="C120">
            <v>36101.862999999998</v>
          </cell>
          <cell r="E120">
            <v>87.246091217045858</v>
          </cell>
          <cell r="F120">
            <v>94.919038369895645</v>
          </cell>
          <cell r="H120">
            <v>9.5500000000000007</v>
          </cell>
        </row>
        <row r="121">
          <cell r="A121">
            <v>40358</v>
          </cell>
          <cell r="B121">
            <v>7.4238470000000003</v>
          </cell>
          <cell r="C121">
            <v>34388.230000000003</v>
          </cell>
          <cell r="E121">
            <v>85.352687239418302</v>
          </cell>
          <cell r="F121">
            <v>90.413553528880129</v>
          </cell>
          <cell r="H121">
            <v>9.4725000000000001</v>
          </cell>
        </row>
        <row r="122">
          <cell r="A122">
            <v>40359</v>
          </cell>
          <cell r="B122">
            <v>7.4341187</v>
          </cell>
          <cell r="C122">
            <v>33806.324000000001</v>
          </cell>
          <cell r="E122">
            <v>85.470781968137402</v>
          </cell>
          <cell r="F122">
            <v>88.88360594856627</v>
          </cell>
          <cell r="H122">
            <v>9.4849999999999994</v>
          </cell>
        </row>
        <row r="123">
          <cell r="A123">
            <v>40360</v>
          </cell>
          <cell r="B123">
            <v>7.4621909999999998</v>
          </cell>
          <cell r="C123">
            <v>33923.995999999999</v>
          </cell>
          <cell r="E123">
            <v>85.793531917320237</v>
          </cell>
          <cell r="F123">
            <v>89.192989236710204</v>
          </cell>
          <cell r="H123">
            <v>9.5350000000000001</v>
          </cell>
        </row>
        <row r="124">
          <cell r="A124">
            <v>40361</v>
          </cell>
          <cell r="B124">
            <v>7.5581402999999998</v>
          </cell>
          <cell r="C124">
            <v>34674.754000000001</v>
          </cell>
          <cell r="E124">
            <v>86.896670302815124</v>
          </cell>
          <cell r="F124">
            <v>91.166882589762551</v>
          </cell>
          <cell r="H124">
            <v>9.6274999999999995</v>
          </cell>
        </row>
        <row r="125">
          <cell r="A125">
            <v>40362</v>
          </cell>
          <cell r="B125">
            <v>7.5581402999999998</v>
          </cell>
          <cell r="C125">
            <v>34674.754000000001</v>
          </cell>
          <cell r="E125">
            <v>86.896670302815124</v>
          </cell>
          <cell r="F125">
            <v>91.166882589762551</v>
          </cell>
          <cell r="H125">
            <v>9.6274999999999995</v>
          </cell>
        </row>
        <row r="126">
          <cell r="A126">
            <v>40363</v>
          </cell>
          <cell r="B126">
            <v>7.5581402999999998</v>
          </cell>
          <cell r="C126">
            <v>34674.754000000001</v>
          </cell>
          <cell r="E126">
            <v>86.896670302815124</v>
          </cell>
          <cell r="F126">
            <v>91.166882589762551</v>
          </cell>
          <cell r="H126">
            <v>9.6274999999999995</v>
          </cell>
        </row>
        <row r="127">
          <cell r="A127">
            <v>40364</v>
          </cell>
          <cell r="B127">
            <v>7.5581402999999998</v>
          </cell>
          <cell r="C127">
            <v>34674.754000000001</v>
          </cell>
          <cell r="E127">
            <v>86.896670302815124</v>
          </cell>
          <cell r="F127">
            <v>91.166882589762551</v>
          </cell>
          <cell r="H127">
            <v>9.6274999999999995</v>
          </cell>
        </row>
        <row r="128">
          <cell r="A128">
            <v>40365</v>
          </cell>
          <cell r="B128">
            <v>7.763579</v>
          </cell>
          <cell r="C128">
            <v>35171.137000000002</v>
          </cell>
          <cell r="E128">
            <v>89.258618913551942</v>
          </cell>
          <cell r="F128">
            <v>92.471973050694274</v>
          </cell>
          <cell r="H128">
            <v>9.6425000000000001</v>
          </cell>
        </row>
        <row r="129">
          <cell r="A129">
            <v>40366</v>
          </cell>
          <cell r="B129">
            <v>7.7409882999999997</v>
          </cell>
          <cell r="C129">
            <v>35757.599999999999</v>
          </cell>
          <cell r="E129">
            <v>88.998891449931051</v>
          </cell>
          <cell r="F129">
            <v>94.013901897954142</v>
          </cell>
          <cell r="H129">
            <v>9.93</v>
          </cell>
        </row>
        <row r="130">
          <cell r="A130">
            <v>40367</v>
          </cell>
          <cell r="B130">
            <v>7.6892633000000004</v>
          </cell>
          <cell r="C130">
            <v>35888.688000000002</v>
          </cell>
          <cell r="E130">
            <v>88.404204120375525</v>
          </cell>
          <cell r="F130">
            <v>94.358558540793695</v>
          </cell>
          <cell r="H130">
            <v>10.125</v>
          </cell>
        </row>
        <row r="131">
          <cell r="A131">
            <v>40368</v>
          </cell>
          <cell r="B131">
            <v>7.7239810000000002</v>
          </cell>
          <cell r="C131">
            <v>36050.726999999999</v>
          </cell>
          <cell r="E131">
            <v>88.803356876321587</v>
          </cell>
          <cell r="F131">
            <v>94.784591570125713</v>
          </cell>
          <cell r="H131">
            <v>10.255000000000001</v>
          </cell>
        </row>
        <row r="132">
          <cell r="A132">
            <v>40369</v>
          </cell>
          <cell r="B132">
            <v>7.7239810000000002</v>
          </cell>
          <cell r="C132">
            <v>36050.726999999999</v>
          </cell>
          <cell r="E132">
            <v>88.803356876321587</v>
          </cell>
          <cell r="F132">
            <v>94.784591570125713</v>
          </cell>
          <cell r="H132">
            <v>10.255000000000001</v>
          </cell>
        </row>
        <row r="133">
          <cell r="A133">
            <v>40370</v>
          </cell>
          <cell r="B133">
            <v>7.7239810000000002</v>
          </cell>
          <cell r="C133">
            <v>36050.726999999999</v>
          </cell>
          <cell r="E133">
            <v>88.803356876321587</v>
          </cell>
          <cell r="F133">
            <v>94.784591570125713</v>
          </cell>
          <cell r="H133">
            <v>10.255000000000001</v>
          </cell>
        </row>
        <row r="134">
          <cell r="A134">
            <v>40371</v>
          </cell>
          <cell r="B134">
            <v>7.3845115000000003</v>
          </cell>
          <cell r="C134">
            <v>35708.875</v>
          </cell>
          <cell r="E134">
            <v>84.900443190085639</v>
          </cell>
          <cell r="F134">
            <v>93.885794100731246</v>
          </cell>
          <cell r="H134">
            <v>10.317500000000001</v>
          </cell>
        </row>
        <row r="135">
          <cell r="A135">
            <v>40372</v>
          </cell>
          <cell r="B135">
            <v>7.9981730000000004</v>
          </cell>
          <cell r="C135">
            <v>36357.47</v>
          </cell>
          <cell r="E135">
            <v>91.955768829255234</v>
          </cell>
          <cell r="F135">
            <v>95.591080437104594</v>
          </cell>
          <cell r="H135">
            <v>10.305</v>
          </cell>
        </row>
        <row r="136">
          <cell r="A136">
            <v>40373</v>
          </cell>
          <cell r="B136">
            <v>7.9886689999999998</v>
          </cell>
          <cell r="C136">
            <v>35965.699999999997</v>
          </cell>
          <cell r="E136">
            <v>91.8465004217135</v>
          </cell>
          <cell r="F136">
            <v>94.561038534220671</v>
          </cell>
          <cell r="H136">
            <v>10.36</v>
          </cell>
        </row>
        <row r="137">
          <cell r="A137">
            <v>40374</v>
          </cell>
          <cell r="B137">
            <v>8.0257729999999992</v>
          </cell>
          <cell r="C137">
            <v>35883.89</v>
          </cell>
          <cell r="E137">
            <v>92.273088699641548</v>
          </cell>
          <cell r="F137">
            <v>94.345943636513013</v>
          </cell>
          <cell r="H137">
            <v>10.19</v>
          </cell>
        </row>
        <row r="138">
          <cell r="A138">
            <v>40375</v>
          </cell>
          <cell r="B138">
            <v>7.9399439999999997</v>
          </cell>
          <cell r="C138">
            <v>35054.555</v>
          </cell>
          <cell r="E138">
            <v>91.286304382417342</v>
          </cell>
          <cell r="F138">
            <v>92.165455591159315</v>
          </cell>
          <cell r="H138">
            <v>10.195</v>
          </cell>
        </row>
        <row r="139">
          <cell r="A139">
            <v>40376</v>
          </cell>
          <cell r="B139">
            <v>7.9399439999999997</v>
          </cell>
          <cell r="C139">
            <v>35054.555</v>
          </cell>
          <cell r="E139">
            <v>91.286304382417342</v>
          </cell>
          <cell r="F139">
            <v>92.165455591159315</v>
          </cell>
          <cell r="H139">
            <v>10.195</v>
          </cell>
        </row>
        <row r="140">
          <cell r="A140">
            <v>40377</v>
          </cell>
          <cell r="B140">
            <v>7.9399439999999997</v>
          </cell>
          <cell r="C140">
            <v>35054.555</v>
          </cell>
          <cell r="E140">
            <v>91.286304382417342</v>
          </cell>
          <cell r="F140">
            <v>92.165455591159315</v>
          </cell>
          <cell r="H140">
            <v>10.195</v>
          </cell>
        </row>
        <row r="141">
          <cell r="A141">
            <v>40378</v>
          </cell>
          <cell r="B141">
            <v>8.0121020000000005</v>
          </cell>
          <cell r="C141">
            <v>35464.5</v>
          </cell>
          <cell r="E141">
            <v>92.115911889929563</v>
          </cell>
          <cell r="F141">
            <v>93.243283214197675</v>
          </cell>
          <cell r="H141">
            <v>10.08</v>
          </cell>
        </row>
        <row r="142">
          <cell r="A142">
            <v>40379</v>
          </cell>
          <cell r="B142">
            <v>8.0296479999999999</v>
          </cell>
          <cell r="C142">
            <v>36196.586000000003</v>
          </cell>
          <cell r="E142">
            <v>92.317639949559933</v>
          </cell>
          <cell r="F142">
            <v>95.168084134417882</v>
          </cell>
          <cell r="H142">
            <v>10.1175</v>
          </cell>
        </row>
        <row r="143">
          <cell r="A143">
            <v>40380</v>
          </cell>
          <cell r="B143">
            <v>7.8875460000000004</v>
          </cell>
          <cell r="C143">
            <v>36326.004000000001</v>
          </cell>
          <cell r="E143">
            <v>90.683879506746962</v>
          </cell>
          <cell r="F143">
            <v>95.508350012324385</v>
          </cell>
          <cell r="H143">
            <v>10.1525</v>
          </cell>
        </row>
        <row r="144">
          <cell r="A144">
            <v>40381</v>
          </cell>
          <cell r="B144">
            <v>8.1464660000000002</v>
          </cell>
          <cell r="C144">
            <v>37325.065999999999</v>
          </cell>
          <cell r="E144">
            <v>93.660707798066838</v>
          </cell>
          <cell r="F144">
            <v>98.135084380905425</v>
          </cell>
          <cell r="H144">
            <v>10.16</v>
          </cell>
        </row>
        <row r="145">
          <cell r="A145">
            <v>40382</v>
          </cell>
          <cell r="B145">
            <v>8.1734589999999994</v>
          </cell>
          <cell r="C145">
            <v>37645.019999999997</v>
          </cell>
          <cell r="E145">
            <v>93.971048930723995</v>
          </cell>
          <cell r="F145">
            <v>98.976307616465363</v>
          </cell>
          <cell r="H145">
            <v>10.17</v>
          </cell>
        </row>
        <row r="146">
          <cell r="A146">
            <v>40383</v>
          </cell>
          <cell r="B146">
            <v>8.1734589999999994</v>
          </cell>
          <cell r="C146">
            <v>37645.019999999997</v>
          </cell>
          <cell r="E146">
            <v>93.971048930723995</v>
          </cell>
          <cell r="F146">
            <v>98.976307616465363</v>
          </cell>
          <cell r="H146">
            <v>10.17</v>
          </cell>
        </row>
        <row r="147">
          <cell r="A147">
            <v>40384</v>
          </cell>
          <cell r="B147">
            <v>8.1734589999999994</v>
          </cell>
          <cell r="C147">
            <v>37645.019999999997</v>
          </cell>
          <cell r="E147">
            <v>93.971048930723995</v>
          </cell>
          <cell r="F147">
            <v>98.976307616465363</v>
          </cell>
          <cell r="H147">
            <v>10.17</v>
          </cell>
        </row>
        <row r="148">
          <cell r="A148">
            <v>40385</v>
          </cell>
          <cell r="B148">
            <v>8.0840019999999999</v>
          </cell>
          <cell r="C148">
            <v>37508.9</v>
          </cell>
          <cell r="E148">
            <v>92.94255314647944</v>
          </cell>
          <cell r="F148">
            <v>98.61842083641443</v>
          </cell>
          <cell r="H148">
            <v>9.9824999999999999</v>
          </cell>
        </row>
        <row r="149">
          <cell r="A149">
            <v>40386</v>
          </cell>
          <cell r="B149">
            <v>8.0430170000000007</v>
          </cell>
          <cell r="C149">
            <v>37738.47</v>
          </cell>
          <cell r="E149">
            <v>92.471344636052507</v>
          </cell>
          <cell r="F149">
            <v>99.222006408676364</v>
          </cell>
          <cell r="H149">
            <v>9.98</v>
          </cell>
        </row>
        <row r="150">
          <cell r="A150">
            <v>40387</v>
          </cell>
          <cell r="B150">
            <v>8.3338049999999999</v>
          </cell>
          <cell r="C150">
            <v>37875.300000000003</v>
          </cell>
          <cell r="E150">
            <v>95.814562406701057</v>
          </cell>
          <cell r="F150">
            <v>99.581759921123989</v>
          </cell>
          <cell r="H150">
            <v>10.105</v>
          </cell>
        </row>
        <row r="151">
          <cell r="A151">
            <v>40388</v>
          </cell>
          <cell r="B151">
            <v>8.6066629999999993</v>
          </cell>
          <cell r="C151">
            <v>37961.065999999999</v>
          </cell>
          <cell r="E151">
            <v>98.951637232566014</v>
          </cell>
          <cell r="F151">
            <v>99.807255936241873</v>
          </cell>
          <cell r="H151">
            <v>10.2675</v>
          </cell>
        </row>
        <row r="152">
          <cell r="A152">
            <v>40389</v>
          </cell>
          <cell r="B152">
            <v>8.5547819999999994</v>
          </cell>
          <cell r="C152">
            <v>38377.375</v>
          </cell>
          <cell r="E152">
            <v>98.355156355916989</v>
          </cell>
          <cell r="F152">
            <v>100.90181579163587</v>
          </cell>
          <cell r="H152">
            <v>10.525</v>
          </cell>
        </row>
        <row r="153">
          <cell r="A153">
            <v>40390</v>
          </cell>
          <cell r="B153">
            <v>8.5547819999999994</v>
          </cell>
          <cell r="C153">
            <v>38377.375</v>
          </cell>
          <cell r="E153">
            <v>98.355156355916989</v>
          </cell>
          <cell r="F153">
            <v>100.90181579163587</v>
          </cell>
          <cell r="H153">
            <v>10.525</v>
          </cell>
        </row>
        <row r="154">
          <cell r="A154">
            <v>40391</v>
          </cell>
          <cell r="B154">
            <v>8.5547819999999994</v>
          </cell>
          <cell r="C154">
            <v>38377.375</v>
          </cell>
          <cell r="E154">
            <v>98.355156355916989</v>
          </cell>
          <cell r="F154">
            <v>100.90181579163587</v>
          </cell>
          <cell r="H154">
            <v>10.525</v>
          </cell>
        </row>
        <row r="155">
          <cell r="A155">
            <v>40392</v>
          </cell>
          <cell r="B155">
            <v>8.6996339999999996</v>
          </cell>
          <cell r="C155">
            <v>39215.58</v>
          </cell>
          <cell r="E155">
            <v>100.02053381480107</v>
          </cell>
          <cell r="F155">
            <v>103.10562484594527</v>
          </cell>
          <cell r="H155">
            <v>10.532500000000001</v>
          </cell>
        </row>
        <row r="156">
          <cell r="A156">
            <v>40393</v>
          </cell>
          <cell r="B156">
            <v>8.9639509999999998</v>
          </cell>
          <cell r="C156">
            <v>38601.964999999997</v>
          </cell>
          <cell r="E156">
            <v>103.0594119372976</v>
          </cell>
          <cell r="F156">
            <v>101.49230794511543</v>
          </cell>
          <cell r="H156">
            <v>10.535</v>
          </cell>
        </row>
        <row r="157">
          <cell r="A157">
            <v>40394</v>
          </cell>
          <cell r="B157">
            <v>9.1686789999999991</v>
          </cell>
          <cell r="C157">
            <v>38807.445</v>
          </cell>
          <cell r="E157">
            <v>105.41318956137195</v>
          </cell>
          <cell r="F157">
            <v>102.03255607591817</v>
          </cell>
          <cell r="H157">
            <v>10.53</v>
          </cell>
        </row>
        <row r="158">
          <cell r="A158">
            <v>40395</v>
          </cell>
          <cell r="B158">
            <v>9.1098009999999991</v>
          </cell>
          <cell r="C158">
            <v>38951.074000000001</v>
          </cell>
          <cell r="E158">
            <v>104.73626349874128</v>
          </cell>
          <cell r="F158">
            <v>102.41018552296441</v>
          </cell>
          <cell r="H158">
            <v>10.55</v>
          </cell>
        </row>
        <row r="159">
          <cell r="A159">
            <v>40396</v>
          </cell>
          <cell r="B159">
            <v>9.3191185000000001</v>
          </cell>
          <cell r="C159">
            <v>38717.699999999997</v>
          </cell>
          <cell r="E159">
            <v>107.14280704836415</v>
          </cell>
          <cell r="F159">
            <v>101.79659847177717</v>
          </cell>
          <cell r="H159">
            <v>10.59</v>
          </cell>
        </row>
        <row r="160">
          <cell r="A160">
            <v>40397</v>
          </cell>
          <cell r="B160">
            <v>9.3191185000000001</v>
          </cell>
          <cell r="C160">
            <v>38717.699999999997</v>
          </cell>
          <cell r="E160">
            <v>107.14280704836415</v>
          </cell>
          <cell r="F160">
            <v>101.79659847177717</v>
          </cell>
          <cell r="H160">
            <v>10.59</v>
          </cell>
        </row>
        <row r="161">
          <cell r="A161">
            <v>40398</v>
          </cell>
          <cell r="B161">
            <v>9.3191185000000001</v>
          </cell>
          <cell r="C161">
            <v>38717.699999999997</v>
          </cell>
          <cell r="E161">
            <v>107.14280704836415</v>
          </cell>
          <cell r="F161">
            <v>101.79659847177717</v>
          </cell>
          <cell r="H161">
            <v>10.59</v>
          </cell>
        </row>
        <row r="162">
          <cell r="A162">
            <v>40399</v>
          </cell>
          <cell r="B162">
            <v>9.6323729999999994</v>
          </cell>
          <cell r="C162">
            <v>38678.983999999997</v>
          </cell>
          <cell r="E162">
            <v>110.74432434321683</v>
          </cell>
          <cell r="F162">
            <v>101.69480634294634</v>
          </cell>
          <cell r="H162">
            <v>10.484999999999999</v>
          </cell>
        </row>
        <row r="163">
          <cell r="A163">
            <v>40400</v>
          </cell>
          <cell r="B163">
            <v>9.4527079999999994</v>
          </cell>
          <cell r="C163">
            <v>38164.660000000003</v>
          </cell>
          <cell r="E163">
            <v>108.67869845506613</v>
          </cell>
          <cell r="F163">
            <v>100.3425453947909</v>
          </cell>
          <cell r="H163">
            <v>10.362500000000001</v>
          </cell>
        </row>
        <row r="164">
          <cell r="A164">
            <v>40401</v>
          </cell>
          <cell r="B164">
            <v>9.085267</v>
          </cell>
          <cell r="C164">
            <v>37125.61</v>
          </cell>
          <cell r="E164">
            <v>104.45419372700005</v>
          </cell>
          <cell r="F164">
            <v>97.610674554268343</v>
          </cell>
          <cell r="H164">
            <v>10.445</v>
          </cell>
        </row>
        <row r="165">
          <cell r="A165">
            <v>40402</v>
          </cell>
          <cell r="B165">
            <v>9.4672879999999999</v>
          </cell>
          <cell r="C165">
            <v>37284.82</v>
          </cell>
          <cell r="E165">
            <v>108.84632612572673</v>
          </cell>
          <cell r="F165">
            <v>98.029269575219786</v>
          </cell>
          <cell r="H165">
            <v>10.57</v>
          </cell>
        </row>
        <row r="166">
          <cell r="A166">
            <v>40403</v>
          </cell>
          <cell r="B166">
            <v>9.5143989999999992</v>
          </cell>
          <cell r="C166">
            <v>37416.39</v>
          </cell>
          <cell r="E166">
            <v>109.38796585086332</v>
          </cell>
          <cell r="F166">
            <v>98.375193492728613</v>
          </cell>
          <cell r="H166">
            <v>10.52</v>
          </cell>
        </row>
        <row r="167">
          <cell r="A167">
            <v>40404</v>
          </cell>
          <cell r="B167">
            <v>9.5143989999999992</v>
          </cell>
          <cell r="C167">
            <v>37416.39</v>
          </cell>
          <cell r="E167">
            <v>109.38796585086332</v>
          </cell>
          <cell r="F167">
            <v>98.375193492728613</v>
          </cell>
          <cell r="H167">
            <v>10.52</v>
          </cell>
        </row>
        <row r="168">
          <cell r="A168">
            <v>40405</v>
          </cell>
          <cell r="B168">
            <v>9.5143989999999992</v>
          </cell>
          <cell r="C168">
            <v>37416.39</v>
          </cell>
          <cell r="E168">
            <v>109.38796585086332</v>
          </cell>
          <cell r="F168">
            <v>98.375193492728613</v>
          </cell>
          <cell r="H168">
            <v>10.52</v>
          </cell>
        </row>
        <row r="169">
          <cell r="A169">
            <v>40406</v>
          </cell>
          <cell r="B169">
            <v>9.0803390000000004</v>
          </cell>
          <cell r="C169">
            <v>37831.093999999997</v>
          </cell>
          <cell r="E169">
            <v>104.39753603420063</v>
          </cell>
          <cell r="F169">
            <v>99.465533481225847</v>
          </cell>
          <cell r="H169">
            <v>10.34</v>
          </cell>
        </row>
        <row r="170">
          <cell r="A170">
            <v>40407</v>
          </cell>
          <cell r="B170">
            <v>9.1851599999999998</v>
          </cell>
          <cell r="C170">
            <v>38604.959999999999</v>
          </cell>
          <cell r="E170">
            <v>105.60267321296027</v>
          </cell>
          <cell r="F170">
            <v>101.50018240078876</v>
          </cell>
          <cell r="H170">
            <v>10.452500000000001</v>
          </cell>
        </row>
        <row r="171">
          <cell r="A171">
            <v>40408</v>
          </cell>
          <cell r="B171">
            <v>9.0629109999999997</v>
          </cell>
          <cell r="C171">
            <v>38577.760000000002</v>
          </cell>
          <cell r="E171">
            <v>104.19716463198712</v>
          </cell>
          <cell r="F171">
            <v>101.428668145592</v>
          </cell>
          <cell r="H171">
            <v>10.352499999999999</v>
          </cell>
        </row>
        <row r="172">
          <cell r="A172">
            <v>40409</v>
          </cell>
          <cell r="B172">
            <v>8.9437119999999997</v>
          </cell>
          <cell r="C172">
            <v>37934.004000000001</v>
          </cell>
          <cell r="E172">
            <v>102.82672219611102</v>
          </cell>
          <cell r="F172">
            <v>99.736104510722214</v>
          </cell>
          <cell r="H172">
            <v>10.1675</v>
          </cell>
        </row>
        <row r="173">
          <cell r="A173">
            <v>40410</v>
          </cell>
          <cell r="B173">
            <v>8.8435369999999995</v>
          </cell>
          <cell r="C173">
            <v>37798.839999999997</v>
          </cell>
          <cell r="E173">
            <v>101.67500052886645</v>
          </cell>
          <cell r="F173">
            <v>99.380731246405389</v>
          </cell>
          <cell r="H173">
            <v>10.092499999999999</v>
          </cell>
        </row>
        <row r="174">
          <cell r="A174">
            <v>40411</v>
          </cell>
          <cell r="B174">
            <v>8.8435369999999995</v>
          </cell>
          <cell r="C174">
            <v>37798.839999999997</v>
          </cell>
          <cell r="E174">
            <v>101.67500052886645</v>
          </cell>
          <cell r="F174">
            <v>99.380731246405389</v>
          </cell>
          <cell r="H174">
            <v>10.092499999999999</v>
          </cell>
        </row>
        <row r="175">
          <cell r="A175">
            <v>40412</v>
          </cell>
          <cell r="B175">
            <v>8.8435369999999995</v>
          </cell>
          <cell r="C175">
            <v>37798.839999999997</v>
          </cell>
          <cell r="E175">
            <v>101.67500052886645</v>
          </cell>
          <cell r="F175">
            <v>99.380731246405389</v>
          </cell>
          <cell r="H175">
            <v>10.092499999999999</v>
          </cell>
        </row>
        <row r="176">
          <cell r="A176">
            <v>40413</v>
          </cell>
          <cell r="B176">
            <v>8.8804400000000001</v>
          </cell>
          <cell r="C176">
            <v>37440.766000000003</v>
          </cell>
          <cell r="E176">
            <v>102.09927789034711</v>
          </cell>
          <cell r="F176">
            <v>98.439282885547613</v>
          </cell>
          <cell r="H176">
            <v>10.07</v>
          </cell>
        </row>
        <row r="177">
          <cell r="A177">
            <v>40414</v>
          </cell>
          <cell r="B177">
            <v>8.4106339999999999</v>
          </cell>
          <cell r="C177">
            <v>36853.144999999997</v>
          </cell>
          <cell r="E177">
            <v>96.697872853147118</v>
          </cell>
          <cell r="F177">
            <v>96.894309424040742</v>
          </cell>
          <cell r="H177">
            <v>9.9949999999999992</v>
          </cell>
        </row>
        <row r="178">
          <cell r="A178">
            <v>40415</v>
          </cell>
          <cell r="B178">
            <v>8.3879350000000006</v>
          </cell>
          <cell r="C178">
            <v>36603.832000000002</v>
          </cell>
          <cell r="E178">
            <v>96.436900253947883</v>
          </cell>
          <cell r="F178">
            <v>96.238815545148299</v>
          </cell>
          <cell r="H178">
            <v>10</v>
          </cell>
        </row>
        <row r="179">
          <cell r="A179">
            <v>40416</v>
          </cell>
          <cell r="B179">
            <v>8.8178409999999996</v>
          </cell>
          <cell r="C179">
            <v>36333.758000000002</v>
          </cell>
          <cell r="E179">
            <v>101.37957113069807</v>
          </cell>
          <cell r="F179">
            <v>95.528736833456591</v>
          </cell>
          <cell r="H179">
            <v>10.130000000000001</v>
          </cell>
        </row>
        <row r="180">
          <cell r="A180">
            <v>40417</v>
          </cell>
          <cell r="B180">
            <v>9.1005050000000001</v>
          </cell>
          <cell r="C180">
            <v>37420.559999999998</v>
          </cell>
          <cell r="E180">
            <v>104.62938648732421</v>
          </cell>
          <cell r="F180">
            <v>98.386157259058422</v>
          </cell>
          <cell r="H180">
            <v>10.220000000000001</v>
          </cell>
        </row>
        <row r="181">
          <cell r="A181">
            <v>40418</v>
          </cell>
          <cell r="B181">
            <v>9.1005050000000001</v>
          </cell>
          <cell r="C181">
            <v>37420.559999999998</v>
          </cell>
          <cell r="E181">
            <v>104.62938648732421</v>
          </cell>
          <cell r="F181">
            <v>98.386157259058422</v>
          </cell>
          <cell r="H181">
            <v>10.220000000000001</v>
          </cell>
        </row>
        <row r="182">
          <cell r="A182">
            <v>40419</v>
          </cell>
          <cell r="B182">
            <v>9.1005050000000001</v>
          </cell>
          <cell r="C182">
            <v>37420.559999999998</v>
          </cell>
          <cell r="E182">
            <v>104.62938648732421</v>
          </cell>
          <cell r="F182">
            <v>98.386157259058422</v>
          </cell>
          <cell r="H182">
            <v>10.220000000000001</v>
          </cell>
        </row>
        <row r="183">
          <cell r="A183">
            <v>40420</v>
          </cell>
          <cell r="B183">
            <v>9.0852129999999995</v>
          </cell>
          <cell r="C183">
            <v>36603.32</v>
          </cell>
          <cell r="E183">
            <v>104.45357288377537</v>
          </cell>
          <cell r="F183">
            <v>96.237469394462252</v>
          </cell>
          <cell r="H183">
            <v>10.18</v>
          </cell>
        </row>
        <row r="184">
          <cell r="A184">
            <v>40421</v>
          </cell>
          <cell r="B184">
            <v>9.1222670000000008</v>
          </cell>
          <cell r="C184">
            <v>37142.137000000002</v>
          </cell>
          <cell r="E184">
            <v>104.8795863068658</v>
          </cell>
          <cell r="F184">
            <v>97.654127351902062</v>
          </cell>
          <cell r="H184">
            <v>10.08</v>
          </cell>
        </row>
        <row r="185">
          <cell r="A185">
            <v>40422</v>
          </cell>
          <cell r="B185">
            <v>9.3100780000000007</v>
          </cell>
          <cell r="C185">
            <v>38546.324000000001</v>
          </cell>
          <cell r="E185">
            <v>107.03886754516749</v>
          </cell>
          <cell r="F185">
            <v>101.34601659682853</v>
          </cell>
          <cell r="H185">
            <v>10.045</v>
          </cell>
        </row>
        <row r="186">
          <cell r="A186">
            <v>40423</v>
          </cell>
          <cell r="B186">
            <v>9.2715230000000002</v>
          </cell>
          <cell r="C186">
            <v>38472.836000000003</v>
          </cell>
          <cell r="E186">
            <v>106.59559697985064</v>
          </cell>
          <cell r="F186">
            <v>101.15280190617042</v>
          </cell>
          <cell r="H186">
            <v>10.074999999999999</v>
          </cell>
        </row>
        <row r="187">
          <cell r="A187">
            <v>40424</v>
          </cell>
          <cell r="B187">
            <v>9.5638310000000004</v>
          </cell>
          <cell r="C187">
            <v>38648.667999999998</v>
          </cell>
          <cell r="E187">
            <v>109.95629033756396</v>
          </cell>
          <cell r="F187">
            <v>101.61509949880865</v>
          </cell>
          <cell r="H187">
            <v>10.297499999999999</v>
          </cell>
        </row>
        <row r="188">
          <cell r="A188">
            <v>40425</v>
          </cell>
          <cell r="B188">
            <v>9.5638310000000004</v>
          </cell>
          <cell r="C188">
            <v>38648.667999999998</v>
          </cell>
          <cell r="E188">
            <v>109.95629033756396</v>
          </cell>
          <cell r="F188">
            <v>101.61509949880865</v>
          </cell>
          <cell r="H188">
            <v>10.297499999999999</v>
          </cell>
        </row>
        <row r="189">
          <cell r="A189">
            <v>40426</v>
          </cell>
          <cell r="B189">
            <v>9.5638310000000004</v>
          </cell>
          <cell r="C189">
            <v>38648.667999999998</v>
          </cell>
          <cell r="E189">
            <v>109.95629033756396</v>
          </cell>
          <cell r="F189">
            <v>101.61509949880865</v>
          </cell>
          <cell r="H189">
            <v>10.297499999999999</v>
          </cell>
        </row>
        <row r="190">
          <cell r="A190">
            <v>40427</v>
          </cell>
          <cell r="B190">
            <v>9.5638310000000004</v>
          </cell>
          <cell r="C190">
            <v>38648.667999999998</v>
          </cell>
          <cell r="E190">
            <v>109.95629033756396</v>
          </cell>
          <cell r="F190">
            <v>101.61509949880865</v>
          </cell>
          <cell r="H190">
            <v>10.297499999999999</v>
          </cell>
        </row>
        <row r="191">
          <cell r="A191">
            <v>40428</v>
          </cell>
          <cell r="B191">
            <v>9.7281329999999997</v>
          </cell>
          <cell r="C191">
            <v>38650.39</v>
          </cell>
          <cell r="E191">
            <v>111.84528632829638</v>
          </cell>
          <cell r="F191">
            <v>101.61962698217073</v>
          </cell>
          <cell r="H191">
            <v>10.4375</v>
          </cell>
        </row>
        <row r="192">
          <cell r="A192">
            <v>40429</v>
          </cell>
          <cell r="B192">
            <v>10.145096000000001</v>
          </cell>
          <cell r="C192">
            <v>38541.660000000003</v>
          </cell>
          <cell r="E192">
            <v>116.63915028177085</v>
          </cell>
          <cell r="F192">
            <v>101.33375400542273</v>
          </cell>
          <cell r="H192">
            <v>10.4125</v>
          </cell>
        </row>
        <row r="193">
          <cell r="A193">
            <v>40430</v>
          </cell>
          <cell r="B193">
            <v>10.156794</v>
          </cell>
          <cell r="C193">
            <v>38689.953000000001</v>
          </cell>
          <cell r="E193">
            <v>116.77364331958893</v>
          </cell>
          <cell r="F193">
            <v>101.72364604387478</v>
          </cell>
          <cell r="H193">
            <v>10.3775</v>
          </cell>
        </row>
        <row r="194">
          <cell r="A194">
            <v>40431</v>
          </cell>
          <cell r="B194">
            <v>10.055899999999999</v>
          </cell>
          <cell r="C194">
            <v>38899.96</v>
          </cell>
          <cell r="E194">
            <v>115.61365523977885</v>
          </cell>
          <cell r="F194">
            <v>102.27579656560677</v>
          </cell>
          <cell r="H194">
            <v>10.234999999999999</v>
          </cell>
        </row>
        <row r="195">
          <cell r="A195">
            <v>40432</v>
          </cell>
          <cell r="B195">
            <v>10.055899999999999</v>
          </cell>
          <cell r="C195">
            <v>38899.96</v>
          </cell>
          <cell r="E195">
            <v>115.61365523977885</v>
          </cell>
          <cell r="F195">
            <v>102.27579656560677</v>
          </cell>
          <cell r="H195">
            <v>10.234999999999999</v>
          </cell>
        </row>
        <row r="196">
          <cell r="A196">
            <v>40433</v>
          </cell>
          <cell r="B196">
            <v>10.055899999999999</v>
          </cell>
          <cell r="C196">
            <v>38899.96</v>
          </cell>
          <cell r="E196">
            <v>115.61365523977885</v>
          </cell>
          <cell r="F196">
            <v>102.27579656560677</v>
          </cell>
          <cell r="H196">
            <v>10.234999999999999</v>
          </cell>
        </row>
        <row r="197">
          <cell r="A197">
            <v>40434</v>
          </cell>
          <cell r="B197">
            <v>10.027986</v>
          </cell>
          <cell r="C197">
            <v>39663.35</v>
          </cell>
          <cell r="E197">
            <v>115.29272528101204</v>
          </cell>
          <cell r="F197">
            <v>104.28290198011668</v>
          </cell>
          <cell r="H197">
            <v>10.2525</v>
          </cell>
        </row>
        <row r="198">
          <cell r="A198">
            <v>40435</v>
          </cell>
          <cell r="B198">
            <v>9.9604510000000008</v>
          </cell>
          <cell r="C198">
            <v>39661.258000000002</v>
          </cell>
          <cell r="E198">
            <v>114.51626885178956</v>
          </cell>
          <cell r="F198">
            <v>104.27740169254787</v>
          </cell>
          <cell r="H198">
            <v>10.25</v>
          </cell>
        </row>
        <row r="199">
          <cell r="A199">
            <v>40436</v>
          </cell>
          <cell r="B199">
            <v>9.6985279999999996</v>
          </cell>
          <cell r="C199">
            <v>39791.336000000003</v>
          </cell>
          <cell r="E199">
            <v>111.50491477892001</v>
          </cell>
          <cell r="F199">
            <v>104.61940284282312</v>
          </cell>
          <cell r="H199">
            <v>10.425000000000001</v>
          </cell>
        </row>
        <row r="200">
          <cell r="A200">
            <v>40437</v>
          </cell>
          <cell r="B200">
            <v>9.6555339999999994</v>
          </cell>
          <cell r="C200">
            <v>39404.241999999998</v>
          </cell>
          <cell r="E200">
            <v>111.01060860111602</v>
          </cell>
          <cell r="F200">
            <v>103.6016550817517</v>
          </cell>
          <cell r="H200">
            <v>10.362500000000001</v>
          </cell>
        </row>
        <row r="201">
          <cell r="A201">
            <v>40438</v>
          </cell>
          <cell r="B201">
            <v>9.6159459999999992</v>
          </cell>
          <cell r="C201">
            <v>39098.504000000001</v>
          </cell>
          <cell r="E201">
            <v>110.55546153485321</v>
          </cell>
          <cell r="F201">
            <v>102.79780856133431</v>
          </cell>
          <cell r="H201">
            <v>10.69</v>
          </cell>
        </row>
        <row r="202">
          <cell r="A202">
            <v>40439</v>
          </cell>
          <cell r="B202">
            <v>9.6159459999999992</v>
          </cell>
          <cell r="C202">
            <v>39098.504000000001</v>
          </cell>
          <cell r="E202">
            <v>110.55546153485321</v>
          </cell>
          <cell r="F202">
            <v>102.79780856133431</v>
          </cell>
          <cell r="H202">
            <v>10.69</v>
          </cell>
        </row>
        <row r="203">
          <cell r="A203">
            <v>40440</v>
          </cell>
          <cell r="B203">
            <v>9.6159459999999992</v>
          </cell>
          <cell r="C203">
            <v>39098.504000000001</v>
          </cell>
          <cell r="E203">
            <v>110.55546153485321</v>
          </cell>
          <cell r="F203">
            <v>102.79780856133431</v>
          </cell>
          <cell r="H203">
            <v>10.69</v>
          </cell>
        </row>
        <row r="204">
          <cell r="A204">
            <v>40441</v>
          </cell>
          <cell r="B204">
            <v>9.7886209999999991</v>
          </cell>
          <cell r="C204">
            <v>39707.949999999997</v>
          </cell>
          <cell r="E204">
            <v>112.54072271669958</v>
          </cell>
          <cell r="F204">
            <v>104.40016432503492</v>
          </cell>
          <cell r="H204">
            <v>10.845000000000001</v>
          </cell>
        </row>
        <row r="205">
          <cell r="A205">
            <v>40442</v>
          </cell>
          <cell r="B205">
            <v>9.9138669999999998</v>
          </cell>
          <cell r="C205">
            <v>39146.269999999997</v>
          </cell>
          <cell r="E205">
            <v>113.98068809664184</v>
          </cell>
          <cell r="F205">
            <v>102.92339495522143</v>
          </cell>
          <cell r="H205">
            <v>10.8</v>
          </cell>
        </row>
        <row r="206">
          <cell r="A206">
            <v>40443</v>
          </cell>
          <cell r="B206">
            <v>9.9185569999999998</v>
          </cell>
          <cell r="C206">
            <v>39747.050000000003</v>
          </cell>
          <cell r="E206">
            <v>114.03460948041399</v>
          </cell>
          <cell r="F206">
            <v>104.5029660668803</v>
          </cell>
          <cell r="H206">
            <v>10.885</v>
          </cell>
        </row>
        <row r="207">
          <cell r="A207">
            <v>40444</v>
          </cell>
          <cell r="B207">
            <v>10.022659000000001</v>
          </cell>
          <cell r="C207">
            <v>39971.133000000002</v>
          </cell>
          <cell r="E207">
            <v>115.23148024660811</v>
          </cell>
          <cell r="F207">
            <v>105.09212521567662</v>
          </cell>
          <cell r="H207">
            <v>10.935</v>
          </cell>
        </row>
        <row r="208">
          <cell r="A208">
            <v>40445</v>
          </cell>
          <cell r="B208">
            <v>10.499269999999999</v>
          </cell>
          <cell r="C208">
            <v>39822.76</v>
          </cell>
          <cell r="E208">
            <v>120.71112302721316</v>
          </cell>
          <cell r="F208">
            <v>104.70202284117987</v>
          </cell>
          <cell r="H208">
            <v>11.26</v>
          </cell>
        </row>
        <row r="209">
          <cell r="A209">
            <v>40446</v>
          </cell>
          <cell r="B209">
            <v>10.499269999999999</v>
          </cell>
          <cell r="C209">
            <v>39822.76</v>
          </cell>
          <cell r="E209">
            <v>120.71112302721316</v>
          </cell>
          <cell r="F209">
            <v>104.70202284117987</v>
          </cell>
          <cell r="H209">
            <v>11.26</v>
          </cell>
        </row>
        <row r="210">
          <cell r="A210">
            <v>40447</v>
          </cell>
          <cell r="B210">
            <v>10.499269999999999</v>
          </cell>
          <cell r="C210">
            <v>39822.76</v>
          </cell>
          <cell r="E210">
            <v>120.71112302721316</v>
          </cell>
          <cell r="F210">
            <v>104.70202284117987</v>
          </cell>
          <cell r="H210">
            <v>11.26</v>
          </cell>
        </row>
        <row r="211">
          <cell r="A211">
            <v>40448</v>
          </cell>
          <cell r="B211">
            <v>10.690813</v>
          </cell>
          <cell r="C211">
            <v>40202.112999999998</v>
          </cell>
          <cell r="E211">
            <v>122.91331143059753</v>
          </cell>
          <cell r="F211">
            <v>105.69941796072631</v>
          </cell>
          <cell r="H211">
            <v>11.285</v>
          </cell>
        </row>
        <row r="212">
          <cell r="A212">
            <v>40449</v>
          </cell>
          <cell r="B212">
            <v>10.609785</v>
          </cell>
          <cell r="C212">
            <v>40512.43</v>
          </cell>
          <cell r="E212">
            <v>121.9817246748851</v>
          </cell>
          <cell r="F212">
            <v>106.51530359050201</v>
          </cell>
          <cell r="H212">
            <v>11.1</v>
          </cell>
        </row>
        <row r="213">
          <cell r="A213">
            <v>40450</v>
          </cell>
          <cell r="B213">
            <v>10.83614</v>
          </cell>
          <cell r="C213">
            <v>40549.563000000002</v>
          </cell>
          <cell r="E213">
            <v>124.58415001043936</v>
          </cell>
          <cell r="F213">
            <v>106.61293369484841</v>
          </cell>
          <cell r="H213">
            <v>10.99</v>
          </cell>
        </row>
        <row r="214">
          <cell r="A214">
            <v>40451</v>
          </cell>
          <cell r="B214">
            <v>11.014048000000001</v>
          </cell>
          <cell r="C214">
            <v>40980.862999999998</v>
          </cell>
          <cell r="E214">
            <v>126.62957549959484</v>
          </cell>
          <cell r="F214">
            <v>107.74690789581791</v>
          </cell>
          <cell r="H214">
            <v>11.067500000000001</v>
          </cell>
        </row>
        <row r="215">
          <cell r="A215">
            <v>40452</v>
          </cell>
          <cell r="B215">
            <v>11.154622</v>
          </cell>
          <cell r="C215">
            <v>41669.25</v>
          </cell>
          <cell r="E215">
            <v>128.24576837856904</v>
          </cell>
          <cell r="F215">
            <v>109.55681538082327</v>
          </cell>
          <cell r="H215">
            <v>10.57</v>
          </cell>
        </row>
        <row r="216">
          <cell r="A216">
            <v>40453</v>
          </cell>
          <cell r="B216">
            <v>11.154622</v>
          </cell>
          <cell r="C216">
            <v>41669.25</v>
          </cell>
          <cell r="E216">
            <v>128.24576837856904</v>
          </cell>
          <cell r="F216">
            <v>109.55681538082327</v>
          </cell>
          <cell r="H216">
            <v>10.57</v>
          </cell>
        </row>
        <row r="217">
          <cell r="A217">
            <v>40454</v>
          </cell>
          <cell r="B217">
            <v>11.154622</v>
          </cell>
          <cell r="C217">
            <v>41669.25</v>
          </cell>
          <cell r="E217">
            <v>128.24576837856904</v>
          </cell>
          <cell r="F217">
            <v>109.55681538082327</v>
          </cell>
          <cell r="H217">
            <v>10.57</v>
          </cell>
        </row>
        <row r="218">
          <cell r="A218">
            <v>40455</v>
          </cell>
          <cell r="B218">
            <v>11.122975</v>
          </cell>
          <cell r="C218">
            <v>41754.120000000003</v>
          </cell>
          <cell r="E218">
            <v>127.8819197576228</v>
          </cell>
          <cell r="F218">
            <v>109.77995563224059</v>
          </cell>
          <cell r="H218">
            <v>10.54</v>
          </cell>
        </row>
        <row r="219">
          <cell r="A219">
            <v>40456</v>
          </cell>
          <cell r="B219">
            <v>11.360799</v>
          </cell>
          <cell r="C219">
            <v>42377.45</v>
          </cell>
          <cell r="E219">
            <v>130.61620529583868</v>
          </cell>
          <cell r="F219">
            <v>111.41881521649823</v>
          </cell>
          <cell r="H219">
            <v>10.717499999999999</v>
          </cell>
        </row>
        <row r="220">
          <cell r="A220">
            <v>40457</v>
          </cell>
          <cell r="B220">
            <v>11.305486999999999</v>
          </cell>
          <cell r="C220">
            <v>41973.917999999998</v>
          </cell>
          <cell r="E220">
            <v>129.98027788022966</v>
          </cell>
          <cell r="F220">
            <v>110.35784865664284</v>
          </cell>
          <cell r="H220">
            <v>10.62</v>
          </cell>
        </row>
        <row r="221">
          <cell r="A221">
            <v>40458</v>
          </cell>
          <cell r="B221">
            <v>11.236625</v>
          </cell>
          <cell r="C221">
            <v>41678.875</v>
          </cell>
          <cell r="E221">
            <v>129.18856480361578</v>
          </cell>
          <cell r="F221">
            <v>109.58212143620081</v>
          </cell>
          <cell r="H221">
            <v>10.65</v>
          </cell>
        </row>
        <row r="222">
          <cell r="A222">
            <v>40459</v>
          </cell>
          <cell r="B222">
            <v>11.867584000000001</v>
          </cell>
          <cell r="C222">
            <v>42121.77</v>
          </cell>
          <cell r="E222">
            <v>136.44276147387262</v>
          </cell>
          <cell r="F222">
            <v>110.74658121764851</v>
          </cell>
          <cell r="H222">
            <v>11.35</v>
          </cell>
        </row>
        <row r="223">
          <cell r="A223">
            <v>40460</v>
          </cell>
          <cell r="B223">
            <v>11.867584000000001</v>
          </cell>
          <cell r="C223">
            <v>42121.77</v>
          </cell>
          <cell r="E223">
            <v>136.44276147387262</v>
          </cell>
          <cell r="F223">
            <v>110.74658121764851</v>
          </cell>
          <cell r="H223">
            <v>11.35</v>
          </cell>
        </row>
        <row r="224">
          <cell r="A224">
            <v>40461</v>
          </cell>
          <cell r="B224">
            <v>11.867584000000001</v>
          </cell>
          <cell r="C224">
            <v>42121.77</v>
          </cell>
          <cell r="E224">
            <v>136.44276147387262</v>
          </cell>
          <cell r="F224">
            <v>110.74658121764851</v>
          </cell>
          <cell r="H224">
            <v>11.35</v>
          </cell>
        </row>
        <row r="225">
          <cell r="A225">
            <v>40462</v>
          </cell>
          <cell r="B225">
            <v>12.619433000000001</v>
          </cell>
          <cell r="C225">
            <v>42633.546999999999</v>
          </cell>
          <cell r="E225">
            <v>145.08684217061506</v>
          </cell>
          <cell r="F225">
            <v>112.09214559198092</v>
          </cell>
          <cell r="H225">
            <v>11.525</v>
          </cell>
        </row>
        <row r="226">
          <cell r="A226">
            <v>40463</v>
          </cell>
          <cell r="B226">
            <v>12.575227</v>
          </cell>
          <cell r="C226">
            <v>42484.203000000001</v>
          </cell>
          <cell r="E226">
            <v>144.57860151154628</v>
          </cell>
          <cell r="F226">
            <v>111.69949026374168</v>
          </cell>
          <cell r="H226">
            <v>11.785</v>
          </cell>
        </row>
        <row r="227">
          <cell r="A227">
            <v>40464</v>
          </cell>
          <cell r="B227">
            <v>12.162732</v>
          </cell>
          <cell r="C227">
            <v>43263.652000000002</v>
          </cell>
          <cell r="E227">
            <v>139.83610658636479</v>
          </cell>
          <cell r="F227">
            <v>113.74881801002384</v>
          </cell>
          <cell r="H227">
            <v>11.765000000000001</v>
          </cell>
        </row>
        <row r="228">
          <cell r="A228">
            <v>40465</v>
          </cell>
          <cell r="B228">
            <v>12.861154000000001</v>
          </cell>
          <cell r="C228">
            <v>43288.527000000002</v>
          </cell>
          <cell r="E228">
            <v>147.86593189487792</v>
          </cell>
          <cell r="F228">
            <v>113.81421937392162</v>
          </cell>
          <cell r="H228">
            <v>11.885</v>
          </cell>
        </row>
        <row r="229">
          <cell r="A229">
            <v>40466</v>
          </cell>
          <cell r="B229">
            <v>12.410142</v>
          </cell>
          <cell r="C229">
            <v>43210.02</v>
          </cell>
          <cell r="E229">
            <v>142.6806032940562</v>
          </cell>
          <cell r="F229">
            <v>113.60780872565934</v>
          </cell>
          <cell r="H229">
            <v>11.85</v>
          </cell>
        </row>
        <row r="230">
          <cell r="A230">
            <v>40467</v>
          </cell>
          <cell r="B230">
            <v>12.410142</v>
          </cell>
          <cell r="C230">
            <v>43210.02</v>
          </cell>
          <cell r="E230">
            <v>142.6806032940562</v>
          </cell>
          <cell r="F230">
            <v>113.60780872565934</v>
          </cell>
          <cell r="H230">
            <v>11.85</v>
          </cell>
        </row>
        <row r="231">
          <cell r="A231">
            <v>40468</v>
          </cell>
          <cell r="B231">
            <v>12.410142</v>
          </cell>
          <cell r="C231">
            <v>43210.02</v>
          </cell>
          <cell r="E231">
            <v>142.6806032940562</v>
          </cell>
          <cell r="F231">
            <v>113.60780872565934</v>
          </cell>
          <cell r="H231">
            <v>11.85</v>
          </cell>
        </row>
        <row r="232">
          <cell r="A232">
            <v>40469</v>
          </cell>
          <cell r="B232">
            <v>12.504142999999999</v>
          </cell>
          <cell r="C232">
            <v>43228.495999999999</v>
          </cell>
          <cell r="E232">
            <v>143.76134188594693</v>
          </cell>
          <cell r="F232">
            <v>113.65638583518198</v>
          </cell>
          <cell r="H232">
            <v>11.84</v>
          </cell>
        </row>
      </sheetData>
      <sheetData sheetId="3">
        <row r="1">
          <cell r="B1" t="str">
            <v>AGRO3-BR</v>
          </cell>
          <cell r="C1">
            <v>180264</v>
          </cell>
          <cell r="D1" t="str">
            <v>USDBRL</v>
          </cell>
          <cell r="F1" t="str">
            <v>AGRO3 (base 100)</v>
          </cell>
          <cell r="G1" t="str">
            <v>Ibovespa (base 100)</v>
          </cell>
          <cell r="I1" t="str">
            <v>Soybean (USD/bu)</v>
          </cell>
        </row>
        <row r="2">
          <cell r="A2">
            <v>40239</v>
          </cell>
          <cell r="B2">
            <v>9.25</v>
          </cell>
          <cell r="C2">
            <v>67779.16</v>
          </cell>
          <cell r="D2">
            <v>1.7820499999999999</v>
          </cell>
          <cell r="F2">
            <v>100</v>
          </cell>
          <cell r="G2">
            <v>100</v>
          </cell>
          <cell r="I2">
            <v>9.5425000000000004</v>
          </cell>
        </row>
        <row r="3">
          <cell r="A3">
            <v>40240</v>
          </cell>
          <cell r="B3">
            <v>9.25</v>
          </cell>
          <cell r="C3">
            <v>67641.34</v>
          </cell>
          <cell r="D3">
            <v>1.7785</v>
          </cell>
          <cell r="F3">
            <v>100</v>
          </cell>
          <cell r="G3">
            <v>99.796663163131555</v>
          </cell>
          <cell r="I3">
            <v>9.5449999999999999</v>
          </cell>
        </row>
        <row r="4">
          <cell r="A4">
            <v>40241</v>
          </cell>
          <cell r="B4">
            <v>9.4</v>
          </cell>
          <cell r="C4">
            <v>67814.710000000006</v>
          </cell>
          <cell r="D4">
            <v>1.7904500000000001</v>
          </cell>
          <cell r="F4">
            <v>101.62162162162163</v>
          </cell>
          <cell r="G4">
            <v>100.05244975004118</v>
          </cell>
          <cell r="I4">
            <v>9.3249999999999993</v>
          </cell>
        </row>
        <row r="5">
          <cell r="A5">
            <v>40242</v>
          </cell>
          <cell r="B5">
            <v>9.5</v>
          </cell>
          <cell r="C5">
            <v>68846.5</v>
          </cell>
          <cell r="D5">
            <v>1.7779499999999999</v>
          </cell>
          <cell r="F5">
            <v>102.70270270270269</v>
          </cell>
          <cell r="G5">
            <v>101.57473182022321</v>
          </cell>
          <cell r="I5">
            <v>9.3475000000000001</v>
          </cell>
        </row>
        <row r="6">
          <cell r="A6">
            <v>40243</v>
          </cell>
          <cell r="B6">
            <v>9.5</v>
          </cell>
          <cell r="C6">
            <v>68846.5</v>
          </cell>
          <cell r="D6">
            <v>1.7779499999999999</v>
          </cell>
          <cell r="F6">
            <v>102.70270270270269</v>
          </cell>
          <cell r="G6">
            <v>101.57473182022321</v>
          </cell>
          <cell r="I6">
            <v>9.3475000000000001</v>
          </cell>
        </row>
        <row r="7">
          <cell r="A7">
            <v>40244</v>
          </cell>
          <cell r="B7">
            <v>9.5</v>
          </cell>
          <cell r="C7">
            <v>68846.5</v>
          </cell>
          <cell r="D7">
            <v>1.7779499999999999</v>
          </cell>
          <cell r="F7">
            <v>102.70270270270269</v>
          </cell>
          <cell r="G7">
            <v>101.57473182022321</v>
          </cell>
          <cell r="I7">
            <v>9.3475000000000001</v>
          </cell>
        </row>
        <row r="8">
          <cell r="A8">
            <v>40245</v>
          </cell>
          <cell r="B8">
            <v>9.4</v>
          </cell>
          <cell r="C8">
            <v>68575.47</v>
          </cell>
          <cell r="D8">
            <v>1.7879499999999999</v>
          </cell>
          <cell r="F8">
            <v>101.62162162162163</v>
          </cell>
          <cell r="G8">
            <v>101.17485964712456</v>
          </cell>
          <cell r="I8">
            <v>9.4049999999999994</v>
          </cell>
        </row>
        <row r="9">
          <cell r="A9">
            <v>40246</v>
          </cell>
          <cell r="B9">
            <v>9.3000000000000007</v>
          </cell>
          <cell r="C9">
            <v>69576.38</v>
          </cell>
          <cell r="D9">
            <v>1.7927999999999999</v>
          </cell>
          <cell r="F9">
            <v>100.54054054054056</v>
          </cell>
          <cell r="G9">
            <v>102.65158199068858</v>
          </cell>
          <cell r="I9">
            <v>9.4149999999999991</v>
          </cell>
        </row>
        <row r="10">
          <cell r="A10">
            <v>40247</v>
          </cell>
          <cell r="B10">
            <v>9.1999999999999993</v>
          </cell>
          <cell r="C10">
            <v>69979.28</v>
          </cell>
          <cell r="D10">
            <v>1.7675000000000001</v>
          </cell>
          <cell r="F10">
            <v>99.459459459459453</v>
          </cell>
          <cell r="G10">
            <v>103.24601249115508</v>
          </cell>
          <cell r="I10">
            <v>9.52</v>
          </cell>
        </row>
        <row r="11">
          <cell r="A11">
            <v>40248</v>
          </cell>
          <cell r="B11">
            <v>9.2100000000000009</v>
          </cell>
          <cell r="C11">
            <v>69884.61</v>
          </cell>
          <cell r="D11">
            <v>1.7692000000000001</v>
          </cell>
          <cell r="F11">
            <v>99.567567567567579</v>
          </cell>
          <cell r="G11">
            <v>103.10633829041255</v>
          </cell>
          <cell r="I11">
            <v>9.2550000000000008</v>
          </cell>
        </row>
        <row r="12">
          <cell r="A12">
            <v>40249</v>
          </cell>
          <cell r="B12">
            <v>9.2100000000000009</v>
          </cell>
          <cell r="C12">
            <v>69341.38</v>
          </cell>
          <cell r="D12">
            <v>1.7661</v>
          </cell>
          <cell r="F12">
            <v>99.567567567567579</v>
          </cell>
          <cell r="G12">
            <v>102.30486774991014</v>
          </cell>
          <cell r="I12">
            <v>9.26</v>
          </cell>
        </row>
        <row r="13">
          <cell r="A13">
            <v>40250</v>
          </cell>
          <cell r="B13">
            <v>9.2100000000000009</v>
          </cell>
          <cell r="C13">
            <v>69341.38</v>
          </cell>
          <cell r="D13">
            <v>1.7661</v>
          </cell>
          <cell r="F13">
            <v>99.567567567567579</v>
          </cell>
          <cell r="G13">
            <v>102.30486774991014</v>
          </cell>
          <cell r="I13">
            <v>9.26</v>
          </cell>
        </row>
        <row r="14">
          <cell r="A14">
            <v>40251</v>
          </cell>
          <cell r="B14">
            <v>9.2100000000000009</v>
          </cell>
          <cell r="C14">
            <v>69341.38</v>
          </cell>
          <cell r="D14">
            <v>1.7661</v>
          </cell>
          <cell r="F14">
            <v>99.567567567567579</v>
          </cell>
          <cell r="G14">
            <v>102.30486774991014</v>
          </cell>
          <cell r="I14">
            <v>9.26</v>
          </cell>
        </row>
        <row r="15">
          <cell r="A15">
            <v>40252</v>
          </cell>
          <cell r="B15">
            <v>9.15</v>
          </cell>
          <cell r="C15">
            <v>69023.75</v>
          </cell>
          <cell r="D15">
            <v>1.7669999999999999</v>
          </cell>
          <cell r="F15">
            <v>98.918918918918919</v>
          </cell>
          <cell r="G15">
            <v>101.83624288055502</v>
          </cell>
          <cell r="I15">
            <v>9.3000000000000007</v>
          </cell>
        </row>
        <row r="16">
          <cell r="A16">
            <v>40253</v>
          </cell>
          <cell r="B16">
            <v>9.25</v>
          </cell>
          <cell r="C16">
            <v>69942.210000000006</v>
          </cell>
          <cell r="D16">
            <v>1.7621500000000001</v>
          </cell>
          <cell r="F16">
            <v>100</v>
          </cell>
          <cell r="G16">
            <v>103.19132016389699</v>
          </cell>
          <cell r="I16">
            <v>9.4499999999999993</v>
          </cell>
        </row>
        <row r="17">
          <cell r="A17">
            <v>40254</v>
          </cell>
          <cell r="B17">
            <v>9.25</v>
          </cell>
          <cell r="C17">
            <v>69723.240000000005</v>
          </cell>
          <cell r="D17">
            <v>1.7656499999999999</v>
          </cell>
          <cell r="F17">
            <v>100</v>
          </cell>
          <cell r="G17">
            <v>102.86825626047889</v>
          </cell>
          <cell r="I17">
            <v>9.59</v>
          </cell>
        </row>
        <row r="18">
          <cell r="A18">
            <v>40255</v>
          </cell>
          <cell r="B18">
            <v>9.17</v>
          </cell>
          <cell r="C18">
            <v>69697.33</v>
          </cell>
          <cell r="D18">
            <v>1.78975</v>
          </cell>
          <cell r="F18">
            <v>99.13513513513513</v>
          </cell>
          <cell r="G18">
            <v>102.83002917120838</v>
          </cell>
          <cell r="I18">
            <v>9.5950000000000006</v>
          </cell>
        </row>
        <row r="19">
          <cell r="A19">
            <v>40256</v>
          </cell>
          <cell r="B19">
            <v>9</v>
          </cell>
          <cell r="C19">
            <v>68828.98</v>
          </cell>
          <cell r="D19">
            <v>1.7983499999999999</v>
          </cell>
          <cell r="F19">
            <v>97.297297297297305</v>
          </cell>
          <cell r="G19">
            <v>101.54888316703835</v>
          </cell>
          <cell r="I19">
            <v>9.6174999999999997</v>
          </cell>
        </row>
        <row r="20">
          <cell r="A20">
            <v>40257</v>
          </cell>
          <cell r="B20">
            <v>9</v>
          </cell>
          <cell r="C20">
            <v>68828.98</v>
          </cell>
          <cell r="D20">
            <v>1.7983499999999999</v>
          </cell>
          <cell r="F20">
            <v>97.297297297297305</v>
          </cell>
          <cell r="G20">
            <v>101.54888316703835</v>
          </cell>
          <cell r="I20">
            <v>9.6174999999999997</v>
          </cell>
        </row>
        <row r="21">
          <cell r="A21">
            <v>40258</v>
          </cell>
          <cell r="B21">
            <v>9</v>
          </cell>
          <cell r="C21">
            <v>68828.98</v>
          </cell>
          <cell r="D21">
            <v>1.7983499999999999</v>
          </cell>
          <cell r="F21">
            <v>97.297297297297305</v>
          </cell>
          <cell r="G21">
            <v>101.54888316703835</v>
          </cell>
          <cell r="I21">
            <v>9.6174999999999997</v>
          </cell>
        </row>
        <row r="22">
          <cell r="A22">
            <v>40259</v>
          </cell>
          <cell r="B22">
            <v>8.7899999999999991</v>
          </cell>
          <cell r="C22">
            <v>69041.73</v>
          </cell>
          <cell r="D22">
            <v>1.8027</v>
          </cell>
          <cell r="F22">
            <v>95.027027027027017</v>
          </cell>
          <cell r="G22">
            <v>101.86277020842394</v>
          </cell>
          <cell r="I22">
            <v>9.6850000000000005</v>
          </cell>
        </row>
        <row r="23">
          <cell r="A23">
            <v>40260</v>
          </cell>
          <cell r="B23">
            <v>8.8000000000000007</v>
          </cell>
          <cell r="C23">
            <v>69386.720000000001</v>
          </cell>
          <cell r="D23">
            <v>1.78295</v>
          </cell>
          <cell r="F23">
            <v>95.135135135135144</v>
          </cell>
          <cell r="G23">
            <v>102.37176146768417</v>
          </cell>
          <cell r="I23">
            <v>9.68</v>
          </cell>
        </row>
        <row r="24">
          <cell r="A24">
            <v>40261</v>
          </cell>
          <cell r="B24">
            <v>8.8000000000000007</v>
          </cell>
          <cell r="C24">
            <v>68913.399999999994</v>
          </cell>
          <cell r="D24">
            <v>1.7886</v>
          </cell>
          <cell r="F24">
            <v>95.135135135135144</v>
          </cell>
          <cell r="G24">
            <v>101.67343472536395</v>
          </cell>
          <cell r="I24">
            <v>9.6</v>
          </cell>
        </row>
        <row r="25">
          <cell r="A25">
            <v>40262</v>
          </cell>
          <cell r="B25">
            <v>8.8000000000000007</v>
          </cell>
          <cell r="C25">
            <v>68441.66</v>
          </cell>
          <cell r="D25">
            <v>1.8047</v>
          </cell>
          <cell r="F25">
            <v>95.135135135135144</v>
          </cell>
          <cell r="G25">
            <v>100.9774390830456</v>
          </cell>
          <cell r="I25">
            <v>9.4250000000000007</v>
          </cell>
        </row>
        <row r="26">
          <cell r="A26">
            <v>40263</v>
          </cell>
          <cell r="B26">
            <v>8.7200000000000006</v>
          </cell>
          <cell r="C26">
            <v>68682.66</v>
          </cell>
          <cell r="D26">
            <v>1.8210999999999999</v>
          </cell>
          <cell r="F26">
            <v>94.270270270270274</v>
          </cell>
          <cell r="G26">
            <v>101.33300560231197</v>
          </cell>
          <cell r="I26">
            <v>9.52</v>
          </cell>
        </row>
        <row r="27">
          <cell r="A27">
            <v>40264</v>
          </cell>
          <cell r="B27">
            <v>8.7200000000000006</v>
          </cell>
          <cell r="C27">
            <v>68682.66</v>
          </cell>
          <cell r="D27">
            <v>1.8210999999999999</v>
          </cell>
          <cell r="F27">
            <v>94.270270270270274</v>
          </cell>
          <cell r="G27">
            <v>101.33300560231197</v>
          </cell>
          <cell r="I27">
            <v>9.52</v>
          </cell>
        </row>
        <row r="28">
          <cell r="A28">
            <v>40265</v>
          </cell>
          <cell r="B28">
            <v>8.7200000000000006</v>
          </cell>
          <cell r="C28">
            <v>68682.66</v>
          </cell>
          <cell r="D28">
            <v>1.8210999999999999</v>
          </cell>
          <cell r="F28">
            <v>94.270270270270274</v>
          </cell>
          <cell r="G28">
            <v>101.33300560231197</v>
          </cell>
          <cell r="I28">
            <v>9.52</v>
          </cell>
        </row>
        <row r="29">
          <cell r="A29">
            <v>40266</v>
          </cell>
          <cell r="B29">
            <v>9</v>
          </cell>
          <cell r="C29">
            <v>69939.12</v>
          </cell>
          <cell r="D29">
            <v>1.80975</v>
          </cell>
          <cell r="F29">
            <v>97.297297297297305</v>
          </cell>
          <cell r="G29">
            <v>103.18676124047568</v>
          </cell>
          <cell r="I29">
            <v>9.6750000000000007</v>
          </cell>
        </row>
        <row r="30">
          <cell r="A30">
            <v>40267</v>
          </cell>
          <cell r="B30">
            <v>8.81</v>
          </cell>
          <cell r="C30">
            <v>69959.58</v>
          </cell>
          <cell r="D30">
            <v>1.79495</v>
          </cell>
          <cell r="F30">
            <v>95.243243243243242</v>
          </cell>
          <cell r="G30">
            <v>103.21694751011962</v>
          </cell>
          <cell r="I30">
            <v>9.74</v>
          </cell>
        </row>
        <row r="31">
          <cell r="A31">
            <v>40268</v>
          </cell>
          <cell r="B31">
            <v>8.8000000000000007</v>
          </cell>
          <cell r="C31">
            <v>70371.539999999994</v>
          </cell>
          <cell r="D31">
            <v>1.7847</v>
          </cell>
          <cell r="F31">
            <v>95.135135135135144</v>
          </cell>
          <cell r="G31">
            <v>103.82474495110294</v>
          </cell>
          <cell r="I31">
            <v>9.41</v>
          </cell>
        </row>
        <row r="32">
          <cell r="A32">
            <v>40269</v>
          </cell>
          <cell r="B32">
            <v>8.5</v>
          </cell>
          <cell r="C32">
            <v>71136.34</v>
          </cell>
          <cell r="D32">
            <v>1.76905</v>
          </cell>
          <cell r="F32">
            <v>91.891891891891902</v>
          </cell>
          <cell r="G32">
            <v>104.95311538236827</v>
          </cell>
          <cell r="I32">
            <v>9.42</v>
          </cell>
        </row>
        <row r="33">
          <cell r="A33">
            <v>40270</v>
          </cell>
          <cell r="B33">
            <v>8.5</v>
          </cell>
          <cell r="C33">
            <v>71136.34</v>
          </cell>
          <cell r="D33">
            <v>1.76905</v>
          </cell>
          <cell r="F33">
            <v>91.891891891891902</v>
          </cell>
          <cell r="G33">
            <v>104.95311538236827</v>
          </cell>
          <cell r="I33">
            <v>9.42</v>
          </cell>
        </row>
        <row r="34">
          <cell r="A34">
            <v>40271</v>
          </cell>
          <cell r="B34">
            <v>8.5</v>
          </cell>
          <cell r="C34">
            <v>71136.34</v>
          </cell>
          <cell r="D34">
            <v>1.76905</v>
          </cell>
          <cell r="F34">
            <v>91.891891891891902</v>
          </cell>
          <cell r="G34">
            <v>104.95311538236827</v>
          </cell>
          <cell r="I34">
            <v>9.42</v>
          </cell>
        </row>
        <row r="35">
          <cell r="A35">
            <v>40272</v>
          </cell>
          <cell r="B35">
            <v>8.5</v>
          </cell>
          <cell r="C35">
            <v>71136.34</v>
          </cell>
          <cell r="D35">
            <v>1.76905</v>
          </cell>
          <cell r="F35">
            <v>91.891891891891902</v>
          </cell>
          <cell r="G35">
            <v>104.95311538236827</v>
          </cell>
          <cell r="I35">
            <v>9.42</v>
          </cell>
        </row>
        <row r="36">
          <cell r="A36">
            <v>40273</v>
          </cell>
          <cell r="B36">
            <v>8.5</v>
          </cell>
          <cell r="C36">
            <v>71289.679999999993</v>
          </cell>
          <cell r="D36">
            <v>1.75925</v>
          </cell>
          <cell r="F36">
            <v>91.891891891891902</v>
          </cell>
          <cell r="G36">
            <v>105.17935011292553</v>
          </cell>
          <cell r="I36">
            <v>9.36</v>
          </cell>
        </row>
        <row r="37">
          <cell r="A37">
            <v>40274</v>
          </cell>
          <cell r="B37">
            <v>8.6999999999999993</v>
          </cell>
          <cell r="C37">
            <v>71095.649999999994</v>
          </cell>
          <cell r="D37">
            <v>1.7604</v>
          </cell>
          <cell r="F37">
            <v>94.054054054054049</v>
          </cell>
          <cell r="G37">
            <v>104.89308218042241</v>
          </cell>
          <cell r="I37">
            <v>9.4450000000000003</v>
          </cell>
        </row>
        <row r="38">
          <cell r="A38">
            <v>40275</v>
          </cell>
          <cell r="B38">
            <v>8.6999999999999993</v>
          </cell>
          <cell r="C38">
            <v>70792.94</v>
          </cell>
          <cell r="D38">
            <v>1.7637499999999999</v>
          </cell>
          <cell r="F38">
            <v>94.054054054054049</v>
          </cell>
          <cell r="G38">
            <v>104.44646997690737</v>
          </cell>
          <cell r="I38">
            <v>9.5250000000000004</v>
          </cell>
        </row>
        <row r="39">
          <cell r="A39">
            <v>40276</v>
          </cell>
          <cell r="B39">
            <v>8.6999999999999993</v>
          </cell>
          <cell r="C39">
            <v>71784.78</v>
          </cell>
          <cell r="D39">
            <v>1.7839499999999999</v>
          </cell>
          <cell r="F39">
            <v>94.054054054054049</v>
          </cell>
          <cell r="G39">
            <v>105.90981062615705</v>
          </cell>
          <cell r="I39">
            <v>9.4649999999999999</v>
          </cell>
        </row>
        <row r="40">
          <cell r="A40">
            <v>40277</v>
          </cell>
          <cell r="B40">
            <v>8.42</v>
          </cell>
          <cell r="C40">
            <v>71417.27</v>
          </cell>
          <cell r="D40">
            <v>1.7742</v>
          </cell>
          <cell r="F40">
            <v>91.027027027027032</v>
          </cell>
          <cell r="G40">
            <v>105.36759381497203</v>
          </cell>
          <cell r="I40">
            <v>9.5225000000000009</v>
          </cell>
        </row>
        <row r="41">
          <cell r="A41">
            <v>40278</v>
          </cell>
          <cell r="B41">
            <v>8.42</v>
          </cell>
          <cell r="C41">
            <v>71417.27</v>
          </cell>
          <cell r="D41">
            <v>1.7742</v>
          </cell>
          <cell r="F41">
            <v>91.027027027027032</v>
          </cell>
          <cell r="G41">
            <v>105.36759381497203</v>
          </cell>
          <cell r="I41">
            <v>9.5225000000000009</v>
          </cell>
        </row>
        <row r="42">
          <cell r="A42">
            <v>40279</v>
          </cell>
          <cell r="B42">
            <v>8.42</v>
          </cell>
          <cell r="C42">
            <v>71417.27</v>
          </cell>
          <cell r="D42">
            <v>1.7742</v>
          </cell>
          <cell r="F42">
            <v>91.027027027027032</v>
          </cell>
          <cell r="G42">
            <v>105.36759381497203</v>
          </cell>
          <cell r="I42">
            <v>9.5225000000000009</v>
          </cell>
        </row>
        <row r="43">
          <cell r="A43">
            <v>40280</v>
          </cell>
          <cell r="B43">
            <v>8.65</v>
          </cell>
          <cell r="C43">
            <v>70614.36</v>
          </cell>
          <cell r="D43">
            <v>1.75875</v>
          </cell>
          <cell r="F43">
            <v>93.513513513513516</v>
          </cell>
          <cell r="G43">
            <v>104.1829966615107</v>
          </cell>
          <cell r="I43">
            <v>9.6</v>
          </cell>
        </row>
        <row r="44">
          <cell r="A44">
            <v>40281</v>
          </cell>
          <cell r="B44">
            <v>8.65</v>
          </cell>
          <cell r="C44">
            <v>70792.399999999994</v>
          </cell>
          <cell r="D44">
            <v>1.7659</v>
          </cell>
          <cell r="F44">
            <v>93.513513513513516</v>
          </cell>
          <cell r="G44">
            <v>104.44567327184342</v>
          </cell>
          <cell r="I44">
            <v>9.68</v>
          </cell>
        </row>
        <row r="45">
          <cell r="A45">
            <v>40282</v>
          </cell>
          <cell r="B45">
            <v>8.65</v>
          </cell>
          <cell r="C45">
            <v>71034.850000000006</v>
          </cell>
          <cell r="D45">
            <v>1.74275</v>
          </cell>
          <cell r="F45">
            <v>93.513513513513516</v>
          </cell>
          <cell r="G45">
            <v>104.80337909174442</v>
          </cell>
          <cell r="I45">
            <v>9.69</v>
          </cell>
        </row>
        <row r="46">
          <cell r="A46">
            <v>40283</v>
          </cell>
          <cell r="B46">
            <v>8.66</v>
          </cell>
          <cell r="C46">
            <v>70524.350000000006</v>
          </cell>
          <cell r="D46">
            <v>1.74</v>
          </cell>
          <cell r="F46">
            <v>93.621621621621614</v>
          </cell>
          <cell r="G46">
            <v>104.05019773039383</v>
          </cell>
          <cell r="I46">
            <v>9.84</v>
          </cell>
        </row>
        <row r="47">
          <cell r="A47">
            <v>40284</v>
          </cell>
          <cell r="B47">
            <v>8.75</v>
          </cell>
          <cell r="C47">
            <v>69421.350000000006</v>
          </cell>
          <cell r="D47">
            <v>1.7518</v>
          </cell>
          <cell r="F47">
            <v>94.594594594594597</v>
          </cell>
          <cell r="G47">
            <v>102.42285386835719</v>
          </cell>
          <cell r="I47">
            <v>9.8524999999999991</v>
          </cell>
        </row>
        <row r="48">
          <cell r="A48">
            <v>40285</v>
          </cell>
          <cell r="B48">
            <v>8.75</v>
          </cell>
          <cell r="C48">
            <v>69421.350000000006</v>
          </cell>
          <cell r="D48">
            <v>1.7518</v>
          </cell>
          <cell r="F48">
            <v>94.594594594594597</v>
          </cell>
          <cell r="G48">
            <v>102.42285386835719</v>
          </cell>
          <cell r="I48">
            <v>9.8524999999999991</v>
          </cell>
        </row>
        <row r="49">
          <cell r="A49">
            <v>40286</v>
          </cell>
          <cell r="B49">
            <v>8.75</v>
          </cell>
          <cell r="C49">
            <v>69421.350000000006</v>
          </cell>
          <cell r="D49">
            <v>1.7518</v>
          </cell>
          <cell r="F49">
            <v>94.594594594594597</v>
          </cell>
          <cell r="G49">
            <v>102.42285386835719</v>
          </cell>
          <cell r="I49">
            <v>9.8524999999999991</v>
          </cell>
        </row>
        <row r="50">
          <cell r="A50">
            <v>40287</v>
          </cell>
          <cell r="B50">
            <v>8.6999999999999993</v>
          </cell>
          <cell r="C50">
            <v>69097.58</v>
          </cell>
          <cell r="D50">
            <v>1.7575499999999999</v>
          </cell>
          <cell r="F50">
            <v>94.054054054054049</v>
          </cell>
          <cell r="G50">
            <v>101.94517016734936</v>
          </cell>
          <cell r="I50">
            <v>9.7675000000000001</v>
          </cell>
        </row>
        <row r="51">
          <cell r="A51">
            <v>40288</v>
          </cell>
          <cell r="B51">
            <v>8.6999999999999993</v>
          </cell>
          <cell r="C51">
            <v>69318.44</v>
          </cell>
          <cell r="D51">
            <v>1.7511000000000001</v>
          </cell>
          <cell r="F51">
            <v>94.054054054054049</v>
          </cell>
          <cell r="G51">
            <v>102.27102253849118</v>
          </cell>
          <cell r="I51">
            <v>9.84</v>
          </cell>
        </row>
        <row r="52">
          <cell r="A52">
            <v>40289</v>
          </cell>
          <cell r="B52">
            <v>8.6999999999999993</v>
          </cell>
          <cell r="C52">
            <v>69318.44</v>
          </cell>
          <cell r="D52">
            <v>1.7511000000000001</v>
          </cell>
          <cell r="F52">
            <v>94.054054054054049</v>
          </cell>
          <cell r="G52">
            <v>102.27102253849118</v>
          </cell>
          <cell r="I52">
            <v>9.9550000000000001</v>
          </cell>
        </row>
        <row r="53">
          <cell r="A53">
            <v>40290</v>
          </cell>
          <cell r="B53">
            <v>9</v>
          </cell>
          <cell r="C53">
            <v>69386.41</v>
          </cell>
          <cell r="D53">
            <v>1.7662500000000001</v>
          </cell>
          <cell r="F53">
            <v>97.297297297297305</v>
          </cell>
          <cell r="G53">
            <v>102.37130409996229</v>
          </cell>
          <cell r="I53">
            <v>10.0425</v>
          </cell>
        </row>
        <row r="54">
          <cell r="A54">
            <v>40291</v>
          </cell>
          <cell r="B54">
            <v>8.92</v>
          </cell>
          <cell r="C54">
            <v>69509.490000000005</v>
          </cell>
          <cell r="D54">
            <v>1.7623</v>
          </cell>
          <cell r="F54">
            <v>96.432432432432435</v>
          </cell>
          <cell r="G54">
            <v>102.55289383934532</v>
          </cell>
          <cell r="I54">
            <v>10</v>
          </cell>
        </row>
        <row r="55">
          <cell r="A55">
            <v>40292</v>
          </cell>
          <cell r="B55">
            <v>8.92</v>
          </cell>
          <cell r="C55">
            <v>69509.490000000005</v>
          </cell>
          <cell r="D55">
            <v>1.7623</v>
          </cell>
          <cell r="F55">
            <v>96.432432432432435</v>
          </cell>
          <cell r="G55">
            <v>102.55289383934532</v>
          </cell>
          <cell r="I55">
            <v>10</v>
          </cell>
        </row>
        <row r="56">
          <cell r="A56">
            <v>40293</v>
          </cell>
          <cell r="B56">
            <v>8.92</v>
          </cell>
          <cell r="C56">
            <v>69509.490000000005</v>
          </cell>
          <cell r="D56">
            <v>1.7623</v>
          </cell>
          <cell r="F56">
            <v>96.432432432432435</v>
          </cell>
          <cell r="G56">
            <v>102.55289383934532</v>
          </cell>
          <cell r="I56">
            <v>10</v>
          </cell>
        </row>
        <row r="57">
          <cell r="A57">
            <v>40294</v>
          </cell>
          <cell r="B57">
            <v>9.1</v>
          </cell>
          <cell r="C57">
            <v>68871.94</v>
          </cell>
          <cell r="D57">
            <v>1.7442500000000001</v>
          </cell>
          <cell r="F57">
            <v>98.378378378378372</v>
          </cell>
          <cell r="G57">
            <v>101.61226548101216</v>
          </cell>
          <cell r="I57">
            <v>9.9875000000000007</v>
          </cell>
        </row>
        <row r="58">
          <cell r="A58">
            <v>40295</v>
          </cell>
          <cell r="B58">
            <v>9.1</v>
          </cell>
          <cell r="C58">
            <v>66511.100000000006</v>
          </cell>
          <cell r="D58">
            <v>1.7515000000000001</v>
          </cell>
          <cell r="F58">
            <v>98.378378378378372</v>
          </cell>
          <cell r="G58">
            <v>98.12912995675957</v>
          </cell>
          <cell r="I58">
            <v>9.8275000000000006</v>
          </cell>
        </row>
        <row r="59">
          <cell r="A59">
            <v>40296</v>
          </cell>
          <cell r="B59">
            <v>9.1</v>
          </cell>
          <cell r="C59">
            <v>66655.710000000006</v>
          </cell>
          <cell r="D59">
            <v>1.7576499999999999</v>
          </cell>
          <cell r="F59">
            <v>98.378378378378372</v>
          </cell>
          <cell r="G59">
            <v>98.342484622116885</v>
          </cell>
          <cell r="I59">
            <v>9.8275000000000006</v>
          </cell>
        </row>
        <row r="60">
          <cell r="A60">
            <v>40297</v>
          </cell>
          <cell r="B60">
            <v>9.1</v>
          </cell>
          <cell r="C60">
            <v>67978.05</v>
          </cell>
          <cell r="D60">
            <v>1.7309000000000001</v>
          </cell>
          <cell r="F60">
            <v>98.378378378378372</v>
          </cell>
          <cell r="G60">
            <v>100.2934382780784</v>
          </cell>
          <cell r="I60">
            <v>9.8574999999999999</v>
          </cell>
        </row>
        <row r="61">
          <cell r="A61">
            <v>40298</v>
          </cell>
          <cell r="B61">
            <v>9.19</v>
          </cell>
          <cell r="C61">
            <v>67529.73</v>
          </cell>
          <cell r="D61">
            <v>1.73075</v>
          </cell>
          <cell r="F61">
            <v>99.35135135135134</v>
          </cell>
          <cell r="G61">
            <v>99.631996029458008</v>
          </cell>
          <cell r="I61">
            <v>9.8949999999999996</v>
          </cell>
        </row>
        <row r="62">
          <cell r="A62">
            <v>40299</v>
          </cell>
          <cell r="B62">
            <v>9.19</v>
          </cell>
          <cell r="C62">
            <v>67529.73</v>
          </cell>
          <cell r="D62">
            <v>1.73075</v>
          </cell>
          <cell r="F62">
            <v>99.35135135135134</v>
          </cell>
          <cell r="G62">
            <v>99.631996029458008</v>
          </cell>
          <cell r="I62">
            <v>9.8949999999999996</v>
          </cell>
        </row>
        <row r="63">
          <cell r="A63">
            <v>40300</v>
          </cell>
          <cell r="B63">
            <v>9.19</v>
          </cell>
          <cell r="C63">
            <v>67529.73</v>
          </cell>
          <cell r="D63">
            <v>1.73075</v>
          </cell>
          <cell r="F63">
            <v>99.35135135135134</v>
          </cell>
          <cell r="G63">
            <v>99.631996029458008</v>
          </cell>
          <cell r="I63">
            <v>9.8949999999999996</v>
          </cell>
        </row>
        <row r="64">
          <cell r="A64">
            <v>40301</v>
          </cell>
          <cell r="B64">
            <v>9.19</v>
          </cell>
          <cell r="C64">
            <v>67119.41</v>
          </cell>
          <cell r="D64">
            <v>1.7344999999999999</v>
          </cell>
          <cell r="F64">
            <v>99.35135135135134</v>
          </cell>
          <cell r="G64">
            <v>99.026618211261393</v>
          </cell>
          <cell r="I64">
            <v>9.7575000000000003</v>
          </cell>
        </row>
        <row r="65">
          <cell r="A65">
            <v>40302</v>
          </cell>
          <cell r="B65">
            <v>8.5</v>
          </cell>
          <cell r="C65">
            <v>64869.32</v>
          </cell>
          <cell r="D65">
            <v>1.7555000000000001</v>
          </cell>
          <cell r="F65">
            <v>91.891891891891902</v>
          </cell>
          <cell r="G65">
            <v>95.706880994099066</v>
          </cell>
          <cell r="I65">
            <v>9.77</v>
          </cell>
        </row>
        <row r="66">
          <cell r="A66">
            <v>40303</v>
          </cell>
          <cell r="B66">
            <v>8.5</v>
          </cell>
          <cell r="C66">
            <v>64914.17</v>
          </cell>
          <cell r="D66">
            <v>1.7878499999999999</v>
          </cell>
          <cell r="F66">
            <v>91.891891891891902</v>
          </cell>
          <cell r="G66">
            <v>95.773051775796574</v>
          </cell>
          <cell r="I66">
            <v>9.6824999999999992</v>
          </cell>
        </row>
        <row r="67">
          <cell r="A67">
            <v>40304</v>
          </cell>
          <cell r="B67">
            <v>8.5</v>
          </cell>
          <cell r="C67">
            <v>63414.22</v>
          </cell>
          <cell r="D67">
            <v>1.8084499999999999</v>
          </cell>
          <cell r="F67">
            <v>91.891891891891902</v>
          </cell>
          <cell r="G67">
            <v>93.560055922793964</v>
          </cell>
          <cell r="I67">
            <v>9.4550000000000001</v>
          </cell>
        </row>
        <row r="68">
          <cell r="A68">
            <v>40305</v>
          </cell>
          <cell r="B68">
            <v>8.49</v>
          </cell>
          <cell r="C68">
            <v>62870.879999999997</v>
          </cell>
          <cell r="D68">
            <v>1.84975</v>
          </cell>
          <cell r="F68">
            <v>91.78378378378379</v>
          </cell>
          <cell r="G68">
            <v>92.758423090519258</v>
          </cell>
          <cell r="I68">
            <v>9.5124999999999993</v>
          </cell>
        </row>
        <row r="69">
          <cell r="A69">
            <v>40306</v>
          </cell>
          <cell r="B69">
            <v>8.49</v>
          </cell>
          <cell r="C69">
            <v>62870.879999999997</v>
          </cell>
          <cell r="D69">
            <v>1.84975</v>
          </cell>
          <cell r="F69">
            <v>91.78378378378379</v>
          </cell>
          <cell r="G69">
            <v>92.758423090519258</v>
          </cell>
          <cell r="I69">
            <v>9.5124999999999993</v>
          </cell>
        </row>
        <row r="70">
          <cell r="A70">
            <v>40307</v>
          </cell>
          <cell r="B70">
            <v>8.49</v>
          </cell>
          <cell r="C70">
            <v>62870.879999999997</v>
          </cell>
          <cell r="D70">
            <v>1.84975</v>
          </cell>
          <cell r="F70">
            <v>91.78378378378379</v>
          </cell>
          <cell r="G70">
            <v>92.758423090519258</v>
          </cell>
          <cell r="I70">
            <v>9.5124999999999993</v>
          </cell>
        </row>
        <row r="71">
          <cell r="A71">
            <v>40308</v>
          </cell>
          <cell r="B71">
            <v>8.49</v>
          </cell>
          <cell r="C71">
            <v>65452.68</v>
          </cell>
          <cell r="D71">
            <v>1.7876000000000001</v>
          </cell>
          <cell r="F71">
            <v>91.78378378378379</v>
          </cell>
          <cell r="G71">
            <v>96.567558523888465</v>
          </cell>
          <cell r="I71">
            <v>9.5274999999999999</v>
          </cell>
        </row>
        <row r="72">
          <cell r="A72">
            <v>40309</v>
          </cell>
          <cell r="B72">
            <v>8.49</v>
          </cell>
          <cell r="C72">
            <v>64424.89</v>
          </cell>
          <cell r="D72">
            <v>1.78285</v>
          </cell>
          <cell r="F72">
            <v>91.78378378378379</v>
          </cell>
          <cell r="G72">
            <v>95.051177972698383</v>
          </cell>
          <cell r="I72">
            <v>9.5824999999999996</v>
          </cell>
        </row>
        <row r="73">
          <cell r="A73">
            <v>40310</v>
          </cell>
          <cell r="B73">
            <v>8.49</v>
          </cell>
          <cell r="C73">
            <v>65223.63</v>
          </cell>
          <cell r="D73">
            <v>1.77155</v>
          </cell>
          <cell r="F73">
            <v>91.78378378378379</v>
          </cell>
          <cell r="G73">
            <v>96.229622792610584</v>
          </cell>
          <cell r="I73">
            <v>9.5950000000000006</v>
          </cell>
        </row>
        <row r="74">
          <cell r="A74">
            <v>40311</v>
          </cell>
          <cell r="B74">
            <v>8.49</v>
          </cell>
          <cell r="C74">
            <v>64788.22</v>
          </cell>
          <cell r="D74">
            <v>1.7722500000000001</v>
          </cell>
          <cell r="F74">
            <v>91.78378378378379</v>
          </cell>
          <cell r="G74">
            <v>95.587227696536814</v>
          </cell>
          <cell r="I74">
            <v>9.6050000000000004</v>
          </cell>
        </row>
        <row r="75">
          <cell r="A75">
            <v>40312</v>
          </cell>
          <cell r="B75">
            <v>8.5</v>
          </cell>
          <cell r="C75">
            <v>63412.47</v>
          </cell>
          <cell r="D75">
            <v>1.7946</v>
          </cell>
          <cell r="F75">
            <v>91.891891891891902</v>
          </cell>
          <cell r="G75">
            <v>93.557474008234976</v>
          </cell>
          <cell r="I75">
            <v>9.48</v>
          </cell>
        </row>
        <row r="76">
          <cell r="A76">
            <v>40313</v>
          </cell>
          <cell r="B76">
            <v>8.5</v>
          </cell>
          <cell r="C76">
            <v>63412.47</v>
          </cell>
          <cell r="D76">
            <v>1.7946</v>
          </cell>
          <cell r="F76">
            <v>91.891891891891902</v>
          </cell>
          <cell r="G76">
            <v>93.557474008234976</v>
          </cell>
          <cell r="I76">
            <v>9.48</v>
          </cell>
        </row>
        <row r="77">
          <cell r="A77">
            <v>40314</v>
          </cell>
          <cell r="B77">
            <v>8.5</v>
          </cell>
          <cell r="C77">
            <v>63412.47</v>
          </cell>
          <cell r="D77">
            <v>1.7946</v>
          </cell>
          <cell r="F77">
            <v>91.891891891891902</v>
          </cell>
          <cell r="G77">
            <v>93.557474008234976</v>
          </cell>
          <cell r="I77">
            <v>9.48</v>
          </cell>
        </row>
        <row r="78">
          <cell r="A78">
            <v>40315</v>
          </cell>
          <cell r="B78">
            <v>8.4499999999999993</v>
          </cell>
          <cell r="C78">
            <v>62866.26</v>
          </cell>
          <cell r="D78">
            <v>1.8073999999999999</v>
          </cell>
          <cell r="F78">
            <v>91.35135135135134</v>
          </cell>
          <cell r="G78">
            <v>92.751606836083539</v>
          </cell>
          <cell r="I78">
            <v>9.41</v>
          </cell>
        </row>
        <row r="79">
          <cell r="A79">
            <v>40316</v>
          </cell>
          <cell r="B79">
            <v>8.3000000000000007</v>
          </cell>
          <cell r="C79">
            <v>60841.08</v>
          </cell>
          <cell r="D79">
            <v>1.7967500000000001</v>
          </cell>
          <cell r="F79">
            <v>89.72972972972974</v>
          </cell>
          <cell r="G79">
            <v>89.7636972780424</v>
          </cell>
          <cell r="I79">
            <v>9.3949999999999996</v>
          </cell>
        </row>
        <row r="80">
          <cell r="A80">
            <v>40317</v>
          </cell>
          <cell r="B80">
            <v>8.15</v>
          </cell>
          <cell r="C80">
            <v>59689.32</v>
          </cell>
          <cell r="D80">
            <v>1.83765</v>
          </cell>
          <cell r="F80">
            <v>88.108108108108112</v>
          </cell>
          <cell r="G80">
            <v>88.064413899493587</v>
          </cell>
          <cell r="I80">
            <v>9.3849999999999998</v>
          </cell>
        </row>
        <row r="81">
          <cell r="A81">
            <v>40318</v>
          </cell>
          <cell r="B81">
            <v>8</v>
          </cell>
          <cell r="C81">
            <v>58192.08</v>
          </cell>
          <cell r="D81">
            <v>1.8864000000000001</v>
          </cell>
          <cell r="F81">
            <v>86.486486486486484</v>
          </cell>
          <cell r="G81">
            <v>85.855416325608047</v>
          </cell>
          <cell r="I81">
            <v>9.44</v>
          </cell>
        </row>
        <row r="82">
          <cell r="A82">
            <v>40319</v>
          </cell>
          <cell r="B82">
            <v>7.99</v>
          </cell>
          <cell r="C82">
            <v>60259.33</v>
          </cell>
          <cell r="D82">
            <v>1.8728</v>
          </cell>
          <cell r="F82">
            <v>86.378378378378386</v>
          </cell>
          <cell r="G82">
            <v>88.905395109647273</v>
          </cell>
          <cell r="I82">
            <v>9.41</v>
          </cell>
        </row>
        <row r="83">
          <cell r="A83">
            <v>40320</v>
          </cell>
          <cell r="B83">
            <v>7.99</v>
          </cell>
          <cell r="C83">
            <v>60259.33</v>
          </cell>
          <cell r="D83">
            <v>1.8728</v>
          </cell>
          <cell r="F83">
            <v>86.378378378378386</v>
          </cell>
          <cell r="G83">
            <v>88.905395109647273</v>
          </cell>
          <cell r="I83">
            <v>9.41</v>
          </cell>
        </row>
        <row r="84">
          <cell r="A84">
            <v>40321</v>
          </cell>
          <cell r="B84">
            <v>7.99</v>
          </cell>
          <cell r="C84">
            <v>60259.33</v>
          </cell>
          <cell r="D84">
            <v>1.8728</v>
          </cell>
          <cell r="F84">
            <v>86.378378378378386</v>
          </cell>
          <cell r="G84">
            <v>88.905395109647273</v>
          </cell>
          <cell r="I84">
            <v>9.41</v>
          </cell>
        </row>
        <row r="85">
          <cell r="A85">
            <v>40322</v>
          </cell>
          <cell r="B85">
            <v>7.99</v>
          </cell>
          <cell r="C85">
            <v>59915.14</v>
          </cell>
          <cell r="D85">
            <v>1.8485</v>
          </cell>
          <cell r="F85">
            <v>86.378378378378386</v>
          </cell>
          <cell r="G85">
            <v>88.397584154185438</v>
          </cell>
          <cell r="I85">
            <v>9.4049999999999994</v>
          </cell>
        </row>
        <row r="86">
          <cell r="A86">
            <v>40323</v>
          </cell>
          <cell r="B86">
            <v>7.99</v>
          </cell>
          <cell r="C86">
            <v>59184.08</v>
          </cell>
          <cell r="D86">
            <v>1.8866000000000001</v>
          </cell>
          <cell r="F86">
            <v>86.378378378378386</v>
          </cell>
          <cell r="G86">
            <v>87.318993035617439</v>
          </cell>
          <cell r="I86">
            <v>9.3049999999999997</v>
          </cell>
        </row>
        <row r="87">
          <cell r="A87">
            <v>40324</v>
          </cell>
          <cell r="B87">
            <v>7.99</v>
          </cell>
          <cell r="C87">
            <v>60190.36</v>
          </cell>
          <cell r="D87">
            <v>1.8408</v>
          </cell>
          <cell r="F87">
            <v>86.378378378378386</v>
          </cell>
          <cell r="G87">
            <v>88.803638168428165</v>
          </cell>
          <cell r="I87">
            <v>9.3800000000000008</v>
          </cell>
        </row>
        <row r="88">
          <cell r="A88">
            <v>40325</v>
          </cell>
          <cell r="B88">
            <v>8</v>
          </cell>
          <cell r="C88">
            <v>62091.77</v>
          </cell>
          <cell r="D88">
            <v>1.8319000000000001</v>
          </cell>
          <cell r="F88">
            <v>86.486486486486484</v>
          </cell>
          <cell r="G88">
            <v>91.608939975060167</v>
          </cell>
          <cell r="I88">
            <v>9.5175000000000001</v>
          </cell>
        </row>
        <row r="89">
          <cell r="A89">
            <v>40326</v>
          </cell>
          <cell r="B89">
            <v>8.5</v>
          </cell>
          <cell r="C89">
            <v>61946.99</v>
          </cell>
          <cell r="D89">
            <v>1.8245</v>
          </cell>
          <cell r="F89">
            <v>91.891891891891902</v>
          </cell>
          <cell r="G89">
            <v>91.395334495145704</v>
          </cell>
          <cell r="I89">
            <v>9.3774999999999995</v>
          </cell>
        </row>
        <row r="90">
          <cell r="A90">
            <v>40327</v>
          </cell>
          <cell r="B90">
            <v>8.5</v>
          </cell>
          <cell r="C90">
            <v>61946.99</v>
          </cell>
          <cell r="D90">
            <v>1.8245</v>
          </cell>
          <cell r="F90">
            <v>91.891891891891902</v>
          </cell>
          <cell r="G90">
            <v>91.395334495145704</v>
          </cell>
          <cell r="I90">
            <v>9.3774999999999995</v>
          </cell>
        </row>
        <row r="91">
          <cell r="A91">
            <v>40328</v>
          </cell>
          <cell r="B91">
            <v>8.5</v>
          </cell>
          <cell r="C91">
            <v>61946.99</v>
          </cell>
          <cell r="D91">
            <v>1.8245</v>
          </cell>
          <cell r="F91">
            <v>91.891891891891902</v>
          </cell>
          <cell r="G91">
            <v>91.395334495145704</v>
          </cell>
          <cell r="I91">
            <v>9.3774999999999995</v>
          </cell>
        </row>
        <row r="92">
          <cell r="A92">
            <v>40329</v>
          </cell>
          <cell r="B92">
            <v>8.5</v>
          </cell>
          <cell r="C92">
            <v>61946.99</v>
          </cell>
          <cell r="D92">
            <v>1.8245</v>
          </cell>
          <cell r="F92">
            <v>91.891891891891902</v>
          </cell>
          <cell r="G92">
            <v>91.395334495145704</v>
          </cell>
          <cell r="I92">
            <v>9.3774999999999995</v>
          </cell>
        </row>
        <row r="93">
          <cell r="A93">
            <v>40330</v>
          </cell>
          <cell r="B93">
            <v>8.99</v>
          </cell>
          <cell r="C93">
            <v>61840.99</v>
          </cell>
          <cell r="D93">
            <v>1.8204</v>
          </cell>
          <cell r="F93">
            <v>97.189189189189193</v>
          </cell>
          <cell r="G93">
            <v>91.238944241858405</v>
          </cell>
          <cell r="I93">
            <v>9.32</v>
          </cell>
        </row>
        <row r="94">
          <cell r="A94">
            <v>40331</v>
          </cell>
          <cell r="B94">
            <v>8.99</v>
          </cell>
          <cell r="C94">
            <v>62942.91</v>
          </cell>
          <cell r="D94">
            <v>1.83365</v>
          </cell>
          <cell r="F94">
            <v>97.189189189189193</v>
          </cell>
          <cell r="G94">
            <v>92.86469469376722</v>
          </cell>
          <cell r="I94">
            <v>9.3249999999999993</v>
          </cell>
        </row>
        <row r="95">
          <cell r="A95">
            <v>40332</v>
          </cell>
          <cell r="B95">
            <v>8.99</v>
          </cell>
          <cell r="C95">
            <v>62942.91</v>
          </cell>
          <cell r="D95">
            <v>1.8191999999999999</v>
          </cell>
          <cell r="F95">
            <v>97.189189189189193</v>
          </cell>
          <cell r="G95">
            <v>92.86469469376722</v>
          </cell>
          <cell r="I95">
            <v>9.5500000000000007</v>
          </cell>
        </row>
        <row r="96">
          <cell r="A96">
            <v>40333</v>
          </cell>
          <cell r="B96">
            <v>8.99</v>
          </cell>
          <cell r="C96">
            <v>61675.75</v>
          </cell>
          <cell r="D96">
            <v>1.83975</v>
          </cell>
          <cell r="F96">
            <v>97.189189189189193</v>
          </cell>
          <cell r="G96">
            <v>90.995152492299994</v>
          </cell>
          <cell r="I96">
            <v>9.35</v>
          </cell>
        </row>
        <row r="97">
          <cell r="A97">
            <v>40334</v>
          </cell>
          <cell r="B97">
            <v>8.99</v>
          </cell>
          <cell r="C97">
            <v>61675.75</v>
          </cell>
          <cell r="D97">
            <v>1.83975</v>
          </cell>
          <cell r="F97">
            <v>97.189189189189193</v>
          </cell>
          <cell r="G97">
            <v>90.995152492299994</v>
          </cell>
          <cell r="I97">
            <v>9.35</v>
          </cell>
        </row>
        <row r="98">
          <cell r="A98">
            <v>40335</v>
          </cell>
          <cell r="B98">
            <v>8.99</v>
          </cell>
          <cell r="C98">
            <v>61675.75</v>
          </cell>
          <cell r="D98">
            <v>1.83975</v>
          </cell>
          <cell r="F98">
            <v>97.189189189189193</v>
          </cell>
          <cell r="G98">
            <v>90.995152492299994</v>
          </cell>
          <cell r="I98">
            <v>9.35</v>
          </cell>
        </row>
        <row r="99">
          <cell r="A99">
            <v>40336</v>
          </cell>
          <cell r="B99">
            <v>8.5</v>
          </cell>
          <cell r="C99">
            <v>61182.92</v>
          </cell>
          <cell r="D99">
            <v>1.8701000000000001</v>
          </cell>
          <cell r="F99">
            <v>91.891891891891902</v>
          </cell>
          <cell r="G99">
            <v>90.268041091096435</v>
          </cell>
          <cell r="I99">
            <v>9.35</v>
          </cell>
        </row>
        <row r="100">
          <cell r="A100">
            <v>40337</v>
          </cell>
          <cell r="B100">
            <v>8.2100000000000009</v>
          </cell>
          <cell r="C100">
            <v>61793</v>
          </cell>
          <cell r="D100">
            <v>1.8734999999999999</v>
          </cell>
          <cell r="F100">
            <v>88.756756756756758</v>
          </cell>
          <cell r="G100">
            <v>91.168140767752206</v>
          </cell>
          <cell r="I100">
            <v>9.31</v>
          </cell>
        </row>
        <row r="101">
          <cell r="A101">
            <v>40338</v>
          </cell>
          <cell r="B101">
            <v>8.25</v>
          </cell>
          <cell r="C101">
            <v>61478.61</v>
          </cell>
          <cell r="D101">
            <v>1.8412500000000001</v>
          </cell>
          <cell r="F101">
            <v>89.189189189189193</v>
          </cell>
          <cell r="G101">
            <v>90.704296128780584</v>
          </cell>
          <cell r="I101">
            <v>9.4350000000000005</v>
          </cell>
        </row>
        <row r="102">
          <cell r="A102">
            <v>40339</v>
          </cell>
          <cell r="B102">
            <v>8.49</v>
          </cell>
          <cell r="C102">
            <v>63048.800000000003</v>
          </cell>
          <cell r="D102">
            <v>1.8202499999999999</v>
          </cell>
          <cell r="F102">
            <v>91.78378378378379</v>
          </cell>
          <cell r="G102">
            <v>93.020922655282249</v>
          </cell>
          <cell r="I102">
            <v>9.35</v>
          </cell>
        </row>
        <row r="103">
          <cell r="A103">
            <v>40340</v>
          </cell>
          <cell r="B103">
            <v>8.5</v>
          </cell>
          <cell r="C103">
            <v>63605.38</v>
          </cell>
          <cell r="D103">
            <v>1.8079000000000001</v>
          </cell>
          <cell r="F103">
            <v>91.891891891891902</v>
          </cell>
          <cell r="G103">
            <v>93.842089515420369</v>
          </cell>
          <cell r="I103">
            <v>9.4625000000000004</v>
          </cell>
        </row>
        <row r="104">
          <cell r="A104">
            <v>40341</v>
          </cell>
          <cell r="B104">
            <v>8.5</v>
          </cell>
          <cell r="C104">
            <v>63605.38</v>
          </cell>
          <cell r="D104">
            <v>1.8079000000000001</v>
          </cell>
          <cell r="F104">
            <v>91.891891891891902</v>
          </cell>
          <cell r="G104">
            <v>93.842089515420369</v>
          </cell>
          <cell r="I104">
            <v>9.4625000000000004</v>
          </cell>
        </row>
        <row r="105">
          <cell r="A105">
            <v>40342</v>
          </cell>
          <cell r="B105">
            <v>8.5</v>
          </cell>
          <cell r="C105">
            <v>63605.38</v>
          </cell>
          <cell r="D105">
            <v>1.8079000000000001</v>
          </cell>
          <cell r="F105">
            <v>91.891891891891902</v>
          </cell>
          <cell r="G105">
            <v>93.842089515420369</v>
          </cell>
          <cell r="I105">
            <v>9.4625000000000004</v>
          </cell>
        </row>
        <row r="106">
          <cell r="A106">
            <v>40343</v>
          </cell>
          <cell r="B106">
            <v>8.6</v>
          </cell>
          <cell r="C106">
            <v>63532.85</v>
          </cell>
          <cell r="D106">
            <v>1.8010999999999999</v>
          </cell>
          <cell r="F106">
            <v>92.972972972972968</v>
          </cell>
          <cell r="G106">
            <v>93.735080222298407</v>
          </cell>
          <cell r="I106">
            <v>9.5150000000000006</v>
          </cell>
        </row>
        <row r="107">
          <cell r="A107">
            <v>40344</v>
          </cell>
          <cell r="B107">
            <v>9</v>
          </cell>
          <cell r="C107">
            <v>64442.27</v>
          </cell>
          <cell r="D107">
            <v>1.7940499999999999</v>
          </cell>
          <cell r="F107">
            <v>97.297297297297305</v>
          </cell>
          <cell r="G107">
            <v>95.076820072718505</v>
          </cell>
          <cell r="I107">
            <v>9.4949999999999992</v>
          </cell>
        </row>
        <row r="108">
          <cell r="A108">
            <v>40345</v>
          </cell>
          <cell r="B108">
            <v>9</v>
          </cell>
          <cell r="C108">
            <v>64750.71</v>
          </cell>
          <cell r="D108">
            <v>1.7903500000000001</v>
          </cell>
          <cell r="F108">
            <v>97.297297297297305</v>
          </cell>
          <cell r="G108">
            <v>95.531886202189582</v>
          </cell>
          <cell r="I108">
            <v>9.5775000000000006</v>
          </cell>
        </row>
        <row r="109">
          <cell r="A109">
            <v>40346</v>
          </cell>
          <cell r="B109">
            <v>9</v>
          </cell>
          <cell r="C109">
            <v>64540.91</v>
          </cell>
          <cell r="D109">
            <v>1.7837000000000001</v>
          </cell>
          <cell r="F109">
            <v>97.297297297297305</v>
          </cell>
          <cell r="G109">
            <v>95.222351531060582</v>
          </cell>
          <cell r="I109">
            <v>9.52</v>
          </cell>
        </row>
        <row r="110">
          <cell r="A110">
            <v>40347</v>
          </cell>
          <cell r="B110">
            <v>9</v>
          </cell>
          <cell r="C110">
            <v>64437.58</v>
          </cell>
          <cell r="D110">
            <v>1.7732000000000001</v>
          </cell>
          <cell r="F110">
            <v>97.297297297297305</v>
          </cell>
          <cell r="G110">
            <v>95.06990054170042</v>
          </cell>
          <cell r="I110">
            <v>9.61</v>
          </cell>
        </row>
        <row r="111">
          <cell r="A111">
            <v>40348</v>
          </cell>
          <cell r="B111">
            <v>9</v>
          </cell>
          <cell r="C111">
            <v>64437.58</v>
          </cell>
          <cell r="D111">
            <v>1.7732000000000001</v>
          </cell>
          <cell r="F111">
            <v>97.297297297297305</v>
          </cell>
          <cell r="G111">
            <v>95.06990054170042</v>
          </cell>
          <cell r="I111">
            <v>9.61</v>
          </cell>
        </row>
        <row r="112">
          <cell r="A112">
            <v>40349</v>
          </cell>
          <cell r="B112">
            <v>9</v>
          </cell>
          <cell r="C112">
            <v>64437.58</v>
          </cell>
          <cell r="D112">
            <v>1.7732000000000001</v>
          </cell>
          <cell r="F112">
            <v>97.297297297297305</v>
          </cell>
          <cell r="G112">
            <v>95.06990054170042</v>
          </cell>
          <cell r="I112">
            <v>9.61</v>
          </cell>
        </row>
        <row r="113">
          <cell r="A113">
            <v>40350</v>
          </cell>
          <cell r="B113">
            <v>9</v>
          </cell>
          <cell r="C113">
            <v>64829.03</v>
          </cell>
          <cell r="D113">
            <v>1.7637</v>
          </cell>
          <cell r="F113">
            <v>97.297297297297305</v>
          </cell>
          <cell r="G113">
            <v>95.647437944052413</v>
          </cell>
          <cell r="I113">
            <v>9.6325000000000003</v>
          </cell>
        </row>
        <row r="114">
          <cell r="A114">
            <v>40351</v>
          </cell>
          <cell r="B114">
            <v>9.1</v>
          </cell>
          <cell r="C114">
            <v>64810.62</v>
          </cell>
          <cell r="D114">
            <v>1.7641500000000001</v>
          </cell>
          <cell r="F114">
            <v>98.378378378378372</v>
          </cell>
          <cell r="G114">
            <v>95.620276202891858</v>
          </cell>
          <cell r="I114">
            <v>9.6549999999999994</v>
          </cell>
        </row>
        <row r="115">
          <cell r="A115">
            <v>40352</v>
          </cell>
          <cell r="B115">
            <v>9.1</v>
          </cell>
          <cell r="C115">
            <v>65160.33</v>
          </cell>
          <cell r="D115">
            <v>1.7968500000000001</v>
          </cell>
          <cell r="F115">
            <v>98.378378378378372</v>
          </cell>
          <cell r="G115">
            <v>96.136231254562603</v>
          </cell>
          <cell r="I115">
            <v>9.58</v>
          </cell>
        </row>
        <row r="116">
          <cell r="A116">
            <v>40353</v>
          </cell>
          <cell r="B116">
            <v>9.15</v>
          </cell>
          <cell r="C116">
            <v>63936.7</v>
          </cell>
          <cell r="D116">
            <v>1.7924</v>
          </cell>
          <cell r="F116">
            <v>98.918918918918919</v>
          </cell>
          <cell r="G116">
            <v>94.330912333525518</v>
          </cell>
          <cell r="I116">
            <v>9.5549999999999997</v>
          </cell>
        </row>
        <row r="117">
          <cell r="A117">
            <v>40354</v>
          </cell>
          <cell r="B117">
            <v>8.5</v>
          </cell>
          <cell r="C117">
            <v>64823.83</v>
          </cell>
          <cell r="D117">
            <v>1.7867999999999999</v>
          </cell>
          <cell r="F117">
            <v>91.891891891891902</v>
          </cell>
          <cell r="G117">
            <v>95.639765969362855</v>
          </cell>
          <cell r="I117">
            <v>9.57</v>
          </cell>
        </row>
        <row r="118">
          <cell r="A118">
            <v>40355</v>
          </cell>
          <cell r="B118">
            <v>8.5</v>
          </cell>
          <cell r="C118">
            <v>64823.83</v>
          </cell>
          <cell r="D118">
            <v>1.7867999999999999</v>
          </cell>
          <cell r="F118">
            <v>91.891891891891902</v>
          </cell>
          <cell r="G118">
            <v>95.639765969362855</v>
          </cell>
          <cell r="I118">
            <v>9.57</v>
          </cell>
        </row>
        <row r="119">
          <cell r="A119">
            <v>40356</v>
          </cell>
          <cell r="B119">
            <v>8.5</v>
          </cell>
          <cell r="C119">
            <v>64823.83</v>
          </cell>
          <cell r="D119">
            <v>1.7867999999999999</v>
          </cell>
          <cell r="F119">
            <v>91.891891891891902</v>
          </cell>
          <cell r="G119">
            <v>95.639765969362855</v>
          </cell>
          <cell r="I119">
            <v>9.57</v>
          </cell>
        </row>
        <row r="120">
          <cell r="A120">
            <v>40357</v>
          </cell>
          <cell r="B120">
            <v>8.9</v>
          </cell>
          <cell r="C120">
            <v>64225.22</v>
          </cell>
          <cell r="D120">
            <v>1.7789999999999999</v>
          </cell>
          <cell r="F120">
            <v>96.216216216216225</v>
          </cell>
          <cell r="G120">
            <v>94.756588898416567</v>
          </cell>
          <cell r="I120">
            <v>9.5500000000000007</v>
          </cell>
        </row>
        <row r="121">
          <cell r="A121">
            <v>40358</v>
          </cell>
          <cell r="B121">
            <v>8.75</v>
          </cell>
          <cell r="C121">
            <v>61977.91</v>
          </cell>
          <cell r="D121">
            <v>1.8023</v>
          </cell>
          <cell r="F121">
            <v>94.594594594594597</v>
          </cell>
          <cell r="G121">
            <v>91.440953236953661</v>
          </cell>
          <cell r="I121">
            <v>9.4725000000000001</v>
          </cell>
        </row>
        <row r="122">
          <cell r="A122">
            <v>40359</v>
          </cell>
          <cell r="B122">
            <v>8.64</v>
          </cell>
          <cell r="C122">
            <v>60935.9</v>
          </cell>
          <cell r="D122">
            <v>1.8025</v>
          </cell>
          <cell r="F122">
            <v>93.405405405405403</v>
          </cell>
          <cell r="G122">
            <v>89.903592785747122</v>
          </cell>
          <cell r="I122">
            <v>9.4849999999999994</v>
          </cell>
        </row>
        <row r="123">
          <cell r="A123">
            <v>40360</v>
          </cell>
          <cell r="B123">
            <v>8.6</v>
          </cell>
          <cell r="C123">
            <v>61236.2</v>
          </cell>
          <cell r="D123">
            <v>1.8050999999999999</v>
          </cell>
          <cell r="F123">
            <v>92.972972972972968</v>
          </cell>
          <cell r="G123">
            <v>90.346649324069517</v>
          </cell>
          <cell r="I123">
            <v>9.5350000000000001</v>
          </cell>
        </row>
        <row r="124">
          <cell r="A124">
            <v>40361</v>
          </cell>
          <cell r="B124">
            <v>8.49</v>
          </cell>
          <cell r="C124">
            <v>61429.79</v>
          </cell>
          <cell r="D124">
            <v>1.7716000000000001</v>
          </cell>
          <cell r="F124">
            <v>91.78378378378379</v>
          </cell>
          <cell r="G124">
            <v>90.632268089483546</v>
          </cell>
          <cell r="I124">
            <v>9.6274999999999995</v>
          </cell>
        </row>
        <row r="125">
          <cell r="A125">
            <v>40362</v>
          </cell>
          <cell r="B125">
            <v>8.49</v>
          </cell>
          <cell r="C125">
            <v>61429.79</v>
          </cell>
          <cell r="D125">
            <v>1.7716000000000001</v>
          </cell>
          <cell r="F125">
            <v>91.78378378378379</v>
          </cell>
          <cell r="G125">
            <v>90.632268089483546</v>
          </cell>
          <cell r="I125">
            <v>9.6274999999999995</v>
          </cell>
        </row>
        <row r="126">
          <cell r="A126">
            <v>40363</v>
          </cell>
          <cell r="B126">
            <v>8.49</v>
          </cell>
          <cell r="C126">
            <v>61429.79</v>
          </cell>
          <cell r="D126">
            <v>1.7716000000000001</v>
          </cell>
          <cell r="F126">
            <v>91.78378378378379</v>
          </cell>
          <cell r="G126">
            <v>90.632268089483546</v>
          </cell>
          <cell r="I126">
            <v>9.6274999999999995</v>
          </cell>
        </row>
        <row r="127">
          <cell r="A127">
            <v>40364</v>
          </cell>
          <cell r="B127">
            <v>8.49</v>
          </cell>
          <cell r="C127">
            <v>61429.79</v>
          </cell>
          <cell r="D127">
            <v>1.7716000000000001</v>
          </cell>
          <cell r="F127">
            <v>91.78378378378379</v>
          </cell>
          <cell r="G127">
            <v>90.632268089483546</v>
          </cell>
          <cell r="I127">
            <v>9.6274999999999995</v>
          </cell>
        </row>
        <row r="128">
          <cell r="A128">
            <v>40365</v>
          </cell>
          <cell r="B128">
            <v>8.9</v>
          </cell>
          <cell r="C128">
            <v>62064.75</v>
          </cell>
          <cell r="D128">
            <v>1.7646500000000001</v>
          </cell>
          <cell r="F128">
            <v>96.216216216216225</v>
          </cell>
          <cell r="G128">
            <v>91.56907521426939</v>
          </cell>
          <cell r="I128">
            <v>9.6425000000000001</v>
          </cell>
        </row>
        <row r="129">
          <cell r="A129">
            <v>40366</v>
          </cell>
          <cell r="B129">
            <v>8.9</v>
          </cell>
          <cell r="C129">
            <v>63283.8</v>
          </cell>
          <cell r="D129">
            <v>1.7698</v>
          </cell>
          <cell r="F129">
            <v>96.216216216216225</v>
          </cell>
          <cell r="G129">
            <v>93.367636896060674</v>
          </cell>
          <cell r="I129">
            <v>9.93</v>
          </cell>
        </row>
        <row r="130">
          <cell r="A130">
            <v>40367</v>
          </cell>
          <cell r="B130">
            <v>9.08</v>
          </cell>
          <cell r="C130">
            <v>63476.32</v>
          </cell>
          <cell r="D130">
            <v>1.7686999999999999</v>
          </cell>
          <cell r="F130">
            <v>98.162162162162161</v>
          </cell>
          <cell r="G130">
            <v>93.65167700514435</v>
          </cell>
          <cell r="I130">
            <v>10.125</v>
          </cell>
        </row>
        <row r="131">
          <cell r="A131">
            <v>40368</v>
          </cell>
          <cell r="B131">
            <v>9.08</v>
          </cell>
          <cell r="C131">
            <v>63476.32</v>
          </cell>
          <cell r="D131">
            <v>1.76075</v>
          </cell>
          <cell r="F131">
            <v>98.162162162162161</v>
          </cell>
          <cell r="G131">
            <v>93.65167700514435</v>
          </cell>
          <cell r="I131">
            <v>10.255000000000001</v>
          </cell>
        </row>
        <row r="132">
          <cell r="A132">
            <v>40369</v>
          </cell>
          <cell r="B132">
            <v>9.08</v>
          </cell>
          <cell r="C132">
            <v>63476.32</v>
          </cell>
          <cell r="D132">
            <v>1.76075</v>
          </cell>
          <cell r="F132">
            <v>98.162162162162161</v>
          </cell>
          <cell r="G132">
            <v>93.65167700514435</v>
          </cell>
          <cell r="I132">
            <v>10.255000000000001</v>
          </cell>
        </row>
        <row r="133">
          <cell r="A133">
            <v>40370</v>
          </cell>
          <cell r="B133">
            <v>9.08</v>
          </cell>
          <cell r="C133">
            <v>63476.32</v>
          </cell>
          <cell r="D133">
            <v>1.76075</v>
          </cell>
          <cell r="F133">
            <v>98.162162162162161</v>
          </cell>
          <cell r="G133">
            <v>93.65167700514435</v>
          </cell>
          <cell r="I133">
            <v>10.255000000000001</v>
          </cell>
        </row>
        <row r="134">
          <cell r="A134">
            <v>40371</v>
          </cell>
          <cell r="B134">
            <v>8.6999999999999993</v>
          </cell>
          <cell r="C134">
            <v>62960.1</v>
          </cell>
          <cell r="D134">
            <v>1.76315</v>
          </cell>
          <cell r="F134">
            <v>94.054054054054049</v>
          </cell>
          <cell r="G134">
            <v>92.890056471635233</v>
          </cell>
          <cell r="I134">
            <v>10.317500000000001</v>
          </cell>
        </row>
        <row r="135">
          <cell r="A135">
            <v>40372</v>
          </cell>
          <cell r="B135">
            <v>8.6999999999999993</v>
          </cell>
          <cell r="C135">
            <v>63685.56</v>
          </cell>
          <cell r="D135">
            <v>1.7516499999999999</v>
          </cell>
          <cell r="F135">
            <v>94.054054054054049</v>
          </cell>
          <cell r="G135">
            <v>93.960385463614472</v>
          </cell>
          <cell r="I135">
            <v>10.305</v>
          </cell>
        </row>
        <row r="136">
          <cell r="A136">
            <v>40373</v>
          </cell>
          <cell r="B136">
            <v>8.89</v>
          </cell>
          <cell r="C136">
            <v>63479.46</v>
          </cell>
          <cell r="D136">
            <v>1.7649999999999999</v>
          </cell>
          <cell r="F136">
            <v>96.108108108108112</v>
          </cell>
          <cell r="G136">
            <v>93.656309697553041</v>
          </cell>
          <cell r="I136">
            <v>10.36</v>
          </cell>
        </row>
        <row r="137">
          <cell r="A137">
            <v>40374</v>
          </cell>
          <cell r="B137">
            <v>8.81</v>
          </cell>
          <cell r="C137">
            <v>63489.37</v>
          </cell>
          <cell r="D137">
            <v>1.7693000000000001</v>
          </cell>
          <cell r="F137">
            <v>95.243243243243242</v>
          </cell>
          <cell r="G137">
            <v>93.670930710855671</v>
          </cell>
          <cell r="I137">
            <v>10.19</v>
          </cell>
        </row>
        <row r="138">
          <cell r="A138">
            <v>40375</v>
          </cell>
          <cell r="B138">
            <v>9.08</v>
          </cell>
          <cell r="C138">
            <v>62339.27</v>
          </cell>
          <cell r="D138">
            <v>1.7783500000000001</v>
          </cell>
          <cell r="F138">
            <v>98.162162162162161</v>
          </cell>
          <cell r="G138">
            <v>91.974096462688522</v>
          </cell>
          <cell r="I138">
            <v>10.195</v>
          </cell>
        </row>
        <row r="139">
          <cell r="A139">
            <v>40376</v>
          </cell>
          <cell r="B139">
            <v>9.08</v>
          </cell>
          <cell r="C139">
            <v>62339.27</v>
          </cell>
          <cell r="D139">
            <v>1.7783500000000001</v>
          </cell>
          <cell r="F139">
            <v>98.162162162162161</v>
          </cell>
          <cell r="G139">
            <v>91.974096462688522</v>
          </cell>
          <cell r="I139">
            <v>10.195</v>
          </cell>
        </row>
        <row r="140">
          <cell r="A140">
            <v>40377</v>
          </cell>
          <cell r="B140">
            <v>9.08</v>
          </cell>
          <cell r="C140">
            <v>62339.27</v>
          </cell>
          <cell r="D140">
            <v>1.7783500000000001</v>
          </cell>
          <cell r="F140">
            <v>98.162162162162161</v>
          </cell>
          <cell r="G140">
            <v>91.974096462688522</v>
          </cell>
          <cell r="I140">
            <v>10.195</v>
          </cell>
        </row>
        <row r="141">
          <cell r="A141">
            <v>40378</v>
          </cell>
          <cell r="B141">
            <v>9.35</v>
          </cell>
          <cell r="C141">
            <v>63297.04</v>
          </cell>
          <cell r="D141">
            <v>1.7847999999999999</v>
          </cell>
          <cell r="F141">
            <v>101.08108108108107</v>
          </cell>
          <cell r="G141">
            <v>93.387170923924103</v>
          </cell>
          <cell r="I141">
            <v>10.08</v>
          </cell>
        </row>
        <row r="142">
          <cell r="A142">
            <v>40379</v>
          </cell>
          <cell r="B142">
            <v>9.35</v>
          </cell>
          <cell r="C142">
            <v>64462.5</v>
          </cell>
          <cell r="D142">
            <v>1.7808999999999999</v>
          </cell>
          <cell r="F142">
            <v>101.08108108108107</v>
          </cell>
          <cell r="G142">
            <v>95.106667005020412</v>
          </cell>
          <cell r="I142">
            <v>10.1175</v>
          </cell>
        </row>
        <row r="143">
          <cell r="A143">
            <v>40380</v>
          </cell>
          <cell r="B143">
            <v>8.82</v>
          </cell>
          <cell r="C143">
            <v>64476.84</v>
          </cell>
          <cell r="D143">
            <v>1.77495</v>
          </cell>
          <cell r="F143">
            <v>95.351351351351354</v>
          </cell>
          <cell r="G143">
            <v>95.12782395060664</v>
          </cell>
          <cell r="I143">
            <v>10.1525</v>
          </cell>
        </row>
        <row r="144">
          <cell r="A144">
            <v>40381</v>
          </cell>
          <cell r="B144">
            <v>9</v>
          </cell>
          <cell r="C144">
            <v>65748.100000000006</v>
          </cell>
          <cell r="D144">
            <v>1.7615000000000001</v>
          </cell>
          <cell r="F144">
            <v>97.297297297297305</v>
          </cell>
          <cell r="G144">
            <v>97.003415209040654</v>
          </cell>
          <cell r="I144">
            <v>10.16</v>
          </cell>
        </row>
        <row r="145">
          <cell r="A145">
            <v>40382</v>
          </cell>
          <cell r="B145">
            <v>9</v>
          </cell>
          <cell r="C145">
            <v>66322.990000000005</v>
          </cell>
          <cell r="D145">
            <v>1.7618</v>
          </cell>
          <cell r="F145">
            <v>97.297297297297305</v>
          </cell>
          <cell r="G145">
            <v>97.851596272364546</v>
          </cell>
          <cell r="I145">
            <v>10.17</v>
          </cell>
        </row>
        <row r="146">
          <cell r="A146">
            <v>40383</v>
          </cell>
          <cell r="B146">
            <v>9</v>
          </cell>
          <cell r="C146">
            <v>66322.990000000005</v>
          </cell>
          <cell r="D146">
            <v>1.7618</v>
          </cell>
          <cell r="F146">
            <v>97.297297297297305</v>
          </cell>
          <cell r="G146">
            <v>97.851596272364546</v>
          </cell>
          <cell r="I146">
            <v>10.17</v>
          </cell>
        </row>
        <row r="147">
          <cell r="A147">
            <v>40384</v>
          </cell>
          <cell r="B147">
            <v>9</v>
          </cell>
          <cell r="C147">
            <v>66322.990000000005</v>
          </cell>
          <cell r="D147">
            <v>1.7618</v>
          </cell>
          <cell r="F147">
            <v>97.297297297297305</v>
          </cell>
          <cell r="G147">
            <v>97.851596272364546</v>
          </cell>
          <cell r="I147">
            <v>10.17</v>
          </cell>
        </row>
        <row r="148">
          <cell r="A148">
            <v>40385</v>
          </cell>
          <cell r="B148">
            <v>9.4</v>
          </cell>
          <cell r="C148">
            <v>66443.259999999995</v>
          </cell>
          <cell r="D148">
            <v>1.7714000000000001</v>
          </cell>
          <cell r="F148">
            <v>101.62162162162163</v>
          </cell>
          <cell r="G148">
            <v>98.029040194655693</v>
          </cell>
          <cell r="I148">
            <v>9.9824999999999999</v>
          </cell>
        </row>
        <row r="149">
          <cell r="A149">
            <v>40386</v>
          </cell>
          <cell r="B149">
            <v>9.4</v>
          </cell>
          <cell r="C149">
            <v>66674.44</v>
          </cell>
          <cell r="D149">
            <v>1.76675</v>
          </cell>
          <cell r="F149">
            <v>101.62162162162163</v>
          </cell>
          <cell r="G149">
            <v>98.370118484796791</v>
          </cell>
          <cell r="I149">
            <v>9.98</v>
          </cell>
        </row>
        <row r="150">
          <cell r="A150">
            <v>40387</v>
          </cell>
          <cell r="B150">
            <v>9.3800000000000008</v>
          </cell>
          <cell r="C150">
            <v>66808.25</v>
          </cell>
          <cell r="D150">
            <v>1.7639</v>
          </cell>
          <cell r="F150">
            <v>101.40540540540542</v>
          </cell>
          <cell r="G150">
            <v>98.567539048875787</v>
          </cell>
          <cell r="I150">
            <v>10.105</v>
          </cell>
        </row>
        <row r="151">
          <cell r="A151">
            <v>40388</v>
          </cell>
          <cell r="B151">
            <v>9.25</v>
          </cell>
          <cell r="C151">
            <v>66953.83</v>
          </cell>
          <cell r="D151">
            <v>1.7637499999999999</v>
          </cell>
          <cell r="F151">
            <v>100</v>
          </cell>
          <cell r="G151">
            <v>98.782324832588657</v>
          </cell>
          <cell r="I151">
            <v>10.2675</v>
          </cell>
        </row>
        <row r="152">
          <cell r="A152">
            <v>40389</v>
          </cell>
          <cell r="B152">
            <v>9.24</v>
          </cell>
          <cell r="C152">
            <v>67515.399999999994</v>
          </cell>
          <cell r="D152">
            <v>1.75925</v>
          </cell>
          <cell r="F152">
            <v>99.891891891891888</v>
          </cell>
          <cell r="G152">
            <v>99.610853837669268</v>
          </cell>
          <cell r="I152">
            <v>10.525</v>
          </cell>
        </row>
        <row r="153">
          <cell r="A153">
            <v>40390</v>
          </cell>
          <cell r="B153">
            <v>9.24</v>
          </cell>
          <cell r="C153">
            <v>67515.399999999994</v>
          </cell>
          <cell r="D153">
            <v>1.75925</v>
          </cell>
          <cell r="F153">
            <v>99.891891891891888</v>
          </cell>
          <cell r="G153">
            <v>99.610853837669268</v>
          </cell>
          <cell r="I153">
            <v>10.525</v>
          </cell>
        </row>
        <row r="154">
          <cell r="A154">
            <v>40391</v>
          </cell>
          <cell r="B154">
            <v>9.24</v>
          </cell>
          <cell r="C154">
            <v>67515.399999999994</v>
          </cell>
          <cell r="D154">
            <v>1.75925</v>
          </cell>
          <cell r="F154">
            <v>99.891891891891888</v>
          </cell>
          <cell r="G154">
            <v>99.610853837669268</v>
          </cell>
          <cell r="I154">
            <v>10.525</v>
          </cell>
        </row>
        <row r="155">
          <cell r="A155">
            <v>40392</v>
          </cell>
          <cell r="B155">
            <v>9.24</v>
          </cell>
          <cell r="C155">
            <v>68517.460000000006</v>
          </cell>
          <cell r="D155">
            <v>1.7472000000000001</v>
          </cell>
          <cell r="F155">
            <v>99.891891891891888</v>
          </cell>
          <cell r="G155">
            <v>101.08927286794349</v>
          </cell>
          <cell r="I155">
            <v>10.532500000000001</v>
          </cell>
        </row>
        <row r="156">
          <cell r="A156">
            <v>40393</v>
          </cell>
          <cell r="B156">
            <v>9.24</v>
          </cell>
          <cell r="C156">
            <v>67997.36</v>
          </cell>
          <cell r="D156">
            <v>1.7615000000000001</v>
          </cell>
          <cell r="F156">
            <v>99.891891891891888</v>
          </cell>
          <cell r="G156">
            <v>100.32192786101216</v>
          </cell>
          <cell r="I156">
            <v>10.535</v>
          </cell>
        </row>
        <row r="157">
          <cell r="A157">
            <v>40394</v>
          </cell>
          <cell r="B157">
            <v>9.25</v>
          </cell>
          <cell r="C157">
            <v>68272</v>
          </cell>
          <cell r="D157">
            <v>1.75925</v>
          </cell>
          <cell r="F157">
            <v>100</v>
          </cell>
          <cell r="G157">
            <v>100.72712615500103</v>
          </cell>
          <cell r="I157">
            <v>10.53</v>
          </cell>
        </row>
        <row r="158">
          <cell r="A158">
            <v>40395</v>
          </cell>
          <cell r="B158">
            <v>9.35</v>
          </cell>
          <cell r="C158">
            <v>68411.72</v>
          </cell>
          <cell r="D158">
            <v>1.7563500000000001</v>
          </cell>
          <cell r="F158">
            <v>101.08108108108107</v>
          </cell>
          <cell r="G158">
            <v>100.93326621339067</v>
          </cell>
          <cell r="I158">
            <v>10.55</v>
          </cell>
        </row>
        <row r="159">
          <cell r="A159">
            <v>40396</v>
          </cell>
          <cell r="B159">
            <v>9.35</v>
          </cell>
          <cell r="C159">
            <v>68094.759999999995</v>
          </cell>
          <cell r="D159">
            <v>1.75875</v>
          </cell>
          <cell r="F159">
            <v>101.08108108108107</v>
          </cell>
          <cell r="G159">
            <v>100.46562984846668</v>
          </cell>
          <cell r="I159">
            <v>10.59</v>
          </cell>
        </row>
        <row r="160">
          <cell r="A160">
            <v>40397</v>
          </cell>
          <cell r="B160">
            <v>9.35</v>
          </cell>
          <cell r="C160">
            <v>68094.759999999995</v>
          </cell>
          <cell r="D160">
            <v>1.75875</v>
          </cell>
          <cell r="F160">
            <v>101.08108108108107</v>
          </cell>
          <cell r="G160">
            <v>100.46562984846668</v>
          </cell>
          <cell r="I160">
            <v>10.59</v>
          </cell>
        </row>
        <row r="161">
          <cell r="A161">
            <v>40398</v>
          </cell>
          <cell r="B161">
            <v>9.35</v>
          </cell>
          <cell r="C161">
            <v>68094.759999999995</v>
          </cell>
          <cell r="D161">
            <v>1.75875</v>
          </cell>
          <cell r="F161">
            <v>101.08108108108107</v>
          </cell>
          <cell r="G161">
            <v>100.46562984846668</v>
          </cell>
          <cell r="I161">
            <v>10.59</v>
          </cell>
        </row>
        <row r="162">
          <cell r="A162">
            <v>40399</v>
          </cell>
          <cell r="B162">
            <v>9.35</v>
          </cell>
          <cell r="C162">
            <v>67862.28</v>
          </cell>
          <cell r="D162">
            <v>1.7544999999999999</v>
          </cell>
          <cell r="F162">
            <v>101.08108108108107</v>
          </cell>
          <cell r="G162">
            <v>100.12263356465321</v>
          </cell>
          <cell r="I162">
            <v>10.484999999999999</v>
          </cell>
        </row>
        <row r="163">
          <cell r="A163">
            <v>40400</v>
          </cell>
          <cell r="B163">
            <v>9.4</v>
          </cell>
          <cell r="C163">
            <v>67223.23</v>
          </cell>
          <cell r="D163">
            <v>1.7614000000000001</v>
          </cell>
          <cell r="F163">
            <v>101.62162162162163</v>
          </cell>
          <cell r="G163">
            <v>99.179792136698055</v>
          </cell>
          <cell r="I163">
            <v>10.362500000000001</v>
          </cell>
        </row>
        <row r="164">
          <cell r="A164">
            <v>40401</v>
          </cell>
          <cell r="B164">
            <v>9.4</v>
          </cell>
          <cell r="C164">
            <v>65790.289999999994</v>
          </cell>
          <cell r="D164">
            <v>1.7721</v>
          </cell>
          <cell r="F164">
            <v>101.62162162162163</v>
          </cell>
          <cell r="G164">
            <v>97.065661480608483</v>
          </cell>
          <cell r="I164">
            <v>10.445</v>
          </cell>
        </row>
        <row r="165">
          <cell r="A165">
            <v>40402</v>
          </cell>
          <cell r="B165">
            <v>9.4</v>
          </cell>
          <cell r="C165">
            <v>65966.17</v>
          </cell>
          <cell r="D165">
            <v>1.76925</v>
          </cell>
          <cell r="F165">
            <v>101.62162162162163</v>
          </cell>
          <cell r="G165">
            <v>97.325151270685552</v>
          </cell>
          <cell r="I165">
            <v>10.57</v>
          </cell>
        </row>
        <row r="166">
          <cell r="A166">
            <v>40403</v>
          </cell>
          <cell r="B166">
            <v>9.6</v>
          </cell>
          <cell r="C166">
            <v>66264.429999999993</v>
          </cell>
          <cell r="D166">
            <v>1.7709999999999999</v>
          </cell>
          <cell r="F166">
            <v>103.78378378378379</v>
          </cell>
          <cell r="G166">
            <v>97.76519803432204</v>
          </cell>
          <cell r="I166">
            <v>10.52</v>
          </cell>
        </row>
        <row r="167">
          <cell r="A167">
            <v>40404</v>
          </cell>
          <cell r="B167">
            <v>9.6</v>
          </cell>
          <cell r="C167">
            <v>66264.429999999993</v>
          </cell>
          <cell r="D167">
            <v>1.7709999999999999</v>
          </cell>
          <cell r="F167">
            <v>103.78378378378379</v>
          </cell>
          <cell r="G167">
            <v>97.76519803432204</v>
          </cell>
          <cell r="I167">
            <v>10.52</v>
          </cell>
        </row>
        <row r="168">
          <cell r="A168">
            <v>40405</v>
          </cell>
          <cell r="B168">
            <v>9.6</v>
          </cell>
          <cell r="C168">
            <v>66264.429999999993</v>
          </cell>
          <cell r="D168">
            <v>1.7709999999999999</v>
          </cell>
          <cell r="F168">
            <v>103.78378378378379</v>
          </cell>
          <cell r="G168">
            <v>97.76519803432204</v>
          </cell>
          <cell r="I168">
            <v>10.52</v>
          </cell>
        </row>
        <row r="169">
          <cell r="A169">
            <v>40406</v>
          </cell>
          <cell r="B169">
            <v>9.5</v>
          </cell>
          <cell r="C169">
            <v>66701.89</v>
          </cell>
          <cell r="D169">
            <v>1.76315</v>
          </cell>
          <cell r="F169">
            <v>102.70270270270269</v>
          </cell>
          <cell r="G169">
            <v>98.410617658879218</v>
          </cell>
          <cell r="I169">
            <v>10.34</v>
          </cell>
        </row>
        <row r="170">
          <cell r="A170">
            <v>40407</v>
          </cell>
          <cell r="B170">
            <v>9.6</v>
          </cell>
          <cell r="C170">
            <v>67583.77</v>
          </cell>
          <cell r="D170">
            <v>1.75065</v>
          </cell>
          <cell r="F170">
            <v>103.78378378378379</v>
          </cell>
          <cell r="G170">
            <v>99.711725551039592</v>
          </cell>
          <cell r="I170">
            <v>10.452500000000001</v>
          </cell>
        </row>
        <row r="171">
          <cell r="A171">
            <v>40408</v>
          </cell>
          <cell r="B171">
            <v>9.6</v>
          </cell>
          <cell r="C171">
            <v>67638.38</v>
          </cell>
          <cell r="D171">
            <v>1.7533000000000001</v>
          </cell>
          <cell r="F171">
            <v>103.78378378378379</v>
          </cell>
          <cell r="G171">
            <v>99.792296039077499</v>
          </cell>
          <cell r="I171">
            <v>10.352499999999999</v>
          </cell>
        </row>
        <row r="172">
          <cell r="A172">
            <v>40409</v>
          </cell>
          <cell r="B172">
            <v>9.75</v>
          </cell>
          <cell r="C172">
            <v>66887.13</v>
          </cell>
          <cell r="D172">
            <v>1.76325</v>
          </cell>
          <cell r="F172">
            <v>105.40540540540539</v>
          </cell>
          <cell r="G172">
            <v>98.683917003397497</v>
          </cell>
          <cell r="I172">
            <v>10.1675</v>
          </cell>
        </row>
        <row r="173">
          <cell r="A173">
            <v>40410</v>
          </cell>
          <cell r="B173">
            <v>9.75</v>
          </cell>
          <cell r="C173">
            <v>66677.16</v>
          </cell>
          <cell r="D173">
            <v>1.764</v>
          </cell>
          <cell r="F173">
            <v>105.40540540540539</v>
          </cell>
          <cell r="G173">
            <v>98.374131517711334</v>
          </cell>
          <cell r="I173">
            <v>10.092499999999999</v>
          </cell>
        </row>
        <row r="174">
          <cell r="A174">
            <v>40411</v>
          </cell>
          <cell r="B174">
            <v>9.75</v>
          </cell>
          <cell r="C174">
            <v>66677.16</v>
          </cell>
          <cell r="D174">
            <v>1.764</v>
          </cell>
          <cell r="F174">
            <v>105.40540540540539</v>
          </cell>
          <cell r="G174">
            <v>98.374131517711334</v>
          </cell>
          <cell r="I174">
            <v>10.092499999999999</v>
          </cell>
        </row>
        <row r="175">
          <cell r="A175">
            <v>40412</v>
          </cell>
          <cell r="B175">
            <v>9.75</v>
          </cell>
          <cell r="C175">
            <v>66677.16</v>
          </cell>
          <cell r="D175">
            <v>1.764</v>
          </cell>
          <cell r="F175">
            <v>105.40540540540539</v>
          </cell>
          <cell r="G175">
            <v>98.374131517711334</v>
          </cell>
          <cell r="I175">
            <v>10.092499999999999</v>
          </cell>
        </row>
        <row r="176">
          <cell r="A176">
            <v>40413</v>
          </cell>
          <cell r="B176">
            <v>9.7200000000000006</v>
          </cell>
          <cell r="C176">
            <v>65981.86</v>
          </cell>
          <cell r="D176">
            <v>1.7623</v>
          </cell>
          <cell r="F176">
            <v>105.08108108108109</v>
          </cell>
          <cell r="G176">
            <v>97.348299978931578</v>
          </cell>
          <cell r="I176">
            <v>10.07</v>
          </cell>
        </row>
        <row r="177">
          <cell r="A177">
            <v>40414</v>
          </cell>
          <cell r="B177">
            <v>9.7200000000000006</v>
          </cell>
          <cell r="C177">
            <v>65156.36</v>
          </cell>
          <cell r="D177">
            <v>1.768</v>
          </cell>
          <cell r="F177">
            <v>105.08108108108109</v>
          </cell>
          <cell r="G177">
            <v>96.130373996963073</v>
          </cell>
          <cell r="I177">
            <v>9.9949999999999992</v>
          </cell>
        </row>
        <row r="178">
          <cell r="A178">
            <v>40415</v>
          </cell>
          <cell r="B178">
            <v>9.65</v>
          </cell>
          <cell r="C178">
            <v>64803.43</v>
          </cell>
          <cell r="D178">
            <v>1.7704</v>
          </cell>
          <cell r="F178">
            <v>104.32432432432432</v>
          </cell>
          <cell r="G178">
            <v>95.609668222503785</v>
          </cell>
          <cell r="I178">
            <v>10</v>
          </cell>
        </row>
        <row r="179">
          <cell r="A179">
            <v>40416</v>
          </cell>
          <cell r="B179">
            <v>9.6</v>
          </cell>
          <cell r="C179">
            <v>63867.48</v>
          </cell>
          <cell r="D179">
            <v>1.7578</v>
          </cell>
          <cell r="F179">
            <v>103.78378378378379</v>
          </cell>
          <cell r="G179">
            <v>94.228786547369424</v>
          </cell>
          <cell r="I179">
            <v>10.130000000000001</v>
          </cell>
        </row>
        <row r="180">
          <cell r="A180">
            <v>40417</v>
          </cell>
          <cell r="B180">
            <v>9.6999999999999993</v>
          </cell>
          <cell r="C180">
            <v>65585.14</v>
          </cell>
          <cell r="D180">
            <v>1.75265</v>
          </cell>
          <cell r="F180">
            <v>104.86486486486486</v>
          </cell>
          <cell r="G180">
            <v>96.762987325307662</v>
          </cell>
          <cell r="I180">
            <v>10.220000000000001</v>
          </cell>
        </row>
        <row r="181">
          <cell r="A181">
            <v>40418</v>
          </cell>
          <cell r="B181">
            <v>9.6999999999999993</v>
          </cell>
          <cell r="C181">
            <v>65585.14</v>
          </cell>
          <cell r="D181">
            <v>1.75265</v>
          </cell>
          <cell r="F181">
            <v>104.86486486486486</v>
          </cell>
          <cell r="G181">
            <v>96.762987325307662</v>
          </cell>
          <cell r="I181">
            <v>10.220000000000001</v>
          </cell>
        </row>
        <row r="182">
          <cell r="A182">
            <v>40419</v>
          </cell>
          <cell r="B182">
            <v>9.6999999999999993</v>
          </cell>
          <cell r="C182">
            <v>65585.14</v>
          </cell>
          <cell r="D182">
            <v>1.75265</v>
          </cell>
          <cell r="F182">
            <v>104.86486486486486</v>
          </cell>
          <cell r="G182">
            <v>96.762987325307662</v>
          </cell>
          <cell r="I182">
            <v>10.220000000000001</v>
          </cell>
        </row>
        <row r="183">
          <cell r="A183">
            <v>40420</v>
          </cell>
          <cell r="B183">
            <v>9.8000000000000007</v>
          </cell>
          <cell r="C183">
            <v>64260.79</v>
          </cell>
          <cell r="D183">
            <v>1.7556</v>
          </cell>
          <cell r="F183">
            <v>105.94594594594595</v>
          </cell>
          <cell r="G183">
            <v>94.809068156052675</v>
          </cell>
          <cell r="I183">
            <v>10.18</v>
          </cell>
        </row>
        <row r="184">
          <cell r="A184">
            <v>40421</v>
          </cell>
          <cell r="B184">
            <v>9.8000000000000007</v>
          </cell>
          <cell r="C184">
            <v>65145.45</v>
          </cell>
          <cell r="D184">
            <v>1.7539499999999999</v>
          </cell>
          <cell r="F184">
            <v>105.94594594594595</v>
          </cell>
          <cell r="G184">
            <v>96.114277603912456</v>
          </cell>
          <cell r="I184">
            <v>10.08</v>
          </cell>
        </row>
        <row r="185">
          <cell r="A185">
            <v>40422</v>
          </cell>
          <cell r="B185">
            <v>9.8000000000000007</v>
          </cell>
          <cell r="C185">
            <v>67072.53</v>
          </cell>
          <cell r="D185">
            <v>1.7400500000000001</v>
          </cell>
          <cell r="F185">
            <v>105.94594594594595</v>
          </cell>
          <cell r="G185">
            <v>98.957452408675465</v>
          </cell>
          <cell r="I185">
            <v>10.045</v>
          </cell>
        </row>
        <row r="186">
          <cell r="A186">
            <v>40423</v>
          </cell>
          <cell r="B186">
            <v>9.5</v>
          </cell>
          <cell r="C186">
            <v>66808.08</v>
          </cell>
          <cell r="D186">
            <v>1.7364999999999999</v>
          </cell>
          <cell r="F186">
            <v>102.70270270270269</v>
          </cell>
          <cell r="G186">
            <v>98.567288234318625</v>
          </cell>
          <cell r="I186">
            <v>10.074999999999999</v>
          </cell>
        </row>
        <row r="187">
          <cell r="A187">
            <v>40424</v>
          </cell>
          <cell r="B187">
            <v>9.5</v>
          </cell>
          <cell r="C187">
            <v>66678.62</v>
          </cell>
          <cell r="D187">
            <v>1.72525</v>
          </cell>
          <cell r="F187">
            <v>102.70270270270269</v>
          </cell>
          <cell r="G187">
            <v>98.376285572143402</v>
          </cell>
          <cell r="I187">
            <v>10.297499999999999</v>
          </cell>
        </row>
        <row r="188">
          <cell r="A188">
            <v>40425</v>
          </cell>
          <cell r="B188">
            <v>9.5</v>
          </cell>
          <cell r="C188">
            <v>66678.62</v>
          </cell>
          <cell r="D188">
            <v>1.72525</v>
          </cell>
          <cell r="F188">
            <v>102.70270270270269</v>
          </cell>
          <cell r="G188">
            <v>98.376285572143402</v>
          </cell>
          <cell r="I188">
            <v>10.297499999999999</v>
          </cell>
        </row>
        <row r="189">
          <cell r="A189">
            <v>40426</v>
          </cell>
          <cell r="B189">
            <v>9.5</v>
          </cell>
          <cell r="C189">
            <v>66678.62</v>
          </cell>
          <cell r="D189">
            <v>1.72525</v>
          </cell>
          <cell r="F189">
            <v>102.70270270270269</v>
          </cell>
          <cell r="G189">
            <v>98.376285572143402</v>
          </cell>
          <cell r="I189">
            <v>10.297499999999999</v>
          </cell>
        </row>
        <row r="190">
          <cell r="A190">
            <v>40427</v>
          </cell>
          <cell r="B190">
            <v>9.5</v>
          </cell>
          <cell r="C190">
            <v>66678.62</v>
          </cell>
          <cell r="D190">
            <v>1.72525</v>
          </cell>
          <cell r="F190">
            <v>102.70270270270269</v>
          </cell>
          <cell r="G190">
            <v>98.376285572143402</v>
          </cell>
          <cell r="I190">
            <v>10.297499999999999</v>
          </cell>
        </row>
        <row r="191">
          <cell r="A191">
            <v>40428</v>
          </cell>
          <cell r="B191">
            <v>9.5</v>
          </cell>
          <cell r="C191">
            <v>66747.3</v>
          </cell>
          <cell r="D191">
            <v>1.72695</v>
          </cell>
          <cell r="F191">
            <v>102.70270270270269</v>
          </cell>
          <cell r="G191">
            <v>98.477614653235591</v>
          </cell>
          <cell r="I191">
            <v>10.4375</v>
          </cell>
        </row>
        <row r="192">
          <cell r="A192">
            <v>40429</v>
          </cell>
          <cell r="B192">
            <v>9.8000000000000007</v>
          </cell>
          <cell r="C192">
            <v>66407.28</v>
          </cell>
          <cell r="D192">
            <v>1.7230000000000001</v>
          </cell>
          <cell r="F192">
            <v>105.94594594594595</v>
          </cell>
          <cell r="G192">
            <v>97.975956031322895</v>
          </cell>
          <cell r="I192">
            <v>10.4125</v>
          </cell>
        </row>
        <row r="193">
          <cell r="A193">
            <v>40430</v>
          </cell>
          <cell r="B193">
            <v>9.4</v>
          </cell>
          <cell r="C193">
            <v>66624.100000000006</v>
          </cell>
          <cell r="D193">
            <v>1.722</v>
          </cell>
          <cell r="F193">
            <v>101.62162162162163</v>
          </cell>
          <cell r="G193">
            <v>98.29584786828282</v>
          </cell>
          <cell r="I193">
            <v>10.3775</v>
          </cell>
        </row>
        <row r="194">
          <cell r="A194">
            <v>40431</v>
          </cell>
          <cell r="B194">
            <v>9.74</v>
          </cell>
          <cell r="C194">
            <v>66806.789999999994</v>
          </cell>
          <cell r="D194">
            <v>1.7174</v>
          </cell>
          <cell r="F194">
            <v>105.29729729729731</v>
          </cell>
          <cell r="G194">
            <v>98.565384994443704</v>
          </cell>
          <cell r="I194">
            <v>10.234999999999999</v>
          </cell>
        </row>
        <row r="195">
          <cell r="A195">
            <v>40432</v>
          </cell>
          <cell r="B195">
            <v>9.74</v>
          </cell>
          <cell r="C195">
            <v>66806.789999999994</v>
          </cell>
          <cell r="D195">
            <v>1.7174</v>
          </cell>
          <cell r="F195">
            <v>105.29729729729731</v>
          </cell>
          <cell r="G195">
            <v>98.565384994443704</v>
          </cell>
          <cell r="I195">
            <v>10.234999999999999</v>
          </cell>
        </row>
        <row r="196">
          <cell r="A196">
            <v>40433</v>
          </cell>
          <cell r="B196">
            <v>9.74</v>
          </cell>
          <cell r="C196">
            <v>66806.789999999994</v>
          </cell>
          <cell r="D196">
            <v>1.7174</v>
          </cell>
          <cell r="F196">
            <v>105.29729729729731</v>
          </cell>
          <cell r="G196">
            <v>98.565384994443704</v>
          </cell>
          <cell r="I196">
            <v>10.234999999999999</v>
          </cell>
        </row>
        <row r="197">
          <cell r="A197">
            <v>40434</v>
          </cell>
          <cell r="B197">
            <v>9.65</v>
          </cell>
          <cell r="C197">
            <v>68030.58</v>
          </cell>
          <cell r="D197">
            <v>1.7152000000000001</v>
          </cell>
          <cell r="F197">
            <v>104.32432432432432</v>
          </cell>
          <cell r="G197">
            <v>100.37093997624049</v>
          </cell>
          <cell r="I197">
            <v>10.2525</v>
          </cell>
        </row>
        <row r="198">
          <cell r="A198">
            <v>40435</v>
          </cell>
          <cell r="B198">
            <v>9.3000000000000007</v>
          </cell>
          <cell r="C198">
            <v>67691.850000000006</v>
          </cell>
          <cell r="D198">
            <v>1.70675</v>
          </cell>
          <cell r="F198">
            <v>100.54054054054056</v>
          </cell>
          <cell r="G198">
            <v>99.871184594202703</v>
          </cell>
          <cell r="I198">
            <v>10.25</v>
          </cell>
        </row>
        <row r="199">
          <cell r="A199">
            <v>40436</v>
          </cell>
          <cell r="B199">
            <v>9.3000000000000007</v>
          </cell>
          <cell r="C199">
            <v>68106.850000000006</v>
          </cell>
          <cell r="D199">
            <v>1.7116</v>
          </cell>
          <cell r="F199">
            <v>100.54054054054056</v>
          </cell>
          <cell r="G199">
            <v>100.48346718961993</v>
          </cell>
          <cell r="I199">
            <v>10.425000000000001</v>
          </cell>
        </row>
        <row r="200">
          <cell r="A200">
            <v>40437</v>
          </cell>
          <cell r="B200">
            <v>9.74</v>
          </cell>
          <cell r="C200">
            <v>67662.990000000005</v>
          </cell>
          <cell r="D200">
            <v>1.71715</v>
          </cell>
          <cell r="F200">
            <v>105.29729729729731</v>
          </cell>
          <cell r="G200">
            <v>99.828605134675612</v>
          </cell>
          <cell r="I200">
            <v>10.362500000000001</v>
          </cell>
        </row>
        <row r="201">
          <cell r="A201">
            <v>40438</v>
          </cell>
          <cell r="B201">
            <v>9.49</v>
          </cell>
          <cell r="C201">
            <v>67089.119999999995</v>
          </cell>
          <cell r="D201">
            <v>1.7159</v>
          </cell>
          <cell r="F201">
            <v>102.5945945945946</v>
          </cell>
          <cell r="G201">
            <v>98.981928958694667</v>
          </cell>
          <cell r="I201">
            <v>10.69</v>
          </cell>
        </row>
        <row r="202">
          <cell r="A202">
            <v>40439</v>
          </cell>
          <cell r="B202">
            <v>9.49</v>
          </cell>
          <cell r="C202">
            <v>67089.119999999995</v>
          </cell>
          <cell r="D202">
            <v>1.7159</v>
          </cell>
          <cell r="F202">
            <v>102.5945945945946</v>
          </cell>
          <cell r="G202">
            <v>98.981928958694667</v>
          </cell>
          <cell r="I202">
            <v>10.69</v>
          </cell>
        </row>
        <row r="203">
          <cell r="A203">
            <v>40440</v>
          </cell>
          <cell r="B203">
            <v>9.49</v>
          </cell>
          <cell r="C203">
            <v>67089.119999999995</v>
          </cell>
          <cell r="D203">
            <v>1.7159</v>
          </cell>
          <cell r="F203">
            <v>102.5945945945946</v>
          </cell>
          <cell r="G203">
            <v>98.981928958694667</v>
          </cell>
          <cell r="I203">
            <v>10.69</v>
          </cell>
        </row>
        <row r="204">
          <cell r="A204">
            <v>40441</v>
          </cell>
          <cell r="B204">
            <v>9.5</v>
          </cell>
          <cell r="C204">
            <v>68190.460000000006</v>
          </cell>
          <cell r="D204">
            <v>1.7173</v>
          </cell>
          <cell r="F204">
            <v>102.70270270270269</v>
          </cell>
          <cell r="G204">
            <v>100.60682369034966</v>
          </cell>
          <cell r="I204">
            <v>10.845000000000001</v>
          </cell>
        </row>
        <row r="205">
          <cell r="A205">
            <v>40442</v>
          </cell>
          <cell r="B205">
            <v>9.5</v>
          </cell>
          <cell r="C205">
            <v>67719.13</v>
          </cell>
          <cell r="D205">
            <v>1.7299</v>
          </cell>
          <cell r="F205">
            <v>102.70270270270269</v>
          </cell>
          <cell r="G205">
            <v>99.911432953727967</v>
          </cell>
          <cell r="I205">
            <v>10.8</v>
          </cell>
        </row>
        <row r="206">
          <cell r="A206">
            <v>40443</v>
          </cell>
          <cell r="B206">
            <v>9.5</v>
          </cell>
          <cell r="C206">
            <v>68325.179999999993</v>
          </cell>
          <cell r="D206">
            <v>1.7190000000000001</v>
          </cell>
          <cell r="F206">
            <v>102.70270270270269</v>
          </cell>
          <cell r="G206">
            <v>100.8055868499993</v>
          </cell>
          <cell r="I206">
            <v>10.885</v>
          </cell>
        </row>
        <row r="207">
          <cell r="A207">
            <v>40444</v>
          </cell>
          <cell r="B207">
            <v>9.6</v>
          </cell>
          <cell r="C207">
            <v>68794.320000000007</v>
          </cell>
          <cell r="D207">
            <v>1.7211000000000001</v>
          </cell>
          <cell r="F207">
            <v>103.78378378378379</v>
          </cell>
          <cell r="G207">
            <v>101.49774650497292</v>
          </cell>
          <cell r="I207">
            <v>10.935</v>
          </cell>
        </row>
        <row r="208">
          <cell r="A208">
            <v>40445</v>
          </cell>
          <cell r="B208">
            <v>9.77</v>
          </cell>
          <cell r="C208">
            <v>68196.479999999996</v>
          </cell>
          <cell r="D208">
            <v>1.7124999999999999</v>
          </cell>
          <cell r="F208">
            <v>105.62162162162161</v>
          </cell>
          <cell r="G208">
            <v>100.61570547643257</v>
          </cell>
          <cell r="I208">
            <v>11.26</v>
          </cell>
        </row>
        <row r="209">
          <cell r="A209">
            <v>40446</v>
          </cell>
          <cell r="B209">
            <v>9.77</v>
          </cell>
          <cell r="C209">
            <v>68196.479999999996</v>
          </cell>
          <cell r="D209">
            <v>1.7124999999999999</v>
          </cell>
          <cell r="F209">
            <v>105.62162162162161</v>
          </cell>
          <cell r="G209">
            <v>100.61570547643257</v>
          </cell>
          <cell r="I209">
            <v>11.26</v>
          </cell>
        </row>
        <row r="210">
          <cell r="A210">
            <v>40447</v>
          </cell>
          <cell r="B210">
            <v>9.77</v>
          </cell>
          <cell r="C210">
            <v>68196.479999999996</v>
          </cell>
          <cell r="D210">
            <v>1.7124999999999999</v>
          </cell>
          <cell r="F210">
            <v>105.62162162162161</v>
          </cell>
          <cell r="G210">
            <v>100.61570547643257</v>
          </cell>
          <cell r="I210">
            <v>11.26</v>
          </cell>
        </row>
        <row r="211">
          <cell r="A211">
            <v>40448</v>
          </cell>
          <cell r="B211">
            <v>9.77</v>
          </cell>
          <cell r="C211">
            <v>68815.97</v>
          </cell>
          <cell r="D211">
            <v>1.7117500000000001</v>
          </cell>
          <cell r="F211">
            <v>105.62162162162161</v>
          </cell>
          <cell r="G211">
            <v>101.52968847651698</v>
          </cell>
          <cell r="I211">
            <v>11.285</v>
          </cell>
        </row>
        <row r="212">
          <cell r="A212">
            <v>40449</v>
          </cell>
          <cell r="B212">
            <v>9.8000000000000007</v>
          </cell>
          <cell r="C212">
            <v>69227.63</v>
          </cell>
          <cell r="D212">
            <v>1.7088000000000001</v>
          </cell>
          <cell r="F212">
            <v>105.94594594594595</v>
          </cell>
          <cell r="G212">
            <v>102.13704330357591</v>
          </cell>
          <cell r="I212">
            <v>11.1</v>
          </cell>
        </row>
        <row r="213">
          <cell r="A213">
            <v>40450</v>
          </cell>
          <cell r="B213">
            <v>9.8000000000000007</v>
          </cell>
          <cell r="C213">
            <v>69228.240000000005</v>
          </cell>
          <cell r="D213">
            <v>1.7072499999999999</v>
          </cell>
          <cell r="F213">
            <v>105.94594594594595</v>
          </cell>
          <cell r="G213">
            <v>102.13794328522219</v>
          </cell>
          <cell r="I213">
            <v>10.99</v>
          </cell>
        </row>
        <row r="214">
          <cell r="A214">
            <v>40451</v>
          </cell>
          <cell r="B214">
            <v>9.85</v>
          </cell>
          <cell r="C214">
            <v>69429.78</v>
          </cell>
          <cell r="D214">
            <v>1.6941999999999999</v>
          </cell>
          <cell r="F214">
            <v>106.48648648648648</v>
          </cell>
          <cell r="G214">
            <v>102.43529131963275</v>
          </cell>
          <cell r="I214">
            <v>11.067500000000001</v>
          </cell>
        </row>
        <row r="215">
          <cell r="A215">
            <v>40452</v>
          </cell>
          <cell r="B215">
            <v>9.85</v>
          </cell>
          <cell r="C215">
            <v>70229.350000000006</v>
          </cell>
          <cell r="D215">
            <v>1.6854</v>
          </cell>
          <cell r="F215">
            <v>106.48648648648648</v>
          </cell>
          <cell r="G215">
            <v>103.61496070473579</v>
          </cell>
          <cell r="I215">
            <v>10.57</v>
          </cell>
        </row>
        <row r="216">
          <cell r="A216">
            <v>40453</v>
          </cell>
          <cell r="B216">
            <v>9.85</v>
          </cell>
          <cell r="C216">
            <v>70229.350000000006</v>
          </cell>
          <cell r="D216">
            <v>1.6854</v>
          </cell>
          <cell r="F216">
            <v>106.48648648648648</v>
          </cell>
          <cell r="G216">
            <v>103.61496070473579</v>
          </cell>
          <cell r="I216">
            <v>10.57</v>
          </cell>
        </row>
        <row r="217">
          <cell r="A217">
            <v>40454</v>
          </cell>
          <cell r="B217">
            <v>9.85</v>
          </cell>
          <cell r="C217">
            <v>70229.350000000006</v>
          </cell>
          <cell r="D217">
            <v>1.6854</v>
          </cell>
          <cell r="F217">
            <v>106.48648648648648</v>
          </cell>
          <cell r="G217">
            <v>103.61496070473579</v>
          </cell>
          <cell r="I217">
            <v>10.57</v>
          </cell>
        </row>
        <row r="218">
          <cell r="A218">
            <v>40455</v>
          </cell>
          <cell r="B218">
            <v>9.85</v>
          </cell>
          <cell r="C218">
            <v>70384.92</v>
          </cell>
          <cell r="D218">
            <v>1.6857</v>
          </cell>
          <cell r="F218">
            <v>106.48648648648648</v>
          </cell>
          <cell r="G218">
            <v>103.8444855321311</v>
          </cell>
          <cell r="I218">
            <v>10.54</v>
          </cell>
        </row>
        <row r="219">
          <cell r="A219">
            <v>40456</v>
          </cell>
          <cell r="B219">
            <v>9.85</v>
          </cell>
          <cell r="C219">
            <v>71283.11</v>
          </cell>
          <cell r="D219">
            <v>1.6820999999999999</v>
          </cell>
          <cell r="F219">
            <v>106.48648648648648</v>
          </cell>
          <cell r="G219">
            <v>105.16965686798126</v>
          </cell>
          <cell r="I219">
            <v>10.717499999999999</v>
          </cell>
        </row>
        <row r="220">
          <cell r="A220">
            <v>40457</v>
          </cell>
          <cell r="B220">
            <v>9.8000000000000007</v>
          </cell>
          <cell r="C220">
            <v>70541.37</v>
          </cell>
          <cell r="D220">
            <v>1.6806000000000001</v>
          </cell>
          <cell r="F220">
            <v>105.94594594594595</v>
          </cell>
          <cell r="G220">
            <v>104.07530869370467</v>
          </cell>
          <cell r="I220">
            <v>10.62</v>
          </cell>
        </row>
        <row r="221">
          <cell r="A221">
            <v>40458</v>
          </cell>
          <cell r="B221">
            <v>9.8000000000000007</v>
          </cell>
          <cell r="C221">
            <v>69918.399999999994</v>
          </cell>
          <cell r="D221">
            <v>1.6775500000000001</v>
          </cell>
          <cell r="F221">
            <v>105.94594594594595</v>
          </cell>
          <cell r="G221">
            <v>103.15619137209725</v>
          </cell>
          <cell r="I221">
            <v>10.65</v>
          </cell>
        </row>
        <row r="222">
          <cell r="A222">
            <v>40459</v>
          </cell>
          <cell r="B222">
            <v>10</v>
          </cell>
          <cell r="C222">
            <v>70808.800000000003</v>
          </cell>
          <cell r="D222">
            <v>1.6810499999999999</v>
          </cell>
          <cell r="F222">
            <v>108.10810810810811</v>
          </cell>
          <cell r="G222">
            <v>104.46986949971053</v>
          </cell>
          <cell r="I222">
            <v>11.35</v>
          </cell>
        </row>
        <row r="223">
          <cell r="A223">
            <v>40460</v>
          </cell>
          <cell r="B223">
            <v>10</v>
          </cell>
          <cell r="C223">
            <v>70808.800000000003</v>
          </cell>
          <cell r="D223">
            <v>1.6810499999999999</v>
          </cell>
          <cell r="F223">
            <v>108.10810810810811</v>
          </cell>
          <cell r="G223">
            <v>104.46986949971053</v>
          </cell>
          <cell r="I223">
            <v>11.35</v>
          </cell>
        </row>
        <row r="224">
          <cell r="A224">
            <v>40461</v>
          </cell>
          <cell r="B224">
            <v>10</v>
          </cell>
          <cell r="C224">
            <v>70808.800000000003</v>
          </cell>
          <cell r="D224">
            <v>1.6810499999999999</v>
          </cell>
          <cell r="F224">
            <v>108.10810810810811</v>
          </cell>
          <cell r="G224">
            <v>104.46986949971053</v>
          </cell>
          <cell r="I224">
            <v>11.35</v>
          </cell>
        </row>
        <row r="225">
          <cell r="A225">
            <v>40462</v>
          </cell>
          <cell r="B225">
            <v>10.050000000000001</v>
          </cell>
          <cell r="C225">
            <v>70946.490000000005</v>
          </cell>
          <cell r="D225">
            <v>1.6640999999999999</v>
          </cell>
          <cell r="F225">
            <v>108.64864864864865</v>
          </cell>
          <cell r="G225">
            <v>104.67301453721174</v>
          </cell>
          <cell r="I225">
            <v>11.525</v>
          </cell>
        </row>
        <row r="226">
          <cell r="A226">
            <v>40463</v>
          </cell>
          <cell r="B226">
            <v>10.050000000000001</v>
          </cell>
          <cell r="C226">
            <v>70946.490000000005</v>
          </cell>
          <cell r="D226">
            <v>1.66995</v>
          </cell>
          <cell r="F226">
            <v>108.64864864864865</v>
          </cell>
          <cell r="G226">
            <v>104.67301453721174</v>
          </cell>
          <cell r="I226">
            <v>11.785</v>
          </cell>
        </row>
        <row r="227">
          <cell r="A227">
            <v>40464</v>
          </cell>
          <cell r="B227">
            <v>10.06</v>
          </cell>
          <cell r="C227">
            <v>71674.899999999994</v>
          </cell>
          <cell r="D227">
            <v>1.6567000000000001</v>
          </cell>
          <cell r="F227">
            <v>108.75675675675676</v>
          </cell>
          <cell r="G227">
            <v>105.74769589944755</v>
          </cell>
          <cell r="I227">
            <v>11.765000000000001</v>
          </cell>
        </row>
        <row r="228">
          <cell r="A228">
            <v>40465</v>
          </cell>
          <cell r="B228">
            <v>10.06</v>
          </cell>
          <cell r="C228">
            <v>71692.289999999994</v>
          </cell>
          <cell r="D228">
            <v>1.65615</v>
          </cell>
          <cell r="F228">
            <v>108.75675675675676</v>
          </cell>
          <cell r="G228">
            <v>105.77335275326514</v>
          </cell>
          <cell r="I228">
            <v>11.885</v>
          </cell>
        </row>
        <row r="229">
          <cell r="A229">
            <v>40466</v>
          </cell>
          <cell r="B229">
            <v>10.28</v>
          </cell>
          <cell r="C229">
            <v>71830.179999999993</v>
          </cell>
          <cell r="D229">
            <v>1.66235</v>
          </cell>
          <cell r="F229">
            <v>111.13513513513513</v>
          </cell>
          <cell r="G229">
            <v>105.97679286671595</v>
          </cell>
          <cell r="I229">
            <v>11.85</v>
          </cell>
        </row>
        <row r="230">
          <cell r="A230">
            <v>40467</v>
          </cell>
          <cell r="B230">
            <v>10.28</v>
          </cell>
          <cell r="C230">
            <v>71830.179999999993</v>
          </cell>
          <cell r="D230">
            <v>1.66235</v>
          </cell>
          <cell r="F230">
            <v>111.13513513513513</v>
          </cell>
          <cell r="G230">
            <v>105.97679286671595</v>
          </cell>
          <cell r="I230">
            <v>11.85</v>
          </cell>
        </row>
        <row r="231">
          <cell r="A231">
            <v>40468</v>
          </cell>
          <cell r="B231">
            <v>10.28</v>
          </cell>
          <cell r="C231">
            <v>71830.179999999993</v>
          </cell>
          <cell r="D231">
            <v>1.66235</v>
          </cell>
          <cell r="F231">
            <v>111.13513513513513</v>
          </cell>
          <cell r="G231">
            <v>105.97679286671595</v>
          </cell>
          <cell r="I231">
            <v>11.85</v>
          </cell>
        </row>
        <row r="232">
          <cell r="A232">
            <v>40469</v>
          </cell>
          <cell r="B232">
            <v>10.19</v>
          </cell>
          <cell r="C232">
            <v>71735.53</v>
          </cell>
          <cell r="D232">
            <v>1.6594500000000001</v>
          </cell>
          <cell r="F232">
            <v>110.16216216216215</v>
          </cell>
          <cell r="G232">
            <v>105.83714817356839</v>
          </cell>
          <cell r="I232">
            <v>11.84</v>
          </cell>
        </row>
        <row r="233">
          <cell r="A233">
            <v>40470</v>
          </cell>
          <cell r="B233">
            <v>10.5</v>
          </cell>
          <cell r="C233">
            <v>69863.58</v>
          </cell>
          <cell r="D233">
            <v>1.6898500000000001</v>
          </cell>
          <cell r="F233">
            <v>113.51351351351352</v>
          </cell>
          <cell r="G233">
            <v>103.07531105431227</v>
          </cell>
          <cell r="I233">
            <v>11.8</v>
          </cell>
        </row>
        <row r="234">
          <cell r="A234">
            <v>40471</v>
          </cell>
          <cell r="B234">
            <v>10.199999999999999</v>
          </cell>
          <cell r="C234">
            <v>70404.679999999993</v>
          </cell>
          <cell r="D234">
            <v>1.6756500000000001</v>
          </cell>
          <cell r="F234">
            <v>110.27027027027026</v>
          </cell>
          <cell r="G234">
            <v>103.87363903595144</v>
          </cell>
          <cell r="I234">
            <v>12.12</v>
          </cell>
        </row>
        <row r="235">
          <cell r="A235">
            <v>40472</v>
          </cell>
          <cell r="B235">
            <v>10.3</v>
          </cell>
          <cell r="C235">
            <v>69652.100000000006</v>
          </cell>
          <cell r="D235">
            <v>1.69085</v>
          </cell>
          <cell r="F235">
            <v>111.35135135135137</v>
          </cell>
          <cell r="G235">
            <v>102.76329774520664</v>
          </cell>
          <cell r="I235">
            <v>12.015000000000001</v>
          </cell>
        </row>
        <row r="236">
          <cell r="A236">
            <v>40473</v>
          </cell>
          <cell r="B236">
            <v>10.5</v>
          </cell>
          <cell r="C236">
            <v>69529.73</v>
          </cell>
          <cell r="D236">
            <v>1.69495</v>
          </cell>
          <cell r="F236">
            <v>113.51351351351352</v>
          </cell>
          <cell r="G236">
            <v>102.5827555254447</v>
          </cell>
          <cell r="I236">
            <v>11.994999999999999</v>
          </cell>
        </row>
        <row r="237">
          <cell r="A237">
            <v>40474</v>
          </cell>
          <cell r="B237">
            <v>10.5</v>
          </cell>
          <cell r="C237">
            <v>69529.73</v>
          </cell>
          <cell r="D237">
            <v>1.69495</v>
          </cell>
          <cell r="F237">
            <v>113.51351351351352</v>
          </cell>
          <cell r="G237">
            <v>102.5827555254447</v>
          </cell>
          <cell r="I237">
            <v>11.994999999999999</v>
          </cell>
        </row>
        <row r="238">
          <cell r="A238">
            <v>40475</v>
          </cell>
          <cell r="B238">
            <v>10.5</v>
          </cell>
          <cell r="C238">
            <v>69529.73</v>
          </cell>
          <cell r="D238">
            <v>1.69495</v>
          </cell>
          <cell r="F238">
            <v>113.51351351351352</v>
          </cell>
          <cell r="G238">
            <v>102.5827555254447</v>
          </cell>
          <cell r="I238">
            <v>11.994999999999999</v>
          </cell>
        </row>
        <row r="239">
          <cell r="A239">
            <v>40476</v>
          </cell>
          <cell r="B239">
            <v>10.7</v>
          </cell>
          <cell r="C239">
            <v>69580.28</v>
          </cell>
          <cell r="D239">
            <v>1.7056500000000001</v>
          </cell>
          <cell r="F239">
            <v>115.67567567567568</v>
          </cell>
          <cell r="G239">
            <v>102.65733597170575</v>
          </cell>
          <cell r="I239">
            <v>12.1775</v>
          </cell>
        </row>
        <row r="240">
          <cell r="A240">
            <v>40477</v>
          </cell>
          <cell r="B240">
            <v>10.7</v>
          </cell>
          <cell r="C240">
            <v>70740.39</v>
          </cell>
          <cell r="D240">
            <v>1.70705</v>
          </cell>
          <cell r="F240">
            <v>115.67567567567568</v>
          </cell>
          <cell r="G240">
            <v>104.3689387711503</v>
          </cell>
          <cell r="I240">
            <v>12.19</v>
          </cell>
        </row>
        <row r="241">
          <cell r="A241">
            <v>40478</v>
          </cell>
          <cell r="B241">
            <v>10.75</v>
          </cell>
          <cell r="C241">
            <v>70568.94</v>
          </cell>
          <cell r="D241">
            <v>1.7161500000000001</v>
          </cell>
          <cell r="F241">
            <v>116.21621621621621</v>
          </cell>
          <cell r="G241">
            <v>104.11598491335685</v>
          </cell>
          <cell r="I241">
            <v>12.237500000000001</v>
          </cell>
        </row>
        <row r="242">
          <cell r="A242">
            <v>40479</v>
          </cell>
          <cell r="B242">
            <v>10.5</v>
          </cell>
          <cell r="C242">
            <v>70320.13</v>
          </cell>
          <cell r="D242">
            <v>1.7134</v>
          </cell>
          <cell r="F242">
            <v>113.51351351351352</v>
          </cell>
          <cell r="G242">
            <v>103.74889567825862</v>
          </cell>
          <cell r="I242">
            <v>12.25</v>
          </cell>
        </row>
        <row r="243">
          <cell r="A243">
            <v>40480</v>
          </cell>
          <cell r="B243">
            <v>10.01</v>
          </cell>
          <cell r="C243">
            <v>70673.3</v>
          </cell>
          <cell r="D243">
            <v>1.69665</v>
          </cell>
          <cell r="F243">
            <v>108.21621621621622</v>
          </cell>
          <cell r="G243">
            <v>104.26995554385744</v>
          </cell>
          <cell r="I243">
            <v>12.26</v>
          </cell>
        </row>
        <row r="244">
          <cell r="A244">
            <v>40481</v>
          </cell>
          <cell r="B244">
            <v>10.01</v>
          </cell>
          <cell r="C244">
            <v>70673.3</v>
          </cell>
          <cell r="D244">
            <v>1.69665</v>
          </cell>
          <cell r="F244">
            <v>108.21621621621622</v>
          </cell>
          <cell r="G244">
            <v>104.26995554385744</v>
          </cell>
          <cell r="I244">
            <v>12.26</v>
          </cell>
        </row>
        <row r="245">
          <cell r="A245">
            <v>40482</v>
          </cell>
          <cell r="B245">
            <v>10.01</v>
          </cell>
          <cell r="C245">
            <v>70673.3</v>
          </cell>
          <cell r="D245">
            <v>1.69665</v>
          </cell>
          <cell r="F245">
            <v>108.21621621621622</v>
          </cell>
          <cell r="G245">
            <v>104.26995554385744</v>
          </cell>
          <cell r="I245">
            <v>12.26</v>
          </cell>
        </row>
        <row r="246">
          <cell r="A246">
            <v>40483</v>
          </cell>
          <cell r="B246">
            <v>10.01</v>
          </cell>
          <cell r="C246">
            <v>71560.929999999993</v>
          </cell>
          <cell r="D246">
            <v>1.7047000000000001</v>
          </cell>
          <cell r="F246">
            <v>108.21621621621622</v>
          </cell>
          <cell r="G246">
            <v>105.57954686956874</v>
          </cell>
          <cell r="I246">
            <v>12.2525</v>
          </cell>
        </row>
        <row r="247">
          <cell r="A247">
            <v>40484</v>
          </cell>
          <cell r="B247">
            <v>10.01</v>
          </cell>
          <cell r="C247">
            <v>71560.929999999993</v>
          </cell>
          <cell r="D247">
            <v>1.7038</v>
          </cell>
          <cell r="F247">
            <v>108.21621621621622</v>
          </cell>
          <cell r="G247">
            <v>105.57954686956874</v>
          </cell>
          <cell r="I247">
            <v>12.237500000000001</v>
          </cell>
        </row>
        <row r="248">
          <cell r="A248">
            <v>40485</v>
          </cell>
          <cell r="B248">
            <v>10.35</v>
          </cell>
          <cell r="C248">
            <v>71904.77</v>
          </cell>
          <cell r="D248">
            <v>1.6991499999999999</v>
          </cell>
          <cell r="F248">
            <v>111.89189189189189</v>
          </cell>
          <cell r="G248">
            <v>106.0868414421188</v>
          </cell>
          <cell r="I248">
            <v>12.275</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VER SHEET"/>
      <sheetName val="__FDSCACHE__"/>
      <sheetName val="IS-ANNUAL"/>
      <sheetName val="IS-QTRLY"/>
      <sheetName val="REV-ANNUAL"/>
      <sheetName val="REV-QTRLY"/>
      <sheetName val="FOOTNOTES"/>
      <sheetName val="PIPELINE"/>
      <sheetName val="PIPELINE_UNADJ"/>
      <sheetName val="MGMT PROJECTIONS"/>
      <sheetName val="AF_MKT_MODEL"/>
      <sheetName val="APIXABAN"/>
      <sheetName val="PREVNAR 13 ADULT"/>
      <sheetName val="CFBS"/>
      <sheetName val="DCF"/>
      <sheetName val="DEBT"/>
      <sheetName val="AGREEMENTS"/>
      <sheetName val="PREVNAR 13 ADULT (2)"/>
      <sheetName val="Var-YOY"/>
      <sheetName val="Var-Seq"/>
      <sheetName val="calendar"/>
      <sheetName val="launches"/>
      <sheetName val="patents"/>
      <sheetName val="patent expirations"/>
      <sheetName val="pipeline-handout"/>
      <sheetName val="sotp1"/>
      <sheetName val="sotp2"/>
      <sheetName val="sotp3"/>
      <sheetName val="Product Mix"/>
      <sheetName val="REV-ANNUAL_old"/>
      <sheetName val="REV-ANNUAL New"/>
      <sheetName val="ebitda"/>
      <sheetName val="cost saving"/>
      <sheetName val="consensus"/>
      <sheetName val="2010-15 Growth"/>
      <sheetName val="revenue snapshot"/>
      <sheetName val="Vaccination rates"/>
      <sheetName val="Vaccination rates (2)"/>
      <sheetName val="cost savings"/>
      <sheetName val="rev contribution analysis"/>
      <sheetName val="rev change analysis"/>
      <sheetName val="2015 rev change"/>
      <sheetName val="MW-Cache"/>
      <sheetName val="mwareDates"/>
      <sheetName val="MWA RR"/>
      <sheetName val="MW Valuation"/>
      <sheetName val="mwareSettings"/>
      <sheetName val="king synergy"/>
      <sheetName val="2010 guidance"/>
      <sheetName val="breakup value"/>
      <sheetName val="#REF"/>
      <sheetName val="Variation"/>
      <sheetName val="Seq Variation"/>
      <sheetName val="REV-ANNUAL (2)"/>
      <sheetName val="FCF vs Guidance"/>
      <sheetName val="Gaap Adj"/>
      <sheetName val="ANOMALIES"/>
      <sheetName val="ASSUMPTIONS"/>
      <sheetName val="WYE_MERGER"/>
      <sheetName val="mgmt guidance"/>
      <sheetName val="CDK4_6_MKT_MODEL"/>
      <sheetName val="ELIQUIS_ALLIANCE"/>
      <sheetName val="REV-SEGMENT"/>
      <sheetName val="UPD from master_PALBO MKT MODEL"/>
      <sheetName val="modified revs"/>
      <sheetName val="SEGMENTS"/>
      <sheetName val="Other biopharma+animal"/>
      <sheetName val="sotp"/>
      <sheetName val="Var-YOYold"/>
      <sheetName val="Var-Seqold"/>
      <sheetName val="Var-YOY (2)"/>
      <sheetName val="Var-Seq (2)"/>
      <sheetName val="Actemra sales"/>
      <sheetName val="Var-YOY_old"/>
      <sheetName val="Var-Seq_old"/>
      <sheetName val="TR Convert"/>
      <sheetName val="Var-YOY ex-animal health"/>
      <sheetName val="Var-Seq ex-animal health"/>
      <sheetName val="PALBO MKT MODEL"/>
      <sheetName val="REV-ANNUAL_new"/>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C6">
            <v>-8.9761056293229169E-2</v>
          </cell>
        </row>
      </sheetData>
      <sheetData sheetId="21"/>
      <sheetData sheetId="22"/>
      <sheetData sheetId="23"/>
      <sheetData sheetId="24"/>
      <sheetData sheetId="25"/>
      <sheetData sheetId="26" refreshError="1">
        <row r="1">
          <cell r="E1" t="str">
            <v>2015E Sales ($M)</v>
          </cell>
        </row>
        <row r="2">
          <cell r="A2" t="str">
            <v>News Timeline</v>
          </cell>
          <cell r="B2" t="str">
            <v xml:space="preserve">Product </v>
          </cell>
          <cell r="C2" t="str">
            <v>Initial phase III indication</v>
          </cell>
          <cell r="D2" t="str">
            <v>Launch probability</v>
          </cell>
          <cell r="E2" t="str">
            <v>Unadjusted</v>
          </cell>
          <cell r="F2" t="str">
            <v xml:space="preserve">Adjusted </v>
          </cell>
        </row>
        <row r="3">
          <cell r="A3" t="str">
            <v>1Q:11</v>
          </cell>
          <cell r="B3" t="str">
            <v xml:space="preserve">Xiaflex </v>
          </cell>
          <cell r="C3" t="str">
            <v>Dupuytren's contracture</v>
          </cell>
          <cell r="D3">
            <v>0.75</v>
          </cell>
          <cell r="E3">
            <v>271.6875</v>
          </cell>
          <cell r="F3">
            <v>203.765625</v>
          </cell>
          <cell r="G3" t="str">
            <v xml:space="preserve">Adjusted </v>
          </cell>
        </row>
        <row r="4">
          <cell r="A4" t="str">
            <v>2Q:11</v>
          </cell>
          <cell r="B4" t="str">
            <v>Apixaban†</v>
          </cell>
          <cell r="C4" t="str">
            <v>Atrial fibrillation</v>
          </cell>
          <cell r="D4" t="str">
            <v>50%(VTE) / 60% (AF/ACS)</v>
          </cell>
          <cell r="E4">
            <v>1142.5</v>
          </cell>
          <cell r="F4">
            <v>895.25</v>
          </cell>
        </row>
        <row r="5">
          <cell r="A5" t="str">
            <v>mid '11</v>
          </cell>
          <cell r="B5" t="str">
            <v>Tasocitinib (JAK)</v>
          </cell>
          <cell r="C5" t="str">
            <v xml:space="preserve">Rheumatoid arthritis </v>
          </cell>
          <cell r="D5">
            <v>0.5</v>
          </cell>
          <cell r="E5">
            <v>1950</v>
          </cell>
          <cell r="F5">
            <v>975</v>
          </cell>
          <cell r="G5">
            <v>135.84375</v>
          </cell>
        </row>
        <row r="6">
          <cell r="A6" t="str">
            <v>Late '11</v>
          </cell>
          <cell r="B6" t="str">
            <v>Prevnar-13 for adults</v>
          </cell>
          <cell r="C6" t="str">
            <v>Pneumococcal vaccine</v>
          </cell>
          <cell r="D6">
            <v>0.85</v>
          </cell>
          <cell r="E6">
            <v>1553.3228598895296</v>
          </cell>
          <cell r="F6">
            <v>1320.3244309061001</v>
          </cell>
          <cell r="G6">
            <v>895.25</v>
          </cell>
        </row>
        <row r="7">
          <cell r="A7" t="str">
            <v>late '11</v>
          </cell>
          <cell r="B7" t="str">
            <v>Crizotinib (PF-2341066)</v>
          </cell>
          <cell r="C7" t="str">
            <v>NSCLC</v>
          </cell>
          <cell r="D7">
            <v>0.75</v>
          </cell>
          <cell r="E7">
            <v>348.75</v>
          </cell>
          <cell r="F7">
            <v>261.5625</v>
          </cell>
          <cell r="G7">
            <v>2057.859375</v>
          </cell>
        </row>
        <row r="8">
          <cell r="A8" t="str">
            <v>late '11</v>
          </cell>
          <cell r="B8" t="str">
            <v>Inotuzumab (CD22 mAb)</v>
          </cell>
          <cell r="C8" t="str">
            <v>Cancer</v>
          </cell>
          <cell r="D8">
            <v>0.15</v>
          </cell>
          <cell r="E8">
            <v>141.25</v>
          </cell>
          <cell r="F8">
            <v>21.1875</v>
          </cell>
          <cell r="G8">
            <v>1397.9905739005767</v>
          </cell>
        </row>
        <row r="9">
          <cell r="A9">
            <v>2011</v>
          </cell>
          <cell r="B9" t="str">
            <v>PF-5,230,895 (SBI-087)</v>
          </cell>
          <cell r="C9" t="str">
            <v>Rheumatoid arthritis</v>
          </cell>
          <cell r="D9">
            <v>0.1</v>
          </cell>
          <cell r="E9">
            <v>220</v>
          </cell>
          <cell r="F9">
            <v>22</v>
          </cell>
          <cell r="G9">
            <v>313.875</v>
          </cell>
        </row>
        <row r="10">
          <cell r="A10">
            <v>2011</v>
          </cell>
          <cell r="B10" t="str">
            <v>Neratinib</v>
          </cell>
          <cell r="C10" t="str">
            <v xml:space="preserve">2nd line breast cancer </v>
          </cell>
          <cell r="D10">
            <v>0.6</v>
          </cell>
          <cell r="E10">
            <v>303.75</v>
          </cell>
          <cell r="F10">
            <v>182.25</v>
          </cell>
          <cell r="G10">
            <v>28.25</v>
          </cell>
        </row>
        <row r="11">
          <cell r="A11" t="str">
            <v>late '11</v>
          </cell>
          <cell r="B11" t="str">
            <v>Bosutinib</v>
          </cell>
          <cell r="C11" t="str">
            <v>CML</v>
          </cell>
          <cell r="D11">
            <v>0.67</v>
          </cell>
          <cell r="E11">
            <v>366.24374999999998</v>
          </cell>
          <cell r="F11">
            <v>245.38331250000005</v>
          </cell>
          <cell r="G11">
            <v>33</v>
          </cell>
        </row>
        <row r="12">
          <cell r="A12">
            <v>2011</v>
          </cell>
          <cell r="B12" t="str">
            <v>MnB rLP2086</v>
          </cell>
          <cell r="C12" t="str">
            <v>Meningococcal B vaccine</v>
          </cell>
          <cell r="D12">
            <v>0.5</v>
          </cell>
          <cell r="E12">
            <v>825</v>
          </cell>
          <cell r="F12">
            <v>412.5</v>
          </cell>
          <cell r="G12">
            <v>182.25</v>
          </cell>
        </row>
        <row r="13">
          <cell r="A13">
            <v>2011</v>
          </cell>
          <cell r="B13" t="str">
            <v>Axitinib</v>
          </cell>
          <cell r="C13" t="str">
            <v>Renal cell cancer</v>
          </cell>
          <cell r="D13">
            <v>0.65</v>
          </cell>
          <cell r="E13">
            <v>372.375</v>
          </cell>
          <cell r="F13">
            <v>242.04374999999999</v>
          </cell>
          <cell r="G13">
            <v>205.17187499999997</v>
          </cell>
        </row>
        <row r="14">
          <cell r="A14">
            <v>2012</v>
          </cell>
          <cell r="B14" t="str">
            <v>Bapineuzumab</v>
          </cell>
          <cell r="C14" t="str">
            <v>Alzheimer's disease</v>
          </cell>
          <cell r="D14">
            <v>0.1</v>
          </cell>
          <cell r="E14">
            <v>1000</v>
          </cell>
          <cell r="F14">
            <v>100</v>
          </cell>
          <cell r="G14">
            <v>412.5</v>
          </cell>
        </row>
        <row r="15">
          <cell r="A15">
            <v>2012</v>
          </cell>
          <cell r="B15" t="str">
            <v>Tremelimumab (CP-675,206)</v>
          </cell>
          <cell r="C15" t="str">
            <v>Melanoma</v>
          </cell>
          <cell r="D15">
            <v>0.2</v>
          </cell>
          <cell r="E15">
            <v>250</v>
          </cell>
          <cell r="F15">
            <v>50</v>
          </cell>
          <cell r="G15">
            <v>279.28125</v>
          </cell>
        </row>
        <row r="16">
          <cell r="A16">
            <v>2012</v>
          </cell>
          <cell r="B16" t="str">
            <v>PF-5,236,806 (ACC-001)</v>
          </cell>
          <cell r="C16" t="str">
            <v>Alzheimer's disease</v>
          </cell>
          <cell r="D16">
            <v>0.02</v>
          </cell>
          <cell r="E16">
            <v>50</v>
          </cell>
          <cell r="F16">
            <v>1</v>
          </cell>
          <cell r="G16">
            <v>150</v>
          </cell>
        </row>
        <row r="17">
          <cell r="A17">
            <v>2012</v>
          </cell>
          <cell r="B17">
            <v>2012</v>
          </cell>
          <cell r="C17" t="str">
            <v>Tremelimumab (CP-675,206)</v>
          </cell>
          <cell r="D17" t="str">
            <v>Melanoma</v>
          </cell>
          <cell r="E17">
            <v>0.2</v>
          </cell>
          <cell r="F17">
            <v>162.5</v>
          </cell>
          <cell r="G17">
            <v>32.5</v>
          </cell>
        </row>
        <row r="18">
          <cell r="A18">
            <v>2012</v>
          </cell>
          <cell r="B18">
            <v>2012</v>
          </cell>
          <cell r="C18" t="str">
            <v>PF-5,236,806 (ACC-001)</v>
          </cell>
          <cell r="D18" t="str">
            <v>Alzheimer's disease</v>
          </cell>
          <cell r="E18">
            <v>0.02</v>
          </cell>
          <cell r="F18">
            <v>60</v>
          </cell>
          <cell r="G18">
            <v>1.2</v>
          </cell>
        </row>
        <row r="19">
          <cell r="B19" t="str">
            <v>†Revenue estimates are total end-user sales. PFE receives 50% economics.</v>
          </cell>
        </row>
        <row r="21">
          <cell r="B21" t="str">
            <v>DO NOT LINK TO CLIENT/WORKING MODEL!!!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sheetData sheetId="54"/>
      <sheetData sheetId="55"/>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short IS"/>
      <sheetName val="Product Mix 100%"/>
      <sheetName val="cost savings"/>
      <sheetName val="Per Pharma Traditional &amp; Biolog"/>
    </sheetNames>
    <sheetDataSet>
      <sheetData sheetId="0" refreshError="1"/>
      <sheetData sheetId="1">
        <row r="1">
          <cell r="R1" t="str">
            <v>SmartCharts</v>
          </cell>
          <cell r="BA1" t="str">
            <v>.</v>
          </cell>
        </row>
        <row r="2">
          <cell r="BA2" t="str">
            <v>.</v>
          </cell>
        </row>
        <row r="3">
          <cell r="BA3" t="str">
            <v>.</v>
          </cell>
        </row>
        <row r="4">
          <cell r="BA4" t="str">
            <v>.</v>
          </cell>
        </row>
        <row r="5">
          <cell r="C5" t="str">
            <v>Define value axis here:</v>
          </cell>
        </row>
        <row r="6">
          <cell r="C6" t="str">
            <v>Eli Lilly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781.72624304999954</v>
          </cell>
          <cell r="E12">
            <v>628.01563373899808</v>
          </cell>
          <cell r="F12">
            <v>619.00336252127454</v>
          </cell>
          <cell r="G12">
            <v>650.37276247114823</v>
          </cell>
          <cell r="H12">
            <v>535.71762648130425</v>
          </cell>
          <cell r="BA12" t="str">
            <v>.</v>
          </cell>
        </row>
        <row r="13">
          <cell r="C13" t="str">
            <v>Pipeline products launching 2010–2015</v>
          </cell>
          <cell r="D13">
            <v>94.75</v>
          </cell>
          <cell r="E13">
            <v>176.17500000000001</v>
          </cell>
          <cell r="F13">
            <v>330.42500000000001</v>
          </cell>
          <cell r="G13">
            <v>642.0732999999999</v>
          </cell>
          <cell r="H13">
            <v>950.38365750000003</v>
          </cell>
          <cell r="BA13" t="str">
            <v>.</v>
          </cell>
        </row>
        <row r="14">
          <cell r="C14" t="str">
            <v>Products expiring 2010–2015</v>
          </cell>
          <cell r="D14">
            <v>-371.49615019999874</v>
          </cell>
          <cell r="E14">
            <v>-2226.0126789459991</v>
          </cell>
          <cell r="F14">
            <v>-713.0858879557818</v>
          </cell>
          <cell r="G14">
            <v>-2566.7028729389294</v>
          </cell>
          <cell r="H14">
            <v>-2382.3369144914741</v>
          </cell>
          <cell r="BA14" t="str">
            <v>.</v>
          </cell>
        </row>
        <row r="15">
          <cell r="C15" t="str">
            <v>Net YOY change</v>
          </cell>
          <cell r="D15">
            <v>504.9800928500008</v>
          </cell>
          <cell r="E15">
            <v>-1421.8220452070018</v>
          </cell>
          <cell r="F15">
            <v>236.34247456549201</v>
          </cell>
          <cell r="G15">
            <v>-1274.2568104677812</v>
          </cell>
          <cell r="H15">
            <v>-896.23563051016754</v>
          </cell>
          <cell r="BA15" t="str">
            <v>.</v>
          </cell>
        </row>
        <row r="16">
          <cell r="BA16" t="str">
            <v>.</v>
          </cell>
        </row>
        <row r="17">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Results"/>
      <sheetName val="Intrinsic Value"/>
      <sheetName val="Charts"/>
      <sheetName val="Changes to the Model"/>
      <sheetName val="Acq"/>
      <sheetName val="MWA RR"/>
      <sheetName val="Financial Tables"/>
      <sheetName val="Valuation Summary"/>
      <sheetName val="Cash Flow Statement"/>
      <sheetName val="Segment Reporting"/>
      <sheetName val="Balance Sheet"/>
      <sheetName val="Annual"/>
    </sheetNames>
    <sheetDataSet>
      <sheetData sheetId="0"/>
      <sheetData sheetId="1"/>
      <sheetData sheetId="2"/>
      <sheetData sheetId="3"/>
      <sheetData sheetId="4"/>
      <sheetData sheetId="5"/>
      <sheetData sheetId="6"/>
      <sheetData sheetId="7"/>
      <sheetData sheetId="8" refreshError="1">
        <row r="2">
          <cell r="B2" t="str">
            <v>DAEGU BANK (005270.KS)</v>
          </cell>
          <cell r="N2" t="str">
            <v>Foreign exchange rate</v>
          </cell>
          <cell r="U2">
            <v>950</v>
          </cell>
        </row>
        <row r="3">
          <cell r="N3" t="str">
            <v>Current share price</v>
          </cell>
          <cell r="U3">
            <v>15550</v>
          </cell>
          <cell r="V3">
            <v>16.368421052631579</v>
          </cell>
        </row>
        <row r="5">
          <cell r="B5" t="str">
            <v>Profit and Loss Statements</v>
          </cell>
          <cell r="N5" t="str">
            <v>Per Share Data and Valuations</v>
          </cell>
        </row>
        <row r="6">
          <cell r="B6" t="str">
            <v>Won billions, Year ending Dec 31</v>
          </cell>
          <cell r="C6">
            <v>2000</v>
          </cell>
          <cell r="D6">
            <v>2001</v>
          </cell>
          <cell r="E6">
            <v>2002</v>
          </cell>
          <cell r="F6">
            <v>2003</v>
          </cell>
          <cell r="G6">
            <v>2004</v>
          </cell>
          <cell r="H6">
            <v>2005</v>
          </cell>
          <cell r="I6">
            <v>2006</v>
          </cell>
          <cell r="J6" t="str">
            <v>2007E</v>
          </cell>
          <cell r="K6" t="str">
            <v>2008E</v>
          </cell>
          <cell r="L6" t="str">
            <v>2009E</v>
          </cell>
          <cell r="N6" t="str">
            <v>Won billions, Year ending Dec 31</v>
          </cell>
          <cell r="O6">
            <v>2000</v>
          </cell>
          <cell r="P6">
            <v>2001</v>
          </cell>
          <cell r="Q6">
            <v>2002</v>
          </cell>
          <cell r="R6">
            <v>2003</v>
          </cell>
          <cell r="S6">
            <v>2004</v>
          </cell>
          <cell r="T6">
            <v>2005</v>
          </cell>
          <cell r="U6">
            <v>2006</v>
          </cell>
          <cell r="V6" t="str">
            <v>2007E</v>
          </cell>
          <cell r="W6" t="str">
            <v>2008E</v>
          </cell>
          <cell r="X6" t="str">
            <v>2009E</v>
          </cell>
        </row>
        <row r="7">
          <cell r="B7" t="str">
            <v>Avg Earning Assets</v>
          </cell>
          <cell r="C7">
            <v>10876.642941</v>
          </cell>
          <cell r="D7">
            <v>12521.9778905</v>
          </cell>
          <cell r="E7">
            <v>0</v>
          </cell>
          <cell r="F7">
            <v>14850.105514125002</v>
          </cell>
          <cell r="G7">
            <v>15778.461823125001</v>
          </cell>
          <cell r="H7">
            <v>16905.104000000003</v>
          </cell>
          <cell r="I7">
            <v>17900.141749999999</v>
          </cell>
          <cell r="J7">
            <v>19424.187022748716</v>
          </cell>
          <cell r="K7">
            <v>20886.251253226379</v>
          </cell>
          <cell r="L7">
            <v>22978.112528650723</v>
          </cell>
          <cell r="N7" t="str">
            <v>Book Value Per Share (Won)</v>
          </cell>
          <cell r="O7">
            <v>4421.4323036040523</v>
          </cell>
          <cell r="P7">
            <v>4653.9481813652219</v>
          </cell>
          <cell r="Q7">
            <v>5390.1464522232745</v>
          </cell>
          <cell r="R7">
            <v>6340.5455439924317</v>
          </cell>
          <cell r="S7">
            <v>7183.136673604542</v>
          </cell>
          <cell r="T7">
            <v>8151.0177937559129</v>
          </cell>
          <cell r="U7">
            <v>9549.4567733737003</v>
          </cell>
          <cell r="V7">
            <v>11089.965393373248</v>
          </cell>
          <cell r="W7">
            <v>12521.100614957122</v>
          </cell>
          <cell r="X7">
            <v>13949.1718208866</v>
          </cell>
        </row>
        <row r="8">
          <cell r="B8" t="str">
            <v>Net Interest Margin (%)</v>
          </cell>
          <cell r="C8">
            <v>3.133845754144629</v>
          </cell>
          <cell r="D8">
            <v>2.7259491350720646</v>
          </cell>
          <cell r="E8">
            <v>0</v>
          </cell>
          <cell r="F8">
            <v>3.6148878531085753</v>
          </cell>
          <cell r="G8">
            <v>3.6718091186233002</v>
          </cell>
          <cell r="H8">
            <v>3.6994744309174301</v>
          </cell>
          <cell r="I8">
            <v>3.6095189022734968</v>
          </cell>
          <cell r="J8">
            <v>3.212361822242952</v>
          </cell>
          <cell r="K8">
            <v>3.198760314972767</v>
          </cell>
          <cell r="L8">
            <v>3.2055997459453631</v>
          </cell>
          <cell r="N8" t="str">
            <v>Price/Book (x)</v>
          </cell>
          <cell r="O8">
            <v>3.5169598745919264</v>
          </cell>
          <cell r="P8">
            <v>3.3412490629490534</v>
          </cell>
          <cell r="Q8">
            <v>2.8848937849520007</v>
          </cell>
          <cell r="R8">
            <v>2.4524703579699674</v>
          </cell>
          <cell r="S8">
            <v>2.164792444662885</v>
          </cell>
          <cell r="T8">
            <v>1.9077372168064799</v>
          </cell>
          <cell r="U8">
            <v>1.6283648765610763</v>
          </cell>
          <cell r="V8">
            <v>1.4021684873148317</v>
          </cell>
          <cell r="W8">
            <v>1.2419036056163222</v>
          </cell>
          <cell r="X8">
            <v>1.1147615213052593</v>
          </cell>
        </row>
        <row r="9">
          <cell r="B9" t="str">
            <v xml:space="preserve">  Interest Income</v>
          </cell>
          <cell r="C9">
            <v>962.41628200000002</v>
          </cell>
          <cell r="D9">
            <v>974.62154499999997</v>
          </cell>
          <cell r="E9">
            <v>1044.7103439201844</v>
          </cell>
          <cell r="F9">
            <v>1067.6685094039115</v>
          </cell>
          <cell r="G9">
            <v>1065.3353559889999</v>
          </cell>
          <cell r="H9">
            <v>1079.683486593</v>
          </cell>
          <cell r="I9">
            <v>1192.4292037959999</v>
          </cell>
          <cell r="J9">
            <v>1309.4957610066626</v>
          </cell>
          <cell r="K9">
            <v>1431.6881993266018</v>
          </cell>
          <cell r="L9">
            <v>1592.9042170498849</v>
          </cell>
          <cell r="N9" t="str">
            <v>ROAA (%)</v>
          </cell>
          <cell r="O9">
            <v>0.1408711340867197</v>
          </cell>
          <cell r="P9">
            <v>0.24070869709340612</v>
          </cell>
          <cell r="Q9">
            <v>0.87580725543439397</v>
          </cell>
          <cell r="R9">
            <v>0.68953083953879213</v>
          </cell>
          <cell r="S9">
            <v>0.71064558434927894</v>
          </cell>
          <cell r="T9">
            <v>0.94407916117783819</v>
          </cell>
          <cell r="U9">
            <v>1.196952139593618</v>
          </cell>
          <cell r="V9">
            <v>1.3215035069615046</v>
          </cell>
          <cell r="W9">
            <v>1.1811256691630632</v>
          </cell>
          <cell r="X9">
            <v>1.0991814697822027</v>
          </cell>
        </row>
        <row r="10">
          <cell r="B10" t="str">
            <v xml:space="preserve">  Interest Expense</v>
          </cell>
          <cell r="C10">
            <v>621.55906900000002</v>
          </cell>
          <cell r="D10">
            <v>633.27879700000005</v>
          </cell>
          <cell r="E10">
            <v>545.01550299999997</v>
          </cell>
          <cell r="F10">
            <v>493.19239600000003</v>
          </cell>
          <cell r="G10">
            <v>442.64955300000003</v>
          </cell>
          <cell r="H10">
            <v>412.93019300000003</v>
          </cell>
          <cell r="I10">
            <v>492.508482125</v>
          </cell>
          <cell r="J10">
            <v>631.86276332977968</v>
          </cell>
          <cell r="K10">
            <v>709.72075518826659</v>
          </cell>
          <cell r="L10">
            <v>797.55471412586621</v>
          </cell>
          <cell r="N10" t="str">
            <v>ROAE (Reported, %)</v>
          </cell>
          <cell r="P10">
            <v>5.6151531393231648</v>
          </cell>
          <cell r="Q10">
            <v>20.619111304862965</v>
          </cell>
          <cell r="R10">
            <v>14.164653812958742</v>
          </cell>
          <cell r="S10">
            <v>13.658188833718956</v>
          </cell>
          <cell r="T10">
            <v>17.302085635156715</v>
          </cell>
          <cell r="U10">
            <v>20.570191768106923</v>
          </cell>
          <cell r="V10">
            <v>21.019498350202458</v>
          </cell>
          <cell r="W10">
            <v>17.628473198538476</v>
          </cell>
          <cell r="X10">
            <v>16.078949608613247</v>
          </cell>
        </row>
        <row r="11">
          <cell r="B11" t="str">
            <v>Net Interest Income (NII)</v>
          </cell>
          <cell r="C11">
            <v>340.857213</v>
          </cell>
          <cell r="D11">
            <v>341.34274799999992</v>
          </cell>
          <cell r="E11">
            <v>499.69484092018445</v>
          </cell>
          <cell r="F11">
            <v>574.47611340391143</v>
          </cell>
          <cell r="G11">
            <v>622.68580298899997</v>
          </cell>
          <cell r="H11">
            <v>666.75329359299997</v>
          </cell>
          <cell r="I11">
            <v>699.92072167099991</v>
          </cell>
          <cell r="J11">
            <v>677.63299767688295</v>
          </cell>
          <cell r="K11">
            <v>721.96744413833517</v>
          </cell>
          <cell r="L11">
            <v>795.34950292401868</v>
          </cell>
          <cell r="N11" t="str">
            <v>ROAE (ModelWare, %)</v>
          </cell>
          <cell r="S11">
            <v>14.116520505741065</v>
          </cell>
          <cell r="T11">
            <v>17.804435270588858</v>
          </cell>
          <cell r="U11">
            <v>21.230659633058355</v>
          </cell>
          <cell r="V11">
            <v>21.68615959544616</v>
          </cell>
          <cell r="W11">
            <v>18.154805510269618</v>
          </cell>
          <cell r="X11">
            <v>16.499322831883184</v>
          </cell>
        </row>
        <row r="12">
          <cell r="B12" t="str">
            <v>Loan Loss Prov Exp (LLPE)</v>
          </cell>
          <cell r="C12">
            <v>147.41081100000002</v>
          </cell>
          <cell r="D12">
            <v>81.180222999999998</v>
          </cell>
          <cell r="E12">
            <v>156.232</v>
          </cell>
          <cell r="F12">
            <v>210.03299999999999</v>
          </cell>
          <cell r="G12">
            <v>205.31800000000001</v>
          </cell>
          <cell r="H12">
            <v>145.05799999999999</v>
          </cell>
          <cell r="I12">
            <v>45.858999999999995</v>
          </cell>
          <cell r="J12">
            <v>45.635595124963444</v>
          </cell>
          <cell r="K12">
            <v>54.008218881334287</v>
          </cell>
          <cell r="L12">
            <v>87.629025355635321</v>
          </cell>
        </row>
        <row r="13">
          <cell r="B13" t="str">
            <v>NII After LLPE</v>
          </cell>
          <cell r="C13">
            <v>193.44640199999998</v>
          </cell>
          <cell r="D13">
            <v>260.1625249999999</v>
          </cell>
          <cell r="E13">
            <v>343.46284092018448</v>
          </cell>
          <cell r="F13">
            <v>364.44311340391141</v>
          </cell>
          <cell r="G13">
            <v>417.36780298899998</v>
          </cell>
          <cell r="H13">
            <v>521.69529359299997</v>
          </cell>
          <cell r="I13">
            <v>654.06172167099987</v>
          </cell>
          <cell r="J13">
            <v>631.99740255191955</v>
          </cell>
          <cell r="K13">
            <v>667.95922525700087</v>
          </cell>
          <cell r="L13">
            <v>707.72047756838333</v>
          </cell>
          <cell r="N13" t="str">
            <v>MW EPS Growth (%)</v>
          </cell>
          <cell r="P13" t="e">
            <v>#DIV/0!</v>
          </cell>
          <cell r="Q13" t="e">
            <v>#DIV/0!</v>
          </cell>
          <cell r="R13">
            <v>-15.197789596206668</v>
          </cell>
          <cell r="S13">
            <v>11.088495224403317</v>
          </cell>
          <cell r="T13">
            <v>43.009673934216394</v>
          </cell>
          <cell r="U13">
            <v>37.644975038390818</v>
          </cell>
          <cell r="V13">
            <v>19.105491529498252</v>
          </cell>
          <cell r="W13">
            <v>-4.230545840138622</v>
          </cell>
          <cell r="X13">
            <v>1.8866622550749668</v>
          </cell>
        </row>
        <row r="14">
          <cell r="N14" t="str">
            <v>Current P/MW EPS</v>
          </cell>
          <cell r="O14" t="e">
            <v>#DIV/0!</v>
          </cell>
          <cell r="P14" t="e">
            <v>#DIV/0!</v>
          </cell>
          <cell r="Q14">
            <v>15.346665423621943</v>
          </cell>
          <cell r="R14">
            <v>18.097011092691357</v>
          </cell>
          <cell r="S14">
            <v>16.29062582595493</v>
          </cell>
          <cell r="T14">
            <v>11.391275413611895</v>
          </cell>
          <cell r="U14">
            <v>8.2758381920115376</v>
          </cell>
          <cell r="V14">
            <v>6.948326299431713</v>
          </cell>
          <cell r="W14">
            <v>7.2552635497257283</v>
          </cell>
          <cell r="X14">
            <v>7.1209159169058411</v>
          </cell>
        </row>
        <row r="15">
          <cell r="B15" t="str">
            <v>Non-interest Income</v>
          </cell>
        </row>
        <row r="16">
          <cell r="B16" t="str">
            <v>Fees and Commissions</v>
          </cell>
          <cell r="C16">
            <v>103.07806399999998</v>
          </cell>
          <cell r="D16">
            <v>133.91564500000001</v>
          </cell>
          <cell r="E16">
            <v>55.181206079815574</v>
          </cell>
          <cell r="F16">
            <v>62.822131596088454</v>
          </cell>
          <cell r="G16">
            <v>70.036566660999995</v>
          </cell>
          <cell r="H16">
            <v>68.159051552000008</v>
          </cell>
          <cell r="I16">
            <v>79.126403209999992</v>
          </cell>
          <cell r="J16">
            <v>100.50380461772258</v>
          </cell>
          <cell r="K16">
            <v>112.66122624755279</v>
          </cell>
          <cell r="L16">
            <v>126.58243507012459</v>
          </cell>
          <cell r="N16" t="str">
            <v>Gross Dividends</v>
          </cell>
          <cell r="O16">
            <v>0</v>
          </cell>
          <cell r="P16">
            <v>0</v>
          </cell>
          <cell r="Q16">
            <v>33.030999999999999</v>
          </cell>
          <cell r="R16">
            <v>33.030999999999999</v>
          </cell>
          <cell r="S16">
            <v>36.334000000000003</v>
          </cell>
          <cell r="T16">
            <v>52.85</v>
          </cell>
          <cell r="U16">
            <v>74.650625000000005</v>
          </cell>
          <cell r="V16">
            <v>85.881249999999994</v>
          </cell>
          <cell r="W16">
            <v>92.487499999999997</v>
          </cell>
          <cell r="X16">
            <v>99.09375</v>
          </cell>
        </row>
        <row r="17">
          <cell r="B17" t="str">
            <v>Dividend Income</v>
          </cell>
          <cell r="C17">
            <v>0.72631199999999996</v>
          </cell>
          <cell r="D17">
            <v>0.71033299999999999</v>
          </cell>
          <cell r="E17">
            <v>0.70518199999999998</v>
          </cell>
          <cell r="F17">
            <v>0.63218899999999989</v>
          </cell>
          <cell r="G17">
            <v>0.462148</v>
          </cell>
          <cell r="H17">
            <v>0.30597599999999997</v>
          </cell>
          <cell r="I17">
            <v>0.64043965999999997</v>
          </cell>
          <cell r="J17">
            <v>3.5075542206751638</v>
          </cell>
          <cell r="K17">
            <v>3.6432191430697647</v>
          </cell>
          <cell r="L17">
            <v>3.678517134913927</v>
          </cell>
          <cell r="N17" t="str">
            <v>Gross DPS (Won)</v>
          </cell>
          <cell r="O17">
            <v>0</v>
          </cell>
          <cell r="P17">
            <v>0</v>
          </cell>
          <cell r="Q17">
            <v>249.99810785241249</v>
          </cell>
          <cell r="R17">
            <v>249.99810785241249</v>
          </cell>
          <cell r="S17">
            <v>274.9971617786187</v>
          </cell>
          <cell r="T17">
            <v>400</v>
          </cell>
          <cell r="U17">
            <v>565</v>
          </cell>
          <cell r="V17">
            <v>650</v>
          </cell>
          <cell r="W17">
            <v>700</v>
          </cell>
          <cell r="X17">
            <v>750</v>
          </cell>
        </row>
        <row r="18">
          <cell r="B18" t="str">
            <v>Forex Income</v>
          </cell>
          <cell r="C18">
            <v>10.437694</v>
          </cell>
          <cell r="D18">
            <v>8.31785</v>
          </cell>
          <cell r="E18">
            <v>9.5970379999999977</v>
          </cell>
          <cell r="F18">
            <v>13.608292000000002</v>
          </cell>
          <cell r="G18">
            <v>7.1083060000000025</v>
          </cell>
          <cell r="H18">
            <v>4.5471849999999989</v>
          </cell>
          <cell r="I18">
            <v>15.406931695999987</v>
          </cell>
          <cell r="J18">
            <v>-3.8355512954730671</v>
          </cell>
          <cell r="K18">
            <v>0</v>
          </cell>
          <cell r="L18">
            <v>0</v>
          </cell>
          <cell r="N18" t="str">
            <v>Dividend Yield (Current Price, %)</v>
          </cell>
          <cell r="O18">
            <v>0</v>
          </cell>
          <cell r="P18">
            <v>0</v>
          </cell>
          <cell r="Q18">
            <v>1.607704873648955</v>
          </cell>
          <cell r="R18">
            <v>1.607704873648955</v>
          </cell>
          <cell r="S18">
            <v>1.768470493753175</v>
          </cell>
          <cell r="T18">
            <v>2.572347266881029</v>
          </cell>
          <cell r="U18">
            <v>3.6334405144694535</v>
          </cell>
          <cell r="V18">
            <v>4.180064308681672</v>
          </cell>
          <cell r="W18">
            <v>4.501607717041801</v>
          </cell>
          <cell r="X18">
            <v>4.823151125401929</v>
          </cell>
        </row>
        <row r="19">
          <cell r="B19" t="str">
            <v>Other trading income</v>
          </cell>
          <cell r="C19">
            <v>-11.660423000000002</v>
          </cell>
          <cell r="D19">
            <v>-2.2122909999999996</v>
          </cell>
          <cell r="E19">
            <v>-3.9779139999999988</v>
          </cell>
          <cell r="F19">
            <v>-3.9950099999999988</v>
          </cell>
          <cell r="G19">
            <v>2.0797100000000048</v>
          </cell>
          <cell r="H19">
            <v>1.5335300000000007</v>
          </cell>
          <cell r="I19">
            <v>-22.448308368000006</v>
          </cell>
          <cell r="J19">
            <v>-34.01717750433744</v>
          </cell>
          <cell r="K19">
            <v>9.3283227146442016</v>
          </cell>
          <cell r="L19">
            <v>8.0241691532975921</v>
          </cell>
          <cell r="N19" t="str">
            <v>Dividend Payout Ratio (%)</v>
          </cell>
          <cell r="O19">
            <v>0</v>
          </cell>
          <cell r="P19">
            <v>0</v>
          </cell>
          <cell r="Q19">
            <v>25.176150737817981</v>
          </cell>
          <cell r="R19">
            <v>30.091034636678405</v>
          </cell>
          <cell r="S19">
            <v>29.776259268029794</v>
          </cell>
          <cell r="T19">
            <v>30.153081116569329</v>
          </cell>
          <cell r="U19">
            <v>31.035246033502716</v>
          </cell>
          <cell r="V19">
            <v>29.965634015222548</v>
          </cell>
          <cell r="W19">
            <v>33.635488590080953</v>
          </cell>
          <cell r="X19">
            <v>35.243186961121928</v>
          </cell>
        </row>
        <row r="20">
          <cell r="B20" t="str">
            <v>Other Income</v>
          </cell>
          <cell r="C20">
            <v>-31.74471999999999</v>
          </cell>
          <cell r="D20">
            <v>-53.083737999999919</v>
          </cell>
          <cell r="E20">
            <v>-30.191082000000012</v>
          </cell>
          <cell r="F20">
            <v>-34.419654000000001</v>
          </cell>
          <cell r="G20">
            <v>-38.341280650000151</v>
          </cell>
          <cell r="H20">
            <v>-42.036997144999923</v>
          </cell>
          <cell r="I20">
            <v>-32.725466197999978</v>
          </cell>
          <cell r="J20">
            <v>78.425313035345653</v>
          </cell>
          <cell r="K20">
            <v>-4.3323700938881586</v>
          </cell>
          <cell r="L20">
            <v>-14.656612198602346</v>
          </cell>
        </row>
        <row r="21">
          <cell r="B21" t="str">
            <v>Total Non-interest Income</v>
          </cell>
          <cell r="C21">
            <v>70.836926999999989</v>
          </cell>
          <cell r="D21">
            <v>87.647799000000077</v>
          </cell>
          <cell r="E21">
            <v>31.314430079815562</v>
          </cell>
          <cell r="F21">
            <v>38.647948596088462</v>
          </cell>
          <cell r="G21">
            <v>41.345450010999848</v>
          </cell>
          <cell r="H21">
            <v>32.508745407000085</v>
          </cell>
          <cell r="I21">
            <v>39.999999999999986</v>
          </cell>
          <cell r="J21">
            <v>144.58394307393289</v>
          </cell>
          <cell r="K21">
            <v>121.3003980113786</v>
          </cell>
          <cell r="L21">
            <v>123.62850915973374</v>
          </cell>
          <cell r="N21" t="str">
            <v>Issued Shares (m)</v>
          </cell>
          <cell r="O21">
            <v>120.42</v>
          </cell>
          <cell r="P21">
            <v>120.42</v>
          </cell>
          <cell r="Q21">
            <v>132.125</v>
          </cell>
          <cell r="R21">
            <v>132.125</v>
          </cell>
          <cell r="S21">
            <v>132.125</v>
          </cell>
          <cell r="T21">
            <v>132.125</v>
          </cell>
          <cell r="U21">
            <v>132.125</v>
          </cell>
          <cell r="V21">
            <v>132.125</v>
          </cell>
          <cell r="W21">
            <v>132.125</v>
          </cell>
          <cell r="X21">
            <v>132.125</v>
          </cell>
        </row>
        <row r="22">
          <cell r="N22" t="str">
            <v>Market Cap (Wonbn)</v>
          </cell>
          <cell r="O22">
            <v>1872.5309999999999</v>
          </cell>
          <cell r="P22">
            <v>1872.5309999999999</v>
          </cell>
          <cell r="Q22">
            <v>2054.5437499999998</v>
          </cell>
          <cell r="R22">
            <v>2054.5437499999998</v>
          </cell>
          <cell r="S22">
            <v>2054.5437499999998</v>
          </cell>
          <cell r="T22">
            <v>2054.5437499999998</v>
          </cell>
          <cell r="U22">
            <v>2054.5437499999998</v>
          </cell>
          <cell r="V22">
            <v>2054.5437499999998</v>
          </cell>
          <cell r="W22">
            <v>2054.5437499999998</v>
          </cell>
          <cell r="X22">
            <v>2054.5437499999998</v>
          </cell>
        </row>
        <row r="23">
          <cell r="B23" t="str">
            <v>Non-interest Expense</v>
          </cell>
          <cell r="N23" t="str">
            <v>Market Cap (US$mn)</v>
          </cell>
          <cell r="O23">
            <v>1971.0852631578948</v>
          </cell>
          <cell r="P23">
            <v>1971.0852631578948</v>
          </cell>
          <cell r="Q23">
            <v>2162.6776315789475</v>
          </cell>
          <cell r="R23">
            <v>2162.6776315789475</v>
          </cell>
          <cell r="S23">
            <v>2162.6776315789475</v>
          </cell>
          <cell r="T23">
            <v>2162.6776315789475</v>
          </cell>
          <cell r="U23">
            <v>2162.6776315789475</v>
          </cell>
          <cell r="V23">
            <v>2162.6776315789475</v>
          </cell>
          <cell r="W23">
            <v>2162.6776315789475</v>
          </cell>
          <cell r="X23">
            <v>2162.6776315789475</v>
          </cell>
        </row>
        <row r="24">
          <cell r="B24" t="str">
            <v>Salaries &amp; Benefits</v>
          </cell>
          <cell r="C24">
            <v>107.16847300000001</v>
          </cell>
          <cell r="D24">
            <v>98.766052000000002</v>
          </cell>
          <cell r="E24">
            <v>132.53890000000001</v>
          </cell>
          <cell r="F24">
            <v>139.87535099999999</v>
          </cell>
          <cell r="G24">
            <v>158.067294</v>
          </cell>
          <cell r="H24">
            <v>169.01070299999998</v>
          </cell>
          <cell r="I24">
            <v>187.733122804</v>
          </cell>
          <cell r="J24">
            <v>203.09288603685599</v>
          </cell>
          <cell r="K24">
            <v>219.35530669151098</v>
          </cell>
          <cell r="L24">
            <v>236.59153547192719</v>
          </cell>
        </row>
        <row r="25">
          <cell r="B25" t="str">
            <v>Net Occupancy &amp; Equipment</v>
          </cell>
          <cell r="C25">
            <v>1.828999</v>
          </cell>
          <cell r="D25">
            <v>1.9287479999999999</v>
          </cell>
          <cell r="E25">
            <v>2.0369389999999998</v>
          </cell>
          <cell r="F25">
            <v>2.4119800000000002</v>
          </cell>
          <cell r="G25">
            <v>2.779687</v>
          </cell>
          <cell r="H25">
            <v>3.0314130000000001</v>
          </cell>
          <cell r="I25">
            <v>4.3649731559999996</v>
          </cell>
          <cell r="J25">
            <v>5.2695198666551688</v>
          </cell>
          <cell r="K25">
            <v>6.2981784696932053</v>
          </cell>
          <cell r="L25">
            <v>7.6112275624581436</v>
          </cell>
          <cell r="N25" t="str">
            <v>PERFORMANCE RATIOS</v>
          </cell>
        </row>
        <row r="26">
          <cell r="B26" t="str">
            <v>Other Expenses</v>
          </cell>
          <cell r="C26">
            <v>90.402039000000002</v>
          </cell>
          <cell r="D26">
            <v>91.705391000000006</v>
          </cell>
          <cell r="E26">
            <v>102.241602</v>
          </cell>
          <cell r="F26">
            <v>119.61654499999995</v>
          </cell>
          <cell r="G26">
            <v>135.650407</v>
          </cell>
          <cell r="H26">
            <v>149.20329899999996</v>
          </cell>
          <cell r="I26">
            <v>169.20190403999999</v>
          </cell>
          <cell r="J26">
            <v>181.58327820243341</v>
          </cell>
          <cell r="K26">
            <v>189.39679184728826</v>
          </cell>
          <cell r="L26">
            <v>204.83751875790622</v>
          </cell>
          <cell r="N26" t="str">
            <v>Won billions, Year ending Dec 31</v>
          </cell>
          <cell r="O26">
            <v>2000</v>
          </cell>
          <cell r="P26">
            <v>2001</v>
          </cell>
          <cell r="Q26">
            <v>2002</v>
          </cell>
          <cell r="R26">
            <v>2003</v>
          </cell>
          <cell r="S26">
            <v>2004</v>
          </cell>
          <cell r="T26">
            <v>2005</v>
          </cell>
          <cell r="U26">
            <v>2006</v>
          </cell>
          <cell r="V26" t="str">
            <v>2007E</v>
          </cell>
          <cell r="W26" t="str">
            <v>2008E</v>
          </cell>
          <cell r="X26" t="str">
            <v>2009E</v>
          </cell>
        </row>
        <row r="27">
          <cell r="B27" t="str">
            <v>Total Non-interest Expense</v>
          </cell>
          <cell r="C27">
            <v>199.39951100000002</v>
          </cell>
          <cell r="D27">
            <v>192.40019100000001</v>
          </cell>
          <cell r="E27">
            <v>236.817441</v>
          </cell>
          <cell r="F27">
            <v>261.90387599999997</v>
          </cell>
          <cell r="G27">
            <v>296.497388</v>
          </cell>
          <cell r="H27">
            <v>321.24541499999992</v>
          </cell>
          <cell r="I27">
            <v>361.29999999999995</v>
          </cell>
          <cell r="J27">
            <v>389.94568410594457</v>
          </cell>
          <cell r="K27">
            <v>415.05027700849246</v>
          </cell>
          <cell r="L27">
            <v>449.04028179229158</v>
          </cell>
          <cell r="N27" t="str">
            <v>Growth (%)</v>
          </cell>
        </row>
        <row r="28">
          <cell r="N28" t="str">
            <v>Net Interest Income</v>
          </cell>
          <cell r="O28">
            <v>19.194092588123702</v>
          </cell>
          <cell r="P28">
            <v>0.14244527663842543</v>
          </cell>
          <cell r="Q28">
            <v>46.390935166486848</v>
          </cell>
          <cell r="R28">
            <v>14.965388144896163</v>
          </cell>
          <cell r="S28">
            <v>8.3919397970151124</v>
          </cell>
          <cell r="T28">
            <v>7.0770026219432625</v>
          </cell>
          <cell r="U28">
            <v>4.9744678274129317</v>
          </cell>
          <cell r="V28">
            <v>-3.1843212101089091</v>
          </cell>
          <cell r="W28">
            <v>6.5425453915973986</v>
          </cell>
          <cell r="X28">
            <v>10.164178368633326</v>
          </cell>
        </row>
        <row r="29">
          <cell r="B29" t="str">
            <v>Pre-tax Operating Profit</v>
          </cell>
          <cell r="C29">
            <v>64.883817999999962</v>
          </cell>
          <cell r="D29">
            <v>155.41013299999997</v>
          </cell>
          <cell r="E29">
            <v>137.95983000000004</v>
          </cell>
          <cell r="F29">
            <v>141.18718599999988</v>
          </cell>
          <cell r="G29">
            <v>162.21586499999984</v>
          </cell>
          <cell r="H29">
            <v>232.95862400000016</v>
          </cell>
          <cell r="I29">
            <v>332.76172167099992</v>
          </cell>
          <cell r="J29">
            <v>386.6356615199079</v>
          </cell>
          <cell r="K29">
            <v>374.20934625988707</v>
          </cell>
          <cell r="L29">
            <v>382.30870493582552</v>
          </cell>
          <cell r="N29" t="str">
            <v>Non-interest Income</v>
          </cell>
          <cell r="O29">
            <v>21.880539673415122</v>
          </cell>
          <cell r="P29">
            <v>23.731791753191224</v>
          </cell>
          <cell r="Q29">
            <v>-64.272428472715518</v>
          </cell>
          <cell r="R29">
            <v>23.418974886596743</v>
          </cell>
          <cell r="S29">
            <v>6.979675540099417</v>
          </cell>
          <cell r="T29">
            <v>-21.372858686140273</v>
          </cell>
          <cell r="U29">
            <v>23.043813285353099</v>
          </cell>
          <cell r="V29">
            <v>261.45985768483234</v>
          </cell>
          <cell r="W29">
            <v>-16.103824925184295</v>
          </cell>
          <cell r="X29">
            <v>1.9192939071285942</v>
          </cell>
        </row>
        <row r="30">
          <cell r="B30" t="str">
            <v>Associate Profit/Loss</v>
          </cell>
          <cell r="C30">
            <v>-49.278655000000001</v>
          </cell>
          <cell r="D30">
            <v>-124.727327</v>
          </cell>
          <cell r="E30">
            <v>-6.7602659999999659</v>
          </cell>
          <cell r="F30">
            <v>-27.030004999999996</v>
          </cell>
          <cell r="G30">
            <v>8.7279590000001619</v>
          </cell>
          <cell r="H30">
            <v>10.438885999999876</v>
          </cell>
          <cell r="I30">
            <v>1.8062432330000284</v>
          </cell>
          <cell r="J30">
            <v>9.8666032890097899</v>
          </cell>
          <cell r="K30">
            <v>5.0596070528982828</v>
          </cell>
          <cell r="L30">
            <v>5.5138680725025155</v>
          </cell>
          <cell r="N30" t="str">
            <v>Non-interest Expense</v>
          </cell>
          <cell r="O30">
            <v>-1.5725118144990224</v>
          </cell>
          <cell r="P30">
            <v>-3.5101991799769361</v>
          </cell>
          <cell r="Q30">
            <v>23.085865855507382</v>
          </cell>
          <cell r="R30">
            <v>10.593153483150752</v>
          </cell>
          <cell r="S30">
            <v>13.208476532817738</v>
          </cell>
          <cell r="T30">
            <v>8.3467942726024766</v>
          </cell>
          <cell r="U30">
            <v>12.468531262928707</v>
          </cell>
          <cell r="V30">
            <v>7.9285037658302304</v>
          </cell>
          <cell r="W30">
            <v>6.4379717293465921</v>
          </cell>
          <cell r="X30">
            <v>8.1893704610402231</v>
          </cell>
        </row>
        <row r="31">
          <cell r="N31" t="str">
            <v>Recurrent Net Profit After Tax (FD)</v>
          </cell>
          <cell r="O31">
            <v>145.97713062876463</v>
          </cell>
          <cell r="P31">
            <v>139.52063517593874</v>
          </cell>
          <cell r="Q31">
            <v>-11.228549041908298</v>
          </cell>
          <cell r="R31">
            <v>-1.5934519963194727</v>
          </cell>
          <cell r="S31">
            <v>-14.708384897943461</v>
          </cell>
          <cell r="T31">
            <v>44.874840425669625</v>
          </cell>
          <cell r="U31">
            <v>42.610435609727901</v>
          </cell>
          <cell r="V31">
            <v>16.816410990975328</v>
          </cell>
          <cell r="W31">
            <v>-2.9218449036519822</v>
          </cell>
          <cell r="X31">
            <v>2.1643924067875853</v>
          </cell>
        </row>
        <row r="32">
          <cell r="B32" t="str">
            <v>Profit Before Tax</v>
          </cell>
          <cell r="C32">
            <v>15.605162999999962</v>
          </cell>
          <cell r="D32">
            <v>30.682805999999971</v>
          </cell>
          <cell r="E32">
            <v>131.19956400000007</v>
          </cell>
          <cell r="F32">
            <v>114.15718099999989</v>
          </cell>
          <cell r="G32">
            <v>170.94382400000001</v>
          </cell>
          <cell r="H32">
            <v>243.39751000000004</v>
          </cell>
          <cell r="I32">
            <v>334.56796490399995</v>
          </cell>
          <cell r="J32">
            <v>396.50226480891769</v>
          </cell>
          <cell r="K32">
            <v>379.26895331278536</v>
          </cell>
          <cell r="L32">
            <v>387.82257300832805</v>
          </cell>
          <cell r="N32" t="str">
            <v>Net Profit</v>
          </cell>
          <cell r="O32">
            <v>-49.275592820892655</v>
          </cell>
          <cell r="P32">
            <v>96.61958032735734</v>
          </cell>
          <cell r="Q32">
            <v>327.5996269702328</v>
          </cell>
          <cell r="R32">
            <v>-16.333382877003487</v>
          </cell>
          <cell r="S32">
            <v>11.162542960894672</v>
          </cell>
          <cell r="T32">
            <v>43.638288281194917</v>
          </cell>
          <cell r="U32">
            <v>37.235023144900211</v>
          </cell>
          <cell r="V32">
            <v>19.15070887583985</v>
          </cell>
          <cell r="W32">
            <v>-4.0576363289669848</v>
          </cell>
          <cell r="X32">
            <v>2.2552912968039518</v>
          </cell>
        </row>
        <row r="33">
          <cell r="B33" t="str">
            <v>Effective Tax</v>
          </cell>
          <cell r="C33">
            <v>0</v>
          </cell>
          <cell r="D33">
            <v>0</v>
          </cell>
          <cell r="E33">
            <v>-2.8421709430404007E-14</v>
          </cell>
          <cell r="F33">
            <v>4.3869441210790487</v>
          </cell>
          <cell r="G33">
            <v>48.920437271193769</v>
          </cell>
          <cell r="H33">
            <v>68.125206000000034</v>
          </cell>
          <cell r="I33">
            <v>94.032977943000049</v>
          </cell>
          <cell r="J33">
            <v>109.90312275047734</v>
          </cell>
          <cell r="K33">
            <v>104.29896216101602</v>
          </cell>
          <cell r="L33">
            <v>106.65120757729024</v>
          </cell>
        </row>
        <row r="34">
          <cell r="B34" t="str">
            <v xml:space="preserve">Minority Interests </v>
          </cell>
          <cell r="C34">
            <v>0</v>
          </cell>
          <cell r="D34">
            <v>0</v>
          </cell>
          <cell r="E34">
            <v>0</v>
          </cell>
          <cell r="F34">
            <v>0</v>
          </cell>
          <cell r="G34">
            <v>0</v>
          </cell>
          <cell r="H34">
            <v>0</v>
          </cell>
          <cell r="I34">
            <v>0</v>
          </cell>
          <cell r="J34">
            <v>0</v>
          </cell>
          <cell r="K34">
            <v>0</v>
          </cell>
          <cell r="L34">
            <v>0</v>
          </cell>
          <cell r="N34" t="str">
            <v>Gross Customer Loans</v>
          </cell>
          <cell r="O34">
            <v>16.874829523661859</v>
          </cell>
          <cell r="P34">
            <v>20.584814639195592</v>
          </cell>
          <cell r="Q34">
            <v>8.8731818019098121</v>
          </cell>
          <cell r="R34">
            <v>14.302398892121237</v>
          </cell>
          <cell r="S34">
            <v>11.831625407317304</v>
          </cell>
          <cell r="T34">
            <v>5.5445705283399871</v>
          </cell>
          <cell r="U34">
            <v>16.873281626857949</v>
          </cell>
          <cell r="V34">
            <v>13.046403006933804</v>
          </cell>
          <cell r="W34">
            <v>11.364094532789881</v>
          </cell>
          <cell r="X34">
            <v>12.402616335753702</v>
          </cell>
        </row>
        <row r="35">
          <cell r="B35" t="str">
            <v>Preference Dividend</v>
          </cell>
          <cell r="C35">
            <v>0</v>
          </cell>
          <cell r="D35">
            <v>0</v>
          </cell>
          <cell r="E35">
            <v>0</v>
          </cell>
          <cell r="F35">
            <v>0</v>
          </cell>
          <cell r="G35">
            <v>0</v>
          </cell>
          <cell r="H35">
            <v>0</v>
          </cell>
          <cell r="I35">
            <v>0</v>
          </cell>
          <cell r="J35">
            <v>0</v>
          </cell>
          <cell r="K35">
            <v>0</v>
          </cell>
          <cell r="L35">
            <v>0</v>
          </cell>
          <cell r="N35" t="str">
            <v>Total Deposits</v>
          </cell>
          <cell r="O35">
            <v>20.305498208291262</v>
          </cell>
          <cell r="P35">
            <v>15.389922871921913</v>
          </cell>
          <cell r="Q35">
            <v>12.258937954969706</v>
          </cell>
          <cell r="R35">
            <v>7.7654261897086796</v>
          </cell>
          <cell r="S35">
            <v>4.8546454824977658</v>
          </cell>
          <cell r="T35">
            <v>9.18769091004914</v>
          </cell>
          <cell r="U35">
            <v>5.172830838689757</v>
          </cell>
          <cell r="V35">
            <v>4.9417379524641092</v>
          </cell>
          <cell r="W35">
            <v>6.1302533287015626</v>
          </cell>
          <cell r="X35">
            <v>8.4709729103287437</v>
          </cell>
        </row>
        <row r="36">
          <cell r="B36" t="str">
            <v>Net Profit</v>
          </cell>
          <cell r="C36">
            <v>15.605162999999962</v>
          </cell>
          <cell r="D36">
            <v>30.682805999999971</v>
          </cell>
          <cell r="E36">
            <v>131.19956400000009</v>
          </cell>
          <cell r="F36">
            <v>109.77023687892084</v>
          </cell>
          <cell r="G36">
            <v>122.02338672880623</v>
          </cell>
          <cell r="H36">
            <v>175.27230400000002</v>
          </cell>
          <cell r="I36">
            <v>240.5349869609999</v>
          </cell>
          <cell r="J36">
            <v>286.59914205844035</v>
          </cell>
          <cell r="K36">
            <v>274.96999115176936</v>
          </cell>
          <cell r="L36">
            <v>281.17136543103783</v>
          </cell>
          <cell r="N36" t="str">
            <v>Avg Earning Assets</v>
          </cell>
          <cell r="O36">
            <v>15.97959103957065</v>
          </cell>
          <cell r="P36">
            <v>15.127231430001586</v>
          </cell>
          <cell r="Q36">
            <v>-100</v>
          </cell>
          <cell r="R36" t="e">
            <v>#DIV/0!</v>
          </cell>
          <cell r="T36">
            <v>7.1403802823402529</v>
          </cell>
          <cell r="U36">
            <v>5.8860196896747707</v>
          </cell>
          <cell r="V36">
            <v>8.5141519773088703</v>
          </cell>
          <cell r="W36">
            <v>7.5270292072731726</v>
          </cell>
          <cell r="X36">
            <v>10.015494164378612</v>
          </cell>
        </row>
        <row r="37">
          <cell r="B37" t="str">
            <v>EPS - Reported (Won)</v>
          </cell>
          <cell r="C37">
            <v>129.58946188340775</v>
          </cell>
          <cell r="D37">
            <v>254.79825610363704</v>
          </cell>
          <cell r="E37">
            <v>992.99575402081427</v>
          </cell>
          <cell r="F37">
            <v>830.8059555642069</v>
          </cell>
          <cell r="G37">
            <v>923.5450272757331</v>
          </cell>
          <cell r="H37">
            <v>1326.5642686849574</v>
          </cell>
          <cell r="I37">
            <v>1820.5107811617777</v>
          </cell>
          <cell r="J37">
            <v>2169.1515009153482</v>
          </cell>
          <cell r="K37">
            <v>2081.1352215838742</v>
          </cell>
          <cell r="L37">
            <v>2128.0708831109769</v>
          </cell>
          <cell r="N37" t="str">
            <v>Total Interest-bearing Liab</v>
          </cell>
          <cell r="O37" t="e">
            <v>#DIV/0!</v>
          </cell>
          <cell r="P37" t="e">
            <v>#DIV/0!</v>
          </cell>
          <cell r="Q37" t="e">
            <v>#DIV/0!</v>
          </cell>
          <cell r="R37" t="e">
            <v>#DIV/0!</v>
          </cell>
          <cell r="T37">
            <v>6.8990393616055412</v>
          </cell>
          <cell r="U37">
            <v>5.858411532772978</v>
          </cell>
          <cell r="V37">
            <v>8.0595637119371908</v>
          </cell>
          <cell r="W37">
            <v>9.5304438500316557</v>
          </cell>
          <cell r="X37">
            <v>9.6424978769059635</v>
          </cell>
        </row>
        <row r="38">
          <cell r="B38" t="str">
            <v>EPS - ModelWare (Won)</v>
          </cell>
          <cell r="E38">
            <v>1013.2494304635768</v>
          </cell>
          <cell r="F38">
            <v>859.25791393695999</v>
          </cell>
          <cell r="G38">
            <v>954.53668668916737</v>
          </cell>
          <cell r="H38">
            <v>1365.079803216651</v>
          </cell>
          <cell r="I38">
            <v>1878.9637543916738</v>
          </cell>
          <cell r="J38">
            <v>2237.9490153293173</v>
          </cell>
          <cell r="K38">
            <v>2143.2715563568795</v>
          </cell>
          <cell r="L38">
            <v>2183.7078518344224</v>
          </cell>
          <cell r="N38" t="str">
            <v>Risk-weighted Assets</v>
          </cell>
          <cell r="O38" t="e">
            <v>#DIV/0!</v>
          </cell>
          <cell r="P38" t="e">
            <v>#DIV/0!</v>
          </cell>
          <cell r="Q38" t="e">
            <v>#DIV/0!</v>
          </cell>
          <cell r="R38">
            <v>7.5781305462630622</v>
          </cell>
          <cell r="S38">
            <v>6.3495368218855486</v>
          </cell>
          <cell r="T38">
            <v>14.964237479913445</v>
          </cell>
          <cell r="U38">
            <v>15.931281422262543</v>
          </cell>
          <cell r="V38">
            <v>7.1373663922500885</v>
          </cell>
          <cell r="W38">
            <v>19.287010129767346</v>
          </cell>
          <cell r="X38">
            <v>9.5031871878697327</v>
          </cell>
        </row>
        <row r="40">
          <cell r="B40" t="str">
            <v>Selective Balance Sheet Data</v>
          </cell>
          <cell r="N40" t="str">
            <v>Revenue Breakdown (%)</v>
          </cell>
        </row>
        <row r="41">
          <cell r="B41" t="str">
            <v>Won billions, Year ending Dec 31</v>
          </cell>
          <cell r="C41">
            <v>2000</v>
          </cell>
          <cell r="D41">
            <v>2001</v>
          </cell>
          <cell r="E41">
            <v>2002</v>
          </cell>
          <cell r="F41">
            <v>2003</v>
          </cell>
          <cell r="G41">
            <v>2004</v>
          </cell>
          <cell r="H41">
            <v>2005</v>
          </cell>
          <cell r="I41">
            <v>2006</v>
          </cell>
          <cell r="J41" t="str">
            <v>2007E</v>
          </cell>
          <cell r="K41" t="str">
            <v>2008E</v>
          </cell>
          <cell r="L41" t="str">
            <v>2009E</v>
          </cell>
          <cell r="N41" t="str">
            <v>NII/Operating Income</v>
          </cell>
          <cell r="O41">
            <v>82.793797599353738</v>
          </cell>
          <cell r="P41">
            <v>79.568827422204222</v>
          </cell>
          <cell r="Q41">
            <v>94.102846825848445</v>
          </cell>
          <cell r="R41">
            <v>93.696553276669732</v>
          </cell>
          <cell r="S41">
            <v>93.773568664997782</v>
          </cell>
          <cell r="T41">
            <v>95.35099238999301</v>
          </cell>
          <cell r="U41">
            <v>94.594015435915082</v>
          </cell>
          <cell r="V41">
            <v>82.415353429484853</v>
          </cell>
          <cell r="W41">
            <v>85.615436525819405</v>
          </cell>
          <cell r="X41">
            <v>86.547174411778343</v>
          </cell>
        </row>
        <row r="42">
          <cell r="B42" t="str">
            <v>Total Assets</v>
          </cell>
          <cell r="C42">
            <v>13028.76828</v>
          </cell>
          <cell r="D42">
            <v>14551.469909000001</v>
          </cell>
          <cell r="E42">
            <v>16020.457914000001</v>
          </cell>
          <cell r="F42">
            <v>16909.019744999998</v>
          </cell>
          <cell r="G42">
            <v>18584.948699</v>
          </cell>
          <cell r="H42">
            <v>19623.959286000001</v>
          </cell>
          <cell r="I42">
            <v>21857.747097563002</v>
          </cell>
          <cell r="J42">
            <v>22892.646994126611</v>
          </cell>
          <cell r="K42">
            <v>25058.178523756134</v>
          </cell>
          <cell r="L42">
            <v>27439.504134739251</v>
          </cell>
          <cell r="N42" t="str">
            <v>Non-interest Inc/Opg Income</v>
          </cell>
          <cell r="O42">
            <v>17.206202400646266</v>
          </cell>
          <cell r="P42">
            <v>20.43117257779577</v>
          </cell>
          <cell r="Q42">
            <v>5.897153174151561</v>
          </cell>
          <cell r="R42">
            <v>6.3034467233302722</v>
          </cell>
          <cell r="S42">
            <v>6.2264313350022187</v>
          </cell>
          <cell r="T42">
            <v>4.6490076100069953</v>
          </cell>
          <cell r="U42">
            <v>5.4059845640849185</v>
          </cell>
          <cell r="V42">
            <v>17.584646570515144</v>
          </cell>
          <cell r="W42">
            <v>14.384563474180595</v>
          </cell>
          <cell r="X42">
            <v>13.452825588221653</v>
          </cell>
        </row>
        <row r="43">
          <cell r="B43" t="str">
            <v>RWA</v>
          </cell>
          <cell r="C43">
            <v>0</v>
          </cell>
          <cell r="D43">
            <v>0</v>
          </cell>
          <cell r="E43">
            <v>9000.9930000000004</v>
          </cell>
          <cell r="F43">
            <v>9683.1</v>
          </cell>
          <cell r="G43">
            <v>10297.932000000001</v>
          </cell>
          <cell r="H43">
            <v>11838.939</v>
          </cell>
          <cell r="I43">
            <v>13725.033689499996</v>
          </cell>
          <cell r="J43">
            <v>14704.63963137937</v>
          </cell>
          <cell r="K43">
            <v>17540.724966629292</v>
          </cell>
          <cell r="L43">
            <v>19207.652894317474</v>
          </cell>
          <cell r="N43" t="str">
            <v>Forex Income/Operating Income</v>
          </cell>
          <cell r="O43">
            <v>2.5353030286027392</v>
          </cell>
          <cell r="P43">
            <v>1.9389354982686833</v>
          </cell>
          <cell r="Q43">
            <v>1.8073202341508645</v>
          </cell>
          <cell r="R43">
            <v>2.2195005616987196</v>
          </cell>
          <cell r="S43">
            <v>1.0704776270522924</v>
          </cell>
          <cell r="T43">
            <v>0.65028340541735008</v>
          </cell>
          <cell r="U43">
            <v>2.0822408732121653</v>
          </cell>
          <cell r="V43">
            <v>-0.46648896481877328</v>
          </cell>
          <cell r="W43">
            <v>0</v>
          </cell>
          <cell r="X43">
            <v>0</v>
          </cell>
        </row>
        <row r="44">
          <cell r="B44" t="str">
            <v>Total Liquid Assets</v>
          </cell>
          <cell r="C44">
            <v>5962.1525149999998</v>
          </cell>
          <cell r="D44">
            <v>6459.7277969999996</v>
          </cell>
          <cell r="E44">
            <v>6806.4684619999998</v>
          </cell>
          <cell r="F44">
            <v>6392.2568350000001</v>
          </cell>
          <cell r="G44">
            <v>6306.6910909999997</v>
          </cell>
          <cell r="H44">
            <v>6990.019558</v>
          </cell>
          <cell r="I44">
            <v>6916.715082701</v>
          </cell>
          <cell r="J44">
            <v>6057.3941127551834</v>
          </cell>
          <cell r="K44">
            <v>6395.1286551307076</v>
          </cell>
          <cell r="L44">
            <v>6536.4936267440326</v>
          </cell>
        </row>
        <row r="45">
          <cell r="B45" t="str">
            <v>Gross Customer Loans</v>
          </cell>
          <cell r="C45">
            <v>6882.8090649999995</v>
          </cell>
          <cell r="D45">
            <v>8299.6225530000011</v>
          </cell>
          <cell r="E45">
            <v>9036.0631510000003</v>
          </cell>
          <cell r="F45">
            <v>10328.436947</v>
          </cell>
          <cell r="G45">
            <v>11550.458917</v>
          </cell>
          <cell r="H45">
            <v>12190.882258</v>
          </cell>
          <cell r="I45">
            <v>14247.884154190999</v>
          </cell>
          <cell r="J45">
            <v>16106.72054090782</v>
          </cell>
          <cell r="K45">
            <v>17937.103489308869</v>
          </cell>
          <cell r="L45">
            <v>20161.773616834937</v>
          </cell>
          <cell r="N45" t="str">
            <v>Efficiency (%)</v>
          </cell>
        </row>
        <row r="46">
          <cell r="B46" t="str">
            <v>Total Customer Deposits</v>
          </cell>
          <cell r="C46">
            <v>8873.0444650000009</v>
          </cell>
          <cell r="D46">
            <v>10182.091259999999</v>
          </cell>
          <cell r="E46">
            <v>11062.237114</v>
          </cell>
          <cell r="F46">
            <v>12168.536905000001</v>
          </cell>
          <cell r="G46">
            <v>12489.438663999999</v>
          </cell>
          <cell r="H46">
            <v>13424.226704999999</v>
          </cell>
          <cell r="I46">
            <v>13225.490707831001</v>
          </cell>
          <cell r="J46">
            <v>12431.96126536114</v>
          </cell>
          <cell r="K46">
            <v>12183.322040053918</v>
          </cell>
          <cell r="L46">
            <v>12426.988480854996</v>
          </cell>
          <cell r="N46" t="str">
            <v>Cost/Income</v>
          </cell>
          <cell r="O46">
            <v>48.433895852877576</v>
          </cell>
          <cell r="P46">
            <v>44.849517628182141</v>
          </cell>
          <cell r="Q46">
            <v>44.597609483168519</v>
          </cell>
          <cell r="R46">
            <v>37.9</v>
          </cell>
          <cell r="S46">
            <v>44.651119455668166</v>
          </cell>
          <cell r="T46">
            <v>45.940634137583992</v>
          </cell>
          <cell r="U46">
            <v>48.829555575097032</v>
          </cell>
          <cell r="V46">
            <v>47.426131082857722</v>
          </cell>
          <cell r="W46">
            <v>49.219270113564278</v>
          </cell>
          <cell r="X46">
            <v>48.863006066283077</v>
          </cell>
        </row>
        <row r="47">
          <cell r="B47" t="str">
            <v>Certificates of Deposits</v>
          </cell>
          <cell r="C47">
            <v>136.52538000000001</v>
          </cell>
          <cell r="D47">
            <v>225.59719999999999</v>
          </cell>
          <cell r="E47">
            <v>603.66183199999978</v>
          </cell>
          <cell r="F47">
            <v>432.89160899999843</v>
          </cell>
          <cell r="G47">
            <v>700.82924800000001</v>
          </cell>
          <cell r="H47">
            <v>976.23114500000156</v>
          </cell>
          <cell r="I47">
            <v>1899.911154224</v>
          </cell>
          <cell r="J47">
            <v>3419.8400776031999</v>
          </cell>
          <cell r="K47">
            <v>4616.7841047643205</v>
          </cell>
          <cell r="L47">
            <v>5770.9801309554005</v>
          </cell>
          <cell r="N47" t="str">
            <v>Expenses/Avg Assets</v>
          </cell>
          <cell r="O47">
            <v>1.639892993456421</v>
          </cell>
          <cell r="P47">
            <v>1.3952032588082299</v>
          </cell>
          <cell r="Q47">
            <v>1.5492476782693207</v>
          </cell>
          <cell r="R47">
            <v>1.5906955993176448</v>
          </cell>
          <cell r="S47">
            <v>1.6706916752224743</v>
          </cell>
          <cell r="T47">
            <v>1.6815210480556735</v>
          </cell>
          <cell r="U47">
            <v>1.7419726983225741</v>
          </cell>
          <cell r="V47">
            <v>1.7427586595415461</v>
          </cell>
          <cell r="W47">
            <v>1.7311496622876863</v>
          </cell>
          <cell r="X47">
            <v>1.710705155171744</v>
          </cell>
        </row>
        <row r="48">
          <cell r="B48" t="str">
            <v>Other Interest Bearing Liability</v>
          </cell>
          <cell r="C48">
            <v>2751.1073500000002</v>
          </cell>
          <cell r="D48">
            <v>2682.7817380000015</v>
          </cell>
          <cell r="E48">
            <v>2820.9569869999996</v>
          </cell>
          <cell r="F48">
            <v>2785.8668209999996</v>
          </cell>
          <cell r="G48">
            <v>3410.4945430000007</v>
          </cell>
          <cell r="H48">
            <v>3392.2359759999999</v>
          </cell>
          <cell r="I48">
            <v>4154.7991992440002</v>
          </cell>
          <cell r="J48">
            <v>4262.1623079020028</v>
          </cell>
          <cell r="K48">
            <v>5211.1648079020051</v>
          </cell>
          <cell r="L48">
            <v>5922.2201079020015</v>
          </cell>
        </row>
        <row r="49">
          <cell r="B49" t="str">
            <v>EOP Shareholders' Equity</v>
          </cell>
          <cell r="C49">
            <v>532.42887800000005</v>
          </cell>
          <cell r="D49">
            <v>560.42844000000002</v>
          </cell>
          <cell r="E49">
            <v>712.17310000000009</v>
          </cell>
          <cell r="F49">
            <v>837.74458000000004</v>
          </cell>
          <cell r="G49">
            <v>949.07193300000006</v>
          </cell>
          <cell r="H49">
            <v>1076.9532260000001</v>
          </cell>
          <cell r="I49">
            <v>1261.7219761820002</v>
          </cell>
          <cell r="J49">
            <v>1465.2616775994404</v>
          </cell>
          <cell r="K49">
            <v>1654.3504187512096</v>
          </cell>
          <cell r="L49">
            <v>1843.0343268346421</v>
          </cell>
          <cell r="N49" t="str">
            <v>Rev Per Employee</v>
          </cell>
          <cell r="O49">
            <v>2.0775844771901492E-2</v>
          </cell>
          <cell r="P49">
            <v>2.2419741670804044E-2</v>
          </cell>
          <cell r="Q49">
            <v>5.1016887255608399E-2</v>
          </cell>
          <cell r="R49">
            <v>0.29669686039196702</v>
          </cell>
          <cell r="S49">
            <v>0.32455095454545441</v>
          </cell>
          <cell r="T49">
            <v>0.35334110106114203</v>
          </cell>
          <cell r="U49">
            <v>0.38169756083105488</v>
          </cell>
          <cell r="V49">
            <v>0.42035630917730871</v>
          </cell>
          <cell r="W49">
            <v>0.427896724508951</v>
          </cell>
          <cell r="X49">
            <v>0.46286631176354937</v>
          </cell>
        </row>
        <row r="50">
          <cell r="N50" t="str">
            <v>Exp Per Employee</v>
          </cell>
          <cell r="O50">
            <v>1.0062551019378281E-2</v>
          </cell>
          <cell r="P50">
            <v>1.0055145992840159E-2</v>
          </cell>
          <cell r="Q50">
            <v>2.2752312148724599E-2</v>
          </cell>
          <cell r="R50">
            <v>0.12673790273409144</v>
          </cell>
          <cell r="S50">
            <v>0.14491563440860214</v>
          </cell>
          <cell r="T50">
            <v>0.16232714249621016</v>
          </cell>
          <cell r="U50">
            <v>0.18638122259478976</v>
          </cell>
          <cell r="V50">
            <v>0.19935873420549313</v>
          </cell>
          <cell r="W50">
            <v>0.2106076446431546</v>
          </cell>
          <cell r="X50">
            <v>0.22617039399580385</v>
          </cell>
        </row>
        <row r="51">
          <cell r="B51" t="str">
            <v>Avg Loans</v>
          </cell>
          <cell r="C51">
            <v>6385.9260744999992</v>
          </cell>
          <cell r="D51">
            <v>7591.2158090000003</v>
          </cell>
          <cell r="E51">
            <v>8667.8428520000016</v>
          </cell>
          <cell r="F51">
            <v>9682.2500490000002</v>
          </cell>
          <cell r="G51">
            <v>10939.447931999999</v>
          </cell>
          <cell r="H51">
            <v>11870.670587500001</v>
          </cell>
          <cell r="I51">
            <v>13219.383206095499</v>
          </cell>
          <cell r="J51">
            <v>15177.302347549408</v>
          </cell>
          <cell r="K51">
            <v>17021.912015108344</v>
          </cell>
          <cell r="L51">
            <v>19049.438553071901</v>
          </cell>
          <cell r="N51" t="str">
            <v>Rev Per Branch</v>
          </cell>
          <cell r="O51">
            <v>0.36066065703022337</v>
          </cell>
          <cell r="P51">
            <v>0.37597769237510953</v>
          </cell>
          <cell r="Q51">
            <v>0.82776191893998441</v>
          </cell>
          <cell r="R51">
            <v>3.9556391096774184</v>
          </cell>
          <cell r="S51">
            <v>4.2160714476190462</v>
          </cell>
          <cell r="T51">
            <v>4.3978744591194969</v>
          </cell>
          <cell r="U51">
            <v>4.3912209001246287</v>
          </cell>
          <cell r="V51">
            <v>4.5805957701995315</v>
          </cell>
          <cell r="W51">
            <v>4.5829774029875745</v>
          </cell>
          <cell r="X51">
            <v>4.9674487139662293</v>
          </cell>
        </row>
        <row r="52">
          <cell r="B52" t="str">
            <v>Avg Total Assets</v>
          </cell>
          <cell r="C52">
            <v>12159.300137</v>
          </cell>
          <cell r="D52">
            <v>13790.119094500002</v>
          </cell>
          <cell r="E52">
            <v>15285.963911500001</v>
          </cell>
          <cell r="F52">
            <v>16464.738829499998</v>
          </cell>
          <cell r="G52">
            <v>17746.984221999999</v>
          </cell>
          <cell r="H52">
            <v>19104.453992499999</v>
          </cell>
          <cell r="I52">
            <v>20740.853191781502</v>
          </cell>
          <cell r="J52">
            <v>22375.197045844805</v>
          </cell>
          <cell r="K52">
            <v>23975.412758941373</v>
          </cell>
          <cell r="L52">
            <v>26248.841329247691</v>
          </cell>
          <cell r="N52" t="str">
            <v>Exp Per Branch</v>
          </cell>
          <cell r="O52">
            <v>0.1746820070083224</v>
          </cell>
          <cell r="P52">
            <v>0.1686241814198072</v>
          </cell>
          <cell r="Q52">
            <v>0.36916202805923615</v>
          </cell>
          <cell r="R52">
            <v>1.6897024258064515</v>
          </cell>
          <cell r="S52">
            <v>1.8825230984126984</v>
          </cell>
          <cell r="T52">
            <v>2.0204114150943391</v>
          </cell>
          <cell r="U52">
            <v>2.1442136498516318</v>
          </cell>
          <cell r="V52">
            <v>2.1723993543506661</v>
          </cell>
          <cell r="W52">
            <v>2.2557080272200678</v>
          </cell>
          <cell r="X52">
            <v>2.4272447664448196</v>
          </cell>
        </row>
        <row r="53">
          <cell r="B53" t="str">
            <v>Avg Total Deposits</v>
          </cell>
          <cell r="C53">
            <v>8296.3607030000003</v>
          </cell>
          <cell r="D53">
            <v>9758.2770999999993</v>
          </cell>
          <cell r="E53">
            <v>11096.3880395</v>
          </cell>
          <cell r="F53">
            <v>12192.979877</v>
          </cell>
          <cell r="G53">
            <v>12955.728714000001</v>
          </cell>
          <cell r="H53">
            <v>13872.0239815</v>
          </cell>
          <cell r="I53">
            <v>14855.840814868501</v>
          </cell>
          <cell r="J53">
            <v>15606.71015915192</v>
          </cell>
          <cell r="K53">
            <v>16472.933281046091</v>
          </cell>
          <cell r="L53">
            <v>17681.292004386269</v>
          </cell>
          <cell r="N53" t="str">
            <v>Net Profit Per Branch</v>
          </cell>
          <cell r="O53">
            <v>1.3670751642575526E-2</v>
          </cell>
          <cell r="P53">
            <v>2.6891153374233104E-2</v>
          </cell>
          <cell r="Q53">
            <v>0.2045199750584569</v>
          </cell>
          <cell r="R53">
            <v>0.70819507663819892</v>
          </cell>
          <cell r="S53">
            <v>0.77475166177019827</v>
          </cell>
          <cell r="T53">
            <v>1.1023415345911951</v>
          </cell>
          <cell r="U53">
            <v>1.4275073410148362</v>
          </cell>
          <cell r="V53">
            <v>1.5966526019968821</v>
          </cell>
          <cell r="W53">
            <v>1.4944021258248334</v>
          </cell>
          <cell r="X53">
            <v>1.5198452185461504</v>
          </cell>
        </row>
        <row r="54">
          <cell r="B54" t="str">
            <v>Avg Shareholders' Equity</v>
          </cell>
          <cell r="D54">
            <v>546.42865900000004</v>
          </cell>
          <cell r="E54">
            <v>636.30077000000006</v>
          </cell>
          <cell r="F54">
            <v>774.95884000000001</v>
          </cell>
          <cell r="G54">
            <v>893.40825650000011</v>
          </cell>
          <cell r="H54">
            <v>1013.0125795000001</v>
          </cell>
          <cell r="I54">
            <v>1169.3376010910001</v>
          </cell>
          <cell r="J54">
            <v>1363.4918268907204</v>
          </cell>
          <cell r="K54">
            <v>1559.806048175325</v>
          </cell>
          <cell r="L54">
            <v>1748.6923727929259</v>
          </cell>
        </row>
        <row r="55">
          <cell r="B55" t="str">
            <v>Avg Equity/Avg Assets (%)</v>
          </cell>
          <cell r="C55">
            <v>4.2892668214757794</v>
          </cell>
          <cell r="D55">
            <v>3.96246511908614</v>
          </cell>
          <cell r="E55">
            <v>4.1626473389832848</v>
          </cell>
          <cell r="F55">
            <v>4.7067788200290206</v>
          </cell>
          <cell r="G55">
            <v>5.0341412677455875</v>
          </cell>
          <cell r="H55">
            <v>5.3024942764534764</v>
          </cell>
          <cell r="I55">
            <v>5.6378471525672174</v>
          </cell>
          <cell r="J55">
            <v>6.09376455589216</v>
          </cell>
          <cell r="K55">
            <v>6.5058569120717724</v>
          </cell>
          <cell r="L55">
            <v>6.6619792883751057</v>
          </cell>
          <cell r="N55" t="str">
            <v>Net Interest Margin Analysis (%)</v>
          </cell>
        </row>
        <row r="56">
          <cell r="B56" t="str">
            <v>Avg EA/Avg Assets (%)</v>
          </cell>
          <cell r="C56">
            <v>89.451225140031269</v>
          </cell>
          <cell r="D56">
            <v>90.803986569588204</v>
          </cell>
          <cell r="E56">
            <v>0</v>
          </cell>
          <cell r="F56">
            <v>90.19338641143797</v>
          </cell>
          <cell r="G56">
            <v>88.907848374403102</v>
          </cell>
          <cell r="H56">
            <v>88.487763150083154</v>
          </cell>
          <cell r="I56">
            <v>86.303786948807272</v>
          </cell>
          <cell r="J56">
            <v>86.811244535412442</v>
          </cell>
          <cell r="K56">
            <v>87.1152937520839</v>
          </cell>
          <cell r="L56">
            <v>87.539530756534518</v>
          </cell>
          <cell r="N56" t="str">
            <v>Int Income/Avg EA</v>
          </cell>
          <cell r="O56">
            <v>8.8484681093292874</v>
          </cell>
          <cell r="P56">
            <v>7.7832875406960449</v>
          </cell>
          <cell r="Q56" t="e">
            <v>#DIV/0!</v>
          </cell>
          <cell r="R56">
            <v>7.073698293959942</v>
          </cell>
          <cell r="S56">
            <v>6.6093197910558992</v>
          </cell>
          <cell r="T56">
            <v>6.2739572616648784</v>
          </cell>
          <cell r="U56">
            <v>6.4903620106807249</v>
          </cell>
          <cell r="V56">
            <v>6.573786887799991</v>
          </cell>
          <cell r="W56">
            <v>6.6962604360194078</v>
          </cell>
          <cell r="X56">
            <v>6.7695379261876809</v>
          </cell>
        </row>
        <row r="57">
          <cell r="B57" t="str">
            <v>Avg Loans/Avg EA (%)</v>
          </cell>
          <cell r="C57">
            <v>58.712289344609822</v>
          </cell>
          <cell r="D57">
            <v>60.623136978697254</v>
          </cell>
          <cell r="E57" t="e">
            <v>#DIV/0!</v>
          </cell>
          <cell r="F57">
            <v>65.199873763795935</v>
          </cell>
          <cell r="G57">
            <v>69.331523279202571</v>
          </cell>
          <cell r="H57">
            <v>70.219447259833473</v>
          </cell>
          <cell r="I57">
            <v>73.850718003925863</v>
          </cell>
          <cell r="J57">
            <v>78.136100778758205</v>
          </cell>
          <cell r="K57">
            <v>81.498167424749838</v>
          </cell>
          <cell r="L57">
            <v>82.902538358273432</v>
          </cell>
          <cell r="N57" t="str">
            <v>Int Exp/Avg Int Bearing Liab.</v>
          </cell>
          <cell r="O57" t="e">
            <v>#DIV/0!</v>
          </cell>
          <cell r="P57" t="e">
            <v>#DIV/0!</v>
          </cell>
          <cell r="Q57" t="e">
            <v>#DIV/0!</v>
          </cell>
          <cell r="R57">
            <v>3.4374982223136863</v>
          </cell>
          <cell r="S57">
            <v>2.9716624752967347</v>
          </cell>
          <cell r="T57">
            <v>2.6102938971449956</v>
          </cell>
          <cell r="U57">
            <v>2.9216774300978026</v>
          </cell>
          <cell r="V57">
            <v>3.4234127499754949</v>
          </cell>
          <cell r="W57">
            <v>3.4968448793650251</v>
          </cell>
          <cell r="X57">
            <v>3.5753924944599453</v>
          </cell>
        </row>
        <row r="58">
          <cell r="N58" t="str">
            <v xml:space="preserve">Net Interest Spread </v>
          </cell>
          <cell r="O58">
            <v>0</v>
          </cell>
          <cell r="P58">
            <v>0</v>
          </cell>
          <cell r="Q58">
            <v>0</v>
          </cell>
          <cell r="R58">
            <v>3.6362000716462552</v>
          </cell>
          <cell r="S58">
            <v>3.637657315759165</v>
          </cell>
          <cell r="T58">
            <v>3.6636633645198828</v>
          </cell>
          <cell r="U58">
            <v>3.5686845805829233</v>
          </cell>
          <cell r="V58">
            <v>3.1503741378244965</v>
          </cell>
          <cell r="W58">
            <v>3.1994155566543827</v>
          </cell>
          <cell r="X58">
            <v>3.194145431727736</v>
          </cell>
        </row>
        <row r="59">
          <cell r="B59" t="str">
            <v>Asset Quality</v>
          </cell>
          <cell r="N59" t="str">
            <v>Contribution From Free Funds</v>
          </cell>
          <cell r="O59">
            <v>3.133845754144629</v>
          </cell>
          <cell r="P59">
            <v>2.7259491350720646</v>
          </cell>
          <cell r="Q59">
            <v>0</v>
          </cell>
          <cell r="R59">
            <v>-2.131221853767995E-2</v>
          </cell>
          <cell r="S59">
            <v>3.4151802864135217E-2</v>
          </cell>
          <cell r="T59">
            <v>3.5811066397547275E-2</v>
          </cell>
          <cell r="U59">
            <v>4.083432169057355E-2</v>
          </cell>
          <cell r="V59">
            <v>6.198768441845548E-2</v>
          </cell>
          <cell r="W59">
            <v>-6.5524168161568141E-4</v>
          </cell>
          <cell r="X59">
            <v>1.1454314217627104E-2</v>
          </cell>
        </row>
        <row r="60">
          <cell r="B60" t="str">
            <v>Won billions, Year ending Dec 31</v>
          </cell>
          <cell r="C60">
            <v>2000</v>
          </cell>
          <cell r="D60">
            <v>2001</v>
          </cell>
          <cell r="E60">
            <v>2002</v>
          </cell>
          <cell r="F60">
            <v>2003</v>
          </cell>
          <cell r="G60">
            <v>2004</v>
          </cell>
          <cell r="H60">
            <v>2005</v>
          </cell>
          <cell r="I60">
            <v>2006</v>
          </cell>
          <cell r="J60" t="str">
            <v>2007E</v>
          </cell>
          <cell r="K60" t="str">
            <v>2008E</v>
          </cell>
          <cell r="L60" t="str">
            <v>2009E</v>
          </cell>
          <cell r="N60" t="str">
            <v>Net Interest Margin</v>
          </cell>
          <cell r="O60">
            <v>3.133845754144629</v>
          </cell>
          <cell r="P60">
            <v>2.7259491350720646</v>
          </cell>
          <cell r="Q60">
            <v>0</v>
          </cell>
          <cell r="R60">
            <v>3.6148878531085753</v>
          </cell>
          <cell r="S60">
            <v>3.6718091186233002</v>
          </cell>
          <cell r="T60">
            <v>3.6994744309174301</v>
          </cell>
          <cell r="U60">
            <v>3.6095189022734968</v>
          </cell>
          <cell r="V60">
            <v>3.212361822242952</v>
          </cell>
          <cell r="W60">
            <v>3.198760314972767</v>
          </cell>
          <cell r="X60">
            <v>3.2055997459453631</v>
          </cell>
        </row>
        <row r="61">
          <cell r="B61" t="str">
            <v>Non-performing Loans (NPL)</v>
          </cell>
          <cell r="C61">
            <v>0</v>
          </cell>
          <cell r="D61">
            <v>0</v>
          </cell>
          <cell r="E61">
            <v>217.649</v>
          </cell>
          <cell r="F61">
            <v>236.88145500000002</v>
          </cell>
          <cell r="G61">
            <v>159.47999999999999</v>
          </cell>
          <cell r="H61">
            <v>118.245</v>
          </cell>
          <cell r="I61">
            <v>105.184</v>
          </cell>
          <cell r="J61">
            <v>139.01811632209984</v>
          </cell>
          <cell r="K61">
            <v>186.72139276253719</v>
          </cell>
          <cell r="L61">
            <v>220.80719635920269</v>
          </cell>
        </row>
        <row r="62">
          <cell r="B62" t="str">
            <v>Gross NPL Ratio (%)</v>
          </cell>
          <cell r="C62">
            <v>0</v>
          </cell>
          <cell r="D62">
            <v>0</v>
          </cell>
          <cell r="E62">
            <v>2.2786147801066434</v>
          </cell>
          <cell r="F62">
            <v>2.2881009967990198</v>
          </cell>
          <cell r="G62">
            <v>1.4617314258233165</v>
          </cell>
          <cell r="H62">
            <v>0.9701441412097328</v>
          </cell>
          <cell r="I62">
            <v>0.74036252593246721</v>
          </cell>
          <cell r="J62">
            <v>0.8435448074458306</v>
          </cell>
          <cell r="K62">
            <v>1.0207228949849638</v>
          </cell>
          <cell r="L62">
            <v>1.0776770325315848</v>
          </cell>
          <cell r="N62" t="str">
            <v>Liquidity (%)</v>
          </cell>
        </row>
        <row r="63">
          <cell r="B63" t="str">
            <v>Loan Loss Reserve (LLR)</v>
          </cell>
          <cell r="C63">
            <v>289.37106899999998</v>
          </cell>
          <cell r="D63">
            <v>0</v>
          </cell>
          <cell r="E63">
            <v>154.84034800000003</v>
          </cell>
          <cell r="F63">
            <v>213.47799999999995</v>
          </cell>
          <cell r="G63">
            <v>168.25799999999995</v>
          </cell>
          <cell r="H63">
            <v>203.67199999999997</v>
          </cell>
          <cell r="I63">
            <v>199.94499999999999</v>
          </cell>
          <cell r="J63">
            <v>247.88861801459262</v>
          </cell>
          <cell r="K63">
            <v>323.02949627916291</v>
          </cell>
          <cell r="L63">
            <v>383.04120030021824</v>
          </cell>
          <cell r="N63" t="str">
            <v>Avg Loans/Avg EA</v>
          </cell>
          <cell r="O63">
            <v>58.712289344609822</v>
          </cell>
          <cell r="P63">
            <v>60.623136978697254</v>
          </cell>
          <cell r="Q63" t="e">
            <v>#DIV/0!</v>
          </cell>
          <cell r="R63">
            <v>65.199873763795935</v>
          </cell>
          <cell r="S63">
            <v>69.331523279202571</v>
          </cell>
          <cell r="T63">
            <v>70.219447259833473</v>
          </cell>
          <cell r="U63">
            <v>73.850718003925863</v>
          </cell>
          <cell r="V63">
            <v>78.136100778758205</v>
          </cell>
          <cell r="W63">
            <v>81.498167424749838</v>
          </cell>
          <cell r="X63">
            <v>82.902538358273432</v>
          </cell>
        </row>
        <row r="64">
          <cell r="B64" t="str">
            <v>LLR/NPL (%)</v>
          </cell>
          <cell r="C64" t="str">
            <v>na</v>
          </cell>
          <cell r="D64" t="str">
            <v>na</v>
          </cell>
          <cell r="E64">
            <v>71.142228082830627</v>
          </cell>
          <cell r="F64">
            <v>90.12018268800314</v>
          </cell>
          <cell r="G64">
            <v>105.50413844996235</v>
          </cell>
          <cell r="H64">
            <v>172.24576092012344</v>
          </cell>
          <cell r="I64">
            <v>190.09069820505019</v>
          </cell>
          <cell r="J64">
            <v>178.31389503238833</v>
          </cell>
          <cell r="K64">
            <v>173.00079626653999</v>
          </cell>
          <cell r="L64">
            <v>173.47315061104169</v>
          </cell>
          <cell r="N64" t="str">
            <v>Avg Liquid Assets/AEA</v>
          </cell>
          <cell r="O64">
            <v>50.307254156280393</v>
          </cell>
          <cell r="P64">
            <v>49.600312429173265</v>
          </cell>
          <cell r="Q64" t="e">
            <v>#DIV/0!</v>
          </cell>
          <cell r="R64">
            <v>44.439836755522528</v>
          </cell>
          <cell r="S64">
            <v>40.241400170542455</v>
          </cell>
          <cell r="T64">
            <v>39.327503246948368</v>
          </cell>
          <cell r="U64">
            <v>38.845319872120569</v>
          </cell>
          <cell r="V64">
            <v>33.396788190572671</v>
          </cell>
          <cell r="W64">
            <v>29.810334599805937</v>
          </cell>
          <cell r="X64">
            <v>28.139000245887662</v>
          </cell>
        </row>
        <row r="65">
          <cell r="B65" t="str">
            <v>LLR/Total Credit (%)</v>
          </cell>
          <cell r="C65">
            <v>3.0002086490841178</v>
          </cell>
          <cell r="D65">
            <v>0</v>
          </cell>
          <cell r="E65">
            <v>0</v>
          </cell>
          <cell r="F65">
            <v>2.0620407984012981</v>
          </cell>
          <cell r="G65">
            <v>1.5421871472672413</v>
          </cell>
          <cell r="H65">
            <v>1.6710321580487015</v>
          </cell>
          <cell r="I65">
            <v>1.4073602947935728</v>
          </cell>
          <cell r="J65">
            <v>1.5041576025001209</v>
          </cell>
          <cell r="K65">
            <v>1.7658587359988664</v>
          </cell>
          <cell r="L65">
            <v>1.8694803017441208</v>
          </cell>
          <cell r="N65" t="str">
            <v>Avg Loans/Avg Deposits</v>
          </cell>
          <cell r="O65">
            <v>76.972618514414648</v>
          </cell>
          <cell r="P65">
            <v>77.792582965285959</v>
          </cell>
          <cell r="Q65">
            <v>78.114092812408288</v>
          </cell>
          <cell r="R65">
            <v>79.408398493824564</v>
          </cell>
          <cell r="S65">
            <v>84.437148797186509</v>
          </cell>
          <cell r="T65">
            <v>85.572736922391115</v>
          </cell>
          <cell r="U65">
            <v>88.984416101610691</v>
          </cell>
          <cell r="V65">
            <v>97.248569319071365</v>
          </cell>
          <cell r="W65">
            <v>103.33261068138917</v>
          </cell>
          <cell r="X65">
            <v>107.7378199983702</v>
          </cell>
        </row>
        <row r="66">
          <cell r="N66" t="str">
            <v>Avg Loans/Avg Depo &amp; Equity</v>
          </cell>
          <cell r="O66">
            <v>74.465563103114533</v>
          </cell>
          <cell r="P66">
            <v>75.354560553984413</v>
          </cell>
          <cell r="Q66">
            <v>76.989561943884127</v>
          </cell>
          <cell r="R66">
            <v>78.143501130686502</v>
          </cell>
          <cell r="S66">
            <v>82.734232873368512</v>
          </cell>
          <cell r="T66">
            <v>84.973529507091044</v>
          </cell>
          <cell r="U66">
            <v>91.204665133790286</v>
          </cell>
          <cell r="V66">
            <v>106.94101899370862</v>
          </cell>
          <cell r="W66">
            <v>122.7472594976844</v>
          </cell>
          <cell r="X66">
            <v>135.54607286339422</v>
          </cell>
        </row>
        <row r="67">
          <cell r="B67" t="str">
            <v>Specific Reserve</v>
          </cell>
          <cell r="C67">
            <v>0</v>
          </cell>
          <cell r="D67">
            <v>0</v>
          </cell>
          <cell r="E67">
            <v>45.429604999999995</v>
          </cell>
          <cell r="F67">
            <v>49.084660000000007</v>
          </cell>
          <cell r="G67">
            <v>51.95835000000001</v>
          </cell>
          <cell r="H67">
            <v>59.055494999999993</v>
          </cell>
          <cell r="I67">
            <v>69.303245000000004</v>
          </cell>
          <cell r="J67">
            <v>80.388004878434941</v>
          </cell>
          <cell r="K67">
            <v>89.050561599431873</v>
          </cell>
          <cell r="L67">
            <v>99.538819781888293</v>
          </cell>
          <cell r="N67" t="str">
            <v>Period-End Loans/Deposits</v>
          </cell>
          <cell r="O67">
            <v>75.960525534395558</v>
          </cell>
          <cell r="P67">
            <v>79.380293040215051</v>
          </cell>
          <cell r="Q67">
            <v>76.9861646038636</v>
          </cell>
          <cell r="R67">
            <v>81.656089590686094</v>
          </cell>
          <cell r="S67">
            <v>87.089448267279749</v>
          </cell>
          <cell r="T67">
            <v>84.183650540723647</v>
          </cell>
          <cell r="U67">
            <v>93.549060337773042</v>
          </cell>
          <cell r="V67">
            <v>100.77386731153848</v>
          </cell>
          <cell r="W67">
            <v>105.74355693808555</v>
          </cell>
          <cell r="X67">
            <v>109.57634232999278</v>
          </cell>
        </row>
        <row r="68">
          <cell r="B68" t="str">
            <v>Specific Reserve/NPLs (%)</v>
          </cell>
          <cell r="C68" t="str">
            <v>na</v>
          </cell>
          <cell r="D68" t="str">
            <v>na</v>
          </cell>
          <cell r="E68">
            <v>20.872875593271733</v>
          </cell>
          <cell r="F68">
            <v>20.721191534390062</v>
          </cell>
          <cell r="G68">
            <v>32.579853273137701</v>
          </cell>
          <cell r="H68">
            <v>49.943333756184188</v>
          </cell>
          <cell r="I68">
            <v>65.887630247946461</v>
          </cell>
          <cell r="J68">
            <v>57.82556044147433</v>
          </cell>
          <cell r="K68">
            <v>47.691675968099631</v>
          </cell>
          <cell r="L68">
            <v>45.07951797909768</v>
          </cell>
        </row>
        <row r="69">
          <cell r="B69" t="str">
            <v>General Reserve</v>
          </cell>
          <cell r="C69">
            <v>289.37106899999998</v>
          </cell>
          <cell r="D69">
            <v>0</v>
          </cell>
          <cell r="E69">
            <v>109.41074300000004</v>
          </cell>
          <cell r="F69">
            <v>164.39333999999994</v>
          </cell>
          <cell r="G69">
            <v>116.29964999999994</v>
          </cell>
          <cell r="H69">
            <v>144.61650499999996</v>
          </cell>
          <cell r="I69">
            <v>130.64175499999999</v>
          </cell>
          <cell r="J69">
            <v>167.50061313615768</v>
          </cell>
          <cell r="K69">
            <v>233.97893467973103</v>
          </cell>
          <cell r="L69">
            <v>283.50238051832991</v>
          </cell>
          <cell r="N69" t="str">
            <v>Capital Information</v>
          </cell>
        </row>
        <row r="70">
          <cell r="B70" t="str">
            <v>General Reserve/NPLs (%)</v>
          </cell>
          <cell r="C70" t="e">
            <v>#DIV/0!</v>
          </cell>
          <cell r="D70" t="e">
            <v>#DIV/0!</v>
          </cell>
          <cell r="E70">
            <v>50.269352489558891</v>
          </cell>
          <cell r="F70">
            <v>69.398991153613068</v>
          </cell>
          <cell r="G70">
            <v>72.92428517682464</v>
          </cell>
          <cell r="H70">
            <v>122.30242716393924</v>
          </cell>
          <cell r="I70">
            <v>124.20306795710374</v>
          </cell>
          <cell r="J70">
            <v>120.48833459091399</v>
          </cell>
          <cell r="K70">
            <v>125.30912029844035</v>
          </cell>
          <cell r="L70">
            <v>128.393632631944</v>
          </cell>
          <cell r="N70" t="str">
            <v>Tier 1 Ratio (%)</v>
          </cell>
          <cell r="O70" t="e">
            <v>#DIV/0!</v>
          </cell>
          <cell r="P70" t="e">
            <v>#DIV/0!</v>
          </cell>
          <cell r="Q70">
            <v>7.8373241707887118</v>
          </cell>
          <cell r="R70">
            <v>8.216046514029598</v>
          </cell>
          <cell r="S70">
            <v>8.6523002870867654</v>
          </cell>
          <cell r="T70">
            <v>8.4983037753636523</v>
          </cell>
          <cell r="U70">
            <v>8.3964456923819952</v>
          </cell>
          <cell r="V70">
            <v>9.1468956970532549</v>
          </cell>
          <cell r="W70">
            <v>8.7207738728041839</v>
          </cell>
          <cell r="X70">
            <v>8.9232470121791341</v>
          </cell>
        </row>
        <row r="71">
          <cell r="B71" t="str">
            <v>Net Charge-offs (NCO)</v>
          </cell>
          <cell r="C71">
            <v>1255.2463950000001</v>
          </cell>
          <cell r="D71">
            <v>1785.11</v>
          </cell>
          <cell r="E71">
            <v>0</v>
          </cell>
          <cell r="F71">
            <v>194.10000000000002</v>
          </cell>
          <cell r="G71">
            <v>228.39999999999998</v>
          </cell>
          <cell r="H71">
            <v>119.703</v>
          </cell>
          <cell r="I71">
            <v>90.47</v>
          </cell>
          <cell r="J71">
            <v>9.9256817423708057</v>
          </cell>
          <cell r="K71">
            <v>-2.0443160381159666</v>
          </cell>
          <cell r="L71">
            <v>40.903874314268691</v>
          </cell>
          <cell r="N71" t="str">
            <v>Tier 2 Ratio (%)</v>
          </cell>
          <cell r="O71" t="e">
            <v>#DIV/0!</v>
          </cell>
          <cell r="P71" t="e">
            <v>#DIV/0!</v>
          </cell>
          <cell r="Q71">
            <v>3.0218999170424858</v>
          </cell>
          <cell r="R71">
            <v>2.3749315818281334</v>
          </cell>
          <cell r="S71">
            <v>2.016230054733319</v>
          </cell>
          <cell r="T71">
            <v>2.8430503780786434</v>
          </cell>
          <cell r="U71">
            <v>2.9330492668150629</v>
          </cell>
          <cell r="V71">
            <v>3.3622370699359112</v>
          </cell>
          <cell r="W71">
            <v>3.2036798405554903</v>
          </cell>
          <cell r="X71">
            <v>3.2063717469526436</v>
          </cell>
        </row>
        <row r="72">
          <cell r="B72" t="str">
            <v>NCO/Avg Total Credit (%)</v>
          </cell>
          <cell r="C72" t="e">
            <v>#DIV/0!</v>
          </cell>
          <cell r="D72" t="e">
            <v>#DIV/0!</v>
          </cell>
          <cell r="E72">
            <v>0</v>
          </cell>
          <cell r="F72">
            <v>1.9503063298600405</v>
          </cell>
          <cell r="G72">
            <v>2.1483224330350894</v>
          </cell>
          <cell r="H72">
            <v>1.0364459643346842</v>
          </cell>
          <cell r="I72">
            <v>0.68549591939743948</v>
          </cell>
          <cell r="J72">
            <v>6.4689133877418883E-2</v>
          </cell>
          <cell r="K72">
            <v>-1.1757969599729957E-2</v>
          </cell>
          <cell r="L72">
            <v>0.21094129416293961</v>
          </cell>
          <cell r="N72" t="str">
            <v>Total CAR (%)</v>
          </cell>
          <cell r="O72" t="e">
            <v>#DIV/0!</v>
          </cell>
          <cell r="P72" t="e">
            <v>#DIV/0!</v>
          </cell>
          <cell r="Q72">
            <v>10.859224087831198</v>
          </cell>
          <cell r="R72">
            <v>10.590978095857732</v>
          </cell>
          <cell r="S72">
            <v>10.668530341820084</v>
          </cell>
          <cell r="T72">
            <v>11.341354153442296</v>
          </cell>
          <cell r="U72">
            <v>11.329494959197058</v>
          </cell>
          <cell r="V72">
            <v>12.509132766989167</v>
          </cell>
          <cell r="W72">
            <v>11.924453713359675</v>
          </cell>
          <cell r="X72">
            <v>12.129618759131777</v>
          </cell>
        </row>
        <row r="73">
          <cell r="B73" t="str">
            <v>LLPE/Avg Loans (%)</v>
          </cell>
          <cell r="C73">
            <v>2.3083701452266165</v>
          </cell>
          <cell r="D73">
            <v>1.0693968534494078</v>
          </cell>
          <cell r="E73">
            <v>1.8024323083332243</v>
          </cell>
          <cell r="F73">
            <v>2.1692581676476386</v>
          </cell>
          <cell r="G73">
            <v>1.8768588805967545</v>
          </cell>
          <cell r="H73">
            <v>1.2219865670668033</v>
          </cell>
          <cell r="I73">
            <v>0.34690725947678308</v>
          </cell>
          <cell r="J73">
            <v>0.3006831786040815</v>
          </cell>
          <cell r="K73">
            <v>0.31728644134335532</v>
          </cell>
          <cell r="L73">
            <v>0.46000844125405632</v>
          </cell>
        </row>
        <row r="74">
          <cell r="B74" t="str">
            <v>*Note: we have applied accounting change about reclassification of credit card income, starting from 2004.</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Capex"/>
      <sheetName val="Disclaimer"/>
      <sheetName val="Quarterly"/>
      <sheetName val="E&amp;P"/>
      <sheetName val="Hamaca"/>
      <sheetName val="Bohai"/>
      <sheetName val="Bayu Undan"/>
      <sheetName val="Normalized"/>
      <sheetName val="R&amp;M"/>
      <sheetName val="DDM"/>
      <sheetName val="Segment ROCE"/>
      <sheetName val="ARCO - Alaska"/>
      <sheetName val="GE Data"/>
      <sheetName val="B Sheet"/>
      <sheetName val="Reserves"/>
      <sheetName val="WACC"/>
      <sheetName val="Valuation"/>
      <sheetName val="NAV"/>
      <sheetName val="Chemical JV"/>
      <sheetName val="Chems"/>
      <sheetName val="GPM"/>
      <sheetName val="PUDS"/>
      <sheetName val="EKOFISK"/>
      <sheetName val="IndexInformation"/>
      <sheetName val="MainCode"/>
      <sheetName val="NY UPLOAD.bak"/>
      <sheetName val="NY UPLOAD Shadow.bak"/>
      <sheetName val="NY UPLOAD"/>
      <sheetName val="NY UPLOAD Shadow"/>
      <sheetName val="Ratios"/>
      <sheetName val="BS"/>
      <sheetName val="TOSCO"/>
      <sheetName val="ROGIC"/>
      <sheetName val="NEPS"/>
      <sheetName val="RefineryMaint"/>
      <sheetName val="Variance"/>
      <sheetName val="Distribution"/>
      <sheetName val="A-Link Source"/>
      <sheetName val="Q-Link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PS 1yr forward"/>
      <sheetName val="FIM"/>
      <sheetName val="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KOREA EXCHANGE BANK (004940.KS)</v>
          </cell>
          <cell r="O2" t="str">
            <v>Foreign exchange rate</v>
          </cell>
          <cell r="W2">
            <v>950</v>
          </cell>
        </row>
        <row r="3">
          <cell r="O3" t="str">
            <v>Current share price</v>
          </cell>
          <cell r="W3">
            <v>15400</v>
          </cell>
          <cell r="X3">
            <v>16.210526315789473</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36712.699999999997</v>
          </cell>
          <cell r="D7">
            <v>39616.114000000001</v>
          </cell>
          <cell r="E7">
            <v>42159.420999999988</v>
          </cell>
          <cell r="F7">
            <v>48507.203999999998</v>
          </cell>
          <cell r="G7">
            <v>52412.587125000005</v>
          </cell>
          <cell r="H7">
            <v>51063.144948590008</v>
          </cell>
          <cell r="I7">
            <v>52715.690999999999</v>
          </cell>
          <cell r="J7">
            <v>58382.284</v>
          </cell>
          <cell r="K7">
            <v>67320.65325039516</v>
          </cell>
          <cell r="L7">
            <v>72942.624488928326</v>
          </cell>
          <cell r="M7">
            <v>79616.158262276629</v>
          </cell>
          <cell r="O7" t="str">
            <v>Book Value Per Share (Won)</v>
          </cell>
          <cell r="P7">
            <v>6359.8039330548954</v>
          </cell>
          <cell r="Q7">
            <v>7538.6002932977171</v>
          </cell>
          <cell r="R7">
            <v>8307.7824833441719</v>
          </cell>
          <cell r="S7">
            <v>4816.0286043251181</v>
          </cell>
          <cell r="T7">
            <v>4542.3460907824228</v>
          </cell>
          <cell r="U7">
            <v>8772.8471337346327</v>
          </cell>
          <cell r="V7">
            <v>9891.6071947422679</v>
          </cell>
          <cell r="W7">
            <v>10312.806023858087</v>
          </cell>
          <cell r="X7">
            <v>11262.703535205859</v>
          </cell>
          <cell r="Y7">
            <v>11981.349850223576</v>
          </cell>
          <cell r="Z7">
            <v>12811.132848086339</v>
          </cell>
        </row>
        <row r="8">
          <cell r="B8" t="str">
            <v>Net Interest Margin (%)</v>
          </cell>
          <cell r="C8">
            <v>1.7274648827245072</v>
          </cell>
          <cell r="D8">
            <v>2.4421123182349485</v>
          </cell>
          <cell r="E8">
            <v>2.1296948077156954</v>
          </cell>
          <cell r="F8">
            <v>2.1372474900841527</v>
          </cell>
          <cell r="G8">
            <v>2.8145910761507742</v>
          </cell>
          <cell r="H8">
            <v>3.2338862044191377</v>
          </cell>
          <cell r="I8">
            <v>3.4415844041577679</v>
          </cell>
          <cell r="J8">
            <v>3.2179282331605927</v>
          </cell>
          <cell r="K8">
            <v>3.0440189665379207</v>
          </cell>
          <cell r="L8">
            <v>2.9635093415166738</v>
          </cell>
          <cell r="M8">
            <v>2.9265281265900103</v>
          </cell>
          <cell r="O8" t="str">
            <v>Price/Book (x)</v>
          </cell>
          <cell r="P8">
            <v>2.4214582968444907</v>
          </cell>
          <cell r="Q8">
            <v>2.0428195422022246</v>
          </cell>
          <cell r="R8">
            <v>1.8536835829386042</v>
          </cell>
          <cell r="S8">
            <v>3.1976554263340051</v>
          </cell>
          <cell r="T8">
            <v>3.3903185033061489</v>
          </cell>
          <cell r="U8">
            <v>1.7554164304062327</v>
          </cell>
          <cell r="V8">
            <v>1.5568754093051365</v>
          </cell>
          <cell r="W8">
            <v>1.4932890199207645</v>
          </cell>
          <cell r="X8">
            <v>1.3673448787727962</v>
          </cell>
          <cell r="Y8">
            <v>1.2853309679220017</v>
          </cell>
          <cell r="Z8">
            <v>1.2020794868504054</v>
          </cell>
        </row>
        <row r="9">
          <cell r="B9" t="str">
            <v xml:space="preserve">  Interest Income</v>
          </cell>
          <cell r="C9">
            <v>3111.239</v>
          </cell>
          <cell r="D9">
            <v>2959.779</v>
          </cell>
          <cell r="E9">
            <v>2599.154</v>
          </cell>
          <cell r="F9">
            <v>2831.2449999999999</v>
          </cell>
          <cell r="G9">
            <v>3359.31</v>
          </cell>
          <cell r="H9">
            <v>3266.5879999999997</v>
          </cell>
          <cell r="I9">
            <v>3609.8820000000001</v>
          </cell>
          <cell r="J9">
            <v>4078.7869999999998</v>
          </cell>
          <cell r="K9">
            <v>4788.2914624435434</v>
          </cell>
          <cell r="L9">
            <v>5158.4657635521817</v>
          </cell>
          <cell r="M9">
            <v>5676.5189149493581</v>
          </cell>
          <cell r="O9" t="str">
            <v>ROAA (%)</v>
          </cell>
          <cell r="P9">
            <v>-0.91066181346477848</v>
          </cell>
          <cell r="Q9">
            <v>0.48101006795323614</v>
          </cell>
          <cell r="R9">
            <v>0.22451613115945976</v>
          </cell>
          <cell r="S9">
            <v>-0.34188071471153847</v>
          </cell>
          <cell r="T9">
            <v>0.85745426182357098</v>
          </cell>
          <cell r="U9">
            <v>3.0874113818980442</v>
          </cell>
          <cell r="V9">
            <v>1.5338648722701225</v>
          </cell>
          <cell r="W9">
            <v>1.3082044746523063</v>
          </cell>
          <cell r="X9">
            <v>1.251713008399344</v>
          </cell>
          <cell r="Y9">
            <v>1.2017417618017612</v>
          </cell>
          <cell r="Z9">
            <v>1.1749769273126944</v>
          </cell>
        </row>
        <row r="10">
          <cell r="B10" t="str">
            <v xml:space="preserve">  Interest Expense</v>
          </cell>
          <cell r="C10">
            <v>2477.04</v>
          </cell>
          <cell r="D10">
            <v>1992.309</v>
          </cell>
          <cell r="E10">
            <v>1662.325</v>
          </cell>
          <cell r="F10">
            <v>1642.17</v>
          </cell>
          <cell r="G10">
            <v>1640.1219999999998</v>
          </cell>
          <cell r="H10">
            <v>1495.93</v>
          </cell>
          <cell r="I10">
            <v>1669.625</v>
          </cell>
          <cell r="J10">
            <v>2066.5829999999996</v>
          </cell>
          <cell r="K10">
            <v>2594.1063408462878</v>
          </cell>
          <cell r="L10">
            <v>2836.5251686426323</v>
          </cell>
          <cell r="M10">
            <v>3175.0606901004385</v>
          </cell>
          <cell r="O10" t="str">
            <v>ROAE (Reported, %)</v>
          </cell>
          <cell r="Q10">
            <v>14.414239945438242</v>
          </cell>
          <cell r="R10">
            <v>6.4194049483209126</v>
          </cell>
          <cell r="S10">
            <v>-8.913414810808213</v>
          </cell>
          <cell r="T10">
            <v>17.753594726566831</v>
          </cell>
          <cell r="U10">
            <v>44.935687527010096</v>
          </cell>
          <cell r="V10">
            <v>16.71813750047561</v>
          </cell>
          <cell r="W10">
            <v>14.749772140583046</v>
          </cell>
          <cell r="X10">
            <v>15.025195637855997</v>
          </cell>
          <cell r="Y10">
            <v>14.787836583571535</v>
          </cell>
          <cell r="Z10">
            <v>14.760788744948862</v>
          </cell>
        </row>
        <row r="11">
          <cell r="B11" t="str">
            <v>Net Interest Income (NII)</v>
          </cell>
          <cell r="C11">
            <v>634.19900000000007</v>
          </cell>
          <cell r="D11">
            <v>967.47</v>
          </cell>
          <cell r="E11">
            <v>936.82899999999995</v>
          </cell>
          <cell r="F11">
            <v>1189.0749999999998</v>
          </cell>
          <cell r="G11">
            <v>1719.1880000000001</v>
          </cell>
          <cell r="H11">
            <v>1770.6579999999997</v>
          </cell>
          <cell r="I11">
            <v>1940.2570000000001</v>
          </cell>
          <cell r="J11">
            <v>2012.2040000000002</v>
          </cell>
          <cell r="K11">
            <v>2194.1851215972556</v>
          </cell>
          <cell r="L11">
            <v>2321.9405949095494</v>
          </cell>
          <cell r="M11">
            <v>2501.4582248489196</v>
          </cell>
          <cell r="O11" t="str">
            <v>ROAE (ModelWare, %)</v>
          </cell>
          <cell r="T11">
            <v>18.064650838069586</v>
          </cell>
          <cell r="U11">
            <v>45.393143333474221</v>
          </cell>
          <cell r="V11">
            <v>17.125752991392908</v>
          </cell>
          <cell r="W11">
            <v>15.207179390518654</v>
          </cell>
          <cell r="X11">
            <v>15.44281068225439</v>
          </cell>
          <cell r="Y11">
            <v>15.116290010729566</v>
          </cell>
          <cell r="Z11">
            <v>15.031798864181194</v>
          </cell>
        </row>
        <row r="12">
          <cell r="B12" t="str">
            <v>Loan Loss Prov Exp (LLPE)</v>
          </cell>
          <cell r="C12">
            <v>1169.6400000000001</v>
          </cell>
          <cell r="D12">
            <v>931.84600000000012</v>
          </cell>
          <cell r="E12">
            <v>518.70100000000002</v>
          </cell>
          <cell r="F12">
            <v>849.34999999999991</v>
          </cell>
          <cell r="G12">
            <v>814.35199999999998</v>
          </cell>
          <cell r="H12">
            <v>162.88460000000001</v>
          </cell>
          <cell r="I12">
            <v>246.06132583857186</v>
          </cell>
          <cell r="J12">
            <v>364.06299999999999</v>
          </cell>
          <cell r="K12">
            <v>350.56392236240004</v>
          </cell>
          <cell r="L12">
            <v>427.2330230767999</v>
          </cell>
          <cell r="M12">
            <v>509.98397544685997</v>
          </cell>
        </row>
        <row r="13">
          <cell r="B13" t="str">
            <v>NII After LLPE</v>
          </cell>
          <cell r="C13">
            <v>-535.44100000000003</v>
          </cell>
          <cell r="D13">
            <v>35.62399999999991</v>
          </cell>
          <cell r="E13">
            <v>418.12799999999993</v>
          </cell>
          <cell r="F13">
            <v>339.72499999999991</v>
          </cell>
          <cell r="G13">
            <v>904.83600000000013</v>
          </cell>
          <cell r="H13">
            <v>1607.7733999999996</v>
          </cell>
          <cell r="I13">
            <v>1694.1956741614281</v>
          </cell>
          <cell r="J13">
            <v>1648.1410000000001</v>
          </cell>
          <cell r="K13">
            <v>1843.6211992348556</v>
          </cell>
          <cell r="L13">
            <v>1894.7075718327496</v>
          </cell>
          <cell r="M13">
            <v>1991.4742494020597</v>
          </cell>
          <cell r="O13" t="str">
            <v>MW EPS Growth (%)</v>
          </cell>
          <cell r="Q13" t="e">
            <v>#DIV/0!</v>
          </cell>
          <cell r="R13" t="e">
            <v>#DIV/0!</v>
          </cell>
          <cell r="S13">
            <v>-162.10772695683815</v>
          </cell>
          <cell r="T13">
            <v>-345.86801650534034</v>
          </cell>
          <cell r="U13">
            <v>266.88942685998438</v>
          </cell>
          <cell r="V13">
            <v>-47.115641231051541</v>
          </cell>
          <cell r="W13">
            <v>-3.8764198392573168</v>
          </cell>
          <cell r="X13">
            <v>8.4407462584529025</v>
          </cell>
          <cell r="Y13">
            <v>5.4556057905387201</v>
          </cell>
          <cell r="Z13">
            <v>6.0654393286062591</v>
          </cell>
        </row>
        <row r="14">
          <cell r="O14" t="str">
            <v>Current P/MW EPS</v>
          </cell>
          <cell r="P14" t="e">
            <v>#DIV/0!</v>
          </cell>
          <cell r="Q14" t="e">
            <v>#DIV/0!</v>
          </cell>
          <cell r="R14">
            <v>28.549325690683752</v>
          </cell>
          <cell r="S14">
            <v>-45.96742964128142</v>
          </cell>
          <cell r="T14">
            <v>18.695977742303459</v>
          </cell>
          <cell r="U14">
            <v>5.0958071761055104</v>
          </cell>
          <cell r="V14">
            <v>9.6357548710556742</v>
          </cell>
          <cell r="W14">
            <v>10.024340390716077</v>
          </cell>
          <cell r="X14">
            <v>9.2440717503220657</v>
          </cell>
          <cell r="Y14">
            <v>8.7658419683094984</v>
          </cell>
          <cell r="Z14">
            <v>8.2645600902586533</v>
          </cell>
        </row>
        <row r="15">
          <cell r="B15" t="str">
            <v>Non-interest Income</v>
          </cell>
        </row>
        <row r="16">
          <cell r="B16" t="str">
            <v>Fees and Commissions</v>
          </cell>
          <cell r="C16">
            <v>300.05799999999999</v>
          </cell>
          <cell r="D16">
            <v>288.27000000000004</v>
          </cell>
          <cell r="E16">
            <v>308.07400000000007</v>
          </cell>
          <cell r="F16">
            <v>346.94299999999998</v>
          </cell>
          <cell r="G16">
            <v>266.459</v>
          </cell>
          <cell r="H16">
            <v>228.35299999999995</v>
          </cell>
          <cell r="I16">
            <v>272.14499999999998</v>
          </cell>
          <cell r="J16">
            <v>363.66500000000008</v>
          </cell>
          <cell r="K16">
            <v>336.3796280184452</v>
          </cell>
          <cell r="L16">
            <v>382.77942428588051</v>
          </cell>
          <cell r="M16">
            <v>418.12875868838552</v>
          </cell>
          <cell r="O16" t="str">
            <v>Gross Dividends</v>
          </cell>
          <cell r="P16">
            <v>0</v>
          </cell>
          <cell r="Q16">
            <v>0</v>
          </cell>
          <cell r="R16">
            <v>0</v>
          </cell>
          <cell r="S16">
            <v>0</v>
          </cell>
          <cell r="T16">
            <v>0</v>
          </cell>
          <cell r="U16">
            <v>0</v>
          </cell>
          <cell r="V16">
            <v>644.90682600000002</v>
          </cell>
          <cell r="W16">
            <v>451.43477819999998</v>
          </cell>
          <cell r="X16">
            <v>644.90682600000002</v>
          </cell>
          <cell r="Y16">
            <v>644.90682600000002</v>
          </cell>
          <cell r="Z16">
            <v>644.90682600000002</v>
          </cell>
        </row>
        <row r="17">
          <cell r="B17" t="str">
            <v>Dividend Income</v>
          </cell>
          <cell r="C17">
            <v>25.46</v>
          </cell>
          <cell r="D17">
            <v>3.754</v>
          </cell>
          <cell r="E17">
            <v>50.933999999999997</v>
          </cell>
          <cell r="F17">
            <v>11.128</v>
          </cell>
          <cell r="G17">
            <v>5.4390000000000001</v>
          </cell>
          <cell r="H17">
            <v>9.3149999999999995</v>
          </cell>
          <cell r="I17">
            <v>3.891</v>
          </cell>
          <cell r="J17">
            <v>7.1130000000000004</v>
          </cell>
          <cell r="K17">
            <v>7.7253544957749467</v>
          </cell>
          <cell r="L17">
            <v>8.2536132997818683</v>
          </cell>
          <cell r="M17">
            <v>8.8948642476165141</v>
          </cell>
          <cell r="O17" t="str">
            <v>Gross DPS (Won)</v>
          </cell>
          <cell r="P17">
            <v>0</v>
          </cell>
          <cell r="Q17">
            <v>0</v>
          </cell>
          <cell r="R17">
            <v>0</v>
          </cell>
          <cell r="S17">
            <v>0</v>
          </cell>
          <cell r="T17">
            <v>0</v>
          </cell>
          <cell r="U17">
            <v>0</v>
          </cell>
          <cell r="V17">
            <v>1000</v>
          </cell>
          <cell r="W17">
            <v>700</v>
          </cell>
          <cell r="X17">
            <v>1000</v>
          </cell>
          <cell r="Y17">
            <v>1000</v>
          </cell>
          <cell r="Z17">
            <v>1000</v>
          </cell>
        </row>
        <row r="18">
          <cell r="B18" t="str">
            <v>Forex Income</v>
          </cell>
          <cell r="C18">
            <v>213.63</v>
          </cell>
          <cell r="D18">
            <v>227.596</v>
          </cell>
          <cell r="E18">
            <v>207.27100000000019</v>
          </cell>
          <cell r="F18">
            <v>247.04000000000019</v>
          </cell>
          <cell r="G18">
            <v>282.65700000000015</v>
          </cell>
          <cell r="H18">
            <v>244.29699999999957</v>
          </cell>
          <cell r="I18">
            <v>286.25700000000006</v>
          </cell>
          <cell r="J18">
            <v>314.47500000000036</v>
          </cell>
          <cell r="K18">
            <v>363.23129083726963</v>
          </cell>
          <cell r="L18">
            <v>390.64922521676272</v>
          </cell>
          <cell r="M18">
            <v>415.63567083762064</v>
          </cell>
          <cell r="O18" t="str">
            <v>Dividend Yield (Current Price, %)</v>
          </cell>
          <cell r="P18">
            <v>0</v>
          </cell>
          <cell r="Q18">
            <v>0</v>
          </cell>
          <cell r="R18">
            <v>0</v>
          </cell>
          <cell r="S18">
            <v>0</v>
          </cell>
          <cell r="T18">
            <v>0</v>
          </cell>
          <cell r="U18">
            <v>0</v>
          </cell>
          <cell r="V18">
            <v>6.4935064935064926</v>
          </cell>
          <cell r="W18">
            <v>4.5454545454545459</v>
          </cell>
          <cell r="X18">
            <v>6.4935064935064926</v>
          </cell>
          <cell r="Y18">
            <v>6.4935064935064926</v>
          </cell>
          <cell r="Z18">
            <v>6.4935064935064926</v>
          </cell>
        </row>
        <row r="19">
          <cell r="B19" t="str">
            <v>Other trading income</v>
          </cell>
          <cell r="C19">
            <v>17.533999999999999</v>
          </cell>
          <cell r="D19">
            <v>36.623999999999995</v>
          </cell>
          <cell r="E19">
            <v>46.17</v>
          </cell>
          <cell r="F19">
            <v>18.995000000000001</v>
          </cell>
          <cell r="G19">
            <v>23.856999999999996</v>
          </cell>
          <cell r="H19">
            <v>34.296999999999997</v>
          </cell>
          <cell r="I19">
            <v>25.743999999999993</v>
          </cell>
          <cell r="J19">
            <v>23.488</v>
          </cell>
          <cell r="K19">
            <v>7.8047569760000037</v>
          </cell>
          <cell r="L19">
            <v>0</v>
          </cell>
          <cell r="M19">
            <v>0</v>
          </cell>
          <cell r="O19" t="str">
            <v>Dividend Payout Ratio (%)</v>
          </cell>
          <cell r="P19">
            <v>0</v>
          </cell>
          <cell r="Q19">
            <v>0</v>
          </cell>
          <cell r="R19">
            <v>0</v>
          </cell>
          <cell r="S19">
            <v>0</v>
          </cell>
          <cell r="T19">
            <v>0</v>
          </cell>
          <cell r="U19">
            <v>0</v>
          </cell>
          <cell r="V19">
            <v>64.095391615654336</v>
          </cell>
          <cell r="W19">
            <v>46.978211885175519</v>
          </cell>
          <cell r="X19">
            <v>61.694833812592698</v>
          </cell>
          <cell r="Y19">
            <v>58.185328258751831</v>
          </cell>
          <cell r="Z19">
            <v>54.104776421922594</v>
          </cell>
        </row>
        <row r="20">
          <cell r="B20" t="str">
            <v>Other Income</v>
          </cell>
          <cell r="C20">
            <v>-69.750999999999891</v>
          </cell>
          <cell r="D20">
            <v>19.853999999999957</v>
          </cell>
          <cell r="E20">
            <v>44.792000000000193</v>
          </cell>
          <cell r="F20">
            <v>-81.884999999999906</v>
          </cell>
          <cell r="G20">
            <v>-128.6449999999999</v>
          </cell>
          <cell r="H20">
            <v>-89.99339999999988</v>
          </cell>
          <cell r="I20">
            <v>345.64955525057127</v>
          </cell>
          <cell r="J20">
            <v>204.27499999999935</v>
          </cell>
          <cell r="K20">
            <v>27.75348673244476</v>
          </cell>
          <cell r="L20">
            <v>14.03765699995688</v>
          </cell>
          <cell r="M20">
            <v>15.442879168910792</v>
          </cell>
        </row>
        <row r="21">
          <cell r="B21" t="str">
            <v>Total Non-interest Income</v>
          </cell>
          <cell r="C21">
            <v>486.93100000000004</v>
          </cell>
          <cell r="D21">
            <v>576.09800000000007</v>
          </cell>
          <cell r="E21">
            <v>657.24100000000033</v>
          </cell>
          <cell r="F21">
            <v>542.22100000000023</v>
          </cell>
          <cell r="G21">
            <v>449.76700000000028</v>
          </cell>
          <cell r="H21">
            <v>426.26859999999959</v>
          </cell>
          <cell r="I21">
            <v>933.68655525057147</v>
          </cell>
          <cell r="J21">
            <v>913.01599999999985</v>
          </cell>
          <cell r="K21">
            <v>742.89451705993463</v>
          </cell>
          <cell r="L21">
            <v>795.71991980238204</v>
          </cell>
          <cell r="M21">
            <v>858.10217294253357</v>
          </cell>
          <cell r="O21" t="str">
            <v>Issued Shares (m)</v>
          </cell>
          <cell r="P21">
            <v>222.17493099999999</v>
          </cell>
          <cell r="Q21">
            <v>222.17493099999999</v>
          </cell>
          <cell r="R21">
            <v>222.17493099999999</v>
          </cell>
          <cell r="S21">
            <v>612.92493100000002</v>
          </cell>
          <cell r="T21">
            <v>644.90682600000002</v>
          </cell>
          <cell r="U21">
            <v>644.90682600000002</v>
          </cell>
          <cell r="V21">
            <v>644.90682600000002</v>
          </cell>
          <cell r="W21">
            <v>644.90682600000002</v>
          </cell>
          <cell r="X21">
            <v>644.90682600000002</v>
          </cell>
          <cell r="Y21">
            <v>644.90682600000002</v>
          </cell>
          <cell r="Z21">
            <v>644.90682600000002</v>
          </cell>
        </row>
        <row r="22">
          <cell r="O22" t="str">
            <v>Market Cap (Wonbn)</v>
          </cell>
          <cell r="P22">
            <v>3421.4939373999996</v>
          </cell>
          <cell r="Q22">
            <v>3421.4939373999996</v>
          </cell>
          <cell r="R22">
            <v>3421.4939373999996</v>
          </cell>
          <cell r="S22">
            <v>9439.0439373999998</v>
          </cell>
          <cell r="T22">
            <v>9931.5651204000005</v>
          </cell>
          <cell r="U22">
            <v>9931.5651204000005</v>
          </cell>
          <cell r="V22">
            <v>9931.5651204000005</v>
          </cell>
          <cell r="W22">
            <v>9931.5651204000005</v>
          </cell>
          <cell r="X22">
            <v>9931.5651204000005</v>
          </cell>
          <cell r="Y22">
            <v>9931.5651204000005</v>
          </cell>
          <cell r="Z22">
            <v>9931.5651204000005</v>
          </cell>
        </row>
        <row r="23">
          <cell r="B23" t="str">
            <v>Non-interest Expense</v>
          </cell>
          <cell r="O23" t="str">
            <v>Market Cap (US$mn)</v>
          </cell>
          <cell r="P23">
            <v>3601.5725656842101</v>
          </cell>
          <cell r="Q23">
            <v>3601.5725656842101</v>
          </cell>
          <cell r="R23">
            <v>3601.5725656842101</v>
          </cell>
          <cell r="S23">
            <v>9935.8357235789463</v>
          </cell>
          <cell r="T23">
            <v>10454.279074105263</v>
          </cell>
          <cell r="U23">
            <v>10454.279074105263</v>
          </cell>
          <cell r="V23">
            <v>10454.279074105263</v>
          </cell>
          <cell r="W23">
            <v>10454.279074105263</v>
          </cell>
          <cell r="X23">
            <v>10454.279074105263</v>
          </cell>
          <cell r="Y23">
            <v>10454.279074105263</v>
          </cell>
          <cell r="Z23">
            <v>10454.279074105263</v>
          </cell>
        </row>
        <row r="24">
          <cell r="B24" t="str">
            <v>Salaries &amp; Benefits</v>
          </cell>
          <cell r="C24">
            <v>330.74399999999997</v>
          </cell>
          <cell r="D24">
            <v>296.346</v>
          </cell>
          <cell r="E24">
            <v>376.01400000000001</v>
          </cell>
          <cell r="F24">
            <v>442.40499999999997</v>
          </cell>
          <cell r="G24">
            <v>555.26600000000008</v>
          </cell>
          <cell r="H24">
            <v>665.81100000000004</v>
          </cell>
          <cell r="I24">
            <v>692.58600000000001</v>
          </cell>
          <cell r="J24">
            <v>701.49199999999996</v>
          </cell>
          <cell r="K24">
            <v>727.13532962544184</v>
          </cell>
          <cell r="L24">
            <v>752.58506616233217</v>
          </cell>
          <cell r="M24">
            <v>789.27358813774583</v>
          </cell>
        </row>
        <row r="25">
          <cell r="B25" t="str">
            <v>Net Occupancy &amp; Equipment</v>
          </cell>
          <cell r="C25">
            <v>23.614999999999998</v>
          </cell>
          <cell r="D25">
            <v>25.864999999999998</v>
          </cell>
          <cell r="E25">
            <v>26.241</v>
          </cell>
          <cell r="F25">
            <v>29.361000000000001</v>
          </cell>
          <cell r="G25">
            <v>34.643000000000001</v>
          </cell>
          <cell r="H25">
            <v>35.158999999999999</v>
          </cell>
          <cell r="I25">
            <v>36.457999999999998</v>
          </cell>
          <cell r="J25">
            <v>47.923000000000002</v>
          </cell>
          <cell r="K25">
            <v>60.657370346506099</v>
          </cell>
          <cell r="L25">
            <v>64.377390966839414</v>
          </cell>
          <cell r="M25">
            <v>68.638005840010834</v>
          </cell>
          <cell r="O25" t="str">
            <v>PERFORMANCE RATIOS</v>
          </cell>
        </row>
        <row r="26">
          <cell r="B26" t="str">
            <v>Other Expenses</v>
          </cell>
          <cell r="C26">
            <v>178.61800000000002</v>
          </cell>
          <cell r="D26">
            <v>180.05699999999999</v>
          </cell>
          <cell r="E26">
            <v>201.26600000000002</v>
          </cell>
          <cell r="F26">
            <v>229.78499999999997</v>
          </cell>
          <cell r="G26">
            <v>311.34099999999995</v>
          </cell>
          <cell r="H26">
            <v>354.70499999999998</v>
          </cell>
          <cell r="I26">
            <v>382.24900000000002</v>
          </cell>
          <cell r="J26">
            <v>400.09599999999995</v>
          </cell>
          <cell r="K26">
            <v>420.01546579579383</v>
          </cell>
          <cell r="L26">
            <v>434.28580151384733</v>
          </cell>
          <cell r="M26">
            <v>455.89147191915924</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532.97699999999998</v>
          </cell>
          <cell r="D27">
            <v>502.26800000000003</v>
          </cell>
          <cell r="E27">
            <v>603.52099999999996</v>
          </cell>
          <cell r="F27">
            <v>701.55099999999993</v>
          </cell>
          <cell r="G27">
            <v>901.25</v>
          </cell>
          <cell r="H27">
            <v>1055.675</v>
          </cell>
          <cell r="I27">
            <v>1111.2930000000001</v>
          </cell>
          <cell r="J27">
            <v>1149.511</v>
          </cell>
          <cell r="K27">
            <v>1207.8081657677417</v>
          </cell>
          <cell r="L27">
            <v>1251.2482586430187</v>
          </cell>
          <cell r="M27">
            <v>1313.803065896916</v>
          </cell>
          <cell r="O27" t="str">
            <v>Growth (%)</v>
          </cell>
        </row>
        <row r="28">
          <cell r="O28" t="str">
            <v>Net Interest Income</v>
          </cell>
          <cell r="P28">
            <v>-19.021230465532881</v>
          </cell>
          <cell r="Q28">
            <v>52.54990941329141</v>
          </cell>
          <cell r="R28">
            <v>-3.1671266292494948</v>
          </cell>
          <cell r="S28">
            <v>26.92551148608764</v>
          </cell>
          <cell r="T28">
            <v>44.58196497277298</v>
          </cell>
          <cell r="U28">
            <v>2.9938552386358896</v>
          </cell>
          <cell r="V28">
            <v>9.5783036588658277</v>
          </cell>
          <cell r="W28">
            <v>3.7081170174878997</v>
          </cell>
          <cell r="X28">
            <v>9.0438703827870004</v>
          </cell>
          <cell r="Y28">
            <v>5.8224564579717031</v>
          </cell>
          <cell r="Z28">
            <v>7.7313618760502134</v>
          </cell>
        </row>
        <row r="29">
          <cell r="B29" t="str">
            <v>Pre-tax Operating Profit</v>
          </cell>
          <cell r="C29">
            <v>-581.48699999999997</v>
          </cell>
          <cell r="D29">
            <v>109.45399999999995</v>
          </cell>
          <cell r="E29">
            <v>471.84800000000018</v>
          </cell>
          <cell r="F29">
            <v>180.39500000000021</v>
          </cell>
          <cell r="G29">
            <v>453.35300000000052</v>
          </cell>
          <cell r="H29">
            <v>978.36699999999928</v>
          </cell>
          <cell r="I29">
            <v>1516.5892294119994</v>
          </cell>
          <cell r="J29">
            <v>1411.6460000000002</v>
          </cell>
          <cell r="K29">
            <v>1378.7075505270486</v>
          </cell>
          <cell r="L29">
            <v>1439.1792329921127</v>
          </cell>
          <cell r="M29">
            <v>1535.7733564476771</v>
          </cell>
          <cell r="O29" t="str">
            <v>Non-interest Income</v>
          </cell>
          <cell r="P29">
            <v>0.99893179013306188</v>
          </cell>
          <cell r="Q29">
            <v>18.312040104244765</v>
          </cell>
          <cell r="R29">
            <v>14.084929994549578</v>
          </cell>
          <cell r="S29">
            <v>-17.500429827110608</v>
          </cell>
          <cell r="T29">
            <v>-17.05098105753925</v>
          </cell>
          <cell r="U29">
            <v>-5.2245718338607912</v>
          </cell>
          <cell r="V29">
            <v>119.03714119467685</v>
          </cell>
          <cell r="W29">
            <v>-2.2138645067052876</v>
          </cell>
          <cell r="X29">
            <v>-18.63291365540859</v>
          </cell>
          <cell r="Y29">
            <v>7.1107541554497278</v>
          </cell>
          <cell r="Z29">
            <v>7.8397249569476912</v>
          </cell>
        </row>
        <row r="30">
          <cell r="B30" t="str">
            <v>Associate Profit/Loss</v>
          </cell>
          <cell r="C30">
            <v>188.476</v>
          </cell>
          <cell r="D30">
            <v>31.629000000000005</v>
          </cell>
          <cell r="E30">
            <v>-446.303</v>
          </cell>
          <cell r="F30">
            <v>-387.858</v>
          </cell>
          <cell r="G30">
            <v>78.16500000000002</v>
          </cell>
          <cell r="H30">
            <v>656.75900000000001</v>
          </cell>
          <cell r="I30">
            <v>77.203999999999922</v>
          </cell>
          <cell r="J30">
            <v>104.94300000000001</v>
          </cell>
          <cell r="K30">
            <v>71.022365429628763</v>
          </cell>
          <cell r="L30">
            <v>89.602477400537282</v>
          </cell>
          <cell r="M30">
            <v>91.867395856376376</v>
          </cell>
          <cell r="O30" t="str">
            <v>Non-interest Expense</v>
          </cell>
          <cell r="P30">
            <v>-0.18465698934195807</v>
          </cell>
          <cell r="Q30">
            <v>-5.7617870940021687</v>
          </cell>
          <cell r="R30">
            <v>20.159158059044159</v>
          </cell>
          <cell r="S30">
            <v>16.24301391335181</v>
          </cell>
          <cell r="T30">
            <v>28.465357472229403</v>
          </cell>
          <cell r="U30">
            <v>17.134535367545077</v>
          </cell>
          <cell r="V30">
            <v>5.2684775143865492</v>
          </cell>
          <cell r="W30">
            <v>3.4390570263647779</v>
          </cell>
          <cell r="X30">
            <v>5.0714752418847375</v>
          </cell>
          <cell r="Y30">
            <v>3.5966053307533663</v>
          </cell>
          <cell r="Z30">
            <v>4.9993921527401897</v>
          </cell>
        </row>
        <row r="31">
          <cell r="O31" t="str">
            <v>Recurrent Net Profit After Tax (FD)</v>
          </cell>
          <cell r="P31">
            <v>-27.359481325597923</v>
          </cell>
          <cell r="Q31" t="str">
            <v>NM</v>
          </cell>
          <cell r="R31">
            <v>1108.9476323263045</v>
          </cell>
          <cell r="S31">
            <v>-91.092826962034252</v>
          </cell>
          <cell r="T31">
            <v>139.50726165169326</v>
          </cell>
          <cell r="U31">
            <v>159.24575507574684</v>
          </cell>
          <cell r="V31">
            <v>-17.062728308573394</v>
          </cell>
          <cell r="W31">
            <v>-6.5777606027194739</v>
          </cell>
          <cell r="X31">
            <v>11.141638884176185</v>
          </cell>
          <cell r="Y31">
            <v>4.9589946197865054</v>
          </cell>
          <cell r="Z31">
            <v>6.8507188816630427</v>
          </cell>
        </row>
        <row r="32">
          <cell r="B32" t="str">
            <v>Profit Before Tax</v>
          </cell>
          <cell r="C32">
            <v>-393.01099999999997</v>
          </cell>
          <cell r="D32">
            <v>141.08299999999997</v>
          </cell>
          <cell r="E32">
            <v>25.545000000000186</v>
          </cell>
          <cell r="F32">
            <v>-207.46299999999979</v>
          </cell>
          <cell r="G32">
            <v>531.51800000000048</v>
          </cell>
          <cell r="H32">
            <v>1635.1259999999993</v>
          </cell>
          <cell r="I32">
            <v>1593.7932294119994</v>
          </cell>
          <cell r="J32">
            <v>1516.5890000000002</v>
          </cell>
          <cell r="K32">
            <v>1449.7299159566774</v>
          </cell>
          <cell r="L32">
            <v>1528.78171039265</v>
          </cell>
          <cell r="M32">
            <v>1627.6407523040534</v>
          </cell>
          <cell r="O32" t="str">
            <v>Net Profit</v>
          </cell>
          <cell r="P32">
            <v>-49.712064156814492</v>
          </cell>
          <cell r="Q32" t="str">
            <v>NM</v>
          </cell>
          <cell r="R32">
            <v>-49.222860788956858</v>
          </cell>
          <cell r="S32" t="str">
            <v>NM</v>
          </cell>
          <cell r="T32" t="str">
            <v>NM</v>
          </cell>
          <cell r="U32">
            <v>269.5554402021192</v>
          </cell>
          <cell r="V32">
            <v>-47.848797564539367</v>
          </cell>
          <cell r="W32">
            <v>-4.4945043020757751</v>
          </cell>
          <cell r="X32">
            <v>8.7801475702137477</v>
          </cell>
          <cell r="Y32">
            <v>6.0315987876428112</v>
          </cell>
          <cell r="Z32">
            <v>6.4665243729278066</v>
          </cell>
        </row>
        <row r="33">
          <cell r="B33" t="str">
            <v>Effective Tax</v>
          </cell>
          <cell r="C33">
            <v>10.69199999999995</v>
          </cell>
          <cell r="D33">
            <v>-81.464000000000027</v>
          </cell>
          <cell r="E33">
            <v>-87.457999999999998</v>
          </cell>
          <cell r="F33">
            <v>6.3540000000000028</v>
          </cell>
          <cell r="G33">
            <v>9.4510000000000218</v>
          </cell>
          <cell r="H33">
            <v>-294.20099999999996</v>
          </cell>
          <cell r="I33">
            <v>587.62600000000032</v>
          </cell>
          <cell r="J33">
            <v>555.64400000000001</v>
          </cell>
          <cell r="K33">
            <v>404.41252688808657</v>
          </cell>
          <cell r="L33">
            <v>420.41497035797869</v>
          </cell>
          <cell r="M33">
            <v>447.60120688361474</v>
          </cell>
        </row>
        <row r="34">
          <cell r="B34" t="str">
            <v xml:space="preserve">Minority Interests </v>
          </cell>
          <cell r="C34">
            <v>0</v>
          </cell>
          <cell r="D34">
            <v>0</v>
          </cell>
          <cell r="E34">
            <v>0</v>
          </cell>
          <cell r="F34">
            <v>0</v>
          </cell>
          <cell r="G34">
            <v>0</v>
          </cell>
          <cell r="H34">
            <v>0</v>
          </cell>
          <cell r="I34">
            <v>0</v>
          </cell>
          <cell r="J34">
            <v>0</v>
          </cell>
          <cell r="K34">
            <v>0</v>
          </cell>
          <cell r="L34">
            <v>0</v>
          </cell>
          <cell r="M34">
            <v>0</v>
          </cell>
          <cell r="O34" t="str">
            <v>Gross Customer Loans</v>
          </cell>
          <cell r="P34">
            <v>13.448626783246297</v>
          </cell>
          <cell r="Q34">
            <v>5.7941481376583948</v>
          </cell>
          <cell r="R34">
            <v>17.684877542684795</v>
          </cell>
          <cell r="S34">
            <v>17.756274392575744</v>
          </cell>
          <cell r="T34">
            <v>-0.31568364188870879</v>
          </cell>
          <cell r="U34">
            <v>3.2719110218174086</v>
          </cell>
          <cell r="V34">
            <v>10.909531874610678</v>
          </cell>
          <cell r="W34">
            <v>19.097687920258231</v>
          </cell>
          <cell r="X34">
            <v>11.333472398255573</v>
          </cell>
          <cell r="Y34">
            <v>10.339612266927967</v>
          </cell>
          <cell r="Z34">
            <v>9.5663345878443486</v>
          </cell>
        </row>
        <row r="35">
          <cell r="B35" t="str">
            <v>Preference Dividend</v>
          </cell>
          <cell r="C35">
            <v>0</v>
          </cell>
          <cell r="D35">
            <v>0</v>
          </cell>
          <cell r="E35">
            <v>0</v>
          </cell>
          <cell r="F35">
            <v>0</v>
          </cell>
          <cell r="G35">
            <v>0</v>
          </cell>
          <cell r="H35">
            <v>0</v>
          </cell>
          <cell r="I35">
            <v>0</v>
          </cell>
          <cell r="J35">
            <v>0</v>
          </cell>
          <cell r="K35">
            <v>0</v>
          </cell>
          <cell r="L35">
            <v>0</v>
          </cell>
          <cell r="M35">
            <v>0</v>
          </cell>
          <cell r="O35" t="str">
            <v>Total Deposits</v>
          </cell>
          <cell r="P35">
            <v>12.088390396324765</v>
          </cell>
          <cell r="Q35">
            <v>11.744805229395272</v>
          </cell>
          <cell r="R35">
            <v>16.749648408063344</v>
          </cell>
          <cell r="S35">
            <v>8.3814316502333508</v>
          </cell>
          <cell r="T35">
            <v>-9.6353438610853548</v>
          </cell>
          <cell r="U35">
            <v>-1.0224840454303497</v>
          </cell>
          <cell r="V35">
            <v>1.2634286137036987</v>
          </cell>
          <cell r="W35">
            <v>15.435961347716365</v>
          </cell>
          <cell r="X35">
            <v>5.5110926965369789</v>
          </cell>
          <cell r="Y35">
            <v>5.7602407114864418</v>
          </cell>
          <cell r="Z35">
            <v>4.9906026842223339</v>
          </cell>
        </row>
        <row r="36">
          <cell r="B36" t="str">
            <v>Net Profit</v>
          </cell>
          <cell r="C36">
            <v>-403.70299999999992</v>
          </cell>
          <cell r="D36">
            <v>222.547</v>
          </cell>
          <cell r="E36">
            <v>113.00300000000018</v>
          </cell>
          <cell r="F36">
            <v>-213.81699999999981</v>
          </cell>
          <cell r="G36">
            <v>522.06700000000046</v>
          </cell>
          <cell r="H36">
            <v>1929.3269999999993</v>
          </cell>
          <cell r="I36">
            <v>1006.1672294119991</v>
          </cell>
          <cell r="J36">
            <v>960.94500000000016</v>
          </cell>
          <cell r="K36">
            <v>1045.3173890685907</v>
          </cell>
          <cell r="L36">
            <v>1108.3667400346712</v>
          </cell>
          <cell r="M36">
            <v>1180.0395454204386</v>
          </cell>
          <cell r="O36" t="str">
            <v>Avg Earning Assets</v>
          </cell>
          <cell r="P36">
            <v>9.5607706148527214</v>
          </cell>
          <cell r="Q36">
            <v>7.9084730896937794</v>
          </cell>
          <cell r="R36">
            <v>6.4198800518394661</v>
          </cell>
          <cell r="S36">
            <v>15.056618068829764</v>
          </cell>
          <cell r="T36">
            <v>8.0511404553435195</v>
          </cell>
          <cell r="U36">
            <v>-2.5746528657165535</v>
          </cell>
          <cell r="V36">
            <v>3.2362794204582546</v>
          </cell>
          <cell r="W36">
            <v>10.74934785546111</v>
          </cell>
          <cell r="X36">
            <v>15.310071203098463</v>
          </cell>
          <cell r="Y36">
            <v>8.3510348861627559</v>
          </cell>
          <cell r="Z36">
            <v>9.1490179029152685</v>
          </cell>
        </row>
        <row r="37">
          <cell r="B37" t="str">
            <v>EPS - Reported (Won)</v>
          </cell>
          <cell r="D37">
            <v>1001.6746668866977</v>
          </cell>
          <cell r="E37">
            <v>508.62174004681106</v>
          </cell>
          <cell r="F37">
            <v>-348.84696181496952</v>
          </cell>
          <cell r="G37">
            <v>809.52314187476202</v>
          </cell>
          <cell r="H37">
            <v>2991.6368104933026</v>
          </cell>
          <cell r="I37">
            <v>1560.1745691741198</v>
          </cell>
          <cell r="J37">
            <v>1490.0524560426968</v>
          </cell>
          <cell r="K37">
            <v>1620.8812605568401</v>
          </cell>
          <cell r="L37">
            <v>1718.6463150177158</v>
          </cell>
          <cell r="M37">
            <v>1829.7829978627617</v>
          </cell>
          <cell r="O37" t="str">
            <v>Total Interest-bearing Liab</v>
          </cell>
          <cell r="P37" t="e">
            <v>#DIV/0!</v>
          </cell>
          <cell r="Q37" t="e">
            <v>#DIV/0!</v>
          </cell>
          <cell r="R37" t="e">
            <v>#DIV/0!</v>
          </cell>
          <cell r="S37">
            <v>14.011510950011207</v>
          </cell>
          <cell r="T37">
            <v>6.052874003043951</v>
          </cell>
          <cell r="U37">
            <v>-3.5528831625834978</v>
          </cell>
          <cell r="V37">
            <v>-2.1371974215340095</v>
          </cell>
          <cell r="W37">
            <v>10.634975277782498</v>
          </cell>
          <cell r="X37">
            <v>15.49524352248528</v>
          </cell>
          <cell r="Y37">
            <v>10.527607182868582</v>
          </cell>
          <cell r="Z37">
            <v>9.8009460860920115</v>
          </cell>
        </row>
        <row r="38">
          <cell r="B38" t="str">
            <v>EPS - ModelWare (Won)</v>
          </cell>
          <cell r="E38">
            <v>539.41729366397419</v>
          </cell>
          <cell r="F38">
            <v>-335.01981990678689</v>
          </cell>
          <cell r="G38">
            <v>823.7065861045802</v>
          </cell>
          <cell r="H38">
            <v>3022.0923727670379</v>
          </cell>
          <cell r="I38">
            <v>1598.2141727431476</v>
          </cell>
          <cell r="J38">
            <v>1536.26068147711</v>
          </cell>
          <cell r="K38">
            <v>1665.9325474689722</v>
          </cell>
          <cell r="L38">
            <v>1756.8192599951587</v>
          </cell>
          <cell r="M38">
            <v>1863.3780663234345</v>
          </cell>
          <cell r="O38" t="str">
            <v>Risk-weighted Assets</v>
          </cell>
          <cell r="P38" t="e">
            <v>#DIV/0!</v>
          </cell>
          <cell r="Q38" t="e">
            <v>#DIV/0!</v>
          </cell>
          <cell r="R38">
            <v>15.122834520216589</v>
          </cell>
          <cell r="S38">
            <v>1.9168163590650877</v>
          </cell>
          <cell r="T38">
            <v>-5.4836337671249069E-2</v>
          </cell>
          <cell r="U38">
            <v>7.837236120366331</v>
          </cell>
          <cell r="V38">
            <v>11.559078801496314</v>
          </cell>
          <cell r="W38">
            <v>19.566478925163388</v>
          </cell>
          <cell r="X38">
            <v>11.134951677655947</v>
          </cell>
          <cell r="Y38">
            <v>10.3510817812009</v>
          </cell>
          <cell r="Z38">
            <v>6.7873011392924676</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v>56.567837806498801</v>
          </cell>
          <cell r="Q41">
            <v>62.677510806132275</v>
          </cell>
          <cell r="R41">
            <v>58.769627431668617</v>
          </cell>
          <cell r="S41">
            <v>68.681207604014546</v>
          </cell>
          <cell r="T41">
            <v>79.263424091325078</v>
          </cell>
          <cell r="U41">
            <v>80.597048622380015</v>
          </cell>
          <cell r="V41">
            <v>67.512007897832021</v>
          </cell>
          <cell r="W41">
            <v>68.788125337581448</v>
          </cell>
          <cell r="X41">
            <v>74.70635432277281</v>
          </cell>
          <cell r="Y41">
            <v>74.477018390955052</v>
          </cell>
          <cell r="Z41">
            <v>74.457903078431244</v>
          </cell>
        </row>
        <row r="42">
          <cell r="B42" t="str">
            <v>Total Assets</v>
          </cell>
          <cell r="C42">
            <v>45518.736999999994</v>
          </cell>
          <cell r="D42">
            <v>49236.868000000002</v>
          </cell>
          <cell r="E42">
            <v>57521.608</v>
          </cell>
          <cell r="F42">
            <v>62603.330999999998</v>
          </cell>
          <cell r="G42">
            <v>61301.587</v>
          </cell>
          <cell r="H42">
            <v>64950.975999999995</v>
          </cell>
          <cell r="I42">
            <v>69441.466</v>
          </cell>
          <cell r="J42">
            <v>82024.917000000001</v>
          </cell>
          <cell r="K42">
            <v>89639.236733160506</v>
          </cell>
          <cell r="L42">
            <v>98917.867435454245</v>
          </cell>
          <cell r="M42">
            <v>105631.72097886464</v>
          </cell>
          <cell r="O42" t="str">
            <v>Non-interest Inc/Opg Income</v>
          </cell>
          <cell r="P42">
            <v>43.432162193501199</v>
          </cell>
          <cell r="Q42">
            <v>37.32248919386771</v>
          </cell>
          <cell r="R42">
            <v>41.230372568331397</v>
          </cell>
          <cell r="S42">
            <v>31.318792395985444</v>
          </cell>
          <cell r="T42">
            <v>20.736575908674922</v>
          </cell>
          <cell r="U42">
            <v>19.402951377619974</v>
          </cell>
          <cell r="V42">
            <v>32.487992102167986</v>
          </cell>
          <cell r="W42">
            <v>31.211874662418541</v>
          </cell>
          <cell r="X42">
            <v>25.2936456772272</v>
          </cell>
          <cell r="Y42">
            <v>25.522981609044937</v>
          </cell>
          <cell r="Z42">
            <v>25.542096921568746</v>
          </cell>
        </row>
        <row r="43">
          <cell r="B43" t="str">
            <v>RWA</v>
          </cell>
          <cell r="C43">
            <v>0</v>
          </cell>
          <cell r="D43">
            <v>35863.819000000003</v>
          </cell>
          <cell r="E43">
            <v>41287.445</v>
          </cell>
          <cell r="F43">
            <v>42078.849499999997</v>
          </cell>
          <cell r="G43">
            <v>42055.775000000001</v>
          </cell>
          <cell r="H43">
            <v>45351.785388999997</v>
          </cell>
          <cell r="I43">
            <v>50594.034</v>
          </cell>
          <cell r="J43">
            <v>60493.504999999997</v>
          </cell>
          <cell r="K43">
            <v>67229.427549870379</v>
          </cell>
          <cell r="L43">
            <v>74188.400576590677</v>
          </cell>
          <cell r="M43">
            <v>79223.790734148482</v>
          </cell>
          <cell r="O43" t="str">
            <v>Forex Income/Operating Income</v>
          </cell>
          <cell r="P43">
            <v>19.054882127853144</v>
          </cell>
          <cell r="Q43">
            <v>14.744799062950253</v>
          </cell>
          <cell r="R43">
            <v>13.002628491847922</v>
          </cell>
          <cell r="S43">
            <v>14.269079348649807</v>
          </cell>
          <cell r="T43">
            <v>13.03194395457721</v>
          </cell>
          <cell r="U43">
            <v>11.119943652191186</v>
          </cell>
          <cell r="V43">
            <v>9.9604252657301071</v>
          </cell>
          <cell r="W43">
            <v>10.750473468662197</v>
          </cell>
          <cell r="X43">
            <v>12.367090291202867</v>
          </cell>
          <cell r="Y43">
            <v>12.530204086472137</v>
          </cell>
          <cell r="Z43">
            <v>12.371727893651087</v>
          </cell>
        </row>
        <row r="44">
          <cell r="B44" t="str">
            <v>Total Liquid Assets</v>
          </cell>
          <cell r="C44">
            <v>16606.396999999997</v>
          </cell>
          <cell r="D44">
            <v>15954.6</v>
          </cell>
          <cell r="E44">
            <v>15466.677999999998</v>
          </cell>
          <cell r="F44">
            <v>18651.778999999999</v>
          </cell>
          <cell r="G44">
            <v>17873.575999999997</v>
          </cell>
          <cell r="H44">
            <v>19002.956000000002</v>
          </cell>
          <cell r="I44">
            <v>18286.859</v>
          </cell>
          <cell r="J44">
            <v>19457.932000000001</v>
          </cell>
          <cell r="K44">
            <v>19043.650912419842</v>
          </cell>
          <cell r="L44">
            <v>21384.325970443093</v>
          </cell>
          <cell r="M44">
            <v>20975.087018708524</v>
          </cell>
        </row>
        <row r="45">
          <cell r="B45" t="str">
            <v>Gross Customer Loans</v>
          </cell>
          <cell r="C45">
            <v>27490.632999999998</v>
          </cell>
          <cell r="D45">
            <v>29083.481</v>
          </cell>
          <cell r="E45">
            <v>34226.858999999997</v>
          </cell>
          <cell r="F45">
            <v>40304.274000000005</v>
          </cell>
          <cell r="G45">
            <v>40177.040000000001</v>
          </cell>
          <cell r="H45">
            <v>41491.596999999994</v>
          </cell>
          <cell r="I45">
            <v>46018.135999999999</v>
          </cell>
          <cell r="J45">
            <v>54806.536</v>
          </cell>
          <cell r="K45">
            <v>61018.019630000003</v>
          </cell>
          <cell r="L45">
            <v>67327.046272699998</v>
          </cell>
          <cell r="M45">
            <v>73767.776787259267</v>
          </cell>
          <cell r="O45" t="str">
            <v>Efficiency (%)</v>
          </cell>
        </row>
        <row r="46">
          <cell r="B46" t="str">
            <v>Total Customer Deposits</v>
          </cell>
          <cell r="C46">
            <v>21442.289000000001</v>
          </cell>
          <cell r="D46">
            <v>24772.7</v>
          </cell>
          <cell r="E46">
            <v>31516.885999999999</v>
          </cell>
          <cell r="F46">
            <v>31035.050999999999</v>
          </cell>
          <cell r="G46">
            <v>27983.25</v>
          </cell>
          <cell r="H46">
            <v>27493.97</v>
          </cell>
          <cell r="I46">
            <v>26836.47</v>
          </cell>
          <cell r="J46">
            <v>29603.906999999999</v>
          </cell>
          <cell r="K46">
            <v>30195.985140000001</v>
          </cell>
          <cell r="L46">
            <v>31403.8245456</v>
          </cell>
          <cell r="M46">
            <v>32659.977527424002</v>
          </cell>
          <cell r="O46" t="str">
            <v>Cost/Income</v>
          </cell>
          <cell r="P46">
            <v>47.539268416686731</v>
          </cell>
          <cell r="Q46">
            <v>32.539415173157252</v>
          </cell>
          <cell r="R46">
            <v>37.860382542799243</v>
          </cell>
          <cell r="S46">
            <v>37.9</v>
          </cell>
          <cell r="T46">
            <v>41.552268258216507</v>
          </cell>
          <cell r="U46">
            <v>48.052356414638538</v>
          </cell>
          <cell r="V46">
            <v>38.667878426829766</v>
          </cell>
          <cell r="W46">
            <v>39.296565728389652</v>
          </cell>
          <cell r="X46">
            <v>41.122758466295529</v>
          </cell>
          <cell r="Y46">
            <v>40.134204886596919</v>
          </cell>
          <cell r="Z46">
            <v>39.106398169254497</v>
          </cell>
        </row>
        <row r="47">
          <cell r="B47" t="str">
            <v>Certificates of Deposits</v>
          </cell>
          <cell r="C47">
            <v>62.791999999997643</v>
          </cell>
          <cell r="D47">
            <v>566.82499999999709</v>
          </cell>
          <cell r="E47">
            <v>367.52400000000489</v>
          </cell>
          <cell r="F47">
            <v>2184.1050000000032</v>
          </cell>
          <cell r="G47">
            <v>3327.7129999999961</v>
          </cell>
          <cell r="H47">
            <v>2987.2459999999992</v>
          </cell>
          <cell r="I47">
            <v>3971.6579999999958</v>
          </cell>
          <cell r="J47">
            <v>5571.4760000000024</v>
          </cell>
          <cell r="K47">
            <v>7242.9188000000031</v>
          </cell>
          <cell r="L47">
            <v>8546.6441840000025</v>
          </cell>
          <cell r="M47">
            <v>9572.2414860800036</v>
          </cell>
          <cell r="O47" t="str">
            <v>Expenses/Avg Assets</v>
          </cell>
          <cell r="P47">
            <v>1.2165157423987281</v>
          </cell>
          <cell r="Q47">
            <v>1.0601335931526161</v>
          </cell>
          <cell r="R47">
            <v>1.1306287287203314</v>
          </cell>
          <cell r="S47">
            <v>1.1680355567131651</v>
          </cell>
          <cell r="T47">
            <v>1.4547445162749715</v>
          </cell>
          <cell r="U47">
            <v>1.672322485841337</v>
          </cell>
          <cell r="V47">
            <v>1.6538028232272173</v>
          </cell>
          <cell r="W47">
            <v>1.5178430714886746</v>
          </cell>
          <cell r="X47">
            <v>1.4071757434521734</v>
          </cell>
          <cell r="Y47">
            <v>1.3271823028466816</v>
          </cell>
          <cell r="Z47">
            <v>1.2845814807857585</v>
          </cell>
        </row>
        <row r="48">
          <cell r="B48" t="str">
            <v>Other Interest Bearing Liability</v>
          </cell>
          <cell r="C48">
            <v>9181.3920000000035</v>
          </cell>
          <cell r="D48">
            <v>8357.7680000000037</v>
          </cell>
          <cell r="E48">
            <v>9534.3839999999982</v>
          </cell>
          <cell r="F48">
            <v>10342.241000000002</v>
          </cell>
          <cell r="G48">
            <v>12714.219000000005</v>
          </cell>
          <cell r="H48">
            <v>12671.106</v>
          </cell>
          <cell r="I48">
            <v>13874.025999999998</v>
          </cell>
          <cell r="J48">
            <v>17405.954000000005</v>
          </cell>
          <cell r="K48">
            <v>19560.109398707296</v>
          </cell>
          <cell r="L48">
            <v>24988.28810153294</v>
          </cell>
          <cell r="M48">
            <v>27950.067377516527</v>
          </cell>
        </row>
        <row r="49">
          <cell r="B49" t="str">
            <v>EOP Shareholders' Equity</v>
          </cell>
          <cell r="C49">
            <v>1412.989</v>
          </cell>
          <cell r="D49">
            <v>1674.8879999999999</v>
          </cell>
          <cell r="E49">
            <v>1845.7809999999999</v>
          </cell>
          <cell r="F49">
            <v>2951.8639999999996</v>
          </cell>
          <cell r="G49">
            <v>2929.3900000000003</v>
          </cell>
          <cell r="H49">
            <v>5657.6689999999999</v>
          </cell>
          <cell r="I49">
            <v>6379.165</v>
          </cell>
          <cell r="J49">
            <v>6650.799</v>
          </cell>
          <cell r="K49">
            <v>7263.3943890685905</v>
          </cell>
          <cell r="L49">
            <v>7726.8543031032614</v>
          </cell>
          <cell r="M49">
            <v>8261.9870225237009</v>
          </cell>
          <cell r="O49" t="str">
            <v>Rev Per Employee</v>
          </cell>
          <cell r="P49">
            <v>5.6577008477997584E-2</v>
          </cell>
          <cell r="Q49">
            <v>8.0669366850453381E-2</v>
          </cell>
          <cell r="R49">
            <v>0.1320195453227877</v>
          </cell>
          <cell r="S49">
            <v>0.32132442464736455</v>
          </cell>
          <cell r="T49">
            <v>0.40746853278226569</v>
          </cell>
          <cell r="U49">
            <v>0.41451445283018856</v>
          </cell>
          <cell r="V49">
            <v>0.53015007475568554</v>
          </cell>
          <cell r="W49">
            <v>0.52105806911293195</v>
          </cell>
          <cell r="X49">
            <v>0.51401463749688314</v>
          </cell>
          <cell r="Y49">
            <v>0.54561787096813641</v>
          </cell>
          <cell r="Z49">
            <v>0.58795246723686623</v>
          </cell>
        </row>
        <row r="50">
          <cell r="O50" t="str">
            <v>Exp Per Employee</v>
          </cell>
          <cell r="P50">
            <v>2.6896295922486879E-2</v>
          </cell>
          <cell r="Q50">
            <v>2.6249340197026315E-2</v>
          </cell>
          <cell r="R50">
            <v>4.9983104890471648E-2</v>
          </cell>
          <cell r="S50">
            <v>0.1302061989606533</v>
          </cell>
          <cell r="T50">
            <v>0.16931241780950593</v>
          </cell>
          <cell r="U50">
            <v>0.19918396226415094</v>
          </cell>
          <cell r="V50">
            <v>0.20499778638627561</v>
          </cell>
          <cell r="W50">
            <v>0.20475792661204131</v>
          </cell>
          <cell r="X50">
            <v>0.21137699785924777</v>
          </cell>
          <cell r="Y50">
            <v>0.21897939423223989</v>
          </cell>
          <cell r="Z50">
            <v>0.22992703288360447</v>
          </cell>
        </row>
        <row r="51">
          <cell r="B51" t="str">
            <v>Avg Loans</v>
          </cell>
          <cell r="C51">
            <v>25861.211499999998</v>
          </cell>
          <cell r="D51">
            <v>28287.057000000001</v>
          </cell>
          <cell r="E51">
            <v>31655.17</v>
          </cell>
          <cell r="F51">
            <v>37265.566500000001</v>
          </cell>
          <cell r="G51">
            <v>40240.657000000007</v>
          </cell>
          <cell r="H51">
            <v>40834.318499999994</v>
          </cell>
          <cell r="I51">
            <v>43754.866499999996</v>
          </cell>
          <cell r="J51">
            <v>50412.335999999996</v>
          </cell>
          <cell r="K51">
            <v>57912.277815000001</v>
          </cell>
          <cell r="L51">
            <v>64172.532951350004</v>
          </cell>
          <cell r="M51">
            <v>70547.411529979639</v>
          </cell>
          <cell r="O51" t="str">
            <v>Rev Per Branch</v>
          </cell>
          <cell r="P51">
            <v>0.98215505913272017</v>
          </cell>
          <cell r="Q51">
            <v>1.3528203330411921</v>
          </cell>
          <cell r="R51">
            <v>2.2870444763271163</v>
          </cell>
          <cell r="S51">
            <v>6.533192452830189</v>
          </cell>
          <cell r="T51">
            <v>8.1234269662921363</v>
          </cell>
          <cell r="U51">
            <v>7.9454849909584064</v>
          </cell>
          <cell r="V51">
            <v>9.8760946915827201</v>
          </cell>
          <cell r="W51">
            <v>9.6224342105263165</v>
          </cell>
          <cell r="X51">
            <v>9.4137167905679178</v>
          </cell>
          <cell r="Y51">
            <v>9.9925016497177293</v>
          </cell>
          <cell r="Z51">
            <v>10.767821787793119</v>
          </cell>
        </row>
        <row r="52">
          <cell r="B52" t="str">
            <v>Avg Total Assets</v>
          </cell>
          <cell r="C52">
            <v>43811.763500000001</v>
          </cell>
          <cell r="D52">
            <v>47377.802499999998</v>
          </cell>
          <cell r="E52">
            <v>53379.237999999998</v>
          </cell>
          <cell r="F52">
            <v>60062.469499999999</v>
          </cell>
          <cell r="G52">
            <v>61952.459000000003</v>
          </cell>
          <cell r="H52">
            <v>63126.281499999997</v>
          </cell>
          <cell r="I52">
            <v>67196.22099999999</v>
          </cell>
          <cell r="J52">
            <v>75733.191500000001</v>
          </cell>
          <cell r="K52">
            <v>85832.076866580261</v>
          </cell>
          <cell r="L52">
            <v>94278.552084307375</v>
          </cell>
          <cell r="M52">
            <v>102274.79420715944</v>
          </cell>
          <cell r="O52" t="str">
            <v>Exp Per Branch</v>
          </cell>
          <cell r="P52">
            <v>0.4669093298291721</v>
          </cell>
          <cell r="Q52">
            <v>0.44019982471516217</v>
          </cell>
          <cell r="R52">
            <v>0.86588378766140595</v>
          </cell>
          <cell r="S52">
            <v>2.6473622641509431</v>
          </cell>
          <cell r="T52">
            <v>3.3754681647940075</v>
          </cell>
          <cell r="U52">
            <v>3.817992766726944</v>
          </cell>
          <cell r="V52">
            <v>3.8188762886597942</v>
          </cell>
          <cell r="W52">
            <v>3.7812861842105261</v>
          </cell>
          <cell r="X52">
            <v>3.8711800184863514</v>
          </cell>
          <cell r="Y52">
            <v>4.0104110853942911</v>
          </cell>
          <cell r="Z52">
            <v>4.2109072624901156</v>
          </cell>
        </row>
        <row r="53">
          <cell r="B53" t="str">
            <v>Avg Total Deposits</v>
          </cell>
          <cell r="C53">
            <v>28434.497499999998</v>
          </cell>
          <cell r="D53">
            <v>31820.137999999999</v>
          </cell>
          <cell r="E53">
            <v>36397.792000000001</v>
          </cell>
          <cell r="F53">
            <v>40853.684999999998</v>
          </cell>
          <cell r="G53">
            <v>40449.5245</v>
          </cell>
          <cell r="H53">
            <v>38205.835999999996</v>
          </cell>
          <cell r="I53">
            <v>38249.619500000001</v>
          </cell>
          <cell r="J53">
            <v>41460.361000000004</v>
          </cell>
          <cell r="K53">
            <v>45655.307549999998</v>
          </cell>
          <cell r="L53">
            <v>48229.8136964</v>
          </cell>
          <cell r="M53">
            <v>50817.173780384008</v>
          </cell>
          <cell r="O53" t="str">
            <v>Net Profit Per Branch</v>
          </cell>
          <cell r="P53">
            <v>-0.35366009636443269</v>
          </cell>
          <cell r="Q53">
            <v>0.19504557405784401</v>
          </cell>
          <cell r="R53">
            <v>0.16212769010043068</v>
          </cell>
          <cell r="S53">
            <v>-0.80685660377358415</v>
          </cell>
          <cell r="T53">
            <v>1.9553071161048707</v>
          </cell>
          <cell r="U53">
            <v>6.9776745027124747</v>
          </cell>
          <cell r="V53">
            <v>3.4576193450584163</v>
          </cell>
          <cell r="W53">
            <v>3.1610032894736846</v>
          </cell>
          <cell r="X53">
            <v>3.3503762470147138</v>
          </cell>
          <cell r="Y53">
            <v>3.5524575001111258</v>
          </cell>
          <cell r="Z53">
            <v>3.7821780301937133</v>
          </cell>
        </row>
        <row r="54">
          <cell r="B54" t="str">
            <v>Avg Shareholders' Equity</v>
          </cell>
          <cell r="D54">
            <v>1543.9385</v>
          </cell>
          <cell r="E54">
            <v>1760.3344999999999</v>
          </cell>
          <cell r="F54">
            <v>2398.8224999999998</v>
          </cell>
          <cell r="G54">
            <v>2940.627</v>
          </cell>
          <cell r="H54">
            <v>4293.5295000000006</v>
          </cell>
          <cell r="I54">
            <v>6018.4169999999995</v>
          </cell>
          <cell r="J54">
            <v>6514.982</v>
          </cell>
          <cell r="K54">
            <v>6957.0966945342952</v>
          </cell>
          <cell r="L54">
            <v>7495.1243460859259</v>
          </cell>
          <cell r="M54">
            <v>7994.4206628134816</v>
          </cell>
        </row>
        <row r="55">
          <cell r="B55" t="str">
            <v>Avg Equity/Avg Assets (%)</v>
          </cell>
          <cell r="C55">
            <v>3.2875428536447751</v>
          </cell>
          <cell r="D55">
            <v>3.2587803117293168</v>
          </cell>
          <cell r="E55">
            <v>3.2977887395095449</v>
          </cell>
          <cell r="F55">
            <v>3.9938792393476259</v>
          </cell>
          <cell r="G55">
            <v>4.7465864107185798</v>
          </cell>
          <cell r="H55">
            <v>6.8014928140508326</v>
          </cell>
          <cell r="I55">
            <v>8.9564813473662461</v>
          </cell>
          <cell r="J55">
            <v>8.6025451601362928</v>
          </cell>
          <cell r="K55">
            <v>8.1054740238298066</v>
          </cell>
          <cell r="L55">
            <v>7.9499782085998811</v>
          </cell>
          <cell r="M55">
            <v>7.8166088964409335</v>
          </cell>
          <cell r="O55" t="str">
            <v>Net Interest Margin Analysis (%)</v>
          </cell>
        </row>
        <row r="56">
          <cell r="B56" t="str">
            <v>Avg EA/Avg Assets (%)</v>
          </cell>
          <cell r="C56">
            <v>83.796444304279134</v>
          </cell>
          <cell r="D56">
            <v>83.61745777466146</v>
          </cell>
          <cell r="E56">
            <v>78.980934497416371</v>
          </cell>
          <cell r="F56">
            <v>80.761254746610106</v>
          </cell>
          <cell r="G56">
            <v>84.601302306660671</v>
          </cell>
          <cell r="H56">
            <v>80.890468653044309</v>
          </cell>
          <cell r="I56">
            <v>78.450380416482062</v>
          </cell>
          <cell r="J56">
            <v>77.089427823730361</v>
          </cell>
          <cell r="K56">
            <v>78.432977166613639</v>
          </cell>
          <cell r="L56">
            <v>77.369266791136468</v>
          </cell>
          <cell r="M56">
            <v>77.845337044641383</v>
          </cell>
          <cell r="O56" t="str">
            <v>Int Income/Avg EA</v>
          </cell>
          <cell r="P56">
            <v>8.4745578505530794</v>
          </cell>
          <cell r="Q56">
            <v>7.471149239927974</v>
          </cell>
          <cell r="R56">
            <v>6.1475867991640616</v>
          </cell>
          <cell r="S56">
            <v>5.655518714292417</v>
          </cell>
          <cell r="T56">
            <v>6.0519203000513961</v>
          </cell>
          <cell r="U56">
            <v>6.2765934281208029</v>
          </cell>
          <cell r="V56">
            <v>6.7143272389239854</v>
          </cell>
          <cell r="W56">
            <v>6.847465919627262</v>
          </cell>
          <cell r="X56">
            <v>6.9734438723616927</v>
          </cell>
          <cell r="Y56">
            <v>6.9264383358071431</v>
          </cell>
          <cell r="Z56">
            <v>6.9832119417846119</v>
          </cell>
        </row>
        <row r="57">
          <cell r="B57" t="str">
            <v>Avg Loans/Avg EA (%)</v>
          </cell>
          <cell r="C57">
            <v>70.442139913435952</v>
          </cell>
          <cell r="D57">
            <v>71.402906908032421</v>
          </cell>
          <cell r="E57">
            <v>75.084451468154668</v>
          </cell>
          <cell r="F57">
            <v>76.824808331562465</v>
          </cell>
          <cell r="G57">
            <v>76.776704237150355</v>
          </cell>
          <cell r="H57">
            <v>79.968279550959267</v>
          </cell>
          <cell r="I57">
            <v>83.001599087451964</v>
          </cell>
          <cell r="J57">
            <v>86.348687557341876</v>
          </cell>
          <cell r="K57">
            <v>86.024533362144794</v>
          </cell>
          <cell r="L57">
            <v>87.976726092561279</v>
          </cell>
          <cell r="M57">
            <v>88.609414307052916</v>
          </cell>
          <cell r="O57" t="str">
            <v>Int Exp/Avg Int Bearing Liab.</v>
          </cell>
          <cell r="P57" t="e">
            <v>#DIV/0!</v>
          </cell>
          <cell r="Q57" t="e">
            <v>#DIV/0!</v>
          </cell>
          <cell r="R57">
            <v>3.8461260756095093</v>
          </cell>
          <cell r="S57">
            <v>3.3987363606887526</v>
          </cell>
          <cell r="T57">
            <v>3.1862653599176936</v>
          </cell>
          <cell r="U57">
            <v>3.0250875783727933</v>
          </cell>
          <cell r="V57">
            <v>3.4324511330288514</v>
          </cell>
          <cell r="W57">
            <v>3.8105926627199742</v>
          </cell>
          <cell r="X57">
            <v>4.118825109340853</v>
          </cell>
          <cell r="Y57">
            <v>4.0721422890351553</v>
          </cell>
          <cell r="Z57">
            <v>4.143731085616758</v>
          </cell>
        </row>
        <row r="58">
          <cell r="O58" t="str">
            <v xml:space="preserve">Net Interest Spread </v>
          </cell>
          <cell r="P58">
            <v>0</v>
          </cell>
          <cell r="Q58">
            <v>0</v>
          </cell>
          <cell r="R58">
            <v>2.3014607235545519</v>
          </cell>
          <cell r="S58">
            <v>2.2567823536036649</v>
          </cell>
          <cell r="T58">
            <v>2.865654940133703</v>
          </cell>
          <cell r="U58">
            <v>3.2515058497480092</v>
          </cell>
          <cell r="V58">
            <v>3.281876105895134</v>
          </cell>
          <cell r="W58">
            <v>3.0368732569072874</v>
          </cell>
          <cell r="X58">
            <v>2.8546187630208393</v>
          </cell>
          <cell r="Y58">
            <v>2.8542960467719882</v>
          </cell>
          <cell r="Z58">
            <v>2.839480856167854</v>
          </cell>
        </row>
        <row r="59">
          <cell r="B59" t="str">
            <v>Asset Quality</v>
          </cell>
          <cell r="O59" t="str">
            <v>Contribution From Free Funds</v>
          </cell>
          <cell r="P59">
            <v>1.7274648827245072</v>
          </cell>
          <cell r="Q59">
            <v>2.4421123182349485</v>
          </cell>
          <cell r="R59">
            <v>-0.17176591583885648</v>
          </cell>
          <cell r="S59">
            <v>-0.11953486351951215</v>
          </cell>
          <cell r="T59">
            <v>-5.1063863982928837E-2</v>
          </cell>
          <cell r="U59">
            <v>-1.7619645328871503E-2</v>
          </cell>
          <cell r="V59">
            <v>0.15970829826263389</v>
          </cell>
          <cell r="W59">
            <v>0.18105497625330536</v>
          </cell>
          <cell r="X59">
            <v>0.18940020351708142</v>
          </cell>
          <cell r="Y59">
            <v>0.10921329474468555</v>
          </cell>
          <cell r="Z59">
            <v>8.704727042215632E-2</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v>1.7274648827245072</v>
          </cell>
          <cell r="Q60">
            <v>2.4421123182349485</v>
          </cell>
          <cell r="R60">
            <v>2.1296948077156954</v>
          </cell>
          <cell r="S60">
            <v>2.1372474900841527</v>
          </cell>
          <cell r="T60">
            <v>2.8145910761507742</v>
          </cell>
          <cell r="U60">
            <v>3.2338862044191377</v>
          </cell>
          <cell r="V60">
            <v>3.4415844041577679</v>
          </cell>
          <cell r="W60">
            <v>3.2179282331605927</v>
          </cell>
          <cell r="X60">
            <v>3.0440189665379207</v>
          </cell>
          <cell r="Y60">
            <v>2.9635093415166738</v>
          </cell>
          <cell r="Z60">
            <v>2.9265281265900103</v>
          </cell>
        </row>
        <row r="61">
          <cell r="B61" t="str">
            <v>Non-performing Loans (NPL)</v>
          </cell>
          <cell r="C61">
            <v>2621.0609999999997</v>
          </cell>
          <cell r="D61">
            <v>1188</v>
          </cell>
          <cell r="E61">
            <v>1117.3620000000001</v>
          </cell>
          <cell r="F61">
            <v>1080.202</v>
          </cell>
          <cell r="G61">
            <v>754.83500000000004</v>
          </cell>
          <cell r="H61">
            <v>389.233</v>
          </cell>
          <cell r="I61">
            <v>299.39999999999998</v>
          </cell>
          <cell r="J61">
            <v>360.3</v>
          </cell>
          <cell r="K61">
            <v>524.89139160000002</v>
          </cell>
          <cell r="L61">
            <v>651.06128652000007</v>
          </cell>
          <cell r="M61">
            <v>797.02930309680005</v>
          </cell>
        </row>
        <row r="62">
          <cell r="B62" t="str">
            <v>Gross NPL Ratio (%)</v>
          </cell>
          <cell r="C62">
            <v>9.6067267660159672</v>
          </cell>
          <cell r="D62">
            <v>3.5681033188166391</v>
          </cell>
          <cell r="E62">
            <v>2.8516664708748412</v>
          </cell>
          <cell r="F62">
            <v>2.5917830073643984</v>
          </cell>
          <cell r="G62">
            <v>1.8176115697603716</v>
          </cell>
          <cell r="H62">
            <v>0.89529316295070216</v>
          </cell>
          <cell r="I62">
            <v>0.61557693375249034</v>
          </cell>
          <cell r="J62">
            <v>0.61356902012874226</v>
          </cell>
          <cell r="K62">
            <v>0.8052776260474227</v>
          </cell>
          <cell r="L62">
            <v>0.90804081414053817</v>
          </cell>
          <cell r="M62">
            <v>1.0105669735114473</v>
          </cell>
          <cell r="O62" t="str">
            <v>Liquidity (%)</v>
          </cell>
        </row>
        <row r="63">
          <cell r="B63" t="str">
            <v>Loan Loss Reserve (LLR)</v>
          </cell>
          <cell r="C63">
            <v>1843.229</v>
          </cell>
          <cell r="D63">
            <v>987.57899999999995</v>
          </cell>
          <cell r="E63">
            <v>780.03599999999994</v>
          </cell>
          <cell r="F63">
            <v>885.29600000000005</v>
          </cell>
          <cell r="G63">
            <v>821.41100000000006</v>
          </cell>
          <cell r="H63">
            <v>612.08000000000004</v>
          </cell>
          <cell r="I63">
            <v>616.80770000000007</v>
          </cell>
          <cell r="J63">
            <v>733.08</v>
          </cell>
          <cell r="K63">
            <v>997.98632329199995</v>
          </cell>
          <cell r="L63">
            <v>1253.039100768</v>
          </cell>
          <cell r="M63">
            <v>1548.6860982810001</v>
          </cell>
          <cell r="O63" t="str">
            <v>Avg Loans/Avg EA</v>
          </cell>
          <cell r="P63">
            <v>70.442139913435952</v>
          </cell>
          <cell r="Q63">
            <v>71.402906908032421</v>
          </cell>
          <cell r="R63">
            <v>75.084451468154668</v>
          </cell>
          <cell r="S63">
            <v>76.824808331562465</v>
          </cell>
          <cell r="T63">
            <v>76.776704237150355</v>
          </cell>
          <cell r="U63">
            <v>79.968279550959267</v>
          </cell>
          <cell r="V63">
            <v>83.001599087451964</v>
          </cell>
          <cell r="W63">
            <v>86.348687557341876</v>
          </cell>
          <cell r="X63">
            <v>86.024533362144794</v>
          </cell>
          <cell r="Y63">
            <v>87.976726092561279</v>
          </cell>
          <cell r="Z63">
            <v>88.609414307052916</v>
          </cell>
        </row>
        <row r="64">
          <cell r="B64" t="str">
            <v>LLR/NPL (%)</v>
          </cell>
          <cell r="C64">
            <v>70.323773464257428</v>
          </cell>
          <cell r="D64">
            <v>83.12954545454545</v>
          </cell>
          <cell r="E64">
            <v>69.810500088601529</v>
          </cell>
          <cell r="F64">
            <v>81.956522946634053</v>
          </cell>
          <cell r="G64">
            <v>108.81994078176025</v>
          </cell>
          <cell r="H64">
            <v>157.25285368917847</v>
          </cell>
          <cell r="I64">
            <v>206.01459585838347</v>
          </cell>
          <cell r="J64">
            <v>203.46378018318069</v>
          </cell>
          <cell r="K64">
            <v>190.13196620540651</v>
          </cell>
          <cell r="L64">
            <v>192.46100585486244</v>
          </cell>
          <cell r="M64">
            <v>194.30729739341973</v>
          </cell>
          <cell r="O64" t="str">
            <v>Avg Liquid Assets/AEA</v>
          </cell>
          <cell r="P64">
            <v>44.391695516810259</v>
          </cell>
          <cell r="Q64">
            <v>41.095647341887187</v>
          </cell>
          <cell r="R64">
            <v>37.264835776563451</v>
          </cell>
          <cell r="S64">
            <v>35.168443227525543</v>
          </cell>
          <cell r="T64">
            <v>34.844068003063668</v>
          </cell>
          <cell r="U64">
            <v>36.108755186472571</v>
          </cell>
          <cell r="V64">
            <v>35.368800344474288</v>
          </cell>
          <cell r="W64">
            <v>32.325551874606347</v>
          </cell>
          <cell r="X64">
            <v>28.595669421994092</v>
          </cell>
          <cell r="Y64">
            <v>27.712175950701727</v>
          </cell>
          <cell r="Z64">
            <v>26.602271394211545</v>
          </cell>
        </row>
        <row r="65">
          <cell r="B65" t="str">
            <v>LLR/Total Credit (%)</v>
          </cell>
          <cell r="C65">
            <v>3.0002086490841178</v>
          </cell>
          <cell r="D65">
            <v>0</v>
          </cell>
          <cell r="E65">
            <v>1.9907626241767011</v>
          </cell>
          <cell r="F65">
            <v>2.1241352351575657</v>
          </cell>
          <cell r="G65">
            <v>1.9779238338556597</v>
          </cell>
          <cell r="H65">
            <v>1.4078740476240861</v>
          </cell>
          <cell r="I65">
            <v>1.2681783322676217</v>
          </cell>
          <cell r="J65">
            <v>1.2483907223868396</v>
          </cell>
          <cell r="K65">
            <v>1.5310901838161857</v>
          </cell>
          <cell r="L65">
            <v>1.7476244844675619</v>
          </cell>
          <cell r="M65">
            <v>1.9636053745805688</v>
          </cell>
          <cell r="O65" t="str">
            <v>Avg Loans/Avg Deposits</v>
          </cell>
          <cell r="P65">
            <v>90.950126690299342</v>
          </cell>
          <cell r="Q65">
            <v>88.896713772894387</v>
          </cell>
          <cell r="R65">
            <v>86.97002829182604</v>
          </cell>
          <cell r="S65">
            <v>91.217148465309805</v>
          </cell>
          <cell r="T65">
            <v>99.483634226652057</v>
          </cell>
          <cell r="U65">
            <v>106.87979318133492</v>
          </cell>
          <cell r="V65">
            <v>114.39294579126467</v>
          </cell>
          <cell r="W65">
            <v>121.59164750157383</v>
          </cell>
          <cell r="X65">
            <v>126.84675872915021</v>
          </cell>
          <cell r="Y65">
            <v>133.05573468582568</v>
          </cell>
          <cell r="Z65">
            <v>138.82592494195677</v>
          </cell>
        </row>
        <row r="66">
          <cell r="O66" t="str">
            <v>Avg Loans/Avg Depo &amp; Equity</v>
          </cell>
          <cell r="P66">
            <v>120.92938482629432</v>
          </cell>
          <cell r="Q66">
            <v>114.74812437881401</v>
          </cell>
          <cell r="R66">
            <v>105.85198140352352</v>
          </cell>
          <cell r="S66">
            <v>110.66309661728859</v>
          </cell>
          <cell r="T66">
            <v>124.0090382746076</v>
          </cell>
          <cell r="U66">
            <v>127.47921037244481</v>
          </cell>
          <cell r="V66">
            <v>131.85675367651834</v>
          </cell>
          <cell r="W66">
            <v>145.13340592354368</v>
          </cell>
          <cell r="X66">
            <v>157.12676186469881</v>
          </cell>
          <cell r="Y66">
            <v>167.57405415419896</v>
          </cell>
          <cell r="Z66">
            <v>176.25254716115595</v>
          </cell>
        </row>
        <row r="67">
          <cell r="B67" t="str">
            <v>Specific Reserve</v>
          </cell>
          <cell r="C67">
            <v>117.8972</v>
          </cell>
          <cell r="D67">
            <v>147.245</v>
          </cell>
          <cell r="E67">
            <v>184.59595000000002</v>
          </cell>
          <cell r="F67">
            <v>198.82147499999999</v>
          </cell>
          <cell r="G67">
            <v>200.22189500000005</v>
          </cell>
          <cell r="H67">
            <v>213.13979500000002</v>
          </cell>
          <cell r="I67">
            <v>239.61900000000003</v>
          </cell>
          <cell r="J67">
            <v>290.04899999999998</v>
          </cell>
          <cell r="K67">
            <v>321.61832923440005</v>
          </cell>
          <cell r="L67">
            <v>353.04437059704003</v>
          </cell>
          <cell r="M67">
            <v>387.66602589642002</v>
          </cell>
          <cell r="O67" t="str">
            <v>Period-End Loans/Deposits</v>
          </cell>
          <cell r="P67">
            <v>91.467213784833135</v>
          </cell>
          <cell r="Q67">
            <v>86.59638311621471</v>
          </cell>
          <cell r="R67">
            <v>87.290067949937352</v>
          </cell>
          <cell r="S67">
            <v>94.840537135839497</v>
          </cell>
          <cell r="T67">
            <v>104.62181245827711</v>
          </cell>
          <cell r="U67">
            <v>109.16109990163511</v>
          </cell>
          <cell r="V67">
            <v>119.55951575759258</v>
          </cell>
          <cell r="W67">
            <v>123.35204497239324</v>
          </cell>
          <cell r="X67">
            <v>130.15893536142923</v>
          </cell>
          <cell r="Y67">
            <v>135.79475958299747</v>
          </cell>
          <cell r="Z67">
            <v>141.71300748216854</v>
          </cell>
        </row>
        <row r="68">
          <cell r="B68" t="str">
            <v>Specific Reserve/NPLs (%)</v>
          </cell>
          <cell r="C68">
            <v>4.4980715824622175</v>
          </cell>
          <cell r="D68">
            <v>12.39436026936027</v>
          </cell>
          <cell r="E68">
            <v>16.520693383164993</v>
          </cell>
          <cell r="F68">
            <v>18.405953238375787</v>
          </cell>
          <cell r="G68">
            <v>26.525253201030697</v>
          </cell>
          <cell r="H68">
            <v>54.758922033846055</v>
          </cell>
          <cell r="I68">
            <v>80.033066132264537</v>
          </cell>
          <cell r="J68">
            <v>80.502081598667758</v>
          </cell>
          <cell r="K68">
            <v>61.273309942086698</v>
          </cell>
          <cell r="L68">
            <v>54.225981164400686</v>
          </cell>
          <cell r="M68">
            <v>48.63886740301411</v>
          </cell>
        </row>
        <row r="69">
          <cell r="B69" t="str">
            <v>General Reserve</v>
          </cell>
          <cell r="C69">
            <v>1725.3317999999999</v>
          </cell>
          <cell r="D69">
            <v>840.33399999999995</v>
          </cell>
          <cell r="E69">
            <v>595.44004999999993</v>
          </cell>
          <cell r="F69">
            <v>686.47452500000009</v>
          </cell>
          <cell r="G69">
            <v>621.18910500000004</v>
          </cell>
          <cell r="H69">
            <v>398.94020499999999</v>
          </cell>
          <cell r="I69">
            <v>377.18870000000004</v>
          </cell>
          <cell r="J69">
            <v>443.03100000000006</v>
          </cell>
          <cell r="K69">
            <v>676.36799405759984</v>
          </cell>
          <cell r="L69">
            <v>899.99473017096</v>
          </cell>
          <cell r="M69">
            <v>1161.0200723845801</v>
          </cell>
          <cell r="O69" t="str">
            <v>Capital Information</v>
          </cell>
        </row>
        <row r="70">
          <cell r="B70" t="str">
            <v>General Reserve/NPLs (%)</v>
          </cell>
          <cell r="C70">
            <v>65.825701881795212</v>
          </cell>
          <cell r="D70">
            <v>70.735185185185173</v>
          </cell>
          <cell r="E70">
            <v>53.289806705436547</v>
          </cell>
          <cell r="F70">
            <v>63.550569708258273</v>
          </cell>
          <cell r="G70">
            <v>82.294687580729558</v>
          </cell>
          <cell r="H70">
            <v>102.4939316553324</v>
          </cell>
          <cell r="I70">
            <v>125.98152972611894</v>
          </cell>
          <cell r="J70">
            <v>122.96169858451292</v>
          </cell>
          <cell r="K70">
            <v>128.85865626331977</v>
          </cell>
          <cell r="L70">
            <v>138.23502469046173</v>
          </cell>
          <cell r="M70">
            <v>145.66842999040563</v>
          </cell>
          <cell r="O70" t="str">
            <v>Tier 1 Ratio (%)</v>
          </cell>
          <cell r="P70" t="e">
            <v>#DIV/0!</v>
          </cell>
          <cell r="Q70">
            <v>5.367077611004003</v>
          </cell>
          <cell r="R70">
            <v>4.6556598501069759</v>
          </cell>
          <cell r="S70">
            <v>4.6784596617832905</v>
          </cell>
          <cell r="T70">
            <v>5.5075599011075163</v>
          </cell>
          <cell r="U70">
            <v>9.6463214457287858</v>
          </cell>
          <cell r="V70">
            <v>9.3748642379455269</v>
          </cell>
          <cell r="W70">
            <v>8.6485598743203926</v>
          </cell>
          <cell r="X70">
            <v>8.4146158366320947</v>
          </cell>
          <cell r="Y70">
            <v>8.252325222245867</v>
          </cell>
          <cell r="Z70">
            <v>8.4057772763387391</v>
          </cell>
        </row>
        <row r="71">
          <cell r="B71" t="str">
            <v>Net Charge-offs (NCO)</v>
          </cell>
          <cell r="C71">
            <v>1255.2463950000001</v>
          </cell>
          <cell r="D71">
            <v>1785.11</v>
          </cell>
          <cell r="E71">
            <v>726.24400000000003</v>
          </cell>
          <cell r="F71">
            <v>873.15700000000004</v>
          </cell>
          <cell r="G71">
            <v>2781.9</v>
          </cell>
          <cell r="H71">
            <v>580.1</v>
          </cell>
          <cell r="I71">
            <v>336.95100000000002</v>
          </cell>
          <cell r="J71">
            <v>355.73899999999998</v>
          </cell>
          <cell r="K71">
            <v>160.8769150704</v>
          </cell>
          <cell r="L71">
            <v>244.80404920079997</v>
          </cell>
          <cell r="M71">
            <v>284.22316189385998</v>
          </cell>
          <cell r="O71" t="str">
            <v>Tier 2 Ratio (%)</v>
          </cell>
          <cell r="P71" t="e">
            <v>#DIV/0!</v>
          </cell>
          <cell r="Q71">
            <v>5.367077611004003</v>
          </cell>
          <cell r="R71">
            <v>4.655659850106975</v>
          </cell>
          <cell r="S71">
            <v>4.6784596617832905</v>
          </cell>
          <cell r="T71">
            <v>4.2753890518008522</v>
          </cell>
          <cell r="U71">
            <v>4.489837572070277</v>
          </cell>
          <cell r="V71">
            <v>3.4492742760935018</v>
          </cell>
          <cell r="W71">
            <v>2.9715967028195838</v>
          </cell>
          <cell r="X71">
            <v>3.6014756844680487</v>
          </cell>
          <cell r="Y71">
            <v>3.628440546493465</v>
          </cell>
          <cell r="Z71">
            <v>3.7922678952171851</v>
          </cell>
        </row>
        <row r="72">
          <cell r="B72" t="str">
            <v>NCO/Avg Total Credit (%)</v>
          </cell>
          <cell r="C72">
            <v>4.7598647318587313</v>
          </cell>
          <cell r="D72">
            <v>5.8935332626780204</v>
          </cell>
          <cell r="E72">
            <v>2.0040461232162863</v>
          </cell>
          <cell r="F72">
            <v>2.159656699577825</v>
          </cell>
          <cell r="G72">
            <v>6.686705149292969</v>
          </cell>
          <cell r="H72">
            <v>1.3648700426554239</v>
          </cell>
          <cell r="I72">
            <v>0.73160532121601374</v>
          </cell>
          <cell r="J72">
            <v>0.66270737607268293</v>
          </cell>
          <cell r="K72">
            <v>0.25968115338608083</v>
          </cell>
          <cell r="L72">
            <v>0.35768891430191513</v>
          </cell>
          <cell r="M72">
            <v>0.377531909627565</v>
          </cell>
          <cell r="O72" t="str">
            <v>Total CAR (%)</v>
          </cell>
          <cell r="P72" t="e">
            <v>#DIV/0!</v>
          </cell>
          <cell r="Q72">
            <v>10.734155222008006</v>
          </cell>
          <cell r="R72">
            <v>9.3113197002139501</v>
          </cell>
          <cell r="S72">
            <v>9.3569193235665811</v>
          </cell>
          <cell r="T72">
            <v>9.7829489529083684</v>
          </cell>
          <cell r="U72">
            <v>14.136159017799063</v>
          </cell>
          <cell r="V72">
            <v>12.824138514039028</v>
          </cell>
          <cell r="W72">
            <v>11.620156577139976</v>
          </cell>
          <cell r="X72">
            <v>12.016091521100144</v>
          </cell>
          <cell r="Y72">
            <v>11.880765768739332</v>
          </cell>
          <cell r="Z72">
            <v>12.198045171555924</v>
          </cell>
        </row>
        <row r="73">
          <cell r="B73" t="str">
            <v>LLPE/Avg Loans (%)</v>
          </cell>
          <cell r="C73">
            <v>4.5227579535475373</v>
          </cell>
          <cell r="D73">
            <v>3.2942486735187759</v>
          </cell>
          <cell r="E73">
            <v>1.6385980552307888</v>
          </cell>
          <cell r="F73">
            <v>2.2791817749503416</v>
          </cell>
          <cell r="G73">
            <v>2.0237045334523236</v>
          </cell>
          <cell r="H73">
            <v>0.39889143735801552</v>
          </cell>
          <cell r="I73">
            <v>0.56236333354730239</v>
          </cell>
          <cell r="J73">
            <v>0.7221704624042814</v>
          </cell>
          <cell r="K73">
            <v>0.60533609726467985</v>
          </cell>
          <cell r="L73">
            <v>0.6657568330685818</v>
          </cell>
          <cell r="M73">
            <v>0.72289537544568661</v>
          </cell>
        </row>
        <row r="152">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eward_View_Chart"/>
      <sheetName val="Bear_to_Bull_Chart"/>
      <sheetName val="Bear_to_Bull_Data"/>
      <sheetName val="Comparative_Risk-Reward_Chart"/>
      <sheetName val="Comparative_Risk-Reward_Data"/>
      <sheetName val="Value_of_Growth_Chart"/>
      <sheetName val="Value_of_Growth_Data"/>
      <sheetName val="Ace-Out"/>
      <sheetName val="Sheet1"/>
      <sheetName val="RI Valuation"/>
    </sheetNames>
    <sheetDataSet>
      <sheetData sheetId="0">
        <row r="26">
          <cell r="F26">
            <v>26000</v>
          </cell>
        </row>
        <row r="27">
          <cell r="F27">
            <v>33000</v>
          </cell>
        </row>
        <row r="28">
          <cell r="F28">
            <v>13000</v>
          </cell>
        </row>
      </sheetData>
      <sheetData sheetId="1" refreshError="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2015 biopharma rev change"/>
      <sheetName val="margins"/>
    </sheetNames>
    <sheetDataSet>
      <sheetData sheetId="0"/>
      <sheetData sheetId="1">
        <row r="1">
          <cell r="R1" t="str">
            <v>SmartCharts</v>
          </cell>
          <cell r="BA1" t="str">
            <v>.</v>
          </cell>
        </row>
        <row r="2">
          <cell r="BA2" t="str">
            <v>.</v>
          </cell>
        </row>
        <row r="3">
          <cell r="BA3" t="str">
            <v>.</v>
          </cell>
        </row>
        <row r="4">
          <cell r="BA4" t="str">
            <v>.</v>
          </cell>
        </row>
        <row r="5">
          <cell r="C5" t="str">
            <v>Define value axis here:</v>
          </cell>
        </row>
        <row r="6">
          <cell r="C6" t="str">
            <v>Bristol-Myers Squibb YOY revenue change 2010E-2015E</v>
          </cell>
        </row>
        <row r="10">
          <cell r="C10" t="str">
            <v>Input your data here:</v>
          </cell>
          <cell r="BA10" t="str">
            <v>.</v>
          </cell>
        </row>
        <row r="11">
          <cell r="C11" t="str">
            <v>Sales ($M)</v>
          </cell>
          <cell r="D11" t="str">
            <v>2011E</v>
          </cell>
          <cell r="E11" t="str">
            <v>2012E</v>
          </cell>
          <cell r="F11" t="str">
            <v>2013E</v>
          </cell>
          <cell r="G11" t="str">
            <v>2014E</v>
          </cell>
          <cell r="H11" t="str">
            <v>2015E</v>
          </cell>
          <cell r="BA11" t="str">
            <v>.</v>
          </cell>
        </row>
        <row r="12">
          <cell r="C12" t="str">
            <v>In-line products</v>
          </cell>
          <cell r="D12">
            <v>428.20430499999929</v>
          </cell>
          <cell r="E12">
            <v>406.00087174999862</v>
          </cell>
          <cell r="F12">
            <v>379.77037045850375</v>
          </cell>
          <cell r="G12">
            <v>349.04459650893114</v>
          </cell>
          <cell r="H12">
            <v>290.7973990176979</v>
          </cell>
          <cell r="BA12" t="str">
            <v>.</v>
          </cell>
        </row>
        <row r="13">
          <cell r="C13" t="str">
            <v>Pipeline products launching 2010–2015</v>
          </cell>
          <cell r="D13">
            <v>509.8125</v>
          </cell>
          <cell r="E13">
            <v>791.0775000000001</v>
          </cell>
          <cell r="F13">
            <v>1302.57</v>
          </cell>
          <cell r="G13">
            <v>1653.0442999999996</v>
          </cell>
          <cell r="H13">
            <v>1227.8117000000011</v>
          </cell>
          <cell r="BA13" t="str">
            <v>.</v>
          </cell>
        </row>
        <row r="14">
          <cell r="C14" t="str">
            <v>Products expiring 2010–2015</v>
          </cell>
          <cell r="D14">
            <v>170.7135303846153</v>
          </cell>
          <cell r="E14">
            <v>-3013.0544055538448</v>
          </cell>
          <cell r="F14">
            <v>-3358.1474564076934</v>
          </cell>
          <cell r="G14">
            <v>-1309.0957018979234</v>
          </cell>
          <cell r="H14">
            <v>-2226.5059205538264</v>
          </cell>
          <cell r="BA14" t="str">
            <v>.</v>
          </cell>
        </row>
        <row r="15">
          <cell r="C15" t="str">
            <v>Biopharmaceuticals net YOY change</v>
          </cell>
          <cell r="D15">
            <v>1108.7303353846146</v>
          </cell>
          <cell r="E15">
            <v>-1815.9760338038468</v>
          </cell>
          <cell r="F15">
            <v>-1675.8070859491891</v>
          </cell>
          <cell r="G15">
            <v>692.99319461100822</v>
          </cell>
          <cell r="H15">
            <v>-707.89682153612739</v>
          </cell>
          <cell r="BA15" t="str">
            <v>.</v>
          </cell>
        </row>
        <row r="16">
          <cell r="C16" t="str">
            <v>Mead Johnson YOY change</v>
          </cell>
          <cell r="D16">
            <v>214.20896000000039</v>
          </cell>
          <cell r="E16">
            <v>221.85658040000044</v>
          </cell>
          <cell r="F16">
            <v>215.35684153200009</v>
          </cell>
          <cell r="G16">
            <v>204.1549097092402</v>
          </cell>
          <cell r="H16">
            <v>188.16653348492491</v>
          </cell>
          <cell r="BA16" t="str">
            <v>.</v>
          </cell>
        </row>
        <row r="17">
          <cell r="C17" t="str">
            <v>Total YOY change</v>
          </cell>
          <cell r="D17">
            <v>1322.9392953846145</v>
          </cell>
          <cell r="E17">
            <v>-1594.1194534038477</v>
          </cell>
          <cell r="F17">
            <v>-1460.4502444171885</v>
          </cell>
          <cell r="G17">
            <v>897.14810432025115</v>
          </cell>
          <cell r="H17">
            <v>-519.73028805120339</v>
          </cell>
          <cell r="BA17" t="str">
            <v>.</v>
          </cell>
        </row>
        <row r="18">
          <cell r="BA18"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J35" t="str">
            <v>Do not change the width of the exhibit or font sizes (they are optimized for export to Word).</v>
          </cell>
          <cell r="BA35" t="str">
            <v>.</v>
          </cell>
        </row>
        <row r="36">
          <cell r="BA36" t="str">
            <v>.</v>
          </cell>
        </row>
        <row r="37">
          <cell r="J37" t="str">
            <v>Do not delete any rows or columns (some gray cells are used for calculations).</v>
          </cell>
          <cell r="BA37" t="str">
            <v>.</v>
          </cell>
        </row>
        <row r="38">
          <cell r="BA38" t="str">
            <v>.</v>
          </cell>
        </row>
        <row r="39">
          <cell r="BA39" t="str">
            <v>.</v>
          </cell>
        </row>
        <row r="40">
          <cell r="BA40" t="str">
            <v>.</v>
          </cell>
        </row>
        <row r="41">
          <cell r="BA41" t="str">
            <v>.</v>
          </cell>
        </row>
        <row r="42">
          <cell r="BA42" t="str">
            <v>.</v>
          </cell>
        </row>
        <row r="43">
          <cell r="BA43" t="str">
            <v>.</v>
          </cell>
        </row>
        <row r="44">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A997" t="str">
            <v>.</v>
          </cell>
          <cell r="B997" t="str">
            <v>.</v>
          </cell>
          <cell r="C997" t="str">
            <v>.</v>
          </cell>
          <cell r="D997" t="str">
            <v>.</v>
          </cell>
          <cell r="E997" t="str">
            <v>.</v>
          </cell>
          <cell r="F997" t="str">
            <v>.</v>
          </cell>
          <cell r="G997" t="str">
            <v>.</v>
          </cell>
          <cell r="H997" t="str">
            <v>.</v>
          </cell>
          <cell r="S997" t="str">
            <v>.</v>
          </cell>
          <cell r="T997" t="str">
            <v>.</v>
          </cell>
          <cell r="U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row>
      </sheetData>
      <sheetData sheetId="2" refreshError="1"/>
      <sheetData sheetId="3" refreshError="1"/>
      <sheetData sheetId="4">
        <row r="1">
          <cell r="P1" t="str">
            <v>SmartCharts</v>
          </cell>
          <cell r="BA1" t="str">
            <v>.</v>
          </cell>
        </row>
        <row r="2">
          <cell r="BA2" t="str">
            <v>.</v>
          </cell>
        </row>
        <row r="3">
          <cell r="BA3" t="str">
            <v>.</v>
          </cell>
        </row>
        <row r="4">
          <cell r="BA4" t="str">
            <v>.</v>
          </cell>
        </row>
        <row r="5">
          <cell r="C5" t="str">
            <v>Define value axis here:</v>
          </cell>
        </row>
        <row r="6">
          <cell r="C6" t="str">
            <v>Bristol-Myers Squibb 2010E–2015 margins projections</v>
          </cell>
        </row>
        <row r="10">
          <cell r="C10" t="str">
            <v>Input your data here:</v>
          </cell>
          <cell r="BA10" t="str">
            <v>.</v>
          </cell>
        </row>
        <row r="11">
          <cell r="D11">
            <v>2010</v>
          </cell>
          <cell r="E11">
            <v>2015</v>
          </cell>
          <cell r="BA11" t="str">
            <v>.</v>
          </cell>
        </row>
        <row r="12">
          <cell r="C12" t="str">
            <v>Gross margin</v>
          </cell>
          <cell r="D12">
            <v>0.72499999999999998</v>
          </cell>
          <cell r="E12">
            <v>0.68100000000000005</v>
          </cell>
        </row>
        <row r="13">
          <cell r="C13" t="str">
            <v>Operating margin</v>
          </cell>
          <cell r="D13">
            <v>0.30161955647352828</v>
          </cell>
          <cell r="E13">
            <v>0.25676950311816399</v>
          </cell>
        </row>
        <row r="14">
          <cell r="C14" t="str">
            <v>Net margin</v>
          </cell>
          <cell r="D14">
            <v>0.18869606564379282</v>
          </cell>
          <cell r="E14">
            <v>0.17772499764542135</v>
          </cell>
          <cell r="BA14" t="str">
            <v>.</v>
          </cell>
        </row>
        <row r="15">
          <cell r="BA15" t="str">
            <v>.</v>
          </cell>
        </row>
        <row r="16">
          <cell r="BA16" t="str">
            <v>.</v>
          </cell>
        </row>
        <row r="17">
          <cell r="BA17" t="str">
            <v>.</v>
          </cell>
        </row>
        <row r="18">
          <cell r="C18" t="str">
            <v xml:space="preserve">More than six categories will make this chart </v>
          </cell>
          <cell r="BA18" t="str">
            <v>.</v>
          </cell>
        </row>
        <row r="19">
          <cell r="C19" t="str">
            <v>cluttered and too difficult to read.</v>
          </cell>
          <cell r="BA19" t="str">
            <v>.</v>
          </cell>
        </row>
        <row r="20">
          <cell r="BA20" t="str">
            <v>.</v>
          </cell>
        </row>
        <row r="21">
          <cell r="BA21" t="str">
            <v>.</v>
          </cell>
        </row>
        <row r="22">
          <cell r="BA22" t="str">
            <v>.</v>
          </cell>
        </row>
        <row r="23">
          <cell r="BA23" t="str">
            <v>.</v>
          </cell>
        </row>
        <row r="24">
          <cell r="BA24" t="str">
            <v>.</v>
          </cell>
        </row>
        <row r="25">
          <cell r="BA25" t="str">
            <v>.</v>
          </cell>
        </row>
        <row r="26">
          <cell r="BA26" t="str">
            <v>.</v>
          </cell>
        </row>
        <row r="27">
          <cell r="BA27" t="str">
            <v>.</v>
          </cell>
        </row>
        <row r="28">
          <cell r="BA28" t="str">
            <v>.</v>
          </cell>
        </row>
        <row r="29">
          <cell r="BA29" t="str">
            <v>.</v>
          </cell>
        </row>
        <row r="30">
          <cell r="BA30" t="str">
            <v>.</v>
          </cell>
        </row>
        <row r="31">
          <cell r="BA31" t="str">
            <v>.</v>
          </cell>
        </row>
        <row r="32">
          <cell r="BA32" t="str">
            <v>.</v>
          </cell>
        </row>
        <row r="33">
          <cell r="BA33" t="str">
            <v>.</v>
          </cell>
        </row>
        <row r="34">
          <cell r="BA34" t="str">
            <v>.</v>
          </cell>
        </row>
        <row r="35">
          <cell r="BA35" t="str">
            <v>.</v>
          </cell>
        </row>
        <row r="36">
          <cell r="BA36" t="str">
            <v>.</v>
          </cell>
        </row>
        <row r="37">
          <cell r="BA37" t="str">
            <v>.</v>
          </cell>
        </row>
        <row r="38">
          <cell r="BA38" t="str">
            <v>.</v>
          </cell>
        </row>
        <row r="39">
          <cell r="BA39" t="str">
            <v>.</v>
          </cell>
        </row>
        <row r="40">
          <cell r="BA40" t="str">
            <v>.</v>
          </cell>
        </row>
        <row r="41">
          <cell r="BA41" t="str">
            <v>.</v>
          </cell>
        </row>
        <row r="42">
          <cell r="I42" t="str">
            <v>Do not change the width of the exhibit or font sizes (they are optimized for export to Word).</v>
          </cell>
          <cell r="BA42" t="str">
            <v>.</v>
          </cell>
        </row>
        <row r="43">
          <cell r="BA43" t="str">
            <v>.</v>
          </cell>
        </row>
        <row r="44">
          <cell r="I44" t="str">
            <v>Do not delete any rows or columns (some gray cells are used for calculations).</v>
          </cell>
          <cell r="BA44" t="str">
            <v>.</v>
          </cell>
        </row>
        <row r="45">
          <cell r="BA45" t="str">
            <v>.</v>
          </cell>
        </row>
        <row r="46">
          <cell r="BA46" t="str">
            <v>.</v>
          </cell>
        </row>
        <row r="47">
          <cell r="BA47" t="str">
            <v>.</v>
          </cell>
        </row>
        <row r="48">
          <cell r="BA48" t="str">
            <v>.</v>
          </cell>
        </row>
        <row r="49">
          <cell r="BA49" t="str">
            <v>.</v>
          </cell>
        </row>
        <row r="50">
          <cell r="BA50" t="str">
            <v>.</v>
          </cell>
        </row>
        <row r="51">
          <cell r="BA51" t="str">
            <v>.</v>
          </cell>
        </row>
        <row r="52">
          <cell r="BA52" t="str">
            <v>.</v>
          </cell>
        </row>
        <row r="53">
          <cell r="BA53" t="str">
            <v>.</v>
          </cell>
        </row>
        <row r="54">
          <cell r="BA54" t="str">
            <v>.</v>
          </cell>
        </row>
        <row r="55">
          <cell r="BA55" t="str">
            <v>.</v>
          </cell>
        </row>
        <row r="56">
          <cell r="BA56" t="str">
            <v>.</v>
          </cell>
        </row>
        <row r="57">
          <cell r="BA57" t="str">
            <v>.</v>
          </cell>
        </row>
        <row r="58">
          <cell r="BA58" t="str">
            <v>.</v>
          </cell>
        </row>
        <row r="59">
          <cell r="BA59" t="str">
            <v>.</v>
          </cell>
        </row>
        <row r="60">
          <cell r="BA60" t="str">
            <v>.</v>
          </cell>
        </row>
        <row r="61">
          <cell r="BA61" t="str">
            <v>.</v>
          </cell>
        </row>
        <row r="62">
          <cell r="BA62" t="str">
            <v>.</v>
          </cell>
        </row>
        <row r="63">
          <cell r="BA63" t="str">
            <v>.</v>
          </cell>
        </row>
        <row r="64">
          <cell r="BA64" t="str">
            <v>.</v>
          </cell>
        </row>
        <row r="65">
          <cell r="BA65" t="str">
            <v>.</v>
          </cell>
        </row>
        <row r="66">
          <cell r="BA66" t="str">
            <v>.</v>
          </cell>
        </row>
        <row r="67">
          <cell r="BA67" t="str">
            <v>.</v>
          </cell>
        </row>
        <row r="68">
          <cell r="BA68" t="str">
            <v>.</v>
          </cell>
        </row>
        <row r="69">
          <cell r="BA69" t="str">
            <v>.</v>
          </cell>
        </row>
        <row r="70">
          <cell r="BA70" t="str">
            <v>.</v>
          </cell>
        </row>
        <row r="71">
          <cell r="BA71" t="str">
            <v>.</v>
          </cell>
        </row>
        <row r="72">
          <cell r="BA72" t="str">
            <v>.</v>
          </cell>
        </row>
        <row r="73">
          <cell r="BA73" t="str">
            <v>.</v>
          </cell>
        </row>
        <row r="74">
          <cell r="BA74" t="str">
            <v>.</v>
          </cell>
        </row>
        <row r="75">
          <cell r="BA75" t="str">
            <v>.</v>
          </cell>
        </row>
        <row r="76">
          <cell r="BA76" t="str">
            <v>.</v>
          </cell>
        </row>
        <row r="77">
          <cell r="BA77" t="str">
            <v>.</v>
          </cell>
        </row>
        <row r="78">
          <cell r="BA78" t="str">
            <v>.</v>
          </cell>
        </row>
        <row r="79">
          <cell r="BA79" t="str">
            <v>.</v>
          </cell>
        </row>
        <row r="80">
          <cell r="BA80" t="str">
            <v>.</v>
          </cell>
        </row>
        <row r="81">
          <cell r="BA81" t="str">
            <v>.</v>
          </cell>
        </row>
        <row r="82">
          <cell r="BA82" t="str">
            <v>.</v>
          </cell>
        </row>
        <row r="83">
          <cell r="BA83" t="str">
            <v>.</v>
          </cell>
        </row>
        <row r="84">
          <cell r="BA84" t="str">
            <v>.</v>
          </cell>
        </row>
        <row r="85">
          <cell r="BA85" t="str">
            <v>.</v>
          </cell>
        </row>
        <row r="86">
          <cell r="BA86" t="str">
            <v>.</v>
          </cell>
        </row>
        <row r="87">
          <cell r="BA87" t="str">
            <v>.</v>
          </cell>
        </row>
        <row r="88">
          <cell r="BA88" t="str">
            <v>.</v>
          </cell>
        </row>
        <row r="89">
          <cell r="BA89" t="str">
            <v>.</v>
          </cell>
        </row>
        <row r="90">
          <cell r="BA90" t="str">
            <v>.</v>
          </cell>
        </row>
        <row r="91">
          <cell r="BA91" t="str">
            <v>.</v>
          </cell>
        </row>
        <row r="92">
          <cell r="BA92" t="str">
            <v>.</v>
          </cell>
        </row>
        <row r="93">
          <cell r="BA93" t="str">
            <v>.</v>
          </cell>
        </row>
        <row r="94">
          <cell r="BA94" t="str">
            <v>.</v>
          </cell>
        </row>
        <row r="95">
          <cell r="BA95" t="str">
            <v>.</v>
          </cell>
        </row>
        <row r="96">
          <cell r="BA96" t="str">
            <v>.</v>
          </cell>
        </row>
        <row r="97">
          <cell r="BA97" t="str">
            <v>.</v>
          </cell>
        </row>
        <row r="98">
          <cell r="BA98" t="str">
            <v>.</v>
          </cell>
        </row>
        <row r="99">
          <cell r="BA99" t="str">
            <v>.</v>
          </cell>
        </row>
        <row r="100">
          <cell r="BA100" t="str">
            <v>.</v>
          </cell>
        </row>
        <row r="101">
          <cell r="BA101" t="str">
            <v>.</v>
          </cell>
        </row>
        <row r="102">
          <cell r="BA102" t="str">
            <v>.</v>
          </cell>
        </row>
        <row r="103">
          <cell r="BA103" t="str">
            <v>.</v>
          </cell>
        </row>
        <row r="104">
          <cell r="BA104" t="str">
            <v>.</v>
          </cell>
        </row>
        <row r="105">
          <cell r="BA105" t="str">
            <v>.</v>
          </cell>
        </row>
        <row r="106">
          <cell r="BA106" t="str">
            <v>.</v>
          </cell>
        </row>
        <row r="107">
          <cell r="BA107" t="str">
            <v>.</v>
          </cell>
        </row>
        <row r="108">
          <cell r="BA108" t="str">
            <v>.</v>
          </cell>
        </row>
        <row r="109">
          <cell r="BA109" t="str">
            <v>.</v>
          </cell>
        </row>
        <row r="110">
          <cell r="BA110" t="str">
            <v>.</v>
          </cell>
        </row>
        <row r="111">
          <cell r="BA111" t="str">
            <v>.</v>
          </cell>
        </row>
        <row r="112">
          <cell r="BA112" t="str">
            <v>.</v>
          </cell>
        </row>
        <row r="113">
          <cell r="BA113" t="str">
            <v>.</v>
          </cell>
        </row>
        <row r="114">
          <cell r="BA114" t="str">
            <v>.</v>
          </cell>
        </row>
        <row r="115">
          <cell r="BA115" t="str">
            <v>.</v>
          </cell>
        </row>
        <row r="116">
          <cell r="BA116" t="str">
            <v>.</v>
          </cell>
        </row>
        <row r="117">
          <cell r="BA117" t="str">
            <v>.</v>
          </cell>
        </row>
        <row r="118">
          <cell r="BA118" t="str">
            <v>.</v>
          </cell>
        </row>
        <row r="119">
          <cell r="BA119" t="str">
            <v>.</v>
          </cell>
        </row>
        <row r="120">
          <cell r="BA120" t="str">
            <v>.</v>
          </cell>
        </row>
        <row r="121">
          <cell r="BA121" t="str">
            <v>.</v>
          </cell>
        </row>
        <row r="122">
          <cell r="BA122" t="str">
            <v>.</v>
          </cell>
        </row>
        <row r="123">
          <cell r="BA123" t="str">
            <v>.</v>
          </cell>
        </row>
        <row r="124">
          <cell r="BA124" t="str">
            <v>.</v>
          </cell>
        </row>
        <row r="125">
          <cell r="BA125" t="str">
            <v>.</v>
          </cell>
        </row>
        <row r="126">
          <cell r="BA126" t="str">
            <v>.</v>
          </cell>
        </row>
        <row r="127">
          <cell r="BA127" t="str">
            <v>.</v>
          </cell>
        </row>
        <row r="128">
          <cell r="BA128" t="str">
            <v>.</v>
          </cell>
        </row>
        <row r="129">
          <cell r="BA129" t="str">
            <v>.</v>
          </cell>
        </row>
        <row r="130">
          <cell r="BA130" t="str">
            <v>.</v>
          </cell>
        </row>
        <row r="131">
          <cell r="BA131" t="str">
            <v>.</v>
          </cell>
        </row>
        <row r="132">
          <cell r="BA132" t="str">
            <v>.</v>
          </cell>
        </row>
        <row r="133">
          <cell r="BA133" t="str">
            <v>.</v>
          </cell>
        </row>
        <row r="134">
          <cell r="BA134" t="str">
            <v>.</v>
          </cell>
        </row>
        <row r="135">
          <cell r="BA135" t="str">
            <v>.</v>
          </cell>
        </row>
        <row r="136">
          <cell r="BA136" t="str">
            <v>.</v>
          </cell>
        </row>
        <row r="137">
          <cell r="BA137" t="str">
            <v>.</v>
          </cell>
        </row>
        <row r="138">
          <cell r="BA138" t="str">
            <v>.</v>
          </cell>
        </row>
        <row r="139">
          <cell r="BA139" t="str">
            <v>.</v>
          </cell>
        </row>
        <row r="140">
          <cell r="BA140" t="str">
            <v>.</v>
          </cell>
        </row>
        <row r="141">
          <cell r="BA141" t="str">
            <v>.</v>
          </cell>
        </row>
        <row r="142">
          <cell r="BA142" t="str">
            <v>.</v>
          </cell>
        </row>
        <row r="143">
          <cell r="BA143" t="str">
            <v>.</v>
          </cell>
        </row>
        <row r="144">
          <cell r="BA144" t="str">
            <v>.</v>
          </cell>
        </row>
        <row r="145">
          <cell r="BA145" t="str">
            <v>.</v>
          </cell>
        </row>
        <row r="146">
          <cell r="BA146" t="str">
            <v>.</v>
          </cell>
        </row>
        <row r="147">
          <cell r="BA147" t="str">
            <v>.</v>
          </cell>
        </row>
        <row r="148">
          <cell r="BA148" t="str">
            <v>.</v>
          </cell>
        </row>
        <row r="149">
          <cell r="BA149" t="str">
            <v>.</v>
          </cell>
        </row>
        <row r="150">
          <cell r="BA150" t="str">
            <v>.</v>
          </cell>
        </row>
        <row r="151">
          <cell r="BA151" t="str">
            <v>.</v>
          </cell>
        </row>
        <row r="152">
          <cell r="BA152" t="str">
            <v>.</v>
          </cell>
        </row>
        <row r="153">
          <cell r="BA153" t="str">
            <v>.</v>
          </cell>
        </row>
        <row r="154">
          <cell r="BA154" t="str">
            <v>.</v>
          </cell>
        </row>
        <row r="155">
          <cell r="BA155" t="str">
            <v>.</v>
          </cell>
        </row>
        <row r="156">
          <cell r="BA156" t="str">
            <v>.</v>
          </cell>
        </row>
        <row r="157">
          <cell r="BA157" t="str">
            <v>.</v>
          </cell>
        </row>
        <row r="158">
          <cell r="BA158" t="str">
            <v>.</v>
          </cell>
        </row>
        <row r="159">
          <cell r="BA159" t="str">
            <v>.</v>
          </cell>
        </row>
        <row r="160">
          <cell r="BA160" t="str">
            <v>.</v>
          </cell>
        </row>
        <row r="161">
          <cell r="BA161" t="str">
            <v>.</v>
          </cell>
        </row>
        <row r="162">
          <cell r="BA162" t="str">
            <v>.</v>
          </cell>
        </row>
        <row r="163">
          <cell r="BA163" t="str">
            <v>.</v>
          </cell>
        </row>
        <row r="164">
          <cell r="BA164" t="str">
            <v>.</v>
          </cell>
        </row>
        <row r="165">
          <cell r="BA165" t="str">
            <v>.</v>
          </cell>
        </row>
        <row r="166">
          <cell r="BA166" t="str">
            <v>.</v>
          </cell>
        </row>
        <row r="167">
          <cell r="BA167" t="str">
            <v>.</v>
          </cell>
        </row>
        <row r="168">
          <cell r="BA168" t="str">
            <v>.</v>
          </cell>
        </row>
        <row r="169">
          <cell r="BA169" t="str">
            <v>.</v>
          </cell>
        </row>
        <row r="170">
          <cell r="BA170" t="str">
            <v>.</v>
          </cell>
        </row>
        <row r="171">
          <cell r="BA171" t="str">
            <v>.</v>
          </cell>
        </row>
        <row r="172">
          <cell r="BA172" t="str">
            <v>.</v>
          </cell>
        </row>
        <row r="173">
          <cell r="BA173" t="str">
            <v>.</v>
          </cell>
        </row>
        <row r="174">
          <cell r="BA174" t="str">
            <v>.</v>
          </cell>
        </row>
        <row r="175">
          <cell r="BA175" t="str">
            <v>.</v>
          </cell>
        </row>
        <row r="176">
          <cell r="BA176" t="str">
            <v>.</v>
          </cell>
        </row>
        <row r="177">
          <cell r="BA177" t="str">
            <v>.</v>
          </cell>
        </row>
        <row r="178">
          <cell r="BA178" t="str">
            <v>.</v>
          </cell>
        </row>
        <row r="179">
          <cell r="BA179" t="str">
            <v>.</v>
          </cell>
        </row>
        <row r="180">
          <cell r="BA180" t="str">
            <v>.</v>
          </cell>
        </row>
        <row r="181">
          <cell r="BA181" t="str">
            <v>.</v>
          </cell>
        </row>
        <row r="182">
          <cell r="BA182" t="str">
            <v>.</v>
          </cell>
        </row>
        <row r="183">
          <cell r="BA183" t="str">
            <v>.</v>
          </cell>
        </row>
        <row r="184">
          <cell r="BA184" t="str">
            <v>.</v>
          </cell>
        </row>
        <row r="185">
          <cell r="BA185" t="str">
            <v>.</v>
          </cell>
        </row>
        <row r="186">
          <cell r="BA186" t="str">
            <v>.</v>
          </cell>
        </row>
        <row r="187">
          <cell r="BA187" t="str">
            <v>.</v>
          </cell>
        </row>
        <row r="188">
          <cell r="BA188" t="str">
            <v>.</v>
          </cell>
        </row>
        <row r="189">
          <cell r="BA189" t="str">
            <v>.</v>
          </cell>
        </row>
        <row r="190">
          <cell r="BA190" t="str">
            <v>.</v>
          </cell>
        </row>
        <row r="191">
          <cell r="BA191" t="str">
            <v>.</v>
          </cell>
        </row>
        <row r="192">
          <cell r="BA192" t="str">
            <v>.</v>
          </cell>
        </row>
        <row r="193">
          <cell r="BA193" t="str">
            <v>.</v>
          </cell>
        </row>
        <row r="194">
          <cell r="BA194" t="str">
            <v>.</v>
          </cell>
        </row>
        <row r="195">
          <cell r="BA195" t="str">
            <v>.</v>
          </cell>
        </row>
        <row r="196">
          <cell r="BA196" t="str">
            <v>.</v>
          </cell>
        </row>
        <row r="197">
          <cell r="BA197" t="str">
            <v>.</v>
          </cell>
        </row>
        <row r="198">
          <cell r="BA198" t="str">
            <v>.</v>
          </cell>
        </row>
        <row r="199">
          <cell r="BA199" t="str">
            <v>.</v>
          </cell>
        </row>
        <row r="200">
          <cell r="BA200" t="str">
            <v>.</v>
          </cell>
        </row>
        <row r="201">
          <cell r="BA201" t="str">
            <v>.</v>
          </cell>
        </row>
        <row r="202">
          <cell r="BA202" t="str">
            <v>.</v>
          </cell>
        </row>
        <row r="203">
          <cell r="BA203" t="str">
            <v>.</v>
          </cell>
        </row>
        <row r="204">
          <cell r="BA204" t="str">
            <v>.</v>
          </cell>
        </row>
        <row r="205">
          <cell r="BA205" t="str">
            <v>.</v>
          </cell>
        </row>
        <row r="206">
          <cell r="BA206" t="str">
            <v>.</v>
          </cell>
        </row>
        <row r="207">
          <cell r="BA207" t="str">
            <v>.</v>
          </cell>
        </row>
        <row r="208">
          <cell r="BA208" t="str">
            <v>.</v>
          </cell>
        </row>
        <row r="209">
          <cell r="BA209" t="str">
            <v>.</v>
          </cell>
        </row>
        <row r="210">
          <cell r="BA210" t="str">
            <v>.</v>
          </cell>
        </row>
        <row r="211">
          <cell r="BA211" t="str">
            <v>.</v>
          </cell>
        </row>
        <row r="212">
          <cell r="BA212" t="str">
            <v>.</v>
          </cell>
        </row>
        <row r="213">
          <cell r="BA213" t="str">
            <v>.</v>
          </cell>
        </row>
        <row r="214">
          <cell r="BA214" t="str">
            <v>.</v>
          </cell>
        </row>
        <row r="215">
          <cell r="BA215" t="str">
            <v>.</v>
          </cell>
        </row>
        <row r="216">
          <cell r="BA216" t="str">
            <v>.</v>
          </cell>
        </row>
        <row r="217">
          <cell r="BA217" t="str">
            <v>.</v>
          </cell>
        </row>
        <row r="218">
          <cell r="BA218" t="str">
            <v>.</v>
          </cell>
        </row>
        <row r="219">
          <cell r="BA219" t="str">
            <v>.</v>
          </cell>
        </row>
        <row r="220">
          <cell r="BA220" t="str">
            <v>.</v>
          </cell>
        </row>
        <row r="221">
          <cell r="BA221" t="str">
            <v>.</v>
          </cell>
        </row>
        <row r="222">
          <cell r="BA222" t="str">
            <v>.</v>
          </cell>
        </row>
        <row r="223">
          <cell r="BA223" t="str">
            <v>.</v>
          </cell>
        </row>
        <row r="224">
          <cell r="BA224" t="str">
            <v>.</v>
          </cell>
        </row>
        <row r="225">
          <cell r="BA225" t="str">
            <v>.</v>
          </cell>
        </row>
        <row r="226">
          <cell r="BA226" t="str">
            <v>.</v>
          </cell>
        </row>
        <row r="227">
          <cell r="BA227" t="str">
            <v>.</v>
          </cell>
        </row>
        <row r="228">
          <cell r="BA228" t="str">
            <v>.</v>
          </cell>
        </row>
        <row r="229">
          <cell r="BA229" t="str">
            <v>.</v>
          </cell>
        </row>
        <row r="230">
          <cell r="BA230" t="str">
            <v>.</v>
          </cell>
        </row>
        <row r="231">
          <cell r="BA231" t="str">
            <v>.</v>
          </cell>
        </row>
        <row r="232">
          <cell r="BA232" t="str">
            <v>.</v>
          </cell>
        </row>
        <row r="233">
          <cell r="BA233" t="str">
            <v>.</v>
          </cell>
        </row>
        <row r="234">
          <cell r="BA234" t="str">
            <v>.</v>
          </cell>
        </row>
        <row r="235">
          <cell r="BA235" t="str">
            <v>.</v>
          </cell>
        </row>
        <row r="236">
          <cell r="BA236" t="str">
            <v>.</v>
          </cell>
        </row>
        <row r="237">
          <cell r="BA237" t="str">
            <v>.</v>
          </cell>
        </row>
        <row r="238">
          <cell r="BA238" t="str">
            <v>.</v>
          </cell>
        </row>
        <row r="239">
          <cell r="BA239" t="str">
            <v>.</v>
          </cell>
        </row>
        <row r="240">
          <cell r="BA240" t="str">
            <v>.</v>
          </cell>
        </row>
        <row r="241">
          <cell r="BA241" t="str">
            <v>.</v>
          </cell>
        </row>
        <row r="242">
          <cell r="BA242" t="str">
            <v>.</v>
          </cell>
        </row>
        <row r="243">
          <cell r="BA243" t="str">
            <v>.</v>
          </cell>
        </row>
        <row r="244">
          <cell r="BA244" t="str">
            <v>.</v>
          </cell>
        </row>
        <row r="245">
          <cell r="BA245" t="str">
            <v>.</v>
          </cell>
        </row>
        <row r="246">
          <cell r="BA246" t="str">
            <v>.</v>
          </cell>
        </row>
        <row r="247">
          <cell r="BA247" t="str">
            <v>.</v>
          </cell>
        </row>
        <row r="248">
          <cell r="BA248" t="str">
            <v>.</v>
          </cell>
        </row>
        <row r="249">
          <cell r="BA249" t="str">
            <v>.</v>
          </cell>
        </row>
        <row r="250">
          <cell r="BA250" t="str">
            <v>.</v>
          </cell>
        </row>
        <row r="251">
          <cell r="BA251" t="str">
            <v>.</v>
          </cell>
        </row>
        <row r="252">
          <cell r="BA252" t="str">
            <v>.</v>
          </cell>
        </row>
        <row r="253">
          <cell r="BA253" t="str">
            <v>.</v>
          </cell>
        </row>
        <row r="254">
          <cell r="BA254" t="str">
            <v>.</v>
          </cell>
        </row>
        <row r="255">
          <cell r="BA255" t="str">
            <v>.</v>
          </cell>
        </row>
        <row r="256">
          <cell r="BA256" t="str">
            <v>.</v>
          </cell>
        </row>
        <row r="257">
          <cell r="BA257" t="str">
            <v>.</v>
          </cell>
        </row>
        <row r="258">
          <cell r="BA258" t="str">
            <v>.</v>
          </cell>
        </row>
        <row r="259">
          <cell r="BA259" t="str">
            <v>.</v>
          </cell>
        </row>
        <row r="260">
          <cell r="BA260" t="str">
            <v>.</v>
          </cell>
        </row>
        <row r="261">
          <cell r="BA261" t="str">
            <v>.</v>
          </cell>
        </row>
        <row r="262">
          <cell r="BA262" t="str">
            <v>.</v>
          </cell>
        </row>
        <row r="263">
          <cell r="BA263" t="str">
            <v>.</v>
          </cell>
        </row>
        <row r="264">
          <cell r="BA264" t="str">
            <v>.</v>
          </cell>
        </row>
        <row r="265">
          <cell r="BA265" t="str">
            <v>.</v>
          </cell>
        </row>
        <row r="266">
          <cell r="BA266" t="str">
            <v>.</v>
          </cell>
        </row>
        <row r="267">
          <cell r="BA267" t="str">
            <v>.</v>
          </cell>
        </row>
        <row r="268">
          <cell r="BA268" t="str">
            <v>.</v>
          </cell>
        </row>
        <row r="269">
          <cell r="BA269" t="str">
            <v>.</v>
          </cell>
        </row>
        <row r="270">
          <cell r="BA270" t="str">
            <v>.</v>
          </cell>
        </row>
        <row r="271">
          <cell r="BA271" t="str">
            <v>.</v>
          </cell>
        </row>
        <row r="272">
          <cell r="BA272" t="str">
            <v>.</v>
          </cell>
        </row>
        <row r="273">
          <cell r="BA273" t="str">
            <v>.</v>
          </cell>
        </row>
        <row r="274">
          <cell r="BA274" t="str">
            <v>.</v>
          </cell>
        </row>
        <row r="275">
          <cell r="BA275" t="str">
            <v>.</v>
          </cell>
        </row>
        <row r="276">
          <cell r="BA276" t="str">
            <v>.</v>
          </cell>
        </row>
        <row r="277">
          <cell r="BA277" t="str">
            <v>.</v>
          </cell>
        </row>
        <row r="278">
          <cell r="BA278" t="str">
            <v>.</v>
          </cell>
        </row>
        <row r="279">
          <cell r="BA279" t="str">
            <v>.</v>
          </cell>
        </row>
        <row r="280">
          <cell r="BA280" t="str">
            <v>.</v>
          </cell>
        </row>
        <row r="281">
          <cell r="BA281" t="str">
            <v>.</v>
          </cell>
        </row>
        <row r="282">
          <cell r="BA282" t="str">
            <v>.</v>
          </cell>
        </row>
        <row r="283">
          <cell r="BA283" t="str">
            <v>.</v>
          </cell>
        </row>
        <row r="284">
          <cell r="BA284" t="str">
            <v>.</v>
          </cell>
        </row>
        <row r="285">
          <cell r="BA285" t="str">
            <v>.</v>
          </cell>
        </row>
        <row r="286">
          <cell r="BA286" t="str">
            <v>.</v>
          </cell>
        </row>
        <row r="287">
          <cell r="BA287" t="str">
            <v>.</v>
          </cell>
        </row>
        <row r="288">
          <cell r="BA288" t="str">
            <v>.</v>
          </cell>
        </row>
        <row r="289">
          <cell r="BA289" t="str">
            <v>.</v>
          </cell>
        </row>
        <row r="290">
          <cell r="BA290" t="str">
            <v>.</v>
          </cell>
        </row>
        <row r="291">
          <cell r="BA291" t="str">
            <v>.</v>
          </cell>
        </row>
        <row r="292">
          <cell r="BA292" t="str">
            <v>.</v>
          </cell>
        </row>
        <row r="293">
          <cell r="BA293" t="str">
            <v>.</v>
          </cell>
        </row>
        <row r="294">
          <cell r="BA294" t="str">
            <v>.</v>
          </cell>
        </row>
        <row r="295">
          <cell r="BA295" t="str">
            <v>.</v>
          </cell>
        </row>
        <row r="296">
          <cell r="BA296" t="str">
            <v>.</v>
          </cell>
        </row>
        <row r="297">
          <cell r="BA297" t="str">
            <v>.</v>
          </cell>
        </row>
        <row r="298">
          <cell r="BA298" t="str">
            <v>.</v>
          </cell>
        </row>
        <row r="299">
          <cell r="BA299" t="str">
            <v>.</v>
          </cell>
        </row>
        <row r="300">
          <cell r="BA300" t="str">
            <v>.</v>
          </cell>
        </row>
        <row r="301">
          <cell r="BA301" t="str">
            <v>.</v>
          </cell>
        </row>
        <row r="302">
          <cell r="BA302" t="str">
            <v>.</v>
          </cell>
        </row>
        <row r="303">
          <cell r="BA303" t="str">
            <v>.</v>
          </cell>
        </row>
        <row r="304">
          <cell r="BA304" t="str">
            <v>.</v>
          </cell>
        </row>
        <row r="305">
          <cell r="BA305" t="str">
            <v>.</v>
          </cell>
        </row>
        <row r="306">
          <cell r="BA306" t="str">
            <v>.</v>
          </cell>
        </row>
        <row r="307">
          <cell r="BA307" t="str">
            <v>.</v>
          </cell>
        </row>
        <row r="308">
          <cell r="BA308" t="str">
            <v>.</v>
          </cell>
        </row>
        <row r="309">
          <cell r="BA309" t="str">
            <v>.</v>
          </cell>
        </row>
        <row r="310">
          <cell r="BA310" t="str">
            <v>.</v>
          </cell>
        </row>
        <row r="311">
          <cell r="BA311" t="str">
            <v>.</v>
          </cell>
        </row>
        <row r="312">
          <cell r="BA312" t="str">
            <v>.</v>
          </cell>
        </row>
        <row r="313">
          <cell r="BA313" t="str">
            <v>.</v>
          </cell>
        </row>
        <row r="314">
          <cell r="BA314" t="str">
            <v>.</v>
          </cell>
        </row>
        <row r="315">
          <cell r="BA315" t="str">
            <v>.</v>
          </cell>
        </row>
        <row r="316">
          <cell r="BA316" t="str">
            <v>.</v>
          </cell>
        </row>
        <row r="317">
          <cell r="BA317" t="str">
            <v>.</v>
          </cell>
        </row>
        <row r="318">
          <cell r="BA318" t="str">
            <v>.</v>
          </cell>
        </row>
        <row r="319">
          <cell r="BA319" t="str">
            <v>.</v>
          </cell>
        </row>
        <row r="320">
          <cell r="BA320" t="str">
            <v>.</v>
          </cell>
        </row>
        <row r="321">
          <cell r="BA321" t="str">
            <v>.</v>
          </cell>
        </row>
        <row r="322">
          <cell r="BA322" t="str">
            <v>.</v>
          </cell>
        </row>
        <row r="323">
          <cell r="BA323" t="str">
            <v>.</v>
          </cell>
        </row>
        <row r="324">
          <cell r="BA324" t="str">
            <v>.</v>
          </cell>
        </row>
        <row r="325">
          <cell r="BA325" t="str">
            <v>.</v>
          </cell>
        </row>
        <row r="326">
          <cell r="BA326" t="str">
            <v>.</v>
          </cell>
        </row>
        <row r="327">
          <cell r="BA327" t="str">
            <v>.</v>
          </cell>
        </row>
        <row r="328">
          <cell r="BA328" t="str">
            <v>.</v>
          </cell>
        </row>
        <row r="329">
          <cell r="BA329" t="str">
            <v>.</v>
          </cell>
        </row>
        <row r="330">
          <cell r="BA330" t="str">
            <v>.</v>
          </cell>
        </row>
        <row r="331">
          <cell r="BA331" t="str">
            <v>.</v>
          </cell>
        </row>
        <row r="332">
          <cell r="BA332" t="str">
            <v>.</v>
          </cell>
        </row>
        <row r="333">
          <cell r="BA333" t="str">
            <v>.</v>
          </cell>
        </row>
        <row r="334">
          <cell r="BA334" t="str">
            <v>.</v>
          </cell>
        </row>
        <row r="335">
          <cell r="BA335" t="str">
            <v>.</v>
          </cell>
        </row>
        <row r="336">
          <cell r="BA336" t="str">
            <v>.</v>
          </cell>
        </row>
        <row r="337">
          <cell r="BA337" t="str">
            <v>.</v>
          </cell>
        </row>
        <row r="338">
          <cell r="BA338" t="str">
            <v>.</v>
          </cell>
        </row>
        <row r="339">
          <cell r="BA339" t="str">
            <v>.</v>
          </cell>
        </row>
        <row r="340">
          <cell r="BA340" t="str">
            <v>.</v>
          </cell>
        </row>
        <row r="341">
          <cell r="BA341" t="str">
            <v>.</v>
          </cell>
        </row>
        <row r="342">
          <cell r="BA342" t="str">
            <v>.</v>
          </cell>
        </row>
        <row r="343">
          <cell r="BA343" t="str">
            <v>.</v>
          </cell>
        </row>
        <row r="344">
          <cell r="BA344" t="str">
            <v>.</v>
          </cell>
        </row>
        <row r="345">
          <cell r="BA345" t="str">
            <v>.</v>
          </cell>
        </row>
        <row r="346">
          <cell r="BA346" t="str">
            <v>.</v>
          </cell>
        </row>
        <row r="347">
          <cell r="BA347" t="str">
            <v>.</v>
          </cell>
        </row>
        <row r="348">
          <cell r="BA348" t="str">
            <v>.</v>
          </cell>
        </row>
        <row r="349">
          <cell r="BA349" t="str">
            <v>.</v>
          </cell>
        </row>
        <row r="350">
          <cell r="BA350" t="str">
            <v>.</v>
          </cell>
        </row>
        <row r="351">
          <cell r="BA351" t="str">
            <v>.</v>
          </cell>
        </row>
        <row r="352">
          <cell r="BA352" t="str">
            <v>.</v>
          </cell>
        </row>
        <row r="353">
          <cell r="BA353" t="str">
            <v>.</v>
          </cell>
        </row>
        <row r="354">
          <cell r="BA354" t="str">
            <v>.</v>
          </cell>
        </row>
        <row r="355">
          <cell r="BA355" t="str">
            <v>.</v>
          </cell>
        </row>
        <row r="356">
          <cell r="BA356" t="str">
            <v>.</v>
          </cell>
        </row>
        <row r="357">
          <cell r="BA357" t="str">
            <v>.</v>
          </cell>
        </row>
        <row r="358">
          <cell r="BA358" t="str">
            <v>.</v>
          </cell>
        </row>
        <row r="359">
          <cell r="BA359" t="str">
            <v>.</v>
          </cell>
        </row>
        <row r="360">
          <cell r="BA360" t="str">
            <v>.</v>
          </cell>
        </row>
        <row r="361">
          <cell r="BA361" t="str">
            <v>.</v>
          </cell>
        </row>
        <row r="362">
          <cell r="BA362" t="str">
            <v>.</v>
          </cell>
        </row>
        <row r="363">
          <cell r="BA363" t="str">
            <v>.</v>
          </cell>
        </row>
        <row r="364">
          <cell r="BA364" t="str">
            <v>.</v>
          </cell>
        </row>
        <row r="365">
          <cell r="BA365" t="str">
            <v>.</v>
          </cell>
        </row>
        <row r="366">
          <cell r="BA366" t="str">
            <v>.</v>
          </cell>
        </row>
        <row r="367">
          <cell r="BA367" t="str">
            <v>.</v>
          </cell>
        </row>
        <row r="368">
          <cell r="BA368" t="str">
            <v>.</v>
          </cell>
        </row>
        <row r="369">
          <cell r="BA369" t="str">
            <v>.</v>
          </cell>
        </row>
        <row r="370">
          <cell r="BA370" t="str">
            <v>.</v>
          </cell>
        </row>
        <row r="371">
          <cell r="BA371" t="str">
            <v>.</v>
          </cell>
        </row>
        <row r="372">
          <cell r="BA372" t="str">
            <v>.</v>
          </cell>
        </row>
        <row r="373">
          <cell r="BA373" t="str">
            <v>.</v>
          </cell>
        </row>
        <row r="374">
          <cell r="BA374" t="str">
            <v>.</v>
          </cell>
        </row>
        <row r="375">
          <cell r="BA375" t="str">
            <v>.</v>
          </cell>
        </row>
        <row r="376">
          <cell r="BA376" t="str">
            <v>.</v>
          </cell>
        </row>
        <row r="377">
          <cell r="BA377" t="str">
            <v>.</v>
          </cell>
        </row>
        <row r="378">
          <cell r="BA378" t="str">
            <v>.</v>
          </cell>
        </row>
        <row r="379">
          <cell r="BA379" t="str">
            <v>.</v>
          </cell>
        </row>
        <row r="380">
          <cell r="BA380" t="str">
            <v>.</v>
          </cell>
        </row>
        <row r="381">
          <cell r="BA381" t="str">
            <v>.</v>
          </cell>
        </row>
        <row r="382">
          <cell r="BA382" t="str">
            <v>.</v>
          </cell>
        </row>
        <row r="383">
          <cell r="BA383" t="str">
            <v>.</v>
          </cell>
        </row>
        <row r="384">
          <cell r="BA384" t="str">
            <v>.</v>
          </cell>
        </row>
        <row r="385">
          <cell r="BA385" t="str">
            <v>.</v>
          </cell>
        </row>
        <row r="386">
          <cell r="BA386" t="str">
            <v>.</v>
          </cell>
        </row>
        <row r="387">
          <cell r="BA387" t="str">
            <v>.</v>
          </cell>
        </row>
        <row r="388">
          <cell r="BA388" t="str">
            <v>.</v>
          </cell>
        </row>
        <row r="389">
          <cell r="BA389" t="str">
            <v>.</v>
          </cell>
        </row>
        <row r="390">
          <cell r="BA390" t="str">
            <v>.</v>
          </cell>
        </row>
        <row r="391">
          <cell r="BA391" t="str">
            <v>.</v>
          </cell>
        </row>
        <row r="392">
          <cell r="BA392" t="str">
            <v>.</v>
          </cell>
        </row>
        <row r="393">
          <cell r="BA393" t="str">
            <v>.</v>
          </cell>
        </row>
        <row r="394">
          <cell r="BA394" t="str">
            <v>.</v>
          </cell>
        </row>
        <row r="395">
          <cell r="BA395" t="str">
            <v>.</v>
          </cell>
        </row>
        <row r="396">
          <cell r="BA396" t="str">
            <v>.</v>
          </cell>
        </row>
        <row r="397">
          <cell r="BA397" t="str">
            <v>.</v>
          </cell>
        </row>
        <row r="398">
          <cell r="BA398" t="str">
            <v>.</v>
          </cell>
        </row>
        <row r="399">
          <cell r="BA399" t="str">
            <v>.</v>
          </cell>
        </row>
        <row r="400">
          <cell r="BA400" t="str">
            <v>.</v>
          </cell>
        </row>
        <row r="401">
          <cell r="BA401" t="str">
            <v>.</v>
          </cell>
        </row>
        <row r="402">
          <cell r="BA402" t="str">
            <v>.</v>
          </cell>
        </row>
        <row r="403">
          <cell r="BA403" t="str">
            <v>.</v>
          </cell>
        </row>
        <row r="404">
          <cell r="BA404" t="str">
            <v>.</v>
          </cell>
        </row>
        <row r="405">
          <cell r="BA405" t="str">
            <v>.</v>
          </cell>
        </row>
        <row r="406">
          <cell r="BA406" t="str">
            <v>.</v>
          </cell>
        </row>
        <row r="407">
          <cell r="BA407" t="str">
            <v>.</v>
          </cell>
        </row>
        <row r="408">
          <cell r="BA408" t="str">
            <v>.</v>
          </cell>
        </row>
        <row r="409">
          <cell r="BA409" t="str">
            <v>.</v>
          </cell>
        </row>
        <row r="410">
          <cell r="BA410" t="str">
            <v>.</v>
          </cell>
        </row>
        <row r="411">
          <cell r="BA411" t="str">
            <v>.</v>
          </cell>
        </row>
        <row r="412">
          <cell r="BA412" t="str">
            <v>.</v>
          </cell>
        </row>
        <row r="413">
          <cell r="BA413" t="str">
            <v>.</v>
          </cell>
        </row>
        <row r="414">
          <cell r="BA414" t="str">
            <v>.</v>
          </cell>
        </row>
        <row r="415">
          <cell r="BA415" t="str">
            <v>.</v>
          </cell>
        </row>
        <row r="416">
          <cell r="BA416" t="str">
            <v>.</v>
          </cell>
        </row>
        <row r="417">
          <cell r="BA417" t="str">
            <v>.</v>
          </cell>
        </row>
        <row r="418">
          <cell r="BA418" t="str">
            <v>.</v>
          </cell>
        </row>
        <row r="419">
          <cell r="BA419" t="str">
            <v>.</v>
          </cell>
        </row>
        <row r="420">
          <cell r="BA420" t="str">
            <v>.</v>
          </cell>
        </row>
        <row r="421">
          <cell r="BA421" t="str">
            <v>.</v>
          </cell>
        </row>
        <row r="422">
          <cell r="BA422" t="str">
            <v>.</v>
          </cell>
        </row>
        <row r="423">
          <cell r="BA423" t="str">
            <v>.</v>
          </cell>
        </row>
        <row r="424">
          <cell r="BA424" t="str">
            <v>.</v>
          </cell>
        </row>
        <row r="425">
          <cell r="BA425" t="str">
            <v>.</v>
          </cell>
        </row>
        <row r="426">
          <cell r="BA426" t="str">
            <v>.</v>
          </cell>
        </row>
        <row r="427">
          <cell r="BA427" t="str">
            <v>.</v>
          </cell>
        </row>
        <row r="428">
          <cell r="BA428" t="str">
            <v>.</v>
          </cell>
        </row>
        <row r="429">
          <cell r="BA429" t="str">
            <v>.</v>
          </cell>
        </row>
        <row r="430">
          <cell r="BA430" t="str">
            <v>.</v>
          </cell>
        </row>
        <row r="431">
          <cell r="BA431" t="str">
            <v>.</v>
          </cell>
        </row>
        <row r="432">
          <cell r="BA432" t="str">
            <v>.</v>
          </cell>
        </row>
        <row r="433">
          <cell r="BA433" t="str">
            <v>.</v>
          </cell>
        </row>
        <row r="434">
          <cell r="BA434" t="str">
            <v>.</v>
          </cell>
        </row>
        <row r="435">
          <cell r="BA435" t="str">
            <v>.</v>
          </cell>
        </row>
        <row r="436">
          <cell r="BA436" t="str">
            <v>.</v>
          </cell>
        </row>
        <row r="437">
          <cell r="BA437" t="str">
            <v>.</v>
          </cell>
        </row>
        <row r="438">
          <cell r="BA438" t="str">
            <v>.</v>
          </cell>
        </row>
        <row r="439">
          <cell r="BA439" t="str">
            <v>.</v>
          </cell>
        </row>
        <row r="440">
          <cell r="BA440" t="str">
            <v>.</v>
          </cell>
        </row>
        <row r="441">
          <cell r="BA441" t="str">
            <v>.</v>
          </cell>
        </row>
        <row r="442">
          <cell r="BA442" t="str">
            <v>.</v>
          </cell>
        </row>
        <row r="443">
          <cell r="BA443" t="str">
            <v>.</v>
          </cell>
        </row>
        <row r="444">
          <cell r="BA444" t="str">
            <v>.</v>
          </cell>
        </row>
        <row r="445">
          <cell r="BA445" t="str">
            <v>.</v>
          </cell>
        </row>
        <row r="446">
          <cell r="BA446" t="str">
            <v>.</v>
          </cell>
        </row>
        <row r="447">
          <cell r="BA447" t="str">
            <v>.</v>
          </cell>
        </row>
        <row r="448">
          <cell r="BA448" t="str">
            <v>.</v>
          </cell>
        </row>
        <row r="449">
          <cell r="BA449" t="str">
            <v>.</v>
          </cell>
        </row>
        <row r="450">
          <cell r="BA450" t="str">
            <v>.</v>
          </cell>
        </row>
        <row r="451">
          <cell r="BA451" t="str">
            <v>.</v>
          </cell>
        </row>
        <row r="452">
          <cell r="BA452" t="str">
            <v>.</v>
          </cell>
        </row>
        <row r="453">
          <cell r="BA453" t="str">
            <v>.</v>
          </cell>
        </row>
        <row r="454">
          <cell r="BA454" t="str">
            <v>.</v>
          </cell>
        </row>
        <row r="455">
          <cell r="BA455" t="str">
            <v>.</v>
          </cell>
        </row>
        <row r="456">
          <cell r="BA456" t="str">
            <v>.</v>
          </cell>
        </row>
        <row r="457">
          <cell r="BA457" t="str">
            <v>.</v>
          </cell>
        </row>
        <row r="458">
          <cell r="BA458" t="str">
            <v>.</v>
          </cell>
        </row>
        <row r="459">
          <cell r="BA459" t="str">
            <v>.</v>
          </cell>
        </row>
        <row r="460">
          <cell r="BA460" t="str">
            <v>.</v>
          </cell>
        </row>
        <row r="461">
          <cell r="BA461" t="str">
            <v>.</v>
          </cell>
        </row>
        <row r="462">
          <cell r="BA462" t="str">
            <v>.</v>
          </cell>
        </row>
        <row r="463">
          <cell r="BA463" t="str">
            <v>.</v>
          </cell>
        </row>
        <row r="464">
          <cell r="BA464" t="str">
            <v>.</v>
          </cell>
        </row>
        <row r="465">
          <cell r="BA465" t="str">
            <v>.</v>
          </cell>
        </row>
        <row r="466">
          <cell r="BA466" t="str">
            <v>.</v>
          </cell>
        </row>
        <row r="467">
          <cell r="BA467" t="str">
            <v>.</v>
          </cell>
        </row>
        <row r="468">
          <cell r="BA468" t="str">
            <v>.</v>
          </cell>
        </row>
        <row r="469">
          <cell r="BA469" t="str">
            <v>.</v>
          </cell>
        </row>
        <row r="470">
          <cell r="BA470" t="str">
            <v>.</v>
          </cell>
        </row>
        <row r="471">
          <cell r="BA471" t="str">
            <v>.</v>
          </cell>
        </row>
        <row r="472">
          <cell r="BA472" t="str">
            <v>.</v>
          </cell>
        </row>
        <row r="473">
          <cell r="BA473" t="str">
            <v>.</v>
          </cell>
        </row>
        <row r="474">
          <cell r="BA474" t="str">
            <v>.</v>
          </cell>
        </row>
        <row r="475">
          <cell r="BA475" t="str">
            <v>.</v>
          </cell>
        </row>
        <row r="476">
          <cell r="BA476" t="str">
            <v>.</v>
          </cell>
        </row>
        <row r="477">
          <cell r="BA477" t="str">
            <v>.</v>
          </cell>
        </row>
        <row r="478">
          <cell r="BA478" t="str">
            <v>.</v>
          </cell>
        </row>
        <row r="479">
          <cell r="BA479" t="str">
            <v>.</v>
          </cell>
        </row>
        <row r="480">
          <cell r="BA480" t="str">
            <v>.</v>
          </cell>
        </row>
        <row r="481">
          <cell r="BA481" t="str">
            <v>.</v>
          </cell>
        </row>
        <row r="482">
          <cell r="BA482" t="str">
            <v>.</v>
          </cell>
        </row>
        <row r="483">
          <cell r="BA483" t="str">
            <v>.</v>
          </cell>
        </row>
        <row r="484">
          <cell r="BA484" t="str">
            <v>.</v>
          </cell>
        </row>
        <row r="485">
          <cell r="BA485" t="str">
            <v>.</v>
          </cell>
        </row>
        <row r="486">
          <cell r="BA486" t="str">
            <v>.</v>
          </cell>
        </row>
        <row r="487">
          <cell r="BA487" t="str">
            <v>.</v>
          </cell>
        </row>
        <row r="488">
          <cell r="BA488" t="str">
            <v>.</v>
          </cell>
        </row>
        <row r="489">
          <cell r="BA489" t="str">
            <v>.</v>
          </cell>
        </row>
        <row r="490">
          <cell r="BA490" t="str">
            <v>.</v>
          </cell>
        </row>
        <row r="491">
          <cell r="BA491" t="str">
            <v>.</v>
          </cell>
        </row>
        <row r="492">
          <cell r="BA492" t="str">
            <v>.</v>
          </cell>
        </row>
        <row r="493">
          <cell r="BA493" t="str">
            <v>.</v>
          </cell>
        </row>
        <row r="494">
          <cell r="BA494" t="str">
            <v>.</v>
          </cell>
        </row>
        <row r="495">
          <cell r="BA495" t="str">
            <v>.</v>
          </cell>
        </row>
        <row r="496">
          <cell r="BA496" t="str">
            <v>.</v>
          </cell>
        </row>
        <row r="497">
          <cell r="BA497" t="str">
            <v>.</v>
          </cell>
        </row>
        <row r="498">
          <cell r="BA498" t="str">
            <v>.</v>
          </cell>
        </row>
        <row r="499">
          <cell r="BA499" t="str">
            <v>.</v>
          </cell>
        </row>
        <row r="500">
          <cell r="BA500" t="str">
            <v>.</v>
          </cell>
        </row>
        <row r="501">
          <cell r="BA501" t="str">
            <v>.</v>
          </cell>
        </row>
        <row r="502">
          <cell r="BA502" t="str">
            <v>.</v>
          </cell>
        </row>
        <row r="503">
          <cell r="BA503" t="str">
            <v>.</v>
          </cell>
        </row>
        <row r="504">
          <cell r="BA504" t="str">
            <v>.</v>
          </cell>
        </row>
        <row r="505">
          <cell r="BA505" t="str">
            <v>.</v>
          </cell>
        </row>
        <row r="506">
          <cell r="BA506" t="str">
            <v>.</v>
          </cell>
        </row>
        <row r="507">
          <cell r="BA507" t="str">
            <v>.</v>
          </cell>
        </row>
        <row r="508">
          <cell r="BA508" t="str">
            <v>.</v>
          </cell>
        </row>
        <row r="509">
          <cell r="BA509" t="str">
            <v>.</v>
          </cell>
        </row>
        <row r="510">
          <cell r="BA510" t="str">
            <v>.</v>
          </cell>
        </row>
        <row r="511">
          <cell r="BA511" t="str">
            <v>.</v>
          </cell>
        </row>
        <row r="512">
          <cell r="BA512" t="str">
            <v>.</v>
          </cell>
        </row>
        <row r="513">
          <cell r="BA513" t="str">
            <v>.</v>
          </cell>
        </row>
        <row r="514">
          <cell r="BA514" t="str">
            <v>.</v>
          </cell>
        </row>
        <row r="515">
          <cell r="BA515" t="str">
            <v>.</v>
          </cell>
        </row>
        <row r="516">
          <cell r="BA516" t="str">
            <v>.</v>
          </cell>
        </row>
        <row r="517">
          <cell r="BA517" t="str">
            <v>.</v>
          </cell>
        </row>
        <row r="518">
          <cell r="BA518" t="str">
            <v>.</v>
          </cell>
        </row>
        <row r="519">
          <cell r="BA519" t="str">
            <v>.</v>
          </cell>
        </row>
        <row r="520">
          <cell r="BA520" t="str">
            <v>.</v>
          </cell>
        </row>
        <row r="521">
          <cell r="BA521" t="str">
            <v>.</v>
          </cell>
        </row>
        <row r="522">
          <cell r="BA522" t="str">
            <v>.</v>
          </cell>
        </row>
        <row r="523">
          <cell r="BA523" t="str">
            <v>.</v>
          </cell>
        </row>
        <row r="524">
          <cell r="BA524" t="str">
            <v>.</v>
          </cell>
        </row>
        <row r="525">
          <cell r="BA525" t="str">
            <v>.</v>
          </cell>
        </row>
        <row r="526">
          <cell r="BA526" t="str">
            <v>.</v>
          </cell>
        </row>
        <row r="527">
          <cell r="BA527" t="str">
            <v>.</v>
          </cell>
        </row>
        <row r="528">
          <cell r="BA528" t="str">
            <v>.</v>
          </cell>
        </row>
        <row r="529">
          <cell r="BA529" t="str">
            <v>.</v>
          </cell>
        </row>
        <row r="530">
          <cell r="BA530" t="str">
            <v>.</v>
          </cell>
        </row>
        <row r="531">
          <cell r="BA531" t="str">
            <v>.</v>
          </cell>
        </row>
        <row r="532">
          <cell r="BA532" t="str">
            <v>.</v>
          </cell>
        </row>
        <row r="533">
          <cell r="BA533" t="str">
            <v>.</v>
          </cell>
        </row>
        <row r="534">
          <cell r="BA534" t="str">
            <v>.</v>
          </cell>
        </row>
        <row r="535">
          <cell r="BA535" t="str">
            <v>.</v>
          </cell>
        </row>
        <row r="536">
          <cell r="BA536" t="str">
            <v>.</v>
          </cell>
        </row>
        <row r="537">
          <cell r="BA537" t="str">
            <v>.</v>
          </cell>
        </row>
        <row r="538">
          <cell r="BA538" t="str">
            <v>.</v>
          </cell>
        </row>
        <row r="539">
          <cell r="BA539" t="str">
            <v>.</v>
          </cell>
        </row>
        <row r="540">
          <cell r="BA540" t="str">
            <v>.</v>
          </cell>
        </row>
        <row r="541">
          <cell r="BA541" t="str">
            <v>.</v>
          </cell>
        </row>
        <row r="542">
          <cell r="BA542" t="str">
            <v>.</v>
          </cell>
        </row>
        <row r="543">
          <cell r="BA543" t="str">
            <v>.</v>
          </cell>
        </row>
        <row r="544">
          <cell r="BA544" t="str">
            <v>.</v>
          </cell>
        </row>
        <row r="545">
          <cell r="BA545" t="str">
            <v>.</v>
          </cell>
        </row>
        <row r="546">
          <cell r="BA546" t="str">
            <v>.</v>
          </cell>
        </row>
        <row r="547">
          <cell r="BA547" t="str">
            <v>.</v>
          </cell>
        </row>
        <row r="548">
          <cell r="BA548" t="str">
            <v>.</v>
          </cell>
        </row>
        <row r="549">
          <cell r="BA549" t="str">
            <v>.</v>
          </cell>
        </row>
        <row r="550">
          <cell r="BA550" t="str">
            <v>.</v>
          </cell>
        </row>
        <row r="551">
          <cell r="BA551" t="str">
            <v>.</v>
          </cell>
        </row>
        <row r="552">
          <cell r="BA552" t="str">
            <v>.</v>
          </cell>
        </row>
        <row r="553">
          <cell r="BA553" t="str">
            <v>.</v>
          </cell>
        </row>
        <row r="554">
          <cell r="BA554" t="str">
            <v>.</v>
          </cell>
        </row>
        <row r="555">
          <cell r="BA555" t="str">
            <v>.</v>
          </cell>
        </row>
        <row r="556">
          <cell r="BA556" t="str">
            <v>.</v>
          </cell>
        </row>
        <row r="557">
          <cell r="BA557" t="str">
            <v>.</v>
          </cell>
        </row>
        <row r="558">
          <cell r="BA558" t="str">
            <v>.</v>
          </cell>
        </row>
        <row r="559">
          <cell r="BA559" t="str">
            <v>.</v>
          </cell>
        </row>
        <row r="560">
          <cell r="BA560" t="str">
            <v>.</v>
          </cell>
        </row>
        <row r="561">
          <cell r="BA561" t="str">
            <v>.</v>
          </cell>
        </row>
        <row r="562">
          <cell r="BA562" t="str">
            <v>.</v>
          </cell>
        </row>
        <row r="563">
          <cell r="BA563" t="str">
            <v>.</v>
          </cell>
        </row>
        <row r="564">
          <cell r="BA564" t="str">
            <v>.</v>
          </cell>
        </row>
        <row r="565">
          <cell r="BA565" t="str">
            <v>.</v>
          </cell>
        </row>
        <row r="566">
          <cell r="BA566" t="str">
            <v>.</v>
          </cell>
        </row>
        <row r="567">
          <cell r="BA567" t="str">
            <v>.</v>
          </cell>
        </row>
        <row r="568">
          <cell r="BA568" t="str">
            <v>.</v>
          </cell>
        </row>
        <row r="569">
          <cell r="BA569" t="str">
            <v>.</v>
          </cell>
        </row>
        <row r="570">
          <cell r="BA570" t="str">
            <v>.</v>
          </cell>
        </row>
        <row r="571">
          <cell r="BA571" t="str">
            <v>.</v>
          </cell>
        </row>
        <row r="572">
          <cell r="BA572" t="str">
            <v>.</v>
          </cell>
        </row>
        <row r="573">
          <cell r="BA573" t="str">
            <v>.</v>
          </cell>
        </row>
        <row r="574">
          <cell r="BA574" t="str">
            <v>.</v>
          </cell>
        </row>
        <row r="575">
          <cell r="BA575" t="str">
            <v>.</v>
          </cell>
        </row>
        <row r="576">
          <cell r="BA576" t="str">
            <v>.</v>
          </cell>
        </row>
        <row r="577">
          <cell r="BA577" t="str">
            <v>.</v>
          </cell>
        </row>
        <row r="578">
          <cell r="BA578" t="str">
            <v>.</v>
          </cell>
        </row>
        <row r="579">
          <cell r="BA579" t="str">
            <v>.</v>
          </cell>
        </row>
        <row r="580">
          <cell r="BA580" t="str">
            <v>.</v>
          </cell>
        </row>
        <row r="581">
          <cell r="BA581" t="str">
            <v>.</v>
          </cell>
        </row>
        <row r="582">
          <cell r="BA582" t="str">
            <v>.</v>
          </cell>
        </row>
        <row r="583">
          <cell r="BA583" t="str">
            <v>.</v>
          </cell>
        </row>
        <row r="584">
          <cell r="BA584" t="str">
            <v>.</v>
          </cell>
        </row>
        <row r="585">
          <cell r="BA585" t="str">
            <v>.</v>
          </cell>
        </row>
        <row r="586">
          <cell r="BA586" t="str">
            <v>.</v>
          </cell>
        </row>
        <row r="587">
          <cell r="BA587" t="str">
            <v>.</v>
          </cell>
        </row>
        <row r="588">
          <cell r="BA588" t="str">
            <v>.</v>
          </cell>
        </row>
        <row r="589">
          <cell r="BA589" t="str">
            <v>.</v>
          </cell>
        </row>
        <row r="590">
          <cell r="BA590" t="str">
            <v>.</v>
          </cell>
        </row>
        <row r="591">
          <cell r="BA591" t="str">
            <v>.</v>
          </cell>
        </row>
        <row r="592">
          <cell r="BA592" t="str">
            <v>.</v>
          </cell>
        </row>
        <row r="593">
          <cell r="BA593" t="str">
            <v>.</v>
          </cell>
        </row>
        <row r="594">
          <cell r="BA594" t="str">
            <v>.</v>
          </cell>
        </row>
        <row r="595">
          <cell r="BA595" t="str">
            <v>.</v>
          </cell>
        </row>
        <row r="596">
          <cell r="BA596" t="str">
            <v>.</v>
          </cell>
        </row>
        <row r="597">
          <cell r="BA597" t="str">
            <v>.</v>
          </cell>
        </row>
        <row r="598">
          <cell r="BA598" t="str">
            <v>.</v>
          </cell>
        </row>
        <row r="599">
          <cell r="BA599" t="str">
            <v>.</v>
          </cell>
        </row>
        <row r="600">
          <cell r="BA600" t="str">
            <v>.</v>
          </cell>
        </row>
        <row r="601">
          <cell r="BA601" t="str">
            <v>.</v>
          </cell>
        </row>
        <row r="602">
          <cell r="BA602" t="str">
            <v>.</v>
          </cell>
        </row>
        <row r="603">
          <cell r="BA603" t="str">
            <v>.</v>
          </cell>
        </row>
        <row r="604">
          <cell r="BA604" t="str">
            <v>.</v>
          </cell>
        </row>
        <row r="605">
          <cell r="BA605" t="str">
            <v>.</v>
          </cell>
        </row>
        <row r="606">
          <cell r="BA606" t="str">
            <v>.</v>
          </cell>
        </row>
        <row r="607">
          <cell r="BA607" t="str">
            <v>.</v>
          </cell>
        </row>
        <row r="608">
          <cell r="BA608" t="str">
            <v>.</v>
          </cell>
        </row>
        <row r="609">
          <cell r="BA609" t="str">
            <v>.</v>
          </cell>
        </row>
        <row r="610">
          <cell r="BA610" t="str">
            <v>.</v>
          </cell>
        </row>
        <row r="611">
          <cell r="BA611" t="str">
            <v>.</v>
          </cell>
        </row>
        <row r="612">
          <cell r="BA612" t="str">
            <v>.</v>
          </cell>
        </row>
        <row r="613">
          <cell r="BA613" t="str">
            <v>.</v>
          </cell>
        </row>
        <row r="614">
          <cell r="BA614" t="str">
            <v>.</v>
          </cell>
        </row>
        <row r="615">
          <cell r="BA615" t="str">
            <v>.</v>
          </cell>
        </row>
        <row r="616">
          <cell r="BA616" t="str">
            <v>.</v>
          </cell>
        </row>
        <row r="617">
          <cell r="BA617" t="str">
            <v>.</v>
          </cell>
        </row>
        <row r="618">
          <cell r="BA618" t="str">
            <v>.</v>
          </cell>
        </row>
        <row r="619">
          <cell r="BA619" t="str">
            <v>.</v>
          </cell>
        </row>
        <row r="620">
          <cell r="BA620" t="str">
            <v>.</v>
          </cell>
        </row>
        <row r="621">
          <cell r="BA621" t="str">
            <v>.</v>
          </cell>
        </row>
        <row r="622">
          <cell r="BA622" t="str">
            <v>.</v>
          </cell>
        </row>
        <row r="623">
          <cell r="BA623" t="str">
            <v>.</v>
          </cell>
        </row>
        <row r="624">
          <cell r="BA624" t="str">
            <v>.</v>
          </cell>
        </row>
        <row r="625">
          <cell r="BA625" t="str">
            <v>.</v>
          </cell>
        </row>
        <row r="626">
          <cell r="BA626" t="str">
            <v>.</v>
          </cell>
        </row>
        <row r="627">
          <cell r="BA627" t="str">
            <v>.</v>
          </cell>
        </row>
        <row r="628">
          <cell r="BA628" t="str">
            <v>.</v>
          </cell>
        </row>
        <row r="629">
          <cell r="BA629" t="str">
            <v>.</v>
          </cell>
        </row>
        <row r="630">
          <cell r="BA630" t="str">
            <v>.</v>
          </cell>
        </row>
        <row r="631">
          <cell r="BA631" t="str">
            <v>.</v>
          </cell>
        </row>
        <row r="632">
          <cell r="BA632" t="str">
            <v>.</v>
          </cell>
        </row>
        <row r="633">
          <cell r="BA633" t="str">
            <v>.</v>
          </cell>
        </row>
        <row r="634">
          <cell r="BA634" t="str">
            <v>.</v>
          </cell>
        </row>
        <row r="635">
          <cell r="BA635" t="str">
            <v>.</v>
          </cell>
        </row>
        <row r="636">
          <cell r="BA636" t="str">
            <v>.</v>
          </cell>
        </row>
        <row r="637">
          <cell r="BA637" t="str">
            <v>.</v>
          </cell>
        </row>
        <row r="638">
          <cell r="BA638" t="str">
            <v>.</v>
          </cell>
        </row>
        <row r="639">
          <cell r="BA639" t="str">
            <v>.</v>
          </cell>
        </row>
        <row r="640">
          <cell r="BA640" t="str">
            <v>.</v>
          </cell>
        </row>
        <row r="641">
          <cell r="BA641" t="str">
            <v>.</v>
          </cell>
        </row>
        <row r="642">
          <cell r="BA642" t="str">
            <v>.</v>
          </cell>
        </row>
        <row r="643">
          <cell r="BA643" t="str">
            <v>.</v>
          </cell>
        </row>
        <row r="644">
          <cell r="BA644" t="str">
            <v>.</v>
          </cell>
        </row>
        <row r="645">
          <cell r="BA645" t="str">
            <v>.</v>
          </cell>
        </row>
        <row r="646">
          <cell r="BA646" t="str">
            <v>.</v>
          </cell>
        </row>
        <row r="647">
          <cell r="BA647" t="str">
            <v>.</v>
          </cell>
        </row>
        <row r="648">
          <cell r="BA648" t="str">
            <v>.</v>
          </cell>
        </row>
        <row r="649">
          <cell r="BA649" t="str">
            <v>.</v>
          </cell>
        </row>
        <row r="650">
          <cell r="BA650" t="str">
            <v>.</v>
          </cell>
        </row>
        <row r="651">
          <cell r="BA651" t="str">
            <v>.</v>
          </cell>
        </row>
        <row r="652">
          <cell r="BA652" t="str">
            <v>.</v>
          </cell>
        </row>
        <row r="653">
          <cell r="BA653" t="str">
            <v>.</v>
          </cell>
        </row>
        <row r="654">
          <cell r="BA654" t="str">
            <v>.</v>
          </cell>
        </row>
        <row r="655">
          <cell r="BA655" t="str">
            <v>.</v>
          </cell>
        </row>
        <row r="656">
          <cell r="BA656" t="str">
            <v>.</v>
          </cell>
        </row>
        <row r="657">
          <cell r="BA657" t="str">
            <v>.</v>
          </cell>
        </row>
        <row r="658">
          <cell r="BA658" t="str">
            <v>.</v>
          </cell>
        </row>
        <row r="659">
          <cell r="BA659" t="str">
            <v>.</v>
          </cell>
        </row>
        <row r="660">
          <cell r="BA660" t="str">
            <v>.</v>
          </cell>
        </row>
        <row r="661">
          <cell r="BA661" t="str">
            <v>.</v>
          </cell>
        </row>
        <row r="662">
          <cell r="BA662" t="str">
            <v>.</v>
          </cell>
        </row>
        <row r="663">
          <cell r="BA663" t="str">
            <v>.</v>
          </cell>
        </row>
        <row r="664">
          <cell r="BA664" t="str">
            <v>.</v>
          </cell>
        </row>
        <row r="665">
          <cell r="BA665" t="str">
            <v>.</v>
          </cell>
        </row>
        <row r="666">
          <cell r="BA666" t="str">
            <v>.</v>
          </cell>
        </row>
        <row r="667">
          <cell r="BA667" t="str">
            <v>.</v>
          </cell>
        </row>
        <row r="668">
          <cell r="BA668" t="str">
            <v>.</v>
          </cell>
        </row>
        <row r="669">
          <cell r="BA669" t="str">
            <v>.</v>
          </cell>
        </row>
        <row r="670">
          <cell r="BA670" t="str">
            <v>.</v>
          </cell>
        </row>
        <row r="671">
          <cell r="BA671" t="str">
            <v>.</v>
          </cell>
        </row>
        <row r="672">
          <cell r="BA672" t="str">
            <v>.</v>
          </cell>
        </row>
        <row r="673">
          <cell r="BA673" t="str">
            <v>.</v>
          </cell>
        </row>
        <row r="674">
          <cell r="BA674" t="str">
            <v>.</v>
          </cell>
        </row>
        <row r="675">
          <cell r="BA675" t="str">
            <v>.</v>
          </cell>
        </row>
        <row r="676">
          <cell r="BA676" t="str">
            <v>.</v>
          </cell>
        </row>
        <row r="677">
          <cell r="BA677" t="str">
            <v>.</v>
          </cell>
        </row>
        <row r="678">
          <cell r="BA678" t="str">
            <v>.</v>
          </cell>
        </row>
        <row r="679">
          <cell r="BA679" t="str">
            <v>.</v>
          </cell>
        </row>
        <row r="680">
          <cell r="BA680" t="str">
            <v>.</v>
          </cell>
        </row>
        <row r="681">
          <cell r="BA681" t="str">
            <v>.</v>
          </cell>
        </row>
        <row r="682">
          <cell r="BA682" t="str">
            <v>.</v>
          </cell>
        </row>
        <row r="683">
          <cell r="BA683" t="str">
            <v>.</v>
          </cell>
        </row>
        <row r="684">
          <cell r="BA684" t="str">
            <v>.</v>
          </cell>
        </row>
        <row r="685">
          <cell r="BA685" t="str">
            <v>.</v>
          </cell>
        </row>
        <row r="686">
          <cell r="BA686" t="str">
            <v>.</v>
          </cell>
        </row>
        <row r="687">
          <cell r="BA687" t="str">
            <v>.</v>
          </cell>
        </row>
        <row r="688">
          <cell r="BA688" t="str">
            <v>.</v>
          </cell>
        </row>
        <row r="689">
          <cell r="BA689" t="str">
            <v>.</v>
          </cell>
        </row>
        <row r="690">
          <cell r="BA690" t="str">
            <v>.</v>
          </cell>
        </row>
        <row r="691">
          <cell r="BA691" t="str">
            <v>.</v>
          </cell>
        </row>
        <row r="692">
          <cell r="BA692" t="str">
            <v>.</v>
          </cell>
        </row>
        <row r="693">
          <cell r="BA693" t="str">
            <v>.</v>
          </cell>
        </row>
        <row r="694">
          <cell r="BA694" t="str">
            <v>.</v>
          </cell>
        </row>
        <row r="695">
          <cell r="BA695" t="str">
            <v>.</v>
          </cell>
        </row>
        <row r="696">
          <cell r="BA696" t="str">
            <v>.</v>
          </cell>
        </row>
        <row r="697">
          <cell r="BA697" t="str">
            <v>.</v>
          </cell>
        </row>
        <row r="698">
          <cell r="BA698" t="str">
            <v>.</v>
          </cell>
        </row>
        <row r="699">
          <cell r="BA699" t="str">
            <v>.</v>
          </cell>
        </row>
        <row r="700">
          <cell r="BA700" t="str">
            <v>.</v>
          </cell>
        </row>
        <row r="701">
          <cell r="BA701" t="str">
            <v>.</v>
          </cell>
        </row>
        <row r="702">
          <cell r="BA702" t="str">
            <v>.</v>
          </cell>
        </row>
        <row r="703">
          <cell r="BA703" t="str">
            <v>.</v>
          </cell>
        </row>
        <row r="704">
          <cell r="BA704" t="str">
            <v>.</v>
          </cell>
        </row>
        <row r="705">
          <cell r="BA705" t="str">
            <v>.</v>
          </cell>
        </row>
        <row r="706">
          <cell r="BA706" t="str">
            <v>.</v>
          </cell>
        </row>
        <row r="707">
          <cell r="BA707" t="str">
            <v>.</v>
          </cell>
        </row>
        <row r="708">
          <cell r="BA708" t="str">
            <v>.</v>
          </cell>
        </row>
        <row r="709">
          <cell r="BA709" t="str">
            <v>.</v>
          </cell>
        </row>
        <row r="710">
          <cell r="BA710" t="str">
            <v>.</v>
          </cell>
        </row>
        <row r="711">
          <cell r="BA711" t="str">
            <v>.</v>
          </cell>
        </row>
        <row r="712">
          <cell r="BA712" t="str">
            <v>.</v>
          </cell>
        </row>
        <row r="713">
          <cell r="BA713" t="str">
            <v>.</v>
          </cell>
        </row>
        <row r="714">
          <cell r="BA714" t="str">
            <v>.</v>
          </cell>
        </row>
        <row r="715">
          <cell r="BA715" t="str">
            <v>.</v>
          </cell>
        </row>
        <row r="716">
          <cell r="BA716" t="str">
            <v>.</v>
          </cell>
        </row>
        <row r="717">
          <cell r="BA717" t="str">
            <v>.</v>
          </cell>
        </row>
        <row r="718">
          <cell r="BA718" t="str">
            <v>.</v>
          </cell>
        </row>
        <row r="719">
          <cell r="BA719" t="str">
            <v>.</v>
          </cell>
        </row>
        <row r="720">
          <cell r="BA720" t="str">
            <v>.</v>
          </cell>
        </row>
        <row r="721">
          <cell r="BA721" t="str">
            <v>.</v>
          </cell>
        </row>
        <row r="722">
          <cell r="BA722" t="str">
            <v>.</v>
          </cell>
        </row>
        <row r="723">
          <cell r="BA723" t="str">
            <v>.</v>
          </cell>
        </row>
        <row r="724">
          <cell r="BA724" t="str">
            <v>.</v>
          </cell>
        </row>
        <row r="725">
          <cell r="BA725" t="str">
            <v>.</v>
          </cell>
        </row>
        <row r="726">
          <cell r="BA726" t="str">
            <v>.</v>
          </cell>
        </row>
        <row r="727">
          <cell r="BA727" t="str">
            <v>.</v>
          </cell>
        </row>
        <row r="728">
          <cell r="BA728" t="str">
            <v>.</v>
          </cell>
        </row>
        <row r="729">
          <cell r="BA729" t="str">
            <v>.</v>
          </cell>
        </row>
        <row r="730">
          <cell r="BA730" t="str">
            <v>.</v>
          </cell>
        </row>
        <row r="731">
          <cell r="BA731" t="str">
            <v>.</v>
          </cell>
        </row>
        <row r="732">
          <cell r="BA732" t="str">
            <v>.</v>
          </cell>
        </row>
        <row r="733">
          <cell r="BA733" t="str">
            <v>.</v>
          </cell>
        </row>
        <row r="734">
          <cell r="BA734" t="str">
            <v>.</v>
          </cell>
        </row>
        <row r="735">
          <cell r="BA735" t="str">
            <v>.</v>
          </cell>
        </row>
        <row r="736">
          <cell r="BA736" t="str">
            <v>.</v>
          </cell>
        </row>
        <row r="737">
          <cell r="BA737" t="str">
            <v>.</v>
          </cell>
        </row>
        <row r="738">
          <cell r="BA738" t="str">
            <v>.</v>
          </cell>
        </row>
        <row r="739">
          <cell r="BA739" t="str">
            <v>.</v>
          </cell>
        </row>
        <row r="740">
          <cell r="BA740" t="str">
            <v>.</v>
          </cell>
        </row>
        <row r="741">
          <cell r="BA741" t="str">
            <v>.</v>
          </cell>
        </row>
        <row r="742">
          <cell r="BA742" t="str">
            <v>.</v>
          </cell>
        </row>
        <row r="743">
          <cell r="BA743" t="str">
            <v>.</v>
          </cell>
        </row>
        <row r="744">
          <cell r="BA744" t="str">
            <v>.</v>
          </cell>
        </row>
        <row r="745">
          <cell r="BA745" t="str">
            <v>.</v>
          </cell>
        </row>
        <row r="746">
          <cell r="BA746" t="str">
            <v>.</v>
          </cell>
        </row>
        <row r="747">
          <cell r="BA747" t="str">
            <v>.</v>
          </cell>
        </row>
        <row r="748">
          <cell r="BA748" t="str">
            <v>.</v>
          </cell>
        </row>
        <row r="749">
          <cell r="BA749" t="str">
            <v>.</v>
          </cell>
        </row>
        <row r="750">
          <cell r="BA750" t="str">
            <v>.</v>
          </cell>
        </row>
        <row r="751">
          <cell r="BA751" t="str">
            <v>.</v>
          </cell>
        </row>
        <row r="752">
          <cell r="BA752" t="str">
            <v>.</v>
          </cell>
        </row>
        <row r="753">
          <cell r="BA753" t="str">
            <v>.</v>
          </cell>
        </row>
        <row r="754">
          <cell r="BA754" t="str">
            <v>.</v>
          </cell>
        </row>
        <row r="755">
          <cell r="BA755" t="str">
            <v>.</v>
          </cell>
        </row>
        <row r="756">
          <cell r="BA756" t="str">
            <v>.</v>
          </cell>
        </row>
        <row r="757">
          <cell r="BA757" t="str">
            <v>.</v>
          </cell>
        </row>
        <row r="758">
          <cell r="BA758" t="str">
            <v>.</v>
          </cell>
        </row>
        <row r="759">
          <cell r="BA759" t="str">
            <v>.</v>
          </cell>
        </row>
        <row r="760">
          <cell r="BA760" t="str">
            <v>.</v>
          </cell>
        </row>
        <row r="761">
          <cell r="BA761" t="str">
            <v>.</v>
          </cell>
        </row>
        <row r="762">
          <cell r="BA762" t="str">
            <v>.</v>
          </cell>
        </row>
        <row r="763">
          <cell r="BA763" t="str">
            <v>.</v>
          </cell>
        </row>
        <row r="764">
          <cell r="BA764" t="str">
            <v>.</v>
          </cell>
        </row>
        <row r="765">
          <cell r="BA765" t="str">
            <v>.</v>
          </cell>
        </row>
        <row r="766">
          <cell r="BA766" t="str">
            <v>.</v>
          </cell>
        </row>
        <row r="767">
          <cell r="BA767" t="str">
            <v>.</v>
          </cell>
        </row>
        <row r="768">
          <cell r="BA768" t="str">
            <v>.</v>
          </cell>
        </row>
        <row r="769">
          <cell r="BA769" t="str">
            <v>.</v>
          </cell>
        </row>
        <row r="770">
          <cell r="BA770" t="str">
            <v>.</v>
          </cell>
        </row>
        <row r="771">
          <cell r="BA771" t="str">
            <v>.</v>
          </cell>
        </row>
        <row r="772">
          <cell r="BA772" t="str">
            <v>.</v>
          </cell>
        </row>
        <row r="773">
          <cell r="BA773" t="str">
            <v>.</v>
          </cell>
        </row>
        <row r="774">
          <cell r="BA774" t="str">
            <v>.</v>
          </cell>
        </row>
        <row r="775">
          <cell r="BA775" t="str">
            <v>.</v>
          </cell>
        </row>
        <row r="776">
          <cell r="BA776" t="str">
            <v>.</v>
          </cell>
        </row>
        <row r="777">
          <cell r="BA777" t="str">
            <v>.</v>
          </cell>
        </row>
        <row r="778">
          <cell r="BA778" t="str">
            <v>.</v>
          </cell>
        </row>
        <row r="779">
          <cell r="BA779" t="str">
            <v>.</v>
          </cell>
        </row>
        <row r="780">
          <cell r="BA780" t="str">
            <v>.</v>
          </cell>
        </row>
        <row r="781">
          <cell r="BA781" t="str">
            <v>.</v>
          </cell>
        </row>
        <row r="782">
          <cell r="BA782" t="str">
            <v>.</v>
          </cell>
        </row>
        <row r="783">
          <cell r="BA783" t="str">
            <v>.</v>
          </cell>
        </row>
        <row r="784">
          <cell r="BA784" t="str">
            <v>.</v>
          </cell>
        </row>
        <row r="785">
          <cell r="BA785" t="str">
            <v>.</v>
          </cell>
        </row>
        <row r="786">
          <cell r="BA786" t="str">
            <v>.</v>
          </cell>
        </row>
        <row r="787">
          <cell r="BA787" t="str">
            <v>.</v>
          </cell>
        </row>
        <row r="788">
          <cell r="BA788" t="str">
            <v>.</v>
          </cell>
        </row>
        <row r="789">
          <cell r="BA789" t="str">
            <v>.</v>
          </cell>
        </row>
        <row r="790">
          <cell r="BA790" t="str">
            <v>.</v>
          </cell>
        </row>
        <row r="791">
          <cell r="BA791" t="str">
            <v>.</v>
          </cell>
        </row>
        <row r="792">
          <cell r="BA792" t="str">
            <v>.</v>
          </cell>
        </row>
        <row r="793">
          <cell r="BA793" t="str">
            <v>.</v>
          </cell>
        </row>
        <row r="794">
          <cell r="BA794" t="str">
            <v>.</v>
          </cell>
        </row>
        <row r="795">
          <cell r="BA795" t="str">
            <v>.</v>
          </cell>
        </row>
        <row r="796">
          <cell r="BA796" t="str">
            <v>.</v>
          </cell>
        </row>
        <row r="797">
          <cell r="BA797" t="str">
            <v>.</v>
          </cell>
        </row>
        <row r="798">
          <cell r="BA798" t="str">
            <v>.</v>
          </cell>
        </row>
        <row r="799">
          <cell r="BA799" t="str">
            <v>.</v>
          </cell>
        </row>
        <row r="800">
          <cell r="BA800" t="str">
            <v>.</v>
          </cell>
        </row>
        <row r="801">
          <cell r="BA801" t="str">
            <v>.</v>
          </cell>
        </row>
        <row r="802">
          <cell r="BA802" t="str">
            <v>.</v>
          </cell>
        </row>
        <row r="803">
          <cell r="BA803" t="str">
            <v>.</v>
          </cell>
        </row>
        <row r="804">
          <cell r="BA804" t="str">
            <v>.</v>
          </cell>
        </row>
        <row r="805">
          <cell r="BA805" t="str">
            <v>.</v>
          </cell>
        </row>
        <row r="806">
          <cell r="BA806" t="str">
            <v>.</v>
          </cell>
        </row>
        <row r="807">
          <cell r="BA807" t="str">
            <v>.</v>
          </cell>
        </row>
        <row r="808">
          <cell r="BA808" t="str">
            <v>.</v>
          </cell>
        </row>
        <row r="809">
          <cell r="BA809" t="str">
            <v>.</v>
          </cell>
        </row>
        <row r="810">
          <cell r="BA810" t="str">
            <v>.</v>
          </cell>
        </row>
        <row r="811">
          <cell r="BA811" t="str">
            <v>.</v>
          </cell>
        </row>
        <row r="812">
          <cell r="BA812" t="str">
            <v>.</v>
          </cell>
        </row>
        <row r="813">
          <cell r="BA813" t="str">
            <v>.</v>
          </cell>
        </row>
        <row r="814">
          <cell r="BA814" t="str">
            <v>.</v>
          </cell>
        </row>
        <row r="815">
          <cell r="BA815" t="str">
            <v>.</v>
          </cell>
        </row>
        <row r="816">
          <cell r="BA816" t="str">
            <v>.</v>
          </cell>
        </row>
        <row r="817">
          <cell r="BA817" t="str">
            <v>.</v>
          </cell>
        </row>
        <row r="818">
          <cell r="BA818" t="str">
            <v>.</v>
          </cell>
        </row>
        <row r="819">
          <cell r="BA819" t="str">
            <v>.</v>
          </cell>
        </row>
        <row r="820">
          <cell r="BA820" t="str">
            <v>.</v>
          </cell>
        </row>
        <row r="821">
          <cell r="BA821" t="str">
            <v>.</v>
          </cell>
        </row>
        <row r="822">
          <cell r="BA822" t="str">
            <v>.</v>
          </cell>
        </row>
        <row r="823">
          <cell r="BA823" t="str">
            <v>.</v>
          </cell>
        </row>
        <row r="824">
          <cell r="BA824" t="str">
            <v>.</v>
          </cell>
        </row>
        <row r="825">
          <cell r="BA825" t="str">
            <v>.</v>
          </cell>
        </row>
        <row r="826">
          <cell r="BA826" t="str">
            <v>.</v>
          </cell>
        </row>
        <row r="827">
          <cell r="BA827" t="str">
            <v>.</v>
          </cell>
        </row>
        <row r="828">
          <cell r="BA828" t="str">
            <v>.</v>
          </cell>
        </row>
        <row r="829">
          <cell r="BA829" t="str">
            <v>.</v>
          </cell>
        </row>
        <row r="830">
          <cell r="BA830" t="str">
            <v>.</v>
          </cell>
        </row>
        <row r="831">
          <cell r="BA831" t="str">
            <v>.</v>
          </cell>
        </row>
        <row r="832">
          <cell r="BA832" t="str">
            <v>.</v>
          </cell>
        </row>
        <row r="833">
          <cell r="BA833" t="str">
            <v>.</v>
          </cell>
        </row>
        <row r="834">
          <cell r="BA834" t="str">
            <v>.</v>
          </cell>
        </row>
        <row r="835">
          <cell r="BA835" t="str">
            <v>.</v>
          </cell>
        </row>
        <row r="836">
          <cell r="BA836" t="str">
            <v>.</v>
          </cell>
        </row>
        <row r="837">
          <cell r="BA837" t="str">
            <v>.</v>
          </cell>
        </row>
        <row r="838">
          <cell r="BA838" t="str">
            <v>.</v>
          </cell>
        </row>
        <row r="839">
          <cell r="BA839" t="str">
            <v>.</v>
          </cell>
        </row>
        <row r="840">
          <cell r="BA840" t="str">
            <v>.</v>
          </cell>
        </row>
        <row r="841">
          <cell r="BA841" t="str">
            <v>.</v>
          </cell>
        </row>
        <row r="842">
          <cell r="BA842" t="str">
            <v>.</v>
          </cell>
        </row>
        <row r="843">
          <cell r="BA843" t="str">
            <v>.</v>
          </cell>
        </row>
        <row r="844">
          <cell r="BA844" t="str">
            <v>.</v>
          </cell>
        </row>
        <row r="845">
          <cell r="BA845" t="str">
            <v>.</v>
          </cell>
        </row>
        <row r="846">
          <cell r="BA846" t="str">
            <v>.</v>
          </cell>
        </row>
        <row r="847">
          <cell r="BA847" t="str">
            <v>.</v>
          </cell>
        </row>
        <row r="848">
          <cell r="BA848" t="str">
            <v>.</v>
          </cell>
        </row>
        <row r="849">
          <cell r="BA849" t="str">
            <v>.</v>
          </cell>
        </row>
        <row r="850">
          <cell r="BA850" t="str">
            <v>.</v>
          </cell>
        </row>
        <row r="851">
          <cell r="BA851" t="str">
            <v>.</v>
          </cell>
        </row>
        <row r="852">
          <cell r="BA852" t="str">
            <v>.</v>
          </cell>
        </row>
        <row r="853">
          <cell r="BA853" t="str">
            <v>.</v>
          </cell>
        </row>
        <row r="854">
          <cell r="BA854" t="str">
            <v>.</v>
          </cell>
        </row>
        <row r="855">
          <cell r="BA855" t="str">
            <v>.</v>
          </cell>
        </row>
        <row r="856">
          <cell r="BA856" t="str">
            <v>.</v>
          </cell>
        </row>
        <row r="857">
          <cell r="BA857" t="str">
            <v>.</v>
          </cell>
        </row>
        <row r="858">
          <cell r="BA858" t="str">
            <v>.</v>
          </cell>
        </row>
        <row r="859">
          <cell r="BA859" t="str">
            <v>.</v>
          </cell>
        </row>
        <row r="860">
          <cell r="BA860" t="str">
            <v>.</v>
          </cell>
        </row>
        <row r="861">
          <cell r="BA861" t="str">
            <v>.</v>
          </cell>
        </row>
        <row r="862">
          <cell r="BA862" t="str">
            <v>.</v>
          </cell>
        </row>
        <row r="863">
          <cell r="BA863" t="str">
            <v>.</v>
          </cell>
        </row>
        <row r="864">
          <cell r="BA864" t="str">
            <v>.</v>
          </cell>
        </row>
        <row r="865">
          <cell r="BA865" t="str">
            <v>.</v>
          </cell>
        </row>
        <row r="866">
          <cell r="BA866" t="str">
            <v>.</v>
          </cell>
        </row>
        <row r="867">
          <cell r="BA867" t="str">
            <v>.</v>
          </cell>
        </row>
        <row r="868">
          <cell r="BA868" t="str">
            <v>.</v>
          </cell>
        </row>
        <row r="869">
          <cell r="BA869" t="str">
            <v>.</v>
          </cell>
        </row>
        <row r="870">
          <cell r="BA870" t="str">
            <v>.</v>
          </cell>
        </row>
        <row r="871">
          <cell r="BA871" t="str">
            <v>.</v>
          </cell>
        </row>
        <row r="872">
          <cell r="BA872" t="str">
            <v>.</v>
          </cell>
        </row>
        <row r="873">
          <cell r="BA873" t="str">
            <v>.</v>
          </cell>
        </row>
        <row r="874">
          <cell r="BA874" t="str">
            <v>.</v>
          </cell>
        </row>
        <row r="875">
          <cell r="BA875" t="str">
            <v>.</v>
          </cell>
        </row>
        <row r="876">
          <cell r="BA876" t="str">
            <v>.</v>
          </cell>
        </row>
        <row r="877">
          <cell r="BA877" t="str">
            <v>.</v>
          </cell>
        </row>
        <row r="878">
          <cell r="BA878" t="str">
            <v>.</v>
          </cell>
        </row>
        <row r="879">
          <cell r="BA879" t="str">
            <v>.</v>
          </cell>
        </row>
        <row r="880">
          <cell r="BA880" t="str">
            <v>.</v>
          </cell>
        </row>
        <row r="881">
          <cell r="BA881" t="str">
            <v>.</v>
          </cell>
        </row>
        <row r="882">
          <cell r="BA882" t="str">
            <v>.</v>
          </cell>
        </row>
        <row r="883">
          <cell r="BA883" t="str">
            <v>.</v>
          </cell>
        </row>
        <row r="884">
          <cell r="BA884" t="str">
            <v>.</v>
          </cell>
        </row>
        <row r="885">
          <cell r="BA885" t="str">
            <v>.</v>
          </cell>
        </row>
        <row r="886">
          <cell r="BA886" t="str">
            <v>.</v>
          </cell>
        </row>
        <row r="887">
          <cell r="BA887" t="str">
            <v>.</v>
          </cell>
        </row>
        <row r="888">
          <cell r="BA888" t="str">
            <v>.</v>
          </cell>
        </row>
        <row r="889">
          <cell r="BA889" t="str">
            <v>.</v>
          </cell>
        </row>
        <row r="890">
          <cell r="BA890" t="str">
            <v>.</v>
          </cell>
        </row>
        <row r="891">
          <cell r="BA891" t="str">
            <v>.</v>
          </cell>
        </row>
        <row r="892">
          <cell r="BA892" t="str">
            <v>.</v>
          </cell>
        </row>
        <row r="893">
          <cell r="BA893" t="str">
            <v>.</v>
          </cell>
        </row>
        <row r="894">
          <cell r="BA894" t="str">
            <v>.</v>
          </cell>
        </row>
        <row r="895">
          <cell r="BA895" t="str">
            <v>.</v>
          </cell>
        </row>
        <row r="896">
          <cell r="BA896" t="str">
            <v>.</v>
          </cell>
        </row>
        <row r="897">
          <cell r="BA897" t="str">
            <v>.</v>
          </cell>
        </row>
        <row r="898">
          <cell r="BA898" t="str">
            <v>.</v>
          </cell>
        </row>
        <row r="899">
          <cell r="BA899" t="str">
            <v>.</v>
          </cell>
        </row>
        <row r="900">
          <cell r="BA900" t="str">
            <v>.</v>
          </cell>
        </row>
        <row r="901">
          <cell r="BA901" t="str">
            <v>.</v>
          </cell>
        </row>
        <row r="902">
          <cell r="BA902" t="str">
            <v>.</v>
          </cell>
        </row>
        <row r="903">
          <cell r="BA903" t="str">
            <v>.</v>
          </cell>
        </row>
        <row r="904">
          <cell r="BA904" t="str">
            <v>.</v>
          </cell>
        </row>
        <row r="905">
          <cell r="BA905" t="str">
            <v>.</v>
          </cell>
        </row>
        <row r="906">
          <cell r="BA906" t="str">
            <v>.</v>
          </cell>
        </row>
        <row r="907">
          <cell r="BA907" t="str">
            <v>.</v>
          </cell>
        </row>
        <row r="908">
          <cell r="BA908" t="str">
            <v>.</v>
          </cell>
        </row>
        <row r="909">
          <cell r="BA909" t="str">
            <v>.</v>
          </cell>
        </row>
        <row r="910">
          <cell r="BA910" t="str">
            <v>.</v>
          </cell>
        </row>
        <row r="911">
          <cell r="BA911" t="str">
            <v>.</v>
          </cell>
        </row>
        <row r="912">
          <cell r="BA912" t="str">
            <v>.</v>
          </cell>
        </row>
        <row r="913">
          <cell r="BA913" t="str">
            <v>.</v>
          </cell>
        </row>
        <row r="914">
          <cell r="BA914" t="str">
            <v>.</v>
          </cell>
        </row>
        <row r="915">
          <cell r="BA915" t="str">
            <v>.</v>
          </cell>
        </row>
        <row r="916">
          <cell r="BA916" t="str">
            <v>.</v>
          </cell>
        </row>
        <row r="917">
          <cell r="BA917" t="str">
            <v>.</v>
          </cell>
        </row>
        <row r="918">
          <cell r="BA918" t="str">
            <v>.</v>
          </cell>
        </row>
        <row r="919">
          <cell r="BA919" t="str">
            <v>.</v>
          </cell>
        </row>
        <row r="920">
          <cell r="BA920" t="str">
            <v>.</v>
          </cell>
        </row>
        <row r="921">
          <cell r="BA921" t="str">
            <v>.</v>
          </cell>
        </row>
        <row r="922">
          <cell r="BA922" t="str">
            <v>.</v>
          </cell>
        </row>
        <row r="923">
          <cell r="BA923" t="str">
            <v>.</v>
          </cell>
        </row>
        <row r="924">
          <cell r="BA924" t="str">
            <v>.</v>
          </cell>
        </row>
        <row r="925">
          <cell r="BA925" t="str">
            <v>.</v>
          </cell>
        </row>
        <row r="926">
          <cell r="BA926" t="str">
            <v>.</v>
          </cell>
        </row>
        <row r="927">
          <cell r="BA927" t="str">
            <v>.</v>
          </cell>
        </row>
        <row r="928">
          <cell r="BA928" t="str">
            <v>.</v>
          </cell>
        </row>
        <row r="929">
          <cell r="BA929" t="str">
            <v>.</v>
          </cell>
        </row>
        <row r="930">
          <cell r="BA930" t="str">
            <v>.</v>
          </cell>
        </row>
        <row r="931">
          <cell r="BA931" t="str">
            <v>.</v>
          </cell>
        </row>
        <row r="932">
          <cell r="BA932" t="str">
            <v>.</v>
          </cell>
        </row>
        <row r="933">
          <cell r="BA933" t="str">
            <v>.</v>
          </cell>
        </row>
        <row r="934">
          <cell r="BA934" t="str">
            <v>.</v>
          </cell>
        </row>
        <row r="935">
          <cell r="BA935" t="str">
            <v>.</v>
          </cell>
        </row>
        <row r="936">
          <cell r="BA936" t="str">
            <v>.</v>
          </cell>
        </row>
        <row r="937">
          <cell r="BA937" t="str">
            <v>.</v>
          </cell>
        </row>
        <row r="938">
          <cell r="BA938" t="str">
            <v>.</v>
          </cell>
        </row>
        <row r="939">
          <cell r="BA939" t="str">
            <v>.</v>
          </cell>
        </row>
        <row r="940">
          <cell r="BA940" t="str">
            <v>.</v>
          </cell>
        </row>
        <row r="941">
          <cell r="BA941" t="str">
            <v>.</v>
          </cell>
        </row>
        <row r="942">
          <cell r="BA942" t="str">
            <v>.</v>
          </cell>
        </row>
        <row r="943">
          <cell r="BA943" t="str">
            <v>.</v>
          </cell>
        </row>
        <row r="944">
          <cell r="BA944" t="str">
            <v>.</v>
          </cell>
        </row>
        <row r="945">
          <cell r="BA945" t="str">
            <v>.</v>
          </cell>
        </row>
        <row r="946">
          <cell r="BA946" t="str">
            <v>.</v>
          </cell>
        </row>
        <row r="947">
          <cell r="BA947" t="str">
            <v>.</v>
          </cell>
        </row>
        <row r="948">
          <cell r="BA948" t="str">
            <v>.</v>
          </cell>
        </row>
        <row r="949">
          <cell r="BA949" t="str">
            <v>.</v>
          </cell>
        </row>
        <row r="950">
          <cell r="BA950" t="str">
            <v>.</v>
          </cell>
        </row>
        <row r="951">
          <cell r="BA951" t="str">
            <v>.</v>
          </cell>
        </row>
        <row r="952">
          <cell r="BA952" t="str">
            <v>.</v>
          </cell>
        </row>
        <row r="953">
          <cell r="BA953" t="str">
            <v>.</v>
          </cell>
        </row>
        <row r="954">
          <cell r="BA954" t="str">
            <v>.</v>
          </cell>
        </row>
        <row r="955">
          <cell r="BA955" t="str">
            <v>.</v>
          </cell>
        </row>
        <row r="956">
          <cell r="BA956" t="str">
            <v>.</v>
          </cell>
        </row>
        <row r="957">
          <cell r="BA957" t="str">
            <v>.</v>
          </cell>
        </row>
        <row r="958">
          <cell r="BA958" t="str">
            <v>.</v>
          </cell>
        </row>
        <row r="959">
          <cell r="BA959" t="str">
            <v>.</v>
          </cell>
        </row>
        <row r="960">
          <cell r="BA960" t="str">
            <v>.</v>
          </cell>
        </row>
        <row r="961">
          <cell r="BA961" t="str">
            <v>.</v>
          </cell>
        </row>
        <row r="962">
          <cell r="BA962" t="str">
            <v>.</v>
          </cell>
        </row>
        <row r="963">
          <cell r="BA963" t="str">
            <v>.</v>
          </cell>
        </row>
        <row r="964">
          <cell r="BA964" t="str">
            <v>.</v>
          </cell>
        </row>
        <row r="965">
          <cell r="BA965" t="str">
            <v>.</v>
          </cell>
        </row>
        <row r="966">
          <cell r="BA966" t="str">
            <v>.</v>
          </cell>
        </row>
        <row r="967">
          <cell r="BA967" t="str">
            <v>.</v>
          </cell>
        </row>
        <row r="968">
          <cell r="BA968" t="str">
            <v>.</v>
          </cell>
        </row>
        <row r="969">
          <cell r="BA969" t="str">
            <v>.</v>
          </cell>
        </row>
        <row r="970">
          <cell r="BA970" t="str">
            <v>.</v>
          </cell>
        </row>
        <row r="971">
          <cell r="BA971" t="str">
            <v>.</v>
          </cell>
        </row>
        <row r="972">
          <cell r="BA972" t="str">
            <v>.</v>
          </cell>
        </row>
        <row r="973">
          <cell r="BA973" t="str">
            <v>.</v>
          </cell>
        </row>
        <row r="974">
          <cell r="BA974" t="str">
            <v>.</v>
          </cell>
        </row>
        <row r="975">
          <cell r="BA975" t="str">
            <v>.</v>
          </cell>
        </row>
        <row r="976">
          <cell r="BA976" t="str">
            <v>.</v>
          </cell>
        </row>
        <row r="977">
          <cell r="BA977" t="str">
            <v>.</v>
          </cell>
        </row>
        <row r="978">
          <cell r="BA978" t="str">
            <v>.</v>
          </cell>
        </row>
        <row r="979">
          <cell r="BA979" t="str">
            <v>.</v>
          </cell>
        </row>
        <row r="980">
          <cell r="BA980" t="str">
            <v>.</v>
          </cell>
        </row>
        <row r="981">
          <cell r="BA981" t="str">
            <v>.</v>
          </cell>
        </row>
        <row r="982">
          <cell r="BA982" t="str">
            <v>.</v>
          </cell>
        </row>
        <row r="983">
          <cell r="BA983" t="str">
            <v>.</v>
          </cell>
        </row>
        <row r="984">
          <cell r="BA984" t="str">
            <v>.</v>
          </cell>
        </row>
        <row r="985">
          <cell r="BA985" t="str">
            <v>.</v>
          </cell>
        </row>
        <row r="986">
          <cell r="BA986" t="str">
            <v>.</v>
          </cell>
        </row>
        <row r="987">
          <cell r="BA987" t="str">
            <v>.</v>
          </cell>
        </row>
        <row r="988">
          <cell r="BA988" t="str">
            <v>.</v>
          </cell>
        </row>
        <row r="989">
          <cell r="BA989" t="str">
            <v>.</v>
          </cell>
        </row>
        <row r="990">
          <cell r="BA990" t="str">
            <v>.</v>
          </cell>
        </row>
        <row r="991">
          <cell r="BA991" t="str">
            <v>.</v>
          </cell>
        </row>
        <row r="992">
          <cell r="BA992" t="str">
            <v>.</v>
          </cell>
        </row>
        <row r="993">
          <cell r="BA993" t="str">
            <v>.</v>
          </cell>
        </row>
        <row r="994">
          <cell r="BA994" t="str">
            <v>.</v>
          </cell>
        </row>
        <row r="995">
          <cell r="BA995" t="str">
            <v>.</v>
          </cell>
        </row>
        <row r="996">
          <cell r="BA996" t="str">
            <v>.</v>
          </cell>
        </row>
        <row r="997">
          <cell r="BA997" t="str">
            <v>.</v>
          </cell>
        </row>
        <row r="998">
          <cell r="A998" t="str">
            <v>.</v>
          </cell>
          <cell r="B998" t="str">
            <v>.</v>
          </cell>
          <cell r="C998" t="str">
            <v>.</v>
          </cell>
          <cell r="D998" t="str">
            <v>.</v>
          </cell>
          <cell r="E998" t="str">
            <v>.</v>
          </cell>
          <cell r="G998" t="str">
            <v>.</v>
          </cell>
          <cell r="H998" t="str">
            <v>.</v>
          </cell>
          <cell r="I998" t="str">
            <v>.</v>
          </cell>
          <cell r="S998" t="str">
            <v>.</v>
          </cell>
          <cell r="T998" t="str">
            <v>.</v>
          </cell>
          <cell r="U998" t="str">
            <v>.</v>
          </cell>
          <cell r="V998" t="str">
            <v>.</v>
          </cell>
          <cell r="W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cell r="AV998" t="str">
            <v>.</v>
          </cell>
          <cell r="AW998" t="str">
            <v>.</v>
          </cell>
          <cell r="AX998" t="str">
            <v>.</v>
          </cell>
          <cell r="AY998" t="str">
            <v>.</v>
          </cell>
          <cell r="AZ998" t="str">
            <v>.</v>
          </cell>
          <cell r="BA998"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amp;EuroEarnings"/>
      <sheetName val="Upstream"/>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WACC"/>
      <sheetName val="Sheet1"/>
      <sheetName val="Fixed Line Mkt"/>
      <sheetName val="Cash Flow"/>
      <sheetName val="upside_downside"/>
      <sheetName val="Income Statement"/>
      <sheetName val="Balance Sheet"/>
      <sheetName val="Valsum"/>
      <sheetName val="Operating Leases tagged"/>
      <sheetName val="DCF"/>
      <sheetName val="OP"/>
      <sheetName val="Inputs"/>
      <sheetName val="MWA RR"/>
      <sheetName val="Summary"/>
      <sheetName val="IS"/>
      <sheetName val="exh 11"/>
      <sheetName val="exh 14"/>
      <sheetName val="exh 12"/>
      <sheetName val="exh 10"/>
      <sheetName val="exh 1 and 5"/>
      <sheetName val="exh 15"/>
      <sheetName val="exh 3"/>
      <sheetName val="exh 9"/>
      <sheetName val="Good 12-00 (2)"/>
      <sheetName val="Good 11-36"/>
      <sheetName val="Good 11-50"/>
      <sheetName val="Sheet3 (5)"/>
      <sheetName val="Total_Production"/>
      <sheetName val="RFS"/>
      <sheetName val="Corn_Uses"/>
      <sheetName val="US_Production"/>
      <sheetName val="Risk-Reward_View_Chart"/>
      <sheetName val="variables"/>
      <sheetName val="IS Quarterly"/>
      <sheetName val="Sheet1 (2)"/>
      <sheetName val="1Q11 Preview"/>
      <sheetName val="2Q11 Preview"/>
      <sheetName val="Model"/>
      <sheetName val="Intrinsic Value"/>
      <sheetName val="Rev by Geo"/>
      <sheetName val="Report template"/>
      <sheetName val="Model (WIP)"/>
      <sheetName val="sales bkd"/>
      <sheetName val="Exclusion List"/>
      <sheetName val="fin"/>
      <sheetName val="Presentation"/>
      <sheetName val="Valuation"/>
      <sheetName val="Relative Valuation table_OLD"/>
      <sheetName val="Report (2)"/>
      <sheetName val="Margin Chart"/>
      <sheetName val="Buyback Chart"/>
      <sheetName val="CFS"/>
      <sheetName val="DCF_Residual Inc 09"/>
      <sheetName val="DCF_Residual Inc"/>
      <sheetName val="BS"/>
      <sheetName val="REIT metrics"/>
      <sheetName val="KPN"/>
      <sheetName val="Real"/>
      <sheetName val="PB"/>
      <sheetName val="EVEBITDA"/>
      <sheetName val="EVEBITDA (2)"/>
      <sheetName val="PE"/>
      <sheetName val="ChatData(C)"/>
      <sheetName val="Market shr summary"/>
      <sheetName val="Customer breakdown"/>
      <sheetName val="Sales Breakdown"/>
      <sheetName val="Sheet3"/>
      <sheetName val="Projections"/>
      <sheetName val="PXP"/>
      <sheetName val="EARNINGS"/>
      <sheetName val="New Source Charts"/>
      <sheetName val="Modelware"/>
      <sheetName val="Segment ROCE"/>
      <sheetName val="COP"/>
      <sheetName val="R&amp;MIS"/>
      <sheetName val="E&amp;P Growth &amp; Returns"/>
      <sheetName val="BUSINESS"/>
      <sheetName val="Ace-Out"/>
      <sheetName val="AFFILIATES (2)"/>
      <sheetName val="Scenario"/>
      <sheetName val="Trading Stats"/>
      <sheetName val="Liens data"/>
      <sheetName val="Grille"/>
      <sheetName val="Financials - Presentation"/>
      <sheetName val="Geographic Breakout"/>
      <sheetName val="Portfolio Manager's Snapshot"/>
      <sheetName val="GAP"/>
      <sheetName val="Quarterly Financial Model"/>
      <sheetName val="Inc Stmt"/>
    </sheetNames>
    <sheetDataSet>
      <sheetData sheetId="0" refreshError="1">
        <row r="14">
          <cell r="AR14">
            <v>28</v>
          </cell>
        </row>
        <row r="15">
          <cell r="AR15">
            <v>5</v>
          </cell>
        </row>
        <row r="16">
          <cell r="AR16">
            <v>14</v>
          </cell>
        </row>
        <row r="17">
          <cell r="AR17">
            <v>6</v>
          </cell>
        </row>
        <row r="18">
          <cell r="AR18">
            <v>-5</v>
          </cell>
        </row>
        <row r="512">
          <cell r="B512" t="str">
            <v>売上高</v>
          </cell>
          <cell r="D512" t="str">
            <v>M\</v>
          </cell>
          <cell r="Q512">
            <v>210000</v>
          </cell>
          <cell r="R512">
            <v>105000</v>
          </cell>
          <cell r="S512">
            <v>105000</v>
          </cell>
          <cell r="T512">
            <v>210000</v>
          </cell>
          <cell r="U512">
            <v>105000</v>
          </cell>
          <cell r="V512">
            <v>105000</v>
          </cell>
          <cell r="W512">
            <v>210000</v>
          </cell>
          <cell r="X512">
            <v>93000</v>
          </cell>
          <cell r="Y512">
            <v>100000</v>
          </cell>
          <cell r="Z512">
            <v>193000</v>
          </cell>
          <cell r="AA512">
            <v>91000</v>
          </cell>
          <cell r="AB512">
            <v>94000</v>
          </cell>
          <cell r="AC512">
            <v>185000</v>
          </cell>
        </row>
        <row r="513">
          <cell r="B513" t="str">
            <v>営業利益</v>
          </cell>
          <cell r="D513" t="str">
            <v>M\</v>
          </cell>
          <cell r="Q513">
            <v>8000</v>
          </cell>
          <cell r="R513">
            <v>5000</v>
          </cell>
          <cell r="S513">
            <v>5000</v>
          </cell>
          <cell r="T513">
            <v>10000</v>
          </cell>
          <cell r="V513">
            <v>0</v>
          </cell>
          <cell r="X513">
            <v>3000</v>
          </cell>
          <cell r="Y513">
            <v>4500</v>
          </cell>
          <cell r="Z513">
            <v>7500</v>
          </cell>
          <cell r="AA513">
            <v>3300</v>
          </cell>
          <cell r="AB513">
            <v>4400</v>
          </cell>
          <cell r="AC513">
            <v>7700</v>
          </cell>
        </row>
        <row r="514">
          <cell r="B514" t="str">
            <v>経常利益</v>
          </cell>
          <cell r="D514" t="str">
            <v>M\</v>
          </cell>
          <cell r="Q514">
            <v>6000</v>
          </cell>
          <cell r="R514">
            <v>4000</v>
          </cell>
          <cell r="S514">
            <v>4000</v>
          </cell>
          <cell r="T514">
            <v>8000</v>
          </cell>
          <cell r="U514">
            <v>3600</v>
          </cell>
          <cell r="V514">
            <v>3600</v>
          </cell>
          <cell r="W514">
            <v>7200</v>
          </cell>
          <cell r="X514">
            <v>2000</v>
          </cell>
          <cell r="Y514">
            <v>3000</v>
          </cell>
          <cell r="Z514">
            <v>5000</v>
          </cell>
          <cell r="AA514">
            <v>2500</v>
          </cell>
          <cell r="AB514">
            <v>3500</v>
          </cell>
          <cell r="AC514">
            <v>6000</v>
          </cell>
        </row>
        <row r="515">
          <cell r="B515" t="str">
            <v>当期利益</v>
          </cell>
          <cell r="D515" t="str">
            <v>M\</v>
          </cell>
          <cell r="Q515">
            <v>3000</v>
          </cell>
          <cell r="R515">
            <v>2000</v>
          </cell>
          <cell r="S515">
            <v>2000</v>
          </cell>
          <cell r="T515">
            <v>4000</v>
          </cell>
          <cell r="U515">
            <v>2000</v>
          </cell>
          <cell r="V515">
            <v>2000</v>
          </cell>
          <cell r="W515">
            <v>4000</v>
          </cell>
          <cell r="X515">
            <v>1200</v>
          </cell>
          <cell r="Y515">
            <v>1600</v>
          </cell>
          <cell r="Z515">
            <v>2800</v>
          </cell>
          <cell r="AA515">
            <v>1300</v>
          </cell>
          <cell r="AB515">
            <v>1700</v>
          </cell>
          <cell r="AC515">
            <v>3000</v>
          </cell>
        </row>
        <row r="516">
          <cell r="D516" t="str">
            <v xml:space="preserve"> </v>
          </cell>
        </row>
        <row r="517">
          <cell r="A517" t="str">
            <v>中間決算後の会社予想</v>
          </cell>
          <cell r="D517" t="str">
            <v xml:space="preserve"> </v>
          </cell>
          <cell r="Q517" t="str">
            <v>97/3期</v>
          </cell>
          <cell r="R517" t="str">
            <v>97/9上</v>
          </cell>
          <cell r="S517" t="str">
            <v>下</v>
          </cell>
          <cell r="T517" t="str">
            <v>98/3期</v>
          </cell>
          <cell r="U517" t="str">
            <v>98/9上</v>
          </cell>
          <cell r="V517" t="str">
            <v>下</v>
          </cell>
          <cell r="W517" t="str">
            <v>99/3期</v>
          </cell>
          <cell r="Z517" t="str">
            <v>00/3期</v>
          </cell>
          <cell r="AC517" t="str">
            <v>01/3期</v>
          </cell>
        </row>
        <row r="518">
          <cell r="B518" t="str">
            <v>売上高</v>
          </cell>
          <cell r="D518" t="str">
            <v>M\</v>
          </cell>
          <cell r="Q518">
            <v>200000</v>
          </cell>
          <cell r="S518">
            <v>109491</v>
          </cell>
          <cell r="T518">
            <v>222000</v>
          </cell>
          <cell r="U518">
            <v>104114</v>
          </cell>
          <cell r="V518">
            <v>105886</v>
          </cell>
          <cell r="W518">
            <v>210000</v>
          </cell>
          <cell r="X518">
            <v>91000</v>
          </cell>
          <cell r="Y518">
            <v>93000</v>
          </cell>
          <cell r="Z518">
            <v>184000</v>
          </cell>
          <cell r="AA518">
            <v>92800</v>
          </cell>
          <cell r="AB518">
            <v>94200</v>
          </cell>
          <cell r="AC518">
            <v>187000</v>
          </cell>
        </row>
        <row r="519">
          <cell r="B519" t="str">
            <v>営業利益</v>
          </cell>
          <cell r="D519" t="str">
            <v>M\</v>
          </cell>
          <cell r="Q519">
            <v>7500</v>
          </cell>
          <cell r="S519">
            <v>5552</v>
          </cell>
          <cell r="T519">
            <v>11000</v>
          </cell>
          <cell r="U519">
            <v>4811</v>
          </cell>
          <cell r="V519">
            <v>5689</v>
          </cell>
          <cell r="W519">
            <v>10500</v>
          </cell>
          <cell r="X519">
            <v>750</v>
          </cell>
          <cell r="Y519">
            <v>2350</v>
          </cell>
          <cell r="Z519">
            <v>3100</v>
          </cell>
          <cell r="AA519">
            <v>4000</v>
          </cell>
          <cell r="AB519">
            <v>4600</v>
          </cell>
          <cell r="AC519">
            <v>8600</v>
          </cell>
        </row>
        <row r="520">
          <cell r="B520" t="str">
            <v>経常利益</v>
          </cell>
          <cell r="D520" t="str">
            <v>M\</v>
          </cell>
          <cell r="Q520">
            <v>6000</v>
          </cell>
          <cell r="S520">
            <v>4344</v>
          </cell>
          <cell r="T520">
            <v>8500</v>
          </cell>
          <cell r="U520">
            <v>2863</v>
          </cell>
          <cell r="V520">
            <v>4337</v>
          </cell>
          <cell r="W520">
            <v>7200</v>
          </cell>
          <cell r="X520">
            <v>1200</v>
          </cell>
          <cell r="Y520">
            <v>1300</v>
          </cell>
          <cell r="Z520">
            <v>2500</v>
          </cell>
          <cell r="AA520">
            <v>3200</v>
          </cell>
          <cell r="AB520">
            <v>3800</v>
          </cell>
          <cell r="AC520">
            <v>7000</v>
          </cell>
        </row>
        <row r="521">
          <cell r="B521" t="str">
            <v>当期利益</v>
          </cell>
          <cell r="D521" t="str">
            <v>M\</v>
          </cell>
          <cell r="Q521">
            <v>3000</v>
          </cell>
          <cell r="S521">
            <v>1985</v>
          </cell>
          <cell r="T521">
            <v>4500</v>
          </cell>
          <cell r="U521">
            <v>1269</v>
          </cell>
          <cell r="V521">
            <v>2731</v>
          </cell>
          <cell r="W521">
            <v>4000</v>
          </cell>
          <cell r="X521">
            <v>900</v>
          </cell>
          <cell r="Y521">
            <v>700</v>
          </cell>
          <cell r="Z521">
            <v>1600</v>
          </cell>
          <cell r="AA521">
            <v>1700</v>
          </cell>
          <cell r="AB521">
            <v>1800</v>
          </cell>
          <cell r="AC521">
            <v>3500</v>
          </cell>
        </row>
        <row r="522">
          <cell r="D522" t="str">
            <v xml:space="preserve"> </v>
          </cell>
        </row>
        <row r="523">
          <cell r="A523" t="str">
            <v>修正後の会社予想</v>
          </cell>
          <cell r="D523" t="str">
            <v xml:space="preserve"> </v>
          </cell>
          <cell r="Q523" t="str">
            <v>97/3期</v>
          </cell>
          <cell r="R523" t="str">
            <v>97/9上</v>
          </cell>
          <cell r="S523" t="str">
            <v>下</v>
          </cell>
          <cell r="T523" t="str">
            <v>98/3期</v>
          </cell>
          <cell r="U523" t="str">
            <v>98/9上</v>
          </cell>
          <cell r="V523" t="str">
            <v>下</v>
          </cell>
          <cell r="W523" t="str">
            <v>99/3期</v>
          </cell>
          <cell r="Z523" t="str">
            <v>00/3期</v>
          </cell>
          <cell r="AC523" t="str">
            <v>01/3期</v>
          </cell>
        </row>
        <row r="524">
          <cell r="B524" t="str">
            <v>売上高</v>
          </cell>
          <cell r="D524" t="str">
            <v>M\</v>
          </cell>
          <cell r="U524">
            <v>112509</v>
          </cell>
          <cell r="V524">
            <v>82491</v>
          </cell>
          <cell r="W524">
            <v>195000</v>
          </cell>
          <cell r="X524">
            <v>92411</v>
          </cell>
          <cell r="Y524">
            <v>91589</v>
          </cell>
          <cell r="Z524">
            <v>184000</v>
          </cell>
          <cell r="AC524">
            <v>188600</v>
          </cell>
        </row>
        <row r="525">
          <cell r="B525" t="str">
            <v>営業利益</v>
          </cell>
          <cell r="D525" t="str">
            <v>M\</v>
          </cell>
          <cell r="U525">
            <v>5448</v>
          </cell>
          <cell r="V525">
            <v>-5448</v>
          </cell>
          <cell r="W525" t="str">
            <v>-</v>
          </cell>
          <cell r="X525">
            <v>739</v>
          </cell>
          <cell r="Y525">
            <v>2261</v>
          </cell>
          <cell r="Z525">
            <v>3000</v>
          </cell>
          <cell r="AC525">
            <v>8500</v>
          </cell>
        </row>
        <row r="526">
          <cell r="B526" t="str">
            <v>経常利益</v>
          </cell>
          <cell r="D526" t="str">
            <v>M\</v>
          </cell>
          <cell r="U526">
            <v>4156</v>
          </cell>
          <cell r="V526">
            <v>1144</v>
          </cell>
          <cell r="W526">
            <v>5300</v>
          </cell>
          <cell r="X526">
            <v>1209</v>
          </cell>
          <cell r="Y526">
            <v>1291</v>
          </cell>
          <cell r="Z526">
            <v>2500</v>
          </cell>
          <cell r="AC526">
            <v>7000</v>
          </cell>
        </row>
        <row r="527">
          <cell r="B527" t="str">
            <v>当期利益</v>
          </cell>
          <cell r="D527" t="str">
            <v>M\</v>
          </cell>
          <cell r="U527">
            <v>2515</v>
          </cell>
          <cell r="V527">
            <v>-1515</v>
          </cell>
          <cell r="W527">
            <v>1000</v>
          </cell>
          <cell r="X527">
            <v>1015</v>
          </cell>
          <cell r="Y527">
            <v>585</v>
          </cell>
          <cell r="Z527">
            <v>1600</v>
          </cell>
          <cell r="AC527">
            <v>3500</v>
          </cell>
        </row>
        <row r="529">
          <cell r="A529" t="str">
            <v>自分の業績予想の要約</v>
          </cell>
          <cell r="D529" t="str">
            <v xml:space="preserve"> </v>
          </cell>
          <cell r="Q529" t="str">
            <v>97/3期</v>
          </cell>
          <cell r="R529" t="str">
            <v>97/9上</v>
          </cell>
          <cell r="S529" t="str">
            <v>下</v>
          </cell>
          <cell r="T529" t="str">
            <v>98/3期</v>
          </cell>
          <cell r="U529" t="str">
            <v>98/9上</v>
          </cell>
          <cell r="V529" t="str">
            <v>下</v>
          </cell>
          <cell r="W529" t="str">
            <v>99/3期</v>
          </cell>
          <cell r="Z529" t="str">
            <v>00/3期</v>
          </cell>
          <cell r="AC529" t="str">
            <v>01/3期</v>
          </cell>
        </row>
        <row r="530">
          <cell r="B530" t="str">
            <v>売上高</v>
          </cell>
          <cell r="D530" t="str">
            <v>M\</v>
          </cell>
          <cell r="Q530">
            <v>212588</v>
          </cell>
          <cell r="R530">
            <v>112509</v>
          </cell>
          <cell r="S530">
            <v>108769</v>
          </cell>
          <cell r="T530">
            <v>221278</v>
          </cell>
          <cell r="U530">
            <v>104114</v>
          </cell>
          <cell r="V530">
            <v>105886</v>
          </cell>
          <cell r="W530">
            <v>196247</v>
          </cell>
          <cell r="X530">
            <v>92411</v>
          </cell>
          <cell r="Y530">
            <v>94325</v>
          </cell>
          <cell r="Z530">
            <v>186736</v>
          </cell>
          <cell r="AA530">
            <v>93449</v>
          </cell>
          <cell r="AB530">
            <v>95973</v>
          </cell>
          <cell r="AC530">
            <v>189422</v>
          </cell>
        </row>
        <row r="531">
          <cell r="B531" t="str">
            <v>営業利益</v>
          </cell>
          <cell r="D531" t="str">
            <v>M\</v>
          </cell>
          <cell r="Q531">
            <v>8473</v>
          </cell>
          <cell r="R531">
            <v>5448</v>
          </cell>
          <cell r="S531">
            <v>6280</v>
          </cell>
          <cell r="T531">
            <v>11728</v>
          </cell>
          <cell r="U531">
            <v>4811</v>
          </cell>
          <cell r="V531">
            <v>-4811</v>
          </cell>
          <cell r="W531">
            <v>9099</v>
          </cell>
          <cell r="X531">
            <v>739</v>
          </cell>
          <cell r="Y531">
            <v>2937</v>
          </cell>
          <cell r="Z531">
            <v>3676</v>
          </cell>
          <cell r="AA531">
            <v>3823</v>
          </cell>
          <cell r="AB531">
            <v>4774</v>
          </cell>
          <cell r="AC531">
            <v>8597</v>
          </cell>
        </row>
        <row r="532">
          <cell r="B532" t="str">
            <v>経常利益</v>
          </cell>
          <cell r="D532" t="str">
            <v>M\</v>
          </cell>
          <cell r="Q532">
            <v>6780</v>
          </cell>
          <cell r="R532">
            <v>4156</v>
          </cell>
          <cell r="S532">
            <v>4254</v>
          </cell>
          <cell r="T532">
            <v>8410</v>
          </cell>
          <cell r="U532">
            <v>2863</v>
          </cell>
          <cell r="V532">
            <v>4337</v>
          </cell>
          <cell r="W532">
            <v>5436</v>
          </cell>
          <cell r="X532">
            <v>1209</v>
          </cell>
          <cell r="Y532">
            <v>2206</v>
          </cell>
          <cell r="Z532">
            <v>3415</v>
          </cell>
          <cell r="AA532">
            <v>3188</v>
          </cell>
          <cell r="AB532">
            <v>4246</v>
          </cell>
          <cell r="AC532">
            <v>7434</v>
          </cell>
        </row>
        <row r="533">
          <cell r="B533" t="str">
            <v>当期利益</v>
          </cell>
          <cell r="D533" t="str">
            <v>M\</v>
          </cell>
          <cell r="Q533">
            <v>2642</v>
          </cell>
          <cell r="R533">
            <v>2515</v>
          </cell>
          <cell r="S533">
            <v>1930</v>
          </cell>
          <cell r="T533">
            <v>4445</v>
          </cell>
          <cell r="U533">
            <v>1269</v>
          </cell>
          <cell r="V533">
            <v>2731</v>
          </cell>
          <cell r="W533">
            <v>1249</v>
          </cell>
          <cell r="X533">
            <v>1015</v>
          </cell>
          <cell r="Y533">
            <v>-371</v>
          </cell>
          <cell r="Z533">
            <v>644</v>
          </cell>
          <cell r="AA533">
            <v>1886</v>
          </cell>
          <cell r="AB533">
            <v>1735</v>
          </cell>
          <cell r="AC533">
            <v>3621</v>
          </cell>
        </row>
        <row r="534">
          <cell r="B534" t="str">
            <v>ｷｬｯｼｭﾌﾛｰ</v>
          </cell>
          <cell r="D534" t="str">
            <v>M\</v>
          </cell>
          <cell r="Q534">
            <v>6569</v>
          </cell>
          <cell r="T534">
            <v>8397</v>
          </cell>
          <cell r="W534">
            <v>5219</v>
          </cell>
          <cell r="X534">
            <v>0</v>
          </cell>
          <cell r="Y534">
            <v>0</v>
          </cell>
          <cell r="Z534">
            <v>5272</v>
          </cell>
          <cell r="AA534">
            <v>0</v>
          </cell>
          <cell r="AB534">
            <v>0</v>
          </cell>
          <cell r="AC534">
            <v>7744</v>
          </cell>
        </row>
        <row r="535">
          <cell r="B535" t="str">
            <v>ＥＰＳ</v>
          </cell>
          <cell r="D535" t="str">
            <v xml:space="preserve"> </v>
          </cell>
          <cell r="Q535">
            <v>9.3778729053303369</v>
          </cell>
          <cell r="T535">
            <v>15.777685489853653</v>
          </cell>
          <cell r="W535">
            <v>4.4585484502642458</v>
          </cell>
          <cell r="X535">
            <v>0</v>
          </cell>
          <cell r="Y535">
            <v>0</v>
          </cell>
          <cell r="Z535">
            <v>2.3091291751816403</v>
          </cell>
          <cell r="AA535">
            <v>0</v>
          </cell>
          <cell r="AB535">
            <v>0</v>
          </cell>
          <cell r="AC535">
            <v>12.474266786471992</v>
          </cell>
        </row>
        <row r="536">
          <cell r="B536" t="str">
            <v>ＣＦＰＳ</v>
          </cell>
          <cell r="Q536">
            <v>23.316898983767974</v>
          </cell>
          <cell r="T536">
            <v>29.805449956873144</v>
          </cell>
          <cell r="W536">
            <v>18.63023567808575</v>
          </cell>
          <cell r="X536">
            <v>0</v>
          </cell>
          <cell r="Y536">
            <v>0</v>
          </cell>
          <cell r="Z536">
            <v>18.903305918567714</v>
          </cell>
          <cell r="AA536">
            <v>0</v>
          </cell>
          <cell r="AB536">
            <v>0</v>
          </cell>
          <cell r="AC536">
            <v>26.677912729753963</v>
          </cell>
        </row>
        <row r="537">
          <cell r="B537" t="str">
            <v>ＢＰＳ</v>
          </cell>
          <cell r="D537" t="str">
            <v xml:space="preserve"> </v>
          </cell>
          <cell r="Q537">
            <v>274.47138541921788</v>
          </cell>
          <cell r="T537">
            <v>285.04545180263165</v>
          </cell>
          <cell r="W537">
            <v>283.40518700030344</v>
          </cell>
          <cell r="X537">
            <v>0</v>
          </cell>
          <cell r="Y537">
            <v>0</v>
          </cell>
          <cell r="Z537">
            <v>284.88701918588026</v>
          </cell>
          <cell r="AA537">
            <v>0</v>
          </cell>
          <cell r="AB537">
            <v>0</v>
          </cell>
          <cell r="AC537">
            <v>301.13934185933795</v>
          </cell>
        </row>
        <row r="538">
          <cell r="B538" t="str">
            <v>ＲＯＥ</v>
          </cell>
          <cell r="D538" t="str">
            <v xml:space="preserve"> </v>
          </cell>
          <cell r="Q538">
            <v>3.4167033080723171E-2</v>
          </cell>
          <cell r="T538">
            <v>5.5351472511051616E-2</v>
          </cell>
          <cell r="W538">
            <v>1.5732063683998387E-2</v>
          </cell>
          <cell r="X538">
            <v>0</v>
          </cell>
          <cell r="Y538">
            <v>0</v>
          </cell>
          <cell r="Z538">
            <v>8.1054208148213392E-3</v>
          </cell>
          <cell r="AA538">
            <v>0</v>
          </cell>
          <cell r="AB538">
            <v>0</v>
          </cell>
          <cell r="AC538">
            <v>4.1423570595099185E-2</v>
          </cell>
        </row>
        <row r="539">
          <cell r="B539" t="str">
            <v>発行済株式数</v>
          </cell>
          <cell r="D539" t="str">
            <v xml:space="preserve"> </v>
          </cell>
          <cell r="Q539">
            <v>281727</v>
          </cell>
          <cell r="T539">
            <v>281727</v>
          </cell>
          <cell r="W539">
            <v>280136.016</v>
          </cell>
          <cell r="X539">
            <v>0</v>
          </cell>
          <cell r="Y539">
            <v>0</v>
          </cell>
          <cell r="Z539">
            <v>278893.016</v>
          </cell>
          <cell r="AA539">
            <v>0</v>
          </cell>
          <cell r="AB539">
            <v>0</v>
          </cell>
          <cell r="AC539">
            <v>290277.58199999999</v>
          </cell>
        </row>
        <row r="540">
          <cell r="C540" t="str">
            <v>売上前期比</v>
          </cell>
          <cell r="D540" t="str">
            <v xml:space="preserve"> </v>
          </cell>
          <cell r="T540">
            <v>4.0877189681449488E-2</v>
          </cell>
          <cell r="U540">
            <v>-7.461625292198848E-2</v>
          </cell>
          <cell r="V540">
            <v>-2.6505713944230402E-2</v>
          </cell>
          <cell r="W540">
            <v>-0.11312014750675625</v>
          </cell>
          <cell r="X540">
            <v>-0.11240563228768463</v>
          </cell>
          <cell r="Y540">
            <v>-0.10918346145854974</v>
          </cell>
          <cell r="Z540">
            <v>-4.8464435125122884E-2</v>
          </cell>
          <cell r="AA540">
            <v>1.1232429039832903E-2</v>
          </cell>
          <cell r="AB540">
            <v>1.7471508083753085E-2</v>
          </cell>
          <cell r="AC540">
            <v>1.4383943106845987E-2</v>
          </cell>
        </row>
        <row r="541">
          <cell r="C541" t="str">
            <v>営業前期比</v>
          </cell>
          <cell r="D541" t="str">
            <v xml:space="preserve"> </v>
          </cell>
          <cell r="T541">
            <v>0.38416145403044966</v>
          </cell>
          <cell r="U541">
            <v>-0.11692364170337743</v>
          </cell>
          <cell r="V541">
            <v>-1.7660828025477708</v>
          </cell>
          <cell r="W541">
            <v>-0.22416439290586632</v>
          </cell>
          <cell r="X541">
            <v>-0.84639368114737057</v>
          </cell>
          <cell r="Y541">
            <v>-1.6104759925171481</v>
          </cell>
          <cell r="Z541">
            <v>-0.59599956039125179</v>
          </cell>
          <cell r="AA541">
            <v>4.1732070365358593</v>
          </cell>
          <cell r="AB541">
            <v>0.62546816479400746</v>
          </cell>
          <cell r="AC541">
            <v>1.3386833514689882</v>
          </cell>
        </row>
        <row r="542">
          <cell r="C542" t="str">
            <v>経常前期比</v>
          </cell>
          <cell r="D542" t="str">
            <v xml:space="preserve"> </v>
          </cell>
          <cell r="T542">
            <v>0.24041297935103234</v>
          </cell>
          <cell r="U542">
            <v>-0.31111645813282007</v>
          </cell>
          <cell r="V542">
            <v>1.9511048425011834E-2</v>
          </cell>
          <cell r="W542">
            <v>-0.35362663495838287</v>
          </cell>
          <cell r="X542">
            <v>-0.57771568285015718</v>
          </cell>
          <cell r="Y542">
            <v>-0.49135347014065023</v>
          </cell>
          <cell r="Z542">
            <v>-0.37178072111846949</v>
          </cell>
          <cell r="AA542">
            <v>1.6368899917287014</v>
          </cell>
          <cell r="AB542">
            <v>0.92475067996373528</v>
          </cell>
          <cell r="AC542">
            <v>1.1768667642752564</v>
          </cell>
        </row>
        <row r="543">
          <cell r="C543" t="str">
            <v>当期前期比</v>
          </cell>
          <cell r="D543" t="str">
            <v xml:space="preserve"> </v>
          </cell>
          <cell r="I543" t="str">
            <v>-</v>
          </cell>
          <cell r="J543" t="str">
            <v>-</v>
          </cell>
          <cell r="K543" t="str">
            <v>-</v>
          </cell>
          <cell r="T543">
            <v>0.68243754731264183</v>
          </cell>
          <cell r="U543">
            <v>-0.49542743538767398</v>
          </cell>
          <cell r="V543">
            <v>0.41502590673575135</v>
          </cell>
          <cell r="W543">
            <v>-0.71901012373453321</v>
          </cell>
          <cell r="X543">
            <v>-0.20015760441292352</v>
          </cell>
          <cell r="Y543">
            <v>-1.1358476748443793</v>
          </cell>
          <cell r="Z543">
            <v>-0.48438751000800639</v>
          </cell>
          <cell r="AA543">
            <v>0.8581280788177339</v>
          </cell>
          <cell r="AB543">
            <v>-5.6765498652291102</v>
          </cell>
          <cell r="AC543">
            <v>4.6226708074534164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4">
          <cell r="E164">
            <v>1247</v>
          </cell>
          <cell r="F164">
            <v>1807</v>
          </cell>
          <cell r="G164">
            <v>2812</v>
          </cell>
          <cell r="H164">
            <v>2828</v>
          </cell>
          <cell r="I164">
            <v>6670</v>
          </cell>
        </row>
        <row r="165">
          <cell r="E165" t="e">
            <v>#VALUE!</v>
          </cell>
          <cell r="F165" t="e">
            <v>#VALUE!</v>
          </cell>
          <cell r="G165" t="e">
            <v>#VALUE!</v>
          </cell>
          <cell r="H165" t="e">
            <v>#VALUE!</v>
          </cell>
          <cell r="I165" t="e">
            <v>#VALUE!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WC"/>
      <sheetName val="UPDATE"/>
      <sheetName val="cnsns"/>
      <sheetName val="trsht"/>
      <sheetName val="1997 Yr var "/>
      <sheetName val="q4 1997 var"/>
      <sheetName val="q1 1998"/>
      <sheetName val="q2 1998 "/>
      <sheetName val="q3 1998"/>
      <sheetName val="q4 1998 "/>
      <sheetName val="q1 1999  revised"/>
      <sheetName val="q1 1999 "/>
      <sheetName val="Q2 1999 VAR"/>
      <sheetName val="3Q 99 VAR"/>
      <sheetName val="4Q 99 VAR"/>
      <sheetName val="1Q 00 VAR"/>
      <sheetName val="2Q 00 VAR"/>
      <sheetName val="3Q 00 VAR"/>
      <sheetName val="Accounts"/>
      <sheetName val="Technology bank"/>
      <sheetName val="Qtrly bal sht"/>
      <sheetName val="qtrly cash flow"/>
      <sheetName val="Regression Auto"/>
      <sheetName val="Regression ALL"/>
      <sheetName val="ODS new"/>
      <sheetName val="old ODS"/>
      <sheetName val="ROA by segment"/>
      <sheetName val="GE Appliance Data"/>
      <sheetName val="sale of occupant safety systems"/>
      <sheetName val="trwlva"/>
      <sheetName val="astrolink"/>
      <sheetName val="Sales_Product"/>
      <sheetName val="breakup"/>
      <sheetName val="Sale-Tear"/>
      <sheetName val="SOTP EBITDA"/>
      <sheetName val="SOTP NI"/>
      <sheetName val="segrevs"/>
      <sheetName val="Sheet1"/>
      <sheetName val="S&amp;Drevca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7">
          <cell r="AT27">
            <v>-225</v>
          </cell>
          <cell r="AU27">
            <v>-225</v>
          </cell>
        </row>
        <row r="31">
          <cell r="AT31">
            <v>0</v>
          </cell>
          <cell r="AU3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WA RR"/>
      <sheetName val="rr sheet"/>
      <sheetName val="Sheet3"/>
      <sheetName val="MW GEG"/>
      <sheetName val="BS"/>
      <sheetName val="KPI's"/>
      <sheetName val="RI Valuation"/>
    </sheetNames>
    <definedNames>
      <definedName name="PRT6BD5BK32"/>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 Pager"/>
      <sheetName val="Rationale - RevVal"/>
      <sheetName val="Calculation"/>
      <sheetName val="Cost Breakup"/>
      <sheetName val="Financials"/>
      <sheetName val="Guidance"/>
      <sheetName val="Distribution"/>
      <sheetName val="Transmission"/>
      <sheetName val="Corporate"/>
      <sheetName val="Debt"/>
      <sheetName val="Consensus"/>
      <sheetName val="Variance Q1'22"/>
      <sheetName val="Reg Assets Liabilities"/>
      <sheetName val="Debt Maturities"/>
      <sheetName val="Key Points"/>
      <sheetName val="Bond Comps"/>
    </sheetNames>
    <sheetDataSet>
      <sheetData sheetId="0">
        <row r="2">
          <cell r="D2" t="str">
            <v>FirstEnergy Corp</v>
          </cell>
        </row>
        <row r="3">
          <cell r="Z3">
            <v>0</v>
          </cell>
        </row>
      </sheetData>
      <sheetData sheetId="1" refreshError="1"/>
      <sheetData sheetId="2" refreshError="1"/>
      <sheetData sheetId="3" refreshError="1"/>
      <sheetData sheetId="4">
        <row r="12">
          <cell r="U12">
            <v>2989</v>
          </cell>
        </row>
      </sheetData>
      <sheetData sheetId="5" refreshError="1"/>
      <sheetData sheetId="6" refreshError="1"/>
      <sheetData sheetId="7" refreshError="1"/>
      <sheetData sheetId="8" refreshError="1"/>
      <sheetData sheetId="9">
        <row r="2">
          <cell r="V2">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L One Pager"/>
      <sheetName val="DAL Calculation"/>
      <sheetName val="Cost Breakup"/>
      <sheetName val="DAL Financials"/>
      <sheetName val="DAL KPI"/>
      <sheetName val="DAL Summary"/>
      <sheetName val="DAL Debt"/>
      <sheetName val="DAL Prices"/>
      <sheetName val="DAL Consensus"/>
      <sheetName val="Key Points"/>
    </sheetNames>
    <sheetDataSet>
      <sheetData sheetId="0">
        <row r="3">
          <cell r="Z3">
            <v>0</v>
          </cell>
        </row>
      </sheetData>
      <sheetData sheetId="1"/>
      <sheetData sheetId="2"/>
      <sheetData sheetId="3"/>
      <sheetData sheetId="4"/>
      <sheetData sheetId="5"/>
      <sheetData sheetId="6">
        <row r="2">
          <cell r="Q2">
            <v>1</v>
          </cell>
        </row>
      </sheetData>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TEMPLATES"/>
      <sheetName val="One Pager"/>
      <sheetName val="Rationale - RevVal"/>
      <sheetName val="Tactical Trade"/>
      <sheetName val="New Issue"/>
      <sheetName val="ISSUER INFO"/>
      <sheetName val="Calculation (2)"/>
      <sheetName val="Financials"/>
      <sheetName val="Debt (2)"/>
      <sheetName val="New Model"/>
      <sheetName val="SPOT"/>
    </sheetNames>
    <sheetDataSet>
      <sheetData sheetId="0"/>
      <sheetData sheetId="1"/>
      <sheetData sheetId="2">
        <row r="3">
          <cell r="Z3">
            <v>1</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brlPreview"/>
      <sheetName val="MODELWARE"/>
      <sheetName val="XOM"/>
      <sheetName val="IS"/>
      <sheetName val="Share Repurchase"/>
      <sheetName val="MainCode"/>
      <sheetName val="WorkingCapital"/>
      <sheetName val="Pension Adjustments"/>
      <sheetName val="BS"/>
      <sheetName val="US Pension"/>
      <sheetName val="Intl Pension"/>
      <sheetName val="OPEBs"/>
      <sheetName val="DRC"/>
      <sheetName val="ReservesRegion"/>
      <sheetName val="ROCE"/>
      <sheetName val="E&amp;PIS"/>
      <sheetName val="R&amp;MIS"/>
      <sheetName val="ChemsIS"/>
      <sheetName val="Corporate"/>
      <sheetName val="Capex"/>
      <sheetName val="E&amp;P"/>
      <sheetName val="NSOURCE"/>
      <sheetName val="GE Data"/>
      <sheetName val="NY UPLOAD"/>
      <sheetName val="MobilPurchase"/>
      <sheetName val="WACC"/>
      <sheetName val="Global E&amp;P Field Percentages"/>
      <sheetName val="NEPS"/>
      <sheetName val="DIVIS"/>
      <sheetName val="Variance"/>
      <sheetName val="xbrldates"/>
      <sheetName val="xbrlSettings"/>
      <sheetName val="NY UPLOAD shad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rTS"/>
      <sheetName val="IssuerComp"/>
      <sheetName val="SectorTS"/>
      <sheetName val="SectorComp"/>
      <sheetName val="Seperator"/>
      <sheetName val="Data (from 01-01-02)"/>
      <sheetName val="Sector Level Data"/>
      <sheetName val="Daily Update"/>
      <sheetName val="BalanceSheet &amp; Rates"/>
      <sheetName val="IED Worksheet"/>
      <sheetName val="SectorDesignation"/>
      <sheetName val="10-15&amp;16-02Data"/>
      <sheetName val="Prototype (11-14-02 253 HG +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S"/>
      <sheetName val="One Pager_AMC"/>
      <sheetName val="Rationale - RevVal AMC"/>
      <sheetName val="One Pager_Stand-Alone AR"/>
      <sheetName val="ISSUER INFO"/>
      <sheetName val="Mgmt. Equity Ownership"/>
      <sheetName val="AR&gt;&gt;&gt; "/>
      <sheetName val="Old One Pager_Stand-Alone AR"/>
      <sheetName val="Calculation_Stand-Alone AR"/>
      <sheetName val="Guidance_Stand-Alone AR"/>
      <sheetName val="Assumptions_Stand-Alone AR"/>
      <sheetName val="Financials_Stand-Alone AR"/>
      <sheetName val="Sheet2"/>
      <sheetName val="Hedging"/>
      <sheetName val="Variance 3Q19_AR"/>
      <sheetName val="Debt_Stand-Alone AR"/>
      <sheetName val="AM&gt;&gt;&gt;"/>
      <sheetName val="Old One Pager_AMC"/>
      <sheetName val="Calculation_AMC"/>
      <sheetName val="Assumptions_AMC"/>
      <sheetName val="Financials_AMC"/>
      <sheetName val="Segments_AMC"/>
      <sheetName val="Variance 4Q18_AM"/>
      <sheetName val="Earnings Call"/>
      <sheetName val="Consensus Summary_AMC"/>
      <sheetName val="Debt_AMC"/>
      <sheetName val="Regression"/>
      <sheetName val="Simplification Agreement"/>
      <sheetName val="Financials_AM"/>
      <sheetName val="Financial_AMGP"/>
    </sheetNames>
    <sheetDataSet>
      <sheetData sheetId="0"/>
      <sheetData sheetId="1"/>
      <sheetData sheetId="2"/>
      <sheetData sheetId="3"/>
      <sheetData sheetId="4"/>
      <sheetData sheetId="5"/>
      <sheetData sheetId="6"/>
      <sheetData sheetId="7"/>
      <sheetData sheetId="8"/>
      <sheetData sheetId="9">
        <row r="3">
          <cell r="E3">
            <v>0</v>
          </cell>
        </row>
      </sheetData>
      <sheetData sheetId="10">
        <row r="3">
          <cell r="X3">
            <v>2</v>
          </cell>
          <cell r="AI3">
            <v>2</v>
          </cell>
        </row>
      </sheetData>
      <sheetData sheetId="11"/>
      <sheetData sheetId="12"/>
      <sheetData sheetId="13"/>
      <sheetData sheetId="14"/>
      <sheetData sheetId="15">
        <row r="2">
          <cell r="W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napshot 2Q21"/>
      <sheetName val="Val"/>
      <sheetName val="Cap"/>
      <sheetName val="IS"/>
      <sheetName val="BS"/>
      <sheetName val="CFS"/>
      <sheetName val="Seg"/>
      <sheetName val="KPIS"/>
      <sheetName val="Hist Val"/>
      <sheetName val="Holders"/>
      <sheetName val="_CIQHiddenCacheSheet"/>
      <sheetName val="Comps"/>
      <sheetName val="Don't Print --&gt;"/>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7">
          <cell r="L17">
            <v>42955</v>
          </cell>
        </row>
        <row r="18">
          <cell r="L18">
            <v>42956</v>
          </cell>
        </row>
        <row r="19">
          <cell r="L19">
            <v>42957</v>
          </cell>
        </row>
        <row r="20">
          <cell r="L20">
            <v>42958</v>
          </cell>
        </row>
        <row r="21">
          <cell r="L21">
            <v>42961</v>
          </cell>
        </row>
        <row r="22">
          <cell r="L22">
            <v>42962</v>
          </cell>
        </row>
        <row r="23">
          <cell r="L23">
            <v>42963</v>
          </cell>
        </row>
        <row r="24">
          <cell r="L24">
            <v>42964</v>
          </cell>
        </row>
        <row r="25">
          <cell r="L25">
            <v>42965</v>
          </cell>
        </row>
        <row r="26">
          <cell r="L26">
            <v>42968</v>
          </cell>
        </row>
        <row r="27">
          <cell r="L27">
            <v>42969</v>
          </cell>
        </row>
        <row r="28">
          <cell r="L28">
            <v>42970</v>
          </cell>
        </row>
        <row r="29">
          <cell r="L29">
            <v>42971</v>
          </cell>
        </row>
        <row r="30">
          <cell r="L30">
            <v>42972</v>
          </cell>
        </row>
        <row r="31">
          <cell r="L31">
            <v>42975</v>
          </cell>
        </row>
        <row r="32">
          <cell r="L32">
            <v>42976</v>
          </cell>
        </row>
        <row r="33">
          <cell r="L33">
            <v>42977</v>
          </cell>
        </row>
        <row r="34">
          <cell r="L34">
            <v>42978</v>
          </cell>
        </row>
        <row r="35">
          <cell r="L35">
            <v>42979</v>
          </cell>
        </row>
        <row r="36">
          <cell r="L36">
            <v>42982</v>
          </cell>
        </row>
        <row r="37">
          <cell r="L37">
            <v>42983</v>
          </cell>
        </row>
        <row r="38">
          <cell r="L38">
            <v>42984</v>
          </cell>
        </row>
        <row r="39">
          <cell r="L39">
            <v>42985</v>
          </cell>
        </row>
        <row r="40">
          <cell r="L40">
            <v>42986</v>
          </cell>
        </row>
        <row r="41">
          <cell r="L41">
            <v>42989</v>
          </cell>
        </row>
        <row r="42">
          <cell r="L42">
            <v>42990</v>
          </cell>
        </row>
        <row r="43">
          <cell r="L43">
            <v>42991</v>
          </cell>
        </row>
        <row r="44">
          <cell r="L44">
            <v>42992</v>
          </cell>
        </row>
        <row r="45">
          <cell r="L45">
            <v>42993</v>
          </cell>
        </row>
        <row r="46">
          <cell r="L46">
            <v>42996</v>
          </cell>
        </row>
        <row r="47">
          <cell r="L47">
            <v>42997</v>
          </cell>
        </row>
        <row r="48">
          <cell r="L48">
            <v>42998</v>
          </cell>
        </row>
        <row r="49">
          <cell r="L49">
            <v>42999</v>
          </cell>
        </row>
        <row r="50">
          <cell r="L50">
            <v>43000</v>
          </cell>
        </row>
        <row r="51">
          <cell r="L51">
            <v>43003</v>
          </cell>
        </row>
        <row r="52">
          <cell r="L52">
            <v>43004</v>
          </cell>
        </row>
        <row r="53">
          <cell r="L53">
            <v>43005</v>
          </cell>
        </row>
        <row r="54">
          <cell r="L54">
            <v>43006</v>
          </cell>
        </row>
        <row r="55">
          <cell r="L55">
            <v>43007</v>
          </cell>
        </row>
        <row r="56">
          <cell r="L56">
            <v>43010</v>
          </cell>
        </row>
        <row r="57">
          <cell r="L57">
            <v>43012</v>
          </cell>
        </row>
        <row r="58">
          <cell r="L58">
            <v>43013</v>
          </cell>
        </row>
        <row r="59">
          <cell r="L59">
            <v>43014</v>
          </cell>
        </row>
        <row r="60">
          <cell r="L60">
            <v>43017</v>
          </cell>
        </row>
        <row r="61">
          <cell r="L61">
            <v>43018</v>
          </cell>
        </row>
        <row r="62">
          <cell r="L62">
            <v>43019</v>
          </cell>
        </row>
        <row r="63">
          <cell r="L63">
            <v>43020</v>
          </cell>
        </row>
        <row r="64">
          <cell r="L64">
            <v>43021</v>
          </cell>
        </row>
        <row r="65">
          <cell r="L65">
            <v>43024</v>
          </cell>
        </row>
        <row r="66">
          <cell r="L66">
            <v>43025</v>
          </cell>
        </row>
        <row r="67">
          <cell r="L67">
            <v>43026</v>
          </cell>
        </row>
        <row r="68">
          <cell r="L68">
            <v>43027</v>
          </cell>
        </row>
        <row r="69">
          <cell r="L69">
            <v>43028</v>
          </cell>
        </row>
        <row r="70">
          <cell r="L70">
            <v>43031</v>
          </cell>
        </row>
        <row r="71">
          <cell r="L71">
            <v>43032</v>
          </cell>
        </row>
        <row r="72">
          <cell r="L72">
            <v>43033</v>
          </cell>
        </row>
        <row r="73">
          <cell r="L73">
            <v>43034</v>
          </cell>
        </row>
        <row r="74">
          <cell r="L74">
            <v>43035</v>
          </cell>
        </row>
        <row r="75">
          <cell r="L75">
            <v>43038</v>
          </cell>
        </row>
        <row r="76">
          <cell r="L76">
            <v>43040</v>
          </cell>
        </row>
        <row r="77">
          <cell r="L77">
            <v>43041</v>
          </cell>
        </row>
        <row r="78">
          <cell r="L78">
            <v>43042</v>
          </cell>
        </row>
        <row r="79">
          <cell r="L79">
            <v>43045</v>
          </cell>
        </row>
        <row r="80">
          <cell r="L80">
            <v>43046</v>
          </cell>
        </row>
        <row r="81">
          <cell r="L81">
            <v>43047</v>
          </cell>
        </row>
        <row r="82">
          <cell r="L82">
            <v>43048</v>
          </cell>
        </row>
        <row r="83">
          <cell r="L83">
            <v>43049</v>
          </cell>
        </row>
        <row r="84">
          <cell r="L84">
            <v>43052</v>
          </cell>
        </row>
        <row r="85">
          <cell r="L85">
            <v>43053</v>
          </cell>
        </row>
        <row r="86">
          <cell r="L86">
            <v>43054</v>
          </cell>
        </row>
        <row r="87">
          <cell r="L87">
            <v>43055</v>
          </cell>
        </row>
        <row r="88">
          <cell r="L88">
            <v>43056</v>
          </cell>
        </row>
        <row r="89">
          <cell r="L89">
            <v>43059</v>
          </cell>
        </row>
        <row r="90">
          <cell r="L90">
            <v>43060</v>
          </cell>
        </row>
        <row r="91">
          <cell r="L91">
            <v>43061</v>
          </cell>
        </row>
        <row r="92">
          <cell r="L92">
            <v>43062</v>
          </cell>
        </row>
        <row r="93">
          <cell r="L93">
            <v>43063</v>
          </cell>
        </row>
        <row r="94">
          <cell r="L94">
            <v>43066</v>
          </cell>
        </row>
        <row r="95">
          <cell r="L95">
            <v>43067</v>
          </cell>
        </row>
        <row r="96">
          <cell r="L96">
            <v>43068</v>
          </cell>
        </row>
        <row r="97">
          <cell r="L97">
            <v>43069</v>
          </cell>
        </row>
        <row r="98">
          <cell r="L98">
            <v>43070</v>
          </cell>
        </row>
        <row r="99">
          <cell r="L99">
            <v>43073</v>
          </cell>
        </row>
        <row r="100">
          <cell r="L100">
            <v>43074</v>
          </cell>
        </row>
        <row r="101">
          <cell r="L101">
            <v>43075</v>
          </cell>
        </row>
        <row r="102">
          <cell r="L102">
            <v>43076</v>
          </cell>
        </row>
        <row r="103">
          <cell r="L103">
            <v>43077</v>
          </cell>
        </row>
        <row r="104">
          <cell r="L104">
            <v>43080</v>
          </cell>
        </row>
        <row r="105">
          <cell r="L105">
            <v>43081</v>
          </cell>
        </row>
        <row r="106">
          <cell r="L106">
            <v>43082</v>
          </cell>
        </row>
        <row r="107">
          <cell r="L107">
            <v>43083</v>
          </cell>
        </row>
        <row r="108">
          <cell r="L108">
            <v>43084</v>
          </cell>
        </row>
        <row r="109">
          <cell r="L109">
            <v>43087</v>
          </cell>
        </row>
        <row r="110">
          <cell r="L110">
            <v>43088</v>
          </cell>
        </row>
        <row r="111">
          <cell r="L111">
            <v>43089</v>
          </cell>
        </row>
        <row r="112">
          <cell r="L112">
            <v>43090</v>
          </cell>
        </row>
        <row r="113">
          <cell r="L113">
            <v>43091</v>
          </cell>
        </row>
        <row r="114">
          <cell r="L114">
            <v>43096</v>
          </cell>
        </row>
        <row r="115">
          <cell r="L115">
            <v>43097</v>
          </cell>
        </row>
        <row r="116">
          <cell r="L116">
            <v>43098</v>
          </cell>
        </row>
        <row r="117">
          <cell r="L117">
            <v>43102</v>
          </cell>
        </row>
        <row r="118">
          <cell r="L118">
            <v>43103</v>
          </cell>
        </row>
        <row r="119">
          <cell r="L119">
            <v>43104</v>
          </cell>
        </row>
        <row r="120">
          <cell r="L120">
            <v>43105</v>
          </cell>
        </row>
        <row r="121">
          <cell r="L121">
            <v>43108</v>
          </cell>
        </row>
        <row r="122">
          <cell r="L122">
            <v>43109</v>
          </cell>
        </row>
        <row r="123">
          <cell r="L123">
            <v>43110</v>
          </cell>
        </row>
        <row r="124">
          <cell r="L124">
            <v>43111</v>
          </cell>
        </row>
        <row r="125">
          <cell r="L125">
            <v>43112</v>
          </cell>
        </row>
        <row r="126">
          <cell r="L126">
            <v>43115</v>
          </cell>
        </row>
        <row r="127">
          <cell r="L127">
            <v>43116</v>
          </cell>
        </row>
        <row r="128">
          <cell r="L128">
            <v>43117</v>
          </cell>
        </row>
        <row r="129">
          <cell r="L129">
            <v>43118</v>
          </cell>
        </row>
        <row r="130">
          <cell r="L130">
            <v>43119</v>
          </cell>
        </row>
        <row r="131">
          <cell r="L131">
            <v>43122</v>
          </cell>
        </row>
        <row r="132">
          <cell r="L132">
            <v>43123</v>
          </cell>
        </row>
        <row r="133">
          <cell r="L133">
            <v>43124</v>
          </cell>
        </row>
        <row r="134">
          <cell r="L134">
            <v>43125</v>
          </cell>
        </row>
        <row r="135">
          <cell r="L135">
            <v>43126</v>
          </cell>
        </row>
        <row r="136">
          <cell r="L136">
            <v>43129</v>
          </cell>
        </row>
        <row r="137">
          <cell r="L137">
            <v>43130</v>
          </cell>
        </row>
        <row r="138">
          <cell r="L138">
            <v>43131</v>
          </cell>
        </row>
        <row r="139">
          <cell r="L139">
            <v>43132</v>
          </cell>
        </row>
        <row r="140">
          <cell r="L140">
            <v>43133</v>
          </cell>
        </row>
        <row r="141">
          <cell r="L141">
            <v>43136</v>
          </cell>
        </row>
        <row r="142">
          <cell r="L142">
            <v>43137</v>
          </cell>
        </row>
        <row r="143">
          <cell r="L143">
            <v>43138</v>
          </cell>
        </row>
        <row r="144">
          <cell r="L144">
            <v>43139</v>
          </cell>
        </row>
        <row r="145">
          <cell r="L145">
            <v>43140</v>
          </cell>
        </row>
        <row r="146">
          <cell r="L146">
            <v>43143</v>
          </cell>
        </row>
        <row r="147">
          <cell r="L147">
            <v>43144</v>
          </cell>
        </row>
        <row r="148">
          <cell r="L148">
            <v>43145</v>
          </cell>
        </row>
        <row r="149">
          <cell r="L149">
            <v>43146</v>
          </cell>
        </row>
        <row r="150">
          <cell r="L150">
            <v>43147</v>
          </cell>
        </row>
        <row r="151">
          <cell r="L151">
            <v>43150</v>
          </cell>
        </row>
        <row r="152">
          <cell r="L152">
            <v>43151</v>
          </cell>
        </row>
        <row r="153">
          <cell r="L153">
            <v>43152</v>
          </cell>
        </row>
        <row r="154">
          <cell r="L154">
            <v>43153</v>
          </cell>
        </row>
        <row r="155">
          <cell r="L155">
            <v>43154</v>
          </cell>
        </row>
        <row r="156">
          <cell r="L156">
            <v>43157</v>
          </cell>
        </row>
        <row r="157">
          <cell r="L157">
            <v>43158</v>
          </cell>
        </row>
        <row r="158">
          <cell r="L158">
            <v>43159</v>
          </cell>
        </row>
        <row r="159">
          <cell r="L159">
            <v>43160</v>
          </cell>
        </row>
        <row r="160">
          <cell r="L160">
            <v>43161</v>
          </cell>
        </row>
        <row r="161">
          <cell r="L161">
            <v>43164</v>
          </cell>
        </row>
        <row r="162">
          <cell r="L162">
            <v>43165</v>
          </cell>
        </row>
        <row r="163">
          <cell r="L163">
            <v>43166</v>
          </cell>
        </row>
        <row r="164">
          <cell r="L164">
            <v>43167</v>
          </cell>
        </row>
        <row r="165">
          <cell r="L165">
            <v>43168</v>
          </cell>
        </row>
        <row r="166">
          <cell r="L166">
            <v>43171</v>
          </cell>
        </row>
        <row r="167">
          <cell r="L167">
            <v>43172</v>
          </cell>
        </row>
        <row r="168">
          <cell r="L168">
            <v>43173</v>
          </cell>
        </row>
        <row r="169">
          <cell r="L169">
            <v>43174</v>
          </cell>
        </row>
        <row r="170">
          <cell r="L170">
            <v>43175</v>
          </cell>
        </row>
        <row r="171">
          <cell r="L171">
            <v>43178</v>
          </cell>
        </row>
        <row r="172">
          <cell r="L172">
            <v>43179</v>
          </cell>
        </row>
        <row r="173">
          <cell r="L173">
            <v>43180</v>
          </cell>
        </row>
        <row r="174">
          <cell r="L174">
            <v>43181</v>
          </cell>
        </row>
        <row r="175">
          <cell r="L175">
            <v>43182</v>
          </cell>
        </row>
        <row r="176">
          <cell r="L176">
            <v>43185</v>
          </cell>
        </row>
        <row r="177">
          <cell r="L177">
            <v>43186</v>
          </cell>
        </row>
        <row r="178">
          <cell r="L178">
            <v>43187</v>
          </cell>
        </row>
        <row r="179">
          <cell r="L179">
            <v>43188</v>
          </cell>
        </row>
        <row r="180">
          <cell r="L180">
            <v>43193</v>
          </cell>
        </row>
        <row r="181">
          <cell r="L181">
            <v>43194</v>
          </cell>
        </row>
        <row r="182">
          <cell r="L182">
            <v>43195</v>
          </cell>
        </row>
        <row r="183">
          <cell r="L183">
            <v>43196</v>
          </cell>
        </row>
        <row r="184">
          <cell r="L184">
            <v>43199</v>
          </cell>
        </row>
        <row r="185">
          <cell r="L185">
            <v>43200</v>
          </cell>
        </row>
        <row r="186">
          <cell r="L186">
            <v>43201</v>
          </cell>
        </row>
        <row r="187">
          <cell r="L187">
            <v>43202</v>
          </cell>
        </row>
        <row r="188">
          <cell r="L188">
            <v>43203</v>
          </cell>
        </row>
        <row r="189">
          <cell r="L189">
            <v>43206</v>
          </cell>
        </row>
        <row r="190">
          <cell r="L190">
            <v>43207</v>
          </cell>
        </row>
        <row r="191">
          <cell r="L191">
            <v>43208</v>
          </cell>
        </row>
        <row r="192">
          <cell r="L192">
            <v>43209</v>
          </cell>
        </row>
        <row r="193">
          <cell r="L193">
            <v>43210</v>
          </cell>
        </row>
        <row r="194">
          <cell r="L194">
            <v>43213</v>
          </cell>
        </row>
        <row r="195">
          <cell r="L195">
            <v>43214</v>
          </cell>
        </row>
        <row r="196">
          <cell r="L196">
            <v>43215</v>
          </cell>
        </row>
        <row r="197">
          <cell r="L197">
            <v>43216</v>
          </cell>
        </row>
        <row r="198">
          <cell r="L198">
            <v>43217</v>
          </cell>
        </row>
        <row r="199">
          <cell r="L199">
            <v>43220</v>
          </cell>
        </row>
        <row r="200">
          <cell r="L200">
            <v>43222</v>
          </cell>
        </row>
        <row r="201">
          <cell r="L201">
            <v>43223</v>
          </cell>
        </row>
        <row r="202">
          <cell r="L202">
            <v>43224</v>
          </cell>
        </row>
        <row r="203">
          <cell r="L203">
            <v>43227</v>
          </cell>
        </row>
        <row r="204">
          <cell r="L204">
            <v>43228</v>
          </cell>
        </row>
        <row r="205">
          <cell r="L205">
            <v>43229</v>
          </cell>
        </row>
        <row r="206">
          <cell r="L206">
            <v>43230</v>
          </cell>
        </row>
        <row r="207">
          <cell r="L207">
            <v>43231</v>
          </cell>
        </row>
        <row r="208">
          <cell r="L208">
            <v>43234</v>
          </cell>
        </row>
        <row r="209">
          <cell r="L209">
            <v>43235</v>
          </cell>
        </row>
        <row r="210">
          <cell r="L210">
            <v>43236</v>
          </cell>
        </row>
        <row r="211">
          <cell r="L211">
            <v>43237</v>
          </cell>
        </row>
        <row r="212">
          <cell r="L212">
            <v>43238</v>
          </cell>
        </row>
        <row r="213">
          <cell r="L213">
            <v>43242</v>
          </cell>
        </row>
        <row r="214">
          <cell r="L214">
            <v>43243</v>
          </cell>
        </row>
        <row r="215">
          <cell r="L215">
            <v>43244</v>
          </cell>
        </row>
        <row r="216">
          <cell r="L216">
            <v>43245</v>
          </cell>
        </row>
        <row r="217">
          <cell r="L217">
            <v>43248</v>
          </cell>
        </row>
        <row r="218">
          <cell r="L218">
            <v>43249</v>
          </cell>
        </row>
        <row r="219">
          <cell r="L219">
            <v>43250</v>
          </cell>
        </row>
        <row r="220">
          <cell r="L220">
            <v>43251</v>
          </cell>
        </row>
        <row r="221">
          <cell r="L221">
            <v>43252</v>
          </cell>
        </row>
        <row r="222">
          <cell r="L222">
            <v>43255</v>
          </cell>
        </row>
        <row r="223">
          <cell r="L223">
            <v>43256</v>
          </cell>
        </row>
        <row r="224">
          <cell r="L224">
            <v>43257</v>
          </cell>
        </row>
        <row r="225">
          <cell r="L225">
            <v>43258</v>
          </cell>
        </row>
        <row r="226">
          <cell r="L226">
            <v>43259</v>
          </cell>
        </row>
        <row r="227">
          <cell r="L227">
            <v>43262</v>
          </cell>
        </row>
        <row r="228">
          <cell r="L228">
            <v>43263</v>
          </cell>
        </row>
        <row r="229">
          <cell r="L229">
            <v>43264</v>
          </cell>
        </row>
        <row r="230">
          <cell r="L230">
            <v>43265</v>
          </cell>
        </row>
        <row r="231">
          <cell r="L231">
            <v>43266</v>
          </cell>
        </row>
        <row r="232">
          <cell r="L232">
            <v>43269</v>
          </cell>
        </row>
        <row r="233">
          <cell r="L233">
            <v>43270</v>
          </cell>
        </row>
        <row r="234">
          <cell r="L234">
            <v>43271</v>
          </cell>
        </row>
        <row r="235">
          <cell r="L235">
            <v>43272</v>
          </cell>
        </row>
        <row r="236">
          <cell r="L236">
            <v>43273</v>
          </cell>
        </row>
        <row r="237">
          <cell r="L237">
            <v>43276</v>
          </cell>
        </row>
        <row r="238">
          <cell r="L238">
            <v>43277</v>
          </cell>
        </row>
        <row r="239">
          <cell r="L239">
            <v>43278</v>
          </cell>
        </row>
        <row r="240">
          <cell r="L240">
            <v>43279</v>
          </cell>
        </row>
        <row r="241">
          <cell r="L241">
            <v>43280</v>
          </cell>
        </row>
        <row r="242">
          <cell r="L242">
            <v>43283</v>
          </cell>
        </row>
        <row r="243">
          <cell r="L243">
            <v>43284</v>
          </cell>
        </row>
        <row r="244">
          <cell r="L244">
            <v>43285</v>
          </cell>
        </row>
        <row r="245">
          <cell r="L245">
            <v>43286</v>
          </cell>
        </row>
        <row r="246">
          <cell r="L246">
            <v>43287</v>
          </cell>
        </row>
        <row r="247">
          <cell r="L247">
            <v>43290</v>
          </cell>
        </row>
        <row r="248">
          <cell r="L248">
            <v>43291</v>
          </cell>
        </row>
        <row r="249">
          <cell r="L249">
            <v>43292</v>
          </cell>
        </row>
        <row r="250">
          <cell r="L250">
            <v>43293</v>
          </cell>
        </row>
        <row r="251">
          <cell r="L251">
            <v>43294</v>
          </cell>
        </row>
        <row r="252">
          <cell r="L252">
            <v>43297</v>
          </cell>
        </row>
        <row r="253">
          <cell r="L253">
            <v>43298</v>
          </cell>
        </row>
        <row r="254">
          <cell r="L254">
            <v>43299</v>
          </cell>
        </row>
        <row r="255">
          <cell r="L255">
            <v>43300</v>
          </cell>
        </row>
        <row r="256">
          <cell r="L256">
            <v>43301</v>
          </cell>
        </row>
        <row r="257">
          <cell r="L257">
            <v>43304</v>
          </cell>
        </row>
        <row r="258">
          <cell r="L258">
            <v>43305</v>
          </cell>
        </row>
        <row r="259">
          <cell r="L259">
            <v>43306</v>
          </cell>
        </row>
        <row r="260">
          <cell r="L260">
            <v>43307</v>
          </cell>
        </row>
        <row r="261">
          <cell r="L261">
            <v>43308</v>
          </cell>
        </row>
        <row r="262">
          <cell r="L262">
            <v>43311</v>
          </cell>
        </row>
        <row r="263">
          <cell r="L263">
            <v>43312</v>
          </cell>
        </row>
        <row r="264">
          <cell r="L264">
            <v>43313</v>
          </cell>
        </row>
        <row r="265">
          <cell r="L265">
            <v>43314</v>
          </cell>
        </row>
        <row r="266">
          <cell r="L266">
            <v>43315</v>
          </cell>
        </row>
        <row r="267">
          <cell r="L267">
            <v>43318</v>
          </cell>
        </row>
        <row r="268">
          <cell r="L268">
            <v>43319</v>
          </cell>
        </row>
        <row r="269">
          <cell r="L269">
            <v>43320</v>
          </cell>
        </row>
        <row r="270">
          <cell r="L270">
            <v>43321</v>
          </cell>
        </row>
        <row r="271">
          <cell r="L271">
            <v>43322</v>
          </cell>
        </row>
        <row r="272">
          <cell r="L272">
            <v>43325</v>
          </cell>
        </row>
        <row r="273">
          <cell r="L273">
            <v>43326</v>
          </cell>
        </row>
        <row r="274">
          <cell r="L274">
            <v>43327</v>
          </cell>
        </row>
        <row r="275">
          <cell r="L275">
            <v>43328</v>
          </cell>
        </row>
        <row r="276">
          <cell r="L276">
            <v>43329</v>
          </cell>
        </row>
        <row r="277">
          <cell r="L277">
            <v>43332</v>
          </cell>
        </row>
        <row r="278">
          <cell r="L278">
            <v>43333</v>
          </cell>
        </row>
        <row r="279">
          <cell r="L279">
            <v>43334</v>
          </cell>
        </row>
        <row r="280">
          <cell r="L280">
            <v>43335</v>
          </cell>
        </row>
        <row r="281">
          <cell r="L281">
            <v>43336</v>
          </cell>
        </row>
        <row r="282">
          <cell r="L282">
            <v>43339</v>
          </cell>
        </row>
        <row r="283">
          <cell r="L283">
            <v>43340</v>
          </cell>
        </row>
        <row r="284">
          <cell r="L284">
            <v>43341</v>
          </cell>
        </row>
        <row r="285">
          <cell r="L285">
            <v>43342</v>
          </cell>
        </row>
        <row r="286">
          <cell r="L286">
            <v>43343</v>
          </cell>
        </row>
        <row r="287">
          <cell r="L287">
            <v>43346</v>
          </cell>
        </row>
        <row r="288">
          <cell r="L288">
            <v>43347</v>
          </cell>
        </row>
        <row r="289">
          <cell r="L289">
            <v>43348</v>
          </cell>
        </row>
        <row r="290">
          <cell r="L290">
            <v>43349</v>
          </cell>
        </row>
        <row r="291">
          <cell r="L291">
            <v>43350</v>
          </cell>
        </row>
        <row r="292">
          <cell r="L292">
            <v>43353</v>
          </cell>
        </row>
        <row r="293">
          <cell r="L293">
            <v>43354</v>
          </cell>
        </row>
        <row r="294">
          <cell r="L294">
            <v>43355</v>
          </cell>
        </row>
        <row r="295">
          <cell r="L295">
            <v>43356</v>
          </cell>
        </row>
        <row r="296">
          <cell r="L296">
            <v>43357</v>
          </cell>
        </row>
        <row r="297">
          <cell r="L297">
            <v>43360</v>
          </cell>
        </row>
        <row r="298">
          <cell r="L298">
            <v>43361</v>
          </cell>
        </row>
        <row r="299">
          <cell r="L299">
            <v>43362</v>
          </cell>
        </row>
        <row r="300">
          <cell r="L300">
            <v>43363</v>
          </cell>
        </row>
        <row r="301">
          <cell r="L301">
            <v>43364</v>
          </cell>
        </row>
        <row r="302">
          <cell r="L302">
            <v>43367</v>
          </cell>
        </row>
        <row r="303">
          <cell r="L303">
            <v>43368</v>
          </cell>
        </row>
        <row r="304">
          <cell r="L304">
            <v>43369</v>
          </cell>
        </row>
        <row r="305">
          <cell r="L305">
            <v>43370</v>
          </cell>
        </row>
        <row r="306">
          <cell r="L306">
            <v>43371</v>
          </cell>
        </row>
        <row r="307">
          <cell r="L307">
            <v>43374</v>
          </cell>
        </row>
        <row r="308">
          <cell r="L308">
            <v>43375</v>
          </cell>
        </row>
        <row r="309">
          <cell r="L309">
            <v>43377</v>
          </cell>
        </row>
        <row r="310">
          <cell r="L310">
            <v>43378</v>
          </cell>
        </row>
        <row r="311">
          <cell r="L311">
            <v>43381</v>
          </cell>
        </row>
        <row r="312">
          <cell r="L312">
            <v>43382</v>
          </cell>
        </row>
        <row r="313">
          <cell r="L313">
            <v>43383</v>
          </cell>
        </row>
        <row r="314">
          <cell r="L314">
            <v>43384</v>
          </cell>
        </row>
        <row r="315">
          <cell r="L315">
            <v>43385</v>
          </cell>
        </row>
        <row r="316">
          <cell r="L316">
            <v>43388</v>
          </cell>
        </row>
        <row r="317">
          <cell r="L317">
            <v>43389</v>
          </cell>
        </row>
        <row r="318">
          <cell r="L318">
            <v>43390</v>
          </cell>
        </row>
        <row r="319">
          <cell r="L319">
            <v>43391</v>
          </cell>
        </row>
        <row r="320">
          <cell r="L320">
            <v>43392</v>
          </cell>
        </row>
        <row r="321">
          <cell r="L321">
            <v>43395</v>
          </cell>
        </row>
        <row r="322">
          <cell r="L322">
            <v>43396</v>
          </cell>
        </row>
        <row r="323">
          <cell r="L323">
            <v>43397</v>
          </cell>
        </row>
        <row r="324">
          <cell r="L324">
            <v>43398</v>
          </cell>
        </row>
        <row r="325">
          <cell r="L325">
            <v>43399</v>
          </cell>
        </row>
        <row r="326">
          <cell r="L326">
            <v>43402</v>
          </cell>
        </row>
        <row r="327">
          <cell r="L327">
            <v>43403</v>
          </cell>
        </row>
        <row r="328">
          <cell r="L328">
            <v>43404</v>
          </cell>
        </row>
        <row r="329">
          <cell r="L329">
            <v>43405</v>
          </cell>
        </row>
        <row r="330">
          <cell r="L330">
            <v>43406</v>
          </cell>
        </row>
        <row r="331">
          <cell r="L331">
            <v>43409</v>
          </cell>
        </row>
        <row r="332">
          <cell r="L332">
            <v>43410</v>
          </cell>
        </row>
        <row r="333">
          <cell r="L333">
            <v>43411</v>
          </cell>
        </row>
        <row r="334">
          <cell r="L334">
            <v>43412</v>
          </cell>
        </row>
        <row r="335">
          <cell r="L335">
            <v>43413</v>
          </cell>
        </row>
        <row r="336">
          <cell r="L336">
            <v>43416</v>
          </cell>
        </row>
        <row r="337">
          <cell r="L337">
            <v>43417</v>
          </cell>
        </row>
        <row r="338">
          <cell r="L338">
            <v>43418</v>
          </cell>
        </row>
        <row r="339">
          <cell r="L339">
            <v>43419</v>
          </cell>
        </row>
        <row r="340">
          <cell r="L340">
            <v>43420</v>
          </cell>
        </row>
        <row r="341">
          <cell r="L341">
            <v>43423</v>
          </cell>
        </row>
        <row r="342">
          <cell r="L342">
            <v>43424</v>
          </cell>
        </row>
        <row r="343">
          <cell r="L343">
            <v>43425</v>
          </cell>
        </row>
        <row r="344">
          <cell r="L344">
            <v>43426</v>
          </cell>
        </row>
        <row r="345">
          <cell r="L345">
            <v>43427</v>
          </cell>
        </row>
        <row r="346">
          <cell r="L346">
            <v>43430</v>
          </cell>
        </row>
        <row r="347">
          <cell r="L347">
            <v>43431</v>
          </cell>
        </row>
        <row r="348">
          <cell r="L348">
            <v>43432</v>
          </cell>
        </row>
        <row r="349">
          <cell r="L349">
            <v>43433</v>
          </cell>
        </row>
        <row r="350">
          <cell r="L350">
            <v>43434</v>
          </cell>
        </row>
        <row r="351">
          <cell r="L351">
            <v>43437</v>
          </cell>
        </row>
        <row r="352">
          <cell r="L352">
            <v>43438</v>
          </cell>
        </row>
        <row r="353">
          <cell r="L353">
            <v>43439</v>
          </cell>
        </row>
        <row r="354">
          <cell r="L354">
            <v>43440</v>
          </cell>
        </row>
        <row r="355">
          <cell r="L355">
            <v>43441</v>
          </cell>
        </row>
        <row r="356">
          <cell r="L356">
            <v>43444</v>
          </cell>
        </row>
        <row r="357">
          <cell r="L357">
            <v>43445</v>
          </cell>
        </row>
        <row r="358">
          <cell r="L358">
            <v>43446</v>
          </cell>
        </row>
        <row r="359">
          <cell r="L359">
            <v>43447</v>
          </cell>
        </row>
        <row r="360">
          <cell r="L360">
            <v>43448</v>
          </cell>
        </row>
        <row r="361">
          <cell r="L361">
            <v>43451</v>
          </cell>
        </row>
        <row r="362">
          <cell r="L362">
            <v>43452</v>
          </cell>
        </row>
        <row r="363">
          <cell r="L363">
            <v>43453</v>
          </cell>
        </row>
        <row r="364">
          <cell r="L364">
            <v>43454</v>
          </cell>
        </row>
        <row r="365">
          <cell r="L365">
            <v>43455</v>
          </cell>
        </row>
        <row r="366">
          <cell r="L366">
            <v>43461</v>
          </cell>
        </row>
        <row r="367">
          <cell r="L367">
            <v>43462</v>
          </cell>
        </row>
        <row r="368">
          <cell r="L368">
            <v>43467</v>
          </cell>
        </row>
        <row r="369">
          <cell r="L369">
            <v>43468</v>
          </cell>
        </row>
        <row r="370">
          <cell r="L370">
            <v>43469</v>
          </cell>
        </row>
        <row r="371">
          <cell r="L371">
            <v>43472</v>
          </cell>
        </row>
        <row r="372">
          <cell r="L372">
            <v>43473</v>
          </cell>
        </row>
        <row r="373">
          <cell r="L373">
            <v>43474</v>
          </cell>
        </row>
        <row r="374">
          <cell r="L374">
            <v>43475</v>
          </cell>
        </row>
        <row r="375">
          <cell r="L375">
            <v>43476</v>
          </cell>
        </row>
        <row r="376">
          <cell r="L376">
            <v>43479</v>
          </cell>
        </row>
        <row r="377">
          <cell r="L377">
            <v>43480</v>
          </cell>
        </row>
        <row r="378">
          <cell r="L378">
            <v>43481</v>
          </cell>
        </row>
        <row r="379">
          <cell r="L379">
            <v>43482</v>
          </cell>
        </row>
        <row r="380">
          <cell r="L380">
            <v>43483</v>
          </cell>
        </row>
        <row r="381">
          <cell r="L381">
            <v>43486</v>
          </cell>
        </row>
        <row r="382">
          <cell r="L382">
            <v>43487</v>
          </cell>
        </row>
        <row r="383">
          <cell r="L383">
            <v>43488</v>
          </cell>
        </row>
        <row r="384">
          <cell r="L384">
            <v>43489</v>
          </cell>
        </row>
        <row r="385">
          <cell r="L385">
            <v>43490</v>
          </cell>
        </row>
        <row r="386">
          <cell r="L386">
            <v>43493</v>
          </cell>
        </row>
        <row r="387">
          <cell r="L387">
            <v>43494</v>
          </cell>
        </row>
        <row r="388">
          <cell r="L388">
            <v>43495</v>
          </cell>
        </row>
        <row r="389">
          <cell r="L389">
            <v>43496</v>
          </cell>
        </row>
        <row r="390">
          <cell r="L390">
            <v>43497</v>
          </cell>
        </row>
        <row r="391">
          <cell r="L391">
            <v>43500</v>
          </cell>
        </row>
        <row r="392">
          <cell r="L392">
            <v>43501</v>
          </cell>
        </row>
        <row r="393">
          <cell r="L393">
            <v>43502</v>
          </cell>
        </row>
        <row r="394">
          <cell r="L394">
            <v>43503</v>
          </cell>
        </row>
        <row r="395">
          <cell r="L395">
            <v>43504</v>
          </cell>
        </row>
        <row r="396">
          <cell r="L396">
            <v>43507</v>
          </cell>
        </row>
        <row r="397">
          <cell r="L397">
            <v>43508</v>
          </cell>
        </row>
        <row r="398">
          <cell r="L398">
            <v>43509</v>
          </cell>
        </row>
        <row r="399">
          <cell r="L399">
            <v>43510</v>
          </cell>
        </row>
        <row r="400">
          <cell r="L400">
            <v>43511</v>
          </cell>
        </row>
        <row r="401">
          <cell r="L401">
            <v>43514</v>
          </cell>
        </row>
        <row r="402">
          <cell r="L402">
            <v>43515</v>
          </cell>
        </row>
        <row r="403">
          <cell r="L403">
            <v>43516</v>
          </cell>
        </row>
        <row r="404">
          <cell r="L404">
            <v>43517</v>
          </cell>
        </row>
        <row r="405">
          <cell r="L405">
            <v>43518</v>
          </cell>
        </row>
        <row r="406">
          <cell r="L406">
            <v>43521</v>
          </cell>
        </row>
        <row r="407">
          <cell r="L407">
            <v>43522</v>
          </cell>
        </row>
        <row r="408">
          <cell r="L408">
            <v>43523</v>
          </cell>
        </row>
        <row r="409">
          <cell r="L409">
            <v>43524</v>
          </cell>
        </row>
        <row r="410">
          <cell r="L410">
            <v>43525</v>
          </cell>
        </row>
        <row r="411">
          <cell r="L411">
            <v>43528</v>
          </cell>
        </row>
        <row r="412">
          <cell r="L412">
            <v>43529</v>
          </cell>
        </row>
        <row r="413">
          <cell r="L413">
            <v>43530</v>
          </cell>
        </row>
        <row r="414">
          <cell r="L414">
            <v>43531</v>
          </cell>
        </row>
        <row r="415">
          <cell r="L415">
            <v>43532</v>
          </cell>
        </row>
        <row r="416">
          <cell r="L416">
            <v>43535</v>
          </cell>
        </row>
        <row r="417">
          <cell r="L417">
            <v>43536</v>
          </cell>
        </row>
        <row r="418">
          <cell r="L418">
            <v>43537</v>
          </cell>
        </row>
        <row r="419">
          <cell r="L419">
            <v>43538</v>
          </cell>
        </row>
        <row r="420">
          <cell r="L420">
            <v>43539</v>
          </cell>
        </row>
        <row r="421">
          <cell r="L421">
            <v>43542</v>
          </cell>
        </row>
        <row r="422">
          <cell r="L422">
            <v>43543</v>
          </cell>
        </row>
        <row r="423">
          <cell r="L423">
            <v>43544</v>
          </cell>
        </row>
        <row r="424">
          <cell r="L424">
            <v>43545</v>
          </cell>
        </row>
        <row r="425">
          <cell r="L425">
            <v>43546</v>
          </cell>
        </row>
        <row r="426">
          <cell r="L426">
            <v>43549</v>
          </cell>
        </row>
        <row r="427">
          <cell r="L427">
            <v>43550</v>
          </cell>
        </row>
        <row r="428">
          <cell r="L428">
            <v>43551</v>
          </cell>
        </row>
        <row r="429">
          <cell r="L429">
            <v>43552</v>
          </cell>
        </row>
        <row r="430">
          <cell r="L430">
            <v>43553</v>
          </cell>
        </row>
        <row r="431">
          <cell r="L431">
            <v>43556</v>
          </cell>
        </row>
        <row r="432">
          <cell r="L432">
            <v>43557</v>
          </cell>
        </row>
        <row r="433">
          <cell r="L433">
            <v>43558</v>
          </cell>
        </row>
        <row r="434">
          <cell r="L434">
            <v>43559</v>
          </cell>
        </row>
        <row r="435">
          <cell r="L435">
            <v>43560</v>
          </cell>
        </row>
        <row r="436">
          <cell r="L436">
            <v>43563</v>
          </cell>
        </row>
        <row r="437">
          <cell r="L437">
            <v>43564</v>
          </cell>
        </row>
        <row r="438">
          <cell r="L438">
            <v>43565</v>
          </cell>
        </row>
        <row r="439">
          <cell r="L439">
            <v>43566</v>
          </cell>
        </row>
        <row r="440">
          <cell r="L440">
            <v>43567</v>
          </cell>
        </row>
        <row r="441">
          <cell r="L441">
            <v>43570</v>
          </cell>
        </row>
        <row r="442">
          <cell r="L442">
            <v>43571</v>
          </cell>
        </row>
        <row r="443">
          <cell r="L443">
            <v>43572</v>
          </cell>
        </row>
        <row r="444">
          <cell r="L444">
            <v>43573</v>
          </cell>
        </row>
        <row r="445">
          <cell r="L445">
            <v>43578</v>
          </cell>
        </row>
        <row r="446">
          <cell r="L446">
            <v>43579</v>
          </cell>
        </row>
        <row r="447">
          <cell r="L447">
            <v>43580</v>
          </cell>
        </row>
        <row r="448">
          <cell r="L448">
            <v>43581</v>
          </cell>
        </row>
        <row r="449">
          <cell r="L449">
            <v>43584</v>
          </cell>
        </row>
        <row r="450">
          <cell r="L450">
            <v>43585</v>
          </cell>
        </row>
        <row r="451">
          <cell r="L451">
            <v>43587</v>
          </cell>
        </row>
        <row r="452">
          <cell r="L452">
            <v>43588</v>
          </cell>
        </row>
        <row r="453">
          <cell r="L453">
            <v>43591</v>
          </cell>
        </row>
        <row r="454">
          <cell r="L454">
            <v>43592</v>
          </cell>
        </row>
        <row r="455">
          <cell r="L455">
            <v>43593</v>
          </cell>
        </row>
        <row r="456">
          <cell r="L456">
            <v>43594</v>
          </cell>
        </row>
        <row r="457">
          <cell r="L457">
            <v>43595</v>
          </cell>
        </row>
        <row r="458">
          <cell r="L458">
            <v>43598</v>
          </cell>
        </row>
        <row r="459">
          <cell r="L459">
            <v>43599</v>
          </cell>
        </row>
        <row r="460">
          <cell r="L460">
            <v>43600</v>
          </cell>
        </row>
        <row r="461">
          <cell r="L461">
            <v>43601</v>
          </cell>
        </row>
        <row r="462">
          <cell r="L462">
            <v>43602</v>
          </cell>
        </row>
        <row r="463">
          <cell r="L463">
            <v>43605</v>
          </cell>
        </row>
        <row r="464">
          <cell r="L464">
            <v>43606</v>
          </cell>
        </row>
        <row r="465">
          <cell r="L465">
            <v>43607</v>
          </cell>
        </row>
        <row r="466">
          <cell r="L466">
            <v>43608</v>
          </cell>
        </row>
        <row r="467">
          <cell r="L467">
            <v>43609</v>
          </cell>
        </row>
        <row r="468">
          <cell r="L468">
            <v>43612</v>
          </cell>
        </row>
        <row r="469">
          <cell r="L469">
            <v>43613</v>
          </cell>
        </row>
        <row r="470">
          <cell r="L470">
            <v>43614</v>
          </cell>
        </row>
        <row r="471">
          <cell r="L471">
            <v>43615</v>
          </cell>
        </row>
        <row r="472">
          <cell r="L472">
            <v>43616</v>
          </cell>
        </row>
        <row r="473">
          <cell r="L473">
            <v>43619</v>
          </cell>
        </row>
        <row r="474">
          <cell r="L474">
            <v>43620</v>
          </cell>
        </row>
        <row r="475">
          <cell r="L475">
            <v>43621</v>
          </cell>
        </row>
        <row r="476">
          <cell r="L476">
            <v>43622</v>
          </cell>
        </row>
        <row r="477">
          <cell r="L477">
            <v>43623</v>
          </cell>
        </row>
        <row r="478">
          <cell r="L478">
            <v>43627</v>
          </cell>
        </row>
        <row r="479">
          <cell r="L479">
            <v>43628</v>
          </cell>
        </row>
        <row r="480">
          <cell r="L480">
            <v>43629</v>
          </cell>
        </row>
        <row r="481">
          <cell r="L481">
            <v>43630</v>
          </cell>
        </row>
        <row r="482">
          <cell r="L482">
            <v>43633</v>
          </cell>
        </row>
        <row r="483">
          <cell r="L483">
            <v>43634</v>
          </cell>
        </row>
        <row r="484">
          <cell r="L484">
            <v>43635</v>
          </cell>
        </row>
        <row r="485">
          <cell r="L485">
            <v>43636</v>
          </cell>
        </row>
        <row r="486">
          <cell r="L486">
            <v>43637</v>
          </cell>
        </row>
        <row r="487">
          <cell r="L487">
            <v>43640</v>
          </cell>
        </row>
        <row r="488">
          <cell r="L488">
            <v>43641</v>
          </cell>
        </row>
        <row r="489">
          <cell r="L489">
            <v>43642</v>
          </cell>
        </row>
        <row r="490">
          <cell r="L490">
            <v>43643</v>
          </cell>
        </row>
        <row r="491">
          <cell r="L491">
            <v>43644</v>
          </cell>
        </row>
        <row r="492">
          <cell r="L492">
            <v>43647</v>
          </cell>
        </row>
        <row r="493">
          <cell r="L493">
            <v>43648</v>
          </cell>
        </row>
        <row r="494">
          <cell r="L494">
            <v>43649</v>
          </cell>
        </row>
        <row r="495">
          <cell r="L495">
            <v>43650</v>
          </cell>
        </row>
        <row r="496">
          <cell r="L496">
            <v>43651</v>
          </cell>
        </row>
        <row r="497">
          <cell r="L497">
            <v>43654</v>
          </cell>
        </row>
        <row r="498">
          <cell r="L498">
            <v>43655</v>
          </cell>
        </row>
        <row r="499">
          <cell r="L499">
            <v>43656</v>
          </cell>
        </row>
        <row r="500">
          <cell r="L500">
            <v>43657</v>
          </cell>
        </row>
        <row r="501">
          <cell r="L501">
            <v>43658</v>
          </cell>
        </row>
        <row r="502">
          <cell r="L502">
            <v>43661</v>
          </cell>
        </row>
        <row r="503">
          <cell r="L503">
            <v>43662</v>
          </cell>
        </row>
        <row r="504">
          <cell r="L504">
            <v>43663</v>
          </cell>
        </row>
        <row r="505">
          <cell r="L505">
            <v>43664</v>
          </cell>
        </row>
        <row r="506">
          <cell r="L506">
            <v>43665</v>
          </cell>
        </row>
        <row r="507">
          <cell r="L507">
            <v>43668</v>
          </cell>
        </row>
        <row r="508">
          <cell r="L508">
            <v>43669</v>
          </cell>
        </row>
        <row r="509">
          <cell r="L509">
            <v>43670</v>
          </cell>
        </row>
        <row r="510">
          <cell r="L510">
            <v>43671</v>
          </cell>
        </row>
        <row r="511">
          <cell r="L511">
            <v>43672</v>
          </cell>
        </row>
        <row r="512">
          <cell r="L512">
            <v>43675</v>
          </cell>
        </row>
        <row r="513">
          <cell r="L513">
            <v>43676</v>
          </cell>
        </row>
        <row r="514">
          <cell r="L514">
            <v>43677</v>
          </cell>
        </row>
        <row r="515">
          <cell r="L515">
            <v>43678</v>
          </cell>
        </row>
        <row r="516">
          <cell r="L516">
            <v>43679</v>
          </cell>
        </row>
        <row r="517">
          <cell r="L517">
            <v>43682</v>
          </cell>
        </row>
        <row r="518">
          <cell r="L518">
            <v>43683</v>
          </cell>
        </row>
        <row r="519">
          <cell r="L519">
            <v>43684</v>
          </cell>
        </row>
        <row r="520">
          <cell r="L520">
            <v>43685</v>
          </cell>
        </row>
        <row r="521">
          <cell r="L521">
            <v>43686</v>
          </cell>
        </row>
        <row r="522">
          <cell r="L522">
            <v>43689</v>
          </cell>
        </row>
        <row r="523">
          <cell r="L523">
            <v>43690</v>
          </cell>
        </row>
        <row r="524">
          <cell r="L524">
            <v>43691</v>
          </cell>
        </row>
        <row r="525">
          <cell r="L525">
            <v>43692</v>
          </cell>
        </row>
        <row r="526">
          <cell r="L526">
            <v>43693</v>
          </cell>
        </row>
        <row r="527">
          <cell r="L527">
            <v>43696</v>
          </cell>
        </row>
        <row r="528">
          <cell r="L528">
            <v>43697</v>
          </cell>
        </row>
        <row r="529">
          <cell r="L529">
            <v>43698</v>
          </cell>
        </row>
        <row r="530">
          <cell r="L530">
            <v>43699</v>
          </cell>
        </row>
        <row r="531">
          <cell r="L531">
            <v>43700</v>
          </cell>
        </row>
        <row r="532">
          <cell r="L532">
            <v>43703</v>
          </cell>
        </row>
        <row r="533">
          <cell r="L533">
            <v>43704</v>
          </cell>
        </row>
        <row r="534">
          <cell r="L534">
            <v>43705</v>
          </cell>
        </row>
        <row r="535">
          <cell r="L535">
            <v>43706</v>
          </cell>
        </row>
        <row r="536">
          <cell r="L536">
            <v>43707</v>
          </cell>
        </row>
        <row r="537">
          <cell r="L537">
            <v>43710</v>
          </cell>
        </row>
        <row r="538">
          <cell r="L538">
            <v>43711</v>
          </cell>
        </row>
        <row r="539">
          <cell r="L539">
            <v>43712</v>
          </cell>
        </row>
        <row r="540">
          <cell r="L540">
            <v>43713</v>
          </cell>
        </row>
        <row r="541">
          <cell r="L541">
            <v>43714</v>
          </cell>
        </row>
        <row r="542">
          <cell r="L542">
            <v>43717</v>
          </cell>
        </row>
        <row r="543">
          <cell r="L543">
            <v>43718</v>
          </cell>
        </row>
        <row r="544">
          <cell r="L544">
            <v>43719</v>
          </cell>
        </row>
        <row r="545">
          <cell r="L545">
            <v>43720</v>
          </cell>
        </row>
        <row r="546">
          <cell r="L546">
            <v>43721</v>
          </cell>
        </row>
        <row r="547">
          <cell r="L547">
            <v>43724</v>
          </cell>
        </row>
        <row r="548">
          <cell r="L548">
            <v>43725</v>
          </cell>
        </row>
        <row r="549">
          <cell r="L549">
            <v>43726</v>
          </cell>
        </row>
        <row r="550">
          <cell r="L550">
            <v>43727</v>
          </cell>
        </row>
        <row r="551">
          <cell r="L551">
            <v>43728</v>
          </cell>
        </row>
        <row r="552">
          <cell r="L552">
            <v>43731</v>
          </cell>
        </row>
        <row r="553">
          <cell r="L553">
            <v>43732</v>
          </cell>
        </row>
        <row r="554">
          <cell r="L554">
            <v>43733</v>
          </cell>
        </row>
        <row r="555">
          <cell r="L555">
            <v>43734</v>
          </cell>
        </row>
        <row r="556">
          <cell r="L556">
            <v>43735</v>
          </cell>
        </row>
        <row r="557">
          <cell r="L557">
            <v>43738</v>
          </cell>
        </row>
        <row r="558">
          <cell r="L558">
            <v>43739</v>
          </cell>
        </row>
        <row r="559">
          <cell r="L559">
            <v>43740</v>
          </cell>
        </row>
        <row r="560">
          <cell r="L560">
            <v>43742</v>
          </cell>
        </row>
        <row r="561">
          <cell r="L561">
            <v>43745</v>
          </cell>
        </row>
        <row r="562">
          <cell r="L562">
            <v>43746</v>
          </cell>
        </row>
        <row r="563">
          <cell r="L563">
            <v>43747</v>
          </cell>
        </row>
        <row r="564">
          <cell r="L564">
            <v>43748</v>
          </cell>
        </row>
        <row r="565">
          <cell r="L565">
            <v>43749</v>
          </cell>
        </row>
        <row r="566">
          <cell r="L566">
            <v>43752</v>
          </cell>
        </row>
        <row r="567">
          <cell r="L567">
            <v>43753</v>
          </cell>
        </row>
        <row r="568">
          <cell r="L568">
            <v>43754</v>
          </cell>
        </row>
        <row r="569">
          <cell r="L569">
            <v>43755</v>
          </cell>
        </row>
        <row r="570">
          <cell r="L570">
            <v>43756</v>
          </cell>
        </row>
        <row r="571">
          <cell r="L571">
            <v>43759</v>
          </cell>
        </row>
        <row r="572">
          <cell r="L572">
            <v>43760</v>
          </cell>
        </row>
        <row r="573">
          <cell r="L573">
            <v>43761</v>
          </cell>
        </row>
        <row r="574">
          <cell r="L574">
            <v>43762</v>
          </cell>
        </row>
        <row r="575">
          <cell r="L575">
            <v>43763</v>
          </cell>
        </row>
        <row r="576">
          <cell r="L576">
            <v>43766</v>
          </cell>
        </row>
        <row r="577">
          <cell r="L577">
            <v>43767</v>
          </cell>
        </row>
        <row r="578">
          <cell r="L578">
            <v>43768</v>
          </cell>
        </row>
        <row r="579">
          <cell r="L579">
            <v>43769</v>
          </cell>
        </row>
        <row r="580">
          <cell r="L580">
            <v>43770</v>
          </cell>
        </row>
        <row r="581">
          <cell r="L581">
            <v>43773</v>
          </cell>
        </row>
        <row r="582">
          <cell r="L582">
            <v>43774</v>
          </cell>
        </row>
        <row r="583">
          <cell r="L583">
            <v>43775</v>
          </cell>
        </row>
        <row r="584">
          <cell r="L584">
            <v>43776</v>
          </cell>
        </row>
        <row r="585">
          <cell r="L585">
            <v>43777</v>
          </cell>
        </row>
        <row r="586">
          <cell r="L586">
            <v>43780</v>
          </cell>
        </row>
        <row r="587">
          <cell r="L587">
            <v>43781</v>
          </cell>
        </row>
        <row r="588">
          <cell r="L588">
            <v>43782</v>
          </cell>
        </row>
        <row r="589">
          <cell r="L589">
            <v>43783</v>
          </cell>
        </row>
        <row r="590">
          <cell r="L590">
            <v>43784</v>
          </cell>
        </row>
        <row r="591">
          <cell r="L591">
            <v>43787</v>
          </cell>
        </row>
        <row r="592">
          <cell r="L592">
            <v>43788</v>
          </cell>
        </row>
        <row r="593">
          <cell r="L593">
            <v>43789</v>
          </cell>
        </row>
        <row r="594">
          <cell r="L594">
            <v>43790</v>
          </cell>
        </row>
        <row r="595">
          <cell r="L595">
            <v>43791</v>
          </cell>
        </row>
        <row r="596">
          <cell r="L596">
            <v>43794</v>
          </cell>
        </row>
        <row r="597">
          <cell r="L597">
            <v>43795</v>
          </cell>
        </row>
        <row r="598">
          <cell r="L598">
            <v>43796</v>
          </cell>
        </row>
        <row r="599">
          <cell r="L599">
            <v>43797</v>
          </cell>
        </row>
        <row r="600">
          <cell r="L600">
            <v>43798</v>
          </cell>
        </row>
        <row r="601">
          <cell r="L601">
            <v>43801</v>
          </cell>
        </row>
        <row r="602">
          <cell r="L602">
            <v>43802</v>
          </cell>
        </row>
        <row r="603">
          <cell r="L603">
            <v>43803</v>
          </cell>
        </row>
        <row r="604">
          <cell r="L604">
            <v>43804</v>
          </cell>
        </row>
        <row r="605">
          <cell r="L605">
            <v>43805</v>
          </cell>
        </row>
        <row r="606">
          <cell r="L606">
            <v>43808</v>
          </cell>
        </row>
        <row r="607">
          <cell r="L607">
            <v>43809</v>
          </cell>
        </row>
        <row r="608">
          <cell r="L608">
            <v>43810</v>
          </cell>
        </row>
        <row r="609">
          <cell r="L609">
            <v>43811</v>
          </cell>
        </row>
        <row r="610">
          <cell r="L610">
            <v>43812</v>
          </cell>
        </row>
        <row r="611">
          <cell r="L611">
            <v>43815</v>
          </cell>
        </row>
        <row r="612">
          <cell r="L612">
            <v>43816</v>
          </cell>
        </row>
        <row r="613">
          <cell r="L613">
            <v>43817</v>
          </cell>
        </row>
        <row r="614">
          <cell r="L614">
            <v>43818</v>
          </cell>
        </row>
        <row r="615">
          <cell r="L615">
            <v>43819</v>
          </cell>
        </row>
        <row r="616">
          <cell r="L616">
            <v>43822</v>
          </cell>
        </row>
        <row r="617">
          <cell r="L617">
            <v>43826</v>
          </cell>
        </row>
        <row r="618">
          <cell r="L618">
            <v>43829</v>
          </cell>
        </row>
        <row r="619">
          <cell r="L619">
            <v>43832</v>
          </cell>
        </row>
        <row r="620">
          <cell r="L620">
            <v>43833</v>
          </cell>
        </row>
        <row r="621">
          <cell r="L621">
            <v>43836</v>
          </cell>
        </row>
        <row r="622">
          <cell r="L622">
            <v>43837</v>
          </cell>
        </row>
        <row r="623">
          <cell r="L623">
            <v>43838</v>
          </cell>
        </row>
        <row r="624">
          <cell r="L624">
            <v>43839</v>
          </cell>
        </row>
        <row r="625">
          <cell r="L625">
            <v>43840</v>
          </cell>
        </row>
        <row r="626">
          <cell r="L626">
            <v>43843</v>
          </cell>
        </row>
        <row r="627">
          <cell r="L627">
            <v>43844</v>
          </cell>
        </row>
        <row r="628">
          <cell r="L628">
            <v>43845</v>
          </cell>
        </row>
        <row r="629">
          <cell r="L629">
            <v>43846</v>
          </cell>
        </row>
        <row r="630">
          <cell r="L630">
            <v>43847</v>
          </cell>
        </row>
        <row r="631">
          <cell r="L631">
            <v>43850</v>
          </cell>
        </row>
        <row r="632">
          <cell r="L632">
            <v>43851</v>
          </cell>
        </row>
        <row r="633">
          <cell r="L633">
            <v>43852</v>
          </cell>
        </row>
        <row r="634">
          <cell r="L634">
            <v>43853</v>
          </cell>
        </row>
        <row r="635">
          <cell r="L635">
            <v>43854</v>
          </cell>
        </row>
        <row r="636">
          <cell r="L636">
            <v>43857</v>
          </cell>
        </row>
        <row r="637">
          <cell r="L637">
            <v>43858</v>
          </cell>
        </row>
        <row r="638">
          <cell r="L638">
            <v>43859</v>
          </cell>
        </row>
        <row r="639">
          <cell r="L639">
            <v>43860</v>
          </cell>
        </row>
        <row r="640">
          <cell r="L640">
            <v>43861</v>
          </cell>
        </row>
        <row r="641">
          <cell r="L641">
            <v>43864</v>
          </cell>
        </row>
        <row r="642">
          <cell r="L642">
            <v>43865</v>
          </cell>
        </row>
        <row r="643">
          <cell r="L643">
            <v>43866</v>
          </cell>
        </row>
        <row r="644">
          <cell r="L644">
            <v>43867</v>
          </cell>
        </row>
        <row r="645">
          <cell r="L645">
            <v>43868</v>
          </cell>
        </row>
        <row r="646">
          <cell r="L646">
            <v>43871</v>
          </cell>
        </row>
        <row r="647">
          <cell r="L647">
            <v>43872</v>
          </cell>
        </row>
        <row r="648">
          <cell r="L648">
            <v>43873</v>
          </cell>
        </row>
        <row r="649">
          <cell r="L649">
            <v>43874</v>
          </cell>
        </row>
        <row r="650">
          <cell r="L650">
            <v>43875</v>
          </cell>
        </row>
        <row r="651">
          <cell r="L651">
            <v>43878</v>
          </cell>
        </row>
        <row r="652">
          <cell r="L652">
            <v>43879</v>
          </cell>
        </row>
        <row r="653">
          <cell r="L653">
            <v>43880</v>
          </cell>
        </row>
        <row r="654">
          <cell r="L654">
            <v>43881</v>
          </cell>
        </row>
        <row r="655">
          <cell r="L655">
            <v>43882</v>
          </cell>
        </row>
        <row r="656">
          <cell r="L656">
            <v>43885</v>
          </cell>
        </row>
        <row r="657">
          <cell r="L657">
            <v>43886</v>
          </cell>
        </row>
        <row r="658">
          <cell r="L658">
            <v>43887</v>
          </cell>
        </row>
        <row r="659">
          <cell r="L659">
            <v>43888</v>
          </cell>
        </row>
        <row r="660">
          <cell r="L660">
            <v>43889</v>
          </cell>
        </row>
        <row r="661">
          <cell r="L661">
            <v>43892</v>
          </cell>
        </row>
        <row r="662">
          <cell r="L662">
            <v>43893</v>
          </cell>
        </row>
        <row r="663">
          <cell r="L663">
            <v>43894</v>
          </cell>
        </row>
        <row r="664">
          <cell r="L664">
            <v>43895</v>
          </cell>
        </row>
        <row r="665">
          <cell r="L665">
            <v>43896</v>
          </cell>
        </row>
        <row r="666">
          <cell r="L666">
            <v>43899</v>
          </cell>
        </row>
        <row r="667">
          <cell r="L667">
            <v>43900</v>
          </cell>
        </row>
        <row r="668">
          <cell r="L668">
            <v>43901</v>
          </cell>
        </row>
        <row r="669">
          <cell r="L669">
            <v>43902</v>
          </cell>
        </row>
        <row r="670">
          <cell r="L670">
            <v>43903</v>
          </cell>
        </row>
        <row r="671">
          <cell r="L671">
            <v>43906</v>
          </cell>
        </row>
        <row r="672">
          <cell r="L672">
            <v>43907</v>
          </cell>
        </row>
        <row r="673">
          <cell r="L673">
            <v>43908</v>
          </cell>
        </row>
        <row r="674">
          <cell r="L674">
            <v>43909</v>
          </cell>
        </row>
        <row r="675">
          <cell r="L675">
            <v>43910</v>
          </cell>
        </row>
        <row r="676">
          <cell r="L676">
            <v>43913</v>
          </cell>
        </row>
        <row r="677">
          <cell r="L677">
            <v>43914</v>
          </cell>
        </row>
        <row r="678">
          <cell r="L678">
            <v>43915</v>
          </cell>
        </row>
        <row r="679">
          <cell r="L679">
            <v>43916</v>
          </cell>
        </row>
        <row r="680">
          <cell r="L680">
            <v>43917</v>
          </cell>
        </row>
        <row r="681">
          <cell r="L681">
            <v>43920</v>
          </cell>
        </row>
        <row r="682">
          <cell r="L682">
            <v>43921</v>
          </cell>
        </row>
        <row r="683">
          <cell r="L683">
            <v>43922</v>
          </cell>
        </row>
        <row r="684">
          <cell r="L684">
            <v>43923</v>
          </cell>
        </row>
        <row r="685">
          <cell r="L685">
            <v>43924</v>
          </cell>
        </row>
        <row r="686">
          <cell r="L686">
            <v>43927</v>
          </cell>
        </row>
        <row r="687">
          <cell r="L687">
            <v>43928</v>
          </cell>
        </row>
        <row r="688">
          <cell r="L688">
            <v>43929</v>
          </cell>
        </row>
        <row r="689">
          <cell r="L689">
            <v>43930</v>
          </cell>
        </row>
        <row r="690">
          <cell r="L690">
            <v>43935</v>
          </cell>
        </row>
        <row r="691">
          <cell r="L691">
            <v>43936</v>
          </cell>
        </row>
        <row r="692">
          <cell r="L692">
            <v>43937</v>
          </cell>
        </row>
        <row r="693">
          <cell r="L693">
            <v>43938</v>
          </cell>
        </row>
        <row r="694">
          <cell r="L694">
            <v>43941</v>
          </cell>
        </row>
        <row r="695">
          <cell r="L695">
            <v>43942</v>
          </cell>
        </row>
        <row r="696">
          <cell r="L696">
            <v>43943</v>
          </cell>
        </row>
        <row r="697">
          <cell r="L697">
            <v>43944</v>
          </cell>
        </row>
        <row r="698">
          <cell r="L698">
            <v>43945</v>
          </cell>
        </row>
        <row r="699">
          <cell r="L699">
            <v>43948</v>
          </cell>
        </row>
        <row r="700">
          <cell r="L700">
            <v>43949</v>
          </cell>
        </row>
        <row r="701">
          <cell r="L701">
            <v>43950</v>
          </cell>
        </row>
        <row r="702">
          <cell r="L702">
            <v>43951</v>
          </cell>
        </row>
        <row r="703">
          <cell r="L703">
            <v>43955</v>
          </cell>
        </row>
        <row r="704">
          <cell r="L704">
            <v>43956</v>
          </cell>
        </row>
        <row r="705">
          <cell r="L705">
            <v>43957</v>
          </cell>
        </row>
        <row r="706">
          <cell r="L706">
            <v>43958</v>
          </cell>
        </row>
        <row r="707">
          <cell r="L707">
            <v>43959</v>
          </cell>
        </row>
        <row r="708">
          <cell r="L708">
            <v>43962</v>
          </cell>
        </row>
        <row r="709">
          <cell r="L709">
            <v>43963</v>
          </cell>
        </row>
        <row r="710">
          <cell r="L710">
            <v>43964</v>
          </cell>
        </row>
        <row r="711">
          <cell r="L711">
            <v>43965</v>
          </cell>
        </row>
        <row r="712">
          <cell r="L712">
            <v>43966</v>
          </cell>
        </row>
        <row r="713">
          <cell r="L713">
            <v>43969</v>
          </cell>
        </row>
        <row r="714">
          <cell r="L714">
            <v>43970</v>
          </cell>
        </row>
        <row r="715">
          <cell r="L715">
            <v>43971</v>
          </cell>
        </row>
        <row r="716">
          <cell r="L716">
            <v>43972</v>
          </cell>
        </row>
        <row r="717">
          <cell r="L717">
            <v>43973</v>
          </cell>
        </row>
        <row r="718">
          <cell r="L718">
            <v>43976</v>
          </cell>
        </row>
        <row r="719">
          <cell r="L719">
            <v>43977</v>
          </cell>
        </row>
        <row r="720">
          <cell r="L720">
            <v>43978</v>
          </cell>
        </row>
        <row r="721">
          <cell r="L721">
            <v>43979</v>
          </cell>
        </row>
        <row r="722">
          <cell r="L722">
            <v>43980</v>
          </cell>
        </row>
        <row r="723">
          <cell r="L723">
            <v>43984</v>
          </cell>
        </row>
        <row r="724">
          <cell r="L724">
            <v>43985</v>
          </cell>
        </row>
        <row r="725">
          <cell r="L725">
            <v>43986</v>
          </cell>
        </row>
        <row r="726">
          <cell r="L726">
            <v>43987</v>
          </cell>
        </row>
        <row r="727">
          <cell r="L727">
            <v>43990</v>
          </cell>
        </row>
        <row r="728">
          <cell r="L728">
            <v>43991</v>
          </cell>
        </row>
        <row r="729">
          <cell r="L729">
            <v>43992</v>
          </cell>
        </row>
        <row r="730">
          <cell r="L730">
            <v>43993</v>
          </cell>
        </row>
        <row r="731">
          <cell r="L731">
            <v>43994</v>
          </cell>
        </row>
        <row r="732">
          <cell r="L732">
            <v>43997</v>
          </cell>
        </row>
        <row r="733">
          <cell r="L733">
            <v>43998</v>
          </cell>
        </row>
        <row r="734">
          <cell r="L734">
            <v>43999</v>
          </cell>
        </row>
        <row r="735">
          <cell r="L735">
            <v>44000</v>
          </cell>
        </row>
        <row r="736">
          <cell r="L736">
            <v>44001</v>
          </cell>
        </row>
        <row r="737">
          <cell r="L737">
            <v>44004</v>
          </cell>
        </row>
        <row r="738">
          <cell r="L738">
            <v>44005</v>
          </cell>
        </row>
        <row r="739">
          <cell r="L739">
            <v>44006</v>
          </cell>
        </row>
        <row r="740">
          <cell r="L740">
            <v>44007</v>
          </cell>
        </row>
        <row r="741">
          <cell r="L741">
            <v>44008</v>
          </cell>
        </row>
        <row r="742">
          <cell r="L742">
            <v>44011</v>
          </cell>
        </row>
        <row r="743">
          <cell r="L743">
            <v>44012</v>
          </cell>
        </row>
        <row r="744">
          <cell r="L744">
            <v>44013</v>
          </cell>
        </row>
        <row r="745">
          <cell r="L745">
            <v>44014</v>
          </cell>
        </row>
        <row r="746">
          <cell r="L746">
            <v>44015</v>
          </cell>
        </row>
        <row r="747">
          <cell r="L747">
            <v>44018</v>
          </cell>
        </row>
        <row r="748">
          <cell r="L748">
            <v>44019</v>
          </cell>
        </row>
        <row r="749">
          <cell r="L749">
            <v>44020</v>
          </cell>
        </row>
        <row r="750">
          <cell r="L750">
            <v>44021</v>
          </cell>
        </row>
        <row r="751">
          <cell r="L751">
            <v>44022</v>
          </cell>
        </row>
        <row r="752">
          <cell r="L752">
            <v>44025</v>
          </cell>
        </row>
        <row r="753">
          <cell r="L753">
            <v>44026</v>
          </cell>
        </row>
        <row r="754">
          <cell r="L754">
            <v>44027</v>
          </cell>
        </row>
        <row r="755">
          <cell r="L755">
            <v>44028</v>
          </cell>
        </row>
        <row r="756">
          <cell r="L756">
            <v>44029</v>
          </cell>
        </row>
        <row r="757">
          <cell r="L757">
            <v>44032</v>
          </cell>
        </row>
        <row r="758">
          <cell r="L758">
            <v>44033</v>
          </cell>
        </row>
        <row r="759">
          <cell r="L759">
            <v>44034</v>
          </cell>
        </row>
        <row r="760">
          <cell r="L760">
            <v>44035</v>
          </cell>
        </row>
        <row r="761">
          <cell r="L761">
            <v>44036</v>
          </cell>
        </row>
        <row r="762">
          <cell r="L762">
            <v>44039</v>
          </cell>
        </row>
        <row r="763">
          <cell r="L763">
            <v>44040</v>
          </cell>
        </row>
        <row r="764">
          <cell r="L764">
            <v>44041</v>
          </cell>
        </row>
        <row r="765">
          <cell r="L765">
            <v>44042</v>
          </cell>
        </row>
        <row r="766">
          <cell r="L766">
            <v>44043</v>
          </cell>
        </row>
        <row r="767">
          <cell r="L767">
            <v>44046</v>
          </cell>
        </row>
        <row r="768">
          <cell r="L768">
            <v>44047</v>
          </cell>
        </row>
        <row r="769">
          <cell r="L769">
            <v>44048</v>
          </cell>
        </row>
        <row r="770">
          <cell r="L770">
            <v>44049</v>
          </cell>
        </row>
        <row r="771">
          <cell r="L771">
            <v>44050</v>
          </cell>
        </row>
        <row r="772">
          <cell r="L772">
            <v>44053</v>
          </cell>
        </row>
        <row r="773">
          <cell r="L773">
            <v>44054</v>
          </cell>
        </row>
        <row r="774">
          <cell r="L774">
            <v>44055</v>
          </cell>
        </row>
        <row r="775">
          <cell r="L775">
            <v>44056</v>
          </cell>
        </row>
        <row r="776">
          <cell r="L776">
            <v>44057</v>
          </cell>
        </row>
        <row r="777">
          <cell r="L777">
            <v>44060</v>
          </cell>
        </row>
        <row r="778">
          <cell r="L778">
            <v>44061</v>
          </cell>
        </row>
        <row r="779">
          <cell r="L779">
            <v>44062</v>
          </cell>
        </row>
        <row r="780">
          <cell r="L780">
            <v>44063</v>
          </cell>
        </row>
        <row r="781">
          <cell r="L781">
            <v>44064</v>
          </cell>
        </row>
        <row r="782">
          <cell r="L782">
            <v>44067</v>
          </cell>
        </row>
        <row r="783">
          <cell r="L783">
            <v>44068</v>
          </cell>
        </row>
        <row r="784">
          <cell r="L784">
            <v>44069</v>
          </cell>
        </row>
        <row r="785">
          <cell r="L785">
            <v>44070</v>
          </cell>
        </row>
        <row r="786">
          <cell r="L786">
            <v>44071</v>
          </cell>
        </row>
        <row r="787">
          <cell r="L787">
            <v>44074</v>
          </cell>
        </row>
        <row r="788">
          <cell r="L788">
            <v>44075</v>
          </cell>
        </row>
        <row r="789">
          <cell r="L789">
            <v>44076</v>
          </cell>
        </row>
        <row r="790">
          <cell r="L790">
            <v>44077</v>
          </cell>
        </row>
        <row r="791">
          <cell r="L791">
            <v>44078</v>
          </cell>
        </row>
        <row r="792">
          <cell r="L792">
            <v>44081</v>
          </cell>
        </row>
        <row r="793">
          <cell r="L793">
            <v>44082</v>
          </cell>
        </row>
        <row r="794">
          <cell r="L794">
            <v>44083</v>
          </cell>
        </row>
        <row r="795">
          <cell r="L795">
            <v>44084</v>
          </cell>
        </row>
        <row r="796">
          <cell r="L796">
            <v>44085</v>
          </cell>
        </row>
        <row r="797">
          <cell r="L797">
            <v>44088</v>
          </cell>
        </row>
        <row r="798">
          <cell r="L798">
            <v>44089</v>
          </cell>
        </row>
        <row r="799">
          <cell r="L799">
            <v>44090</v>
          </cell>
        </row>
        <row r="800">
          <cell r="L800">
            <v>44091</v>
          </cell>
        </row>
        <row r="801">
          <cell r="L801">
            <v>44092</v>
          </cell>
        </row>
        <row r="802">
          <cell r="L802">
            <v>44095</v>
          </cell>
        </row>
        <row r="803">
          <cell r="L803">
            <v>44096</v>
          </cell>
        </row>
        <row r="804">
          <cell r="L804">
            <v>44097</v>
          </cell>
        </row>
        <row r="805">
          <cell r="L805">
            <v>44098</v>
          </cell>
        </row>
        <row r="806">
          <cell r="L806">
            <v>44099</v>
          </cell>
        </row>
        <row r="807">
          <cell r="L807">
            <v>44102</v>
          </cell>
        </row>
        <row r="808">
          <cell r="L808">
            <v>44103</v>
          </cell>
        </row>
        <row r="809">
          <cell r="L809">
            <v>44104</v>
          </cell>
        </row>
        <row r="810">
          <cell r="L810">
            <v>44105</v>
          </cell>
        </row>
        <row r="811">
          <cell r="L811">
            <v>44106</v>
          </cell>
        </row>
        <row r="812">
          <cell r="L812">
            <v>44109</v>
          </cell>
        </row>
        <row r="813">
          <cell r="L813">
            <v>44110</v>
          </cell>
        </row>
        <row r="814">
          <cell r="L814">
            <v>44111</v>
          </cell>
        </row>
        <row r="815">
          <cell r="L815">
            <v>44112</v>
          </cell>
        </row>
        <row r="816">
          <cell r="L816">
            <v>44113</v>
          </cell>
        </row>
        <row r="817">
          <cell r="L817">
            <v>44116</v>
          </cell>
        </row>
        <row r="818">
          <cell r="L818">
            <v>44117</v>
          </cell>
        </row>
        <row r="819">
          <cell r="L819">
            <v>44118</v>
          </cell>
        </row>
        <row r="820">
          <cell r="L820">
            <v>44119</v>
          </cell>
        </row>
        <row r="821">
          <cell r="L821">
            <v>44120</v>
          </cell>
        </row>
        <row r="822">
          <cell r="L822">
            <v>44123</v>
          </cell>
        </row>
        <row r="823">
          <cell r="L823">
            <v>44124</v>
          </cell>
        </row>
        <row r="824">
          <cell r="L824">
            <v>44125</v>
          </cell>
        </row>
        <row r="825">
          <cell r="L825">
            <v>44126</v>
          </cell>
        </row>
        <row r="826">
          <cell r="L826">
            <v>44127</v>
          </cell>
        </row>
        <row r="827">
          <cell r="L827">
            <v>44130</v>
          </cell>
        </row>
        <row r="828">
          <cell r="L828">
            <v>44131</v>
          </cell>
        </row>
        <row r="829">
          <cell r="L829">
            <v>44132</v>
          </cell>
        </row>
        <row r="830">
          <cell r="L830">
            <v>44133</v>
          </cell>
        </row>
        <row r="831">
          <cell r="L831">
            <v>44134</v>
          </cell>
        </row>
        <row r="832">
          <cell r="L832">
            <v>44137</v>
          </cell>
        </row>
        <row r="833">
          <cell r="L833">
            <v>44138</v>
          </cell>
        </row>
        <row r="834">
          <cell r="L834">
            <v>44139</v>
          </cell>
        </row>
        <row r="835">
          <cell r="L835">
            <v>44140</v>
          </cell>
        </row>
        <row r="836">
          <cell r="L836">
            <v>44141</v>
          </cell>
        </row>
        <row r="837">
          <cell r="L837">
            <v>44144</v>
          </cell>
        </row>
        <row r="838">
          <cell r="L838">
            <v>44145</v>
          </cell>
        </row>
        <row r="839">
          <cell r="L839">
            <v>44146</v>
          </cell>
        </row>
        <row r="840">
          <cell r="L840">
            <v>44147</v>
          </cell>
        </row>
        <row r="841">
          <cell r="L841">
            <v>44148</v>
          </cell>
        </row>
        <row r="842">
          <cell r="L842">
            <v>44151</v>
          </cell>
        </row>
        <row r="843">
          <cell r="L843">
            <v>44152</v>
          </cell>
        </row>
        <row r="844">
          <cell r="L844">
            <v>44153</v>
          </cell>
        </row>
        <row r="845">
          <cell r="L845">
            <v>44154</v>
          </cell>
        </row>
        <row r="846">
          <cell r="L846">
            <v>44155</v>
          </cell>
        </row>
        <row r="847">
          <cell r="L847">
            <v>44158</v>
          </cell>
        </row>
        <row r="848">
          <cell r="L848">
            <v>44159</v>
          </cell>
        </row>
        <row r="849">
          <cell r="L849">
            <v>44160</v>
          </cell>
        </row>
        <row r="850">
          <cell r="L850">
            <v>44161</v>
          </cell>
        </row>
        <row r="851">
          <cell r="L851">
            <v>44162</v>
          </cell>
        </row>
        <row r="852">
          <cell r="L852">
            <v>44165</v>
          </cell>
        </row>
        <row r="853">
          <cell r="L853">
            <v>44166</v>
          </cell>
        </row>
        <row r="854">
          <cell r="L854">
            <v>44167</v>
          </cell>
        </row>
        <row r="855">
          <cell r="L855">
            <v>44168</v>
          </cell>
        </row>
        <row r="856">
          <cell r="L856">
            <v>44169</v>
          </cell>
        </row>
        <row r="857">
          <cell r="L857">
            <v>44172</v>
          </cell>
        </row>
        <row r="858">
          <cell r="L858">
            <v>44173</v>
          </cell>
        </row>
        <row r="859">
          <cell r="L859">
            <v>44174</v>
          </cell>
        </row>
        <row r="860">
          <cell r="L860">
            <v>44175</v>
          </cell>
        </row>
        <row r="861">
          <cell r="L861">
            <v>44176</v>
          </cell>
        </row>
        <row r="862">
          <cell r="L862">
            <v>44179</v>
          </cell>
        </row>
        <row r="863">
          <cell r="L863">
            <v>44180</v>
          </cell>
        </row>
        <row r="864">
          <cell r="L864">
            <v>44181</v>
          </cell>
        </row>
        <row r="865">
          <cell r="L865">
            <v>44182</v>
          </cell>
        </row>
        <row r="866">
          <cell r="L866">
            <v>44183</v>
          </cell>
        </row>
        <row r="867">
          <cell r="L867">
            <v>44186</v>
          </cell>
        </row>
        <row r="868">
          <cell r="L868">
            <v>44187</v>
          </cell>
        </row>
        <row r="869">
          <cell r="L869">
            <v>44188</v>
          </cell>
        </row>
        <row r="870">
          <cell r="L870">
            <v>44193</v>
          </cell>
        </row>
        <row r="871">
          <cell r="L871">
            <v>44194</v>
          </cell>
        </row>
        <row r="872">
          <cell r="L872">
            <v>44195</v>
          </cell>
        </row>
        <row r="873">
          <cell r="L873">
            <v>44200</v>
          </cell>
        </row>
        <row r="874">
          <cell r="L874">
            <v>44201</v>
          </cell>
        </row>
        <row r="875">
          <cell r="L875">
            <v>44202</v>
          </cell>
        </row>
        <row r="876">
          <cell r="L876">
            <v>44203</v>
          </cell>
        </row>
        <row r="877">
          <cell r="L877">
            <v>44204</v>
          </cell>
        </row>
        <row r="878">
          <cell r="L878">
            <v>44207</v>
          </cell>
        </row>
        <row r="879">
          <cell r="L879">
            <v>44208</v>
          </cell>
        </row>
        <row r="880">
          <cell r="L880">
            <v>44209</v>
          </cell>
        </row>
        <row r="881">
          <cell r="L881">
            <v>44210</v>
          </cell>
        </row>
        <row r="882">
          <cell r="L882">
            <v>44211</v>
          </cell>
        </row>
        <row r="883">
          <cell r="L883">
            <v>44214</v>
          </cell>
        </row>
        <row r="884">
          <cell r="L884">
            <v>44215</v>
          </cell>
        </row>
        <row r="885">
          <cell r="L885">
            <v>44216</v>
          </cell>
        </row>
        <row r="886">
          <cell r="L886">
            <v>44217</v>
          </cell>
        </row>
        <row r="887">
          <cell r="L887">
            <v>44218</v>
          </cell>
        </row>
        <row r="888">
          <cell r="L888">
            <v>44221</v>
          </cell>
        </row>
        <row r="889">
          <cell r="L889">
            <v>44222</v>
          </cell>
        </row>
        <row r="890">
          <cell r="L890">
            <v>44223</v>
          </cell>
        </row>
        <row r="891">
          <cell r="L891">
            <v>44224</v>
          </cell>
        </row>
        <row r="892">
          <cell r="L892">
            <v>44225</v>
          </cell>
        </row>
        <row r="893">
          <cell r="L893">
            <v>44228</v>
          </cell>
        </row>
        <row r="894">
          <cell r="L894">
            <v>44229</v>
          </cell>
        </row>
        <row r="895">
          <cell r="L895">
            <v>44230</v>
          </cell>
        </row>
        <row r="896">
          <cell r="L896">
            <v>44231</v>
          </cell>
        </row>
        <row r="897">
          <cell r="L897">
            <v>44232</v>
          </cell>
        </row>
        <row r="898">
          <cell r="L898">
            <v>44235</v>
          </cell>
        </row>
        <row r="899">
          <cell r="L899">
            <v>44236</v>
          </cell>
        </row>
        <row r="900">
          <cell r="L900">
            <v>44237</v>
          </cell>
        </row>
        <row r="901">
          <cell r="L901">
            <v>44238</v>
          </cell>
        </row>
        <row r="902">
          <cell r="L902">
            <v>44239</v>
          </cell>
        </row>
        <row r="903">
          <cell r="L903">
            <v>44242</v>
          </cell>
        </row>
        <row r="904">
          <cell r="L904">
            <v>44243</v>
          </cell>
        </row>
        <row r="905">
          <cell r="L905">
            <v>44244</v>
          </cell>
        </row>
        <row r="906">
          <cell r="L906">
            <v>44245</v>
          </cell>
        </row>
        <row r="907">
          <cell r="L907">
            <v>44246</v>
          </cell>
        </row>
        <row r="908">
          <cell r="L908">
            <v>44249</v>
          </cell>
        </row>
        <row r="909">
          <cell r="L909">
            <v>44250</v>
          </cell>
        </row>
        <row r="910">
          <cell r="L910">
            <v>44251</v>
          </cell>
        </row>
        <row r="911">
          <cell r="L911">
            <v>44252</v>
          </cell>
        </row>
        <row r="912">
          <cell r="L912">
            <v>44253</v>
          </cell>
        </row>
        <row r="913">
          <cell r="L913">
            <v>44256</v>
          </cell>
        </row>
        <row r="914">
          <cell r="L914">
            <v>44257</v>
          </cell>
        </row>
        <row r="915">
          <cell r="L915">
            <v>44258</v>
          </cell>
        </row>
        <row r="916">
          <cell r="L916">
            <v>44259</v>
          </cell>
        </row>
        <row r="917">
          <cell r="L917">
            <v>44260</v>
          </cell>
        </row>
        <row r="918">
          <cell r="L918">
            <v>44263</v>
          </cell>
        </row>
        <row r="919">
          <cell r="L919">
            <v>44264</v>
          </cell>
        </row>
        <row r="920">
          <cell r="L920">
            <v>44265</v>
          </cell>
        </row>
        <row r="921">
          <cell r="L921">
            <v>44266</v>
          </cell>
        </row>
        <row r="922">
          <cell r="L922">
            <v>44267</v>
          </cell>
        </row>
        <row r="923">
          <cell r="L923">
            <v>44270</v>
          </cell>
        </row>
        <row r="924">
          <cell r="L924">
            <v>44271</v>
          </cell>
        </row>
        <row r="925">
          <cell r="L925">
            <v>44272</v>
          </cell>
        </row>
        <row r="926">
          <cell r="L926">
            <v>44273</v>
          </cell>
        </row>
        <row r="927">
          <cell r="L927">
            <v>44274</v>
          </cell>
        </row>
        <row r="928">
          <cell r="L928">
            <v>44277</v>
          </cell>
        </row>
        <row r="929">
          <cell r="L929">
            <v>44278</v>
          </cell>
        </row>
        <row r="930">
          <cell r="L930">
            <v>44279</v>
          </cell>
        </row>
        <row r="931">
          <cell r="L931">
            <v>44280</v>
          </cell>
        </row>
        <row r="932">
          <cell r="L932">
            <v>44281</v>
          </cell>
        </row>
        <row r="933">
          <cell r="L933">
            <v>44284</v>
          </cell>
        </row>
        <row r="934">
          <cell r="L934">
            <v>44285</v>
          </cell>
        </row>
        <row r="935">
          <cell r="L935">
            <v>44286</v>
          </cell>
        </row>
        <row r="936">
          <cell r="L936">
            <v>44287</v>
          </cell>
        </row>
        <row r="937">
          <cell r="L937">
            <v>44292</v>
          </cell>
        </row>
        <row r="938">
          <cell r="L938">
            <v>44293</v>
          </cell>
        </row>
        <row r="939">
          <cell r="L939">
            <v>44294</v>
          </cell>
        </row>
        <row r="940">
          <cell r="L940">
            <v>44295</v>
          </cell>
        </row>
        <row r="941">
          <cell r="L941">
            <v>44298</v>
          </cell>
        </row>
        <row r="942">
          <cell r="L942">
            <v>44299</v>
          </cell>
        </row>
        <row r="943">
          <cell r="L943">
            <v>44300</v>
          </cell>
        </row>
        <row r="944">
          <cell r="L944">
            <v>44301</v>
          </cell>
        </row>
        <row r="945">
          <cell r="L945">
            <v>44302</v>
          </cell>
        </row>
        <row r="946">
          <cell r="L946">
            <v>44305</v>
          </cell>
        </row>
        <row r="947">
          <cell r="L947">
            <v>44306</v>
          </cell>
        </row>
        <row r="948">
          <cell r="L948">
            <v>44307</v>
          </cell>
        </row>
        <row r="949">
          <cell r="L949">
            <v>44308</v>
          </cell>
        </row>
        <row r="950">
          <cell r="L950">
            <v>44309</v>
          </cell>
        </row>
        <row r="951">
          <cell r="L951">
            <v>44312</v>
          </cell>
        </row>
        <row r="952">
          <cell r="L952">
            <v>44313</v>
          </cell>
        </row>
        <row r="953">
          <cell r="L953">
            <v>44314</v>
          </cell>
        </row>
        <row r="954">
          <cell r="L954">
            <v>44315</v>
          </cell>
        </row>
        <row r="955">
          <cell r="L955">
            <v>44316</v>
          </cell>
        </row>
        <row r="956">
          <cell r="L956">
            <v>44319</v>
          </cell>
        </row>
        <row r="957">
          <cell r="L957">
            <v>44320</v>
          </cell>
        </row>
        <row r="958">
          <cell r="L958">
            <v>44321</v>
          </cell>
        </row>
        <row r="959">
          <cell r="L959">
            <v>44322</v>
          </cell>
        </row>
        <row r="960">
          <cell r="L960">
            <v>44323</v>
          </cell>
        </row>
        <row r="961">
          <cell r="L961">
            <v>44326</v>
          </cell>
        </row>
        <row r="962">
          <cell r="L962">
            <v>44327</v>
          </cell>
        </row>
        <row r="963">
          <cell r="L963">
            <v>44328</v>
          </cell>
        </row>
        <row r="964">
          <cell r="L964">
            <v>44329</v>
          </cell>
        </row>
        <row r="965">
          <cell r="L965">
            <v>44330</v>
          </cell>
        </row>
        <row r="966">
          <cell r="L966">
            <v>44333</v>
          </cell>
        </row>
        <row r="967">
          <cell r="L967">
            <v>44334</v>
          </cell>
        </row>
        <row r="968">
          <cell r="L968">
            <v>44335</v>
          </cell>
        </row>
        <row r="969">
          <cell r="L969">
            <v>44336</v>
          </cell>
        </row>
        <row r="970">
          <cell r="L970">
            <v>44337</v>
          </cell>
        </row>
        <row r="971">
          <cell r="L971">
            <v>44341</v>
          </cell>
        </row>
        <row r="972">
          <cell r="L972">
            <v>44342</v>
          </cell>
        </row>
        <row r="973">
          <cell r="L973">
            <v>44343</v>
          </cell>
        </row>
        <row r="974">
          <cell r="L974">
            <v>44344</v>
          </cell>
        </row>
        <row r="975">
          <cell r="L975">
            <v>44347</v>
          </cell>
        </row>
        <row r="976">
          <cell r="L976">
            <v>44348</v>
          </cell>
        </row>
        <row r="977">
          <cell r="L977">
            <v>44349</v>
          </cell>
        </row>
        <row r="978">
          <cell r="L978">
            <v>44350</v>
          </cell>
        </row>
        <row r="979">
          <cell r="L979">
            <v>44351</v>
          </cell>
        </row>
        <row r="980">
          <cell r="L980">
            <v>44354</v>
          </cell>
        </row>
        <row r="981">
          <cell r="L981">
            <v>44355</v>
          </cell>
        </row>
        <row r="982">
          <cell r="L982">
            <v>44356</v>
          </cell>
        </row>
        <row r="983">
          <cell r="L983">
            <v>44357</v>
          </cell>
        </row>
        <row r="984">
          <cell r="L984">
            <v>44358</v>
          </cell>
        </row>
        <row r="985">
          <cell r="L985">
            <v>44361</v>
          </cell>
        </row>
        <row r="986">
          <cell r="L986">
            <v>44362</v>
          </cell>
        </row>
        <row r="987">
          <cell r="L987">
            <v>44363</v>
          </cell>
        </row>
        <row r="988">
          <cell r="L988">
            <v>44364</v>
          </cell>
        </row>
        <row r="989">
          <cell r="L989">
            <v>44365</v>
          </cell>
        </row>
        <row r="990">
          <cell r="L990">
            <v>44368</v>
          </cell>
        </row>
        <row r="991">
          <cell r="L991">
            <v>44369</v>
          </cell>
        </row>
        <row r="992">
          <cell r="L992">
            <v>44370</v>
          </cell>
        </row>
        <row r="993">
          <cell r="L993">
            <v>44371</v>
          </cell>
        </row>
        <row r="994">
          <cell r="L994">
            <v>44372</v>
          </cell>
        </row>
        <row r="995">
          <cell r="L995">
            <v>44375</v>
          </cell>
        </row>
        <row r="996">
          <cell r="L996">
            <v>44376</v>
          </cell>
        </row>
        <row r="997">
          <cell r="L997">
            <v>44377</v>
          </cell>
        </row>
        <row r="998">
          <cell r="L998">
            <v>44378</v>
          </cell>
        </row>
        <row r="999">
          <cell r="L999">
            <v>44379</v>
          </cell>
        </row>
        <row r="1000">
          <cell r="L1000">
            <v>44382</v>
          </cell>
        </row>
        <row r="1001">
          <cell r="L1001">
            <v>44383</v>
          </cell>
        </row>
        <row r="1002">
          <cell r="L1002">
            <v>44384</v>
          </cell>
        </row>
        <row r="1003">
          <cell r="L1003">
            <v>44385</v>
          </cell>
        </row>
        <row r="1004">
          <cell r="L1004">
            <v>44386</v>
          </cell>
        </row>
        <row r="1005">
          <cell r="L1005">
            <v>44389</v>
          </cell>
        </row>
        <row r="1006">
          <cell r="L1006">
            <v>44390</v>
          </cell>
        </row>
        <row r="1007">
          <cell r="L1007">
            <v>44391</v>
          </cell>
        </row>
        <row r="1008">
          <cell r="L1008">
            <v>44392</v>
          </cell>
        </row>
        <row r="1009">
          <cell r="L1009">
            <v>44393</v>
          </cell>
        </row>
        <row r="1010">
          <cell r="L1010">
            <v>44396</v>
          </cell>
        </row>
        <row r="1011">
          <cell r="L1011">
            <v>44397</v>
          </cell>
        </row>
        <row r="1012">
          <cell r="L1012">
            <v>44398</v>
          </cell>
        </row>
        <row r="1013">
          <cell r="L1013">
            <v>44399</v>
          </cell>
        </row>
        <row r="1014">
          <cell r="L1014">
            <v>44400</v>
          </cell>
        </row>
        <row r="1015">
          <cell r="L1015">
            <v>44403</v>
          </cell>
        </row>
        <row r="1016">
          <cell r="L1016">
            <v>44404</v>
          </cell>
        </row>
        <row r="1017">
          <cell r="L1017">
            <v>44405</v>
          </cell>
        </row>
        <row r="1018">
          <cell r="L1018">
            <v>44406</v>
          </cell>
        </row>
        <row r="1019">
          <cell r="L1019">
            <v>44407</v>
          </cell>
        </row>
        <row r="1020">
          <cell r="L1020">
            <v>44410</v>
          </cell>
        </row>
        <row r="1021">
          <cell r="L1021">
            <v>44411</v>
          </cell>
        </row>
        <row r="1022">
          <cell r="L1022">
            <v>44412</v>
          </cell>
        </row>
        <row r="1023">
          <cell r="L1023">
            <v>44413</v>
          </cell>
        </row>
        <row r="1024">
          <cell r="L1024">
            <v>44414</v>
          </cell>
        </row>
        <row r="1025">
          <cell r="L1025">
            <v>44417</v>
          </cell>
        </row>
        <row r="1026">
          <cell r="L1026">
            <v>44418</v>
          </cell>
        </row>
        <row r="1027">
          <cell r="L1027">
            <v>44419</v>
          </cell>
        </row>
        <row r="1028">
          <cell r="L1028">
            <v>44420</v>
          </cell>
        </row>
        <row r="1029">
          <cell r="L1029">
            <v>44421</v>
          </cell>
        </row>
        <row r="1030">
          <cell r="L1030">
            <v>44424</v>
          </cell>
        </row>
        <row r="1031">
          <cell r="L1031">
            <v>44425</v>
          </cell>
        </row>
        <row r="1032">
          <cell r="L1032">
            <v>44426</v>
          </cell>
        </row>
        <row r="1033">
          <cell r="L1033">
            <v>44427</v>
          </cell>
        </row>
        <row r="1034">
          <cell r="L1034">
            <v>44428</v>
          </cell>
        </row>
        <row r="1035">
          <cell r="L1035">
            <v>44431</v>
          </cell>
        </row>
        <row r="1036">
          <cell r="L1036">
            <v>44432</v>
          </cell>
        </row>
        <row r="1037">
          <cell r="L1037">
            <v>44433</v>
          </cell>
        </row>
        <row r="1038">
          <cell r="L1038">
            <v>44434</v>
          </cell>
        </row>
        <row r="1039">
          <cell r="L1039">
            <v>44435</v>
          </cell>
        </row>
        <row r="1040">
          <cell r="L1040">
            <v>44438</v>
          </cell>
        </row>
        <row r="1041">
          <cell r="L1041">
            <v>44439</v>
          </cell>
        </row>
        <row r="1042">
          <cell r="L1042">
            <v>44440</v>
          </cell>
        </row>
        <row r="1043">
          <cell r="L1043">
            <v>44441</v>
          </cell>
        </row>
        <row r="1044">
          <cell r="L1044">
            <v>44442</v>
          </cell>
        </row>
        <row r="1045">
          <cell r="L1045">
            <v>44445</v>
          </cell>
        </row>
        <row r="1046">
          <cell r="L1046">
            <v>44446</v>
          </cell>
        </row>
        <row r="1047">
          <cell r="L1047">
            <v>44447</v>
          </cell>
        </row>
        <row r="1048">
          <cell r="L1048">
            <v>44448</v>
          </cell>
        </row>
        <row r="1049">
          <cell r="L1049">
            <v>44449</v>
          </cell>
        </row>
        <row r="1050">
          <cell r="L1050">
            <v>44452</v>
          </cell>
        </row>
        <row r="1051">
          <cell r="L1051">
            <v>44453</v>
          </cell>
        </row>
        <row r="1052">
          <cell r="L1052">
            <v>44454</v>
          </cell>
        </row>
        <row r="1053">
          <cell r="L1053">
            <v>44455</v>
          </cell>
        </row>
        <row r="1054">
          <cell r="L1054">
            <v>44456</v>
          </cell>
        </row>
        <row r="1055">
          <cell r="L1055">
            <v>44459</v>
          </cell>
        </row>
        <row r="1056">
          <cell r="L1056">
            <v>44460</v>
          </cell>
        </row>
        <row r="1057">
          <cell r="L1057">
            <v>44461</v>
          </cell>
        </row>
        <row r="1058">
          <cell r="L1058">
            <v>44462</v>
          </cell>
        </row>
        <row r="1059">
          <cell r="L1059">
            <v>44463</v>
          </cell>
        </row>
        <row r="1060">
          <cell r="L1060">
            <v>44466</v>
          </cell>
        </row>
        <row r="1061">
          <cell r="L1061">
            <v>44467</v>
          </cell>
        </row>
        <row r="1062">
          <cell r="L1062">
            <v>44468</v>
          </cell>
        </row>
        <row r="1063">
          <cell r="L1063">
            <v>44469</v>
          </cell>
        </row>
        <row r="1064">
          <cell r="L1064">
            <v>44470</v>
          </cell>
        </row>
        <row r="1065">
          <cell r="L1065">
            <v>44473</v>
          </cell>
        </row>
        <row r="1066">
          <cell r="L1066">
            <v>44474</v>
          </cell>
        </row>
        <row r="1067">
          <cell r="L1067">
            <v>44475</v>
          </cell>
        </row>
        <row r="1068">
          <cell r="L1068">
            <v>44476</v>
          </cell>
        </row>
        <row r="1069">
          <cell r="L1069">
            <v>44477</v>
          </cell>
        </row>
        <row r="1070">
          <cell r="L1070">
            <v>44480</v>
          </cell>
        </row>
        <row r="1071">
          <cell r="L1071">
            <v>44481</v>
          </cell>
        </row>
        <row r="1072">
          <cell r="L1072">
            <v>44482</v>
          </cell>
        </row>
        <row r="1073">
          <cell r="L1073">
            <v>44483</v>
          </cell>
        </row>
        <row r="1074">
          <cell r="L1074">
            <v>44484</v>
          </cell>
        </row>
        <row r="1075">
          <cell r="L1075">
            <v>44487</v>
          </cell>
        </row>
        <row r="1076">
          <cell r="L1076">
            <v>44488</v>
          </cell>
        </row>
        <row r="1077">
          <cell r="L1077">
            <v>44489</v>
          </cell>
        </row>
        <row r="1078">
          <cell r="L1078">
            <v>44490</v>
          </cell>
        </row>
        <row r="1079">
          <cell r="L1079">
            <v>44491</v>
          </cell>
        </row>
        <row r="1080">
          <cell r="L1080">
            <v>44494</v>
          </cell>
        </row>
        <row r="1081">
          <cell r="L1081">
            <v>44495</v>
          </cell>
        </row>
        <row r="1082">
          <cell r="L1082">
            <v>44496</v>
          </cell>
        </row>
        <row r="1083">
          <cell r="L1083">
            <v>44497</v>
          </cell>
        </row>
        <row r="1084">
          <cell r="L1084">
            <v>44498</v>
          </cell>
        </row>
        <row r="1085">
          <cell r="L1085">
            <v>44501</v>
          </cell>
        </row>
        <row r="1086">
          <cell r="L1086">
            <v>44502</v>
          </cell>
        </row>
        <row r="1087">
          <cell r="L1087">
            <v>44503</v>
          </cell>
        </row>
        <row r="1088">
          <cell r="L1088">
            <v>44504</v>
          </cell>
        </row>
        <row r="1089">
          <cell r="L1089">
            <v>44505</v>
          </cell>
        </row>
        <row r="1090">
          <cell r="L1090">
            <v>44508</v>
          </cell>
        </row>
        <row r="1091">
          <cell r="L1091">
            <v>44509</v>
          </cell>
        </row>
        <row r="1092">
          <cell r="L1092">
            <v>44510</v>
          </cell>
        </row>
        <row r="1093">
          <cell r="L1093">
            <v>44511</v>
          </cell>
        </row>
        <row r="1094">
          <cell r="L1094">
            <v>44512</v>
          </cell>
        </row>
        <row r="1095">
          <cell r="L1095">
            <v>44515</v>
          </cell>
        </row>
        <row r="1096">
          <cell r="L1096">
            <v>44516</v>
          </cell>
        </row>
        <row r="1097">
          <cell r="L1097">
            <v>44517</v>
          </cell>
        </row>
        <row r="1098">
          <cell r="L1098">
            <v>44518</v>
          </cell>
        </row>
        <row r="1099">
          <cell r="L1099">
            <v>44519</v>
          </cell>
        </row>
        <row r="1100">
          <cell r="L1100">
            <v>44522</v>
          </cell>
        </row>
        <row r="1101">
          <cell r="L1101">
            <v>44523</v>
          </cell>
        </row>
        <row r="1102">
          <cell r="L1102">
            <v>44524</v>
          </cell>
        </row>
        <row r="1103">
          <cell r="L1103">
            <v>44525</v>
          </cell>
        </row>
        <row r="1104">
          <cell r="L1104">
            <v>44526</v>
          </cell>
        </row>
        <row r="1105">
          <cell r="L1105">
            <v>44529</v>
          </cell>
        </row>
        <row r="1106">
          <cell r="L1106">
            <v>44530</v>
          </cell>
        </row>
        <row r="1107">
          <cell r="L1107">
            <v>44531</v>
          </cell>
        </row>
        <row r="1108">
          <cell r="L1108">
            <v>44532</v>
          </cell>
        </row>
        <row r="1109">
          <cell r="L1109">
            <v>44533</v>
          </cell>
        </row>
        <row r="1110">
          <cell r="L1110">
            <v>44536</v>
          </cell>
        </row>
        <row r="1111">
          <cell r="L1111">
            <v>44537</v>
          </cell>
        </row>
        <row r="1112">
          <cell r="L1112">
            <v>44538</v>
          </cell>
        </row>
        <row r="1113">
          <cell r="L1113">
            <v>44539</v>
          </cell>
        </row>
        <row r="1114">
          <cell r="L1114">
            <v>44540</v>
          </cell>
        </row>
        <row r="1115">
          <cell r="L1115">
            <v>44543</v>
          </cell>
        </row>
        <row r="1116">
          <cell r="L1116">
            <v>44544</v>
          </cell>
        </row>
        <row r="1117">
          <cell r="L1117">
            <v>44545</v>
          </cell>
        </row>
        <row r="1118">
          <cell r="L1118">
            <v>44546</v>
          </cell>
        </row>
        <row r="1119">
          <cell r="L1119">
            <v>44547</v>
          </cell>
        </row>
        <row r="1120">
          <cell r="L1120">
            <v>44550</v>
          </cell>
        </row>
        <row r="1121">
          <cell r="L1121">
            <v>44551</v>
          </cell>
        </row>
        <row r="1122">
          <cell r="L1122">
            <v>44552</v>
          </cell>
        </row>
        <row r="1123">
          <cell r="L1123">
            <v>44553</v>
          </cell>
        </row>
        <row r="1124">
          <cell r="L1124">
            <v>44557</v>
          </cell>
        </row>
        <row r="1125">
          <cell r="L1125">
            <v>44558</v>
          </cell>
        </row>
        <row r="1126">
          <cell r="L1126">
            <v>44559</v>
          </cell>
        </row>
        <row r="1127">
          <cell r="L1127">
            <v>44560</v>
          </cell>
        </row>
        <row r="1128">
          <cell r="L1128">
            <v>44564</v>
          </cell>
        </row>
        <row r="1129">
          <cell r="L1129">
            <v>44565</v>
          </cell>
        </row>
        <row r="1130">
          <cell r="L1130">
            <v>44566</v>
          </cell>
        </row>
        <row r="1131">
          <cell r="L1131">
            <v>44567</v>
          </cell>
        </row>
        <row r="1132">
          <cell r="L1132">
            <v>44568</v>
          </cell>
        </row>
        <row r="1133">
          <cell r="L1133">
            <v>44571</v>
          </cell>
        </row>
        <row r="1134">
          <cell r="L1134">
            <v>44572</v>
          </cell>
        </row>
        <row r="1135">
          <cell r="L1135">
            <v>44573</v>
          </cell>
        </row>
        <row r="1136">
          <cell r="L1136">
            <v>44574</v>
          </cell>
        </row>
        <row r="1137">
          <cell r="L1137">
            <v>44575</v>
          </cell>
        </row>
        <row r="1138">
          <cell r="L1138">
            <v>44578</v>
          </cell>
        </row>
        <row r="1139">
          <cell r="L1139">
            <v>44579</v>
          </cell>
        </row>
        <row r="1140">
          <cell r="L1140">
            <v>44580</v>
          </cell>
        </row>
        <row r="1141">
          <cell r="L1141">
            <v>44581</v>
          </cell>
        </row>
        <row r="1142">
          <cell r="L1142">
            <v>44582</v>
          </cell>
        </row>
        <row r="1143">
          <cell r="L1143">
            <v>44585</v>
          </cell>
        </row>
        <row r="1144">
          <cell r="L1144">
            <v>44586</v>
          </cell>
        </row>
        <row r="1145">
          <cell r="L1145">
            <v>44587</v>
          </cell>
        </row>
        <row r="1146">
          <cell r="L1146">
            <v>44588</v>
          </cell>
        </row>
        <row r="1147">
          <cell r="L1147">
            <v>44589</v>
          </cell>
        </row>
        <row r="1148">
          <cell r="L1148">
            <v>44592</v>
          </cell>
        </row>
        <row r="1149">
          <cell r="L1149">
            <v>44593</v>
          </cell>
        </row>
        <row r="1150">
          <cell r="L1150">
            <v>44594</v>
          </cell>
        </row>
        <row r="1151">
          <cell r="L1151">
            <v>44595</v>
          </cell>
        </row>
        <row r="1152">
          <cell r="L1152">
            <v>44596</v>
          </cell>
        </row>
        <row r="1153">
          <cell r="L1153">
            <v>44599</v>
          </cell>
        </row>
        <row r="1154">
          <cell r="L1154">
            <v>44600</v>
          </cell>
        </row>
        <row r="1155">
          <cell r="L1155">
            <v>44601</v>
          </cell>
        </row>
        <row r="1156">
          <cell r="L1156">
            <v>44602</v>
          </cell>
        </row>
        <row r="1157">
          <cell r="L1157">
            <v>44603</v>
          </cell>
        </row>
        <row r="1158">
          <cell r="L1158">
            <v>44606</v>
          </cell>
        </row>
        <row r="1159">
          <cell r="L1159">
            <v>44607</v>
          </cell>
        </row>
        <row r="1160">
          <cell r="L1160">
            <v>44608</v>
          </cell>
        </row>
        <row r="1161">
          <cell r="L1161">
            <v>44609</v>
          </cell>
        </row>
        <row r="1162">
          <cell r="L1162">
            <v>44610</v>
          </cell>
        </row>
        <row r="1163">
          <cell r="L1163">
            <v>44613</v>
          </cell>
        </row>
        <row r="1164">
          <cell r="L1164">
            <v>44614</v>
          </cell>
        </row>
        <row r="1165">
          <cell r="L1165">
            <v>44615</v>
          </cell>
        </row>
        <row r="1166">
          <cell r="L1166">
            <v>44616</v>
          </cell>
        </row>
        <row r="1167">
          <cell r="L1167">
            <v>44617</v>
          </cell>
        </row>
        <row r="1168">
          <cell r="L1168">
            <v>44620</v>
          </cell>
        </row>
        <row r="1169">
          <cell r="L1169">
            <v>44621</v>
          </cell>
        </row>
        <row r="1170">
          <cell r="L1170">
            <v>44622</v>
          </cell>
        </row>
        <row r="1171">
          <cell r="L1171">
            <v>44623</v>
          </cell>
        </row>
        <row r="1172">
          <cell r="L1172">
            <v>44624</v>
          </cell>
        </row>
        <row r="1173">
          <cell r="L1173">
            <v>44627</v>
          </cell>
        </row>
        <row r="1174">
          <cell r="L1174">
            <v>44628</v>
          </cell>
        </row>
        <row r="1175">
          <cell r="L1175">
            <v>44629</v>
          </cell>
        </row>
        <row r="1176">
          <cell r="L1176">
            <v>44630</v>
          </cell>
        </row>
        <row r="1177">
          <cell r="L1177">
            <v>44631</v>
          </cell>
        </row>
        <row r="1178">
          <cell r="L1178">
            <v>44634</v>
          </cell>
        </row>
        <row r="1179">
          <cell r="L1179">
            <v>44635</v>
          </cell>
        </row>
        <row r="1180">
          <cell r="L1180">
            <v>44636</v>
          </cell>
        </row>
        <row r="1181">
          <cell r="L1181">
            <v>44637</v>
          </cell>
        </row>
        <row r="1182">
          <cell r="L1182">
            <v>44638</v>
          </cell>
        </row>
        <row r="1183">
          <cell r="L1183">
            <v>44641</v>
          </cell>
        </row>
        <row r="1184">
          <cell r="L1184">
            <v>44642</v>
          </cell>
        </row>
        <row r="1185">
          <cell r="L1185">
            <v>44643</v>
          </cell>
        </row>
        <row r="1186">
          <cell r="L1186">
            <v>44644</v>
          </cell>
        </row>
        <row r="1187">
          <cell r="L1187">
            <v>44645</v>
          </cell>
        </row>
        <row r="1188">
          <cell r="L1188">
            <v>44648</v>
          </cell>
        </row>
        <row r="1189">
          <cell r="L1189">
            <v>44649</v>
          </cell>
        </row>
        <row r="1190">
          <cell r="L1190">
            <v>44650</v>
          </cell>
        </row>
        <row r="1191">
          <cell r="L1191">
            <v>44651</v>
          </cell>
        </row>
        <row r="1192">
          <cell r="L1192">
            <v>44652</v>
          </cell>
        </row>
        <row r="1193">
          <cell r="L1193">
            <v>44655</v>
          </cell>
        </row>
        <row r="1194">
          <cell r="L1194">
            <v>44656</v>
          </cell>
        </row>
        <row r="1195">
          <cell r="L1195">
            <v>44657</v>
          </cell>
        </row>
        <row r="1196">
          <cell r="L1196">
            <v>44658</v>
          </cell>
        </row>
        <row r="1197">
          <cell r="L1197">
            <v>44659</v>
          </cell>
        </row>
        <row r="1198">
          <cell r="L1198">
            <v>44662</v>
          </cell>
        </row>
      </sheetData>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TEMPLATES"/>
      <sheetName val="New Issue"/>
      <sheetName val="One Page Model"/>
      <sheetName val="Rationale - RevVal"/>
      <sheetName val="Tactical Trade"/>
      <sheetName val="ISSUER INFO"/>
      <sheetName val="KPI's"/>
      <sheetName val="Forecasts"/>
      <sheetName val="DCF"/>
      <sheetName val="Multiples"/>
      <sheetName val="Presentation Tables"/>
      <sheetName val="Calculation"/>
      <sheetName val="Divisional Summary"/>
      <sheetName val="Consensus"/>
      <sheetName val="Income Statement"/>
      <sheetName val="Balance Sheet"/>
      <sheetName val="Cash Flow"/>
      <sheetName val="A&amp;G Handling"/>
      <sheetName val="FabTech"/>
      <sheetName val="MedTech"/>
      <sheetName val="FX"/>
      <sheetName val="M&amp;A"/>
      <sheetName val="Debt"/>
      <sheetName val="Seasonality"/>
      <sheetName val="Guidance"/>
      <sheetName val="Pension"/>
      <sheetName val="Geographic"/>
      <sheetName val="QC"/>
      <sheetName val="DB Disclaimer"/>
    </sheetNames>
    <sheetDataSet>
      <sheetData sheetId="0"/>
      <sheetData sheetId="1"/>
      <sheetData sheetId="2"/>
      <sheetData sheetId="3">
        <row r="2">
          <cell r="W2" t="str">
            <v>Period Ending: 12/31/19</v>
          </cell>
        </row>
      </sheetData>
      <sheetData sheetId="4">
        <row r="3">
          <cell r="S3" t="str">
            <v>Last report date: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CJ3">
            <v>1</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P"/>
      <sheetName val="BS"/>
      <sheetName val="TOSCO"/>
      <sheetName val="Segment ROCE"/>
      <sheetName val="ROGIC"/>
      <sheetName val="E&amp;P"/>
      <sheetName val="NEPS"/>
      <sheetName val="RefineryMaint"/>
      <sheetName val="Hamaca"/>
      <sheetName val="Bohai"/>
      <sheetName val="Bayu Undan"/>
      <sheetName val="R&amp;M"/>
      <sheetName val="GPM"/>
      <sheetName val="Variance"/>
      <sheetName val="ARCO - Alaska"/>
      <sheetName val="Capex"/>
      <sheetName val="Reserves"/>
      <sheetName val="WACC"/>
      <sheetName val="Valuation"/>
      <sheetName val="NAV"/>
      <sheetName val="Chemical JV"/>
      <sheetName val="Chems"/>
      <sheetName val="EKOFISK"/>
      <sheetName val="PUDS"/>
      <sheetName val="GE Data"/>
      <sheetName val="IndexInformation"/>
      <sheetName val="MainCode"/>
      <sheetName val="NY UPLOAD"/>
      <sheetName val="NY UPLOAD Shadow"/>
      <sheetName val="Distribution"/>
      <sheetName val="A-Link Source"/>
      <sheetName val="Q-Link Source"/>
      <sheetName val="Quarterly"/>
      <sheetName val="Normalized"/>
      <sheetName val="DDM"/>
      <sheetName val="B Sheet"/>
      <sheetName val="NY UPLOAD.bak"/>
      <sheetName val="NY UPLOAD Shadow.bak"/>
      <sheetName val="Ratios"/>
      <sheetName val="Income Statement"/>
      <sheetName val="Revenue&amp;EBIT"/>
      <sheetName val="Fin. Summary"/>
      <sheetName val="COP"/>
      <sheetName val="Inputs"/>
      <sheetName val="XOM"/>
      <sheetName val="New Source Charts"/>
      <sheetName val="Modelware"/>
      <sheetName val="R&amp;MIS"/>
      <sheetName val="E&amp;P Growth &amp; Returns"/>
      <sheetName val="Global Product Sum"/>
      <sheetName val="Scenario"/>
      <sheetName val="Quarter"/>
      <sheetName val="Annual"/>
      <sheetName val="AN"/>
      <sheetName val="COC"/>
      <sheetName val="ｾｸﾞﾒﾝﾄ"/>
      <sheetName val="単独"/>
      <sheetName val="Factset Profile"/>
      <sheetName val="cash"/>
      <sheetName val="RD"/>
      <sheetName val="Power Plants"/>
      <sheetName val="synthgraph"/>
      <sheetName val="Scene2"/>
      <sheetName val="Bridge"/>
      <sheetName val="AK"/>
      <sheetName val="Cyc"/>
      <sheetName val="WF G"/>
      <sheetName val="CF"/>
      <sheetName val="FX2"/>
      <sheetName val="IS"/>
      <sheetName val="KEY_FINANCIALS"/>
      <sheetName val="DATA_IMPORT"/>
      <sheetName val="Model"/>
      <sheetName val="DCF"/>
      <sheetName val="FX Impact"/>
      <sheetName val="Tracking --&gt;"/>
      <sheetName val="Relative"/>
      <sheetName val="NORM"/>
      <sheetName val="SOLP"/>
      <sheetName val="Liquids"/>
      <sheetName val="charts"/>
      <sheetName val="Apples-Ratios"/>
      <sheetName val="Quarterly Data"/>
      <sheetName val="Debt"/>
      <sheetName val="Sheet1"/>
      <sheetName val="US"/>
      <sheetName val="DL"/>
      <sheetName val="IBES"/>
      <sheetName val="Value-A"/>
      <sheetName val="Scenarios"/>
      <sheetName val="ACM"/>
      <sheetName val="MW Ratios"/>
      <sheetName val="Ratings"/>
      <sheetName val="Field"/>
      <sheetName val="REVS"/>
      <sheetName val="earnmodel"/>
      <sheetName val="O_fpage"/>
      <sheetName val="maturityprofile"/>
      <sheetName val="variables"/>
      <sheetName val="IP"/>
      <sheetName val="Vluation"/>
      <sheetName val="ChemiPal JV"/>
      <sheetName val="Old BKS"/>
      <sheetName val="Plants"/>
      <sheetName val="VeraSun"/>
      <sheetName val="Forecast Change"/>
      <sheetName val="CY Link"/>
      <sheetName val="New Source"/>
      <sheetName val="INFAnnual"/>
      <sheetName val="Balance Sheet"/>
      <sheetName val="HSCDS-Retail"/>
      <sheetName val="DVC"/>
      <sheetName val="Links"/>
      <sheetName val="SectorPSales"/>
      <sheetName val="BMW"/>
      <sheetName val="BalanceSheet"/>
      <sheetName val="Add"/>
      <sheetName val="Revenue Model"/>
      <sheetName val="LME 2010"/>
      <sheetName val="MERGER"/>
      <sheetName val="Input Income Statement"/>
      <sheetName val="Assumptions"/>
      <sheetName val="Qtrly P&amp;L and BalSheet"/>
      <sheetName val="GT"/>
      <sheetName val="3Q05 Variance"/>
      <sheetName val="Reserve"/>
      <sheetName val="Ex3"/>
      <sheetName val="MW ROE Analyzer"/>
      <sheetName val="Master"/>
      <sheetName val="model &amp; valuation"/>
      <sheetName val="Budget summary 2011"/>
      <sheetName val="B"/>
      <sheetName val="Print"/>
      <sheetName val="Revenue at Risk"/>
      <sheetName val="ERPRO sheet"/>
      <sheetName val="New RGM"/>
      <sheetName val="c1"/>
      <sheetName val="SCF &amp; BS"/>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egment_ROCE"/>
      <sheetName val="US CLECS Input"/>
      <sheetName val="YTD Summaries"/>
      <sheetName val="Headcount Input Scheudle"/>
      <sheetName val="Capital Expenses"/>
      <sheetName val="Output_Q"/>
      <sheetName val="Cash Flow Statement"/>
      <sheetName val="Output_A"/>
      <sheetName val="LBOSHELL"/>
      <sheetName val="Comps"/>
      <sheetName val="GROUP P&amp;L"/>
      <sheetName val="IQ_GEO_SEG_EARNINGS_OP"/>
      <sheetName val="RenewProb"/>
      <sheetName val="Sheet2"/>
      <sheetName val="Commodities"/>
      <sheetName val="Data"/>
      <sheetName val="Sputtering"/>
      <sheetName val="Capacity"/>
      <sheetName val="New main"/>
      <sheetName val="P&amp;L"/>
      <sheetName val="A"/>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Financial Overview ShortProfile"/>
      <sheetName val="Assumptions &amp; Switches"/>
      <sheetName val="K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Revenue"/>
      <sheetName val="BC Data Page"/>
      <sheetName val="advolKP"/>
      <sheetName val="DCF"/>
      <sheetName val="WYE Revenue"/>
      <sheetName val="Cookbook"/>
      <sheetName val="Geos"/>
      <sheetName val="OFF-UTIL.XLS"/>
      <sheetName val="Cost"/>
      <sheetName val="main"/>
      <sheetName val="acquisition history"/>
      <sheetName val="INTCWKSH"/>
      <sheetName val="Stock Price"/>
      <sheetName val="Qtrly"/>
      <sheetName val="I S"/>
      <sheetName val="JET Merger Model"/>
    </sheetNames>
    <sheetDataSet>
      <sheetData sheetId="0" refreshError="1"/>
      <sheetData sheetId="1"/>
      <sheetData sheetId="2" refreshError="1"/>
      <sheetData sheetId="3" refreshError="1">
        <row r="1">
          <cell r="B1" t="str">
            <v>n</v>
          </cell>
        </row>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nks Fix"/>
      <sheetName val="Edge 10797 Drilling Inventory"/>
      <sheetName val="corp profile"/>
      <sheetName val="#REF"/>
      <sheetName val="D"/>
      <sheetName val="Income Statement"/>
      <sheetName val="Projections"/>
      <sheetName val="c"/>
      <sheetName val="Canada"/>
      <sheetName val="Model"/>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NonQtr"/>
      <sheetName val="REVENUE BY GEOGRAPHY"/>
      <sheetName val="Risk-Reward_View_Chart"/>
      <sheetName val="Valsum"/>
      <sheetName val="Data 20d"/>
      <sheetName val="Data"/>
      <sheetName val="Interims"/>
      <sheetName val="Financial Statements"/>
      <sheetName val="Good 12-00 (2)"/>
      <sheetName val="Good 11-36"/>
      <sheetName val="Good 11-50"/>
      <sheetName val="Sheet3 (5)"/>
      <sheetName val="Inputs"/>
      <sheetName val="FX"/>
      <sheetName val="CPB"/>
      <sheetName val="Total_Food_Promo"/>
      <sheetName val="CPB_2yr"/>
      <sheetName val="Summary"/>
      <sheetName val="Floater Demand"/>
      <sheetName val="B11_BarSingle_AverageLine"/>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Sheet4"/>
      <sheetName val="ForeignStake"/>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Charts"/>
      <sheetName val="Pension"/>
      <sheetName val="Wal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ｾｸﾞﾒﾝﾄ"/>
      <sheetName val="単独"/>
    </sheetNames>
    <sheetDataSet>
      <sheetData sheetId="0" refreshError="1">
        <row r="5">
          <cell r="F5" t="str">
            <v>Display horizontal line for the average?</v>
          </cell>
        </row>
        <row r="10">
          <cell r="Y10" t="str">
            <v>invisible1</v>
          </cell>
        </row>
        <row r="11">
          <cell r="D11" t="str">
            <v>Jupiter</v>
          </cell>
          <cell r="E11">
            <v>78</v>
          </cell>
          <cell r="X11" t="str">
            <v xml:space="preserve">  </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nsensus"/>
      <sheetName val="Gaap Adj"/>
      <sheetName val="COVER SHEET"/>
      <sheetName val="MW-Cache"/>
      <sheetName val="__FDSCACHE__"/>
      <sheetName val="IS-ANNUAL"/>
      <sheetName val="IS-QTRLY"/>
      <sheetName val="REV-ANNUAL"/>
      <sheetName val="REV-QTRLY"/>
      <sheetName val="SEL_FRANCHISES"/>
      <sheetName val="CFBS"/>
      <sheetName val="FOOTNOTES"/>
      <sheetName val="AGREEMENTS"/>
      <sheetName val="MGMT PROJECTIONS"/>
      <sheetName val="PIPELINE"/>
      <sheetName val="PIPELINE_UNADJ"/>
      <sheetName val="DCF"/>
      <sheetName val="DEBT"/>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ANOMALIES"/>
      <sheetName val="ASSUMPTIONS"/>
      <sheetName val="2008 pro forma EPS (wIMCL)"/>
      <sheetName val="prasugrel sales potential"/>
      <sheetName val="prasugrel npv"/>
      <sheetName val="Cialis JV"/>
      <sheetName val="tabs"/>
      <sheetName val="pipeline_summary"/>
      <sheetName val="C38001"/>
      <sheetName val="C3800"/>
      <sheetName val="Product Mix"/>
      <sheetName val="calendar"/>
      <sheetName val="patents"/>
      <sheetName val="launches"/>
      <sheetName val="pipeline handout"/>
      <sheetName val="FCF vs Guidance"/>
      <sheetName val="#REF"/>
      <sheetName val="diabetes_multiple"/>
      <sheetName val="TR Convert"/>
      <sheetName val="Annual"/>
      <sheetName val="Becker"/>
      <sheetName val="HGSI"/>
      <sheetName val="Partnerships"/>
    </sheetNames>
    <sheetDataSet>
      <sheetData sheetId="0" refreshError="1"/>
      <sheetData sheetId="1">
        <row r="1">
          <cell r="B1" t="str">
            <v>Eli Lilly &amp; Co.</v>
          </cell>
        </row>
      </sheetData>
      <sheetData sheetId="2"/>
      <sheetData sheetId="3"/>
      <sheetData sheetId="4"/>
      <sheetData sheetId="5"/>
      <sheetData sheetId="6"/>
      <sheetData sheetId="7" refreshError="1"/>
      <sheetData sheetId="8"/>
      <sheetData sheetId="9" refreshError="1"/>
      <sheetData sheetId="10"/>
      <sheetData sheetId="11"/>
      <sheetData sheetId="12"/>
      <sheetData sheetId="13" refreshError="1"/>
      <sheetData sheetId="14" refreshError="1"/>
      <sheetData sheetId="15"/>
      <sheetData sheetId="16"/>
      <sheetData sheetId="17"/>
      <sheetData sheetId="18" refreshError="1">
        <row r="4">
          <cell r="L4">
            <v>38442</v>
          </cell>
          <cell r="M4">
            <v>38533</v>
          </cell>
          <cell r="N4">
            <v>38625</v>
          </cell>
          <cell r="O4">
            <v>38717</v>
          </cell>
          <cell r="P4">
            <v>38717</v>
          </cell>
          <cell r="Q4">
            <v>38807</v>
          </cell>
          <cell r="R4">
            <v>38898</v>
          </cell>
          <cell r="S4">
            <v>38990</v>
          </cell>
          <cell r="T4">
            <v>39082</v>
          </cell>
          <cell r="U4">
            <v>39082</v>
          </cell>
          <cell r="V4">
            <v>39172</v>
          </cell>
          <cell r="W4">
            <v>39263</v>
          </cell>
          <cell r="X4">
            <v>39355</v>
          </cell>
          <cell r="Y4">
            <v>39447</v>
          </cell>
          <cell r="Z4">
            <v>39447</v>
          </cell>
          <cell r="AA4">
            <v>39538</v>
          </cell>
          <cell r="AB4">
            <v>39629</v>
          </cell>
          <cell r="AC4">
            <v>39721</v>
          </cell>
          <cell r="AD4">
            <v>39813</v>
          </cell>
          <cell r="AE4">
            <v>39813</v>
          </cell>
          <cell r="AF4">
            <v>39903</v>
          </cell>
          <cell r="AG4">
            <v>39994</v>
          </cell>
          <cell r="AH4">
            <v>40086</v>
          </cell>
          <cell r="AI4">
            <v>40178</v>
          </cell>
          <cell r="AJ4">
            <v>40178</v>
          </cell>
          <cell r="AK4">
            <v>40268</v>
          </cell>
          <cell r="AL4">
            <v>40359</v>
          </cell>
          <cell r="AM4">
            <v>40451</v>
          </cell>
          <cell r="AN4">
            <v>40543</v>
          </cell>
          <cell r="AO4">
            <v>40543</v>
          </cell>
          <cell r="AP4">
            <v>40633</v>
          </cell>
          <cell r="AQ4">
            <v>40724</v>
          </cell>
          <cell r="AR4">
            <v>40816</v>
          </cell>
          <cell r="AS4">
            <v>40908</v>
          </cell>
          <cell r="AT4">
            <v>40908</v>
          </cell>
          <cell r="AU4">
            <v>40999</v>
          </cell>
          <cell r="AV4">
            <v>41090</v>
          </cell>
          <cell r="AW4">
            <v>41182</v>
          </cell>
          <cell r="AX4">
            <v>41274</v>
          </cell>
          <cell r="AY4">
            <v>41274</v>
          </cell>
          <cell r="AZ4">
            <v>41364</v>
          </cell>
          <cell r="BA4">
            <v>41455</v>
          </cell>
          <cell r="BB4">
            <v>41547</v>
          </cell>
          <cell r="BC4">
            <v>41639</v>
          </cell>
          <cell r="BD4">
            <v>41639</v>
          </cell>
          <cell r="BE4">
            <v>41729</v>
          </cell>
          <cell r="BF4">
            <v>41820</v>
          </cell>
          <cell r="BG4">
            <v>41912</v>
          </cell>
          <cell r="BH4">
            <v>42004</v>
          </cell>
          <cell r="BI4">
            <v>42004</v>
          </cell>
          <cell r="BJ4">
            <v>42094</v>
          </cell>
          <cell r="BK4">
            <v>42185</v>
          </cell>
          <cell r="BL4">
            <v>42277</v>
          </cell>
          <cell r="BM4">
            <v>42369</v>
          </cell>
          <cell r="BN4">
            <v>42369</v>
          </cell>
          <cell r="BO4">
            <v>42460</v>
          </cell>
          <cell r="BP4">
            <v>42551</v>
          </cell>
          <cell r="BQ4">
            <v>42643</v>
          </cell>
          <cell r="BR4">
            <v>42735</v>
          </cell>
          <cell r="BS4">
            <v>42735</v>
          </cell>
          <cell r="BT4">
            <v>42825</v>
          </cell>
          <cell r="BU4">
            <v>42916</v>
          </cell>
          <cell r="BV4">
            <v>43008</v>
          </cell>
          <cell r="BW4">
            <v>43100</v>
          </cell>
          <cell r="BX4">
            <v>43100</v>
          </cell>
          <cell r="BY4">
            <v>43190</v>
          </cell>
          <cell r="BZ4">
            <v>43281</v>
          </cell>
          <cell r="CA4">
            <v>43373</v>
          </cell>
          <cell r="CB4">
            <v>43465</v>
          </cell>
          <cell r="CC4">
            <v>43465</v>
          </cell>
          <cell r="CD4">
            <v>43555</v>
          </cell>
          <cell r="CE4">
            <v>43646</v>
          </cell>
          <cell r="CF4">
            <v>43738</v>
          </cell>
          <cell r="CG4">
            <v>43830</v>
          </cell>
          <cell r="CH4">
            <v>43830</v>
          </cell>
          <cell r="CI4">
            <v>43921</v>
          </cell>
          <cell r="CJ4">
            <v>44012</v>
          </cell>
          <cell r="CK4">
            <v>44104</v>
          </cell>
          <cell r="CL4">
            <v>44196</v>
          </cell>
          <cell r="CM4">
            <v>44196</v>
          </cell>
        </row>
        <row r="5">
          <cell r="H5" t="str">
            <v>Eli Lilly &amp; Co.</v>
          </cell>
          <cell r="K5">
            <v>40359</v>
          </cell>
        </row>
        <row r="6">
          <cell r="H6" t="str">
            <v>DCF Valuation</v>
          </cell>
          <cell r="K6">
            <v>40359</v>
          </cell>
        </row>
        <row r="7">
          <cell r="AJ7">
            <v>0</v>
          </cell>
          <cell r="AO7">
            <v>1</v>
          </cell>
          <cell r="AT7">
            <v>2</v>
          </cell>
          <cell r="AY7">
            <v>3</v>
          </cell>
          <cell r="BD7">
            <v>4</v>
          </cell>
          <cell r="BI7">
            <v>5</v>
          </cell>
          <cell r="BN7">
            <v>6</v>
          </cell>
          <cell r="BS7">
            <v>5.5</v>
          </cell>
          <cell r="BX7">
            <v>6.5</v>
          </cell>
          <cell r="CC7">
            <v>7.5</v>
          </cell>
          <cell r="CH7">
            <v>8.5</v>
          </cell>
          <cell r="CM7">
            <v>9.5</v>
          </cell>
        </row>
        <row r="9">
          <cell r="H9" t="str">
            <v>($M)</v>
          </cell>
          <cell r="L9" t="str">
            <v>1Q:05A</v>
          </cell>
          <cell r="M9" t="str">
            <v>2Q:05A</v>
          </cell>
          <cell r="N9" t="str">
            <v>3Q:05A</v>
          </cell>
          <cell r="O9" t="str">
            <v>4Q:05A</v>
          </cell>
          <cell r="P9" t="str">
            <v>2005A</v>
          </cell>
          <cell r="Q9" t="str">
            <v>1Q:06A</v>
          </cell>
          <cell r="R9" t="str">
            <v>2Q:06A</v>
          </cell>
          <cell r="S9" t="str">
            <v>3Q:06A</v>
          </cell>
          <cell r="T9" t="str">
            <v>4Q:06A</v>
          </cell>
          <cell r="U9" t="str">
            <v>2006A</v>
          </cell>
          <cell r="V9" t="str">
            <v>1Q:07A</v>
          </cell>
          <cell r="W9" t="str">
            <v>2Q:07A</v>
          </cell>
          <cell r="X9" t="str">
            <v>3Q:07A</v>
          </cell>
          <cell r="Y9" t="str">
            <v>4Q:07A</v>
          </cell>
          <cell r="Z9" t="str">
            <v>2007A</v>
          </cell>
          <cell r="AA9" t="str">
            <v>1Q:08A</v>
          </cell>
          <cell r="AB9" t="str">
            <v>2Q:08A</v>
          </cell>
          <cell r="AC9" t="str">
            <v>3Q:08A</v>
          </cell>
          <cell r="AD9" t="str">
            <v>4Q:08A</v>
          </cell>
          <cell r="AE9" t="str">
            <v>2008A</v>
          </cell>
          <cell r="AF9" t="str">
            <v>1Q:09A</v>
          </cell>
          <cell r="AG9" t="str">
            <v>2Q:09A</v>
          </cell>
          <cell r="AH9" t="str">
            <v>3Q:09A</v>
          </cell>
          <cell r="AI9" t="str">
            <v>4Q:09A</v>
          </cell>
          <cell r="AJ9" t="str">
            <v>2009A</v>
          </cell>
          <cell r="AK9" t="str">
            <v>1Q:10A</v>
          </cell>
          <cell r="AL9" t="str">
            <v>2Q:10A</v>
          </cell>
          <cell r="AM9" t="str">
            <v>3Q:10E</v>
          </cell>
          <cell r="AN9" t="str">
            <v>4Q:10E</v>
          </cell>
          <cell r="AO9" t="str">
            <v>2010E</v>
          </cell>
          <cell r="AP9" t="str">
            <v>1Q:11E</v>
          </cell>
          <cell r="AQ9" t="str">
            <v>2Q:11E</v>
          </cell>
          <cell r="AR9" t="str">
            <v>3Q:11E</v>
          </cell>
          <cell r="AS9" t="str">
            <v>4Q:11E</v>
          </cell>
          <cell r="AT9" t="str">
            <v>2011E</v>
          </cell>
          <cell r="AU9" t="str">
            <v>1Q:12E</v>
          </cell>
          <cell r="AV9" t="str">
            <v>2Q:12E</v>
          </cell>
          <cell r="AW9" t="str">
            <v>3Q:12E</v>
          </cell>
          <cell r="AX9" t="str">
            <v>4Q:12E</v>
          </cell>
          <cell r="AY9" t="str">
            <v>2012E</v>
          </cell>
          <cell r="AZ9" t="str">
            <v>1Q:13E</v>
          </cell>
          <cell r="BA9" t="str">
            <v>2Q:13E</v>
          </cell>
          <cell r="BB9" t="str">
            <v>3Q:13E</v>
          </cell>
          <cell r="BC9" t="str">
            <v>4Q:13E</v>
          </cell>
          <cell r="BD9" t="str">
            <v>2013E</v>
          </cell>
          <cell r="BE9" t="str">
            <v>1Q:14E</v>
          </cell>
          <cell r="BF9" t="str">
            <v>2Q:14E</v>
          </cell>
          <cell r="BG9" t="str">
            <v>3Q:14E</v>
          </cell>
          <cell r="BH9" t="str">
            <v>4Q:14E</v>
          </cell>
          <cell r="BI9" t="str">
            <v>2014E</v>
          </cell>
          <cell r="BJ9" t="str">
            <v>1Q:15E</v>
          </cell>
          <cell r="BK9" t="str">
            <v>2Q:15E</v>
          </cell>
          <cell r="BL9" t="str">
            <v>3Q:15E</v>
          </cell>
          <cell r="BM9" t="str">
            <v>4Q:15E</v>
          </cell>
          <cell r="BN9" t="str">
            <v>2015E</v>
          </cell>
          <cell r="BO9" t="str">
            <v>1Q:16E</v>
          </cell>
          <cell r="BP9" t="str">
            <v>2Q:16E</v>
          </cell>
          <cell r="BQ9" t="str">
            <v>3Q:16E</v>
          </cell>
          <cell r="BR9" t="str">
            <v>4Q:16E</v>
          </cell>
          <cell r="BS9" t="str">
            <v>2016E</v>
          </cell>
          <cell r="BT9" t="str">
            <v>1Q:17E</v>
          </cell>
          <cell r="BU9" t="str">
            <v>2Q:17E</v>
          </cell>
          <cell r="BV9" t="str">
            <v>3Q:17E</v>
          </cell>
          <cell r="BW9" t="str">
            <v>4Q:17E</v>
          </cell>
          <cell r="BX9" t="str">
            <v>2017E</v>
          </cell>
          <cell r="BY9" t="str">
            <v>1Q:18E</v>
          </cell>
          <cell r="BZ9" t="str">
            <v>2Q:18E</v>
          </cell>
          <cell r="CA9" t="str">
            <v>3Q:18E</v>
          </cell>
          <cell r="CB9" t="str">
            <v>4Q:18E</v>
          </cell>
          <cell r="CC9" t="str">
            <v>2018E</v>
          </cell>
          <cell r="CD9" t="str">
            <v>1Q:19E</v>
          </cell>
          <cell r="CE9" t="str">
            <v>2Q:19E</v>
          </cell>
          <cell r="CF9" t="str">
            <v>3Q:19E</v>
          </cell>
          <cell r="CG9" t="str">
            <v>4Q:19E</v>
          </cell>
          <cell r="CH9" t="str">
            <v>2019E</v>
          </cell>
          <cell r="CI9" t="str">
            <v>1Q:20E</v>
          </cell>
          <cell r="CJ9" t="str">
            <v>2Q:20E</v>
          </cell>
          <cell r="CK9" t="str">
            <v>3Q:20E</v>
          </cell>
          <cell r="CL9" t="str">
            <v>4Q:20E</v>
          </cell>
          <cell r="CM9" t="str">
            <v>2020E</v>
          </cell>
        </row>
        <row r="10">
          <cell r="H10" t="str">
            <v>EBIT</v>
          </cell>
          <cell r="AO10">
            <v>6469.3282424700001</v>
          </cell>
          <cell r="AT10">
            <v>6467.3240859350544</v>
          </cell>
          <cell r="AY10">
            <v>5177.2438341357383</v>
          </cell>
          <cell r="BD10">
            <v>5697.780702994366</v>
          </cell>
          <cell r="BI10">
            <v>4616.5216886035241</v>
          </cell>
          <cell r="BN10">
            <v>3639.0059716746882</v>
          </cell>
          <cell r="BS10">
            <v>4177.6971310879208</v>
          </cell>
          <cell r="BX10">
            <v>2756.6823298796207</v>
          </cell>
          <cell r="CC10">
            <v>1830.2349406402082</v>
          </cell>
          <cell r="CH10">
            <v>1158.8537381545757</v>
          </cell>
          <cell r="CM10">
            <v>1130.5997065473766</v>
          </cell>
        </row>
        <row r="11">
          <cell r="H11" t="str">
            <v>EBIT*(1-Tax rate)</v>
          </cell>
          <cell r="AO11">
            <v>4979.516503129068</v>
          </cell>
          <cell r="AT11">
            <v>4979.839546169992</v>
          </cell>
          <cell r="AY11">
            <v>3908.8190947724825</v>
          </cell>
          <cell r="BD11">
            <v>4273.3355272457748</v>
          </cell>
          <cell r="BI11">
            <v>3439.3086580096256</v>
          </cell>
          <cell r="BN11">
            <v>2692.8644190392693</v>
          </cell>
          <cell r="BS11">
            <v>3133.2728483159408</v>
          </cell>
          <cell r="BX11">
            <v>2067.5117474097156</v>
          </cell>
          <cell r="CC11">
            <v>1372.6762054801561</v>
          </cell>
          <cell r="CH11">
            <v>869.14030361593177</v>
          </cell>
          <cell r="CM11">
            <v>847.94977991053247</v>
          </cell>
        </row>
        <row r="12">
          <cell r="H12" t="str">
            <v>After Tax GAAP Adjustments**</v>
          </cell>
          <cell r="AK12">
            <v>-49.399999999999636</v>
          </cell>
          <cell r="AL12">
            <v>-17.829904970000825</v>
          </cell>
          <cell r="AM12">
            <v>0</v>
          </cell>
          <cell r="AN12">
            <v>0</v>
          </cell>
          <cell r="AO12">
            <v>-750</v>
          </cell>
          <cell r="AP12">
            <v>0</v>
          </cell>
          <cell r="AQ12">
            <v>0</v>
          </cell>
          <cell r="AR12">
            <v>0</v>
          </cell>
          <cell r="AS12">
            <v>0</v>
          </cell>
          <cell r="AT12">
            <v>-500</v>
          </cell>
          <cell r="AU12">
            <v>0</v>
          </cell>
          <cell r="AV12">
            <v>0</v>
          </cell>
          <cell r="AW12">
            <v>0</v>
          </cell>
          <cell r="AX12">
            <v>0</v>
          </cell>
          <cell r="AY12">
            <v>-500</v>
          </cell>
          <cell r="AZ12">
            <v>0</v>
          </cell>
          <cell r="BA12">
            <v>0</v>
          </cell>
          <cell r="BB12">
            <v>0</v>
          </cell>
          <cell r="BC12">
            <v>0</v>
          </cell>
          <cell r="BD12">
            <v>-500</v>
          </cell>
          <cell r="BE12">
            <v>0</v>
          </cell>
          <cell r="BF12">
            <v>0</v>
          </cell>
          <cell r="BG12">
            <v>0</v>
          </cell>
          <cell r="BH12">
            <v>0</v>
          </cell>
          <cell r="BI12">
            <v>-500</v>
          </cell>
          <cell r="BJ12">
            <v>0</v>
          </cell>
          <cell r="BK12">
            <v>0</v>
          </cell>
          <cell r="BL12">
            <v>0</v>
          </cell>
          <cell r="BM12">
            <v>0</v>
          </cell>
          <cell r="BN12">
            <v>-500</v>
          </cell>
          <cell r="BS12">
            <v>-500</v>
          </cell>
          <cell r="BX12">
            <v>-500</v>
          </cell>
          <cell r="CC12">
            <v>-500</v>
          </cell>
          <cell r="CH12">
            <v>-500</v>
          </cell>
          <cell r="CM12">
            <v>-500</v>
          </cell>
        </row>
        <row r="13">
          <cell r="H13" t="str">
            <v>D&amp;A</v>
          </cell>
          <cell r="AO13">
            <v>1411.2411999999999</v>
          </cell>
          <cell r="AT13">
            <v>1297.1546704530724</v>
          </cell>
          <cell r="AY13">
            <v>1271.5573220741931</v>
          </cell>
          <cell r="BD13">
            <v>1248.8929324934602</v>
          </cell>
          <cell r="BI13">
            <v>1225.8825656162667</v>
          </cell>
          <cell r="BN13">
            <v>1204.6098964970342</v>
          </cell>
          <cell r="BS13">
            <v>1264.6673605474127</v>
          </cell>
          <cell r="BX13">
            <v>1244.4226470898066</v>
          </cell>
          <cell r="CC13">
            <v>1244.295579923561</v>
          </cell>
          <cell r="CH13">
            <v>1247.4374741968252</v>
          </cell>
          <cell r="CM13">
            <v>1240.8885125126264</v>
          </cell>
        </row>
        <row r="14">
          <cell r="H14" t="str">
            <v>Capital Expenditure</v>
          </cell>
          <cell r="AO14">
            <v>818.7611259928085</v>
          </cell>
          <cell r="AT14">
            <v>818.7256132524584</v>
          </cell>
          <cell r="AY14">
            <v>815.8643795878902</v>
          </cell>
          <cell r="BD14">
            <v>790.51799546095424</v>
          </cell>
          <cell r="BI14">
            <v>780.97815383927139</v>
          </cell>
          <cell r="BN14">
            <v>757.40883933403632</v>
          </cell>
          <cell r="BS14">
            <v>672.22022597135151</v>
          </cell>
          <cell r="BX14">
            <v>853.15197542735041</v>
          </cell>
          <cell r="CC14">
            <v>885.71452265620292</v>
          </cell>
          <cell r="CH14">
            <v>791.94785735483788</v>
          </cell>
          <cell r="CM14">
            <v>853.85178663089869</v>
          </cell>
        </row>
        <row r="15">
          <cell r="H15" t="str">
            <v>Change in working capital</v>
          </cell>
          <cell r="AO15">
            <v>26.244399437840002</v>
          </cell>
          <cell r="AT15">
            <v>-5.1390600868598995</v>
          </cell>
          <cell r="AY15">
            <v>-1.9920843442387195</v>
          </cell>
          <cell r="BD15">
            <v>21.547567688920935</v>
          </cell>
          <cell r="BI15">
            <v>15.738084957972205</v>
          </cell>
          <cell r="BN15">
            <v>45.74154920050205</v>
          </cell>
          <cell r="BS15">
            <v>-447.69278513228073</v>
          </cell>
          <cell r="BX15">
            <v>352.89890007085796</v>
          </cell>
          <cell r="CC15">
            <v>-367.28181281080651</v>
          </cell>
          <cell r="CH15">
            <v>271.66525684200042</v>
          </cell>
          <cell r="CM15">
            <v>-196.68656813392045</v>
          </cell>
        </row>
        <row r="16">
          <cell r="H16" t="str">
            <v>FCF</v>
          </cell>
          <cell r="AK16">
            <v>-49.399999999999636</v>
          </cell>
          <cell r="AL16">
            <v>-17.829904970000825</v>
          </cell>
          <cell r="AM16">
            <v>0</v>
          </cell>
          <cell r="AN16">
            <v>0</v>
          </cell>
          <cell r="AO16">
            <v>4848.2409765740986</v>
          </cell>
          <cell r="AP16">
            <v>0</v>
          </cell>
          <cell r="AQ16">
            <v>0</v>
          </cell>
          <cell r="AR16">
            <v>0</v>
          </cell>
          <cell r="AS16">
            <v>0</v>
          </cell>
          <cell r="AT16">
            <v>3599.2699247079954</v>
          </cell>
          <cell r="AU16">
            <v>0</v>
          </cell>
          <cell r="AV16">
            <v>0</v>
          </cell>
          <cell r="AW16">
            <v>0</v>
          </cell>
          <cell r="AX16">
            <v>0</v>
          </cell>
          <cell r="AY16">
            <v>2992.6251869284529</v>
          </cell>
          <cell r="AZ16">
            <v>0</v>
          </cell>
          <cell r="BA16">
            <v>0</v>
          </cell>
          <cell r="BB16">
            <v>0</v>
          </cell>
          <cell r="BC16">
            <v>0</v>
          </cell>
          <cell r="BD16">
            <v>4204.4457567238242</v>
          </cell>
          <cell r="BE16">
            <v>0</v>
          </cell>
          <cell r="BF16">
            <v>0</v>
          </cell>
          <cell r="BG16">
            <v>0</v>
          </cell>
          <cell r="BH16">
            <v>0</v>
          </cell>
          <cell r="BI16">
            <v>1580.5072228291165</v>
          </cell>
          <cell r="BJ16">
            <v>0</v>
          </cell>
          <cell r="BK16">
            <v>0</v>
          </cell>
          <cell r="BL16">
            <v>0</v>
          </cell>
          <cell r="BM16">
            <v>0</v>
          </cell>
          <cell r="BN16">
            <v>3393.0843984187377</v>
          </cell>
          <cell r="BS16">
            <v>2778.0271977597213</v>
          </cell>
          <cell r="BX16">
            <v>2311.6813191430297</v>
          </cell>
          <cell r="CC16">
            <v>863.97544993670772</v>
          </cell>
          <cell r="CH16">
            <v>1096.2951772999195</v>
          </cell>
          <cell r="CM16">
            <v>538.29993765833979</v>
          </cell>
        </row>
        <row r="17">
          <cell r="BJ17">
            <v>0</v>
          </cell>
          <cell r="BK17">
            <v>0</v>
          </cell>
          <cell r="BL17">
            <v>0</v>
          </cell>
          <cell r="BM17">
            <v>0</v>
          </cell>
        </row>
        <row r="18">
          <cell r="H18" t="str">
            <v>WACC*</v>
          </cell>
          <cell r="J18">
            <v>0.08</v>
          </cell>
          <cell r="AO18" t="str">
            <v>Equity value per share</v>
          </cell>
        </row>
        <row r="19">
          <cell r="H19" t="str">
            <v>Perpetuity</v>
          </cell>
          <cell r="J19">
            <v>-5.0000000000000001E-3</v>
          </cell>
          <cell r="AT19" t="str">
            <v>Perpetuity</v>
          </cell>
        </row>
        <row r="20">
          <cell r="Z20">
            <v>-2.5000000000000001E-2</v>
          </cell>
          <cell r="AE20">
            <v>-0.02</v>
          </cell>
          <cell r="AJ20">
            <v>-1.4999999999999999E-2</v>
          </cell>
          <cell r="AO20">
            <v>-0.01</v>
          </cell>
          <cell r="AT20">
            <v>-5.0000000000000001E-3</v>
          </cell>
          <cell r="AY20">
            <v>0</v>
          </cell>
          <cell r="BD20">
            <v>5.0000000000000001E-3</v>
          </cell>
          <cell r="BI20">
            <v>0.01</v>
          </cell>
          <cell r="BN20">
            <v>1.4999999999999999E-2</v>
          </cell>
        </row>
        <row r="21">
          <cell r="H21" t="str">
            <v>CF value</v>
          </cell>
          <cell r="J21">
            <v>18934.550387869403</v>
          </cell>
          <cell r="U21">
            <v>5.9999999999999991E-2</v>
          </cell>
          <cell r="Z21">
            <v>36.296306698241203</v>
          </cell>
          <cell r="AA21">
            <v>45.211498355794248</v>
          </cell>
          <cell r="AB21">
            <v>45.211498355794248</v>
          </cell>
          <cell r="AC21">
            <v>45.211498355794248</v>
          </cell>
          <cell r="AD21">
            <v>45.211498355794248</v>
          </cell>
          <cell r="AE21">
            <v>39.00754108026495</v>
          </cell>
          <cell r="AF21">
            <v>45.211498355794248</v>
          </cell>
          <cell r="AG21">
            <v>45.211498355794248</v>
          </cell>
          <cell r="AH21">
            <v>45.211498355794248</v>
          </cell>
          <cell r="AI21">
            <v>45.211498355794248</v>
          </cell>
          <cell r="AJ21">
            <v>40.848096384704569</v>
          </cell>
          <cell r="AK21">
            <v>45.211498355794248</v>
          </cell>
          <cell r="AL21">
            <v>45.211498355794248</v>
          </cell>
          <cell r="AM21">
            <v>45.211498355794248</v>
          </cell>
          <cell r="AN21">
            <v>45.211498355794248</v>
          </cell>
          <cell r="AO21">
            <v>42.934059063069476</v>
          </cell>
          <cell r="AP21">
            <v>45.211498355794248</v>
          </cell>
          <cell r="AQ21">
            <v>45.211498355794248</v>
          </cell>
          <cell r="AR21">
            <v>45.211498355794248</v>
          </cell>
          <cell r="AS21">
            <v>45.211498355794248</v>
          </cell>
          <cell r="AT21">
            <v>45.31801640977222</v>
          </cell>
          <cell r="AU21">
            <v>45.211498355794248</v>
          </cell>
          <cell r="AV21">
            <v>45.211498355794248</v>
          </cell>
          <cell r="AW21">
            <v>45.211498355794248</v>
          </cell>
          <cell r="AX21">
            <v>45.211498355794248</v>
          </cell>
          <cell r="AY21">
            <v>48.068736425198466</v>
          </cell>
          <cell r="AZ21">
            <v>45.211498355794248</v>
          </cell>
          <cell r="BA21">
            <v>45.211498355794248</v>
          </cell>
          <cell r="BB21">
            <v>45.211498355794248</v>
          </cell>
          <cell r="BC21">
            <v>45.211498355794248</v>
          </cell>
          <cell r="BD21">
            <v>51.277909776529093</v>
          </cell>
          <cell r="BE21">
            <v>45.211498355794248</v>
          </cell>
          <cell r="BF21">
            <v>45.211498355794248</v>
          </cell>
          <cell r="BG21">
            <v>45.211498355794248</v>
          </cell>
          <cell r="BH21">
            <v>45.211498355794248</v>
          </cell>
          <cell r="BI21">
            <v>55.070569191738002</v>
          </cell>
          <cell r="BJ21">
            <v>45.211498355794248</v>
          </cell>
          <cell r="BK21">
            <v>45.211498355794248</v>
          </cell>
          <cell r="BL21">
            <v>45.211498355794248</v>
          </cell>
          <cell r="BM21">
            <v>45.211498355794248</v>
          </cell>
          <cell r="BN21">
            <v>59.621760489988702</v>
          </cell>
        </row>
        <row r="22">
          <cell r="H22" t="str">
            <v>TV</v>
          </cell>
          <cell r="J22">
            <v>19812.369894384632</v>
          </cell>
          <cell r="U22">
            <v>6.4999999999999988E-2</v>
          </cell>
          <cell r="Z22">
            <v>34.429141829352304</v>
          </cell>
          <cell r="AA22">
            <v>42.020618845109333</v>
          </cell>
          <cell r="AB22">
            <v>42.020618845109333</v>
          </cell>
          <cell r="AC22">
            <v>42.020618845109333</v>
          </cell>
          <cell r="AD22">
            <v>42.020618845109333</v>
          </cell>
          <cell r="AE22">
            <v>36.810416457272673</v>
          </cell>
          <cell r="AF22">
            <v>42.020618845109333</v>
          </cell>
          <cell r="AG22">
            <v>42.020618845109333</v>
          </cell>
          <cell r="AH22">
            <v>42.020618845109333</v>
          </cell>
          <cell r="AI22">
            <v>42.020618845109333</v>
          </cell>
          <cell r="AJ22">
            <v>38.419739576402961</v>
          </cell>
          <cell r="AK22">
            <v>42.020618845109333</v>
          </cell>
          <cell r="AL22">
            <v>42.020618845109333</v>
          </cell>
          <cell r="AM22">
            <v>42.020618845109333</v>
          </cell>
          <cell r="AN22">
            <v>42.020618845109333</v>
          </cell>
          <cell r="AO22">
            <v>40.23022808542455</v>
          </cell>
          <cell r="AP22">
            <v>42.020618845109333</v>
          </cell>
          <cell r="AQ22">
            <v>42.020618845109333</v>
          </cell>
          <cell r="AR22">
            <v>42.020618845109333</v>
          </cell>
          <cell r="AS22">
            <v>42.020618845109333</v>
          </cell>
          <cell r="AT22">
            <v>42.282115062315668</v>
          </cell>
          <cell r="AU22">
            <v>42.020618845109333</v>
          </cell>
          <cell r="AV22">
            <v>42.020618845109333</v>
          </cell>
          <cell r="AW22">
            <v>42.020618845109333</v>
          </cell>
          <cell r="AX22">
            <v>42.020618845109333</v>
          </cell>
          <cell r="AY22">
            <v>44.62712875019124</v>
          </cell>
          <cell r="AZ22">
            <v>42.020618845109333</v>
          </cell>
          <cell r="BA22">
            <v>42.020618845109333</v>
          </cell>
          <cell r="BB22">
            <v>42.020618845109333</v>
          </cell>
          <cell r="BC22">
            <v>42.020618845109333</v>
          </cell>
          <cell r="BD22">
            <v>47.332913774663048</v>
          </cell>
          <cell r="BE22">
            <v>42.020618845109333</v>
          </cell>
          <cell r="BF22">
            <v>42.020618845109333</v>
          </cell>
          <cell r="BG22">
            <v>42.020618845109333</v>
          </cell>
          <cell r="BH22">
            <v>42.020618845109333</v>
          </cell>
          <cell r="BI22">
            <v>50.489662969880165</v>
          </cell>
          <cell r="BJ22">
            <v>42.020618845109333</v>
          </cell>
          <cell r="BK22">
            <v>42.020618845109333</v>
          </cell>
          <cell r="BL22">
            <v>42.020618845109333</v>
          </cell>
          <cell r="BM22">
            <v>42.020618845109333</v>
          </cell>
          <cell r="BN22">
            <v>54.220366564227668</v>
          </cell>
        </row>
        <row r="23">
          <cell r="H23" t="str">
            <v>Firm Value</v>
          </cell>
          <cell r="J23">
            <v>38746.920282254039</v>
          </cell>
          <cell r="U23">
            <v>6.9999999999999993E-2</v>
          </cell>
          <cell r="Z23">
            <v>32.753214008700212</v>
          </cell>
          <cell r="AA23">
            <v>39.276848987815995</v>
          </cell>
          <cell r="AB23">
            <v>39.276848987815995</v>
          </cell>
          <cell r="AC23">
            <v>39.276848987815995</v>
          </cell>
          <cell r="AD23">
            <v>39.276848987815995</v>
          </cell>
          <cell r="AE23">
            <v>34.844324840741685</v>
          </cell>
          <cell r="AF23">
            <v>39.276848987815995</v>
          </cell>
          <cell r="AG23">
            <v>39.276848987815995</v>
          </cell>
          <cell r="AH23">
            <v>39.276848987815995</v>
          </cell>
          <cell r="AI23">
            <v>39.276848987815995</v>
          </cell>
          <cell r="AJ23">
            <v>36.260832659420146</v>
          </cell>
          <cell r="AK23">
            <v>39.276848987815995</v>
          </cell>
          <cell r="AL23">
            <v>39.276848987815995</v>
          </cell>
          <cell r="AM23">
            <v>39.276848987815995</v>
          </cell>
          <cell r="AN23">
            <v>39.276848987815995</v>
          </cell>
          <cell r="AO23">
            <v>37.843988456766667</v>
          </cell>
          <cell r="AP23">
            <v>39.276848987815995</v>
          </cell>
          <cell r="AQ23">
            <v>39.276848987815995</v>
          </cell>
          <cell r="AR23">
            <v>39.276848987815995</v>
          </cell>
          <cell r="AS23">
            <v>39.276848987815995</v>
          </cell>
          <cell r="AT23">
            <v>39.625038728781497</v>
          </cell>
          <cell r="AU23">
            <v>39.276848987815995</v>
          </cell>
          <cell r="AV23">
            <v>39.276848987815995</v>
          </cell>
          <cell r="AW23">
            <v>39.276848987815995</v>
          </cell>
          <cell r="AX23">
            <v>39.276848987815995</v>
          </cell>
          <cell r="AY23">
            <v>41.643562370398307</v>
          </cell>
          <cell r="AZ23">
            <v>39.276848987815995</v>
          </cell>
          <cell r="BA23">
            <v>39.276848987815995</v>
          </cell>
          <cell r="BB23">
            <v>39.276848987815995</v>
          </cell>
          <cell r="BC23">
            <v>39.276848987815995</v>
          </cell>
          <cell r="BD23">
            <v>43.95044653224609</v>
          </cell>
          <cell r="BE23">
            <v>39.276848987815995</v>
          </cell>
          <cell r="BF23">
            <v>39.276848987815995</v>
          </cell>
          <cell r="BG23">
            <v>39.276848987815995</v>
          </cell>
          <cell r="BH23">
            <v>39.276848987815995</v>
          </cell>
          <cell r="BI23">
            <v>46.612235949762763</v>
          </cell>
          <cell r="BJ23">
            <v>39.276848987815995</v>
          </cell>
          <cell r="BK23">
            <v>39.276848987815995</v>
          </cell>
          <cell r="BL23">
            <v>39.276848987815995</v>
          </cell>
          <cell r="BM23">
            <v>39.276848987815995</v>
          </cell>
          <cell r="BN23">
            <v>49.717656936865545</v>
          </cell>
        </row>
        <row r="24">
          <cell r="H24" t="str">
            <v>TV as % of firm value</v>
          </cell>
          <cell r="J24">
            <v>0.51132760358914597</v>
          </cell>
          <cell r="U24">
            <v>7.4999999999999997E-2</v>
          </cell>
          <cell r="Z24">
            <v>31.239986122298539</v>
          </cell>
          <cell r="AA24">
            <v>36.891002966086809</v>
          </cell>
          <cell r="AB24">
            <v>36.891002966086809</v>
          </cell>
          <cell r="AC24">
            <v>36.891002966086809</v>
          </cell>
          <cell r="AD24">
            <v>36.891002966086809</v>
          </cell>
          <cell r="AE24">
            <v>33.074642326422207</v>
          </cell>
          <cell r="AF24">
            <v>36.891002966086809</v>
          </cell>
          <cell r="AG24">
            <v>36.891002966086809</v>
          </cell>
          <cell r="AH24">
            <v>36.891002966086809</v>
          </cell>
          <cell r="AI24">
            <v>36.891002966086809</v>
          </cell>
          <cell r="AJ24">
            <v>34.328866255952171</v>
          </cell>
          <cell r="AK24">
            <v>36.891002966086809</v>
          </cell>
          <cell r="AL24">
            <v>36.891002966086809</v>
          </cell>
          <cell r="AM24">
            <v>36.891002966086809</v>
          </cell>
          <cell r="AN24">
            <v>36.891002966086809</v>
          </cell>
          <cell r="AO24">
            <v>35.722448399874352</v>
          </cell>
          <cell r="AP24">
            <v>36.891002966086809</v>
          </cell>
          <cell r="AQ24">
            <v>36.891002966086809</v>
          </cell>
          <cell r="AR24">
            <v>36.891002966086809</v>
          </cell>
          <cell r="AS24">
            <v>36.891002966086809</v>
          </cell>
          <cell r="AT24">
            <v>37.279981384257958</v>
          </cell>
          <cell r="AU24">
            <v>36.891002966086809</v>
          </cell>
          <cell r="AV24">
            <v>36.891002966086809</v>
          </cell>
          <cell r="AW24">
            <v>36.891002966086809</v>
          </cell>
          <cell r="AX24">
            <v>36.891002966086809</v>
          </cell>
          <cell r="AY24">
            <v>39.03220599168953</v>
          </cell>
          <cell r="AZ24">
            <v>36.891002966086809</v>
          </cell>
          <cell r="BA24">
            <v>36.891002966086809</v>
          </cell>
          <cell r="BB24">
            <v>36.891002966086809</v>
          </cell>
          <cell r="BC24">
            <v>36.891002966086809</v>
          </cell>
          <cell r="BD24">
            <v>41.018060546778635</v>
          </cell>
          <cell r="BE24">
            <v>36.891002966086809</v>
          </cell>
          <cell r="BF24">
            <v>36.891002966086809</v>
          </cell>
          <cell r="BG24">
            <v>36.891002966086809</v>
          </cell>
          <cell r="BH24">
            <v>36.891002966086809</v>
          </cell>
          <cell r="BI24">
            <v>43.28760860973761</v>
          </cell>
          <cell r="BJ24">
            <v>36.891002966086809</v>
          </cell>
          <cell r="BK24">
            <v>36.891002966086809</v>
          </cell>
          <cell r="BL24">
            <v>36.891002966086809</v>
          </cell>
          <cell r="BM24">
            <v>36.891002966086809</v>
          </cell>
          <cell r="BN24">
            <v>45.90631791315181</v>
          </cell>
        </row>
        <row r="25">
          <cell r="H25" t="str">
            <v>Debt</v>
          </cell>
          <cell r="J25">
            <v>6888.9</v>
          </cell>
          <cell r="P25" t="str">
            <v>WACC</v>
          </cell>
          <cell r="U25">
            <v>0.08</v>
          </cell>
          <cell r="Z25">
            <v>29.866351817741549</v>
          </cell>
          <cell r="AA25">
            <v>34.796183856355967</v>
          </cell>
          <cell r="AB25">
            <v>34.796183856355967</v>
          </cell>
          <cell r="AC25">
            <v>34.796183856355967</v>
          </cell>
          <cell r="AD25">
            <v>34.796183856355967</v>
          </cell>
          <cell r="AE25">
            <v>31.473338194584553</v>
          </cell>
          <cell r="AF25">
            <v>34.796183856355967</v>
          </cell>
          <cell r="AG25">
            <v>34.796183856355967</v>
          </cell>
          <cell r="AH25">
            <v>34.796183856355967</v>
          </cell>
          <cell r="AI25">
            <v>34.796183856355967</v>
          </cell>
          <cell r="AJ25">
            <v>32.589830847099471</v>
          </cell>
          <cell r="AK25">
            <v>34.796183856355967</v>
          </cell>
          <cell r="AL25">
            <v>34.796183856355967</v>
          </cell>
          <cell r="AM25">
            <v>34.796183856355967</v>
          </cell>
          <cell r="AN25">
            <v>34.796183856355967</v>
          </cell>
          <cell r="AO25">
            <v>33.823849041984381</v>
          </cell>
          <cell r="AP25">
            <v>34.796183856355967</v>
          </cell>
          <cell r="AQ25">
            <v>34.796183856355967</v>
          </cell>
          <cell r="AR25">
            <v>34.796183856355967</v>
          </cell>
          <cell r="AS25">
            <v>34.796183856355967</v>
          </cell>
          <cell r="AT25">
            <v>35.194980369634287</v>
          </cell>
          <cell r="AU25">
            <v>34.796183856355967</v>
          </cell>
          <cell r="AV25">
            <v>34.796183856355967</v>
          </cell>
          <cell r="AW25">
            <v>34.796183856355967</v>
          </cell>
          <cell r="AX25">
            <v>34.796183856355967</v>
          </cell>
          <cell r="AY25">
            <v>36.727421265243002</v>
          </cell>
          <cell r="AZ25">
            <v>34.796183856355967</v>
          </cell>
          <cell r="BA25">
            <v>34.796183856355967</v>
          </cell>
          <cell r="BB25">
            <v>34.796183856355967</v>
          </cell>
          <cell r="BC25">
            <v>34.796183856355967</v>
          </cell>
          <cell r="BD25">
            <v>38.451417272802793</v>
          </cell>
          <cell r="BE25">
            <v>34.796183856355967</v>
          </cell>
          <cell r="BF25">
            <v>34.796183856355967</v>
          </cell>
          <cell r="BG25">
            <v>34.796183856355967</v>
          </cell>
          <cell r="BH25">
            <v>34.796183856355967</v>
          </cell>
          <cell r="BI25">
            <v>40.405279414703905</v>
          </cell>
          <cell r="BJ25">
            <v>34.796183856355967</v>
          </cell>
          <cell r="BK25">
            <v>34.796183856355967</v>
          </cell>
          <cell r="BL25">
            <v>34.796183856355967</v>
          </cell>
          <cell r="BM25">
            <v>34.796183856355967</v>
          </cell>
          <cell r="BN25">
            <v>42.638264719733733</v>
          </cell>
        </row>
        <row r="26">
          <cell r="H26" t="str">
            <v>Cash</v>
          </cell>
          <cell r="J26">
            <v>5196.600000000004</v>
          </cell>
          <cell r="U26">
            <v>8.5000000000000006E-2</v>
          </cell>
          <cell r="Z26">
            <v>28.613401423203477</v>
          </cell>
          <cell r="AA26">
            <v>32.94122834973065</v>
          </cell>
          <cell r="AB26">
            <v>32.94122834973065</v>
          </cell>
          <cell r="AC26">
            <v>32.94122834973065</v>
          </cell>
          <cell r="AD26">
            <v>32.94122834973065</v>
          </cell>
          <cell r="AE26">
            <v>30.017476558305074</v>
          </cell>
          <cell r="AF26">
            <v>32.94122834973065</v>
          </cell>
          <cell r="AG26">
            <v>32.94122834973065</v>
          </cell>
          <cell r="AH26">
            <v>32.94122834973065</v>
          </cell>
          <cell r="AI26">
            <v>32.94122834973065</v>
          </cell>
          <cell r="AJ26">
            <v>31.01619310379369</v>
          </cell>
          <cell r="AK26">
            <v>32.94122834973065</v>
          </cell>
          <cell r="AL26">
            <v>32.94122834973065</v>
          </cell>
          <cell r="AM26">
            <v>32.94122834973065</v>
          </cell>
          <cell r="AN26">
            <v>32.94122834973065</v>
          </cell>
          <cell r="AO26">
            <v>32.114781303831165</v>
          </cell>
          <cell r="AP26">
            <v>32.94122834973065</v>
          </cell>
          <cell r="AQ26">
            <v>32.94122834973065</v>
          </cell>
          <cell r="AR26">
            <v>32.94122834973065</v>
          </cell>
          <cell r="AS26">
            <v>32.94122834973065</v>
          </cell>
          <cell r="AT26">
            <v>33.329010367030484</v>
          </cell>
          <cell r="AU26">
            <v>32.94122834973065</v>
          </cell>
          <cell r="AV26">
            <v>32.94122834973065</v>
          </cell>
          <cell r="AW26">
            <v>32.94122834973065</v>
          </cell>
          <cell r="AX26">
            <v>32.94122834973065</v>
          </cell>
          <cell r="AY26">
            <v>34.678153770585283</v>
          </cell>
          <cell r="AZ26">
            <v>32.94122834973065</v>
          </cell>
          <cell r="BA26">
            <v>32.94122834973065</v>
          </cell>
          <cell r="BB26">
            <v>32.94122834973065</v>
          </cell>
          <cell r="BC26">
            <v>32.94122834973065</v>
          </cell>
          <cell r="BD26">
            <v>36.186019927499451</v>
          </cell>
          <cell r="BE26">
            <v>32.94122834973065</v>
          </cell>
          <cell r="BF26">
            <v>32.94122834973065</v>
          </cell>
          <cell r="BG26">
            <v>32.94122834973065</v>
          </cell>
          <cell r="BH26">
            <v>32.94122834973065</v>
          </cell>
          <cell r="BI26">
            <v>37.882369354027908</v>
          </cell>
          <cell r="BJ26">
            <v>32.94122834973065</v>
          </cell>
          <cell r="BK26">
            <v>32.94122834973065</v>
          </cell>
          <cell r="BL26">
            <v>32.94122834973065</v>
          </cell>
          <cell r="BM26">
            <v>32.94122834973065</v>
          </cell>
          <cell r="BN26">
            <v>39.804898704093496</v>
          </cell>
        </row>
        <row r="27">
          <cell r="H27" t="str">
            <v>Equity Value</v>
          </cell>
          <cell r="J27">
            <v>37054.620282254044</v>
          </cell>
          <cell r="U27">
            <v>9.0000000000000011E-2</v>
          </cell>
          <cell r="Z27">
            <v>27.465509792927993</v>
          </cell>
          <cell r="AA27">
            <v>31.286336554152637</v>
          </cell>
          <cell r="AB27">
            <v>31.286336554152637</v>
          </cell>
          <cell r="AC27">
            <v>31.286336554152637</v>
          </cell>
          <cell r="AD27">
            <v>31.286336554152637</v>
          </cell>
          <cell r="AE27">
            <v>28.688108880741098</v>
          </cell>
          <cell r="AF27">
            <v>31.286336554152637</v>
          </cell>
          <cell r="AG27">
            <v>31.286336554152637</v>
          </cell>
          <cell r="AH27">
            <v>31.286336554152637</v>
          </cell>
          <cell r="AI27">
            <v>31.286336554152637</v>
          </cell>
          <cell r="AJ27">
            <v>29.585424121742228</v>
          </cell>
          <cell r="AK27">
            <v>31.286336554152637</v>
          </cell>
          <cell r="AL27">
            <v>31.286336554152637</v>
          </cell>
          <cell r="AM27">
            <v>31.286336554152637</v>
          </cell>
          <cell r="AN27">
            <v>31.286336554152637</v>
          </cell>
          <cell r="AO27">
            <v>30.568197957124433</v>
          </cell>
          <cell r="AP27">
            <v>31.286336554152637</v>
          </cell>
          <cell r="AQ27">
            <v>31.286336554152637</v>
          </cell>
          <cell r="AR27">
            <v>31.286336554152637</v>
          </cell>
          <cell r="AS27">
            <v>31.286336554152637</v>
          </cell>
          <cell r="AT27">
            <v>31.649249176044847</v>
          </cell>
          <cell r="AU27">
            <v>31.286336554152637</v>
          </cell>
          <cell r="AV27">
            <v>31.286336554152637</v>
          </cell>
          <cell r="AW27">
            <v>31.286336554152637</v>
          </cell>
          <cell r="AX27">
            <v>31.286336554152637</v>
          </cell>
          <cell r="AY27">
            <v>32.844095260114784</v>
          </cell>
          <cell r="AZ27">
            <v>31.286336554152637</v>
          </cell>
          <cell r="BA27">
            <v>31.286336554152637</v>
          </cell>
          <cell r="BB27">
            <v>31.286336554152637</v>
          </cell>
          <cell r="BC27">
            <v>31.286336554152637</v>
          </cell>
          <cell r="BD27">
            <v>34.171702020192491</v>
          </cell>
          <cell r="BE27">
            <v>31.286336554152637</v>
          </cell>
          <cell r="BF27">
            <v>31.286336554152637</v>
          </cell>
          <cell r="BG27">
            <v>31.286336554152637</v>
          </cell>
          <cell r="BH27">
            <v>31.286336554152637</v>
          </cell>
          <cell r="BI27">
            <v>35.655497810867566</v>
          </cell>
          <cell r="BJ27">
            <v>31.286336554152637</v>
          </cell>
          <cell r="BK27">
            <v>31.286336554152637</v>
          </cell>
          <cell r="BL27">
            <v>31.286336554152637</v>
          </cell>
          <cell r="BM27">
            <v>31.286336554152637</v>
          </cell>
          <cell r="BN27">
            <v>37.32476807537703</v>
          </cell>
        </row>
        <row r="28">
          <cell r="U28">
            <v>9.5000000000000015E-2</v>
          </cell>
          <cell r="Z28">
            <v>26.409652184338402</v>
          </cell>
          <cell r="AA28">
            <v>29.800081848715003</v>
          </cell>
          <cell r="AB28">
            <v>29.800081848715003</v>
          </cell>
          <cell r="AC28">
            <v>29.800081848715003</v>
          </cell>
          <cell r="AD28">
            <v>29.800081848715003</v>
          </cell>
          <cell r="AE28">
            <v>27.469443358241673</v>
          </cell>
          <cell r="AF28">
            <v>29.800081848715003</v>
          </cell>
          <cell r="AG28">
            <v>29.800081848715003</v>
          </cell>
          <cell r="AH28">
            <v>29.800081848715003</v>
          </cell>
          <cell r="AI28">
            <v>29.800081848715003</v>
          </cell>
          <cell r="AJ28">
            <v>28.278911589922938</v>
          </cell>
          <cell r="AK28">
            <v>29.800081848715003</v>
          </cell>
          <cell r="AL28">
            <v>29.800081848715003</v>
          </cell>
          <cell r="AM28">
            <v>29.800081848715003</v>
          </cell>
          <cell r="AN28">
            <v>29.800081848715003</v>
          </cell>
          <cell r="AO28">
            <v>29.16196784266614</v>
          </cell>
          <cell r="AP28">
            <v>29.800081848715003</v>
          </cell>
          <cell r="AQ28">
            <v>29.800081848715003</v>
          </cell>
          <cell r="AR28">
            <v>29.800081848715003</v>
          </cell>
          <cell r="AS28">
            <v>29.800081848715003</v>
          </cell>
          <cell r="AT28">
            <v>30.129124690908693</v>
          </cell>
          <cell r="AU28">
            <v>29.800081848715003</v>
          </cell>
          <cell r="AV28">
            <v>29.800081848715003</v>
          </cell>
          <cell r="AW28">
            <v>29.800081848715003</v>
          </cell>
          <cell r="AX28">
            <v>29.800081848715003</v>
          </cell>
          <cell r="AY28">
            <v>31.192997223975496</v>
          </cell>
          <cell r="AZ28">
            <v>29.800081848715003</v>
          </cell>
          <cell r="BA28">
            <v>29.800081848715003</v>
          </cell>
          <cell r="BB28">
            <v>29.800081848715003</v>
          </cell>
          <cell r="BC28">
            <v>29.800081848715003</v>
          </cell>
          <cell r="BD28">
            <v>32.368856339470391</v>
          </cell>
          <cell r="BE28">
            <v>29.800081848715003</v>
          </cell>
          <cell r="BF28">
            <v>29.800081848715003</v>
          </cell>
          <cell r="BG28">
            <v>29.800081848715003</v>
          </cell>
          <cell r="BH28">
            <v>29.800081848715003</v>
          </cell>
          <cell r="BI28">
            <v>33.67536646779805</v>
          </cell>
          <cell r="BJ28">
            <v>29.800081848715003</v>
          </cell>
          <cell r="BK28">
            <v>29.800081848715003</v>
          </cell>
          <cell r="BL28">
            <v>29.800081848715003</v>
          </cell>
          <cell r="BM28">
            <v>29.800081848715003</v>
          </cell>
          <cell r="BN28">
            <v>35.135583670046607</v>
          </cell>
        </row>
        <row r="29">
          <cell r="H29" t="str">
            <v>Shares</v>
          </cell>
          <cell r="J29">
            <v>1103.5312287364941</v>
          </cell>
          <cell r="U29">
            <v>0.10000000000000002</v>
          </cell>
          <cell r="Z29">
            <v>25.434884318238222</v>
          </cell>
          <cell r="AA29">
            <v>28.457317772349153</v>
          </cell>
          <cell r="AB29">
            <v>28.457317772349153</v>
          </cell>
          <cell r="AC29">
            <v>28.457317772349153</v>
          </cell>
          <cell r="AD29">
            <v>28.457317772349153</v>
          </cell>
          <cell r="AE29">
            <v>26.348213647131018</v>
          </cell>
          <cell r="AF29">
            <v>28.457317772349153</v>
          </cell>
          <cell r="AG29">
            <v>28.457317772349153</v>
          </cell>
          <cell r="AH29">
            <v>28.457317772349153</v>
          </cell>
          <cell r="AI29">
            <v>28.457317772349153</v>
          </cell>
          <cell r="AJ29">
            <v>27.081143912296877</v>
          </cell>
          <cell r="AK29">
            <v>28.457317772349153</v>
          </cell>
          <cell r="AL29">
            <v>28.457317772349153</v>
          </cell>
          <cell r="AM29">
            <v>28.457317772349153</v>
          </cell>
          <cell r="AN29">
            <v>28.457317772349153</v>
          </cell>
          <cell r="AO29">
            <v>27.877807243998895</v>
          </cell>
          <cell r="AP29">
            <v>28.457317772349153</v>
          </cell>
          <cell r="AQ29">
            <v>28.457317772349153</v>
          </cell>
          <cell r="AR29">
            <v>28.457317772349153</v>
          </cell>
          <cell r="AS29">
            <v>28.457317772349153</v>
          </cell>
          <cell r="AT29">
            <v>28.746894514946554</v>
          </cell>
          <cell r="AU29">
            <v>28.457317772349153</v>
          </cell>
          <cell r="AV29">
            <v>28.457317772349153</v>
          </cell>
          <cell r="AW29">
            <v>28.457317772349153</v>
          </cell>
          <cell r="AX29">
            <v>28.457317772349153</v>
          </cell>
          <cell r="AY29">
            <v>29.698752002174945</v>
          </cell>
          <cell r="AZ29">
            <v>28.457317772349153</v>
          </cell>
          <cell r="BA29">
            <v>28.457317772349153</v>
          </cell>
          <cell r="BB29">
            <v>28.457317772349153</v>
          </cell>
          <cell r="BC29">
            <v>28.457317772349153</v>
          </cell>
          <cell r="BD29">
            <v>30.745795238126167</v>
          </cell>
          <cell r="BE29">
            <v>28.457317772349153</v>
          </cell>
          <cell r="BF29">
            <v>28.457317772349153</v>
          </cell>
          <cell r="BG29">
            <v>28.457317772349153</v>
          </cell>
          <cell r="BH29">
            <v>28.457317772349153</v>
          </cell>
          <cell r="BI29">
            <v>31.903053551545938</v>
          </cell>
          <cell r="BJ29">
            <v>28.457317772349153</v>
          </cell>
          <cell r="BK29">
            <v>28.457317772349153</v>
          </cell>
          <cell r="BL29">
            <v>28.457317772349153</v>
          </cell>
          <cell r="BM29">
            <v>28.457317772349153</v>
          </cell>
          <cell r="BN29">
            <v>33.188896122012352</v>
          </cell>
        </row>
        <row r="30">
          <cell r="H30" t="str">
            <v>CF value/share</v>
          </cell>
          <cell r="J30">
            <v>17.158146407463995</v>
          </cell>
        </row>
        <row r="31">
          <cell r="H31" t="str">
            <v>TV/share</v>
          </cell>
          <cell r="J31">
            <v>17.953610535398372</v>
          </cell>
        </row>
        <row r="32">
          <cell r="H32" t="str">
            <v>Net cash/share</v>
          </cell>
          <cell r="J32">
            <v>-1.5335315901640789</v>
          </cell>
        </row>
        <row r="33">
          <cell r="H33" t="str">
            <v>Price/share</v>
          </cell>
          <cell r="J33">
            <v>33.57822535269829</v>
          </cell>
        </row>
        <row r="34">
          <cell r="H34" t="str">
            <v>Current price</v>
          </cell>
          <cell r="J34">
            <v>35.15</v>
          </cell>
        </row>
        <row r="35">
          <cell r="H35" t="str">
            <v>Upside (downside)</v>
          </cell>
          <cell r="J35">
            <v>-4.4716206182125462E-2</v>
          </cell>
        </row>
        <row r="37">
          <cell r="H37" t="str">
            <v>**We assume one-time charge expense in out years for cash restructuring and litigation outflows.</v>
          </cell>
        </row>
        <row r="38">
          <cell r="AO38" t="str">
            <v>TV per share</v>
          </cell>
        </row>
        <row r="39">
          <cell r="P39" t="str">
            <v>WACC</v>
          </cell>
          <cell r="AT39" t="str">
            <v>Perpetuity</v>
          </cell>
        </row>
        <row r="40">
          <cell r="Z40">
            <v>-2.5000000000000001E-2</v>
          </cell>
          <cell r="AE40">
            <v>-0.02</v>
          </cell>
          <cell r="AJ40">
            <v>-1.4999999999999999E-2</v>
          </cell>
          <cell r="AO40">
            <v>-0.01</v>
          </cell>
          <cell r="AT40">
            <v>-5.0000000000000001E-3</v>
          </cell>
          <cell r="AY40">
            <v>0</v>
          </cell>
          <cell r="BD40">
            <v>5.0000000000000001E-3</v>
          </cell>
          <cell r="BI40">
            <v>0.01</v>
          </cell>
          <cell r="BN40">
            <v>1.4999999999999999E-2</v>
          </cell>
        </row>
        <row r="41">
          <cell r="U41">
            <v>7.9999999999999988E-2</v>
          </cell>
          <cell r="Z41">
            <v>14.24173700044164</v>
          </cell>
          <cell r="AA41">
            <v>19.171569039056052</v>
          </cell>
          <cell r="AB41">
            <v>19.171569039056052</v>
          </cell>
          <cell r="AC41">
            <v>19.171569039056052</v>
          </cell>
          <cell r="AD41">
            <v>19.171569039056052</v>
          </cell>
          <cell r="AE41">
            <v>15.030510126619943</v>
          </cell>
          <cell r="AF41">
            <v>19.171569039056052</v>
          </cell>
          <cell r="AG41">
            <v>19.171569039056052</v>
          </cell>
          <cell r="AH41">
            <v>19.171569039056052</v>
          </cell>
          <cell r="AI41">
            <v>19.171569039056052</v>
          </cell>
          <cell r="AJ41">
            <v>15.902312002922281</v>
          </cell>
          <cell r="AK41">
            <v>19.171569039056052</v>
          </cell>
          <cell r="AL41">
            <v>19.171569039056052</v>
          </cell>
          <cell r="AM41">
            <v>19.171569039056052</v>
          </cell>
          <cell r="AN41">
            <v>19.171569039056052</v>
          </cell>
          <cell r="AO41">
            <v>16.870980754369331</v>
          </cell>
          <cell r="AP41">
            <v>19.171569039056052</v>
          </cell>
          <cell r="AQ41">
            <v>19.171569039056052</v>
          </cell>
          <cell r="AR41">
            <v>19.171569039056052</v>
          </cell>
          <cell r="AS41">
            <v>19.171569039056052</v>
          </cell>
          <cell r="AT41">
            <v>17.953610535398372</v>
          </cell>
          <cell r="AU41">
            <v>19.171569039056052</v>
          </cell>
          <cell r="AV41">
            <v>19.171569039056052</v>
          </cell>
          <cell r="AW41">
            <v>19.171569039056052</v>
          </cell>
          <cell r="AX41">
            <v>19.171569039056052</v>
          </cell>
          <cell r="AY41">
            <v>19.171569039056052</v>
          </cell>
          <cell r="AZ41">
            <v>19.171569039056052</v>
          </cell>
          <cell r="BA41">
            <v>19.171569039056052</v>
          </cell>
          <cell r="BB41">
            <v>19.171569039056052</v>
          </cell>
          <cell r="BC41">
            <v>19.171569039056052</v>
          </cell>
          <cell r="BD41">
            <v>20.551922009868093</v>
          </cell>
          <cell r="BE41">
            <v>19.171569039056052</v>
          </cell>
          <cell r="BF41">
            <v>19.171569039056052</v>
          </cell>
          <cell r="BG41">
            <v>19.171569039056052</v>
          </cell>
          <cell r="BH41">
            <v>19.171569039056052</v>
          </cell>
          <cell r="BI41">
            <v>22.129468262224698</v>
          </cell>
          <cell r="BJ41">
            <v>19.171569039056052</v>
          </cell>
          <cell r="BK41">
            <v>19.171569039056052</v>
          </cell>
          <cell r="BL41">
            <v>19.171569039056052</v>
          </cell>
          <cell r="BM41">
            <v>19.171569039056052</v>
          </cell>
          <cell r="BN41">
            <v>23.949713938020793</v>
          </cell>
        </row>
        <row r="42">
          <cell r="U42">
            <v>8.4999999999999992E-2</v>
          </cell>
          <cell r="Z42">
            <v>13.222807614228175</v>
          </cell>
          <cell r="AA42">
            <v>17.550634540755347</v>
          </cell>
          <cell r="AB42">
            <v>17.550634540755347</v>
          </cell>
          <cell r="AC42">
            <v>17.550634540755347</v>
          </cell>
          <cell r="AD42">
            <v>17.550634540755347</v>
          </cell>
          <cell r="AE42">
            <v>13.923503402332575</v>
          </cell>
          <cell r="AF42">
            <v>17.550634540755347</v>
          </cell>
          <cell r="AG42">
            <v>17.550634540755347</v>
          </cell>
          <cell r="AH42">
            <v>17.550634540755347</v>
          </cell>
          <cell r="AI42">
            <v>17.550634540755347</v>
          </cell>
          <cell r="AJ42">
            <v>14.694268769247413</v>
          </cell>
          <cell r="AK42">
            <v>17.550634540755347</v>
          </cell>
          <cell r="AL42">
            <v>17.550634540755347</v>
          </cell>
          <cell r="AM42">
            <v>17.550634540755347</v>
          </cell>
          <cell r="AN42">
            <v>17.550634540755347</v>
          </cell>
          <cell r="AO42">
            <v>15.546167332679607</v>
          </cell>
          <cell r="AP42">
            <v>17.550634540755347</v>
          </cell>
          <cell r="AQ42">
            <v>17.550634540755347</v>
          </cell>
          <cell r="AR42">
            <v>17.550634540755347</v>
          </cell>
          <cell r="AS42">
            <v>17.550634540755347</v>
          </cell>
          <cell r="AT42">
            <v>16.492721292048703</v>
          </cell>
          <cell r="AU42">
            <v>17.550634540755347</v>
          </cell>
          <cell r="AV42">
            <v>17.550634540755347</v>
          </cell>
          <cell r="AW42">
            <v>17.550634540755347</v>
          </cell>
          <cell r="AX42">
            <v>17.550634540755347</v>
          </cell>
          <cell r="AY42">
            <v>17.550634540755347</v>
          </cell>
          <cell r="AZ42">
            <v>17.550634540755347</v>
          </cell>
          <cell r="BA42">
            <v>17.550634540755347</v>
          </cell>
          <cell r="BB42">
            <v>17.550634540755347</v>
          </cell>
          <cell r="BC42">
            <v>17.550634540755347</v>
          </cell>
          <cell r="BD42">
            <v>18.740786945550322</v>
          </cell>
          <cell r="BE42">
            <v>17.550634540755347</v>
          </cell>
          <cell r="BF42">
            <v>17.550634540755347</v>
          </cell>
          <cell r="BG42">
            <v>17.550634540755347</v>
          </cell>
          <cell r="BH42">
            <v>17.550634540755347</v>
          </cell>
          <cell r="BI42">
            <v>20.089626337651286</v>
          </cell>
          <cell r="BJ42">
            <v>17.550634540755347</v>
          </cell>
          <cell r="BK42">
            <v>17.550634540755347</v>
          </cell>
          <cell r="BL42">
            <v>17.550634540755347</v>
          </cell>
          <cell r="BM42">
            <v>17.550634540755347</v>
          </cell>
          <cell r="BN42">
            <v>21.631157071480963</v>
          </cell>
        </row>
        <row r="43">
          <cell r="U43">
            <v>0.09</v>
          </cell>
          <cell r="Z43">
            <v>12.303763240273879</v>
          </cell>
          <cell r="AA43">
            <v>16.124590001498529</v>
          </cell>
          <cell r="AB43">
            <v>16.124590001498529</v>
          </cell>
          <cell r="AC43">
            <v>16.124590001498529</v>
          </cell>
          <cell r="AD43">
            <v>16.124590001498529</v>
          </cell>
          <cell r="AE43">
            <v>12.928989437565182</v>
          </cell>
          <cell r="AF43">
            <v>16.124590001498529</v>
          </cell>
          <cell r="AG43">
            <v>16.124590001498529</v>
          </cell>
          <cell r="AH43">
            <v>16.124590001498529</v>
          </cell>
          <cell r="AI43">
            <v>16.124590001498529</v>
          </cell>
          <cell r="AJ43">
            <v>13.613760986979472</v>
          </cell>
          <cell r="AK43">
            <v>16.124590001498529</v>
          </cell>
          <cell r="AL43">
            <v>16.124590001498529</v>
          </cell>
          <cell r="AM43">
            <v>16.124590001498529</v>
          </cell>
          <cell r="AN43">
            <v>16.124590001498529</v>
          </cell>
          <cell r="AO43">
            <v>14.367009691335191</v>
          </cell>
          <cell r="AP43">
            <v>16.124590001498529</v>
          </cell>
          <cell r="AQ43">
            <v>16.124590001498529</v>
          </cell>
          <cell r="AR43">
            <v>16.124590001498529</v>
          </cell>
          <cell r="AS43">
            <v>16.124590001498529</v>
          </cell>
          <cell r="AT43">
            <v>15.199547732991508</v>
          </cell>
          <cell r="AU43">
            <v>16.124590001498529</v>
          </cell>
          <cell r="AV43">
            <v>16.124590001498529</v>
          </cell>
          <cell r="AW43">
            <v>16.124590001498529</v>
          </cell>
          <cell r="AX43">
            <v>16.124590001498529</v>
          </cell>
          <cell r="AY43">
            <v>16.124590001498529</v>
          </cell>
          <cell r="AZ43">
            <v>16.124590001498529</v>
          </cell>
          <cell r="BA43">
            <v>16.124590001498529</v>
          </cell>
          <cell r="BB43">
            <v>16.124590001498529</v>
          </cell>
          <cell r="BC43">
            <v>16.124590001498529</v>
          </cell>
          <cell r="BD43">
            <v>17.158460772182849</v>
          </cell>
          <cell r="BE43">
            <v>16.124590001498529</v>
          </cell>
          <cell r="BF43">
            <v>16.124590001498529</v>
          </cell>
          <cell r="BG43">
            <v>16.124590001498529</v>
          </cell>
          <cell r="BH43">
            <v>16.124590001498529</v>
          </cell>
          <cell r="BI43">
            <v>18.321565389202703</v>
          </cell>
          <cell r="BJ43">
            <v>16.124590001498529</v>
          </cell>
          <cell r="BK43">
            <v>16.124590001498529</v>
          </cell>
          <cell r="BL43">
            <v>16.124590001498529</v>
          </cell>
          <cell r="BM43">
            <v>16.124590001498529</v>
          </cell>
          <cell r="BN43">
            <v>19.639750621825208</v>
          </cell>
        </row>
        <row r="44">
          <cell r="U44">
            <v>9.5000000000000001E-2</v>
          </cell>
          <cell r="Z44">
            <v>11.471727768507133</v>
          </cell>
          <cell r="AA44">
            <v>14.862157432883734</v>
          </cell>
          <cell r="AB44">
            <v>14.862157432883734</v>
          </cell>
          <cell r="AC44">
            <v>14.862157432883734</v>
          </cell>
          <cell r="AD44">
            <v>14.862157432883734</v>
          </cell>
          <cell r="AE44">
            <v>12.03188571305631</v>
          </cell>
          <cell r="AF44">
            <v>14.862157432883734</v>
          </cell>
          <cell r="AG44">
            <v>14.862157432883734</v>
          </cell>
          <cell r="AH44">
            <v>14.862157432883734</v>
          </cell>
          <cell r="AI44">
            <v>14.862157432883734</v>
          </cell>
          <cell r="AJ44">
            <v>12.642967107109957</v>
          </cell>
          <cell r="AK44">
            <v>14.862157432883734</v>
          </cell>
          <cell r="AL44">
            <v>14.862157432883734</v>
          </cell>
          <cell r="AM44">
            <v>14.862157432883734</v>
          </cell>
          <cell r="AN44">
            <v>14.862157432883734</v>
          </cell>
          <cell r="AO44">
            <v>13.312246729168718</v>
          </cell>
          <cell r="AP44">
            <v>14.862157432883734</v>
          </cell>
          <cell r="AQ44">
            <v>14.862157432883734</v>
          </cell>
          <cell r="AR44">
            <v>14.862157432883734</v>
          </cell>
          <cell r="AS44">
            <v>14.862157432883734</v>
          </cell>
          <cell r="AT44">
            <v>14.04845431343335</v>
          </cell>
          <cell r="AU44">
            <v>14.862157432883734</v>
          </cell>
          <cell r="AV44">
            <v>14.862157432883734</v>
          </cell>
          <cell r="AW44">
            <v>14.862157432883734</v>
          </cell>
          <cell r="AX44">
            <v>14.862157432883734</v>
          </cell>
          <cell r="AY44">
            <v>14.862157432883734</v>
          </cell>
          <cell r="AZ44">
            <v>14.862157432883734</v>
          </cell>
          <cell r="BA44">
            <v>14.862157432883734</v>
          </cell>
          <cell r="BB44">
            <v>14.862157432883734</v>
          </cell>
          <cell r="BC44">
            <v>14.862157432883734</v>
          </cell>
          <cell r="BD44">
            <v>15.766272010050828</v>
          </cell>
          <cell r="BE44">
            <v>14.862157432883734</v>
          </cell>
          <cell r="BF44">
            <v>14.862157432883734</v>
          </cell>
          <cell r="BG44">
            <v>14.862157432883734</v>
          </cell>
          <cell r="BH44">
            <v>14.862157432883734</v>
          </cell>
          <cell r="BI44">
            <v>16.776753008061107</v>
          </cell>
          <cell r="BJ44">
            <v>14.862157432883734</v>
          </cell>
          <cell r="BK44">
            <v>14.862157432883734</v>
          </cell>
          <cell r="BL44">
            <v>14.862157432883734</v>
          </cell>
          <cell r="BM44">
            <v>14.862157432883734</v>
          </cell>
          <cell r="BN44">
            <v>17.913544130822675</v>
          </cell>
        </row>
        <row r="45">
          <cell r="U45">
            <v>0.1</v>
          </cell>
          <cell r="Z45">
            <v>10.715900428211482</v>
          </cell>
          <cell r="AA45">
            <v>13.738333882322411</v>
          </cell>
          <cell r="AB45">
            <v>13.738333882322411</v>
          </cell>
          <cell r="AC45">
            <v>13.738333882322411</v>
          </cell>
          <cell r="AD45">
            <v>13.738333882322411</v>
          </cell>
          <cell r="AE45">
            <v>11.219639337229969</v>
          </cell>
          <cell r="AF45">
            <v>13.738333882322411</v>
          </cell>
          <cell r="AG45">
            <v>13.738333882322411</v>
          </cell>
          <cell r="AH45">
            <v>13.738333882322411</v>
          </cell>
          <cell r="AI45">
            <v>13.738333882322411</v>
          </cell>
          <cell r="AJ45">
            <v>11.767181629641369</v>
          </cell>
          <cell r="AK45">
            <v>13.738333882322411</v>
          </cell>
          <cell r="AL45">
            <v>13.738333882322411</v>
          </cell>
          <cell r="AM45">
            <v>13.738333882322411</v>
          </cell>
          <cell r="AN45">
            <v>13.738333882322411</v>
          </cell>
          <cell r="AO45">
            <v>12.364500494090171</v>
          </cell>
          <cell r="AP45">
            <v>13.738333882322411</v>
          </cell>
          <cell r="AQ45">
            <v>13.738333882322411</v>
          </cell>
          <cell r="AR45">
            <v>13.738333882322411</v>
          </cell>
          <cell r="AS45">
            <v>13.738333882322411</v>
          </cell>
          <cell r="AT45">
            <v>13.018706869438857</v>
          </cell>
          <cell r="AU45">
            <v>13.738333882322411</v>
          </cell>
          <cell r="AV45">
            <v>13.738333882322411</v>
          </cell>
          <cell r="AW45">
            <v>13.738333882322411</v>
          </cell>
          <cell r="AX45">
            <v>13.738333882322411</v>
          </cell>
          <cell r="AY45">
            <v>13.738333882322411</v>
          </cell>
          <cell r="AZ45">
            <v>13.738333882322411</v>
          </cell>
          <cell r="BA45">
            <v>13.738333882322411</v>
          </cell>
          <cell r="BB45">
            <v>13.738333882322411</v>
          </cell>
          <cell r="BC45">
            <v>13.738333882322411</v>
          </cell>
          <cell r="BD45">
            <v>14.533711107088447</v>
          </cell>
          <cell r="BE45">
            <v>13.738333882322411</v>
          </cell>
          <cell r="BF45">
            <v>13.738333882322411</v>
          </cell>
          <cell r="BG45">
            <v>13.738333882322411</v>
          </cell>
          <cell r="BH45">
            <v>13.738333882322411</v>
          </cell>
          <cell r="BI45">
            <v>15.417463579050706</v>
          </cell>
          <cell r="BJ45">
            <v>13.738333882322411</v>
          </cell>
          <cell r="BK45">
            <v>13.738333882322411</v>
          </cell>
          <cell r="BL45">
            <v>13.738333882322411</v>
          </cell>
          <cell r="BM45">
            <v>13.738333882322411</v>
          </cell>
          <cell r="BN45">
            <v>16.405186930067348</v>
          </cell>
        </row>
        <row r="46">
          <cell r="U46">
            <v>0.10500000000000001</v>
          </cell>
          <cell r="Z46">
            <v>10.027156032078421</v>
          </cell>
          <cell r="AA46">
            <v>12.732896548671011</v>
          </cell>
          <cell r="AB46">
            <v>12.732896548671011</v>
          </cell>
          <cell r="AC46">
            <v>12.732896548671011</v>
          </cell>
          <cell r="AD46">
            <v>12.732896548671011</v>
          </cell>
          <cell r="AE46">
            <v>10.481720438865976</v>
          </cell>
          <cell r="AF46">
            <v>12.732896548671011</v>
          </cell>
          <cell r="AG46">
            <v>12.732896548671011</v>
          </cell>
          <cell r="AH46">
            <v>12.732896548671011</v>
          </cell>
          <cell r="AI46">
            <v>12.732896548671011</v>
          </cell>
          <cell r="AJ46">
            <v>10.974165212885827</v>
          </cell>
          <cell r="AK46">
            <v>12.732896548671011</v>
          </cell>
          <cell r="AL46">
            <v>12.732896548671011</v>
          </cell>
          <cell r="AM46">
            <v>12.732896548671011</v>
          </cell>
          <cell r="AN46">
            <v>12.732896548671011</v>
          </cell>
          <cell r="AO46">
            <v>11.509431271603059</v>
          </cell>
          <cell r="AP46">
            <v>12.732896548671011</v>
          </cell>
          <cell r="AQ46">
            <v>12.732896548671011</v>
          </cell>
          <cell r="AR46">
            <v>12.732896548671011</v>
          </cell>
          <cell r="AS46">
            <v>12.732896548671011</v>
          </cell>
          <cell r="AT46">
            <v>12.093357881112762</v>
          </cell>
          <cell r="AU46">
            <v>12.732896548671011</v>
          </cell>
          <cell r="AV46">
            <v>12.732896548671011</v>
          </cell>
          <cell r="AW46">
            <v>12.732896548671011</v>
          </cell>
          <cell r="AX46">
            <v>12.732896548671011</v>
          </cell>
          <cell r="AY46">
            <v>12.732896548671011</v>
          </cell>
          <cell r="AZ46">
            <v>12.732896548671011</v>
          </cell>
          <cell r="BA46">
            <v>12.732896548671011</v>
          </cell>
          <cell r="BB46">
            <v>12.732896548671011</v>
          </cell>
          <cell r="BC46">
            <v>12.732896548671011</v>
          </cell>
          <cell r="BD46">
            <v>13.436389082985084</v>
          </cell>
          <cell r="BE46">
            <v>12.732896548671011</v>
          </cell>
          <cell r="BF46">
            <v>12.732896548671011</v>
          </cell>
          <cell r="BG46">
            <v>12.732896548671011</v>
          </cell>
          <cell r="BH46">
            <v>12.732896548671011</v>
          </cell>
          <cell r="BI46">
            <v>14.213933463016426</v>
          </cell>
          <cell r="BJ46">
            <v>12.732896548671011</v>
          </cell>
          <cell r="BK46">
            <v>12.732896548671011</v>
          </cell>
          <cell r="BL46">
            <v>12.732896548671011</v>
          </cell>
          <cell r="BM46">
            <v>12.732896548671011</v>
          </cell>
          <cell r="BN46">
            <v>15.077871663051255</v>
          </cell>
        </row>
        <row r="47">
          <cell r="U47">
            <v>0.11000000000000001</v>
          </cell>
          <cell r="Z47">
            <v>9.3977340856858476</v>
          </cell>
          <cell r="AA47">
            <v>11.829315632331836</v>
          </cell>
          <cell r="AB47">
            <v>11.829315632331836</v>
          </cell>
          <cell r="AC47">
            <v>11.829315632331836</v>
          </cell>
          <cell r="AD47">
            <v>11.829315632331836</v>
          </cell>
          <cell r="AE47">
            <v>9.809232501272092</v>
          </cell>
          <cell r="AF47">
            <v>11.829315632331836</v>
          </cell>
          <cell r="AG47">
            <v>11.829315632331836</v>
          </cell>
          <cell r="AH47">
            <v>11.829315632331836</v>
          </cell>
          <cell r="AI47">
            <v>11.829315632331836</v>
          </cell>
          <cell r="AJ47">
            <v>10.253650790105237</v>
          </cell>
          <cell r="AK47">
            <v>11.829315632331836</v>
          </cell>
          <cell r="AL47">
            <v>11.829315632331836</v>
          </cell>
          <cell r="AM47">
            <v>11.829315632331836</v>
          </cell>
          <cell r="AN47">
            <v>11.829315632331836</v>
          </cell>
          <cell r="AO47">
            <v>10.735103936341144</v>
          </cell>
          <cell r="AP47">
            <v>11.829315632331836</v>
          </cell>
          <cell r="AQ47">
            <v>11.829315632331836</v>
          </cell>
          <cell r="AR47">
            <v>11.829315632331836</v>
          </cell>
          <cell r="AS47">
            <v>11.829315632331836</v>
          </cell>
          <cell r="AT47">
            <v>11.258422573554084</v>
          </cell>
          <cell r="AU47">
            <v>11.829315632331836</v>
          </cell>
          <cell r="AV47">
            <v>11.829315632331836</v>
          </cell>
          <cell r="AW47">
            <v>11.829315632331836</v>
          </cell>
          <cell r="AX47">
            <v>11.829315632331836</v>
          </cell>
          <cell r="AY47">
            <v>11.829315632331836</v>
          </cell>
          <cell r="AZ47">
            <v>11.829315632331836</v>
          </cell>
          <cell r="BA47">
            <v>11.829315632331836</v>
          </cell>
          <cell r="BB47">
            <v>11.829315632331836</v>
          </cell>
          <cell r="BC47">
            <v>11.829315632331836</v>
          </cell>
          <cell r="BD47">
            <v>12.454579458612232</v>
          </cell>
          <cell r="BE47">
            <v>11.829315632331836</v>
          </cell>
          <cell r="BF47">
            <v>11.829315632331836</v>
          </cell>
          <cell r="BG47">
            <v>11.829315632331836</v>
          </cell>
          <cell r="BH47">
            <v>11.829315632331836</v>
          </cell>
          <cell r="BI47">
            <v>13.142369667520667</v>
          </cell>
          <cell r="BJ47">
            <v>11.829315632331836</v>
          </cell>
          <cell r="BK47">
            <v>11.829315632331836</v>
          </cell>
          <cell r="BL47">
            <v>11.829315632331836</v>
          </cell>
          <cell r="BM47">
            <v>11.829315632331836</v>
          </cell>
          <cell r="BN47">
            <v>13.902558845787889</v>
          </cell>
        </row>
        <row r="48">
          <cell r="U48">
            <v>0.11500000000000002</v>
          </cell>
          <cell r="Z48">
            <v>8.8209945444671316</v>
          </cell>
          <cell r="AA48">
            <v>11.013950824752719</v>
          </cell>
          <cell r="AB48">
            <v>11.013950824752719</v>
          </cell>
          <cell r="AC48">
            <v>11.013950824752719</v>
          </cell>
          <cell r="AD48">
            <v>11.013950824752719</v>
          </cell>
          <cell r="AE48">
            <v>9.1946093181454192</v>
          </cell>
          <cell r="AF48">
            <v>11.013950824752719</v>
          </cell>
          <cell r="AG48">
            <v>11.013950824752719</v>
          </cell>
          <cell r="AH48">
            <v>11.013950824752719</v>
          </cell>
          <cell r="AI48">
            <v>11.013950824752719</v>
          </cell>
          <cell r="AJ48">
            <v>9.5969636897989545</v>
          </cell>
          <cell r="AK48">
            <v>11.013950824752719</v>
          </cell>
          <cell r="AL48">
            <v>11.013950824752719</v>
          </cell>
          <cell r="AM48">
            <v>11.013950824752719</v>
          </cell>
          <cell r="AN48">
            <v>11.013950824752719</v>
          </cell>
          <cell r="AO48">
            <v>10.031506411184777</v>
          </cell>
          <cell r="AP48">
            <v>11.013950824752719</v>
          </cell>
          <cell r="AQ48">
            <v>11.013950824752719</v>
          </cell>
          <cell r="AR48">
            <v>11.013950824752719</v>
          </cell>
          <cell r="AS48">
            <v>11.013950824752719</v>
          </cell>
          <cell r="AT48">
            <v>10.502261026019415</v>
          </cell>
          <cell r="AU48">
            <v>11.013950824752719</v>
          </cell>
          <cell r="AV48">
            <v>11.013950824752719</v>
          </cell>
          <cell r="AW48">
            <v>11.013950824752719</v>
          </cell>
          <cell r="AX48">
            <v>11.013950824752719</v>
          </cell>
          <cell r="AY48">
            <v>11.013950824752719</v>
          </cell>
          <cell r="AZ48">
            <v>11.013950824752719</v>
          </cell>
          <cell r="BA48">
            <v>11.013950824752719</v>
          </cell>
          <cell r="BB48">
            <v>11.013950824752719</v>
          </cell>
          <cell r="BC48">
            <v>11.013950824752719</v>
          </cell>
          <cell r="BD48">
            <v>11.572157877916323</v>
          </cell>
          <cell r="BE48">
            <v>11.013950824752719</v>
          </cell>
          <cell r="BF48">
            <v>11.013950824752719</v>
          </cell>
          <cell r="BG48">
            <v>11.013950824752719</v>
          </cell>
          <cell r="BH48">
            <v>11.013950824752719</v>
          </cell>
          <cell r="BI48">
            <v>12.183527507571696</v>
          </cell>
          <cell r="BJ48">
            <v>11.013950824752719</v>
          </cell>
          <cell r="BK48">
            <v>11.013950824752719</v>
          </cell>
          <cell r="BL48">
            <v>11.013950824752719</v>
          </cell>
          <cell r="BM48">
            <v>11.013950824752719</v>
          </cell>
          <cell r="BN48">
            <v>12.856034100192609</v>
          </cell>
        </row>
        <row r="49">
          <cell r="U49">
            <v>0.12000000000000002</v>
          </cell>
          <cell r="Z49">
            <v>8.291224129408441</v>
          </cell>
          <cell r="AA49">
            <v>10.275448707386531</v>
          </cell>
          <cell r="AB49">
            <v>10.275448707386531</v>
          </cell>
          <cell r="AC49">
            <v>10.275448707386531</v>
          </cell>
          <cell r="AD49">
            <v>10.275448707386531</v>
          </cell>
          <cell r="AE49">
            <v>8.6313769142046866</v>
          </cell>
          <cell r="AF49">
            <v>10.275448707386531</v>
          </cell>
          <cell r="AG49">
            <v>10.275448707386531</v>
          </cell>
          <cell r="AH49">
            <v>10.275448707386531</v>
          </cell>
          <cell r="AI49">
            <v>10.275448707386531</v>
          </cell>
          <cell r="AJ49">
            <v>8.9967262015784293</v>
          </cell>
          <cell r="AK49">
            <v>10.275448707386531</v>
          </cell>
          <cell r="AL49">
            <v>10.275448707386531</v>
          </cell>
          <cell r="AM49">
            <v>10.275448707386531</v>
          </cell>
          <cell r="AN49">
            <v>10.275448707386531</v>
          </cell>
          <cell r="AO49">
            <v>9.3901792802886153</v>
          </cell>
          <cell r="AP49">
            <v>10.275448707386531</v>
          </cell>
          <cell r="AQ49">
            <v>10.275448707386531</v>
          </cell>
          <cell r="AR49">
            <v>10.275448707386531</v>
          </cell>
          <cell r="AS49">
            <v>10.275448707386531</v>
          </cell>
          <cell r="AT49">
            <v>9.8151086052956149</v>
          </cell>
          <cell r="AU49">
            <v>10.275448707386531</v>
          </cell>
          <cell r="AV49">
            <v>10.275448707386531</v>
          </cell>
          <cell r="AW49">
            <v>10.275448707386531</v>
          </cell>
          <cell r="AX49">
            <v>10.275448707386531</v>
          </cell>
          <cell r="AY49">
            <v>10.275448707386531</v>
          </cell>
          <cell r="AZ49">
            <v>10.275448707386531</v>
          </cell>
          <cell r="BA49">
            <v>10.275448707386531</v>
          </cell>
          <cell r="BB49">
            <v>10.275448707386531</v>
          </cell>
          <cell r="BC49">
            <v>10.275448707386531</v>
          </cell>
          <cell r="BD49">
            <v>10.775818383572309</v>
          </cell>
          <cell r="BE49">
            <v>10.275448707386531</v>
          </cell>
          <cell r="BF49">
            <v>10.275448707386531</v>
          </cell>
          <cell r="BG49">
            <v>10.275448707386531</v>
          </cell>
          <cell r="BH49">
            <v>10.275448707386531</v>
          </cell>
          <cell r="BI49">
            <v>11.321676212138613</v>
          </cell>
          <cell r="BJ49">
            <v>10.275448707386531</v>
          </cell>
          <cell r="BK49">
            <v>10.275448707386531</v>
          </cell>
          <cell r="BL49">
            <v>10.275448707386531</v>
          </cell>
          <cell r="BM49">
            <v>10.275448707386531</v>
          </cell>
          <cell r="BN49">
            <v>11.919520500568373</v>
          </cell>
        </row>
      </sheetData>
      <sheetData sheetId="19"/>
      <sheetData sheetId="20"/>
      <sheetData sheetId="21"/>
      <sheetData sheetId="22"/>
      <sheetData sheetId="23"/>
      <sheetData sheetId="24" refreshError="1">
        <row r="1">
          <cell r="U1" t="str">
            <v>SmartCharts</v>
          </cell>
          <cell r="BD1" t="str">
            <v>.</v>
          </cell>
        </row>
        <row r="2">
          <cell r="BD2" t="str">
            <v>.</v>
          </cell>
        </row>
        <row r="3">
          <cell r="BD3" t="str">
            <v>.</v>
          </cell>
        </row>
        <row r="4">
          <cell r="BD4" t="str">
            <v>.</v>
          </cell>
        </row>
        <row r="5">
          <cell r="C5" t="str">
            <v>Define value axis here:</v>
          </cell>
        </row>
        <row r="6">
          <cell r="C6" t="str">
            <v>Eli Lilly revenue contributions 2010E-2015E</v>
          </cell>
        </row>
        <row r="10">
          <cell r="C10" t="str">
            <v>Input your data here:</v>
          </cell>
          <cell r="BD10" t="str">
            <v>.</v>
          </cell>
        </row>
        <row r="11">
          <cell r="C11" t="str">
            <v>Sales ($M)</v>
          </cell>
          <cell r="D11" t="str">
            <v>2010E</v>
          </cell>
          <cell r="E11" t="str">
            <v>2011E</v>
          </cell>
          <cell r="F11" t="str">
            <v>2012E</v>
          </cell>
          <cell r="G11" t="str">
            <v>2013E</v>
          </cell>
          <cell r="H11" t="str">
            <v>2014E</v>
          </cell>
          <cell r="I11" t="str">
            <v>2015E</v>
          </cell>
          <cell r="BD11" t="str">
            <v>.</v>
          </cell>
        </row>
        <row r="12">
          <cell r="C12" t="str">
            <v>In-line products</v>
          </cell>
          <cell r="D12">
            <v>8741.7301775000014</v>
          </cell>
          <cell r="E12">
            <v>9422.206420550001</v>
          </cell>
          <cell r="F12">
            <v>9908.4720542889991</v>
          </cell>
          <cell r="G12">
            <v>10300.675416810274</v>
          </cell>
          <cell r="H12">
            <v>10709.128179281421</v>
          </cell>
          <cell r="I12">
            <v>10990.829805762725</v>
          </cell>
          <cell r="BD12" t="str">
            <v>.</v>
          </cell>
        </row>
        <row r="13">
          <cell r="C13" t="str">
            <v>Pipeline products launching 2010–2015</v>
          </cell>
          <cell r="D13">
            <v>141.25</v>
          </cell>
          <cell r="E13">
            <v>332.1875</v>
          </cell>
          <cell r="F13">
            <v>643.02499999999986</v>
          </cell>
          <cell r="G13">
            <v>1188.9100000000001</v>
          </cell>
          <cell r="H13">
            <v>2060.8072999999999</v>
          </cell>
          <cell r="I13">
            <v>3252.5061575</v>
          </cell>
          <cell r="BD13" t="str">
            <v>.</v>
          </cell>
        </row>
        <row r="14">
          <cell r="C14" t="str">
            <v>Products expiring 2010–2015</v>
          </cell>
          <cell r="D14">
            <v>13516.758760000001</v>
          </cell>
          <cell r="E14">
            <v>13145.262609800002</v>
          </cell>
          <cell r="F14">
            <v>10919.249930854003</v>
          </cell>
          <cell r="G14">
            <v>10206.164042898221</v>
          </cell>
          <cell r="H14">
            <v>7639.4611699592915</v>
          </cell>
          <cell r="I14">
            <v>5257.1242554678174</v>
          </cell>
          <cell r="BD14" t="str">
            <v>.</v>
          </cell>
        </row>
        <row r="15">
          <cell r="C15" t="str">
            <v>Δ in expiring products off 2010 base</v>
          </cell>
          <cell r="D15">
            <v>0</v>
          </cell>
          <cell r="E15">
            <v>-371.49615019999874</v>
          </cell>
          <cell r="F15">
            <v>-2597.5088291459979</v>
          </cell>
          <cell r="G15">
            <v>-3310.5947171017797</v>
          </cell>
          <cell r="H15">
            <v>-5877.2975900407091</v>
          </cell>
          <cell r="I15">
            <v>-8259.6345045321832</v>
          </cell>
          <cell r="BD15" t="str">
            <v>.</v>
          </cell>
        </row>
        <row r="16">
          <cell r="C16" t="str">
            <v>Net product sales</v>
          </cell>
          <cell r="D16">
            <v>22399.738937500002</v>
          </cell>
          <cell r="E16">
            <v>22899.656530350003</v>
          </cell>
          <cell r="F16">
            <v>21470.746985143003</v>
          </cell>
          <cell r="G16">
            <v>21695.749459708495</v>
          </cell>
          <cell r="H16">
            <v>20409.396649240713</v>
          </cell>
          <cell r="I16">
            <v>19500.460218730543</v>
          </cell>
          <cell r="BD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BD996" t="str">
            <v>.</v>
          </cell>
        </row>
        <row r="997">
          <cell r="A997" t="str">
            <v>.</v>
          </cell>
          <cell r="B997" t="str">
            <v>.</v>
          </cell>
          <cell r="C997" t="str">
            <v>.</v>
          </cell>
          <cell r="D997" t="str">
            <v>.</v>
          </cell>
          <cell r="E997" t="str">
            <v>.</v>
          </cell>
          <cell r="F997" t="str">
            <v>.</v>
          </cell>
          <cell r="G997" t="str">
            <v>.</v>
          </cell>
          <cell r="H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5" refreshError="1">
        <row r="1">
          <cell r="U1" t="str">
            <v>SmartCharts</v>
          </cell>
          <cell r="BD1" t="str">
            <v>.</v>
          </cell>
        </row>
        <row r="2">
          <cell r="BD2" t="str">
            <v>.</v>
          </cell>
        </row>
        <row r="3">
          <cell r="BD3" t="str">
            <v>.</v>
          </cell>
        </row>
        <row r="4">
          <cell r="BD4" t="str">
            <v>.</v>
          </cell>
        </row>
        <row r="5">
          <cell r="C5" t="str">
            <v>Define value axis here:</v>
          </cell>
        </row>
        <row r="6">
          <cell r="C6" t="str">
            <v>Eli Lilly YOY revenue change 2010E-2015E</v>
          </cell>
        </row>
        <row r="10">
          <cell r="C10" t="str">
            <v>Input your data here:</v>
          </cell>
          <cell r="BD10" t="str">
            <v>.</v>
          </cell>
        </row>
        <row r="11">
          <cell r="C11" t="str">
            <v>Sales ($M)</v>
          </cell>
          <cell r="D11" t="str">
            <v>2011E</v>
          </cell>
          <cell r="E11" t="str">
            <v>2012E</v>
          </cell>
          <cell r="F11" t="str">
            <v>2013E</v>
          </cell>
          <cell r="G11" t="str">
            <v>2014E</v>
          </cell>
          <cell r="H11" t="str">
            <v>2015E</v>
          </cell>
          <cell r="BC11" t="str">
            <v>.</v>
          </cell>
        </row>
        <row r="12">
          <cell r="C12" t="str">
            <v>In-line products</v>
          </cell>
          <cell r="D12">
            <v>680.47624304999954</v>
          </cell>
          <cell r="E12">
            <v>486.26563373899808</v>
          </cell>
          <cell r="F12">
            <v>392.20336252127527</v>
          </cell>
          <cell r="G12">
            <v>408.45276247114634</v>
          </cell>
          <cell r="H12">
            <v>281.70162648130463</v>
          </cell>
          <cell r="BC12" t="str">
            <v>.</v>
          </cell>
        </row>
        <row r="13">
          <cell r="A13" t="str">
            <v>.</v>
          </cell>
          <cell r="C13" t="str">
            <v>Pipeline products launching 2010–2015</v>
          </cell>
          <cell r="D13">
            <v>190.9375</v>
          </cell>
          <cell r="E13">
            <v>310.83749999999986</v>
          </cell>
          <cell r="F13">
            <v>545.88500000000022</v>
          </cell>
          <cell r="G13">
            <v>871.89729999999986</v>
          </cell>
          <cell r="H13">
            <v>1191.6988575</v>
          </cell>
          <cell r="BC13" t="str">
            <v>.</v>
          </cell>
        </row>
        <row r="14">
          <cell r="C14" t="str">
            <v>Products expiring 2010–2015</v>
          </cell>
          <cell r="D14">
            <v>-371.49615019999874</v>
          </cell>
          <cell r="E14">
            <v>-2226.0126789459991</v>
          </cell>
          <cell r="F14">
            <v>-713.0858879557818</v>
          </cell>
          <cell r="G14">
            <v>-2566.7028729389294</v>
          </cell>
          <cell r="H14">
            <v>-2382.3369144914741</v>
          </cell>
          <cell r="BC14" t="str">
            <v>.</v>
          </cell>
        </row>
        <row r="15">
          <cell r="C15" t="str">
            <v>Net YOY change</v>
          </cell>
          <cell r="D15">
            <v>499.9175928500008</v>
          </cell>
          <cell r="E15">
            <v>-1428.9095452069996</v>
          </cell>
          <cell r="F15">
            <v>225.00247456549187</v>
          </cell>
          <cell r="G15">
            <v>-1286.3528104677825</v>
          </cell>
          <cell r="H15">
            <v>-908.93643051016988</v>
          </cell>
          <cell r="BC15" t="str">
            <v>.</v>
          </cell>
        </row>
        <row r="16">
          <cell r="BC16" t="str">
            <v>.</v>
          </cell>
        </row>
        <row r="17">
          <cell r="BD17" t="str">
            <v>.</v>
          </cell>
        </row>
        <row r="18">
          <cell r="BD18" t="str">
            <v>.</v>
          </cell>
        </row>
        <row r="20">
          <cell r="BD20" t="str">
            <v>.</v>
          </cell>
        </row>
        <row r="21">
          <cell r="BD21" t="str">
            <v>.</v>
          </cell>
        </row>
        <row r="22">
          <cell r="BD22" t="str">
            <v>.</v>
          </cell>
        </row>
        <row r="23">
          <cell r="BD23" t="str">
            <v>.</v>
          </cell>
        </row>
        <row r="24">
          <cell r="BD24" t="str">
            <v>.</v>
          </cell>
        </row>
        <row r="25">
          <cell r="BD25" t="str">
            <v>.</v>
          </cell>
        </row>
        <row r="26">
          <cell r="BD26" t="str">
            <v>.</v>
          </cell>
        </row>
        <row r="27">
          <cell r="BD27" t="str">
            <v>.</v>
          </cell>
        </row>
        <row r="28">
          <cell r="BD28" t="str">
            <v>.</v>
          </cell>
        </row>
        <row r="29">
          <cell r="BD29" t="str">
            <v>.</v>
          </cell>
        </row>
        <row r="30">
          <cell r="BD30" t="str">
            <v>.</v>
          </cell>
        </row>
        <row r="31">
          <cell r="BD31" t="str">
            <v>.</v>
          </cell>
        </row>
        <row r="32">
          <cell r="BD32" t="str">
            <v>.</v>
          </cell>
        </row>
        <row r="33">
          <cell r="BD33" t="str">
            <v>.</v>
          </cell>
        </row>
        <row r="34">
          <cell r="BD34" t="str">
            <v>.</v>
          </cell>
        </row>
        <row r="35">
          <cell r="BD35" t="str">
            <v>.</v>
          </cell>
        </row>
        <row r="36">
          <cell r="BD36" t="str">
            <v>.</v>
          </cell>
        </row>
        <row r="37">
          <cell r="M37" t="str">
            <v>Do not change the width of the exhibit or font sizes (they are optimized for export to Word).</v>
          </cell>
          <cell r="BD37" t="str">
            <v>.</v>
          </cell>
        </row>
        <row r="38">
          <cell r="BD38" t="str">
            <v>.</v>
          </cell>
        </row>
        <row r="39">
          <cell r="M39" t="str">
            <v>Do not delete any rows or columns (some gray cells are used for calculations).</v>
          </cell>
          <cell r="BD39" t="str">
            <v>.</v>
          </cell>
        </row>
        <row r="40">
          <cell r="BD40" t="str">
            <v>.</v>
          </cell>
        </row>
        <row r="41">
          <cell r="BD41" t="str">
            <v>.</v>
          </cell>
        </row>
        <row r="42">
          <cell r="BD42" t="str">
            <v>.</v>
          </cell>
        </row>
        <row r="43">
          <cell r="BD43" t="str">
            <v>.</v>
          </cell>
        </row>
        <row r="44">
          <cell r="BD44" t="str">
            <v>.</v>
          </cell>
        </row>
        <row r="45">
          <cell r="BD45" t="str">
            <v>.</v>
          </cell>
        </row>
        <row r="46">
          <cell r="BD46" t="str">
            <v>.</v>
          </cell>
        </row>
        <row r="47">
          <cell r="BD47" t="str">
            <v>.</v>
          </cell>
        </row>
        <row r="48">
          <cell r="BD48" t="str">
            <v>.</v>
          </cell>
        </row>
        <row r="49">
          <cell r="BD49" t="str">
            <v>.</v>
          </cell>
        </row>
        <row r="50">
          <cell r="BD50" t="str">
            <v>.</v>
          </cell>
        </row>
        <row r="51">
          <cell r="BD51" t="str">
            <v>.</v>
          </cell>
        </row>
        <row r="52">
          <cell r="BD52" t="str">
            <v>.</v>
          </cell>
        </row>
        <row r="53">
          <cell r="BD53" t="str">
            <v>.</v>
          </cell>
        </row>
        <row r="54">
          <cell r="BD54" t="str">
            <v>.</v>
          </cell>
        </row>
        <row r="55">
          <cell r="BD55" t="str">
            <v>.</v>
          </cell>
        </row>
        <row r="56">
          <cell r="BD56" t="str">
            <v>.</v>
          </cell>
        </row>
        <row r="57">
          <cell r="BD57" t="str">
            <v>.</v>
          </cell>
        </row>
        <row r="58">
          <cell r="BD58" t="str">
            <v>.</v>
          </cell>
        </row>
        <row r="59">
          <cell r="BD59" t="str">
            <v>.</v>
          </cell>
        </row>
        <row r="60">
          <cell r="BD60" t="str">
            <v>.</v>
          </cell>
        </row>
        <row r="61">
          <cell r="BD61" t="str">
            <v>.</v>
          </cell>
        </row>
        <row r="62">
          <cell r="BD62" t="str">
            <v>.</v>
          </cell>
        </row>
        <row r="63">
          <cell r="BD63" t="str">
            <v>.</v>
          </cell>
        </row>
        <row r="64">
          <cell r="BD64" t="str">
            <v>.</v>
          </cell>
        </row>
        <row r="65">
          <cell r="BD65" t="str">
            <v>.</v>
          </cell>
        </row>
        <row r="66">
          <cell r="BD66" t="str">
            <v>.</v>
          </cell>
        </row>
        <row r="67">
          <cell r="BD67" t="str">
            <v>.</v>
          </cell>
        </row>
        <row r="68">
          <cell r="BD68" t="str">
            <v>.</v>
          </cell>
        </row>
        <row r="69">
          <cell r="BD69" t="str">
            <v>.</v>
          </cell>
        </row>
        <row r="70">
          <cell r="BD70" t="str">
            <v>.</v>
          </cell>
        </row>
        <row r="71">
          <cell r="BD71" t="str">
            <v>.</v>
          </cell>
        </row>
        <row r="72">
          <cell r="BD72" t="str">
            <v>.</v>
          </cell>
        </row>
        <row r="73">
          <cell r="BD73" t="str">
            <v>.</v>
          </cell>
        </row>
        <row r="74">
          <cell r="BD74" t="str">
            <v>.</v>
          </cell>
        </row>
        <row r="75">
          <cell r="BD75" t="str">
            <v>.</v>
          </cell>
        </row>
        <row r="76">
          <cell r="BD76" t="str">
            <v>.</v>
          </cell>
        </row>
        <row r="77">
          <cell r="BD77" t="str">
            <v>.</v>
          </cell>
        </row>
        <row r="78">
          <cell r="BD78" t="str">
            <v>.</v>
          </cell>
        </row>
        <row r="79">
          <cell r="BD79" t="str">
            <v>.</v>
          </cell>
        </row>
        <row r="80">
          <cell r="BD80" t="str">
            <v>.</v>
          </cell>
        </row>
        <row r="81">
          <cell r="BD81" t="str">
            <v>.</v>
          </cell>
        </row>
        <row r="82">
          <cell r="BD82" t="str">
            <v>.</v>
          </cell>
        </row>
        <row r="83">
          <cell r="BD83" t="str">
            <v>.</v>
          </cell>
        </row>
        <row r="84">
          <cell r="BD84" t="str">
            <v>.</v>
          </cell>
        </row>
        <row r="85">
          <cell r="BD85" t="str">
            <v>.</v>
          </cell>
        </row>
        <row r="86">
          <cell r="BD86" t="str">
            <v>.</v>
          </cell>
        </row>
        <row r="87">
          <cell r="BD87" t="str">
            <v>.</v>
          </cell>
        </row>
        <row r="88">
          <cell r="BD88" t="str">
            <v>.</v>
          </cell>
        </row>
        <row r="89">
          <cell r="BD89" t="str">
            <v>.</v>
          </cell>
        </row>
        <row r="90">
          <cell r="BD90" t="str">
            <v>.</v>
          </cell>
        </row>
        <row r="91">
          <cell r="BD91" t="str">
            <v>.</v>
          </cell>
        </row>
        <row r="92">
          <cell r="BD92" t="str">
            <v>.</v>
          </cell>
        </row>
        <row r="93">
          <cell r="BD93" t="str">
            <v>.</v>
          </cell>
        </row>
        <row r="94">
          <cell r="BD94" t="str">
            <v>.</v>
          </cell>
        </row>
        <row r="95">
          <cell r="BD95" t="str">
            <v>.</v>
          </cell>
        </row>
        <row r="96">
          <cell r="BD96" t="str">
            <v>.</v>
          </cell>
        </row>
        <row r="97">
          <cell r="BD97" t="str">
            <v>.</v>
          </cell>
        </row>
        <row r="98">
          <cell r="BD98" t="str">
            <v>.</v>
          </cell>
        </row>
        <row r="99">
          <cell r="BD99" t="str">
            <v>.</v>
          </cell>
        </row>
        <row r="100">
          <cell r="BD100" t="str">
            <v>.</v>
          </cell>
        </row>
        <row r="101">
          <cell r="BD101" t="str">
            <v>.</v>
          </cell>
        </row>
        <row r="102">
          <cell r="BD102" t="str">
            <v>.</v>
          </cell>
        </row>
        <row r="103">
          <cell r="BD103" t="str">
            <v>.</v>
          </cell>
        </row>
        <row r="104">
          <cell r="BD104" t="str">
            <v>.</v>
          </cell>
        </row>
        <row r="105">
          <cell r="BD105" t="str">
            <v>.</v>
          </cell>
        </row>
        <row r="106">
          <cell r="BD106" t="str">
            <v>.</v>
          </cell>
        </row>
        <row r="107">
          <cell r="BD107" t="str">
            <v>.</v>
          </cell>
        </row>
        <row r="108">
          <cell r="BD108" t="str">
            <v>.</v>
          </cell>
        </row>
        <row r="109">
          <cell r="BD109" t="str">
            <v>.</v>
          </cell>
        </row>
        <row r="110">
          <cell r="BD110" t="str">
            <v>.</v>
          </cell>
        </row>
        <row r="111">
          <cell r="BD111" t="str">
            <v>.</v>
          </cell>
        </row>
        <row r="112">
          <cell r="BD112" t="str">
            <v>.</v>
          </cell>
        </row>
        <row r="113">
          <cell r="BD113" t="str">
            <v>.</v>
          </cell>
        </row>
        <row r="114">
          <cell r="BD114" t="str">
            <v>.</v>
          </cell>
        </row>
        <row r="115">
          <cell r="BD115" t="str">
            <v>.</v>
          </cell>
        </row>
        <row r="116">
          <cell r="BD116" t="str">
            <v>.</v>
          </cell>
        </row>
        <row r="117">
          <cell r="BD117" t="str">
            <v>.</v>
          </cell>
        </row>
        <row r="118">
          <cell r="BD118" t="str">
            <v>.</v>
          </cell>
        </row>
        <row r="119">
          <cell r="BD119" t="str">
            <v>.</v>
          </cell>
        </row>
        <row r="120">
          <cell r="BD120" t="str">
            <v>.</v>
          </cell>
        </row>
        <row r="121">
          <cell r="BD121" t="str">
            <v>.</v>
          </cell>
        </row>
        <row r="122">
          <cell r="BD122" t="str">
            <v>.</v>
          </cell>
        </row>
        <row r="123">
          <cell r="BD123" t="str">
            <v>.</v>
          </cell>
        </row>
        <row r="124">
          <cell r="BD124" t="str">
            <v>.</v>
          </cell>
        </row>
        <row r="125">
          <cell r="BD125" t="str">
            <v>.</v>
          </cell>
        </row>
        <row r="126">
          <cell r="BD126" t="str">
            <v>.</v>
          </cell>
        </row>
        <row r="127">
          <cell r="BD127" t="str">
            <v>.</v>
          </cell>
        </row>
        <row r="128">
          <cell r="BD128" t="str">
            <v>.</v>
          </cell>
        </row>
        <row r="129">
          <cell r="BD129" t="str">
            <v>.</v>
          </cell>
        </row>
        <row r="130">
          <cell r="BD130" t="str">
            <v>.</v>
          </cell>
        </row>
        <row r="131">
          <cell r="BD131" t="str">
            <v>.</v>
          </cell>
        </row>
        <row r="132">
          <cell r="BD132" t="str">
            <v>.</v>
          </cell>
        </row>
        <row r="133">
          <cell r="BD133" t="str">
            <v>.</v>
          </cell>
        </row>
        <row r="134">
          <cell r="BD134" t="str">
            <v>.</v>
          </cell>
        </row>
        <row r="135">
          <cell r="BD135" t="str">
            <v>.</v>
          </cell>
        </row>
        <row r="136">
          <cell r="BD136" t="str">
            <v>.</v>
          </cell>
        </row>
        <row r="137">
          <cell r="BD137" t="str">
            <v>.</v>
          </cell>
        </row>
        <row r="138">
          <cell r="BD138" t="str">
            <v>.</v>
          </cell>
        </row>
        <row r="139">
          <cell r="BD139" t="str">
            <v>.</v>
          </cell>
        </row>
        <row r="140">
          <cell r="BD140" t="str">
            <v>.</v>
          </cell>
        </row>
        <row r="141">
          <cell r="BD141" t="str">
            <v>.</v>
          </cell>
        </row>
        <row r="142">
          <cell r="BD142" t="str">
            <v>.</v>
          </cell>
        </row>
        <row r="143">
          <cell r="BD143" t="str">
            <v>.</v>
          </cell>
        </row>
        <row r="144">
          <cell r="BD144" t="str">
            <v>.</v>
          </cell>
        </row>
        <row r="145">
          <cell r="BD145" t="str">
            <v>.</v>
          </cell>
        </row>
        <row r="146">
          <cell r="BD146" t="str">
            <v>.</v>
          </cell>
        </row>
        <row r="147">
          <cell r="BD147" t="str">
            <v>.</v>
          </cell>
        </row>
        <row r="148">
          <cell r="BD148" t="str">
            <v>.</v>
          </cell>
        </row>
        <row r="149">
          <cell r="BD149" t="str">
            <v>.</v>
          </cell>
        </row>
        <row r="150">
          <cell r="BD150" t="str">
            <v>.</v>
          </cell>
        </row>
        <row r="151">
          <cell r="BD151" t="str">
            <v>.</v>
          </cell>
        </row>
        <row r="152">
          <cell r="BD152" t="str">
            <v>.</v>
          </cell>
        </row>
        <row r="153">
          <cell r="BD153" t="str">
            <v>.</v>
          </cell>
        </row>
        <row r="154">
          <cell r="BD154" t="str">
            <v>.</v>
          </cell>
        </row>
        <row r="155">
          <cell r="BD155" t="str">
            <v>.</v>
          </cell>
        </row>
        <row r="156">
          <cell r="BD156" t="str">
            <v>.</v>
          </cell>
        </row>
        <row r="157">
          <cell r="BD157" t="str">
            <v>.</v>
          </cell>
        </row>
        <row r="158">
          <cell r="BD158" t="str">
            <v>.</v>
          </cell>
        </row>
        <row r="159">
          <cell r="BD159" t="str">
            <v>.</v>
          </cell>
        </row>
        <row r="160">
          <cell r="BD160" t="str">
            <v>.</v>
          </cell>
        </row>
        <row r="161">
          <cell r="BD161" t="str">
            <v>.</v>
          </cell>
        </row>
        <row r="162">
          <cell r="BD162" t="str">
            <v>.</v>
          </cell>
        </row>
        <row r="163">
          <cell r="BD163" t="str">
            <v>.</v>
          </cell>
        </row>
        <row r="164">
          <cell r="BD164" t="str">
            <v>.</v>
          </cell>
        </row>
        <row r="165">
          <cell r="BD165" t="str">
            <v>.</v>
          </cell>
        </row>
        <row r="166">
          <cell r="BD166" t="str">
            <v>.</v>
          </cell>
        </row>
        <row r="167">
          <cell r="BD167" t="str">
            <v>.</v>
          </cell>
        </row>
        <row r="168">
          <cell r="BD168" t="str">
            <v>.</v>
          </cell>
        </row>
        <row r="169">
          <cell r="BD169" t="str">
            <v>.</v>
          </cell>
        </row>
        <row r="170">
          <cell r="BD170" t="str">
            <v>.</v>
          </cell>
        </row>
        <row r="171">
          <cell r="BD171" t="str">
            <v>.</v>
          </cell>
        </row>
        <row r="172">
          <cell r="BD172" t="str">
            <v>.</v>
          </cell>
        </row>
        <row r="173">
          <cell r="BD173" t="str">
            <v>.</v>
          </cell>
        </row>
        <row r="174">
          <cell r="BD174" t="str">
            <v>.</v>
          </cell>
        </row>
        <row r="175">
          <cell r="BD175" t="str">
            <v>.</v>
          </cell>
        </row>
        <row r="176">
          <cell r="BD176" t="str">
            <v>.</v>
          </cell>
        </row>
        <row r="177">
          <cell r="BD177" t="str">
            <v>.</v>
          </cell>
        </row>
        <row r="178">
          <cell r="BD178" t="str">
            <v>.</v>
          </cell>
        </row>
        <row r="179">
          <cell r="BD179" t="str">
            <v>.</v>
          </cell>
        </row>
        <row r="180">
          <cell r="BD180" t="str">
            <v>.</v>
          </cell>
        </row>
        <row r="181">
          <cell r="BD181" t="str">
            <v>.</v>
          </cell>
        </row>
        <row r="182">
          <cell r="BD182" t="str">
            <v>.</v>
          </cell>
        </row>
        <row r="183">
          <cell r="BD183" t="str">
            <v>.</v>
          </cell>
        </row>
        <row r="184">
          <cell r="BD184" t="str">
            <v>.</v>
          </cell>
        </row>
        <row r="185">
          <cell r="BD185" t="str">
            <v>.</v>
          </cell>
        </row>
        <row r="186">
          <cell r="BD186" t="str">
            <v>.</v>
          </cell>
        </row>
        <row r="187">
          <cell r="BD187" t="str">
            <v>.</v>
          </cell>
        </row>
        <row r="188">
          <cell r="BD188" t="str">
            <v>.</v>
          </cell>
        </row>
        <row r="189">
          <cell r="BD189" t="str">
            <v>.</v>
          </cell>
        </row>
        <row r="190">
          <cell r="BD190" t="str">
            <v>.</v>
          </cell>
        </row>
        <row r="191">
          <cell r="BD191" t="str">
            <v>.</v>
          </cell>
        </row>
        <row r="192">
          <cell r="BD192" t="str">
            <v>.</v>
          </cell>
        </row>
        <row r="193">
          <cell r="BD193" t="str">
            <v>.</v>
          </cell>
        </row>
        <row r="194">
          <cell r="BD194" t="str">
            <v>.</v>
          </cell>
        </row>
        <row r="195">
          <cell r="BD195" t="str">
            <v>.</v>
          </cell>
        </row>
        <row r="196">
          <cell r="BD196" t="str">
            <v>.</v>
          </cell>
        </row>
        <row r="197">
          <cell r="BD197" t="str">
            <v>.</v>
          </cell>
        </row>
        <row r="198">
          <cell r="BD198" t="str">
            <v>.</v>
          </cell>
        </row>
        <row r="199">
          <cell r="BD199" t="str">
            <v>.</v>
          </cell>
        </row>
        <row r="200">
          <cell r="BD200" t="str">
            <v>.</v>
          </cell>
        </row>
        <row r="201">
          <cell r="BD201" t="str">
            <v>.</v>
          </cell>
        </row>
        <row r="202">
          <cell r="BD202" t="str">
            <v>.</v>
          </cell>
        </row>
        <row r="203">
          <cell r="BD203" t="str">
            <v>.</v>
          </cell>
        </row>
        <row r="204">
          <cell r="BD204" t="str">
            <v>.</v>
          </cell>
        </row>
        <row r="205">
          <cell r="BD205" t="str">
            <v>.</v>
          </cell>
        </row>
        <row r="206">
          <cell r="BD206" t="str">
            <v>.</v>
          </cell>
        </row>
        <row r="207">
          <cell r="BD207" t="str">
            <v>.</v>
          </cell>
        </row>
        <row r="208">
          <cell r="BD208" t="str">
            <v>.</v>
          </cell>
        </row>
        <row r="209">
          <cell r="BD209" t="str">
            <v>.</v>
          </cell>
        </row>
        <row r="210">
          <cell r="BD210" t="str">
            <v>.</v>
          </cell>
        </row>
        <row r="211">
          <cell r="BD211" t="str">
            <v>.</v>
          </cell>
        </row>
        <row r="212">
          <cell r="BD212" t="str">
            <v>.</v>
          </cell>
        </row>
        <row r="213">
          <cell r="BD213" t="str">
            <v>.</v>
          </cell>
        </row>
        <row r="214">
          <cell r="BD214" t="str">
            <v>.</v>
          </cell>
        </row>
        <row r="215">
          <cell r="BD215" t="str">
            <v>.</v>
          </cell>
        </row>
        <row r="216">
          <cell r="BD216" t="str">
            <v>.</v>
          </cell>
        </row>
        <row r="217">
          <cell r="BD217" t="str">
            <v>.</v>
          </cell>
        </row>
        <row r="218">
          <cell r="BD218" t="str">
            <v>.</v>
          </cell>
        </row>
        <row r="219">
          <cell r="BD219" t="str">
            <v>.</v>
          </cell>
        </row>
        <row r="220">
          <cell r="BD220" t="str">
            <v>.</v>
          </cell>
        </row>
        <row r="221">
          <cell r="BD221" t="str">
            <v>.</v>
          </cell>
        </row>
        <row r="222">
          <cell r="BD222" t="str">
            <v>.</v>
          </cell>
        </row>
        <row r="223">
          <cell r="BD223" t="str">
            <v>.</v>
          </cell>
        </row>
        <row r="224">
          <cell r="BD224" t="str">
            <v>.</v>
          </cell>
        </row>
        <row r="225">
          <cell r="BD225" t="str">
            <v>.</v>
          </cell>
        </row>
        <row r="226">
          <cell r="BD226" t="str">
            <v>.</v>
          </cell>
        </row>
        <row r="227">
          <cell r="BD227" t="str">
            <v>.</v>
          </cell>
        </row>
        <row r="228">
          <cell r="BD228" t="str">
            <v>.</v>
          </cell>
        </row>
        <row r="229">
          <cell r="BD229" t="str">
            <v>.</v>
          </cell>
        </row>
        <row r="230">
          <cell r="BD230" t="str">
            <v>.</v>
          </cell>
        </row>
        <row r="231">
          <cell r="BD231" t="str">
            <v>.</v>
          </cell>
        </row>
        <row r="232">
          <cell r="BD232" t="str">
            <v>.</v>
          </cell>
        </row>
        <row r="233">
          <cell r="BD233" t="str">
            <v>.</v>
          </cell>
        </row>
        <row r="234">
          <cell r="BD234" t="str">
            <v>.</v>
          </cell>
        </row>
        <row r="235">
          <cell r="BD235" t="str">
            <v>.</v>
          </cell>
        </row>
        <row r="236">
          <cell r="BD236" t="str">
            <v>.</v>
          </cell>
        </row>
        <row r="237">
          <cell r="BD237" t="str">
            <v>.</v>
          </cell>
        </row>
        <row r="238">
          <cell r="BD238" t="str">
            <v>.</v>
          </cell>
        </row>
        <row r="239">
          <cell r="BD239" t="str">
            <v>.</v>
          </cell>
        </row>
        <row r="240">
          <cell r="BD240" t="str">
            <v>.</v>
          </cell>
        </row>
        <row r="241">
          <cell r="BD241" t="str">
            <v>.</v>
          </cell>
        </row>
        <row r="242">
          <cell r="BD242" t="str">
            <v>.</v>
          </cell>
        </row>
        <row r="243">
          <cell r="BD243" t="str">
            <v>.</v>
          </cell>
        </row>
        <row r="244">
          <cell r="BD244" t="str">
            <v>.</v>
          </cell>
        </row>
        <row r="245">
          <cell r="BD245" t="str">
            <v>.</v>
          </cell>
        </row>
        <row r="246">
          <cell r="BD246" t="str">
            <v>.</v>
          </cell>
        </row>
        <row r="247">
          <cell r="BD247" t="str">
            <v>.</v>
          </cell>
        </row>
        <row r="248">
          <cell r="BD248" t="str">
            <v>.</v>
          </cell>
        </row>
        <row r="249">
          <cell r="BD249" t="str">
            <v>.</v>
          </cell>
        </row>
        <row r="250">
          <cell r="BD250" t="str">
            <v>.</v>
          </cell>
        </row>
        <row r="251">
          <cell r="BD251" t="str">
            <v>.</v>
          </cell>
        </row>
        <row r="252">
          <cell r="BD252" t="str">
            <v>.</v>
          </cell>
        </row>
        <row r="253">
          <cell r="BD253" t="str">
            <v>.</v>
          </cell>
        </row>
        <row r="254">
          <cell r="BD254" t="str">
            <v>.</v>
          </cell>
        </row>
        <row r="255">
          <cell r="BD255" t="str">
            <v>.</v>
          </cell>
        </row>
        <row r="256">
          <cell r="BD256" t="str">
            <v>.</v>
          </cell>
        </row>
        <row r="257">
          <cell r="BD257" t="str">
            <v>.</v>
          </cell>
        </row>
        <row r="258">
          <cell r="BD258" t="str">
            <v>.</v>
          </cell>
        </row>
        <row r="259">
          <cell r="BD259" t="str">
            <v>.</v>
          </cell>
        </row>
        <row r="260">
          <cell r="BD260" t="str">
            <v>.</v>
          </cell>
        </row>
        <row r="261">
          <cell r="BD261" t="str">
            <v>.</v>
          </cell>
        </row>
        <row r="262">
          <cell r="BD262" t="str">
            <v>.</v>
          </cell>
        </row>
        <row r="263">
          <cell r="BD263" t="str">
            <v>.</v>
          </cell>
        </row>
        <row r="264">
          <cell r="BD264" t="str">
            <v>.</v>
          </cell>
        </row>
        <row r="265">
          <cell r="BD265" t="str">
            <v>.</v>
          </cell>
        </row>
        <row r="266">
          <cell r="BD266" t="str">
            <v>.</v>
          </cell>
        </row>
        <row r="267">
          <cell r="BD267" t="str">
            <v>.</v>
          </cell>
        </row>
        <row r="268">
          <cell r="BD268" t="str">
            <v>.</v>
          </cell>
        </row>
        <row r="269">
          <cell r="BD269" t="str">
            <v>.</v>
          </cell>
        </row>
        <row r="270">
          <cell r="BD270" t="str">
            <v>.</v>
          </cell>
        </row>
        <row r="271">
          <cell r="BD271" t="str">
            <v>.</v>
          </cell>
        </row>
        <row r="272">
          <cell r="BD272" t="str">
            <v>.</v>
          </cell>
        </row>
        <row r="273">
          <cell r="BD273" t="str">
            <v>.</v>
          </cell>
        </row>
        <row r="274">
          <cell r="BD274" t="str">
            <v>.</v>
          </cell>
        </row>
        <row r="275">
          <cell r="BD275" t="str">
            <v>.</v>
          </cell>
        </row>
        <row r="276">
          <cell r="BD276" t="str">
            <v>.</v>
          </cell>
        </row>
        <row r="277">
          <cell r="BD277" t="str">
            <v>.</v>
          </cell>
        </row>
        <row r="278">
          <cell r="BD278" t="str">
            <v>.</v>
          </cell>
        </row>
        <row r="279">
          <cell r="BD279" t="str">
            <v>.</v>
          </cell>
        </row>
        <row r="280">
          <cell r="BD280" t="str">
            <v>.</v>
          </cell>
        </row>
        <row r="281">
          <cell r="BD281" t="str">
            <v>.</v>
          </cell>
        </row>
        <row r="282">
          <cell r="BD282" t="str">
            <v>.</v>
          </cell>
        </row>
        <row r="283">
          <cell r="BD283" t="str">
            <v>.</v>
          </cell>
        </row>
        <row r="284">
          <cell r="BD284" t="str">
            <v>.</v>
          </cell>
        </row>
        <row r="285">
          <cell r="BD285" t="str">
            <v>.</v>
          </cell>
        </row>
        <row r="286">
          <cell r="BD286" t="str">
            <v>.</v>
          </cell>
        </row>
        <row r="287">
          <cell r="BD287" t="str">
            <v>.</v>
          </cell>
        </row>
        <row r="288">
          <cell r="BD288" t="str">
            <v>.</v>
          </cell>
        </row>
        <row r="289">
          <cell r="BD289" t="str">
            <v>.</v>
          </cell>
        </row>
        <row r="290">
          <cell r="BD290" t="str">
            <v>.</v>
          </cell>
        </row>
        <row r="291">
          <cell r="BD291" t="str">
            <v>.</v>
          </cell>
        </row>
        <row r="292">
          <cell r="BD292" t="str">
            <v>.</v>
          </cell>
        </row>
        <row r="293">
          <cell r="BD293" t="str">
            <v>.</v>
          </cell>
        </row>
        <row r="294">
          <cell r="BD294" t="str">
            <v>.</v>
          </cell>
        </row>
        <row r="295">
          <cell r="BD295" t="str">
            <v>.</v>
          </cell>
        </row>
        <row r="296">
          <cell r="BD296" t="str">
            <v>.</v>
          </cell>
        </row>
        <row r="297">
          <cell r="BD297" t="str">
            <v>.</v>
          </cell>
        </row>
        <row r="298">
          <cell r="BD298" t="str">
            <v>.</v>
          </cell>
        </row>
        <row r="299">
          <cell r="BD299" t="str">
            <v>.</v>
          </cell>
        </row>
        <row r="300">
          <cell r="BD300" t="str">
            <v>.</v>
          </cell>
        </row>
        <row r="301">
          <cell r="BD301" t="str">
            <v>.</v>
          </cell>
        </row>
        <row r="302">
          <cell r="BD302" t="str">
            <v>.</v>
          </cell>
        </row>
        <row r="303">
          <cell r="BD303" t="str">
            <v>.</v>
          </cell>
        </row>
        <row r="304">
          <cell r="BD304" t="str">
            <v>.</v>
          </cell>
        </row>
        <row r="305">
          <cell r="BD305" t="str">
            <v>.</v>
          </cell>
        </row>
        <row r="306">
          <cell r="BD306" t="str">
            <v>.</v>
          </cell>
        </row>
        <row r="307">
          <cell r="BD307" t="str">
            <v>.</v>
          </cell>
        </row>
        <row r="308">
          <cell r="BD308" t="str">
            <v>.</v>
          </cell>
        </row>
        <row r="309">
          <cell r="BD309" t="str">
            <v>.</v>
          </cell>
        </row>
        <row r="310">
          <cell r="BD310" t="str">
            <v>.</v>
          </cell>
        </row>
        <row r="311">
          <cell r="BD311" t="str">
            <v>.</v>
          </cell>
        </row>
        <row r="312">
          <cell r="BD312" t="str">
            <v>.</v>
          </cell>
        </row>
        <row r="313">
          <cell r="BD313" t="str">
            <v>.</v>
          </cell>
        </row>
        <row r="314">
          <cell r="BD314" t="str">
            <v>.</v>
          </cell>
        </row>
        <row r="315">
          <cell r="BD315" t="str">
            <v>.</v>
          </cell>
        </row>
        <row r="316">
          <cell r="BD316" t="str">
            <v>.</v>
          </cell>
        </row>
        <row r="317">
          <cell r="BD317" t="str">
            <v>.</v>
          </cell>
        </row>
        <row r="318">
          <cell r="BD318" t="str">
            <v>.</v>
          </cell>
        </row>
        <row r="319">
          <cell r="BD319" t="str">
            <v>.</v>
          </cell>
        </row>
        <row r="320">
          <cell r="BD320" t="str">
            <v>.</v>
          </cell>
        </row>
        <row r="321">
          <cell r="BD321" t="str">
            <v>.</v>
          </cell>
        </row>
        <row r="322">
          <cell r="BD322" t="str">
            <v>.</v>
          </cell>
        </row>
        <row r="323">
          <cell r="BD323" t="str">
            <v>.</v>
          </cell>
        </row>
        <row r="324">
          <cell r="BD324" t="str">
            <v>.</v>
          </cell>
        </row>
        <row r="325">
          <cell r="BD325" t="str">
            <v>.</v>
          </cell>
        </row>
        <row r="326">
          <cell r="BD326" t="str">
            <v>.</v>
          </cell>
        </row>
        <row r="327">
          <cell r="BD327" t="str">
            <v>.</v>
          </cell>
        </row>
        <row r="328">
          <cell r="BD328" t="str">
            <v>.</v>
          </cell>
        </row>
        <row r="329">
          <cell r="BD329" t="str">
            <v>.</v>
          </cell>
        </row>
        <row r="330">
          <cell r="BD330" t="str">
            <v>.</v>
          </cell>
        </row>
        <row r="331">
          <cell r="BD331" t="str">
            <v>.</v>
          </cell>
        </row>
        <row r="332">
          <cell r="BD332" t="str">
            <v>.</v>
          </cell>
        </row>
        <row r="333">
          <cell r="BD333" t="str">
            <v>.</v>
          </cell>
        </row>
        <row r="334">
          <cell r="BD334" t="str">
            <v>.</v>
          </cell>
        </row>
        <row r="335">
          <cell r="BD335" t="str">
            <v>.</v>
          </cell>
        </row>
        <row r="336">
          <cell r="BD336" t="str">
            <v>.</v>
          </cell>
        </row>
        <row r="337">
          <cell r="BD337" t="str">
            <v>.</v>
          </cell>
        </row>
        <row r="338">
          <cell r="BD338" t="str">
            <v>.</v>
          </cell>
        </row>
        <row r="339">
          <cell r="BD339" t="str">
            <v>.</v>
          </cell>
        </row>
        <row r="340">
          <cell r="BD340" t="str">
            <v>.</v>
          </cell>
        </row>
        <row r="341">
          <cell r="BD341" t="str">
            <v>.</v>
          </cell>
        </row>
        <row r="342">
          <cell r="BD342" t="str">
            <v>.</v>
          </cell>
        </row>
        <row r="343">
          <cell r="BD343" t="str">
            <v>.</v>
          </cell>
        </row>
        <row r="344">
          <cell r="BD344" t="str">
            <v>.</v>
          </cell>
        </row>
        <row r="345">
          <cell r="BD345" t="str">
            <v>.</v>
          </cell>
        </row>
        <row r="346">
          <cell r="BD346" t="str">
            <v>.</v>
          </cell>
        </row>
        <row r="347">
          <cell r="BD347" t="str">
            <v>.</v>
          </cell>
        </row>
        <row r="348">
          <cell r="BD348" t="str">
            <v>.</v>
          </cell>
        </row>
        <row r="349">
          <cell r="BD349" t="str">
            <v>.</v>
          </cell>
        </row>
        <row r="350">
          <cell r="BD350" t="str">
            <v>.</v>
          </cell>
        </row>
        <row r="351">
          <cell r="BD351" t="str">
            <v>.</v>
          </cell>
        </row>
        <row r="352">
          <cell r="BD352" t="str">
            <v>.</v>
          </cell>
        </row>
        <row r="353">
          <cell r="BD353" t="str">
            <v>.</v>
          </cell>
        </row>
        <row r="354">
          <cell r="BD354" t="str">
            <v>.</v>
          </cell>
        </row>
        <row r="355">
          <cell r="BD355" t="str">
            <v>.</v>
          </cell>
        </row>
        <row r="356">
          <cell r="BD356" t="str">
            <v>.</v>
          </cell>
        </row>
        <row r="357">
          <cell r="BD357" t="str">
            <v>.</v>
          </cell>
        </row>
        <row r="358">
          <cell r="BD358" t="str">
            <v>.</v>
          </cell>
        </row>
        <row r="359">
          <cell r="BD359" t="str">
            <v>.</v>
          </cell>
        </row>
        <row r="360">
          <cell r="BD360" t="str">
            <v>.</v>
          </cell>
        </row>
        <row r="361">
          <cell r="BD361" t="str">
            <v>.</v>
          </cell>
        </row>
        <row r="362">
          <cell r="BD362" t="str">
            <v>.</v>
          </cell>
        </row>
        <row r="363">
          <cell r="BD363" t="str">
            <v>.</v>
          </cell>
        </row>
        <row r="364">
          <cell r="BD364" t="str">
            <v>.</v>
          </cell>
        </row>
        <row r="365">
          <cell r="BD365" t="str">
            <v>.</v>
          </cell>
        </row>
        <row r="366">
          <cell r="BD366" t="str">
            <v>.</v>
          </cell>
        </row>
        <row r="367">
          <cell r="BD367" t="str">
            <v>.</v>
          </cell>
        </row>
        <row r="368">
          <cell r="BD368" t="str">
            <v>.</v>
          </cell>
        </row>
        <row r="369">
          <cell r="BD369" t="str">
            <v>.</v>
          </cell>
        </row>
        <row r="370">
          <cell r="BD370" t="str">
            <v>.</v>
          </cell>
        </row>
        <row r="371">
          <cell r="BD371" t="str">
            <v>.</v>
          </cell>
        </row>
        <row r="372">
          <cell r="BD372" t="str">
            <v>.</v>
          </cell>
        </row>
        <row r="373">
          <cell r="BD373" t="str">
            <v>.</v>
          </cell>
        </row>
        <row r="374">
          <cell r="BD374" t="str">
            <v>.</v>
          </cell>
        </row>
        <row r="375">
          <cell r="BD375" t="str">
            <v>.</v>
          </cell>
        </row>
        <row r="376">
          <cell r="BD376" t="str">
            <v>.</v>
          </cell>
        </row>
        <row r="377">
          <cell r="BD377" t="str">
            <v>.</v>
          </cell>
        </row>
        <row r="378">
          <cell r="BD378" t="str">
            <v>.</v>
          </cell>
        </row>
        <row r="379">
          <cell r="BD379" t="str">
            <v>.</v>
          </cell>
        </row>
        <row r="380">
          <cell r="BD380" t="str">
            <v>.</v>
          </cell>
        </row>
        <row r="381">
          <cell r="BD381" t="str">
            <v>.</v>
          </cell>
        </row>
        <row r="382">
          <cell r="BD382" t="str">
            <v>.</v>
          </cell>
        </row>
        <row r="383">
          <cell r="BD383" t="str">
            <v>.</v>
          </cell>
        </row>
        <row r="384">
          <cell r="BD384" t="str">
            <v>.</v>
          </cell>
        </row>
        <row r="385">
          <cell r="BD385" t="str">
            <v>.</v>
          </cell>
        </row>
        <row r="386">
          <cell r="BD386" t="str">
            <v>.</v>
          </cell>
        </row>
        <row r="387">
          <cell r="BD387" t="str">
            <v>.</v>
          </cell>
        </row>
        <row r="388">
          <cell r="BD388" t="str">
            <v>.</v>
          </cell>
        </row>
        <row r="389">
          <cell r="BD389" t="str">
            <v>.</v>
          </cell>
        </row>
        <row r="390">
          <cell r="BD390" t="str">
            <v>.</v>
          </cell>
        </row>
        <row r="391">
          <cell r="BD391" t="str">
            <v>.</v>
          </cell>
        </row>
        <row r="392">
          <cell r="BD392" t="str">
            <v>.</v>
          </cell>
        </row>
        <row r="393">
          <cell r="BD393" t="str">
            <v>.</v>
          </cell>
        </row>
        <row r="394">
          <cell r="BD394" t="str">
            <v>.</v>
          </cell>
        </row>
        <row r="395">
          <cell r="BD395" t="str">
            <v>.</v>
          </cell>
        </row>
        <row r="396">
          <cell r="BD396" t="str">
            <v>.</v>
          </cell>
        </row>
        <row r="397">
          <cell r="BD397" t="str">
            <v>.</v>
          </cell>
        </row>
        <row r="398">
          <cell r="BD398" t="str">
            <v>.</v>
          </cell>
        </row>
        <row r="399">
          <cell r="BD399" t="str">
            <v>.</v>
          </cell>
        </row>
        <row r="400">
          <cell r="BD400" t="str">
            <v>.</v>
          </cell>
        </row>
        <row r="401">
          <cell r="BD401" t="str">
            <v>.</v>
          </cell>
        </row>
        <row r="402">
          <cell r="BD402" t="str">
            <v>.</v>
          </cell>
        </row>
        <row r="403">
          <cell r="BD403" t="str">
            <v>.</v>
          </cell>
        </row>
        <row r="404">
          <cell r="BD404" t="str">
            <v>.</v>
          </cell>
        </row>
        <row r="405">
          <cell r="BD405" t="str">
            <v>.</v>
          </cell>
        </row>
        <row r="406">
          <cell r="BD406" t="str">
            <v>.</v>
          </cell>
        </row>
        <row r="407">
          <cell r="BD407" t="str">
            <v>.</v>
          </cell>
        </row>
        <row r="408">
          <cell r="BD408" t="str">
            <v>.</v>
          </cell>
        </row>
        <row r="409">
          <cell r="BD409" t="str">
            <v>.</v>
          </cell>
        </row>
        <row r="410">
          <cell r="BD410" t="str">
            <v>.</v>
          </cell>
        </row>
        <row r="411">
          <cell r="BD411" t="str">
            <v>.</v>
          </cell>
        </row>
        <row r="412">
          <cell r="BD412" t="str">
            <v>.</v>
          </cell>
        </row>
        <row r="413">
          <cell r="BD413" t="str">
            <v>.</v>
          </cell>
        </row>
        <row r="414">
          <cell r="BD414" t="str">
            <v>.</v>
          </cell>
        </row>
        <row r="415">
          <cell r="BD415" t="str">
            <v>.</v>
          </cell>
        </row>
        <row r="416">
          <cell r="BD416" t="str">
            <v>.</v>
          </cell>
        </row>
        <row r="417">
          <cell r="BD417" t="str">
            <v>.</v>
          </cell>
        </row>
        <row r="418">
          <cell r="BD418" t="str">
            <v>.</v>
          </cell>
        </row>
        <row r="419">
          <cell r="BD419" t="str">
            <v>.</v>
          </cell>
        </row>
        <row r="420">
          <cell r="BD420" t="str">
            <v>.</v>
          </cell>
        </row>
        <row r="421">
          <cell r="BD421" t="str">
            <v>.</v>
          </cell>
        </row>
        <row r="422">
          <cell r="BD422" t="str">
            <v>.</v>
          </cell>
        </row>
        <row r="423">
          <cell r="BD423" t="str">
            <v>.</v>
          </cell>
        </row>
        <row r="424">
          <cell r="BD424" t="str">
            <v>.</v>
          </cell>
        </row>
        <row r="425">
          <cell r="BD425" t="str">
            <v>.</v>
          </cell>
        </row>
        <row r="426">
          <cell r="BD426" t="str">
            <v>.</v>
          </cell>
        </row>
        <row r="427">
          <cell r="BD427" t="str">
            <v>.</v>
          </cell>
        </row>
        <row r="428">
          <cell r="BD428" t="str">
            <v>.</v>
          </cell>
        </row>
        <row r="429">
          <cell r="BD429" t="str">
            <v>.</v>
          </cell>
        </row>
        <row r="430">
          <cell r="BD430" t="str">
            <v>.</v>
          </cell>
        </row>
        <row r="431">
          <cell r="BD431" t="str">
            <v>.</v>
          </cell>
        </row>
        <row r="432">
          <cell r="BD432" t="str">
            <v>.</v>
          </cell>
        </row>
        <row r="433">
          <cell r="BD433" t="str">
            <v>.</v>
          </cell>
        </row>
        <row r="434">
          <cell r="BD434" t="str">
            <v>.</v>
          </cell>
        </row>
        <row r="435">
          <cell r="BD435" t="str">
            <v>.</v>
          </cell>
        </row>
        <row r="436">
          <cell r="BD436" t="str">
            <v>.</v>
          </cell>
        </row>
        <row r="437">
          <cell r="BD437" t="str">
            <v>.</v>
          </cell>
        </row>
        <row r="438">
          <cell r="BD438" t="str">
            <v>.</v>
          </cell>
        </row>
        <row r="439">
          <cell r="BD439" t="str">
            <v>.</v>
          </cell>
        </row>
        <row r="440">
          <cell r="BD440" t="str">
            <v>.</v>
          </cell>
        </row>
        <row r="441">
          <cell r="BD441" t="str">
            <v>.</v>
          </cell>
        </row>
        <row r="442">
          <cell r="BD442" t="str">
            <v>.</v>
          </cell>
        </row>
        <row r="443">
          <cell r="BD443" t="str">
            <v>.</v>
          </cell>
        </row>
        <row r="444">
          <cell r="BD444" t="str">
            <v>.</v>
          </cell>
        </row>
        <row r="445">
          <cell r="BD445" t="str">
            <v>.</v>
          </cell>
        </row>
        <row r="446">
          <cell r="BD446" t="str">
            <v>.</v>
          </cell>
        </row>
        <row r="447">
          <cell r="BD447" t="str">
            <v>.</v>
          </cell>
        </row>
        <row r="448">
          <cell r="BD448" t="str">
            <v>.</v>
          </cell>
        </row>
        <row r="449">
          <cell r="BD449" t="str">
            <v>.</v>
          </cell>
        </row>
        <row r="450">
          <cell r="BD450" t="str">
            <v>.</v>
          </cell>
        </row>
        <row r="451">
          <cell r="BD451" t="str">
            <v>.</v>
          </cell>
        </row>
        <row r="452">
          <cell r="BD452" t="str">
            <v>.</v>
          </cell>
        </row>
        <row r="453">
          <cell r="BD453" t="str">
            <v>.</v>
          </cell>
        </row>
        <row r="454">
          <cell r="BD454" t="str">
            <v>.</v>
          </cell>
        </row>
        <row r="455">
          <cell r="BD455" t="str">
            <v>.</v>
          </cell>
        </row>
        <row r="456">
          <cell r="BD456" t="str">
            <v>.</v>
          </cell>
        </row>
        <row r="457">
          <cell r="BD457" t="str">
            <v>.</v>
          </cell>
        </row>
        <row r="458">
          <cell r="BD458" t="str">
            <v>.</v>
          </cell>
        </row>
        <row r="459">
          <cell r="BD459" t="str">
            <v>.</v>
          </cell>
        </row>
        <row r="460">
          <cell r="BD460" t="str">
            <v>.</v>
          </cell>
        </row>
        <row r="461">
          <cell r="BD461" t="str">
            <v>.</v>
          </cell>
        </row>
        <row r="462">
          <cell r="BD462" t="str">
            <v>.</v>
          </cell>
        </row>
        <row r="463">
          <cell r="BD463" t="str">
            <v>.</v>
          </cell>
        </row>
        <row r="464">
          <cell r="BD464" t="str">
            <v>.</v>
          </cell>
        </row>
        <row r="465">
          <cell r="BD465" t="str">
            <v>.</v>
          </cell>
        </row>
        <row r="466">
          <cell r="BD466" t="str">
            <v>.</v>
          </cell>
        </row>
        <row r="467">
          <cell r="BD467" t="str">
            <v>.</v>
          </cell>
        </row>
        <row r="468">
          <cell r="BD468" t="str">
            <v>.</v>
          </cell>
        </row>
        <row r="469">
          <cell r="BD469" t="str">
            <v>.</v>
          </cell>
        </row>
        <row r="470">
          <cell r="BD470" t="str">
            <v>.</v>
          </cell>
        </row>
        <row r="471">
          <cell r="BD471" t="str">
            <v>.</v>
          </cell>
        </row>
        <row r="472">
          <cell r="BD472" t="str">
            <v>.</v>
          </cell>
        </row>
        <row r="473">
          <cell r="BD473" t="str">
            <v>.</v>
          </cell>
        </row>
        <row r="474">
          <cell r="BD474" t="str">
            <v>.</v>
          </cell>
        </row>
        <row r="475">
          <cell r="BD475" t="str">
            <v>.</v>
          </cell>
        </row>
        <row r="476">
          <cell r="BD476" t="str">
            <v>.</v>
          </cell>
        </row>
        <row r="477">
          <cell r="BD477" t="str">
            <v>.</v>
          </cell>
        </row>
        <row r="478">
          <cell r="BD478" t="str">
            <v>.</v>
          </cell>
        </row>
        <row r="479">
          <cell r="BD479" t="str">
            <v>.</v>
          </cell>
        </row>
        <row r="480">
          <cell r="BD480" t="str">
            <v>.</v>
          </cell>
        </row>
        <row r="481">
          <cell r="BD481" t="str">
            <v>.</v>
          </cell>
        </row>
        <row r="482">
          <cell r="BD482" t="str">
            <v>.</v>
          </cell>
        </row>
        <row r="483">
          <cell r="BD483" t="str">
            <v>.</v>
          </cell>
        </row>
        <row r="484">
          <cell r="BD484" t="str">
            <v>.</v>
          </cell>
        </row>
        <row r="485">
          <cell r="BD485" t="str">
            <v>.</v>
          </cell>
        </row>
        <row r="486">
          <cell r="BD486" t="str">
            <v>.</v>
          </cell>
        </row>
        <row r="487">
          <cell r="BD487" t="str">
            <v>.</v>
          </cell>
        </row>
        <row r="488">
          <cell r="BD488" t="str">
            <v>.</v>
          </cell>
        </row>
        <row r="489">
          <cell r="BD489" t="str">
            <v>.</v>
          </cell>
        </row>
        <row r="490">
          <cell r="BD490" t="str">
            <v>.</v>
          </cell>
        </row>
        <row r="491">
          <cell r="BD491" t="str">
            <v>.</v>
          </cell>
        </row>
        <row r="492">
          <cell r="BD492" t="str">
            <v>.</v>
          </cell>
        </row>
        <row r="493">
          <cell r="BD493" t="str">
            <v>.</v>
          </cell>
        </row>
        <row r="494">
          <cell r="BD494" t="str">
            <v>.</v>
          </cell>
        </row>
        <row r="495">
          <cell r="BD495" t="str">
            <v>.</v>
          </cell>
        </row>
        <row r="496">
          <cell r="BD496" t="str">
            <v>.</v>
          </cell>
        </row>
        <row r="497">
          <cell r="BD497" t="str">
            <v>.</v>
          </cell>
        </row>
        <row r="498">
          <cell r="BD498" t="str">
            <v>.</v>
          </cell>
        </row>
        <row r="499">
          <cell r="BD499" t="str">
            <v>.</v>
          </cell>
        </row>
        <row r="500">
          <cell r="BD500" t="str">
            <v>.</v>
          </cell>
        </row>
        <row r="501">
          <cell r="BD501" t="str">
            <v>.</v>
          </cell>
        </row>
        <row r="502">
          <cell r="BD502" t="str">
            <v>.</v>
          </cell>
        </row>
        <row r="503">
          <cell r="BD503" t="str">
            <v>.</v>
          </cell>
        </row>
        <row r="504">
          <cell r="BD504" t="str">
            <v>.</v>
          </cell>
        </row>
        <row r="505">
          <cell r="BD505" t="str">
            <v>.</v>
          </cell>
        </row>
        <row r="506">
          <cell r="BD506" t="str">
            <v>.</v>
          </cell>
        </row>
        <row r="507">
          <cell r="BD507" t="str">
            <v>.</v>
          </cell>
        </row>
        <row r="508">
          <cell r="BD508" t="str">
            <v>.</v>
          </cell>
        </row>
        <row r="509">
          <cell r="BD509" t="str">
            <v>.</v>
          </cell>
        </row>
        <row r="510">
          <cell r="BD510" t="str">
            <v>.</v>
          </cell>
        </row>
        <row r="511">
          <cell r="BD511" t="str">
            <v>.</v>
          </cell>
        </row>
        <row r="512">
          <cell r="BD512" t="str">
            <v>.</v>
          </cell>
        </row>
        <row r="513">
          <cell r="BD513" t="str">
            <v>.</v>
          </cell>
        </row>
        <row r="514">
          <cell r="BD514" t="str">
            <v>.</v>
          </cell>
        </row>
        <row r="515">
          <cell r="BD515" t="str">
            <v>.</v>
          </cell>
        </row>
        <row r="516">
          <cell r="BD516" t="str">
            <v>.</v>
          </cell>
        </row>
        <row r="517">
          <cell r="BD517" t="str">
            <v>.</v>
          </cell>
        </row>
        <row r="518">
          <cell r="BD518" t="str">
            <v>.</v>
          </cell>
        </row>
        <row r="519">
          <cell r="BD519" t="str">
            <v>.</v>
          </cell>
        </row>
        <row r="520">
          <cell r="BD520" t="str">
            <v>.</v>
          </cell>
        </row>
        <row r="521">
          <cell r="BD521" t="str">
            <v>.</v>
          </cell>
        </row>
        <row r="522">
          <cell r="BD522" t="str">
            <v>.</v>
          </cell>
        </row>
        <row r="523">
          <cell r="BD523" t="str">
            <v>.</v>
          </cell>
        </row>
        <row r="524">
          <cell r="BD524" t="str">
            <v>.</v>
          </cell>
        </row>
        <row r="525">
          <cell r="BD525" t="str">
            <v>.</v>
          </cell>
        </row>
        <row r="526">
          <cell r="BD526" t="str">
            <v>.</v>
          </cell>
        </row>
        <row r="527">
          <cell r="BD527" t="str">
            <v>.</v>
          </cell>
        </row>
        <row r="528">
          <cell r="BD528" t="str">
            <v>.</v>
          </cell>
        </row>
        <row r="529">
          <cell r="BD529" t="str">
            <v>.</v>
          </cell>
        </row>
        <row r="530">
          <cell r="BD530" t="str">
            <v>.</v>
          </cell>
        </row>
        <row r="531">
          <cell r="BD531" t="str">
            <v>.</v>
          </cell>
        </row>
        <row r="532">
          <cell r="BD532" t="str">
            <v>.</v>
          </cell>
        </row>
        <row r="533">
          <cell r="BD533" t="str">
            <v>.</v>
          </cell>
        </row>
        <row r="534">
          <cell r="BD534" t="str">
            <v>.</v>
          </cell>
        </row>
        <row r="535">
          <cell r="BD535" t="str">
            <v>.</v>
          </cell>
        </row>
        <row r="536">
          <cell r="BD536" t="str">
            <v>.</v>
          </cell>
        </row>
        <row r="537">
          <cell r="BD537" t="str">
            <v>.</v>
          </cell>
        </row>
        <row r="538">
          <cell r="BD538" t="str">
            <v>.</v>
          </cell>
        </row>
        <row r="539">
          <cell r="BD539" t="str">
            <v>.</v>
          </cell>
        </row>
        <row r="540">
          <cell r="BD540" t="str">
            <v>.</v>
          </cell>
        </row>
        <row r="541">
          <cell r="BD541" t="str">
            <v>.</v>
          </cell>
        </row>
        <row r="542">
          <cell r="BD542" t="str">
            <v>.</v>
          </cell>
        </row>
        <row r="543">
          <cell r="BD543" t="str">
            <v>.</v>
          </cell>
        </row>
        <row r="544">
          <cell r="BD544" t="str">
            <v>.</v>
          </cell>
        </row>
        <row r="545">
          <cell r="BD545" t="str">
            <v>.</v>
          </cell>
        </row>
        <row r="546">
          <cell r="BD546" t="str">
            <v>.</v>
          </cell>
        </row>
        <row r="547">
          <cell r="BD547" t="str">
            <v>.</v>
          </cell>
        </row>
        <row r="548">
          <cell r="BD548" t="str">
            <v>.</v>
          </cell>
        </row>
        <row r="549">
          <cell r="BD549" t="str">
            <v>.</v>
          </cell>
        </row>
        <row r="550">
          <cell r="BD550" t="str">
            <v>.</v>
          </cell>
        </row>
        <row r="551">
          <cell r="BD551" t="str">
            <v>.</v>
          </cell>
        </row>
        <row r="552">
          <cell r="BD552" t="str">
            <v>.</v>
          </cell>
        </row>
        <row r="553">
          <cell r="BD553" t="str">
            <v>.</v>
          </cell>
        </row>
        <row r="554">
          <cell r="BD554" t="str">
            <v>.</v>
          </cell>
        </row>
        <row r="555">
          <cell r="BD555" t="str">
            <v>.</v>
          </cell>
        </row>
        <row r="556">
          <cell r="BD556" t="str">
            <v>.</v>
          </cell>
        </row>
        <row r="557">
          <cell r="BD557" t="str">
            <v>.</v>
          </cell>
        </row>
        <row r="558">
          <cell r="BD558" t="str">
            <v>.</v>
          </cell>
        </row>
        <row r="559">
          <cell r="BD559" t="str">
            <v>.</v>
          </cell>
        </row>
        <row r="560">
          <cell r="BD560" t="str">
            <v>.</v>
          </cell>
        </row>
        <row r="561">
          <cell r="BD561" t="str">
            <v>.</v>
          </cell>
        </row>
        <row r="562">
          <cell r="BD562" t="str">
            <v>.</v>
          </cell>
        </row>
        <row r="563">
          <cell r="BD563" t="str">
            <v>.</v>
          </cell>
        </row>
        <row r="564">
          <cell r="BD564" t="str">
            <v>.</v>
          </cell>
        </row>
        <row r="565">
          <cell r="BD565" t="str">
            <v>.</v>
          </cell>
        </row>
        <row r="566">
          <cell r="BD566" t="str">
            <v>.</v>
          </cell>
        </row>
        <row r="567">
          <cell r="BD567" t="str">
            <v>.</v>
          </cell>
        </row>
        <row r="568">
          <cell r="BD568" t="str">
            <v>.</v>
          </cell>
        </row>
        <row r="569">
          <cell r="BD569" t="str">
            <v>.</v>
          </cell>
        </row>
        <row r="570">
          <cell r="BD570" t="str">
            <v>.</v>
          </cell>
        </row>
        <row r="571">
          <cell r="BD571" t="str">
            <v>.</v>
          </cell>
        </row>
        <row r="572">
          <cell r="BD572" t="str">
            <v>.</v>
          </cell>
        </row>
        <row r="573">
          <cell r="BD573" t="str">
            <v>.</v>
          </cell>
        </row>
        <row r="574">
          <cell r="BD574" t="str">
            <v>.</v>
          </cell>
        </row>
        <row r="575">
          <cell r="BD575" t="str">
            <v>.</v>
          </cell>
        </row>
        <row r="576">
          <cell r="BD576" t="str">
            <v>.</v>
          </cell>
        </row>
        <row r="577">
          <cell r="BD577" t="str">
            <v>.</v>
          </cell>
        </row>
        <row r="578">
          <cell r="BD578" t="str">
            <v>.</v>
          </cell>
        </row>
        <row r="579">
          <cell r="BD579" t="str">
            <v>.</v>
          </cell>
        </row>
        <row r="580">
          <cell r="BD580" t="str">
            <v>.</v>
          </cell>
        </row>
        <row r="581">
          <cell r="BD581" t="str">
            <v>.</v>
          </cell>
        </row>
        <row r="582">
          <cell r="BD582" t="str">
            <v>.</v>
          </cell>
        </row>
        <row r="583">
          <cell r="BD583" t="str">
            <v>.</v>
          </cell>
        </row>
        <row r="584">
          <cell r="BD584" t="str">
            <v>.</v>
          </cell>
        </row>
        <row r="585">
          <cell r="BD585" t="str">
            <v>.</v>
          </cell>
        </row>
        <row r="586">
          <cell r="BD586" t="str">
            <v>.</v>
          </cell>
        </row>
        <row r="587">
          <cell r="BD587" t="str">
            <v>.</v>
          </cell>
        </row>
        <row r="588">
          <cell r="BD588" t="str">
            <v>.</v>
          </cell>
        </row>
        <row r="589">
          <cell r="BD589" t="str">
            <v>.</v>
          </cell>
        </row>
        <row r="590">
          <cell r="BD590" t="str">
            <v>.</v>
          </cell>
        </row>
        <row r="591">
          <cell r="BD591" t="str">
            <v>.</v>
          </cell>
        </row>
        <row r="592">
          <cell r="BD592" t="str">
            <v>.</v>
          </cell>
        </row>
        <row r="593">
          <cell r="BD593" t="str">
            <v>.</v>
          </cell>
        </row>
        <row r="594">
          <cell r="BD594" t="str">
            <v>.</v>
          </cell>
        </row>
        <row r="595">
          <cell r="BD595" t="str">
            <v>.</v>
          </cell>
        </row>
        <row r="596">
          <cell r="BD596" t="str">
            <v>.</v>
          </cell>
        </row>
        <row r="597">
          <cell r="BD597" t="str">
            <v>.</v>
          </cell>
        </row>
        <row r="598">
          <cell r="BD598" t="str">
            <v>.</v>
          </cell>
        </row>
        <row r="599">
          <cell r="BD599" t="str">
            <v>.</v>
          </cell>
        </row>
        <row r="600">
          <cell r="BD600" t="str">
            <v>.</v>
          </cell>
        </row>
        <row r="601">
          <cell r="BD601" t="str">
            <v>.</v>
          </cell>
        </row>
        <row r="602">
          <cell r="BD602" t="str">
            <v>.</v>
          </cell>
        </row>
        <row r="603">
          <cell r="BD603" t="str">
            <v>.</v>
          </cell>
        </row>
        <row r="604">
          <cell r="BD604" t="str">
            <v>.</v>
          </cell>
        </row>
        <row r="605">
          <cell r="BD605" t="str">
            <v>.</v>
          </cell>
        </row>
        <row r="606">
          <cell r="BD606" t="str">
            <v>.</v>
          </cell>
        </row>
        <row r="607">
          <cell r="BD607" t="str">
            <v>.</v>
          </cell>
        </row>
        <row r="608">
          <cell r="BD608" t="str">
            <v>.</v>
          </cell>
        </row>
        <row r="609">
          <cell r="BD609" t="str">
            <v>.</v>
          </cell>
        </row>
        <row r="610">
          <cell r="BD610" t="str">
            <v>.</v>
          </cell>
        </row>
        <row r="611">
          <cell r="BD611" t="str">
            <v>.</v>
          </cell>
        </row>
        <row r="612">
          <cell r="BD612" t="str">
            <v>.</v>
          </cell>
        </row>
        <row r="613">
          <cell r="BD613" t="str">
            <v>.</v>
          </cell>
        </row>
        <row r="614">
          <cell r="BD614" t="str">
            <v>.</v>
          </cell>
        </row>
        <row r="615">
          <cell r="BD615" t="str">
            <v>.</v>
          </cell>
        </row>
        <row r="616">
          <cell r="BD616" t="str">
            <v>.</v>
          </cell>
        </row>
        <row r="617">
          <cell r="BD617" t="str">
            <v>.</v>
          </cell>
        </row>
        <row r="618">
          <cell r="BD618" t="str">
            <v>.</v>
          </cell>
        </row>
        <row r="619">
          <cell r="BD619" t="str">
            <v>.</v>
          </cell>
        </row>
        <row r="620">
          <cell r="BD620" t="str">
            <v>.</v>
          </cell>
        </row>
        <row r="621">
          <cell r="BD621" t="str">
            <v>.</v>
          </cell>
        </row>
        <row r="622">
          <cell r="BD622" t="str">
            <v>.</v>
          </cell>
        </row>
        <row r="623">
          <cell r="BD623" t="str">
            <v>.</v>
          </cell>
        </row>
        <row r="624">
          <cell r="BD624" t="str">
            <v>.</v>
          </cell>
        </row>
        <row r="625">
          <cell r="BD625" t="str">
            <v>.</v>
          </cell>
        </row>
        <row r="626">
          <cell r="BD626" t="str">
            <v>.</v>
          </cell>
        </row>
        <row r="627">
          <cell r="BD627" t="str">
            <v>.</v>
          </cell>
        </row>
        <row r="628">
          <cell r="BD628" t="str">
            <v>.</v>
          </cell>
        </row>
        <row r="629">
          <cell r="BD629" t="str">
            <v>.</v>
          </cell>
        </row>
        <row r="630">
          <cell r="BD630" t="str">
            <v>.</v>
          </cell>
        </row>
        <row r="631">
          <cell r="BD631" t="str">
            <v>.</v>
          </cell>
        </row>
        <row r="632">
          <cell r="BD632" t="str">
            <v>.</v>
          </cell>
        </row>
        <row r="633">
          <cell r="BD633" t="str">
            <v>.</v>
          </cell>
        </row>
        <row r="634">
          <cell r="BD634" t="str">
            <v>.</v>
          </cell>
        </row>
        <row r="635">
          <cell r="BD635" t="str">
            <v>.</v>
          </cell>
        </row>
        <row r="636">
          <cell r="BD636" t="str">
            <v>.</v>
          </cell>
        </row>
        <row r="637">
          <cell r="BD637" t="str">
            <v>.</v>
          </cell>
        </row>
        <row r="638">
          <cell r="BD638" t="str">
            <v>.</v>
          </cell>
        </row>
        <row r="639">
          <cell r="BD639" t="str">
            <v>.</v>
          </cell>
        </row>
        <row r="640">
          <cell r="BD640" t="str">
            <v>.</v>
          </cell>
        </row>
        <row r="641">
          <cell r="BD641" t="str">
            <v>.</v>
          </cell>
        </row>
        <row r="642">
          <cell r="BD642" t="str">
            <v>.</v>
          </cell>
        </row>
        <row r="643">
          <cell r="BD643" t="str">
            <v>.</v>
          </cell>
        </row>
        <row r="644">
          <cell r="BD644" t="str">
            <v>.</v>
          </cell>
        </row>
        <row r="645">
          <cell r="BD645" t="str">
            <v>.</v>
          </cell>
        </row>
        <row r="646">
          <cell r="BD646" t="str">
            <v>.</v>
          </cell>
        </row>
        <row r="647">
          <cell r="BD647" t="str">
            <v>.</v>
          </cell>
        </row>
        <row r="648">
          <cell r="BD648" t="str">
            <v>.</v>
          </cell>
        </row>
        <row r="649">
          <cell r="BD649" t="str">
            <v>.</v>
          </cell>
        </row>
        <row r="650">
          <cell r="BD650" t="str">
            <v>.</v>
          </cell>
        </row>
        <row r="651">
          <cell r="BD651" t="str">
            <v>.</v>
          </cell>
        </row>
        <row r="652">
          <cell r="BD652" t="str">
            <v>.</v>
          </cell>
        </row>
        <row r="653">
          <cell r="BD653" t="str">
            <v>.</v>
          </cell>
        </row>
        <row r="654">
          <cell r="BD654" t="str">
            <v>.</v>
          </cell>
        </row>
        <row r="655">
          <cell r="BD655" t="str">
            <v>.</v>
          </cell>
        </row>
        <row r="656">
          <cell r="BD656" t="str">
            <v>.</v>
          </cell>
        </row>
        <row r="657">
          <cell r="BD657" t="str">
            <v>.</v>
          </cell>
        </row>
        <row r="658">
          <cell r="BD658" t="str">
            <v>.</v>
          </cell>
        </row>
        <row r="659">
          <cell r="BD659" t="str">
            <v>.</v>
          </cell>
        </row>
        <row r="660">
          <cell r="BD660" t="str">
            <v>.</v>
          </cell>
        </row>
        <row r="661">
          <cell r="BD661" t="str">
            <v>.</v>
          </cell>
        </row>
        <row r="662">
          <cell r="BD662" t="str">
            <v>.</v>
          </cell>
        </row>
        <row r="663">
          <cell r="BD663" t="str">
            <v>.</v>
          </cell>
        </row>
        <row r="664">
          <cell r="BD664" t="str">
            <v>.</v>
          </cell>
        </row>
        <row r="665">
          <cell r="BD665" t="str">
            <v>.</v>
          </cell>
        </row>
        <row r="666">
          <cell r="BD666" t="str">
            <v>.</v>
          </cell>
        </row>
        <row r="667">
          <cell r="BD667" t="str">
            <v>.</v>
          </cell>
        </row>
        <row r="668">
          <cell r="BD668" t="str">
            <v>.</v>
          </cell>
        </row>
        <row r="669">
          <cell r="BD669" t="str">
            <v>.</v>
          </cell>
        </row>
        <row r="670">
          <cell r="BD670" t="str">
            <v>.</v>
          </cell>
        </row>
        <row r="671">
          <cell r="BD671" t="str">
            <v>.</v>
          </cell>
        </row>
        <row r="672">
          <cell r="BD672" t="str">
            <v>.</v>
          </cell>
        </row>
        <row r="673">
          <cell r="BD673" t="str">
            <v>.</v>
          </cell>
        </row>
        <row r="674">
          <cell r="BD674" t="str">
            <v>.</v>
          </cell>
        </row>
        <row r="675">
          <cell r="BD675" t="str">
            <v>.</v>
          </cell>
        </row>
        <row r="676">
          <cell r="BD676" t="str">
            <v>.</v>
          </cell>
        </row>
        <row r="677">
          <cell r="BD677" t="str">
            <v>.</v>
          </cell>
        </row>
        <row r="678">
          <cell r="BD678" t="str">
            <v>.</v>
          </cell>
        </row>
        <row r="679">
          <cell r="BD679" t="str">
            <v>.</v>
          </cell>
        </row>
        <row r="680">
          <cell r="BD680" t="str">
            <v>.</v>
          </cell>
        </row>
        <row r="681">
          <cell r="BD681" t="str">
            <v>.</v>
          </cell>
        </row>
        <row r="682">
          <cell r="BD682" t="str">
            <v>.</v>
          </cell>
        </row>
        <row r="683">
          <cell r="BD683" t="str">
            <v>.</v>
          </cell>
        </row>
        <row r="684">
          <cell r="BD684" t="str">
            <v>.</v>
          </cell>
        </row>
        <row r="685">
          <cell r="BD685" t="str">
            <v>.</v>
          </cell>
        </row>
        <row r="686">
          <cell r="BD686" t="str">
            <v>.</v>
          </cell>
        </row>
        <row r="687">
          <cell r="BD687" t="str">
            <v>.</v>
          </cell>
        </row>
        <row r="688">
          <cell r="BD688" t="str">
            <v>.</v>
          </cell>
        </row>
        <row r="689">
          <cell r="BD689" t="str">
            <v>.</v>
          </cell>
        </row>
        <row r="690">
          <cell r="BD690" t="str">
            <v>.</v>
          </cell>
        </row>
        <row r="691">
          <cell r="BD691" t="str">
            <v>.</v>
          </cell>
        </row>
        <row r="692">
          <cell r="BD692" t="str">
            <v>.</v>
          </cell>
        </row>
        <row r="693">
          <cell r="BD693" t="str">
            <v>.</v>
          </cell>
        </row>
        <row r="694">
          <cell r="BD694" t="str">
            <v>.</v>
          </cell>
        </row>
        <row r="695">
          <cell r="BD695" t="str">
            <v>.</v>
          </cell>
        </row>
        <row r="696">
          <cell r="BD696" t="str">
            <v>.</v>
          </cell>
        </row>
        <row r="697">
          <cell r="BD697" t="str">
            <v>.</v>
          </cell>
        </row>
        <row r="698">
          <cell r="BD698" t="str">
            <v>.</v>
          </cell>
        </row>
        <row r="699">
          <cell r="BD699" t="str">
            <v>.</v>
          </cell>
        </row>
        <row r="700">
          <cell r="BD700" t="str">
            <v>.</v>
          </cell>
        </row>
        <row r="701">
          <cell r="BD701" t="str">
            <v>.</v>
          </cell>
        </row>
        <row r="702">
          <cell r="BD702" t="str">
            <v>.</v>
          </cell>
        </row>
        <row r="703">
          <cell r="BD703" t="str">
            <v>.</v>
          </cell>
        </row>
        <row r="704">
          <cell r="BD704" t="str">
            <v>.</v>
          </cell>
        </row>
        <row r="705">
          <cell r="BD705" t="str">
            <v>.</v>
          </cell>
        </row>
        <row r="706">
          <cell r="BD706" t="str">
            <v>.</v>
          </cell>
        </row>
        <row r="707">
          <cell r="BD707" t="str">
            <v>.</v>
          </cell>
        </row>
        <row r="708">
          <cell r="BD708" t="str">
            <v>.</v>
          </cell>
        </row>
        <row r="709">
          <cell r="BD709" t="str">
            <v>.</v>
          </cell>
        </row>
        <row r="710">
          <cell r="BD710" t="str">
            <v>.</v>
          </cell>
        </row>
        <row r="711">
          <cell r="BD711" t="str">
            <v>.</v>
          </cell>
        </row>
        <row r="712">
          <cell r="BD712" t="str">
            <v>.</v>
          </cell>
        </row>
        <row r="713">
          <cell r="BD713" t="str">
            <v>.</v>
          </cell>
        </row>
        <row r="714">
          <cell r="BD714" t="str">
            <v>.</v>
          </cell>
        </row>
        <row r="715">
          <cell r="BD715" t="str">
            <v>.</v>
          </cell>
        </row>
        <row r="716">
          <cell r="BD716" t="str">
            <v>.</v>
          </cell>
        </row>
        <row r="717">
          <cell r="BD717" t="str">
            <v>.</v>
          </cell>
        </row>
        <row r="718">
          <cell r="BD718" t="str">
            <v>.</v>
          </cell>
        </row>
        <row r="719">
          <cell r="BD719" t="str">
            <v>.</v>
          </cell>
        </row>
        <row r="720">
          <cell r="BD720" t="str">
            <v>.</v>
          </cell>
        </row>
        <row r="721">
          <cell r="BD721" t="str">
            <v>.</v>
          </cell>
        </row>
        <row r="722">
          <cell r="BD722" t="str">
            <v>.</v>
          </cell>
        </row>
        <row r="723">
          <cell r="BD723" t="str">
            <v>.</v>
          </cell>
        </row>
        <row r="724">
          <cell r="BD724" t="str">
            <v>.</v>
          </cell>
        </row>
        <row r="725">
          <cell r="BD725" t="str">
            <v>.</v>
          </cell>
        </row>
        <row r="726">
          <cell r="BD726" t="str">
            <v>.</v>
          </cell>
        </row>
        <row r="727">
          <cell r="BD727" t="str">
            <v>.</v>
          </cell>
        </row>
        <row r="728">
          <cell r="BD728" t="str">
            <v>.</v>
          </cell>
        </row>
        <row r="729">
          <cell r="BD729" t="str">
            <v>.</v>
          </cell>
        </row>
        <row r="730">
          <cell r="BD730" t="str">
            <v>.</v>
          </cell>
        </row>
        <row r="731">
          <cell r="BD731" t="str">
            <v>.</v>
          </cell>
        </row>
        <row r="732">
          <cell r="BD732" t="str">
            <v>.</v>
          </cell>
        </row>
        <row r="733">
          <cell r="BD733" t="str">
            <v>.</v>
          </cell>
        </row>
        <row r="734">
          <cell r="BD734" t="str">
            <v>.</v>
          </cell>
        </row>
        <row r="735">
          <cell r="BD735" t="str">
            <v>.</v>
          </cell>
        </row>
        <row r="736">
          <cell r="BD736" t="str">
            <v>.</v>
          </cell>
        </row>
        <row r="737">
          <cell r="BD737" t="str">
            <v>.</v>
          </cell>
        </row>
        <row r="738">
          <cell r="BD738" t="str">
            <v>.</v>
          </cell>
        </row>
        <row r="739">
          <cell r="BD739" t="str">
            <v>.</v>
          </cell>
        </row>
        <row r="740">
          <cell r="BD740" t="str">
            <v>.</v>
          </cell>
        </row>
        <row r="741">
          <cell r="BD741" t="str">
            <v>.</v>
          </cell>
        </row>
        <row r="742">
          <cell r="BD742" t="str">
            <v>.</v>
          </cell>
        </row>
        <row r="743">
          <cell r="BD743" t="str">
            <v>.</v>
          </cell>
        </row>
        <row r="744">
          <cell r="BD744" t="str">
            <v>.</v>
          </cell>
        </row>
        <row r="745">
          <cell r="BD745" t="str">
            <v>.</v>
          </cell>
        </row>
        <row r="746">
          <cell r="BD746" t="str">
            <v>.</v>
          </cell>
        </row>
        <row r="747">
          <cell r="BD747" t="str">
            <v>.</v>
          </cell>
        </row>
        <row r="748">
          <cell r="BD748" t="str">
            <v>.</v>
          </cell>
        </row>
        <row r="749">
          <cell r="BD749" t="str">
            <v>.</v>
          </cell>
        </row>
        <row r="750">
          <cell r="BD750" t="str">
            <v>.</v>
          </cell>
        </row>
        <row r="751">
          <cell r="BD751" t="str">
            <v>.</v>
          </cell>
        </row>
        <row r="752">
          <cell r="BD752" t="str">
            <v>.</v>
          </cell>
        </row>
        <row r="753">
          <cell r="BD753" t="str">
            <v>.</v>
          </cell>
        </row>
        <row r="754">
          <cell r="BD754" t="str">
            <v>.</v>
          </cell>
        </row>
        <row r="755">
          <cell r="BD755" t="str">
            <v>.</v>
          </cell>
        </row>
        <row r="756">
          <cell r="BD756" t="str">
            <v>.</v>
          </cell>
        </row>
        <row r="757">
          <cell r="BD757" t="str">
            <v>.</v>
          </cell>
        </row>
        <row r="758">
          <cell r="BD758" t="str">
            <v>.</v>
          </cell>
        </row>
        <row r="759">
          <cell r="BD759" t="str">
            <v>.</v>
          </cell>
        </row>
        <row r="760">
          <cell r="BD760" t="str">
            <v>.</v>
          </cell>
        </row>
        <row r="761">
          <cell r="BD761" t="str">
            <v>.</v>
          </cell>
        </row>
        <row r="762">
          <cell r="BD762" t="str">
            <v>.</v>
          </cell>
        </row>
        <row r="763">
          <cell r="BD763" t="str">
            <v>.</v>
          </cell>
        </row>
        <row r="764">
          <cell r="BD764" t="str">
            <v>.</v>
          </cell>
        </row>
        <row r="765">
          <cell r="BD765" t="str">
            <v>.</v>
          </cell>
        </row>
        <row r="766">
          <cell r="BD766" t="str">
            <v>.</v>
          </cell>
        </row>
        <row r="767">
          <cell r="BD767" t="str">
            <v>.</v>
          </cell>
        </row>
        <row r="768">
          <cell r="BD768" t="str">
            <v>.</v>
          </cell>
        </row>
        <row r="769">
          <cell r="BD769" t="str">
            <v>.</v>
          </cell>
        </row>
        <row r="770">
          <cell r="BD770" t="str">
            <v>.</v>
          </cell>
        </row>
        <row r="771">
          <cell r="BD771" t="str">
            <v>.</v>
          </cell>
        </row>
        <row r="772">
          <cell r="BD772" t="str">
            <v>.</v>
          </cell>
        </row>
        <row r="773">
          <cell r="BD773" t="str">
            <v>.</v>
          </cell>
        </row>
        <row r="774">
          <cell r="BD774" t="str">
            <v>.</v>
          </cell>
        </row>
        <row r="775">
          <cell r="BD775" t="str">
            <v>.</v>
          </cell>
        </row>
        <row r="776">
          <cell r="BD776" t="str">
            <v>.</v>
          </cell>
        </row>
        <row r="777">
          <cell r="BD777" t="str">
            <v>.</v>
          </cell>
        </row>
        <row r="778">
          <cell r="BD778" t="str">
            <v>.</v>
          </cell>
        </row>
        <row r="779">
          <cell r="BD779" t="str">
            <v>.</v>
          </cell>
        </row>
        <row r="780">
          <cell r="BD780" t="str">
            <v>.</v>
          </cell>
        </row>
        <row r="781">
          <cell r="BD781" t="str">
            <v>.</v>
          </cell>
        </row>
        <row r="782">
          <cell r="BD782" t="str">
            <v>.</v>
          </cell>
        </row>
        <row r="783">
          <cell r="BD783" t="str">
            <v>.</v>
          </cell>
        </row>
        <row r="784">
          <cell r="BD784" t="str">
            <v>.</v>
          </cell>
        </row>
        <row r="785">
          <cell r="BD785" t="str">
            <v>.</v>
          </cell>
        </row>
        <row r="786">
          <cell r="BD786" t="str">
            <v>.</v>
          </cell>
        </row>
        <row r="787">
          <cell r="BD787" t="str">
            <v>.</v>
          </cell>
        </row>
        <row r="788">
          <cell r="BD788" t="str">
            <v>.</v>
          </cell>
        </row>
        <row r="789">
          <cell r="BD789" t="str">
            <v>.</v>
          </cell>
        </row>
        <row r="790">
          <cell r="BD790" t="str">
            <v>.</v>
          </cell>
        </row>
        <row r="791">
          <cell r="BD791" t="str">
            <v>.</v>
          </cell>
        </row>
        <row r="792">
          <cell r="BD792" t="str">
            <v>.</v>
          </cell>
        </row>
        <row r="793">
          <cell r="BD793" t="str">
            <v>.</v>
          </cell>
        </row>
        <row r="794">
          <cell r="BD794" t="str">
            <v>.</v>
          </cell>
        </row>
        <row r="795">
          <cell r="BD795" t="str">
            <v>.</v>
          </cell>
        </row>
        <row r="796">
          <cell r="BD796" t="str">
            <v>.</v>
          </cell>
        </row>
        <row r="797">
          <cell r="BD797" t="str">
            <v>.</v>
          </cell>
        </row>
        <row r="798">
          <cell r="BD798" t="str">
            <v>.</v>
          </cell>
        </row>
        <row r="799">
          <cell r="BD799" t="str">
            <v>.</v>
          </cell>
        </row>
        <row r="800">
          <cell r="BD800" t="str">
            <v>.</v>
          </cell>
        </row>
        <row r="801">
          <cell r="BD801" t="str">
            <v>.</v>
          </cell>
        </row>
        <row r="802">
          <cell r="BD802" t="str">
            <v>.</v>
          </cell>
        </row>
        <row r="803">
          <cell r="BD803" t="str">
            <v>.</v>
          </cell>
        </row>
        <row r="804">
          <cell r="BD804" t="str">
            <v>.</v>
          </cell>
        </row>
        <row r="805">
          <cell r="BD805" t="str">
            <v>.</v>
          </cell>
        </row>
        <row r="806">
          <cell r="BD806" t="str">
            <v>.</v>
          </cell>
        </row>
        <row r="807">
          <cell r="BD807" t="str">
            <v>.</v>
          </cell>
        </row>
        <row r="808">
          <cell r="BD808" t="str">
            <v>.</v>
          </cell>
        </row>
        <row r="809">
          <cell r="BD809" t="str">
            <v>.</v>
          </cell>
        </row>
        <row r="810">
          <cell r="BD810" t="str">
            <v>.</v>
          </cell>
        </row>
        <row r="811">
          <cell r="BD811" t="str">
            <v>.</v>
          </cell>
        </row>
        <row r="812">
          <cell r="BD812" t="str">
            <v>.</v>
          </cell>
        </row>
        <row r="813">
          <cell r="BD813" t="str">
            <v>.</v>
          </cell>
        </row>
        <row r="814">
          <cell r="BD814" t="str">
            <v>.</v>
          </cell>
        </row>
        <row r="815">
          <cell r="BD815" t="str">
            <v>.</v>
          </cell>
        </row>
        <row r="816">
          <cell r="BD816" t="str">
            <v>.</v>
          </cell>
        </row>
        <row r="817">
          <cell r="BD817" t="str">
            <v>.</v>
          </cell>
        </row>
        <row r="818">
          <cell r="BD818" t="str">
            <v>.</v>
          </cell>
        </row>
        <row r="819">
          <cell r="BD819" t="str">
            <v>.</v>
          </cell>
        </row>
        <row r="820">
          <cell r="BD820" t="str">
            <v>.</v>
          </cell>
        </row>
        <row r="821">
          <cell r="BD821" t="str">
            <v>.</v>
          </cell>
        </row>
        <row r="822">
          <cell r="BD822" t="str">
            <v>.</v>
          </cell>
        </row>
        <row r="823">
          <cell r="BD823" t="str">
            <v>.</v>
          </cell>
        </row>
        <row r="824">
          <cell r="BD824" t="str">
            <v>.</v>
          </cell>
        </row>
        <row r="825">
          <cell r="BD825" t="str">
            <v>.</v>
          </cell>
        </row>
        <row r="826">
          <cell r="BD826" t="str">
            <v>.</v>
          </cell>
        </row>
        <row r="827">
          <cell r="BD827" t="str">
            <v>.</v>
          </cell>
        </row>
        <row r="828">
          <cell r="BD828" t="str">
            <v>.</v>
          </cell>
        </row>
        <row r="829">
          <cell r="BD829" t="str">
            <v>.</v>
          </cell>
        </row>
        <row r="830">
          <cell r="BD830" t="str">
            <v>.</v>
          </cell>
        </row>
        <row r="831">
          <cell r="BD831" t="str">
            <v>.</v>
          </cell>
        </row>
        <row r="832">
          <cell r="BD832" t="str">
            <v>.</v>
          </cell>
        </row>
        <row r="833">
          <cell r="BD833" t="str">
            <v>.</v>
          </cell>
        </row>
        <row r="834">
          <cell r="BD834" t="str">
            <v>.</v>
          </cell>
        </row>
        <row r="835">
          <cell r="BD835" t="str">
            <v>.</v>
          </cell>
        </row>
        <row r="836">
          <cell r="BD836" t="str">
            <v>.</v>
          </cell>
        </row>
        <row r="837">
          <cell r="BD837" t="str">
            <v>.</v>
          </cell>
        </row>
        <row r="838">
          <cell r="BD838" t="str">
            <v>.</v>
          </cell>
        </row>
        <row r="839">
          <cell r="BD839" t="str">
            <v>.</v>
          </cell>
        </row>
        <row r="840">
          <cell r="BD840" t="str">
            <v>.</v>
          </cell>
        </row>
        <row r="841">
          <cell r="BD841" t="str">
            <v>.</v>
          </cell>
        </row>
        <row r="842">
          <cell r="BD842" t="str">
            <v>.</v>
          </cell>
        </row>
        <row r="843">
          <cell r="BD843" t="str">
            <v>.</v>
          </cell>
        </row>
        <row r="844">
          <cell r="BD844" t="str">
            <v>.</v>
          </cell>
        </row>
        <row r="845">
          <cell r="BD845" t="str">
            <v>.</v>
          </cell>
        </row>
        <row r="846">
          <cell r="BD846" t="str">
            <v>.</v>
          </cell>
        </row>
        <row r="847">
          <cell r="BD847" t="str">
            <v>.</v>
          </cell>
        </row>
        <row r="848">
          <cell r="BD848" t="str">
            <v>.</v>
          </cell>
        </row>
        <row r="849">
          <cell r="BD849" t="str">
            <v>.</v>
          </cell>
        </row>
        <row r="850">
          <cell r="BD850" t="str">
            <v>.</v>
          </cell>
        </row>
        <row r="851">
          <cell r="BD851" t="str">
            <v>.</v>
          </cell>
        </row>
        <row r="852">
          <cell r="BD852" t="str">
            <v>.</v>
          </cell>
        </row>
        <row r="853">
          <cell r="BD853" t="str">
            <v>.</v>
          </cell>
        </row>
        <row r="854">
          <cell r="BD854" t="str">
            <v>.</v>
          </cell>
        </row>
        <row r="855">
          <cell r="BD855" t="str">
            <v>.</v>
          </cell>
        </row>
        <row r="856">
          <cell r="BD856" t="str">
            <v>.</v>
          </cell>
        </row>
        <row r="857">
          <cell r="BD857" t="str">
            <v>.</v>
          </cell>
        </row>
        <row r="858">
          <cell r="BD858" t="str">
            <v>.</v>
          </cell>
        </row>
        <row r="859">
          <cell r="BD859" t="str">
            <v>.</v>
          </cell>
        </row>
        <row r="860">
          <cell r="BD860" t="str">
            <v>.</v>
          </cell>
        </row>
        <row r="861">
          <cell r="BD861" t="str">
            <v>.</v>
          </cell>
        </row>
        <row r="862">
          <cell r="BD862" t="str">
            <v>.</v>
          </cell>
        </row>
        <row r="863">
          <cell r="BD863" t="str">
            <v>.</v>
          </cell>
        </row>
        <row r="864">
          <cell r="BD864" t="str">
            <v>.</v>
          </cell>
        </row>
        <row r="865">
          <cell r="BD865" t="str">
            <v>.</v>
          </cell>
        </row>
        <row r="866">
          <cell r="BD866" t="str">
            <v>.</v>
          </cell>
        </row>
        <row r="867">
          <cell r="BD867" t="str">
            <v>.</v>
          </cell>
        </row>
        <row r="868">
          <cell r="BD868" t="str">
            <v>.</v>
          </cell>
        </row>
        <row r="869">
          <cell r="BD869" t="str">
            <v>.</v>
          </cell>
        </row>
        <row r="870">
          <cell r="BD870" t="str">
            <v>.</v>
          </cell>
        </row>
        <row r="871">
          <cell r="BD871" t="str">
            <v>.</v>
          </cell>
        </row>
        <row r="872">
          <cell r="BD872" t="str">
            <v>.</v>
          </cell>
        </row>
        <row r="873">
          <cell r="BD873" t="str">
            <v>.</v>
          </cell>
        </row>
        <row r="874">
          <cell r="BD874" t="str">
            <v>.</v>
          </cell>
        </row>
        <row r="875">
          <cell r="BD875" t="str">
            <v>.</v>
          </cell>
        </row>
        <row r="876">
          <cell r="BD876" t="str">
            <v>.</v>
          </cell>
        </row>
        <row r="877">
          <cell r="BD877" t="str">
            <v>.</v>
          </cell>
        </row>
        <row r="878">
          <cell r="BD878" t="str">
            <v>.</v>
          </cell>
        </row>
        <row r="879">
          <cell r="BD879" t="str">
            <v>.</v>
          </cell>
        </row>
        <row r="880">
          <cell r="BD880" t="str">
            <v>.</v>
          </cell>
        </row>
        <row r="881">
          <cell r="BD881" t="str">
            <v>.</v>
          </cell>
        </row>
        <row r="882">
          <cell r="BD882" t="str">
            <v>.</v>
          </cell>
        </row>
        <row r="883">
          <cell r="BD883" t="str">
            <v>.</v>
          </cell>
        </row>
        <row r="884">
          <cell r="BD884" t="str">
            <v>.</v>
          </cell>
        </row>
        <row r="885">
          <cell r="BD885" t="str">
            <v>.</v>
          </cell>
        </row>
        <row r="886">
          <cell r="BD886" t="str">
            <v>.</v>
          </cell>
        </row>
        <row r="887">
          <cell r="BD887" t="str">
            <v>.</v>
          </cell>
        </row>
        <row r="888">
          <cell r="BD888" t="str">
            <v>.</v>
          </cell>
        </row>
        <row r="889">
          <cell r="BD889" t="str">
            <v>.</v>
          </cell>
        </row>
        <row r="890">
          <cell r="BD890" t="str">
            <v>.</v>
          </cell>
        </row>
        <row r="891">
          <cell r="BD891" t="str">
            <v>.</v>
          </cell>
        </row>
        <row r="892">
          <cell r="BD892" t="str">
            <v>.</v>
          </cell>
        </row>
        <row r="893">
          <cell r="BD893" t="str">
            <v>.</v>
          </cell>
        </row>
        <row r="894">
          <cell r="BD894" t="str">
            <v>.</v>
          </cell>
        </row>
        <row r="895">
          <cell r="BD895" t="str">
            <v>.</v>
          </cell>
        </row>
        <row r="896">
          <cell r="BD896" t="str">
            <v>.</v>
          </cell>
        </row>
        <row r="897">
          <cell r="BD897" t="str">
            <v>.</v>
          </cell>
        </row>
        <row r="898">
          <cell r="BD898" t="str">
            <v>.</v>
          </cell>
        </row>
        <row r="899">
          <cell r="BD899" t="str">
            <v>.</v>
          </cell>
        </row>
        <row r="900">
          <cell r="BD900" t="str">
            <v>.</v>
          </cell>
        </row>
        <row r="901">
          <cell r="BD901" t="str">
            <v>.</v>
          </cell>
        </row>
        <row r="902">
          <cell r="BD902" t="str">
            <v>.</v>
          </cell>
        </row>
        <row r="903">
          <cell r="BD903" t="str">
            <v>.</v>
          </cell>
        </row>
        <row r="904">
          <cell r="BD904" t="str">
            <v>.</v>
          </cell>
        </row>
        <row r="905">
          <cell r="BD905" t="str">
            <v>.</v>
          </cell>
        </row>
        <row r="906">
          <cell r="BD906" t="str">
            <v>.</v>
          </cell>
        </row>
        <row r="907">
          <cell r="BD907" t="str">
            <v>.</v>
          </cell>
        </row>
        <row r="908">
          <cell r="BD908" t="str">
            <v>.</v>
          </cell>
        </row>
        <row r="909">
          <cell r="BD909" t="str">
            <v>.</v>
          </cell>
        </row>
        <row r="910">
          <cell r="BD910" t="str">
            <v>.</v>
          </cell>
        </row>
        <row r="911">
          <cell r="BD911" t="str">
            <v>.</v>
          </cell>
        </row>
        <row r="912">
          <cell r="BD912" t="str">
            <v>.</v>
          </cell>
        </row>
        <row r="913">
          <cell r="BD913" t="str">
            <v>.</v>
          </cell>
        </row>
        <row r="914">
          <cell r="BD914" t="str">
            <v>.</v>
          </cell>
        </row>
        <row r="915">
          <cell r="BD915" t="str">
            <v>.</v>
          </cell>
        </row>
        <row r="916">
          <cell r="BD916" t="str">
            <v>.</v>
          </cell>
        </row>
        <row r="917">
          <cell r="BD917" t="str">
            <v>.</v>
          </cell>
        </row>
        <row r="918">
          <cell r="BD918" t="str">
            <v>.</v>
          </cell>
        </row>
        <row r="919">
          <cell r="BD919" t="str">
            <v>.</v>
          </cell>
        </row>
        <row r="920">
          <cell r="BD920" t="str">
            <v>.</v>
          </cell>
        </row>
        <row r="921">
          <cell r="BD921" t="str">
            <v>.</v>
          </cell>
        </row>
        <row r="922">
          <cell r="BD922" t="str">
            <v>.</v>
          </cell>
        </row>
        <row r="923">
          <cell r="BD923" t="str">
            <v>.</v>
          </cell>
        </row>
        <row r="924">
          <cell r="BD924" t="str">
            <v>.</v>
          </cell>
        </row>
        <row r="925">
          <cell r="BD925" t="str">
            <v>.</v>
          </cell>
        </row>
        <row r="926">
          <cell r="BD926" t="str">
            <v>.</v>
          </cell>
        </row>
        <row r="927">
          <cell r="BD927" t="str">
            <v>.</v>
          </cell>
        </row>
        <row r="928">
          <cell r="BD928" t="str">
            <v>.</v>
          </cell>
        </row>
        <row r="929">
          <cell r="BD929" t="str">
            <v>.</v>
          </cell>
        </row>
        <row r="930">
          <cell r="BD930" t="str">
            <v>.</v>
          </cell>
        </row>
        <row r="931">
          <cell r="BD931" t="str">
            <v>.</v>
          </cell>
        </row>
        <row r="932">
          <cell r="BD932" t="str">
            <v>.</v>
          </cell>
        </row>
        <row r="933">
          <cell r="BD933" t="str">
            <v>.</v>
          </cell>
        </row>
        <row r="934">
          <cell r="BD934" t="str">
            <v>.</v>
          </cell>
        </row>
        <row r="935">
          <cell r="BD935" t="str">
            <v>.</v>
          </cell>
        </row>
        <row r="936">
          <cell r="BD936" t="str">
            <v>.</v>
          </cell>
        </row>
        <row r="937">
          <cell r="BD937" t="str">
            <v>.</v>
          </cell>
        </row>
        <row r="938">
          <cell r="BD938" t="str">
            <v>.</v>
          </cell>
        </row>
        <row r="939">
          <cell r="BD939" t="str">
            <v>.</v>
          </cell>
        </row>
        <row r="940">
          <cell r="BD940" t="str">
            <v>.</v>
          </cell>
        </row>
        <row r="941">
          <cell r="BD941" t="str">
            <v>.</v>
          </cell>
        </row>
        <row r="942">
          <cell r="BD942" t="str">
            <v>.</v>
          </cell>
        </row>
        <row r="943">
          <cell r="BD943" t="str">
            <v>.</v>
          </cell>
        </row>
        <row r="944">
          <cell r="BD944" t="str">
            <v>.</v>
          </cell>
        </row>
        <row r="945">
          <cell r="BD945" t="str">
            <v>.</v>
          </cell>
        </row>
        <row r="946">
          <cell r="BD946" t="str">
            <v>.</v>
          </cell>
        </row>
        <row r="947">
          <cell r="BD947" t="str">
            <v>.</v>
          </cell>
        </row>
        <row r="948">
          <cell r="BD948" t="str">
            <v>.</v>
          </cell>
        </row>
        <row r="949">
          <cell r="BD949" t="str">
            <v>.</v>
          </cell>
        </row>
        <row r="950">
          <cell r="BD950" t="str">
            <v>.</v>
          </cell>
        </row>
        <row r="951">
          <cell r="BD951" t="str">
            <v>.</v>
          </cell>
        </row>
        <row r="952">
          <cell r="BD952" t="str">
            <v>.</v>
          </cell>
        </row>
        <row r="953">
          <cell r="BD953" t="str">
            <v>.</v>
          </cell>
        </row>
        <row r="954">
          <cell r="BD954" t="str">
            <v>.</v>
          </cell>
        </row>
        <row r="955">
          <cell r="BD955" t="str">
            <v>.</v>
          </cell>
        </row>
        <row r="956">
          <cell r="BD956" t="str">
            <v>.</v>
          </cell>
        </row>
        <row r="957">
          <cell r="BD957" t="str">
            <v>.</v>
          </cell>
        </row>
        <row r="958">
          <cell r="BD958" t="str">
            <v>.</v>
          </cell>
        </row>
        <row r="959">
          <cell r="BD959" t="str">
            <v>.</v>
          </cell>
        </row>
        <row r="960">
          <cell r="BD960" t="str">
            <v>.</v>
          </cell>
        </row>
        <row r="961">
          <cell r="BD961" t="str">
            <v>.</v>
          </cell>
        </row>
        <row r="962">
          <cell r="BD962" t="str">
            <v>.</v>
          </cell>
        </row>
        <row r="963">
          <cell r="BD963" t="str">
            <v>.</v>
          </cell>
        </row>
        <row r="964">
          <cell r="BD964" t="str">
            <v>.</v>
          </cell>
        </row>
        <row r="965">
          <cell r="BD965" t="str">
            <v>.</v>
          </cell>
        </row>
        <row r="966">
          <cell r="BD966" t="str">
            <v>.</v>
          </cell>
        </row>
        <row r="967">
          <cell r="BD967" t="str">
            <v>.</v>
          </cell>
        </row>
        <row r="968">
          <cell r="BD968" t="str">
            <v>.</v>
          </cell>
        </row>
        <row r="969">
          <cell r="BD969" t="str">
            <v>.</v>
          </cell>
        </row>
        <row r="970">
          <cell r="BD970" t="str">
            <v>.</v>
          </cell>
        </row>
        <row r="971">
          <cell r="BD971" t="str">
            <v>.</v>
          </cell>
        </row>
        <row r="972">
          <cell r="BD972" t="str">
            <v>.</v>
          </cell>
        </row>
        <row r="973">
          <cell r="BD973" t="str">
            <v>.</v>
          </cell>
        </row>
        <row r="974">
          <cell r="BD974" t="str">
            <v>.</v>
          </cell>
        </row>
        <row r="975">
          <cell r="BD975" t="str">
            <v>.</v>
          </cell>
        </row>
        <row r="976">
          <cell r="BD976" t="str">
            <v>.</v>
          </cell>
        </row>
        <row r="977">
          <cell r="BD977" t="str">
            <v>.</v>
          </cell>
        </row>
        <row r="978">
          <cell r="BD978" t="str">
            <v>.</v>
          </cell>
        </row>
        <row r="979">
          <cell r="BD979" t="str">
            <v>.</v>
          </cell>
        </row>
        <row r="980">
          <cell r="BD980" t="str">
            <v>.</v>
          </cell>
        </row>
        <row r="981">
          <cell r="BD981" t="str">
            <v>.</v>
          </cell>
        </row>
        <row r="982">
          <cell r="BD982" t="str">
            <v>.</v>
          </cell>
        </row>
        <row r="983">
          <cell r="BD983" t="str">
            <v>.</v>
          </cell>
        </row>
        <row r="984">
          <cell r="BD984" t="str">
            <v>.</v>
          </cell>
        </row>
        <row r="985">
          <cell r="BD985" t="str">
            <v>.</v>
          </cell>
        </row>
        <row r="986">
          <cell r="BD986" t="str">
            <v>.</v>
          </cell>
        </row>
        <row r="987">
          <cell r="BD987" t="str">
            <v>.</v>
          </cell>
        </row>
        <row r="988">
          <cell r="BD988" t="str">
            <v>.</v>
          </cell>
        </row>
        <row r="989">
          <cell r="BD989" t="str">
            <v>.</v>
          </cell>
        </row>
        <row r="990">
          <cell r="BD990" t="str">
            <v>.</v>
          </cell>
        </row>
        <row r="991">
          <cell r="BD991" t="str">
            <v>.</v>
          </cell>
        </row>
        <row r="992">
          <cell r="BD992" t="str">
            <v>.</v>
          </cell>
        </row>
        <row r="993">
          <cell r="BD993" t="str">
            <v>.</v>
          </cell>
        </row>
        <row r="994">
          <cell r="BD994" t="str">
            <v>.</v>
          </cell>
        </row>
        <row r="995">
          <cell r="BD995" t="str">
            <v>.</v>
          </cell>
        </row>
        <row r="996">
          <cell r="C996" t="str">
            <v>.</v>
          </cell>
          <cell r="D996" t="str">
            <v>.</v>
          </cell>
          <cell r="E996" t="str">
            <v>.</v>
          </cell>
          <cell r="F996" t="str">
            <v>.</v>
          </cell>
          <cell r="G996" t="str">
            <v>.</v>
          </cell>
          <cell r="H996" t="str">
            <v>.</v>
          </cell>
          <cell r="BD996" t="str">
            <v>.</v>
          </cell>
        </row>
        <row r="997">
          <cell r="A997" t="str">
            <v>.</v>
          </cell>
          <cell r="B997" t="str">
            <v>.</v>
          </cell>
          <cell r="V997" t="str">
            <v>.</v>
          </cell>
          <cell r="W997" t="str">
            <v>.</v>
          </cell>
          <cell r="X997" t="str">
            <v>.</v>
          </cell>
          <cell r="Y997" t="str">
            <v>.</v>
          </cell>
          <cell r="Z997" t="str">
            <v>.</v>
          </cell>
          <cell r="AA997" t="str">
            <v>.</v>
          </cell>
          <cell r="AB997" t="str">
            <v>.</v>
          </cell>
          <cell r="AC997" t="str">
            <v>.</v>
          </cell>
          <cell r="AD997" t="str">
            <v>.</v>
          </cell>
          <cell r="AE997" t="str">
            <v>.</v>
          </cell>
          <cell r="AF997" t="str">
            <v>.</v>
          </cell>
          <cell r="AG997" t="str">
            <v>.</v>
          </cell>
          <cell r="AH997" t="str">
            <v>.</v>
          </cell>
          <cell r="AI997" t="str">
            <v>.</v>
          </cell>
          <cell r="AJ997" t="str">
            <v>.</v>
          </cell>
          <cell r="AK997" t="str">
            <v>.</v>
          </cell>
          <cell r="AL997" t="str">
            <v>.</v>
          </cell>
          <cell r="AM997" t="str">
            <v>.</v>
          </cell>
          <cell r="AN997" t="str">
            <v>.</v>
          </cell>
          <cell r="AO997" t="str">
            <v>.</v>
          </cell>
          <cell r="AP997" t="str">
            <v>.</v>
          </cell>
          <cell r="AQ997" t="str">
            <v>.</v>
          </cell>
          <cell r="AR997" t="str">
            <v>.</v>
          </cell>
          <cell r="AS997" t="str">
            <v>.</v>
          </cell>
          <cell r="AT997" t="str">
            <v>.</v>
          </cell>
          <cell r="AU997" t="str">
            <v>.</v>
          </cell>
          <cell r="AV997" t="str">
            <v>.</v>
          </cell>
          <cell r="AW997" t="str">
            <v>.</v>
          </cell>
          <cell r="AX997" t="str">
            <v>.</v>
          </cell>
          <cell r="AY997" t="str">
            <v>.</v>
          </cell>
          <cell r="AZ997" t="str">
            <v>.</v>
          </cell>
          <cell r="BA997" t="str">
            <v>.</v>
          </cell>
          <cell r="BB997" t="str">
            <v>.</v>
          </cell>
          <cell r="BC997" t="str">
            <v>.</v>
          </cell>
          <cell r="BD997" t="str">
            <v>.</v>
          </cell>
        </row>
      </sheetData>
      <sheetData sheetId="26"/>
      <sheetData sheetId="27">
        <row r="1">
          <cell r="A1" t="str">
            <v>RRS-5.10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2)"/>
      <sheetName val="AFFILIATES"/>
      <sheetName val="Ratio"/>
      <sheetName val="Ace-In"/>
      <sheetName val="Ace-Out"/>
      <sheetName val="Cover"/>
      <sheetName val="QQ"/>
      <sheetName val="Earnings Tables"/>
      <sheetName val="Number of shares"/>
      <sheetName val="Earnings per share"/>
      <sheetName val="IS segment PY"/>
      <sheetName val="IS segment CY"/>
      <sheetName val="Financial Tables"/>
      <sheetName val="Copy of KS055550"/>
      <sheetName val="EARNINGS"/>
      <sheetName val="Consolidated input"/>
      <sheetName val="RI Valuation"/>
      <sheetName val="Monitor"/>
      <sheetName val="FCF"/>
      <sheetName val="Financial Statements"/>
      <sheetName val="EM"/>
      <sheetName val="Rent analysis"/>
      <sheetName val="Timeline"/>
      <sheetName val="store profile and sales mix"/>
      <sheetName val="reconciliation of note 2"/>
      <sheetName val="FY19"/>
      <sheetName val="6902"/>
      <sheetName val="Valuations"/>
      <sheetName val="Model (Yue Yuen)"/>
      <sheetName val="P"/>
      <sheetName val="CREDIT MODEL"/>
      <sheetName val="IS"/>
    </sheetNames>
    <sheetDataSet>
      <sheetData sheetId="0" refreshError="1"/>
      <sheetData sheetId="1" refreshError="1"/>
      <sheetData sheetId="2" refreshError="1"/>
      <sheetData sheetId="3" refreshError="1"/>
      <sheetData sheetId="4" refreshError="1"/>
      <sheetData sheetId="5" refreshError="1">
        <row r="1">
          <cell r="A1" t="str">
            <v>SHINHAN FINANCIAL GROUP: KEY AFFILIATES</v>
          </cell>
        </row>
        <row r="2">
          <cell r="A2" t="str">
            <v>(Won billions)</v>
          </cell>
          <cell r="B2">
            <v>1996</v>
          </cell>
          <cell r="C2">
            <v>1997</v>
          </cell>
          <cell r="D2">
            <v>1998</v>
          </cell>
          <cell r="E2">
            <v>1999</v>
          </cell>
          <cell r="F2">
            <v>2000</v>
          </cell>
          <cell r="G2">
            <v>2001</v>
          </cell>
          <cell r="H2">
            <v>2002</v>
          </cell>
          <cell r="I2">
            <v>2003</v>
          </cell>
          <cell r="J2">
            <v>2004</v>
          </cell>
          <cell r="K2">
            <v>2005</v>
          </cell>
          <cell r="L2" t="str">
            <v>2006P</v>
          </cell>
          <cell r="M2" t="str">
            <v>2007E</v>
          </cell>
          <cell r="N2" t="str">
            <v>2008E</v>
          </cell>
          <cell r="O2" t="str">
            <v>2009E</v>
          </cell>
          <cell r="P2" t="str">
            <v>2010E</v>
          </cell>
          <cell r="Q2" t="str">
            <v>2011E</v>
          </cell>
          <cell r="AA2" t="str">
            <v>1Q02</v>
          </cell>
          <cell r="AB2" t="str">
            <v>2Q02</v>
          </cell>
          <cell r="AC2" t="str">
            <v>3Q02</v>
          </cell>
          <cell r="AD2" t="str">
            <v>4Q02</v>
          </cell>
          <cell r="AE2" t="str">
            <v>1Q03</v>
          </cell>
          <cell r="AF2" t="str">
            <v>2Q03</v>
          </cell>
          <cell r="AG2" t="str">
            <v>3Q03</v>
          </cell>
          <cell r="AH2" t="str">
            <v>4Q03</v>
          </cell>
          <cell r="AI2" t="str">
            <v>1Q04</v>
          </cell>
          <cell r="AJ2" t="str">
            <v>2Q04</v>
          </cell>
          <cell r="AK2" t="str">
            <v>3Q04</v>
          </cell>
          <cell r="AL2" t="str">
            <v>4Q04</v>
          </cell>
          <cell r="AM2" t="str">
            <v>1Q05</v>
          </cell>
          <cell r="AN2" t="str">
            <v>2Q05</v>
          </cell>
          <cell r="AO2" t="str">
            <v>3Q05</v>
          </cell>
          <cell r="AP2" t="str">
            <v>4Q05</v>
          </cell>
          <cell r="AQ2" t="str">
            <v>1Q06</v>
          </cell>
          <cell r="AR2" t="str">
            <v>2Q06</v>
          </cell>
          <cell r="AS2" t="str">
            <v>3Q06</v>
          </cell>
          <cell r="AT2" t="str">
            <v>4Q06</v>
          </cell>
          <cell r="AU2" t="str">
            <v>1Q07P</v>
          </cell>
          <cell r="AV2" t="str">
            <v>2Q07E</v>
          </cell>
          <cell r="AW2" t="str">
            <v>3Q07E</v>
          </cell>
          <cell r="AX2" t="str">
            <v>4Q07E</v>
          </cell>
          <cell r="AY2" t="str">
            <v>1Q08E</v>
          </cell>
          <cell r="AZ2" t="str">
            <v>2Q08E</v>
          </cell>
          <cell r="BA2" t="str">
            <v>3Q08E</v>
          </cell>
          <cell r="BB2" t="str">
            <v>4Q08E</v>
          </cell>
          <cell r="BC2" t="str">
            <v>1Q09E</v>
          </cell>
          <cell r="BD2" t="str">
            <v>2Q09E</v>
          </cell>
          <cell r="BE2" t="str">
            <v>3Q09E</v>
          </cell>
          <cell r="BF2" t="str">
            <v>4Q09E</v>
          </cell>
          <cell r="BG2" t="str">
            <v>1Q10E</v>
          </cell>
          <cell r="BH2" t="str">
            <v>2Q10E</v>
          </cell>
          <cell r="BI2" t="str">
            <v>3Q10E</v>
          </cell>
          <cell r="BJ2" t="str">
            <v>4Q10E</v>
          </cell>
          <cell r="BK2" t="str">
            <v>1Q11E</v>
          </cell>
          <cell r="BL2" t="str">
            <v>2Q11E</v>
          </cell>
          <cell r="BM2" t="str">
            <v>3Q11E</v>
          </cell>
          <cell r="BN2" t="str">
            <v>4Q11E</v>
          </cell>
        </row>
        <row r="3">
          <cell r="A3" t="str">
            <v>Shinhan Bank (excl. Chohung Bank)</v>
          </cell>
        </row>
        <row r="4">
          <cell r="A4" t="str">
            <v xml:space="preserve">   % ownership</v>
          </cell>
          <cell r="H4">
            <v>1</v>
          </cell>
        </row>
        <row r="5">
          <cell r="A5" t="str">
            <v>Net interest income</v>
          </cell>
          <cell r="H5">
            <v>1216.8511599999999</v>
          </cell>
          <cell r="I5">
            <v>1411.212</v>
          </cell>
          <cell r="J5">
            <v>1496.19</v>
          </cell>
          <cell r="K5">
            <v>1475.0719999999999</v>
          </cell>
        </row>
        <row r="6">
          <cell r="A6" t="str">
            <v xml:space="preserve">   % of parent comp</v>
          </cell>
          <cell r="H6" t="e">
            <v>#REF!</v>
          </cell>
          <cell r="I6" t="e">
            <v>#REF!</v>
          </cell>
          <cell r="J6" t="e">
            <v>#REF!</v>
          </cell>
          <cell r="K6" t="e">
            <v>#REF!</v>
          </cell>
        </row>
        <row r="7">
          <cell r="A7" t="str">
            <v>Non-interest income</v>
          </cell>
          <cell r="H7">
            <v>509.43027599999999</v>
          </cell>
          <cell r="I7">
            <v>363.82159999999999</v>
          </cell>
          <cell r="J7">
            <v>490.08434812800004</v>
          </cell>
          <cell r="K7">
            <v>473.73927897000004</v>
          </cell>
        </row>
        <row r="8">
          <cell r="A8" t="str">
            <v xml:space="preserve">   % of parent comp</v>
          </cell>
          <cell r="H8" t="e">
            <v>#REF!</v>
          </cell>
          <cell r="I8" t="e">
            <v>#REF!</v>
          </cell>
          <cell r="J8" t="e">
            <v>#REF!</v>
          </cell>
          <cell r="K8" t="e">
            <v>#REF!</v>
          </cell>
        </row>
        <row r="9">
          <cell r="A9" t="str">
            <v>Net operating revenue</v>
          </cell>
          <cell r="H9">
            <v>1726.281436</v>
          </cell>
          <cell r="I9">
            <v>1775.0336</v>
          </cell>
          <cell r="J9">
            <v>1986.2743481280002</v>
          </cell>
          <cell r="K9">
            <v>1948.8112789699999</v>
          </cell>
        </row>
        <row r="10">
          <cell r="A10" t="str">
            <v xml:space="preserve">   % of parent comp</v>
          </cell>
          <cell r="H10" t="e">
            <v>#REF!</v>
          </cell>
          <cell r="I10" t="e">
            <v>#REF!</v>
          </cell>
          <cell r="J10" t="e">
            <v>#REF!</v>
          </cell>
          <cell r="K10" t="e">
            <v>#REF!</v>
          </cell>
        </row>
        <row r="11">
          <cell r="A11" t="str">
            <v>SG&amp;A</v>
          </cell>
          <cell r="H11">
            <v>625.59020299999997</v>
          </cell>
          <cell r="I11">
            <v>668.62800000000004</v>
          </cell>
          <cell r="J11">
            <v>729.69299999999998</v>
          </cell>
          <cell r="K11">
            <v>834.63900000000001</v>
          </cell>
        </row>
        <row r="12">
          <cell r="A12" t="str">
            <v xml:space="preserve">   % of parent comp</v>
          </cell>
          <cell r="H12" t="e">
            <v>#REF!</v>
          </cell>
          <cell r="I12" t="e">
            <v>#REF!</v>
          </cell>
          <cell r="J12" t="e">
            <v>#REF!</v>
          </cell>
          <cell r="K12" t="e">
            <v>#REF!</v>
          </cell>
        </row>
        <row r="13">
          <cell r="A13" t="str">
            <v>PPOP</v>
          </cell>
          <cell r="H13">
            <v>1100.691233</v>
          </cell>
          <cell r="I13">
            <v>1106.4056</v>
          </cell>
          <cell r="J13">
            <v>1256.5813481280002</v>
          </cell>
          <cell r="K13">
            <v>1114.1722789699998</v>
          </cell>
        </row>
        <row r="14">
          <cell r="A14" t="str">
            <v xml:space="preserve">   % of parent comp</v>
          </cell>
          <cell r="H14" t="e">
            <v>#REF!</v>
          </cell>
          <cell r="I14" t="e">
            <v>#REF!</v>
          </cell>
          <cell r="J14" t="e">
            <v>#REF!</v>
          </cell>
          <cell r="K14" t="e">
            <v>#REF!</v>
          </cell>
        </row>
        <row r="15">
          <cell r="A15" t="str">
            <v>Provisioning</v>
          </cell>
          <cell r="H15">
            <v>168.284063</v>
          </cell>
          <cell r="I15">
            <v>435.05059999999997</v>
          </cell>
          <cell r="J15">
            <v>220.70334812799999</v>
          </cell>
          <cell r="K15">
            <v>173.60327896999999</v>
          </cell>
        </row>
        <row r="16">
          <cell r="A16" t="str">
            <v xml:space="preserve">   % of parent comp</v>
          </cell>
          <cell r="H16" t="e">
            <v>#REF!</v>
          </cell>
          <cell r="I16" t="e">
            <v>#REF!</v>
          </cell>
          <cell r="J16" t="e">
            <v>#REF!</v>
          </cell>
          <cell r="K16" t="e">
            <v>#REF!</v>
          </cell>
        </row>
        <row r="17">
          <cell r="A17" t="str">
            <v>OP profit</v>
          </cell>
          <cell r="H17">
            <v>932.40716999999995</v>
          </cell>
          <cell r="I17">
            <v>671.35500000000002</v>
          </cell>
          <cell r="J17">
            <v>1035.8780000000002</v>
          </cell>
          <cell r="K17">
            <v>940.56899999999973</v>
          </cell>
        </row>
        <row r="18">
          <cell r="A18" t="str">
            <v xml:space="preserve">   % of parent comp</v>
          </cell>
          <cell r="H18" t="e">
            <v>#REF!</v>
          </cell>
          <cell r="I18" t="e">
            <v>#REF!</v>
          </cell>
          <cell r="J18" t="e">
            <v>#REF!</v>
          </cell>
          <cell r="K18" t="e">
            <v>#REF!</v>
          </cell>
        </row>
        <row r="19">
          <cell r="A19" t="str">
            <v>Net profit</v>
          </cell>
          <cell r="H19">
            <v>595.86568699999998</v>
          </cell>
          <cell r="I19">
            <v>476.02300000000002</v>
          </cell>
          <cell r="J19">
            <v>844.11300000000006</v>
          </cell>
          <cell r="K19">
            <v>774.42200000000003</v>
          </cell>
        </row>
        <row r="20">
          <cell r="A20" t="str">
            <v xml:space="preserve">   % of parent comp</v>
          </cell>
          <cell r="H20" t="e">
            <v>#REF!</v>
          </cell>
          <cell r="I20" t="e">
            <v>#REF!</v>
          </cell>
          <cell r="J20" t="e">
            <v>#REF!</v>
          </cell>
          <cell r="K20" t="e">
            <v>#REF!</v>
          </cell>
        </row>
        <row r="24">
          <cell r="A24" t="str">
            <v>Total assets</v>
          </cell>
          <cell r="H24">
            <v>58889.402324000002</v>
          </cell>
          <cell r="I24">
            <v>70071.192999999999</v>
          </cell>
          <cell r="J24">
            <v>70096.962</v>
          </cell>
          <cell r="K24">
            <v>75641.967999999993</v>
          </cell>
        </row>
        <row r="25">
          <cell r="A25" t="str">
            <v xml:space="preserve">   % of parent comp</v>
          </cell>
          <cell r="H25" t="e">
            <v>#REF!</v>
          </cell>
          <cell r="I25" t="e">
            <v>#REF!</v>
          </cell>
          <cell r="J25" t="e">
            <v>#REF!</v>
          </cell>
          <cell r="K25" t="e">
            <v>#REF!</v>
          </cell>
        </row>
        <row r="26">
          <cell r="A26" t="str">
            <v>Loans (Net)</v>
          </cell>
          <cell r="H26">
            <v>40579.005663999997</v>
          </cell>
          <cell r="I26">
            <v>47783.925999999999</v>
          </cell>
          <cell r="J26">
            <v>50868.040999999997</v>
          </cell>
          <cell r="K26">
            <v>55191.023000000001</v>
          </cell>
        </row>
        <row r="27">
          <cell r="A27" t="str">
            <v xml:space="preserve">   % of parent comp</v>
          </cell>
          <cell r="H27" t="e">
            <v>#REF!</v>
          </cell>
          <cell r="I27" t="e">
            <v>#REF!</v>
          </cell>
          <cell r="J27" t="e">
            <v>#REF!</v>
          </cell>
          <cell r="K27" t="e">
            <v>#REF!</v>
          </cell>
        </row>
        <row r="28">
          <cell r="A28" t="str">
            <v>Total liabilities</v>
          </cell>
          <cell r="H28">
            <v>56028.923707000002</v>
          </cell>
          <cell r="I28">
            <v>66555.824999999997</v>
          </cell>
          <cell r="J28">
            <v>65971.959000000003</v>
          </cell>
          <cell r="K28">
            <v>71042.5</v>
          </cell>
        </row>
        <row r="29">
          <cell r="A29" t="str">
            <v xml:space="preserve">   % of parent comp</v>
          </cell>
          <cell r="H29" t="e">
            <v>#REF!</v>
          </cell>
          <cell r="I29" t="e">
            <v>#REF!</v>
          </cell>
          <cell r="J29" t="e">
            <v>#REF!</v>
          </cell>
          <cell r="K29" t="e">
            <v>#REF!</v>
          </cell>
        </row>
        <row r="30">
          <cell r="A30" t="str">
            <v>Deposits</v>
          </cell>
          <cell r="H30">
            <v>35183.536976000003</v>
          </cell>
          <cell r="I30">
            <v>41991.839</v>
          </cell>
          <cell r="J30">
            <v>40668.093999999997</v>
          </cell>
          <cell r="K30">
            <v>43996.904000000002</v>
          </cell>
        </row>
        <row r="31">
          <cell r="A31" t="str">
            <v xml:space="preserve">   % of parent comp</v>
          </cell>
          <cell r="H31" t="e">
            <v>#REF!</v>
          </cell>
          <cell r="I31" t="e">
            <v>#REF!</v>
          </cell>
          <cell r="J31" t="e">
            <v>#REF!</v>
          </cell>
          <cell r="K31" t="e">
            <v>#REF!</v>
          </cell>
        </row>
        <row r="32">
          <cell r="A32" t="str">
            <v>Total shareholders' equity</v>
          </cell>
          <cell r="H32">
            <v>2860.4786180000001</v>
          </cell>
          <cell r="I32">
            <v>3515.3679999999999</v>
          </cell>
          <cell r="J32">
            <v>4125.0029999999997</v>
          </cell>
          <cell r="K32">
            <v>4599.4679999999998</v>
          </cell>
        </row>
        <row r="33">
          <cell r="A33" t="str">
            <v xml:space="preserve">   % of parent comp</v>
          </cell>
          <cell r="H33" t="e">
            <v>#REF!</v>
          </cell>
          <cell r="I33" t="e">
            <v>#REF!</v>
          </cell>
          <cell r="J33" t="e">
            <v>#REF!</v>
          </cell>
          <cell r="K33" t="e">
            <v>#REF!</v>
          </cell>
        </row>
        <row r="35">
          <cell r="A35" t="str">
            <v>Chohung Bank</v>
          </cell>
        </row>
        <row r="36">
          <cell r="A36" t="str">
            <v xml:space="preserve">   % ownership</v>
          </cell>
          <cell r="H36">
            <v>1</v>
          </cell>
        </row>
        <row r="37">
          <cell r="A37" t="str">
            <v>Net interest income</v>
          </cell>
          <cell r="H37">
            <v>1211.9849999999999</v>
          </cell>
          <cell r="I37">
            <v>1330.527</v>
          </cell>
          <cell r="J37">
            <v>1399.374</v>
          </cell>
          <cell r="K37">
            <v>2091.491</v>
          </cell>
        </row>
        <row r="38">
          <cell r="A38" t="str">
            <v xml:space="preserve">   % of parent comp</v>
          </cell>
          <cell r="H38" t="str">
            <v>NM</v>
          </cell>
          <cell r="I38" t="e">
            <v>#REF!</v>
          </cell>
          <cell r="J38" t="e">
            <v>#REF!</v>
          </cell>
          <cell r="K38" t="e">
            <v>#REF!</v>
          </cell>
        </row>
        <row r="39">
          <cell r="A39" t="str">
            <v>Non-interest income</v>
          </cell>
          <cell r="H39">
            <v>1141.1569999999999</v>
          </cell>
          <cell r="I39">
            <v>1023.769</v>
          </cell>
          <cell r="J39">
            <v>914.46979999999996</v>
          </cell>
          <cell r="K39">
            <v>251.70500000000001</v>
          </cell>
        </row>
        <row r="40">
          <cell r="A40" t="str">
            <v xml:space="preserve">   % of parent comp</v>
          </cell>
          <cell r="H40" t="str">
            <v>NM</v>
          </cell>
          <cell r="I40" t="e">
            <v>#REF!</v>
          </cell>
          <cell r="J40" t="e">
            <v>#REF!</v>
          </cell>
          <cell r="K40" t="e">
            <v>#REF!</v>
          </cell>
        </row>
        <row r="41">
          <cell r="A41" t="str">
            <v>Net operating revenue</v>
          </cell>
          <cell r="H41">
            <v>2353.1419999999998</v>
          </cell>
          <cell r="I41">
            <v>2354.2960000000003</v>
          </cell>
          <cell r="J41">
            <v>2313.8438000000001</v>
          </cell>
          <cell r="K41">
            <v>2343.1959999999999</v>
          </cell>
        </row>
        <row r="42">
          <cell r="A42" t="str">
            <v xml:space="preserve">   % of parent comp</v>
          </cell>
          <cell r="H42" t="str">
            <v>NM</v>
          </cell>
          <cell r="I42" t="e">
            <v>#REF!</v>
          </cell>
          <cell r="J42" t="e">
            <v>#REF!</v>
          </cell>
          <cell r="K42" t="e">
            <v>#REF!</v>
          </cell>
        </row>
        <row r="43">
          <cell r="A43" t="str">
            <v>SG&amp;A</v>
          </cell>
          <cell r="H43">
            <v>856.32799999999997</v>
          </cell>
          <cell r="I43">
            <v>908.24900000000002</v>
          </cell>
          <cell r="J43">
            <v>960.85299999999995</v>
          </cell>
          <cell r="K43">
            <v>1038.9079999999999</v>
          </cell>
        </row>
        <row r="44">
          <cell r="A44" t="str">
            <v xml:space="preserve">   % of parent comp</v>
          </cell>
          <cell r="H44" t="str">
            <v>NM</v>
          </cell>
          <cell r="I44" t="e">
            <v>#REF!</v>
          </cell>
          <cell r="J44" t="e">
            <v>#REF!</v>
          </cell>
          <cell r="K44" t="e">
            <v>#REF!</v>
          </cell>
        </row>
        <row r="45">
          <cell r="A45" t="str">
            <v>PPOP</v>
          </cell>
          <cell r="H45">
            <v>1496.8139999999999</v>
          </cell>
          <cell r="I45">
            <v>1446.0470000000003</v>
          </cell>
          <cell r="J45">
            <v>1352.9908</v>
          </cell>
          <cell r="K45">
            <v>1304.288</v>
          </cell>
        </row>
        <row r="46">
          <cell r="A46" t="str">
            <v xml:space="preserve">   % of parent comp</v>
          </cell>
          <cell r="H46" t="str">
            <v>NM</v>
          </cell>
          <cell r="I46" t="e">
            <v>#REF!</v>
          </cell>
          <cell r="J46" t="e">
            <v>#REF!</v>
          </cell>
          <cell r="K46" t="e">
            <v>#REF!</v>
          </cell>
        </row>
        <row r="47">
          <cell r="A47" t="str">
            <v>Provisioning</v>
          </cell>
          <cell r="H47">
            <v>1631.5630000000001</v>
          </cell>
          <cell r="I47">
            <v>2133.1759999999999</v>
          </cell>
          <cell r="J47">
            <v>1030.1368</v>
          </cell>
          <cell r="K47">
            <v>660.70600000000002</v>
          </cell>
        </row>
        <row r="48">
          <cell r="A48" t="str">
            <v xml:space="preserve">   % of parent comp</v>
          </cell>
          <cell r="H48" t="str">
            <v>NM</v>
          </cell>
          <cell r="I48" t="e">
            <v>#REF!</v>
          </cell>
          <cell r="J48" t="e">
            <v>#REF!</v>
          </cell>
          <cell r="K48" t="e">
            <v>#REF!</v>
          </cell>
        </row>
        <row r="49">
          <cell r="A49" t="str">
            <v>OP profit</v>
          </cell>
          <cell r="H49">
            <v>-134.74900000000025</v>
          </cell>
          <cell r="I49">
            <v>-687.12899999999968</v>
          </cell>
          <cell r="J49">
            <v>322.85400000000004</v>
          </cell>
          <cell r="K49">
            <v>643.58199999999999</v>
          </cell>
        </row>
        <row r="50">
          <cell r="A50" t="str">
            <v xml:space="preserve">   % of parent comp</v>
          </cell>
          <cell r="H50" t="str">
            <v>NM</v>
          </cell>
          <cell r="I50" t="e">
            <v>#REF!</v>
          </cell>
          <cell r="J50" t="e">
            <v>#REF!</v>
          </cell>
          <cell r="K50" t="e">
            <v>#REF!</v>
          </cell>
        </row>
        <row r="51">
          <cell r="A51" t="str">
            <v>Net profit</v>
          </cell>
          <cell r="H51">
            <v>-586.04499999999996</v>
          </cell>
          <cell r="I51">
            <v>-968.94</v>
          </cell>
          <cell r="J51">
            <v>265.238</v>
          </cell>
          <cell r="K51">
            <v>756.505</v>
          </cell>
        </row>
        <row r="52">
          <cell r="A52" t="str">
            <v xml:space="preserve">   % of parent comp</v>
          </cell>
          <cell r="H52" t="str">
            <v>NM</v>
          </cell>
          <cell r="I52" t="e">
            <v>#REF!</v>
          </cell>
          <cell r="J52" t="e">
            <v>#REF!</v>
          </cell>
          <cell r="K52" t="e">
            <v>#REF!</v>
          </cell>
        </row>
        <row r="56">
          <cell r="A56" t="str">
            <v>Total assets</v>
          </cell>
          <cell r="H56">
            <v>66196.288</v>
          </cell>
          <cell r="I56">
            <v>59225.584999999999</v>
          </cell>
          <cell r="J56">
            <v>65389.1</v>
          </cell>
          <cell r="K56">
            <v>66609.525999999998</v>
          </cell>
        </row>
        <row r="57">
          <cell r="A57" t="str">
            <v xml:space="preserve">   % of parent comp</v>
          </cell>
          <cell r="H57" t="str">
            <v>NM</v>
          </cell>
          <cell r="I57" t="e">
            <v>#REF!</v>
          </cell>
          <cell r="J57" t="e">
            <v>#REF!</v>
          </cell>
          <cell r="K57" t="e">
            <v>#REF!</v>
          </cell>
        </row>
        <row r="58">
          <cell r="A58" t="str">
            <v>Loans (Net)</v>
          </cell>
          <cell r="H58">
            <v>45328.52</v>
          </cell>
          <cell r="I58">
            <v>42701.665999999997</v>
          </cell>
          <cell r="J58">
            <v>41586.845999999998</v>
          </cell>
          <cell r="K58">
            <v>44648.307999999997</v>
          </cell>
        </row>
        <row r="59">
          <cell r="A59" t="str">
            <v xml:space="preserve">   % of parent comp</v>
          </cell>
          <cell r="H59" t="str">
            <v>NM</v>
          </cell>
          <cell r="I59" t="e">
            <v>#REF!</v>
          </cell>
          <cell r="J59" t="e">
            <v>#REF!</v>
          </cell>
          <cell r="K59" t="e">
            <v>#REF!</v>
          </cell>
        </row>
        <row r="60">
          <cell r="A60" t="str">
            <v>Total liabilities</v>
          </cell>
          <cell r="H60">
            <v>63903.99</v>
          </cell>
          <cell r="I60">
            <v>57289.224000000002</v>
          </cell>
          <cell r="J60">
            <v>62778.171999999999</v>
          </cell>
          <cell r="K60">
            <v>62783.303999999996</v>
          </cell>
        </row>
        <row r="61">
          <cell r="A61" t="str">
            <v xml:space="preserve">   % of parent comp</v>
          </cell>
          <cell r="H61" t="str">
            <v>NM</v>
          </cell>
          <cell r="I61" t="e">
            <v>#REF!</v>
          </cell>
          <cell r="J61" t="e">
            <v>#REF!</v>
          </cell>
          <cell r="K61" t="e">
            <v>#REF!</v>
          </cell>
        </row>
        <row r="62">
          <cell r="A62" t="str">
            <v>Deposits</v>
          </cell>
          <cell r="H62">
            <v>45125.839</v>
          </cell>
          <cell r="I62">
            <v>40030.091</v>
          </cell>
          <cell r="J62">
            <v>41313.072999999997</v>
          </cell>
          <cell r="K62">
            <v>41404.813999999998</v>
          </cell>
        </row>
        <row r="63">
          <cell r="A63" t="str">
            <v xml:space="preserve">   % of parent comp</v>
          </cell>
          <cell r="H63" t="str">
            <v>NM</v>
          </cell>
          <cell r="I63" t="e">
            <v>#REF!</v>
          </cell>
          <cell r="J63" t="e">
            <v>#REF!</v>
          </cell>
          <cell r="K63" t="e">
            <v>#REF!</v>
          </cell>
        </row>
        <row r="64">
          <cell r="A64" t="str">
            <v>Total shareholders' equity</v>
          </cell>
          <cell r="H64">
            <v>2292.2979999999998</v>
          </cell>
          <cell r="I64">
            <v>1936.3610000000001</v>
          </cell>
          <cell r="J64">
            <v>2610.9279999999999</v>
          </cell>
          <cell r="K64">
            <v>3826.2220000000002</v>
          </cell>
        </row>
        <row r="65">
          <cell r="A65" t="str">
            <v xml:space="preserve">   % of parent comp</v>
          </cell>
          <cell r="H65" t="str">
            <v>NM</v>
          </cell>
          <cell r="I65" t="e">
            <v>#REF!</v>
          </cell>
          <cell r="J65" t="e">
            <v>#REF!</v>
          </cell>
          <cell r="K65" t="e">
            <v>#REF!</v>
          </cell>
        </row>
        <row r="67">
          <cell r="A67" t="str">
            <v>Shinhan Bank (Combined with Chohung)</v>
          </cell>
        </row>
        <row r="68">
          <cell r="A68" t="str">
            <v xml:space="preserve">   % ownership</v>
          </cell>
          <cell r="H68">
            <v>1</v>
          </cell>
        </row>
        <row r="69">
          <cell r="A69" t="str">
            <v>Net interest income</v>
          </cell>
        </row>
        <row r="70">
          <cell r="A70" t="str">
            <v xml:space="preserve">   % of parent comp</v>
          </cell>
        </row>
        <row r="71">
          <cell r="A71" t="str">
            <v>Non-interest income</v>
          </cell>
        </row>
        <row r="72">
          <cell r="A72" t="str">
            <v xml:space="preserve">   % of parent comp</v>
          </cell>
        </row>
        <row r="73">
          <cell r="A73" t="str">
            <v>Net operating revenue</v>
          </cell>
        </row>
        <row r="74">
          <cell r="A74" t="str">
            <v xml:space="preserve">   % of parent comp</v>
          </cell>
        </row>
        <row r="75">
          <cell r="A75" t="str">
            <v>SG&amp;A</v>
          </cell>
        </row>
        <row r="76">
          <cell r="A76" t="str">
            <v xml:space="preserve">   % of parent comp</v>
          </cell>
        </row>
        <row r="77">
          <cell r="A77" t="str">
            <v>PPOP</v>
          </cell>
        </row>
        <row r="78">
          <cell r="A78" t="str">
            <v xml:space="preserve">   % of parent comp</v>
          </cell>
        </row>
        <row r="79">
          <cell r="A79" t="str">
            <v>Provisioning</v>
          </cell>
        </row>
        <row r="80">
          <cell r="A80" t="str">
            <v xml:space="preserve">   % of parent comp</v>
          </cell>
        </row>
        <row r="81">
          <cell r="A81" t="str">
            <v>OP profit</v>
          </cell>
        </row>
        <row r="82">
          <cell r="A82" t="str">
            <v xml:space="preserve">   % of parent comp</v>
          </cell>
        </row>
        <row r="83">
          <cell r="A83" t="str">
            <v>Net profit</v>
          </cell>
        </row>
        <row r="84">
          <cell r="A84" t="str">
            <v xml:space="preserve">   % of parent comp</v>
          </cell>
        </row>
        <row r="85">
          <cell r="A85" t="str">
            <v xml:space="preserve">   Dividend</v>
          </cell>
        </row>
        <row r="86">
          <cell r="A86" t="str">
            <v xml:space="preserve">   Profits subject to equity method</v>
          </cell>
        </row>
        <row r="87">
          <cell r="A87" t="str">
            <v xml:space="preserve">   Contribution to equity method income</v>
          </cell>
        </row>
        <row r="88">
          <cell r="A88" t="str">
            <v>Total assets</v>
          </cell>
        </row>
        <row r="89">
          <cell r="A89" t="str">
            <v xml:space="preserve">   % of parent comp</v>
          </cell>
        </row>
        <row r="90">
          <cell r="A90" t="str">
            <v>Loans (Net)</v>
          </cell>
        </row>
        <row r="91">
          <cell r="A91" t="str">
            <v xml:space="preserve">   % of parent comp</v>
          </cell>
        </row>
        <row r="92">
          <cell r="A92" t="str">
            <v>Total liabilities</v>
          </cell>
        </row>
        <row r="93">
          <cell r="A93" t="str">
            <v xml:space="preserve">   % of parent comp</v>
          </cell>
        </row>
        <row r="94">
          <cell r="A94" t="str">
            <v>Deposits</v>
          </cell>
        </row>
        <row r="95">
          <cell r="A95" t="str">
            <v xml:space="preserve">   % of parent comp</v>
          </cell>
        </row>
        <row r="96">
          <cell r="A96" t="str">
            <v>Total shareholders' equity</v>
          </cell>
        </row>
        <row r="97">
          <cell r="A97" t="str">
            <v xml:space="preserve">   % of parent comp</v>
          </cell>
        </row>
        <row r="99">
          <cell r="H99" t="str">
            <v xml:space="preserve">   Fiscal year ends March 31</v>
          </cell>
        </row>
        <row r="100">
          <cell r="A100" t="str">
            <v>GMSH Securities</v>
          </cell>
          <cell r="G100" t="str">
            <v>Mar 01</v>
          </cell>
          <cell r="H100" t="str">
            <v>Mar 02</v>
          </cell>
          <cell r="I100" t="str">
            <v>Mar 03</v>
          </cell>
          <cell r="J100" t="str">
            <v>Mar 04</v>
          </cell>
          <cell r="K100" t="str">
            <v>Mar 05</v>
          </cell>
          <cell r="L100" t="str">
            <v>Mar 06</v>
          </cell>
        </row>
        <row r="101">
          <cell r="A101" t="str">
            <v xml:space="preserve">   % ownership</v>
          </cell>
          <cell r="H101">
            <v>1</v>
          </cell>
        </row>
        <row r="102">
          <cell r="A102" t="str">
            <v>Net profit</v>
          </cell>
          <cell r="G102">
            <v>11.525</v>
          </cell>
          <cell r="H102">
            <v>51.105604995999997</v>
          </cell>
          <cell r="I102">
            <v>10.878</v>
          </cell>
          <cell r="J102">
            <v>80.655000000000001</v>
          </cell>
          <cell r="K102">
            <v>30.311</v>
          </cell>
          <cell r="L102">
            <v>101.48099999999999</v>
          </cell>
        </row>
        <row r="103">
          <cell r="A103" t="str">
            <v xml:space="preserve">   % of parent comp</v>
          </cell>
          <cell r="G103" t="e">
            <v>#REF!</v>
          </cell>
          <cell r="H103" t="e">
            <v>#REF!</v>
          </cell>
          <cell r="I103" t="e">
            <v>#REF!</v>
          </cell>
          <cell r="J103" t="e">
            <v>#REF!</v>
          </cell>
          <cell r="K103" t="e">
            <v>#REF!</v>
          </cell>
          <cell r="L103" t="e">
            <v>#REF!</v>
          </cell>
        </row>
        <row r="107">
          <cell r="A107" t="str">
            <v>Total assets</v>
          </cell>
          <cell r="G107">
            <v>656.90499999999997</v>
          </cell>
          <cell r="H107">
            <v>1657.283922283</v>
          </cell>
          <cell r="I107">
            <v>1996.992</v>
          </cell>
          <cell r="J107">
            <v>2251.4490000000001</v>
          </cell>
          <cell r="K107">
            <v>2887.2280000000001</v>
          </cell>
          <cell r="L107">
            <v>3659.2370000000001</v>
          </cell>
        </row>
        <row r="108">
          <cell r="A108" t="str">
            <v xml:space="preserve">   % of parent comp</v>
          </cell>
          <cell r="G108" t="e">
            <v>#REF!</v>
          </cell>
          <cell r="H108" t="e">
            <v>#REF!</v>
          </cell>
          <cell r="I108" t="e">
            <v>#REF!</v>
          </cell>
          <cell r="J108" t="e">
            <v>#REF!</v>
          </cell>
          <cell r="K108" t="e">
            <v>#REF!</v>
          </cell>
          <cell r="L108" t="e">
            <v>#REF!</v>
          </cell>
        </row>
        <row r="109">
          <cell r="A109" t="str">
            <v>Total liabilities</v>
          </cell>
          <cell r="G109">
            <v>596.17700000000002</v>
          </cell>
          <cell r="H109">
            <v>967.72410040099999</v>
          </cell>
          <cell r="I109">
            <v>1429.3420000000001</v>
          </cell>
          <cell r="J109">
            <v>1595.278</v>
          </cell>
          <cell r="K109">
            <v>2197.2620000000002</v>
          </cell>
          <cell r="L109">
            <v>2878.7310000000002</v>
          </cell>
        </row>
        <row r="110">
          <cell r="A110" t="str">
            <v xml:space="preserve">   % of parent comp</v>
          </cell>
          <cell r="G110" t="e">
            <v>#REF!</v>
          </cell>
          <cell r="H110" t="e">
            <v>#REF!</v>
          </cell>
          <cell r="I110" t="e">
            <v>#REF!</v>
          </cell>
          <cell r="J110" t="e">
            <v>#REF!</v>
          </cell>
          <cell r="K110" t="e">
            <v>#REF!</v>
          </cell>
          <cell r="L110" t="e">
            <v>#REF!</v>
          </cell>
        </row>
        <row r="111">
          <cell r="A111" t="str">
            <v>Total shareholders' equity</v>
          </cell>
          <cell r="G111">
            <v>11.525</v>
          </cell>
          <cell r="H111">
            <v>689.55982188200005</v>
          </cell>
          <cell r="I111">
            <v>567.65</v>
          </cell>
          <cell r="J111">
            <v>656.17100000000005</v>
          </cell>
          <cell r="K111">
            <v>689.96600000000001</v>
          </cell>
          <cell r="L111">
            <v>780.50599999999997</v>
          </cell>
        </row>
        <row r="112">
          <cell r="A112" t="str">
            <v xml:space="preserve">   % of parent comp</v>
          </cell>
          <cell r="G112" t="e">
            <v>#REF!</v>
          </cell>
          <cell r="H112" t="e">
            <v>#REF!</v>
          </cell>
          <cell r="I112" t="e">
            <v>#REF!</v>
          </cell>
          <cell r="J112" t="e">
            <v>#REF!</v>
          </cell>
          <cell r="K112" t="e">
            <v>#REF!</v>
          </cell>
          <cell r="L112" t="e">
            <v>#REF!</v>
          </cell>
        </row>
        <row r="113">
          <cell r="H113" t="str">
            <v xml:space="preserve">   Fiscal year ends March 31</v>
          </cell>
        </row>
        <row r="114">
          <cell r="A114" t="str">
            <v>Shinhan Life</v>
          </cell>
          <cell r="G114" t="str">
            <v>Mar 01</v>
          </cell>
          <cell r="H114" t="str">
            <v>Mar 02</v>
          </cell>
          <cell r="I114" t="str">
            <v>Mar 03</v>
          </cell>
          <cell r="J114" t="str">
            <v>Mar 04</v>
          </cell>
          <cell r="K114" t="str">
            <v>Mar 05</v>
          </cell>
          <cell r="L114" t="str">
            <v>Mar 06</v>
          </cell>
        </row>
        <row r="115">
          <cell r="A115" t="str">
            <v xml:space="preserve">   % ownership</v>
          </cell>
          <cell r="H115">
            <v>1</v>
          </cell>
        </row>
        <row r="116">
          <cell r="A116" t="str">
            <v>Net profit</v>
          </cell>
          <cell r="G116">
            <v>7.431</v>
          </cell>
          <cell r="H116">
            <v>12.089124999999999</v>
          </cell>
          <cell r="I116">
            <v>86.332932</v>
          </cell>
          <cell r="J116">
            <v>96.704583</v>
          </cell>
          <cell r="K116">
            <v>92.984376999999995</v>
          </cell>
          <cell r="L116">
            <v>101.904</v>
          </cell>
        </row>
        <row r="117">
          <cell r="A117" t="str">
            <v xml:space="preserve">   % of parent comp</v>
          </cell>
          <cell r="G117" t="e">
            <v>#REF!</v>
          </cell>
          <cell r="H117" t="e">
            <v>#REF!</v>
          </cell>
          <cell r="I117" t="e">
            <v>#REF!</v>
          </cell>
          <cell r="J117" t="e">
            <v>#REF!</v>
          </cell>
          <cell r="K117" t="e">
            <v>#REF!</v>
          </cell>
          <cell r="L117" t="e">
            <v>#REF!</v>
          </cell>
        </row>
        <row r="118">
          <cell r="G118">
            <v>0</v>
          </cell>
        </row>
        <row r="119">
          <cell r="G119">
            <v>7.431</v>
          </cell>
        </row>
        <row r="120">
          <cell r="G120">
            <v>7.431</v>
          </cell>
        </row>
        <row r="121">
          <cell r="A121" t="str">
            <v>Total assets</v>
          </cell>
          <cell r="G121">
            <v>38.225999999999999</v>
          </cell>
          <cell r="H121">
            <v>2039.5316740000001</v>
          </cell>
          <cell r="I121">
            <v>2513.2254720000001</v>
          </cell>
          <cell r="J121">
            <v>3322.802216</v>
          </cell>
          <cell r="K121">
            <v>4216.1948659999998</v>
          </cell>
          <cell r="L121">
            <v>5298.5990000000002</v>
          </cell>
        </row>
        <row r="122">
          <cell r="A122" t="str">
            <v xml:space="preserve">   % of parent comp</v>
          </cell>
          <cell r="G122" t="e">
            <v>#REF!</v>
          </cell>
          <cell r="H122" t="e">
            <v>#REF!</v>
          </cell>
          <cell r="I122" t="e">
            <v>#REF!</v>
          </cell>
          <cell r="J122" t="e">
            <v>#REF!</v>
          </cell>
          <cell r="K122" t="e">
            <v>#REF!</v>
          </cell>
          <cell r="L122" t="e">
            <v>#REF!</v>
          </cell>
        </row>
        <row r="123">
          <cell r="A123" t="str">
            <v>Total liabilities</v>
          </cell>
          <cell r="G123">
            <v>0.83899999999999997</v>
          </cell>
          <cell r="H123">
            <v>2118.9046159999998</v>
          </cell>
          <cell r="I123">
            <v>2537.9890190000001</v>
          </cell>
          <cell r="J123">
            <v>3181.847323</v>
          </cell>
          <cell r="K123">
            <v>3963.8310280000001</v>
          </cell>
          <cell r="L123">
            <v>4943.634</v>
          </cell>
        </row>
        <row r="124">
          <cell r="A124" t="str">
            <v xml:space="preserve">   % of parent comp</v>
          </cell>
          <cell r="G124" t="e">
            <v>#REF!</v>
          </cell>
          <cell r="H124" t="e">
            <v>#REF!</v>
          </cell>
          <cell r="I124" t="e">
            <v>#REF!</v>
          </cell>
          <cell r="J124" t="e">
            <v>#REF!</v>
          </cell>
          <cell r="K124" t="e">
            <v>#REF!</v>
          </cell>
          <cell r="L124" t="e">
            <v>#REF!</v>
          </cell>
        </row>
        <row r="125">
          <cell r="A125" t="str">
            <v>Total shareholders' equity</v>
          </cell>
          <cell r="G125">
            <v>37.387</v>
          </cell>
          <cell r="H125">
            <v>-79.372941999999995</v>
          </cell>
          <cell r="I125">
            <v>-24.763546999999999</v>
          </cell>
          <cell r="J125">
            <v>140.954892</v>
          </cell>
          <cell r="K125">
            <v>252.36383799999999</v>
          </cell>
          <cell r="L125">
            <v>354.96499999999997</v>
          </cell>
        </row>
        <row r="126">
          <cell r="A126" t="str">
            <v xml:space="preserve">   % of parent comp</v>
          </cell>
          <cell r="G126" t="e">
            <v>#REF!</v>
          </cell>
          <cell r="H126" t="e">
            <v>#REF!</v>
          </cell>
          <cell r="I126" t="e">
            <v>#REF!</v>
          </cell>
          <cell r="J126" t="e">
            <v>#REF!</v>
          </cell>
          <cell r="K126" t="e">
            <v>#REF!</v>
          </cell>
          <cell r="L126" t="e">
            <v>#REF!</v>
          </cell>
        </row>
        <row r="128">
          <cell r="A128" t="str">
            <v>Shinhan Card</v>
          </cell>
        </row>
        <row r="129">
          <cell r="A129" t="str">
            <v xml:space="preserve">   % ownership</v>
          </cell>
          <cell r="H129">
            <v>1</v>
          </cell>
        </row>
        <row r="130">
          <cell r="A130" t="str">
            <v>Net profit</v>
          </cell>
          <cell r="C130">
            <v>3.7829999999999999</v>
          </cell>
          <cell r="D130">
            <v>9.0220000000000002</v>
          </cell>
          <cell r="E130">
            <v>1.7</v>
          </cell>
          <cell r="F130">
            <v>-15.581</v>
          </cell>
          <cell r="G130">
            <v>3.8639999999999999</v>
          </cell>
          <cell r="H130">
            <v>0.503965</v>
          </cell>
          <cell r="I130">
            <v>-89.823999999999998</v>
          </cell>
          <cell r="J130">
            <v>5.8220000000000001</v>
          </cell>
          <cell r="K130">
            <v>54.241</v>
          </cell>
        </row>
        <row r="131">
          <cell r="A131" t="str">
            <v xml:space="preserve">   % of parent comp</v>
          </cell>
          <cell r="C131" t="e">
            <v>#REF!</v>
          </cell>
          <cell r="D131" t="e">
            <v>#REF!</v>
          </cell>
          <cell r="E131" t="e">
            <v>#REF!</v>
          </cell>
          <cell r="F131" t="e">
            <v>#REF!</v>
          </cell>
          <cell r="G131" t="e">
            <v>#REF!</v>
          </cell>
          <cell r="H131" t="e">
            <v>#REF!</v>
          </cell>
          <cell r="I131" t="e">
            <v>#REF!</v>
          </cell>
          <cell r="J131" t="e">
            <v>#REF!</v>
          </cell>
          <cell r="K131" t="e">
            <v>#REF!</v>
          </cell>
        </row>
        <row r="132">
          <cell r="C132">
            <v>0</v>
          </cell>
          <cell r="D132">
            <v>0</v>
          </cell>
          <cell r="E132">
            <v>0</v>
          </cell>
          <cell r="F132">
            <v>0</v>
          </cell>
          <cell r="G132">
            <v>0</v>
          </cell>
        </row>
        <row r="133">
          <cell r="C133">
            <v>3.7829999999999999</v>
          </cell>
          <cell r="D133">
            <v>9.0220000000000002</v>
          </cell>
          <cell r="E133">
            <v>1.7</v>
          </cell>
          <cell r="F133">
            <v>-15.581</v>
          </cell>
          <cell r="G133">
            <v>3.8639999999999999</v>
          </cell>
        </row>
        <row r="134">
          <cell r="C134">
            <v>3.7829999999999999</v>
          </cell>
          <cell r="D134">
            <v>9.0220000000000002</v>
          </cell>
          <cell r="E134">
            <v>1.7</v>
          </cell>
          <cell r="F134">
            <v>-15.581</v>
          </cell>
          <cell r="G134">
            <v>3.8639999999999999</v>
          </cell>
        </row>
        <row r="135">
          <cell r="A135" t="str">
            <v>Total assets</v>
          </cell>
          <cell r="C135">
            <v>19.986999999999998</v>
          </cell>
          <cell r="D135">
            <v>29.673999999999999</v>
          </cell>
          <cell r="E135">
            <v>392.49799999999999</v>
          </cell>
          <cell r="F135">
            <v>317.10399999999998</v>
          </cell>
          <cell r="G135">
            <v>290.09699999999998</v>
          </cell>
          <cell r="H135">
            <v>2473.6940049999998</v>
          </cell>
          <cell r="I135">
            <v>1778.193</v>
          </cell>
          <cell r="J135">
            <v>1469.925</v>
          </cell>
          <cell r="K135">
            <v>1532.29</v>
          </cell>
        </row>
        <row r="136">
          <cell r="A136" t="str">
            <v xml:space="preserve">   % of parent comp</v>
          </cell>
          <cell r="C136" t="e">
            <v>#REF!</v>
          </cell>
          <cell r="D136" t="e">
            <v>#REF!</v>
          </cell>
          <cell r="E136" t="e">
            <v>#REF!</v>
          </cell>
          <cell r="F136" t="e">
            <v>#REF!</v>
          </cell>
          <cell r="G136" t="e">
            <v>#REF!</v>
          </cell>
          <cell r="H136" t="e">
            <v>#REF!</v>
          </cell>
          <cell r="I136" t="e">
            <v>#REF!</v>
          </cell>
          <cell r="J136" t="e">
            <v>#REF!</v>
          </cell>
          <cell r="K136" t="e">
            <v>#REF!</v>
          </cell>
        </row>
        <row r="137">
          <cell r="A137" t="str">
            <v>Total liabilities</v>
          </cell>
          <cell r="C137">
            <v>7.63</v>
          </cell>
          <cell r="D137">
            <v>9.7949999999999999</v>
          </cell>
          <cell r="E137">
            <v>370.96</v>
          </cell>
          <cell r="F137">
            <v>311.14699999999999</v>
          </cell>
          <cell r="G137">
            <v>211.28299999999999</v>
          </cell>
          <cell r="H137">
            <v>2226.2338669999999</v>
          </cell>
          <cell r="I137">
            <v>1620.557</v>
          </cell>
          <cell r="J137">
            <v>1306.4670000000001</v>
          </cell>
          <cell r="K137">
            <v>1314.5909999999999</v>
          </cell>
        </row>
        <row r="138">
          <cell r="A138" t="str">
            <v xml:space="preserve">   % of parent comp</v>
          </cell>
          <cell r="C138" t="e">
            <v>#REF!</v>
          </cell>
          <cell r="D138" t="e">
            <v>#REF!</v>
          </cell>
          <cell r="E138" t="e">
            <v>#REF!</v>
          </cell>
          <cell r="F138" t="e">
            <v>#REF!</v>
          </cell>
          <cell r="G138" t="e">
            <v>#REF!</v>
          </cell>
          <cell r="H138" t="e">
            <v>#REF!</v>
          </cell>
          <cell r="I138" t="e">
            <v>#REF!</v>
          </cell>
          <cell r="J138" t="e">
            <v>#REF!</v>
          </cell>
          <cell r="K138" t="e">
            <v>#REF!</v>
          </cell>
        </row>
        <row r="139">
          <cell r="A139" t="str">
            <v>Total shareholders' equity</v>
          </cell>
          <cell r="C139">
            <v>12.356999999999999</v>
          </cell>
          <cell r="D139">
            <v>19.879000000000001</v>
          </cell>
          <cell r="E139">
            <v>21.538</v>
          </cell>
          <cell r="F139">
            <v>5.9569999999999999</v>
          </cell>
          <cell r="G139">
            <v>78.813999999999993</v>
          </cell>
          <cell r="H139">
            <v>247.460138</v>
          </cell>
          <cell r="I139">
            <v>157.636</v>
          </cell>
          <cell r="J139">
            <v>163.458</v>
          </cell>
          <cell r="K139">
            <v>217.69900000000001</v>
          </cell>
        </row>
        <row r="140">
          <cell r="A140" t="str">
            <v xml:space="preserve">   % of parent comp</v>
          </cell>
          <cell r="C140" t="e">
            <v>#REF!</v>
          </cell>
          <cell r="D140" t="e">
            <v>#REF!</v>
          </cell>
          <cell r="E140" t="e">
            <v>#REF!</v>
          </cell>
          <cell r="F140" t="e">
            <v>#REF!</v>
          </cell>
          <cell r="G140" t="e">
            <v>#REF!</v>
          </cell>
          <cell r="H140" t="e">
            <v>#REF!</v>
          </cell>
          <cell r="I140" t="e">
            <v>#REF!</v>
          </cell>
          <cell r="J140" t="e">
            <v>#REF!</v>
          </cell>
          <cell r="K140" t="e">
            <v>#REF!</v>
          </cell>
        </row>
        <row r="142">
          <cell r="A142" t="str">
            <v>Shinhan Capital</v>
          </cell>
        </row>
        <row r="143">
          <cell r="A143" t="str">
            <v xml:space="preserve">   % ownership</v>
          </cell>
          <cell r="H143">
            <v>1</v>
          </cell>
        </row>
        <row r="144">
          <cell r="A144" t="str">
            <v>Net profit</v>
          </cell>
          <cell r="C144">
            <v>3.7829999999999999</v>
          </cell>
          <cell r="D144">
            <v>9.0220000000000002</v>
          </cell>
          <cell r="E144">
            <v>1.7</v>
          </cell>
          <cell r="F144">
            <v>-15.581</v>
          </cell>
          <cell r="G144">
            <v>3.8639999999999999</v>
          </cell>
          <cell r="H144">
            <v>3.8272050000000002</v>
          </cell>
          <cell r="I144">
            <v>15.754735999999999</v>
          </cell>
          <cell r="J144">
            <v>23.056000000000001</v>
          </cell>
          <cell r="K144">
            <v>36.741999999999997</v>
          </cell>
        </row>
        <row r="145">
          <cell r="A145" t="str">
            <v xml:space="preserve">   % of parent comp</v>
          </cell>
          <cell r="C145" t="e">
            <v>#REF!</v>
          </cell>
          <cell r="D145" t="e">
            <v>#REF!</v>
          </cell>
          <cell r="E145" t="e">
            <v>#REF!</v>
          </cell>
          <cell r="F145" t="e">
            <v>#REF!</v>
          </cell>
          <cell r="G145" t="e">
            <v>#REF!</v>
          </cell>
          <cell r="H145" t="e">
            <v>#REF!</v>
          </cell>
          <cell r="I145" t="e">
            <v>#REF!</v>
          </cell>
          <cell r="J145" t="e">
            <v>#REF!</v>
          </cell>
          <cell r="K145" t="e">
            <v>#REF!</v>
          </cell>
        </row>
        <row r="146">
          <cell r="C146">
            <v>0</v>
          </cell>
          <cell r="D146">
            <v>0</v>
          </cell>
          <cell r="E146">
            <v>0</v>
          </cell>
          <cell r="F146">
            <v>0</v>
          </cell>
          <cell r="G146">
            <v>0</v>
          </cell>
        </row>
        <row r="147">
          <cell r="C147">
            <v>3.7829999999999999</v>
          </cell>
          <cell r="D147">
            <v>9.0220000000000002</v>
          </cell>
          <cell r="E147">
            <v>1.7</v>
          </cell>
          <cell r="F147">
            <v>-15.581</v>
          </cell>
          <cell r="G147">
            <v>3.8639999999999999</v>
          </cell>
        </row>
        <row r="148">
          <cell r="C148">
            <v>3.7829999999999999</v>
          </cell>
          <cell r="D148">
            <v>9.0220000000000002</v>
          </cell>
          <cell r="E148">
            <v>1.7</v>
          </cell>
          <cell r="F148">
            <v>-15.581</v>
          </cell>
          <cell r="G148">
            <v>3.8639999999999999</v>
          </cell>
        </row>
        <row r="149">
          <cell r="A149" t="str">
            <v>Total assets</v>
          </cell>
          <cell r="C149">
            <v>19.986999999999998</v>
          </cell>
          <cell r="D149">
            <v>29.673999999999999</v>
          </cell>
          <cell r="E149">
            <v>392.49799999999999</v>
          </cell>
          <cell r="F149">
            <v>317.10399999999998</v>
          </cell>
          <cell r="G149">
            <v>290.09699999999998</v>
          </cell>
          <cell r="H149">
            <v>960.23438299999998</v>
          </cell>
          <cell r="I149">
            <v>1153.906982</v>
          </cell>
          <cell r="J149">
            <v>1320.9290000000001</v>
          </cell>
          <cell r="K149">
            <v>1400.829</v>
          </cell>
        </row>
        <row r="150">
          <cell r="A150" t="str">
            <v xml:space="preserve">   % of parent comp</v>
          </cell>
          <cell r="C150" t="e">
            <v>#REF!</v>
          </cell>
          <cell r="D150" t="e">
            <v>#REF!</v>
          </cell>
          <cell r="E150" t="e">
            <v>#REF!</v>
          </cell>
          <cell r="F150" t="e">
            <v>#REF!</v>
          </cell>
          <cell r="G150" t="e">
            <v>#REF!</v>
          </cell>
          <cell r="H150" t="e">
            <v>#REF!</v>
          </cell>
          <cell r="I150" t="e">
            <v>#REF!</v>
          </cell>
          <cell r="J150" t="e">
            <v>#REF!</v>
          </cell>
          <cell r="K150" t="e">
            <v>#REF!</v>
          </cell>
        </row>
        <row r="151">
          <cell r="A151" t="str">
            <v>Total liabilities</v>
          </cell>
          <cell r="C151">
            <v>7.63</v>
          </cell>
          <cell r="D151">
            <v>9.7949999999999999</v>
          </cell>
          <cell r="E151">
            <v>370.96</v>
          </cell>
          <cell r="F151">
            <v>311.14699999999999</v>
          </cell>
          <cell r="G151">
            <v>211.28299999999999</v>
          </cell>
          <cell r="H151">
            <v>876.55106899999998</v>
          </cell>
          <cell r="I151">
            <v>1051.682816</v>
          </cell>
          <cell r="J151">
            <v>1201.5820000000001</v>
          </cell>
          <cell r="K151">
            <v>1251.895</v>
          </cell>
        </row>
        <row r="152">
          <cell r="A152" t="str">
            <v xml:space="preserve">   % of parent comp</v>
          </cell>
          <cell r="C152" t="e">
            <v>#REF!</v>
          </cell>
          <cell r="D152" t="e">
            <v>#REF!</v>
          </cell>
          <cell r="E152" t="e">
            <v>#REF!</v>
          </cell>
          <cell r="F152" t="e">
            <v>#REF!</v>
          </cell>
          <cell r="G152" t="e">
            <v>#REF!</v>
          </cell>
          <cell r="H152" t="e">
            <v>#REF!</v>
          </cell>
          <cell r="I152" t="e">
            <v>#REF!</v>
          </cell>
          <cell r="J152" t="e">
            <v>#REF!</v>
          </cell>
          <cell r="K152" t="e">
            <v>#REF!</v>
          </cell>
        </row>
        <row r="153">
          <cell r="A153" t="str">
            <v>Total shareholders' equity</v>
          </cell>
          <cell r="C153">
            <v>12.356999999999999</v>
          </cell>
          <cell r="D153">
            <v>19.879000000000001</v>
          </cell>
          <cell r="E153">
            <v>21.538</v>
          </cell>
          <cell r="F153">
            <v>5.9569999999999999</v>
          </cell>
          <cell r="G153">
            <v>78.813999999999993</v>
          </cell>
          <cell r="H153">
            <v>83.683312999999998</v>
          </cell>
          <cell r="I153">
            <v>102.224166</v>
          </cell>
          <cell r="J153">
            <v>119.34699999999999</v>
          </cell>
          <cell r="K153">
            <v>148.934</v>
          </cell>
        </row>
        <row r="154">
          <cell r="A154" t="str">
            <v xml:space="preserve">   % of parent comp</v>
          </cell>
          <cell r="C154" t="e">
            <v>#REF!</v>
          </cell>
          <cell r="D154" t="e">
            <v>#REF!</v>
          </cell>
          <cell r="E154" t="e">
            <v>#REF!</v>
          </cell>
          <cell r="F154" t="e">
            <v>#REF!</v>
          </cell>
          <cell r="G154" t="e">
            <v>#REF!</v>
          </cell>
          <cell r="H154" t="e">
            <v>#REF!</v>
          </cell>
          <cell r="I154" t="e">
            <v>#REF!</v>
          </cell>
          <cell r="J154" t="e">
            <v>#REF!</v>
          </cell>
          <cell r="K154" t="e">
            <v>#REF!</v>
          </cell>
        </row>
        <row r="156">
          <cell r="A156" t="str">
            <v>LG CARD</v>
          </cell>
          <cell r="I156" t="str">
            <v>O/S Shrs</v>
          </cell>
          <cell r="J156">
            <v>125.36940300000001</v>
          </cell>
          <cell r="L156" t="str">
            <v>BV as of June 06</v>
          </cell>
        </row>
        <row r="157">
          <cell r="A157" t="str">
            <v xml:space="preserve">   % ownership</v>
          </cell>
          <cell r="H157">
            <v>0.85699999999999987</v>
          </cell>
          <cell r="I157" t="str">
            <v>Holdings</v>
          </cell>
          <cell r="J157">
            <v>107.44157837099999</v>
          </cell>
          <cell r="L157">
            <v>360.28160000000003</v>
          </cell>
        </row>
        <row r="158">
          <cell r="A158" t="str">
            <v>Balance sheet (Reported)</v>
          </cell>
        </row>
        <row r="159">
          <cell r="A159" t="str">
            <v>Total assets</v>
          </cell>
          <cell r="H159">
            <v>19425.709443093001</v>
          </cell>
          <cell r="I159">
            <v>10765.557619648</v>
          </cell>
          <cell r="J159">
            <v>8217.358097024</v>
          </cell>
          <cell r="K159">
            <v>9084.2337239293047</v>
          </cell>
          <cell r="L159">
            <v>9645.4817304675944</v>
          </cell>
          <cell r="M159">
            <v>10279.386422697202</v>
          </cell>
          <cell r="N159">
            <v>10921.808845689473</v>
          </cell>
          <cell r="O159">
            <v>11604.701841452086</v>
          </cell>
          <cell r="P159">
            <v>12330.631652978911</v>
          </cell>
          <cell r="Q159">
            <v>13102.328111846602</v>
          </cell>
          <cell r="AD159">
            <v>19425.709443093001</v>
          </cell>
          <cell r="AE159">
            <v>20572.790378876001</v>
          </cell>
          <cell r="AF159">
            <v>17823.092566519928</v>
          </cell>
          <cell r="AG159">
            <v>15802.597101133</v>
          </cell>
          <cell r="AH159">
            <v>10765.557619648</v>
          </cell>
          <cell r="AI159">
            <v>12129.43586263</v>
          </cell>
          <cell r="AJ159">
            <v>10952.712550952328</v>
          </cell>
          <cell r="AK159">
            <v>9950.2843554999999</v>
          </cell>
          <cell r="AL159">
            <v>8217.358097024</v>
          </cell>
          <cell r="AM159">
            <v>8454.1806877350009</v>
          </cell>
          <cell r="AN159">
            <v>8677.3351910402507</v>
          </cell>
          <cell r="AO159">
            <v>8717.4559219418243</v>
          </cell>
          <cell r="AP159">
            <v>9084.2337239293047</v>
          </cell>
          <cell r="AQ159">
            <v>9515.9031037324094</v>
          </cell>
          <cell r="AR159">
            <v>9382.089956343485</v>
          </cell>
          <cell r="AS159">
            <v>9851.1141169623425</v>
          </cell>
          <cell r="AT159">
            <v>9645.4817304675944</v>
          </cell>
          <cell r="AU159">
            <v>9868.3730752840002</v>
          </cell>
          <cell r="AV159">
            <v>9782.4861796053283</v>
          </cell>
          <cell r="AW159">
            <v>10030.936301151265</v>
          </cell>
          <cell r="AX159">
            <v>10279.386422697202</v>
          </cell>
          <cell r="AY159">
            <v>10439.992028445269</v>
          </cell>
          <cell r="AZ159">
            <v>10439.992028445269</v>
          </cell>
          <cell r="BA159">
            <v>10680.900437067372</v>
          </cell>
          <cell r="BB159">
            <v>10921.808845689473</v>
          </cell>
          <cell r="BC159">
            <v>11092.532094630125</v>
          </cell>
          <cell r="BD159">
            <v>11092.532094630127</v>
          </cell>
          <cell r="BE159">
            <v>11348.616968041108</v>
          </cell>
          <cell r="BF159">
            <v>11604.701841452086</v>
          </cell>
          <cell r="BG159">
            <v>11786.184294333792</v>
          </cell>
          <cell r="BH159">
            <v>11786.184294333792</v>
          </cell>
          <cell r="BI159">
            <v>12058.407973656351</v>
          </cell>
          <cell r="BJ159">
            <v>12330.631652978911</v>
          </cell>
          <cell r="BK159">
            <v>12523.555767695834</v>
          </cell>
          <cell r="BL159">
            <v>12523.555767695834</v>
          </cell>
          <cell r="BM159">
            <v>12812.941939771219</v>
          </cell>
          <cell r="BN159">
            <v>13102.328111846602</v>
          </cell>
        </row>
        <row r="160">
          <cell r="A160" t="str">
            <v xml:space="preserve">   Interest earning assets</v>
          </cell>
          <cell r="H160">
            <v>14680.647696916001</v>
          </cell>
          <cell r="I160">
            <v>12343.111356021</v>
          </cell>
          <cell r="J160">
            <v>7944.3332686909998</v>
          </cell>
          <cell r="K160">
            <v>8295.4130061840006</v>
          </cell>
          <cell r="L160">
            <v>9053.6907223479993</v>
          </cell>
          <cell r="M160">
            <v>9642.1806193006196</v>
          </cell>
          <cell r="N160">
            <v>10268.922359555161</v>
          </cell>
          <cell r="O160">
            <v>10936.402312926244</v>
          </cell>
          <cell r="P160">
            <v>11647.26846326645</v>
          </cell>
          <cell r="Q160">
            <v>12404.340913378768</v>
          </cell>
          <cell r="AD160">
            <v>14680.647696916001</v>
          </cell>
          <cell r="AE160">
            <v>14237.998182197</v>
          </cell>
          <cell r="AF160">
            <v>11653.273587998998</v>
          </cell>
          <cell r="AG160">
            <v>9926.4476954889979</v>
          </cell>
          <cell r="AH160">
            <v>12343.111356021</v>
          </cell>
          <cell r="AI160">
            <v>11982.908541015999</v>
          </cell>
          <cell r="AJ160">
            <v>10390.551977382001</v>
          </cell>
          <cell r="AK160">
            <v>9904.2797666099996</v>
          </cell>
          <cell r="AL160">
            <v>7944.3332686909998</v>
          </cell>
          <cell r="AM160">
            <v>7860.5700094140002</v>
          </cell>
          <cell r="AN160">
            <v>8499.440444934</v>
          </cell>
          <cell r="AO160">
            <v>8359.9178914820004</v>
          </cell>
          <cell r="AP160">
            <v>8295.4130061840006</v>
          </cell>
          <cell r="AQ160">
            <v>8669.5813392279997</v>
          </cell>
          <cell r="AR160">
            <v>8919.4556621419997</v>
          </cell>
          <cell r="AS160">
            <v>9082.7818368459994</v>
          </cell>
          <cell r="AT160">
            <v>9053.6907223479993</v>
          </cell>
          <cell r="AU160">
            <v>8889.2598809390001</v>
          </cell>
          <cell r="AV160">
            <v>9304.6643018018731</v>
          </cell>
          <cell r="AW160">
            <v>9473.4224605512463</v>
          </cell>
          <cell r="AX160">
            <v>9642.1806193006196</v>
          </cell>
          <cell r="AY160">
            <v>9798.8660543642545</v>
          </cell>
          <cell r="AZ160">
            <v>9798.8660543642545</v>
          </cell>
          <cell r="BA160">
            <v>10033.894206959707</v>
          </cell>
          <cell r="BB160">
            <v>10268.922359555161</v>
          </cell>
          <cell r="BC160">
            <v>10435.792347897932</v>
          </cell>
          <cell r="BD160">
            <v>10435.792347897932</v>
          </cell>
          <cell r="BE160">
            <v>10686.097330412089</v>
          </cell>
          <cell r="BF160">
            <v>10936.402312926244</v>
          </cell>
          <cell r="BG160">
            <v>11114.118850511295</v>
          </cell>
          <cell r="BH160">
            <v>11114.118850511295</v>
          </cell>
          <cell r="BI160">
            <v>11380.693656888872</v>
          </cell>
          <cell r="BJ160">
            <v>11647.26846326645</v>
          </cell>
          <cell r="BK160">
            <v>11836.536575794529</v>
          </cell>
          <cell r="BL160">
            <v>11836.536575794529</v>
          </cell>
          <cell r="BM160">
            <v>12120.438744586649</v>
          </cell>
          <cell r="BN160">
            <v>12404.340913378768</v>
          </cell>
        </row>
        <row r="161">
          <cell r="A161" t="str">
            <v xml:space="preserve">   LLR</v>
          </cell>
          <cell r="H161">
            <v>2278.197090484</v>
          </cell>
          <cell r="I161">
            <v>5022.842407227</v>
          </cell>
          <cell r="J161">
            <v>2324.3275268460002</v>
          </cell>
          <cell r="K161">
            <v>1195.924789046695</v>
          </cell>
          <cell r="L161">
            <v>1042.3483241374099</v>
          </cell>
          <cell r="M161">
            <v>1078.6404954732729</v>
          </cell>
          <cell r="N161">
            <v>1148.7521276790355</v>
          </cell>
          <cell r="O161">
            <v>1223.4210159781726</v>
          </cell>
          <cell r="P161">
            <v>1302.943382016754</v>
          </cell>
          <cell r="Q161">
            <v>1387.634701847843</v>
          </cell>
          <cell r="AD161">
            <v>2278.197090484</v>
          </cell>
          <cell r="AE161">
            <v>2522.8298856689999</v>
          </cell>
          <cell r="AF161">
            <v>2019.277092735</v>
          </cell>
          <cell r="AG161">
            <v>2088.4149246880002</v>
          </cell>
          <cell r="AH161">
            <v>5022.842407227</v>
          </cell>
          <cell r="AI161">
            <v>4280.200485286</v>
          </cell>
          <cell r="AJ161">
            <v>3766.2418246218622</v>
          </cell>
          <cell r="AK161">
            <v>3358.5596008490002</v>
          </cell>
          <cell r="AL161">
            <v>2324.3275268460002</v>
          </cell>
          <cell r="AM161">
            <v>1718.4799940959999</v>
          </cell>
          <cell r="AN161">
            <v>1475.91671779175</v>
          </cell>
          <cell r="AO161">
            <v>1298.3521681681768</v>
          </cell>
          <cell r="AP161">
            <v>1195.924789046695</v>
          </cell>
          <cell r="AQ161">
            <v>1061.9110909625938</v>
          </cell>
          <cell r="AR161">
            <v>1084.1693792235167</v>
          </cell>
          <cell r="AS161">
            <v>1074.5789342666601</v>
          </cell>
          <cell r="AT161">
            <v>1042.3483241374099</v>
          </cell>
          <cell r="AU161">
            <v>915.149902344</v>
          </cell>
          <cell r="AV161">
            <v>1096.8451885138343</v>
          </cell>
          <cell r="AW161">
            <v>1087.7428419935536</v>
          </cell>
          <cell r="AX161">
            <v>1078.6404954732729</v>
          </cell>
          <cell r="AY161">
            <v>1096.1684035247135</v>
          </cell>
          <cell r="AZ161">
            <v>1096.1684035247135</v>
          </cell>
          <cell r="BA161">
            <v>1122.4602656018747</v>
          </cell>
          <cell r="BB161">
            <v>1148.7521276790355</v>
          </cell>
          <cell r="BC161">
            <v>1167.4193497538199</v>
          </cell>
          <cell r="BD161">
            <v>1167.4193497538197</v>
          </cell>
          <cell r="BE161">
            <v>1195.4201828659961</v>
          </cell>
          <cell r="BF161">
            <v>1223.4210159781726</v>
          </cell>
          <cell r="BG161">
            <v>1243.3016074878178</v>
          </cell>
          <cell r="BH161">
            <v>1243.301607487818</v>
          </cell>
          <cell r="BI161">
            <v>1273.122494752286</v>
          </cell>
          <cell r="BJ161">
            <v>1302.943382016754</v>
          </cell>
          <cell r="BK161">
            <v>1324.1162119745263</v>
          </cell>
          <cell r="BL161">
            <v>1324.1162119745261</v>
          </cell>
          <cell r="BM161">
            <v>1355.8754569111845</v>
          </cell>
          <cell r="BN161">
            <v>1387.634701847843</v>
          </cell>
        </row>
        <row r="162">
          <cell r="A162" t="str">
            <v xml:space="preserve">   Other assets</v>
          </cell>
          <cell r="H162">
            <v>7023.2588366609998</v>
          </cell>
          <cell r="I162">
            <v>3445.288670854</v>
          </cell>
          <cell r="J162">
            <v>2597.3523551790004</v>
          </cell>
          <cell r="K162">
            <v>1984.7455067919991</v>
          </cell>
          <cell r="L162">
            <v>1634.139332257005</v>
          </cell>
          <cell r="M162">
            <v>1715.8462988698552</v>
          </cell>
          <cell r="N162">
            <v>1801.638613813348</v>
          </cell>
          <cell r="O162">
            <v>1891.7205445040154</v>
          </cell>
          <cell r="P162">
            <v>1986.3065717292163</v>
          </cell>
          <cell r="Q162">
            <v>2085.6219003156771</v>
          </cell>
          <cell r="AD162">
            <v>7023.2588366609998</v>
          </cell>
          <cell r="AE162">
            <v>8857.6220823480016</v>
          </cell>
          <cell r="AF162">
            <v>8189.0960712559308</v>
          </cell>
          <cell r="AG162">
            <v>7964.564330332003</v>
          </cell>
          <cell r="AH162">
            <v>3445.288670854</v>
          </cell>
          <cell r="AI162">
            <v>4426.7278069000013</v>
          </cell>
          <cell r="AJ162">
            <v>4328.4023981921891</v>
          </cell>
          <cell r="AK162">
            <v>3404.5641897390005</v>
          </cell>
          <cell r="AL162">
            <v>2597.3523551790004</v>
          </cell>
          <cell r="AM162">
            <v>2312.0906724170009</v>
          </cell>
          <cell r="AN162">
            <v>1653.8114638980007</v>
          </cell>
          <cell r="AO162">
            <v>1655.8901986280007</v>
          </cell>
          <cell r="AP162">
            <v>1984.7455067919991</v>
          </cell>
          <cell r="AQ162">
            <v>1908.2328554670034</v>
          </cell>
          <cell r="AR162">
            <v>1546.803673425002</v>
          </cell>
          <cell r="AS162">
            <v>1842.9112143830032</v>
          </cell>
          <cell r="AT162">
            <v>1634.139332257005</v>
          </cell>
          <cell r="AU162">
            <v>1894.2630966890001</v>
          </cell>
          <cell r="AV162">
            <v>1574.6670663172899</v>
          </cell>
          <cell r="AW162">
            <v>1645.2566825935719</v>
          </cell>
          <cell r="AX162">
            <v>1715.8462988698552</v>
          </cell>
          <cell r="AY162">
            <v>1737.2943776057291</v>
          </cell>
          <cell r="AZ162">
            <v>1737.2943776057291</v>
          </cell>
          <cell r="BA162">
            <v>1769.4664957095392</v>
          </cell>
          <cell r="BB162">
            <v>1801.638613813348</v>
          </cell>
          <cell r="BC162">
            <v>1824.1590964860134</v>
          </cell>
          <cell r="BD162">
            <v>1824.1590964860152</v>
          </cell>
          <cell r="BE162">
            <v>1857.9398204950157</v>
          </cell>
          <cell r="BF162">
            <v>1891.7205445040154</v>
          </cell>
          <cell r="BG162">
            <v>1915.3670513103152</v>
          </cell>
          <cell r="BH162">
            <v>1915.3670513103152</v>
          </cell>
          <cell r="BI162">
            <v>1950.8368115197645</v>
          </cell>
          <cell r="BJ162">
            <v>1986.3065717292163</v>
          </cell>
          <cell r="BK162">
            <v>2011.1354038758309</v>
          </cell>
          <cell r="BL162">
            <v>2011.1354038758309</v>
          </cell>
          <cell r="BM162">
            <v>2048.3786520957547</v>
          </cell>
          <cell r="BN162">
            <v>2085.6219003156771</v>
          </cell>
        </row>
        <row r="163">
          <cell r="A163" t="str">
            <v>Total liabilities</v>
          </cell>
          <cell r="H163">
            <v>17650.999812833001</v>
          </cell>
          <cell r="I163">
            <v>13978.745060193</v>
          </cell>
          <cell r="J163">
            <v>8787.1056658929992</v>
          </cell>
          <cell r="K163">
            <v>7277.7093378500003</v>
          </cell>
          <cell r="L163">
            <v>6624.9121166320001</v>
          </cell>
          <cell r="M163">
            <v>6088.736016965644</v>
          </cell>
          <cell r="N163">
            <v>5550.6085041349452</v>
          </cell>
          <cell r="O163">
            <v>5325.4618409270579</v>
          </cell>
          <cell r="P163">
            <v>5158.718818481344</v>
          </cell>
          <cell r="Q163">
            <v>5058.9434231833447</v>
          </cell>
          <cell r="AD163">
            <v>17650.999812833001</v>
          </cell>
          <cell r="AE163">
            <v>19199.939171094</v>
          </cell>
          <cell r="AF163">
            <v>16437.980328497</v>
          </cell>
          <cell r="AG163">
            <v>14671.190648964999</v>
          </cell>
          <cell r="AH163">
            <v>13978.745060193</v>
          </cell>
          <cell r="AI163">
            <v>12423.565754523999</v>
          </cell>
          <cell r="AJ163">
            <v>11784.193760699811</v>
          </cell>
          <cell r="AK163">
            <v>10841.57304420093</v>
          </cell>
          <cell r="AL163">
            <v>8787.1056658929992</v>
          </cell>
          <cell r="AM163">
            <v>7728.1017176309997</v>
          </cell>
          <cell r="AN163">
            <v>7468.2801931289996</v>
          </cell>
          <cell r="AO163">
            <v>7140.471698789207</v>
          </cell>
          <cell r="AP163">
            <v>7277.7093378500003</v>
          </cell>
          <cell r="AQ163">
            <v>7348.9114591369998</v>
          </cell>
          <cell r="AR163">
            <v>6923.5451695385</v>
          </cell>
          <cell r="AS163">
            <v>7081.7263953251504</v>
          </cell>
          <cell r="AT163">
            <v>6624.9121166320001</v>
          </cell>
          <cell r="AU163">
            <v>5985.5677121480003</v>
          </cell>
          <cell r="AV163">
            <v>5608.3306992873531</v>
          </cell>
          <cell r="AW163">
            <v>5563.0905420675235</v>
          </cell>
          <cell r="AX163">
            <v>6091.899736322719</v>
          </cell>
          <cell r="AY163">
            <v>5960.9095079225126</v>
          </cell>
          <cell r="AZ163">
            <v>5666.952573902593</v>
          </cell>
          <cell r="BA163">
            <v>5611.5429486331304</v>
          </cell>
          <cell r="BB163">
            <v>5553.7722234920202</v>
          </cell>
          <cell r="BC163">
            <v>5468.3038981449317</v>
          </cell>
          <cell r="BD163">
            <v>5249.2182433830976</v>
          </cell>
          <cell r="BE163">
            <v>5284.4577378976082</v>
          </cell>
          <cell r="BF163">
            <v>5328.6255602841329</v>
          </cell>
          <cell r="BG163">
            <v>5289.6178231746217</v>
          </cell>
          <cell r="BH163">
            <v>5067.3422875154592</v>
          </cell>
          <cell r="BI163">
            <v>5115.5050855109102</v>
          </cell>
          <cell r="BJ163">
            <v>5161.8825378384181</v>
          </cell>
          <cell r="BK163">
            <v>5134.3164625641239</v>
          </cell>
          <cell r="BL163">
            <v>4912.0409269049615</v>
          </cell>
          <cell r="BM163">
            <v>4977.3662176532389</v>
          </cell>
          <cell r="BN163">
            <v>5062.107142540418</v>
          </cell>
        </row>
        <row r="164">
          <cell r="A164" t="str">
            <v xml:space="preserve">   Interest bearing liabilities</v>
          </cell>
          <cell r="H164">
            <v>15431.588687936999</v>
          </cell>
          <cell r="I164">
            <v>12436.375434269999</v>
          </cell>
          <cell r="J164">
            <v>7741.8698959120002</v>
          </cell>
          <cell r="K164">
            <v>6073.6267917449995</v>
          </cell>
          <cell r="L164">
            <v>5136.2042644860003</v>
          </cell>
          <cell r="M164">
            <v>4525.5927722123442</v>
          </cell>
          <cell r="N164">
            <v>3909.3080971439804</v>
          </cell>
          <cell r="O164">
            <v>3602.0964135865452</v>
          </cell>
          <cell r="P164">
            <v>3349.1851197738051</v>
          </cell>
          <cell r="Q164">
            <v>3158.933039540429</v>
          </cell>
          <cell r="AD164">
            <v>15431.588687936999</v>
          </cell>
          <cell r="AE164">
            <v>16825.921807940998</v>
          </cell>
          <cell r="AF164">
            <v>14390.429907538</v>
          </cell>
          <cell r="AG164">
            <v>12645.649348079</v>
          </cell>
          <cell r="AH164">
            <v>12436.375434269999</v>
          </cell>
          <cell r="AI164">
            <v>11131.660050217999</v>
          </cell>
          <cell r="AJ164">
            <v>10485.684456307999</v>
          </cell>
          <cell r="AK164">
            <v>9550.5312251969299</v>
          </cell>
          <cell r="AL164">
            <v>7741.8698959120002</v>
          </cell>
          <cell r="AM164">
            <v>6519.9840691030013</v>
          </cell>
          <cell r="AN164">
            <v>6474.3224769599892</v>
          </cell>
          <cell r="AO164">
            <v>6125.9806272919623</v>
          </cell>
          <cell r="AP164">
            <v>6073.6267917449995</v>
          </cell>
          <cell r="AQ164">
            <v>5989.1297374360001</v>
          </cell>
          <cell r="AR164">
            <v>5620.5320697349998</v>
          </cell>
          <cell r="AS164">
            <v>5575.3522794759992</v>
          </cell>
          <cell r="AT164">
            <v>5136.2042644860003</v>
          </cell>
          <cell r="AU164">
            <v>4490.7603060679994</v>
          </cell>
          <cell r="AV164">
            <v>5147.8150865341149</v>
          </cell>
          <cell r="AW164">
            <v>4836.7039293732296</v>
          </cell>
          <cell r="AX164">
            <v>4525.5927722123442</v>
          </cell>
          <cell r="AY164">
            <v>4371.5216034452533</v>
          </cell>
          <cell r="AZ164">
            <v>4371.5216034452533</v>
          </cell>
          <cell r="BA164">
            <v>4140.4148502946173</v>
          </cell>
          <cell r="BB164">
            <v>3909.3080971439804</v>
          </cell>
          <cell r="BC164">
            <v>3832.5051762546218</v>
          </cell>
          <cell r="BD164">
            <v>3832.5051762546213</v>
          </cell>
          <cell r="BE164">
            <v>3717.300794920583</v>
          </cell>
          <cell r="BF164">
            <v>3602.0964135865452</v>
          </cell>
          <cell r="BG164">
            <v>3538.8685901333602</v>
          </cell>
          <cell r="BH164">
            <v>3538.8685901333602</v>
          </cell>
          <cell r="BI164">
            <v>3444.0268549535826</v>
          </cell>
          <cell r="BJ164">
            <v>3349.1851197738051</v>
          </cell>
          <cell r="BK164">
            <v>3301.622099715461</v>
          </cell>
          <cell r="BL164">
            <v>3301.622099715461</v>
          </cell>
          <cell r="BM164">
            <v>3230.277569627945</v>
          </cell>
          <cell r="BN164">
            <v>3158.933039540429</v>
          </cell>
        </row>
        <row r="165">
          <cell r="A165" t="str">
            <v xml:space="preserve">   Other liabilities</v>
          </cell>
          <cell r="H165">
            <v>2219.4111248960016</v>
          </cell>
          <cell r="I165">
            <v>1542.3696259230001</v>
          </cell>
          <cell r="J165">
            <v>1045.2357699809991</v>
          </cell>
          <cell r="K165">
            <v>1204.0825461050008</v>
          </cell>
          <cell r="L165">
            <v>1488.7078521459998</v>
          </cell>
          <cell r="M165">
            <v>1563.1432447533</v>
          </cell>
          <cell r="N165">
            <v>1641.3004069909648</v>
          </cell>
          <cell r="O165">
            <v>1723.365427340513</v>
          </cell>
          <cell r="P165">
            <v>1809.5336987075386</v>
          </cell>
          <cell r="Q165">
            <v>1900.0103836429157</v>
          </cell>
          <cell r="AD165">
            <v>2219.4111248960016</v>
          </cell>
          <cell r="AE165">
            <v>2374.0173631530015</v>
          </cell>
          <cell r="AF165">
            <v>2047.5504209589999</v>
          </cell>
          <cell r="AG165">
            <v>2025.5413008859996</v>
          </cell>
          <cell r="AH165">
            <v>1542.3696259230001</v>
          </cell>
          <cell r="AI165">
            <v>1291.9057043060002</v>
          </cell>
          <cell r="AJ165">
            <v>1298.5093043918114</v>
          </cell>
          <cell r="AK165">
            <v>1291.041819004</v>
          </cell>
          <cell r="AL165">
            <v>1045.2357699809991</v>
          </cell>
          <cell r="AM165">
            <v>1208.1176485279984</v>
          </cell>
          <cell r="AN165">
            <v>993.95771616901038</v>
          </cell>
          <cell r="AO165">
            <v>1014.4910714972448</v>
          </cell>
          <cell r="AP165">
            <v>1204.0825461050008</v>
          </cell>
          <cell r="AQ165">
            <v>1359.7817217009997</v>
          </cell>
          <cell r="AR165">
            <v>1303.0130998035002</v>
          </cell>
          <cell r="AS165">
            <v>1506.3741158491512</v>
          </cell>
          <cell r="AT165">
            <v>1488.7078521459998</v>
          </cell>
          <cell r="AU165">
            <v>1494.8074060800009</v>
          </cell>
          <cell r="AV165">
            <v>460.5156127532382</v>
          </cell>
          <cell r="AW165">
            <v>726.38661269429394</v>
          </cell>
          <cell r="AX165">
            <v>1563.1432447533</v>
          </cell>
          <cell r="AY165">
            <v>1589.3879044772593</v>
          </cell>
          <cell r="AZ165">
            <v>1295.4309704573398</v>
          </cell>
          <cell r="BA165">
            <v>1471.1280983385132</v>
          </cell>
          <cell r="BB165">
            <v>1641.3004069909648</v>
          </cell>
          <cell r="BC165">
            <v>1635.7987218903099</v>
          </cell>
          <cell r="BD165">
            <v>1416.7130671284763</v>
          </cell>
          <cell r="BE165">
            <v>1567.1569429770252</v>
          </cell>
          <cell r="BF165">
            <v>1723.365427340513</v>
          </cell>
          <cell r="BG165">
            <v>1750.7492330412615</v>
          </cell>
          <cell r="BH165">
            <v>1528.4736973820991</v>
          </cell>
          <cell r="BI165">
            <v>1671.4782305573276</v>
          </cell>
          <cell r="BJ165">
            <v>1809.5336987075386</v>
          </cell>
          <cell r="BK165">
            <v>1832.6943628486629</v>
          </cell>
          <cell r="BL165">
            <v>1610.4188271895005</v>
          </cell>
          <cell r="BM165">
            <v>1747.0886480252939</v>
          </cell>
          <cell r="BN165">
            <v>1900.0103836429157</v>
          </cell>
        </row>
        <row r="166">
          <cell r="A166" t="str">
            <v>Total shareholders' equity</v>
          </cell>
          <cell r="H166">
            <v>1774.7096302599998</v>
          </cell>
          <cell r="I166">
            <v>-3213.1874405450003</v>
          </cell>
          <cell r="J166">
            <v>-569.74756886900013</v>
          </cell>
          <cell r="K166">
            <v>1806.5243860790001</v>
          </cell>
          <cell r="L166">
            <v>3020.569613836075</v>
          </cell>
          <cell r="M166">
            <v>4190.6504057315578</v>
          </cell>
          <cell r="N166">
            <v>5371.2003415545278</v>
          </cell>
          <cell r="O166">
            <v>6279.2400005250283</v>
          </cell>
          <cell r="P166">
            <v>7171.912834497567</v>
          </cell>
          <cell r="Q166">
            <v>8043.3846886632573</v>
          </cell>
          <cell r="AD166">
            <v>1774.7096302599998</v>
          </cell>
          <cell r="AE166">
            <v>1372.851207737586</v>
          </cell>
          <cell r="AF166">
            <v>1385.1122380229299</v>
          </cell>
          <cell r="AG166">
            <v>1131.406452168</v>
          </cell>
          <cell r="AH166">
            <v>-3213.1874405450003</v>
          </cell>
          <cell r="AI166">
            <v>-294.12989189399968</v>
          </cell>
          <cell r="AJ166">
            <v>-831.48120974748281</v>
          </cell>
          <cell r="AK166">
            <v>-891.2886887009297</v>
          </cell>
          <cell r="AL166">
            <v>-569.74756886900013</v>
          </cell>
          <cell r="AM166">
            <v>726.07897010399995</v>
          </cell>
          <cell r="AN166">
            <v>1209.05499791125</v>
          </cell>
          <cell r="AO166">
            <v>1576.9842231526156</v>
          </cell>
          <cell r="AP166">
            <v>1806.5243860790001</v>
          </cell>
          <cell r="AQ166">
            <v>2166.9916445950003</v>
          </cell>
          <cell r="AR166">
            <v>2458.5447868049846</v>
          </cell>
          <cell r="AS166">
            <v>2769.3877216368501</v>
          </cell>
          <cell r="AT166">
            <v>3020.569613836075</v>
          </cell>
          <cell r="AU166">
            <v>3882.8053631360003</v>
          </cell>
          <cell r="AV166">
            <v>4174.1554803179752</v>
          </cell>
          <cell r="AW166">
            <v>4467.8457590837415</v>
          </cell>
          <cell r="AX166">
            <v>4187.4866863744828</v>
          </cell>
          <cell r="AY166">
            <v>4479.0825205227566</v>
          </cell>
          <cell r="AZ166">
            <v>4773.0394545426761</v>
          </cell>
          <cell r="BA166">
            <v>5069.3574884342415</v>
          </cell>
          <cell r="BB166">
            <v>5368.0366221974527</v>
          </cell>
          <cell r="BC166">
            <v>5624.2281964851936</v>
          </cell>
          <cell r="BD166">
            <v>5843.3138512470296</v>
          </cell>
          <cell r="BE166">
            <v>6064.1592301434994</v>
          </cell>
          <cell r="BF166">
            <v>6276.0762811679533</v>
          </cell>
          <cell r="BG166">
            <v>6496.5664711591708</v>
          </cell>
          <cell r="BH166">
            <v>6718.8420068183332</v>
          </cell>
          <cell r="BI166">
            <v>6942.9028881454406</v>
          </cell>
          <cell r="BJ166">
            <v>7168.7491151404929</v>
          </cell>
          <cell r="BK166">
            <v>7389.2393051317104</v>
          </cell>
          <cell r="BL166">
            <v>7611.5148407908728</v>
          </cell>
          <cell r="BM166">
            <v>7835.5757221179801</v>
          </cell>
          <cell r="BN166">
            <v>8040.2209693061841</v>
          </cell>
        </row>
        <row r="167">
          <cell r="A167" t="str">
            <v xml:space="preserve">   Paid-in Capital</v>
          </cell>
          <cell r="H167">
            <v>370</v>
          </cell>
          <cell r="I167">
            <v>785.98911999999996</v>
          </cell>
          <cell r="J167">
            <v>2585.58961</v>
          </cell>
          <cell r="K167">
            <v>626.84701500000006</v>
          </cell>
          <cell r="L167">
            <v>626.84701500000006</v>
          </cell>
          <cell r="M167">
            <v>626.84701500000006</v>
          </cell>
          <cell r="N167">
            <v>626.84701500000006</v>
          </cell>
          <cell r="O167">
            <v>626.84701500000006</v>
          </cell>
          <cell r="P167">
            <v>626.84701500000006</v>
          </cell>
          <cell r="Q167">
            <v>626.84701500000006</v>
          </cell>
          <cell r="AD167">
            <v>370</v>
          </cell>
          <cell r="AE167">
            <v>370</v>
          </cell>
          <cell r="AF167">
            <v>595</v>
          </cell>
          <cell r="AG167">
            <v>595</v>
          </cell>
          <cell r="AH167">
            <v>785.98911999999996</v>
          </cell>
          <cell r="AI167">
            <v>1739.88912</v>
          </cell>
          <cell r="AJ167">
            <v>40.08961</v>
          </cell>
          <cell r="AK167">
            <v>2585.58961</v>
          </cell>
          <cell r="AL167">
            <v>2585.58961</v>
          </cell>
          <cell r="AM167">
            <v>626.84701500000006</v>
          </cell>
          <cell r="AN167">
            <v>626.84701500000006</v>
          </cell>
          <cell r="AO167">
            <v>626.84701500000006</v>
          </cell>
          <cell r="AP167">
            <v>626.84701500000006</v>
          </cell>
          <cell r="AQ167">
            <v>626.84701500000006</v>
          </cell>
          <cell r="AR167">
            <v>626.84701500000006</v>
          </cell>
          <cell r="AS167">
            <v>626.84701500000006</v>
          </cell>
          <cell r="AT167">
            <v>626.84701500000006</v>
          </cell>
          <cell r="AU167">
            <v>626.84701500000006</v>
          </cell>
          <cell r="AV167">
            <v>626.84701500000006</v>
          </cell>
          <cell r="AW167">
            <v>626.84701500000006</v>
          </cell>
          <cell r="AX167">
            <v>626.84701500000006</v>
          </cell>
          <cell r="AY167">
            <v>626.84701500000006</v>
          </cell>
          <cell r="AZ167">
            <v>626.84701500000006</v>
          </cell>
          <cell r="BA167">
            <v>626.84701500000006</v>
          </cell>
          <cell r="BB167">
            <v>626.84701500000006</v>
          </cell>
          <cell r="BC167">
            <v>626.84701500000006</v>
          </cell>
          <cell r="BD167">
            <v>626.84701500000006</v>
          </cell>
          <cell r="BE167">
            <v>626.84701500000006</v>
          </cell>
          <cell r="BF167">
            <v>626.84701500000006</v>
          </cell>
          <cell r="BG167">
            <v>626.84701500000006</v>
          </cell>
          <cell r="BH167">
            <v>626.84701500000006</v>
          </cell>
          <cell r="BI167">
            <v>626.84701500000006</v>
          </cell>
          <cell r="BJ167">
            <v>626.84701500000006</v>
          </cell>
          <cell r="BK167">
            <v>626.84701500000006</v>
          </cell>
          <cell r="BL167">
            <v>626.84701500000006</v>
          </cell>
          <cell r="BM167">
            <v>626.84701500000006</v>
          </cell>
          <cell r="BN167">
            <v>626.84701500000006</v>
          </cell>
        </row>
        <row r="168">
          <cell r="A168" t="str">
            <v xml:space="preserve">   Capital surplus</v>
          </cell>
          <cell r="H168">
            <v>260.152644802</v>
          </cell>
          <cell r="I168">
            <v>451.66445785600001</v>
          </cell>
          <cell r="J168">
            <v>1713.4845303029999</v>
          </cell>
          <cell r="K168">
            <v>2830.0516641889999</v>
          </cell>
          <cell r="L168">
            <v>1378.029722148</v>
          </cell>
          <cell r="M168">
            <v>1378.029722148</v>
          </cell>
          <cell r="N168">
            <v>1378.029722148</v>
          </cell>
          <cell r="O168">
            <v>1378.029722148</v>
          </cell>
          <cell r="P168">
            <v>1378.029722148</v>
          </cell>
          <cell r="Q168">
            <v>1378.029722148</v>
          </cell>
          <cell r="AD168">
            <v>260.152644802</v>
          </cell>
          <cell r="AE168">
            <v>260.152644802</v>
          </cell>
          <cell r="AF168">
            <v>421.21136038200001</v>
          </cell>
          <cell r="AG168">
            <v>430.86824440700002</v>
          </cell>
          <cell r="AH168">
            <v>451.66445785600001</v>
          </cell>
          <cell r="AI168">
            <v>13.685020303</v>
          </cell>
          <cell r="AJ168">
            <v>1713.4845303029999</v>
          </cell>
          <cell r="AK168">
            <v>1713.4845303029999</v>
          </cell>
          <cell r="AL168">
            <v>1713.4845303029999</v>
          </cell>
          <cell r="AM168">
            <v>2830.0516641889999</v>
          </cell>
          <cell r="AN168">
            <v>2830.0516641889999</v>
          </cell>
          <cell r="AO168">
            <v>2830.0516641889999</v>
          </cell>
          <cell r="AP168">
            <v>2830.0516641889999</v>
          </cell>
          <cell r="AQ168">
            <v>1378.029722148</v>
          </cell>
          <cell r="AR168">
            <v>1378.029722148</v>
          </cell>
          <cell r="AS168">
            <v>1378.029722148</v>
          </cell>
          <cell r="AT168">
            <v>1378.029722148</v>
          </cell>
          <cell r="AU168">
            <v>1378.029722148</v>
          </cell>
          <cell r="AV168">
            <v>1378.029722148</v>
          </cell>
          <cell r="AW168">
            <v>1378.029722148</v>
          </cell>
          <cell r="AX168">
            <v>1378.029722148</v>
          </cell>
          <cell r="AY168">
            <v>1378.029722148</v>
          </cell>
          <cell r="AZ168">
            <v>1378.029722148</v>
          </cell>
          <cell r="BA168">
            <v>1378.029722148</v>
          </cell>
          <cell r="BB168">
            <v>1378.029722148</v>
          </cell>
          <cell r="BC168">
            <v>1378.029722148</v>
          </cell>
          <cell r="BD168">
            <v>1378.029722148</v>
          </cell>
          <cell r="BE168">
            <v>1378.029722148</v>
          </cell>
          <cell r="BF168">
            <v>1378.029722148</v>
          </cell>
          <cell r="BG168">
            <v>1378.029722148</v>
          </cell>
          <cell r="BH168">
            <v>1378.029722148</v>
          </cell>
          <cell r="BI168">
            <v>1378.029722148</v>
          </cell>
          <cell r="BJ168">
            <v>1378.029722148</v>
          </cell>
          <cell r="BK168">
            <v>1378.029722148</v>
          </cell>
          <cell r="BL168">
            <v>1378.029722148</v>
          </cell>
          <cell r="BM168">
            <v>1378.029722148</v>
          </cell>
          <cell r="BN168">
            <v>1378.029722148</v>
          </cell>
        </row>
        <row r="169">
          <cell r="A169" t="str">
            <v xml:space="preserve">   Retained earnings</v>
          </cell>
          <cell r="H169">
            <v>1163.6129794149999</v>
          </cell>
          <cell r="I169">
            <v>-4435.1980536370002</v>
          </cell>
          <cell r="J169">
            <v>-4516.7985270469999</v>
          </cell>
          <cell r="K169">
            <v>-1449.4809161410001</v>
          </cell>
          <cell r="L169">
            <v>1193.679248018901</v>
          </cell>
          <cell r="M169">
            <v>2363.7600399143848</v>
          </cell>
          <cell r="N169">
            <v>3544.3099757373543</v>
          </cell>
          <cell r="O169">
            <v>4452.3496347078553</v>
          </cell>
          <cell r="P169">
            <v>5345.022468680394</v>
          </cell>
          <cell r="Q169">
            <v>6216.4943228460843</v>
          </cell>
          <cell r="AD169">
            <v>1163.6129794149999</v>
          </cell>
          <cell r="AE169">
            <v>779.09310576058601</v>
          </cell>
          <cell r="AF169">
            <v>416.7602947570121</v>
          </cell>
          <cell r="AG169">
            <v>146.810406164</v>
          </cell>
          <cell r="AH169">
            <v>-4435.1980536370002</v>
          </cell>
          <cell r="AI169">
            <v>-4314.1140299239996</v>
          </cell>
          <cell r="AJ169">
            <v>-4795.7987882844827</v>
          </cell>
          <cell r="AK169">
            <v>-4842.5866778189293</v>
          </cell>
          <cell r="AL169">
            <v>-4516.7985270469999</v>
          </cell>
          <cell r="AM169">
            <v>-2520.7832039469999</v>
          </cell>
          <cell r="AN169">
            <v>-2040.99148868775</v>
          </cell>
          <cell r="AO169">
            <v>-1677.5980877623845</v>
          </cell>
          <cell r="AP169">
            <v>-1449.4809161410001</v>
          </cell>
          <cell r="AQ169">
            <v>353.57640766700001</v>
          </cell>
          <cell r="AR169">
            <v>640.56436855498441</v>
          </cell>
          <cell r="AS169">
            <v>949.22887898385</v>
          </cell>
          <cell r="AT169">
            <v>1193.679248018901</v>
          </cell>
          <cell r="AU169">
            <v>1868.334677757</v>
          </cell>
          <cell r="AV169">
            <v>2159.6847949389753</v>
          </cell>
          <cell r="AW169">
            <v>2453.3750737047417</v>
          </cell>
          <cell r="AX169">
            <v>2173.0160009954834</v>
          </cell>
          <cell r="AY169">
            <v>2464.6118351437572</v>
          </cell>
          <cell r="AZ169">
            <v>2758.5687691636767</v>
          </cell>
          <cell r="BA169">
            <v>3054.8868030552421</v>
          </cell>
          <cell r="BB169">
            <v>3353.5659368184533</v>
          </cell>
          <cell r="BC169">
            <v>3609.7575111061938</v>
          </cell>
          <cell r="BD169">
            <v>3828.8431658680302</v>
          </cell>
          <cell r="BE169">
            <v>4049.6885447644995</v>
          </cell>
          <cell r="BF169">
            <v>4261.6055957889539</v>
          </cell>
          <cell r="BG169">
            <v>4482.0957857801714</v>
          </cell>
          <cell r="BH169">
            <v>4704.3713214393338</v>
          </cell>
          <cell r="BI169">
            <v>4928.4322027664412</v>
          </cell>
          <cell r="BJ169">
            <v>5154.2784297614935</v>
          </cell>
          <cell r="BK169">
            <v>5374.7686197527109</v>
          </cell>
          <cell r="BL169">
            <v>5597.0441554118734</v>
          </cell>
          <cell r="BM169">
            <v>5821.1050367389807</v>
          </cell>
          <cell r="BN169">
            <v>6025.7502839271847</v>
          </cell>
        </row>
        <row r="170">
          <cell r="A170" t="str">
            <v xml:space="preserve">   Capital adjustment</v>
          </cell>
          <cell r="H170">
            <v>-19.055993956999998</v>
          </cell>
          <cell r="I170">
            <v>-15.642964764</v>
          </cell>
          <cell r="J170">
            <v>-352.02318212500001</v>
          </cell>
          <cell r="K170">
            <v>-200.893376969</v>
          </cell>
          <cell r="L170">
            <v>-177.98637133082656</v>
          </cell>
          <cell r="M170">
            <v>-177.98637133082656</v>
          </cell>
          <cell r="N170">
            <v>-177.98637133082656</v>
          </cell>
          <cell r="O170">
            <v>-177.98637133082656</v>
          </cell>
          <cell r="P170">
            <v>-177.98637133082656</v>
          </cell>
          <cell r="Q170">
            <v>-177.98637133082656</v>
          </cell>
          <cell r="AD170">
            <v>-19.055993956999998</v>
          </cell>
          <cell r="AE170">
            <v>-36.394542825000002</v>
          </cell>
          <cell r="AF170">
            <v>-47.859417116082362</v>
          </cell>
          <cell r="AG170">
            <v>-41.272198402999997</v>
          </cell>
          <cell r="AH170">
            <v>-15.642964764</v>
          </cell>
          <cell r="AI170">
            <v>2266.4099977269998</v>
          </cell>
          <cell r="AJ170">
            <v>2210.7434382340002</v>
          </cell>
          <cell r="AK170">
            <v>-347.776151185</v>
          </cell>
          <cell r="AL170">
            <v>-352.02318212500001</v>
          </cell>
          <cell r="AM170">
            <v>-210.036505138</v>
          </cell>
          <cell r="AN170">
            <v>-206.85219258999999</v>
          </cell>
          <cell r="AO170">
            <v>-202.31636827400001</v>
          </cell>
          <cell r="AP170">
            <v>-200.893376969</v>
          </cell>
          <cell r="AQ170">
            <v>-191.46150022</v>
          </cell>
          <cell r="AR170">
            <v>-186.896318898</v>
          </cell>
          <cell r="AS170">
            <v>-184.717894495</v>
          </cell>
          <cell r="AT170">
            <v>-177.98637133082656</v>
          </cell>
          <cell r="AU170">
            <v>9.5939482310000006</v>
          </cell>
          <cell r="AV170">
            <v>9.5939482310000006</v>
          </cell>
          <cell r="AW170">
            <v>9.5939482310000006</v>
          </cell>
          <cell r="AX170">
            <v>9.5939482310000006</v>
          </cell>
          <cell r="AY170">
            <v>9.5939482310000006</v>
          </cell>
          <cell r="AZ170">
            <v>9.5939482310000006</v>
          </cell>
          <cell r="BA170">
            <v>9.5939482310000006</v>
          </cell>
          <cell r="BB170">
            <v>9.5939482310000006</v>
          </cell>
          <cell r="BC170">
            <v>9.5939482310000006</v>
          </cell>
          <cell r="BD170">
            <v>9.5939482310000006</v>
          </cell>
          <cell r="BE170">
            <v>9.5939482310000006</v>
          </cell>
          <cell r="BF170">
            <v>9.5939482310000006</v>
          </cell>
          <cell r="BG170">
            <v>9.5939482310000006</v>
          </cell>
          <cell r="BH170">
            <v>9.5939482310000006</v>
          </cell>
          <cell r="BI170">
            <v>9.5939482310000006</v>
          </cell>
          <cell r="BJ170">
            <v>9.5939482310000006</v>
          </cell>
          <cell r="BK170">
            <v>9.5939482310000006</v>
          </cell>
          <cell r="BL170">
            <v>9.5939482310000006</v>
          </cell>
          <cell r="BM170">
            <v>9.5939482310000006</v>
          </cell>
          <cell r="BN170">
            <v>9.5939482310000006</v>
          </cell>
        </row>
        <row r="172">
          <cell r="A172" t="str">
            <v>Balance sheet (Managed)</v>
          </cell>
        </row>
        <row r="173">
          <cell r="A173" t="str">
            <v>Total assets</v>
          </cell>
          <cell r="H173">
            <v>33784.023648237999</v>
          </cell>
          <cell r="I173">
            <v>17488.753342242999</v>
          </cell>
          <cell r="J173">
            <v>12372.647515225</v>
          </cell>
          <cell r="K173">
            <v>11938.167895600509</v>
          </cell>
          <cell r="L173">
            <v>12336.656306016757</v>
          </cell>
          <cell r="M173">
            <v>13149.198569444059</v>
          </cell>
          <cell r="N173">
            <v>13980.072612782911</v>
          </cell>
          <cell r="O173">
            <v>14863.76227575504</v>
          </cell>
          <cell r="P173">
            <v>15803.641013977418</v>
          </cell>
          <cell r="Q173">
            <v>16803.298579699167</v>
          </cell>
          <cell r="AD173">
            <v>33784.023648237999</v>
          </cell>
          <cell r="AE173">
            <v>34084.649993316591</v>
          </cell>
          <cell r="AF173">
            <v>29913.593266764543</v>
          </cell>
          <cell r="AG173">
            <v>26054.161063340001</v>
          </cell>
          <cell r="AH173">
            <v>17488.753342242999</v>
          </cell>
          <cell r="AI173">
            <v>17224.177455721001</v>
          </cell>
          <cell r="AJ173">
            <v>15492.807988232602</v>
          </cell>
          <cell r="AK173">
            <v>13583.160505000467</v>
          </cell>
          <cell r="AL173">
            <v>12372.647515225</v>
          </cell>
          <cell r="AM173">
            <v>11852.102733154001</v>
          </cell>
          <cell r="AN173">
            <v>11428.82305093025</v>
          </cell>
          <cell r="AO173">
            <v>11467.023444456001</v>
          </cell>
          <cell r="AP173">
            <v>11938.167895600509</v>
          </cell>
          <cell r="AQ173">
            <v>12243.7056119836</v>
          </cell>
          <cell r="AR173">
            <v>12132.138458926496</v>
          </cell>
          <cell r="AS173">
            <v>12656.720870173276</v>
          </cell>
          <cell r="AT173">
            <v>12336.656306016757</v>
          </cell>
          <cell r="AU173">
            <v>12533.661963597</v>
          </cell>
          <cell r="AV173">
            <v>12541.835174632444</v>
          </cell>
          <cell r="AW173">
            <v>12845.516872038252</v>
          </cell>
          <cell r="AX173">
            <v>13149.198569444059</v>
          </cell>
          <cell r="AY173">
            <v>13356.917080278772</v>
          </cell>
          <cell r="AZ173">
            <v>13356.917080278772</v>
          </cell>
          <cell r="BA173">
            <v>13668.494846530841</v>
          </cell>
          <cell r="BB173">
            <v>13980.072612782911</v>
          </cell>
          <cell r="BC173">
            <v>14200.995028525944</v>
          </cell>
          <cell r="BD173">
            <v>14200.995028525944</v>
          </cell>
          <cell r="BE173">
            <v>14532.378652140491</v>
          </cell>
          <cell r="BF173">
            <v>14863.76227575504</v>
          </cell>
          <cell r="BG173">
            <v>15098.731960310633</v>
          </cell>
          <cell r="BH173">
            <v>15098.731960310635</v>
          </cell>
          <cell r="BI173">
            <v>15451.186487144027</v>
          </cell>
          <cell r="BJ173">
            <v>15803.641013977418</v>
          </cell>
          <cell r="BK173">
            <v>16053.555405407855</v>
          </cell>
          <cell r="BL173">
            <v>16053.555405407855</v>
          </cell>
          <cell r="BM173">
            <v>16428.426992553512</v>
          </cell>
          <cell r="BN173">
            <v>16803.298579699167</v>
          </cell>
        </row>
        <row r="174">
          <cell r="A174" t="str">
            <v xml:space="preserve">   IEA</v>
          </cell>
          <cell r="H174">
            <v>33542.835446251003</v>
          </cell>
          <cell r="I174">
            <v>21129.175706642</v>
          </cell>
          <cell r="J174">
            <v>12191.570449344999</v>
          </cell>
          <cell r="K174">
            <v>11246.288696866</v>
          </cell>
          <cell r="L174">
            <v>11928.949069917</v>
          </cell>
          <cell r="M174">
            <v>12704.330759461605</v>
          </cell>
          <cell r="N174">
            <v>13530.11225882661</v>
          </cell>
          <cell r="O174">
            <v>14409.569555650338</v>
          </cell>
          <cell r="P174">
            <v>15346.191576767609</v>
          </cell>
          <cell r="Q174">
            <v>16343.694029257504</v>
          </cell>
          <cell r="AD174">
            <v>33542.835446251003</v>
          </cell>
          <cell r="AE174">
            <v>32293.532561083</v>
          </cell>
          <cell r="AF174">
            <v>27839.229362406</v>
          </cell>
          <cell r="AG174">
            <v>24862.888205915002</v>
          </cell>
          <cell r="AH174">
            <v>21129.175706642</v>
          </cell>
          <cell r="AI174">
            <v>17481.811230675743</v>
          </cell>
          <cell r="AJ174">
            <v>15389.262216839807</v>
          </cell>
          <cell r="AK174">
            <v>13828.691387755744</v>
          </cell>
          <cell r="AL174">
            <v>12191.570449344999</v>
          </cell>
          <cell r="AM174">
            <v>11002.361199977</v>
          </cell>
          <cell r="AN174">
            <v>10711.834970256999</v>
          </cell>
          <cell r="AO174">
            <v>10695.290453112</v>
          </cell>
          <cell r="AP174">
            <v>11246.288696866</v>
          </cell>
          <cell r="AQ174">
            <v>11621.088525367</v>
          </cell>
          <cell r="AR174">
            <v>11868.824092519</v>
          </cell>
          <cell r="AS174">
            <v>12029.755763561001</v>
          </cell>
          <cell r="AT174">
            <v>11928.949069917</v>
          </cell>
          <cell r="AU174">
            <v>11692.806925130999</v>
          </cell>
          <cell r="AV174">
            <v>12266.123681360536</v>
          </cell>
          <cell r="AW174">
            <v>12485.22722041107</v>
          </cell>
          <cell r="AX174">
            <v>12704.330759461605</v>
          </cell>
          <cell r="AY174">
            <v>12910.776134302856</v>
          </cell>
          <cell r="AZ174">
            <v>12910.776134302856</v>
          </cell>
          <cell r="BA174">
            <v>13220.444196564733</v>
          </cell>
          <cell r="BB174">
            <v>13530.11225882661</v>
          </cell>
          <cell r="BC174">
            <v>13749.976583032541</v>
          </cell>
          <cell r="BD174">
            <v>13749.976583032541</v>
          </cell>
          <cell r="BE174">
            <v>14079.77306934144</v>
          </cell>
          <cell r="BF174">
            <v>14409.569555650338</v>
          </cell>
          <cell r="BG174">
            <v>14643.725060929655</v>
          </cell>
          <cell r="BH174">
            <v>14643.725060929655</v>
          </cell>
          <cell r="BI174">
            <v>14994.958318848632</v>
          </cell>
          <cell r="BJ174">
            <v>15346.191576767609</v>
          </cell>
          <cell r="BK174">
            <v>15595.567189890084</v>
          </cell>
          <cell r="BL174">
            <v>15595.567189890082</v>
          </cell>
          <cell r="BM174">
            <v>15969.630609573793</v>
          </cell>
          <cell r="BN174">
            <v>16343.694029257504</v>
          </cell>
        </row>
        <row r="175">
          <cell r="A175" t="str">
            <v xml:space="preserve">      Growth</v>
          </cell>
          <cell r="H175" t="str">
            <v>NA</v>
          </cell>
          <cell r="I175">
            <v>-0.37008379209624764</v>
          </cell>
          <cell r="J175">
            <v>-0.42299829304213921</v>
          </cell>
          <cell r="K175">
            <v>-7.7535683889665363E-2</v>
          </cell>
          <cell r="L175">
            <v>6.0700946903598174E-2</v>
          </cell>
          <cell r="M175">
            <v>6.4999999999999947E-2</v>
          </cell>
          <cell r="N175">
            <v>6.4999999999999947E-2</v>
          </cell>
          <cell r="O175">
            <v>6.4999999999999947E-2</v>
          </cell>
          <cell r="P175">
            <v>6.4999999999999947E-2</v>
          </cell>
          <cell r="Q175">
            <v>6.4999999999999947E-2</v>
          </cell>
          <cell r="Y175">
            <v>6.5000000000000002E-2</v>
          </cell>
          <cell r="AD175" t="str">
            <v>NA</v>
          </cell>
          <cell r="AE175">
            <v>7.5266659788124191E-2</v>
          </cell>
          <cell r="AF175">
            <v>-0.10835897069877676</v>
          </cell>
          <cell r="AG175">
            <v>-0.24673583523221954</v>
          </cell>
          <cell r="AH175">
            <v>-0.37008379209624764</v>
          </cell>
          <cell r="AI175">
            <v>-0.45865906129628231</v>
          </cell>
          <cell r="AJ175">
            <v>-0.44720947492815966</v>
          </cell>
          <cell r="AK175">
            <v>-0.44380189166977668</v>
          </cell>
          <cell r="AL175">
            <v>-0.42299829304213921</v>
          </cell>
          <cell r="AM175">
            <v>-0.37063951470480938</v>
          </cell>
          <cell r="AN175">
            <v>-0.30394096745355992</v>
          </cell>
          <cell r="AO175">
            <v>-0.22658694498151377</v>
          </cell>
          <cell r="AP175">
            <v>-7.7535683889665363E-2</v>
          </cell>
          <cell r="AQ175">
            <v>5.6235867387383509E-2</v>
          </cell>
          <cell r="AR175">
            <v>0.10801035728001351</v>
          </cell>
          <cell r="AS175">
            <v>0.12477130156485949</v>
          </cell>
          <cell r="AT175">
            <v>6.0700946903598174E-2</v>
          </cell>
          <cell r="AU175">
            <v>6.1714012080236191E-3</v>
          </cell>
          <cell r="AV175">
            <v>3.3474216632122467E-2</v>
          </cell>
          <cell r="AW175">
            <v>3.7862070170179729E-2</v>
          </cell>
          <cell r="AX175">
            <v>6.4999999999999947E-2</v>
          </cell>
          <cell r="AY175">
            <v>0.10416397165971425</v>
          </cell>
          <cell r="AZ175">
            <v>5.2555515474047132E-2</v>
          </cell>
          <cell r="BA175">
            <v>5.8886952009308713E-2</v>
          </cell>
          <cell r="BB175">
            <v>6.4999999999999947E-2</v>
          </cell>
          <cell r="BC175">
            <v>6.4999999999999947E-2</v>
          </cell>
          <cell r="BD175">
            <v>6.4999999999999947E-2</v>
          </cell>
          <cell r="BE175">
            <v>6.4999999999999947E-2</v>
          </cell>
          <cell r="BF175">
            <v>6.4999999999999947E-2</v>
          </cell>
          <cell r="BG175">
            <v>6.4999999999999947E-2</v>
          </cell>
          <cell r="BH175">
            <v>6.4999999999999947E-2</v>
          </cell>
          <cell r="BI175">
            <v>6.4999999999999947E-2</v>
          </cell>
          <cell r="BJ175">
            <v>6.4999999999999947E-2</v>
          </cell>
          <cell r="BK175">
            <v>6.5000000000000169E-2</v>
          </cell>
          <cell r="BL175">
            <v>6.4999999999999947E-2</v>
          </cell>
          <cell r="BM175">
            <v>6.4999999999999947E-2</v>
          </cell>
          <cell r="BN175">
            <v>6.4999999999999947E-2</v>
          </cell>
        </row>
        <row r="176">
          <cell r="A176" t="str">
            <v xml:space="preserve">      Avg. IEA</v>
          </cell>
          <cell r="H176">
            <v>31951.302205695501</v>
          </cell>
          <cell r="I176">
            <v>27336.0055764465</v>
          </cell>
          <cell r="J176">
            <v>16660.373077993499</v>
          </cell>
          <cell r="K176">
            <v>11718.929573105499</v>
          </cell>
          <cell r="L176">
            <v>11587.6188833915</v>
          </cell>
          <cell r="M176">
            <v>12316.639914689302</v>
          </cell>
          <cell r="N176">
            <v>13117.221509144107</v>
          </cell>
          <cell r="O176">
            <v>13969.840907238475</v>
          </cell>
          <cell r="P176">
            <v>14877.880566208973</v>
          </cell>
          <cell r="Q176">
            <v>15844.942803012556</v>
          </cell>
          <cell r="AD176">
            <v>33274.84996431</v>
          </cell>
          <cell r="AE176">
            <v>33542.835446251003</v>
          </cell>
          <cell r="AF176">
            <v>30066.3809617445</v>
          </cell>
          <cell r="AG176">
            <v>26351.058784160501</v>
          </cell>
          <cell r="AH176">
            <v>22996.031956278501</v>
          </cell>
          <cell r="AI176">
            <v>19305.493468658871</v>
          </cell>
          <cell r="AJ176">
            <v>16435.536723757774</v>
          </cell>
          <cell r="AK176">
            <v>14608.976802297775</v>
          </cell>
          <cell r="AL176">
            <v>13010.130918550371</v>
          </cell>
          <cell r="AM176">
            <v>11596.965824661</v>
          </cell>
          <cell r="AN176">
            <v>10857.098085116999</v>
          </cell>
          <cell r="AO176">
            <v>10703.562711684499</v>
          </cell>
          <cell r="AP176">
            <v>10970.789574989001</v>
          </cell>
          <cell r="AQ176">
            <v>11433.6886111165</v>
          </cell>
          <cell r="AR176">
            <v>11744.956308943001</v>
          </cell>
          <cell r="AS176">
            <v>11949.289928040002</v>
          </cell>
          <cell r="AT176">
            <v>11979.352416739001</v>
          </cell>
          <cell r="AU176">
            <v>11810.877997524</v>
          </cell>
          <cell r="AV176">
            <v>11979.465303245768</v>
          </cell>
          <cell r="AW176">
            <v>12375.675450885803</v>
          </cell>
          <cell r="AX176">
            <v>12594.778989936338</v>
          </cell>
          <cell r="AY176">
            <v>12807.55344688223</v>
          </cell>
          <cell r="AZ176">
            <v>12910.776134302856</v>
          </cell>
          <cell r="BA176">
            <v>13065.610165433794</v>
          </cell>
          <cell r="BB176">
            <v>13375.278227695671</v>
          </cell>
          <cell r="BC176">
            <v>13640.044420929575</v>
          </cell>
          <cell r="BD176">
            <v>13749.976583032541</v>
          </cell>
          <cell r="BE176">
            <v>13914.874826186991</v>
          </cell>
          <cell r="BF176">
            <v>14244.671312495888</v>
          </cell>
          <cell r="BG176">
            <v>14526.647308289997</v>
          </cell>
          <cell r="BH176">
            <v>14643.725060929655</v>
          </cell>
          <cell r="BI176">
            <v>14819.341689889145</v>
          </cell>
          <cell r="BJ176">
            <v>15170.57494780812</v>
          </cell>
          <cell r="BK176">
            <v>15470.879383328847</v>
          </cell>
          <cell r="BL176">
            <v>15595.567189890084</v>
          </cell>
          <cell r="BM176">
            <v>15782.598899731936</v>
          </cell>
          <cell r="BN176">
            <v>16156.662319415649</v>
          </cell>
        </row>
        <row r="177">
          <cell r="A177" t="str">
            <v xml:space="preserve">      LLR</v>
          </cell>
          <cell r="H177">
            <v>2278.197090484</v>
          </cell>
          <cell r="I177">
            <v>5022.842407227</v>
          </cell>
          <cell r="J177">
            <v>2494.0883880830002</v>
          </cell>
          <cell r="K177">
            <v>1312.1929442216951</v>
          </cell>
          <cell r="L177">
            <v>1104.91902898024</v>
          </cell>
          <cell r="M177">
            <v>1143.3897683515445</v>
          </cell>
          <cell r="N177">
            <v>1217.7101032943949</v>
          </cell>
          <cell r="O177">
            <v>1296.8612600085303</v>
          </cell>
          <cell r="P177">
            <v>1381.1572419090849</v>
          </cell>
          <cell r="Q177">
            <v>1470.9324626331752</v>
          </cell>
          <cell r="AD177">
            <v>2278.197090484</v>
          </cell>
          <cell r="AE177">
            <v>2522.8298856689999</v>
          </cell>
          <cell r="AF177">
            <v>2019.277092735</v>
          </cell>
          <cell r="AG177">
            <v>2088.4149246880002</v>
          </cell>
          <cell r="AH177">
            <v>5022.842407227</v>
          </cell>
          <cell r="AI177">
            <v>4280.200485286</v>
          </cell>
          <cell r="AJ177">
            <v>3766.2418246218622</v>
          </cell>
          <cell r="AK177">
            <v>3358.5596008490002</v>
          </cell>
          <cell r="AL177">
            <v>2494.0883880830002</v>
          </cell>
          <cell r="AM177">
            <v>1839.454195173</v>
          </cell>
          <cell r="AN177">
            <v>1600.13556830875</v>
          </cell>
          <cell r="AO177">
            <v>1428.602340935</v>
          </cell>
          <cell r="AP177">
            <v>1312.1929442216951</v>
          </cell>
          <cell r="AQ177">
            <v>1156.5126967455944</v>
          </cell>
          <cell r="AR177">
            <v>1147.8654559906133</v>
          </cell>
          <cell r="AS177">
            <v>1118.388093622</v>
          </cell>
          <cell r="AT177">
            <v>1104.91902898024</v>
          </cell>
          <cell r="AU177">
            <v>968.85839242600002</v>
          </cell>
          <cell r="AV177">
            <v>1163.0961542887549</v>
          </cell>
          <cell r="AW177">
            <v>1153.2429613201498</v>
          </cell>
          <cell r="AX177">
            <v>1143.3897683515445</v>
          </cell>
          <cell r="AY177">
            <v>1161.9698520872571</v>
          </cell>
          <cell r="AZ177">
            <v>1161.9698520872571</v>
          </cell>
          <cell r="BA177">
            <v>1189.8399776908259</v>
          </cell>
          <cell r="BB177">
            <v>1217.7101032943949</v>
          </cell>
          <cell r="BC177">
            <v>1237.4978924729287</v>
          </cell>
          <cell r="BD177">
            <v>1237.4978924729287</v>
          </cell>
          <cell r="BE177">
            <v>1267.1795762407296</v>
          </cell>
          <cell r="BF177">
            <v>1296.8612600085303</v>
          </cell>
          <cell r="BG177">
            <v>1317.9352554836689</v>
          </cell>
          <cell r="BH177">
            <v>1317.9352554836689</v>
          </cell>
          <cell r="BI177">
            <v>1349.546248696377</v>
          </cell>
          <cell r="BJ177">
            <v>1381.1572419090849</v>
          </cell>
          <cell r="BK177">
            <v>1403.6010470901074</v>
          </cell>
          <cell r="BL177">
            <v>1403.6010470901074</v>
          </cell>
          <cell r="BM177">
            <v>1437.2667548616414</v>
          </cell>
          <cell r="BN177">
            <v>1470.9324626331752</v>
          </cell>
        </row>
        <row r="178">
          <cell r="A178" t="str">
            <v xml:space="preserve">      LLR as % of IEA</v>
          </cell>
          <cell r="H178">
            <v>6.7919037260120121E-2</v>
          </cell>
          <cell r="I178">
            <v>0.23772069847703803</v>
          </cell>
          <cell r="J178">
            <v>0.20457482474843894</v>
          </cell>
          <cell r="K178">
            <v>0.11667786410172482</v>
          </cell>
          <cell r="L178">
            <v>9.262501017517781E-2</v>
          </cell>
          <cell r="M178">
            <v>0.09</v>
          </cell>
          <cell r="N178">
            <v>0.09</v>
          </cell>
          <cell r="O178">
            <v>0.09</v>
          </cell>
          <cell r="P178">
            <v>0.09</v>
          </cell>
          <cell r="Q178">
            <v>0.09</v>
          </cell>
          <cell r="Y178">
            <v>0.09</v>
          </cell>
          <cell r="AE178">
            <v>7.8121830768965395E-2</v>
          </cell>
          <cell r="AF178">
            <v>7.2533512564174091E-2</v>
          </cell>
          <cell r="AG178">
            <v>8.3997277685186875E-2</v>
          </cell>
          <cell r="AH178">
            <v>0.23772069847703803</v>
          </cell>
          <cell r="AI178">
            <v>0.24483735860134631</v>
          </cell>
          <cell r="AJ178">
            <v>0.24473179880583398</v>
          </cell>
          <cell r="AK178">
            <v>0.24286893869240223</v>
          </cell>
          <cell r="AL178">
            <v>0.20457482474843894</v>
          </cell>
          <cell r="AM178">
            <v>0.16718722115547754</v>
          </cell>
          <cell r="AN178">
            <v>0.14938015501095414</v>
          </cell>
          <cell r="AO178">
            <v>0.1335730289137983</v>
          </cell>
          <cell r="AP178">
            <v>0.11667786410172482</v>
          </cell>
          <cell r="AQ178">
            <v>9.951844822635246E-2</v>
          </cell>
          <cell r="AR178">
            <v>9.6712652158533599E-2</v>
          </cell>
          <cell r="AS178">
            <v>9.2968478795694115E-2</v>
          </cell>
          <cell r="AT178">
            <v>9.262501017517781E-2</v>
          </cell>
          <cell r="AU178">
            <v>8.2859350935117357E-2</v>
          </cell>
          <cell r="AV178">
            <v>9.4821818571435304E-2</v>
          </cell>
          <cell r="AW178">
            <v>9.2368600183327682E-2</v>
          </cell>
          <cell r="AX178">
            <v>0.09</v>
          </cell>
          <cell r="AY178">
            <v>9.0000000000000011E-2</v>
          </cell>
          <cell r="AZ178">
            <v>9.0000000000000011E-2</v>
          </cell>
          <cell r="BA178">
            <v>0.09</v>
          </cell>
          <cell r="BB178">
            <v>0.09</v>
          </cell>
          <cell r="BC178">
            <v>0.09</v>
          </cell>
          <cell r="BD178">
            <v>0.09</v>
          </cell>
          <cell r="BE178">
            <v>0.09</v>
          </cell>
          <cell r="BF178">
            <v>0.09</v>
          </cell>
          <cell r="BG178">
            <v>0.09</v>
          </cell>
          <cell r="BH178">
            <v>0.09</v>
          </cell>
          <cell r="BI178">
            <v>9.0000000000000011E-2</v>
          </cell>
          <cell r="BJ178">
            <v>0.09</v>
          </cell>
          <cell r="BK178">
            <v>0.09</v>
          </cell>
          <cell r="BL178">
            <v>0.09</v>
          </cell>
          <cell r="BM178">
            <v>0.09</v>
          </cell>
          <cell r="BN178">
            <v>0.09</v>
          </cell>
        </row>
        <row r="179">
          <cell r="A179" t="str">
            <v xml:space="preserve">   Other assets</v>
          </cell>
          <cell r="H179">
            <v>2519.3852924709954</v>
          </cell>
          <cell r="I179">
            <v>1382.4200428279992</v>
          </cell>
          <cell r="J179">
            <v>2675.1654539630013</v>
          </cell>
          <cell r="K179">
            <v>2004.0721429562036</v>
          </cell>
          <cell r="L179">
            <v>1512.6262650799972</v>
          </cell>
          <cell r="M179">
            <v>1588.2575783339971</v>
          </cell>
          <cell r="N179">
            <v>1667.6704572506972</v>
          </cell>
          <cell r="O179">
            <v>1751.053980113232</v>
          </cell>
          <cell r="P179">
            <v>1838.6066791188937</v>
          </cell>
          <cell r="Q179">
            <v>1930.5370130748383</v>
          </cell>
          <cell r="Y179">
            <v>0.05</v>
          </cell>
          <cell r="AD179">
            <v>2519.3852924709954</v>
          </cell>
          <cell r="AE179">
            <v>4313.9473179025899</v>
          </cell>
          <cell r="AF179">
            <v>4093.6409970935429</v>
          </cell>
          <cell r="AG179">
            <v>3279.6877821129997</v>
          </cell>
          <cell r="AH179">
            <v>1382.4200428279992</v>
          </cell>
          <cell r="AI179">
            <v>4022.566710331258</v>
          </cell>
          <cell r="AJ179">
            <v>3869.7875960146575</v>
          </cell>
          <cell r="AK179">
            <v>3113.0287180937239</v>
          </cell>
          <cell r="AL179">
            <v>2675.1654539630013</v>
          </cell>
          <cell r="AM179">
            <v>2689.1957283500005</v>
          </cell>
          <cell r="AN179">
            <v>2317.1236489820008</v>
          </cell>
          <cell r="AO179">
            <v>2200.3353322790008</v>
          </cell>
          <cell r="AP179">
            <v>2004.0721429562036</v>
          </cell>
          <cell r="AQ179">
            <v>1779.1297833621938</v>
          </cell>
          <cell r="AR179">
            <v>1411.1798223981093</v>
          </cell>
          <cell r="AS179">
            <v>1745.3532002342752</v>
          </cell>
          <cell r="AT179">
            <v>1512.6262650799972</v>
          </cell>
          <cell r="AU179">
            <v>1809.7134308920013</v>
          </cell>
          <cell r="AV179">
            <v>1438.8076475606636</v>
          </cell>
          <cell r="AW179">
            <v>1513.532612947331</v>
          </cell>
          <cell r="AX179">
            <v>1588.2575783339983</v>
          </cell>
          <cell r="AY179">
            <v>1608.1107980631732</v>
          </cell>
          <cell r="AZ179">
            <v>1608.1107980631732</v>
          </cell>
          <cell r="BA179">
            <v>1637.8906276569337</v>
          </cell>
          <cell r="BB179">
            <v>1667.6704572506962</v>
          </cell>
          <cell r="BC179">
            <v>1688.5163379663311</v>
          </cell>
          <cell r="BD179">
            <v>1688.5163379663311</v>
          </cell>
          <cell r="BE179">
            <v>1719.7851590397809</v>
          </cell>
          <cell r="BF179">
            <v>1751.0539801132322</v>
          </cell>
          <cell r="BG179">
            <v>1772.9421548646471</v>
          </cell>
          <cell r="BH179">
            <v>1772.942154864649</v>
          </cell>
          <cell r="BI179">
            <v>1805.7744169917714</v>
          </cell>
          <cell r="BJ179">
            <v>1838.6066791188937</v>
          </cell>
          <cell r="BK179">
            <v>1861.5892626078785</v>
          </cell>
          <cell r="BL179">
            <v>1861.5892626078803</v>
          </cell>
          <cell r="BM179">
            <v>1896.0631378413605</v>
          </cell>
          <cell r="BN179">
            <v>1930.5370130748386</v>
          </cell>
        </row>
        <row r="180">
          <cell r="A180" t="str">
            <v>Total liabilities</v>
          </cell>
          <cell r="H180">
            <v>32009.314017977998</v>
          </cell>
          <cell r="I180">
            <v>20701.940782787999</v>
          </cell>
          <cell r="J180">
            <v>12942.395084094</v>
          </cell>
          <cell r="K180">
            <v>10131.6435095214</v>
          </cell>
          <cell r="L180">
            <v>9316.0866921809393</v>
          </cell>
          <cell r="M180">
            <v>8958.5481637125013</v>
          </cell>
          <cell r="N180">
            <v>8608.8722712283834</v>
          </cell>
          <cell r="O180">
            <v>8584.5222752300106</v>
          </cell>
          <cell r="P180">
            <v>8631.728179479851</v>
          </cell>
          <cell r="Q180">
            <v>8759.9138910359106</v>
          </cell>
          <cell r="AD180">
            <v>32009.314017977998</v>
          </cell>
          <cell r="AE180">
            <v>32711.795107414997</v>
          </cell>
          <cell r="AF180">
            <v>28528.481028741615</v>
          </cell>
          <cell r="AG180">
            <v>24922.754611172</v>
          </cell>
          <cell r="AH180">
            <v>20701.940782787999</v>
          </cell>
          <cell r="AI180">
            <v>17518.307347614998</v>
          </cell>
          <cell r="AJ180">
            <v>16324.289197980082</v>
          </cell>
          <cell r="AK180">
            <v>14474.449193701465</v>
          </cell>
          <cell r="AL180">
            <v>12942.395084094</v>
          </cell>
          <cell r="AM180">
            <v>11126.02376305</v>
          </cell>
          <cell r="AN180">
            <v>10219.768053018999</v>
          </cell>
          <cell r="AO180">
            <v>9890.0392213032064</v>
          </cell>
          <cell r="AP180">
            <v>10131.6435095214</v>
          </cell>
          <cell r="AQ180">
            <v>10076.713967388099</v>
          </cell>
          <cell r="AR180">
            <v>9673.5936721215112</v>
          </cell>
          <cell r="AS180">
            <v>9887.3331485361505</v>
          </cell>
          <cell r="AT180">
            <v>9316.0866921809393</v>
          </cell>
          <cell r="AU180">
            <v>8650.8566004610002</v>
          </cell>
          <cell r="AV180">
            <v>8367.6796943144691</v>
          </cell>
          <cell r="AW180">
            <v>8377.671112954511</v>
          </cell>
          <cell r="AX180">
            <v>8961.7118830695763</v>
          </cell>
          <cell r="AY180">
            <v>8877.8345597560146</v>
          </cell>
          <cell r="AZ180">
            <v>8583.8776257360951</v>
          </cell>
          <cell r="BA180">
            <v>8599.1373580965992</v>
          </cell>
          <cell r="BB180">
            <v>8612.0359905854584</v>
          </cell>
          <cell r="BC180">
            <v>8576.7668320407502</v>
          </cell>
          <cell r="BD180">
            <v>8357.6811772789151</v>
          </cell>
          <cell r="BE180">
            <v>8468.2194219969915</v>
          </cell>
          <cell r="BF180">
            <v>8587.6859945870856</v>
          </cell>
          <cell r="BG180">
            <v>8602.1654891514627</v>
          </cell>
          <cell r="BH180">
            <v>8379.8899534923021</v>
          </cell>
          <cell r="BI180">
            <v>8508.283598998587</v>
          </cell>
          <cell r="BJ180">
            <v>8634.891898836926</v>
          </cell>
          <cell r="BK180">
            <v>8664.3161002761444</v>
          </cell>
          <cell r="BL180">
            <v>8442.040564616982</v>
          </cell>
          <cell r="BM180">
            <v>8592.8512704355308</v>
          </cell>
          <cell r="BN180">
            <v>8763.077610392982</v>
          </cell>
        </row>
        <row r="181">
          <cell r="A181" t="str">
            <v xml:space="preserve">   IBL</v>
          </cell>
          <cell r="H181">
            <v>30451.988687936999</v>
          </cell>
          <cell r="I181">
            <v>19731.47543427</v>
          </cell>
          <cell r="J181">
            <v>12013.334715540403</v>
          </cell>
          <cell r="K181">
            <v>9005.4867115049983</v>
          </cell>
          <cell r="L181">
            <v>7859.3292817990005</v>
          </cell>
          <cell r="M181">
            <v>7428.9528828114653</v>
          </cell>
          <cell r="N181">
            <v>7002.7972262822959</v>
          </cell>
          <cell r="O181">
            <v>6898.1434780366189</v>
          </cell>
          <cell r="P181">
            <v>6861.0304424267897</v>
          </cell>
          <cell r="Q181">
            <v>6900.6812671301959</v>
          </cell>
          <cell r="AD181">
            <v>30451.988687936999</v>
          </cell>
          <cell r="AE181">
            <v>31468.392807941</v>
          </cell>
          <cell r="AF181">
            <v>27321.440907538003</v>
          </cell>
          <cell r="AG181">
            <v>23474.983348079</v>
          </cell>
          <cell r="AH181">
            <v>19731.47543427</v>
          </cell>
          <cell r="AI181">
            <v>16568.972854265969</v>
          </cell>
          <cell r="AJ181">
            <v>15373.816305085</v>
          </cell>
          <cell r="AK181">
            <v>13415.375245137464</v>
          </cell>
          <cell r="AL181">
            <v>12013.334715540403</v>
          </cell>
          <cell r="AM181">
            <v>10037.190876352</v>
          </cell>
          <cell r="AN181">
            <v>9347.8210076299893</v>
          </cell>
          <cell r="AO181">
            <v>8950.4488214369612</v>
          </cell>
          <cell r="AP181">
            <v>9005.4867115049983</v>
          </cell>
          <cell r="AQ181">
            <v>8852.2686983999993</v>
          </cell>
          <cell r="AR181">
            <v>8397.8377707809996</v>
          </cell>
          <cell r="AS181">
            <v>8400.2627876879997</v>
          </cell>
          <cell r="AT181">
            <v>7859.3292817990005</v>
          </cell>
          <cell r="AU181">
            <v>7182.24485026</v>
          </cell>
          <cell r="AV181">
            <v>7941.5652926494886</v>
          </cell>
          <cell r="AW181">
            <v>7685.2590877304774</v>
          </cell>
          <cell r="AX181">
            <v>7428.9528828114653</v>
          </cell>
          <cell r="AY181">
            <v>7322.4139686791732</v>
          </cell>
          <cell r="AZ181">
            <v>7322.4139686791732</v>
          </cell>
          <cell r="BA181">
            <v>7162.605597480735</v>
          </cell>
          <cell r="BB181">
            <v>7002.7972262822959</v>
          </cell>
          <cell r="BC181">
            <v>6976.6337892208767</v>
          </cell>
          <cell r="BD181">
            <v>6976.6337892208767</v>
          </cell>
          <cell r="BE181">
            <v>6937.3886336287478</v>
          </cell>
          <cell r="BF181">
            <v>6898.1434780366189</v>
          </cell>
          <cell r="BG181">
            <v>6888.8652191341616</v>
          </cell>
          <cell r="BH181">
            <v>6888.8652191341616</v>
          </cell>
          <cell r="BI181">
            <v>6874.9478307804757</v>
          </cell>
          <cell r="BJ181">
            <v>6861.0304424267897</v>
          </cell>
          <cell r="BK181">
            <v>6870.9431486026415</v>
          </cell>
          <cell r="BL181">
            <v>6870.9431486026415</v>
          </cell>
          <cell r="BM181">
            <v>6885.8122078664182</v>
          </cell>
          <cell r="BN181">
            <v>6900.6812671301959</v>
          </cell>
        </row>
        <row r="182">
          <cell r="A182" t="str">
            <v xml:space="preserve">   Other liabilities</v>
          </cell>
          <cell r="H182">
            <v>1557.3253300409997</v>
          </cell>
          <cell r="I182">
            <v>970.46534851799879</v>
          </cell>
          <cell r="J182">
            <v>929.06036855359707</v>
          </cell>
          <cell r="K182">
            <v>1126.1567980164018</v>
          </cell>
          <cell r="L182">
            <v>1456.7574103819388</v>
          </cell>
          <cell r="M182">
            <v>1529.5952809010357</v>
          </cell>
          <cell r="N182">
            <v>1606.0750449460875</v>
          </cell>
          <cell r="O182">
            <v>1686.3787971933918</v>
          </cell>
          <cell r="P182">
            <v>1770.6977370530615</v>
          </cell>
          <cell r="Q182">
            <v>1859.2326239057147</v>
          </cell>
          <cell r="Y182">
            <v>0.05</v>
          </cell>
          <cell r="AD182">
            <v>1557.3253300409997</v>
          </cell>
          <cell r="AE182">
            <v>1243.4022994739971</v>
          </cell>
          <cell r="AF182">
            <v>1207.0401212036122</v>
          </cell>
          <cell r="AG182">
            <v>1447.771263093</v>
          </cell>
          <cell r="AH182">
            <v>970.46534851799879</v>
          </cell>
          <cell r="AI182">
            <v>949.3344933490298</v>
          </cell>
          <cell r="AJ182">
            <v>950.47289289508262</v>
          </cell>
          <cell r="AK182">
            <v>1059.0739485640006</v>
          </cell>
          <cell r="AL182">
            <v>929.06036855359707</v>
          </cell>
          <cell r="AM182">
            <v>1088.8328866979991</v>
          </cell>
          <cell r="AN182">
            <v>871.94704538900987</v>
          </cell>
          <cell r="AO182">
            <v>939.59039986624521</v>
          </cell>
          <cell r="AP182">
            <v>1126.1567980164018</v>
          </cell>
          <cell r="AQ182">
            <v>1224.4452689881</v>
          </cell>
          <cell r="AR182">
            <v>1275.7559013405116</v>
          </cell>
          <cell r="AS182">
            <v>1487.0703608481508</v>
          </cell>
          <cell r="AT182">
            <v>1456.7574103819388</v>
          </cell>
          <cell r="AU182">
            <v>1468.6117502010002</v>
          </cell>
          <cell r="AV182">
            <v>426.11440166498051</v>
          </cell>
          <cell r="AW182">
            <v>692.41202522403364</v>
          </cell>
          <cell r="AX182">
            <v>1532.759000258111</v>
          </cell>
          <cell r="AY182">
            <v>1555.4205910768414</v>
          </cell>
          <cell r="AZ182">
            <v>1261.4636570569219</v>
          </cell>
          <cell r="BA182">
            <v>1436.5317606158642</v>
          </cell>
          <cell r="BB182">
            <v>1609.2387643031625</v>
          </cell>
          <cell r="BC182">
            <v>1600.1330428198735</v>
          </cell>
          <cell r="BD182">
            <v>1381.0473880580385</v>
          </cell>
          <cell r="BE182">
            <v>1530.8307883682437</v>
          </cell>
          <cell r="BF182">
            <v>1689.5425165504666</v>
          </cell>
          <cell r="BG182">
            <v>1713.300270017301</v>
          </cell>
          <cell r="BH182">
            <v>1491.0247343581404</v>
          </cell>
          <cell r="BI182">
            <v>1633.3357682181113</v>
          </cell>
          <cell r="BJ182">
            <v>1773.8614564101363</v>
          </cell>
          <cell r="BK182">
            <v>1793.3729516735029</v>
          </cell>
          <cell r="BL182">
            <v>1571.0974160143405</v>
          </cell>
          <cell r="BM182">
            <v>1707.0390625691125</v>
          </cell>
          <cell r="BN182">
            <v>1862.3963432627861</v>
          </cell>
        </row>
        <row r="183">
          <cell r="A183" t="str">
            <v>Total shareholders' equity</v>
          </cell>
          <cell r="H183">
            <v>1774.7096302599998</v>
          </cell>
          <cell r="I183">
            <v>-3213.1874405449998</v>
          </cell>
          <cell r="J183">
            <v>-569.74756886899922</v>
          </cell>
          <cell r="K183">
            <v>1806.5243860791088</v>
          </cell>
          <cell r="L183">
            <v>3020.569613835818</v>
          </cell>
          <cell r="M183">
            <v>4190.6504057315578</v>
          </cell>
          <cell r="N183">
            <v>5371.2003415545278</v>
          </cell>
          <cell r="O183">
            <v>6279.2400005250283</v>
          </cell>
          <cell r="P183">
            <v>7171.912834497567</v>
          </cell>
          <cell r="Q183">
            <v>8043.3846886632573</v>
          </cell>
          <cell r="AD183">
            <v>1774.7096302599998</v>
          </cell>
          <cell r="AE183">
            <v>1372.8548859015937</v>
          </cell>
          <cell r="AF183">
            <v>1385.1122380229281</v>
          </cell>
          <cell r="AG183">
            <v>1131.4064521680011</v>
          </cell>
          <cell r="AH183">
            <v>-3213.1874405449998</v>
          </cell>
          <cell r="AI183">
            <v>-294.12989189399741</v>
          </cell>
          <cell r="AJ183">
            <v>-831.48120974748053</v>
          </cell>
          <cell r="AK183">
            <v>-891.28868870099723</v>
          </cell>
          <cell r="AL183">
            <v>-569.74756886899922</v>
          </cell>
          <cell r="AM183">
            <v>726.0789701040012</v>
          </cell>
          <cell r="AN183">
            <v>1209.0549979112511</v>
          </cell>
          <cell r="AO183">
            <v>1576.9842231527946</v>
          </cell>
          <cell r="AP183">
            <v>1806.5243860791088</v>
          </cell>
          <cell r="AQ183">
            <v>2166.9916445955005</v>
          </cell>
          <cell r="AR183">
            <v>2458.5447868049851</v>
          </cell>
          <cell r="AS183">
            <v>2769.3877216371257</v>
          </cell>
          <cell r="AT183">
            <v>3020.569613835818</v>
          </cell>
          <cell r="AU183">
            <v>3882.8053631359999</v>
          </cell>
          <cell r="AV183">
            <v>4174.1554803179752</v>
          </cell>
          <cell r="AW183">
            <v>4467.8457590837415</v>
          </cell>
          <cell r="AX183">
            <v>4187.4866863744828</v>
          </cell>
          <cell r="AY183">
            <v>4479.0825205227566</v>
          </cell>
          <cell r="AZ183">
            <v>4773.0394545426761</v>
          </cell>
          <cell r="BA183">
            <v>5069.3574884342415</v>
          </cell>
          <cell r="BB183">
            <v>5368.0366221974527</v>
          </cell>
          <cell r="BC183">
            <v>5624.2281964851936</v>
          </cell>
          <cell r="BD183">
            <v>5843.3138512470296</v>
          </cell>
          <cell r="BE183">
            <v>6064.1592301434994</v>
          </cell>
          <cell r="BF183">
            <v>6276.0762811679533</v>
          </cell>
          <cell r="BG183">
            <v>6496.5664711591708</v>
          </cell>
          <cell r="BH183">
            <v>6718.8420068183332</v>
          </cell>
          <cell r="BI183">
            <v>6942.9028881454406</v>
          </cell>
          <cell r="BJ183">
            <v>7168.7491151404929</v>
          </cell>
          <cell r="BK183">
            <v>7389.2393051317104</v>
          </cell>
          <cell r="BL183">
            <v>7611.5148407908728</v>
          </cell>
          <cell r="BM183">
            <v>7835.5757221179801</v>
          </cell>
          <cell r="BN183">
            <v>8040.2209693061841</v>
          </cell>
        </row>
        <row r="184">
          <cell r="A184" t="str">
            <v xml:space="preserve">   CAR</v>
          </cell>
          <cell r="H184" t="str">
            <v>NM</v>
          </cell>
          <cell r="I184" t="str">
            <v>NM</v>
          </cell>
          <cell r="J184" t="str">
            <v>NM</v>
          </cell>
          <cell r="K184">
            <v>0.25600000000000001</v>
          </cell>
          <cell r="L184">
            <v>0.34200000000000003</v>
          </cell>
          <cell r="M184">
            <v>0.37624227995898074</v>
          </cell>
          <cell r="N184">
            <v>0.4536485059892979</v>
          </cell>
          <cell r="O184">
            <v>0.49885336344883352</v>
          </cell>
          <cell r="P184">
            <v>0.53591963344723725</v>
          </cell>
          <cell r="Q184">
            <v>0.56531027887885943</v>
          </cell>
          <cell r="AD184" t="str">
            <v>NM</v>
          </cell>
          <cell r="AP184">
            <v>0.25600000000000001</v>
          </cell>
          <cell r="AQ184">
            <v>0.27</v>
          </cell>
          <cell r="AR184">
            <v>0.307</v>
          </cell>
          <cell r="AS184">
            <v>0.32700000000000001</v>
          </cell>
          <cell r="AT184">
            <v>0.34300000000000003</v>
          </cell>
          <cell r="AU184">
            <v>0.36599999999999999</v>
          </cell>
          <cell r="AV184">
            <v>0.39320675933071664</v>
          </cell>
          <cell r="AW184">
            <v>0.41092260247980866</v>
          </cell>
          <cell r="AX184">
            <v>0.37624227995898074</v>
          </cell>
          <cell r="AY184">
            <v>0.39618340108224986</v>
          </cell>
          <cell r="AZ184">
            <v>0.42218445316336439</v>
          </cell>
          <cell r="BA184">
            <v>0.4381730546478908</v>
          </cell>
          <cell r="BB184">
            <v>0.4536485059892979</v>
          </cell>
          <cell r="BC184">
            <v>0.46790490730581108</v>
          </cell>
          <cell r="BD184">
            <v>0.48613163093829687</v>
          </cell>
          <cell r="BE184">
            <v>0.49300046979998857</v>
          </cell>
          <cell r="BF184">
            <v>0.49885336344883352</v>
          </cell>
          <cell r="BG184">
            <v>0.5083430063862926</v>
          </cell>
          <cell r="BH184">
            <v>0.52573561131763891</v>
          </cell>
          <cell r="BI184">
            <v>0.53087551894083584</v>
          </cell>
          <cell r="BJ184">
            <v>0.53591963344723725</v>
          </cell>
          <cell r="BK184">
            <v>0.54380342992197916</v>
          </cell>
          <cell r="BL184">
            <v>0.56016156824824126</v>
          </cell>
          <cell r="BM184">
            <v>0.56349280082557307</v>
          </cell>
          <cell r="BN184">
            <v>0.56531027887885943</v>
          </cell>
        </row>
        <row r="186">
          <cell r="A186" t="str">
            <v>Income statement (Stated)</v>
          </cell>
        </row>
        <row r="187">
          <cell r="A187" t="str">
            <v>Opreating revenue</v>
          </cell>
          <cell r="H187">
            <v>5631.1537365149998</v>
          </cell>
          <cell r="I187">
            <v>4392.6345656619997</v>
          </cell>
          <cell r="J187">
            <v>3432.2684772969997</v>
          </cell>
          <cell r="K187">
            <v>2729.7121418010001</v>
          </cell>
          <cell r="L187">
            <v>2703.3975773309999</v>
          </cell>
          <cell r="M187">
            <v>2702.0648857544629</v>
          </cell>
          <cell r="N187">
            <v>2877.699103328503</v>
          </cell>
          <cell r="O187">
            <v>3064.7495450448559</v>
          </cell>
          <cell r="P187">
            <v>3263.958265472771</v>
          </cell>
          <cell r="Q187">
            <v>3476.1155527285009</v>
          </cell>
          <cell r="AE187">
            <v>1386.201805962</v>
          </cell>
          <cell r="AF187">
            <v>1233.4019875108575</v>
          </cell>
          <cell r="AG187">
            <v>1231.5669755401427</v>
          </cell>
          <cell r="AH187">
            <v>541.46379664899951</v>
          </cell>
          <cell r="AI187">
            <v>1121.7982115539999</v>
          </cell>
          <cell r="AJ187">
            <v>681.67165924000028</v>
          </cell>
          <cell r="AK187">
            <v>787.64507224299996</v>
          </cell>
          <cell r="AL187">
            <v>841.15353425999956</v>
          </cell>
          <cell r="AM187">
            <v>701.89217845299993</v>
          </cell>
          <cell r="AN187">
            <v>670.75253782100015</v>
          </cell>
          <cell r="AO187">
            <v>658.62592038599951</v>
          </cell>
          <cell r="AP187">
            <v>698.44150514100056</v>
          </cell>
          <cell r="AQ187">
            <v>677.29638000300008</v>
          </cell>
          <cell r="AR187">
            <v>692.79318837599988</v>
          </cell>
          <cell r="AS187">
            <v>674.5923107860001</v>
          </cell>
          <cell r="AT187">
            <v>658.71569816599981</v>
          </cell>
          <cell r="AU187">
            <v>633.31712340400009</v>
          </cell>
          <cell r="AV187">
            <v>672.81415655286128</v>
          </cell>
          <cell r="AW187">
            <v>678.2182863243703</v>
          </cell>
          <cell r="AX187">
            <v>717.71531947323149</v>
          </cell>
          <cell r="AY187">
            <v>710.79167852214027</v>
          </cell>
          <cell r="AZ187">
            <v>716.54707672879726</v>
          </cell>
          <cell r="BA187">
            <v>722.30247493545437</v>
          </cell>
          <cell r="BB187">
            <v>728.05787314211102</v>
          </cell>
          <cell r="BC187">
            <v>756.99313762607937</v>
          </cell>
          <cell r="BD187">
            <v>763.12263671616915</v>
          </cell>
          <cell r="BE187">
            <v>769.25213580625882</v>
          </cell>
          <cell r="BF187">
            <v>775.38163489634871</v>
          </cell>
          <cell r="BG187">
            <v>806.1976915717745</v>
          </cell>
          <cell r="BH187">
            <v>812.72560810272</v>
          </cell>
          <cell r="BI187">
            <v>819.25352463366562</v>
          </cell>
          <cell r="BJ187">
            <v>825.78144116461101</v>
          </cell>
          <cell r="BK187">
            <v>806.1976915717745</v>
          </cell>
          <cell r="BL187">
            <v>812.72560810272</v>
          </cell>
          <cell r="BM187">
            <v>819.25352463366562</v>
          </cell>
          <cell r="BN187">
            <v>1037.9387284203408</v>
          </cell>
        </row>
        <row r="188">
          <cell r="A188" t="str">
            <v xml:space="preserve">   ABS related revenue</v>
          </cell>
          <cell r="H188">
            <v>2230.5226477669999</v>
          </cell>
          <cell r="I188">
            <v>1896.601214994</v>
          </cell>
          <cell r="J188">
            <v>1437.833109423</v>
          </cell>
          <cell r="K188">
            <v>832.42513011699998</v>
          </cell>
          <cell r="L188">
            <v>596.73801920100004</v>
          </cell>
          <cell r="M188">
            <v>501.73266199073015</v>
          </cell>
          <cell r="N188">
            <v>534.34528502012756</v>
          </cell>
          <cell r="O188">
            <v>569.07772854643588</v>
          </cell>
          <cell r="P188">
            <v>606.06778090195405</v>
          </cell>
          <cell r="Q188">
            <v>645.4621866605811</v>
          </cell>
          <cell r="AE188">
            <v>655.56577849200005</v>
          </cell>
          <cell r="AF188">
            <v>620.47819148685733</v>
          </cell>
          <cell r="AG188">
            <v>696.23050514414263</v>
          </cell>
          <cell r="AH188">
            <v>-75.673260129000028</v>
          </cell>
          <cell r="AI188">
            <v>593.85810486499997</v>
          </cell>
          <cell r="AJ188">
            <v>218.12303151100002</v>
          </cell>
          <cell r="AK188">
            <v>310.31347039999991</v>
          </cell>
          <cell r="AL188">
            <v>315.53850264700009</v>
          </cell>
          <cell r="AM188">
            <v>243.084421948</v>
          </cell>
          <cell r="AN188">
            <v>197.26289387200001</v>
          </cell>
          <cell r="AO188">
            <v>197.653578837</v>
          </cell>
          <cell r="AP188">
            <v>194.42423545999998</v>
          </cell>
          <cell r="AQ188">
            <v>175.567875109</v>
          </cell>
          <cell r="AR188">
            <v>162.962107129</v>
          </cell>
          <cell r="AS188">
            <v>140.89295243499998</v>
          </cell>
          <cell r="AT188">
            <v>117.31508452800006</v>
          </cell>
          <cell r="AU188">
            <v>116.584330725</v>
          </cell>
          <cell r="AV188">
            <v>140.07937761683638</v>
          </cell>
          <cell r="AW188">
            <v>141.20451318002381</v>
          </cell>
          <cell r="AX188">
            <v>103.86444046886999</v>
          </cell>
          <cell r="AY188">
            <v>97.057522982114634</v>
          </cell>
          <cell r="AZ188">
            <v>97.843413856463741</v>
          </cell>
          <cell r="BA188">
            <v>98.629304730812834</v>
          </cell>
          <cell r="BB188">
            <v>240.81504345073631</v>
          </cell>
          <cell r="BC188">
            <v>252.88963346831144</v>
          </cell>
          <cell r="BD188">
            <v>254.93732280813583</v>
          </cell>
          <cell r="BE188">
            <v>256.98501214796022</v>
          </cell>
          <cell r="BF188">
            <v>-195.73423987797162</v>
          </cell>
          <cell r="BG188">
            <v>-203.51332202015737</v>
          </cell>
          <cell r="BH188">
            <v>-205.16120317011817</v>
          </cell>
          <cell r="BI188">
            <v>-206.80908432007897</v>
          </cell>
          <cell r="BJ188">
            <v>1221.5513904123086</v>
          </cell>
          <cell r="BK188">
            <v>1192.5817922207123</v>
          </cell>
          <cell r="BL188">
            <v>1202.2383249512443</v>
          </cell>
          <cell r="BM188">
            <v>1211.8948576817766</v>
          </cell>
          <cell r="BN188">
            <v>-2961.2527881931519</v>
          </cell>
        </row>
        <row r="189">
          <cell r="A189" t="str">
            <v xml:space="preserve">   Other revenue</v>
          </cell>
          <cell r="H189">
            <v>3400.6310887479999</v>
          </cell>
          <cell r="I189">
            <v>2496.0333506679999</v>
          </cell>
          <cell r="J189">
            <v>1994.4353678739997</v>
          </cell>
          <cell r="K189">
            <v>1897.2870116840002</v>
          </cell>
          <cell r="L189">
            <v>2106.6595581299998</v>
          </cell>
          <cell r="M189">
            <v>2200.3322237637326</v>
          </cell>
          <cell r="N189">
            <v>2343.3538183083756</v>
          </cell>
          <cell r="O189">
            <v>2495.67181649842</v>
          </cell>
          <cell r="P189">
            <v>2657.8904845708171</v>
          </cell>
          <cell r="Q189">
            <v>2830.6533660679197</v>
          </cell>
          <cell r="AE189">
            <v>730.63602746999993</v>
          </cell>
          <cell r="AF189">
            <v>612.92379602400013</v>
          </cell>
          <cell r="AG189">
            <v>535.3364703960001</v>
          </cell>
          <cell r="AH189">
            <v>617.13705677799976</v>
          </cell>
          <cell r="AI189">
            <v>527.94010668899989</v>
          </cell>
          <cell r="AJ189">
            <v>463.54862772900026</v>
          </cell>
          <cell r="AK189">
            <v>477.33160184300004</v>
          </cell>
          <cell r="AL189">
            <v>525.61503161299947</v>
          </cell>
          <cell r="AM189">
            <v>458.80775650499993</v>
          </cell>
          <cell r="AN189">
            <v>473.4896439490002</v>
          </cell>
          <cell r="AO189">
            <v>460.97234154899934</v>
          </cell>
          <cell r="AP189">
            <v>504.0172696810007</v>
          </cell>
          <cell r="AQ189">
            <v>501.72850489400008</v>
          </cell>
          <cell r="AR189">
            <v>529.83108124699993</v>
          </cell>
          <cell r="AS189">
            <v>533.69935835100011</v>
          </cell>
          <cell r="AT189">
            <v>541.40061363799975</v>
          </cell>
          <cell r="AU189">
            <v>516.73279267900011</v>
          </cell>
          <cell r="AV189">
            <v>532.7347789360249</v>
          </cell>
          <cell r="AW189">
            <v>537.01377314434649</v>
          </cell>
          <cell r="AX189">
            <v>613.8508790043611</v>
          </cell>
          <cell r="AY189">
            <v>613.73415554002565</v>
          </cell>
          <cell r="AZ189">
            <v>618.70366287233355</v>
          </cell>
          <cell r="BA189">
            <v>623.67317020464156</v>
          </cell>
          <cell r="BB189">
            <v>487.24282969137471</v>
          </cell>
          <cell r="BC189">
            <v>504.10350415776793</v>
          </cell>
          <cell r="BD189">
            <v>508.18531390803332</v>
          </cell>
          <cell r="BE189">
            <v>512.2671236582986</v>
          </cell>
          <cell r="BF189">
            <v>971.11587477432022</v>
          </cell>
          <cell r="BG189">
            <v>1009.7110135919319</v>
          </cell>
          <cell r="BH189">
            <v>1017.8868112728381</v>
          </cell>
          <cell r="BI189">
            <v>1026.0626089537445</v>
          </cell>
          <cell r="BJ189">
            <v>-395.76994924769724</v>
          </cell>
          <cell r="BK189">
            <v>-386.38410064893776</v>
          </cell>
          <cell r="BL189">
            <v>-389.51271684852429</v>
          </cell>
          <cell r="BM189">
            <v>-392.64133304811094</v>
          </cell>
          <cell r="BN189">
            <v>3999.1915166134927</v>
          </cell>
        </row>
        <row r="190">
          <cell r="A190" t="str">
            <v>Operating expenses</v>
          </cell>
          <cell r="H190">
            <v>2439.6186236009999</v>
          </cell>
          <cell r="I190">
            <v>2593.0075714750001</v>
          </cell>
          <cell r="J190">
            <v>1698.7087752350001</v>
          </cell>
          <cell r="K190">
            <v>1356.0185848840001</v>
          </cell>
          <cell r="L190">
            <v>1393.249190125</v>
          </cell>
          <cell r="M190">
            <v>1351.2267399484958</v>
          </cell>
          <cell r="N190">
            <v>1407.8939400697275</v>
          </cell>
          <cell r="O190">
            <v>1474.6813956000096</v>
          </cell>
          <cell r="P190">
            <v>1552.9231665684733</v>
          </cell>
          <cell r="Q190">
            <v>1638.8272282770195</v>
          </cell>
          <cell r="AE190">
            <v>654.87415488099998</v>
          </cell>
          <cell r="AF190">
            <v>610.74699420800005</v>
          </cell>
          <cell r="AG190">
            <v>641.97173513899997</v>
          </cell>
          <cell r="AH190">
            <v>685.41468724700007</v>
          </cell>
          <cell r="AI190">
            <v>478.606837025</v>
          </cell>
          <cell r="AJ190">
            <v>398.96007861999999</v>
          </cell>
          <cell r="AK190">
            <v>392.50340488092968</v>
          </cell>
          <cell r="AL190">
            <v>428.6384547090704</v>
          </cell>
          <cell r="AM190">
            <v>314.56119360899999</v>
          </cell>
          <cell r="AN190">
            <v>319.06418420900008</v>
          </cell>
          <cell r="AO190">
            <v>320.08751199499989</v>
          </cell>
          <cell r="AP190">
            <v>402.30569507100017</v>
          </cell>
          <cell r="AQ190">
            <v>353.36574320699998</v>
          </cell>
          <cell r="AR190">
            <v>336.139526698</v>
          </cell>
          <cell r="AS190">
            <v>325.70898270215025</v>
          </cell>
          <cell r="AT190">
            <v>378.03493751784981</v>
          </cell>
          <cell r="AU190">
            <v>331.43829403899997</v>
          </cell>
          <cell r="AV190">
            <v>336.45545824717544</v>
          </cell>
          <cell r="AW190">
            <v>339.15791172707242</v>
          </cell>
          <cell r="AX190">
            <v>344.17507593524789</v>
          </cell>
          <cell r="AY190">
            <v>347.74980319722266</v>
          </cell>
          <cell r="AZ190">
            <v>350.56559107736217</v>
          </cell>
          <cell r="BA190">
            <v>353.38137895750162</v>
          </cell>
          <cell r="BB190">
            <v>356.19716683764113</v>
          </cell>
          <cell r="BC190">
            <v>364.24630471320239</v>
          </cell>
          <cell r="BD190">
            <v>367.19566750440242</v>
          </cell>
          <cell r="BE190">
            <v>370.1450302956024</v>
          </cell>
          <cell r="BF190">
            <v>373.09439308680248</v>
          </cell>
          <cell r="BG190">
            <v>383.57202214241283</v>
          </cell>
          <cell r="BH190">
            <v>386.67786847554981</v>
          </cell>
          <cell r="BI190">
            <v>389.7837148086868</v>
          </cell>
          <cell r="BJ190">
            <v>392.88956114182372</v>
          </cell>
          <cell r="BK190">
            <v>383.57202214241283</v>
          </cell>
          <cell r="BL190">
            <v>386.67786847554981</v>
          </cell>
          <cell r="BM190">
            <v>389.7837148086868</v>
          </cell>
          <cell r="BN190">
            <v>478.79362285037007</v>
          </cell>
        </row>
        <row r="191">
          <cell r="A191" t="str">
            <v xml:space="preserve">   Interest expenses</v>
          </cell>
          <cell r="H191">
            <v>866.915562271</v>
          </cell>
          <cell r="I191">
            <v>1105.1195764879999</v>
          </cell>
          <cell r="J191">
            <v>736.30000774400003</v>
          </cell>
          <cell r="K191">
            <v>397.85756054400002</v>
          </cell>
          <cell r="L191">
            <v>325.96956768000001</v>
          </cell>
          <cell r="M191">
            <v>289.85391110095031</v>
          </cell>
          <cell r="N191">
            <v>253.04702608068973</v>
          </cell>
          <cell r="O191">
            <v>225.34213532191575</v>
          </cell>
          <cell r="P191">
            <v>208.5384460008105</v>
          </cell>
          <cell r="Q191">
            <v>195.243544779427</v>
          </cell>
          <cell r="AE191">
            <v>249.00295505400001</v>
          </cell>
          <cell r="AF191">
            <v>236.96825849500001</v>
          </cell>
          <cell r="AG191">
            <v>223.29431754400002</v>
          </cell>
          <cell r="AH191">
            <v>395.85404539499984</v>
          </cell>
          <cell r="AI191">
            <v>208.002661128</v>
          </cell>
          <cell r="AJ191">
            <v>196.129032994</v>
          </cell>
          <cell r="AK191">
            <v>175.79993669013913</v>
          </cell>
          <cell r="AL191">
            <v>156.36837693186089</v>
          </cell>
          <cell r="AM191">
            <v>115.494934122</v>
          </cell>
          <cell r="AN191">
            <v>97.64647944299999</v>
          </cell>
          <cell r="AO191">
            <v>92.43674818400001</v>
          </cell>
          <cell r="AP191">
            <v>92.27939879500002</v>
          </cell>
          <cell r="AQ191">
            <v>85.181193883000006</v>
          </cell>
          <cell r="AR191">
            <v>84.134670326000006</v>
          </cell>
          <cell r="AS191">
            <v>81.004171665000001</v>
          </cell>
          <cell r="AT191">
            <v>75.649531805999999</v>
          </cell>
          <cell r="AU191">
            <v>67.763388223999996</v>
          </cell>
          <cell r="AV191">
            <v>72.17362386413663</v>
          </cell>
          <cell r="AW191">
            <v>72.753331686338527</v>
          </cell>
          <cell r="AX191">
            <v>77.163567326475174</v>
          </cell>
          <cell r="AY191">
            <v>62.502615441930367</v>
          </cell>
          <cell r="AZ191">
            <v>63.008709494091747</v>
          </cell>
          <cell r="BA191">
            <v>63.51480354625312</v>
          </cell>
          <cell r="BB191">
            <v>64.020897598414507</v>
          </cell>
          <cell r="BC191">
            <v>55.659507424513187</v>
          </cell>
          <cell r="BD191">
            <v>56.11019169515702</v>
          </cell>
          <cell r="BE191">
            <v>56.560875965800854</v>
          </cell>
          <cell r="BF191">
            <v>57.011560236444694</v>
          </cell>
          <cell r="BG191">
            <v>51.508996162200191</v>
          </cell>
          <cell r="BH191">
            <v>51.926073054201815</v>
          </cell>
          <cell r="BI191">
            <v>52.343149946203432</v>
          </cell>
          <cell r="BJ191">
            <v>52.760226838205057</v>
          </cell>
          <cell r="BK191">
            <v>51.508996162200191</v>
          </cell>
          <cell r="BL191">
            <v>51.926073054201815</v>
          </cell>
          <cell r="BM191">
            <v>52.343149946203432</v>
          </cell>
          <cell r="BN191">
            <v>39.465325616821559</v>
          </cell>
        </row>
        <row r="192">
          <cell r="A192" t="str">
            <v xml:space="preserve">   SG&amp;A</v>
          </cell>
          <cell r="H192">
            <v>1572.7030613300001</v>
          </cell>
          <cell r="I192">
            <v>1487.887994987</v>
          </cell>
          <cell r="J192">
            <v>962.40876749100005</v>
          </cell>
          <cell r="K192">
            <v>958.16102434000004</v>
          </cell>
          <cell r="L192">
            <v>1067.2796224450001</v>
          </cell>
          <cell r="M192">
            <v>1061.3728288475454</v>
          </cell>
          <cell r="N192">
            <v>1154.8469139890378</v>
          </cell>
          <cell r="O192">
            <v>1249.3392602780939</v>
          </cell>
          <cell r="P192">
            <v>1344.3847205676627</v>
          </cell>
          <cell r="Q192">
            <v>1443.5836834975926</v>
          </cell>
          <cell r="AE192">
            <v>405.871199827</v>
          </cell>
          <cell r="AF192">
            <v>373.778735713</v>
          </cell>
          <cell r="AG192">
            <v>418.67741759500007</v>
          </cell>
          <cell r="AH192">
            <v>289.56064185199989</v>
          </cell>
          <cell r="AI192">
            <v>270.604175897</v>
          </cell>
          <cell r="AJ192">
            <v>202.83104562599999</v>
          </cell>
          <cell r="AK192">
            <v>216.70346819079066</v>
          </cell>
          <cell r="AL192">
            <v>272.27007777720939</v>
          </cell>
          <cell r="AM192">
            <v>199.066259487</v>
          </cell>
          <cell r="AN192">
            <v>221.41770476600001</v>
          </cell>
          <cell r="AO192">
            <v>227.65076381099999</v>
          </cell>
          <cell r="AP192">
            <v>310.02629627600004</v>
          </cell>
          <cell r="AQ192">
            <v>268.18454932399999</v>
          </cell>
          <cell r="AR192">
            <v>252.00485637200001</v>
          </cell>
          <cell r="AS192">
            <v>244.70481103715019</v>
          </cell>
          <cell r="AT192">
            <v>302.3854057118499</v>
          </cell>
          <cell r="AU192">
            <v>263.67490581499999</v>
          </cell>
          <cell r="AV192">
            <v>264.28183438303881</v>
          </cell>
          <cell r="AW192">
            <v>266.40458004073389</v>
          </cell>
          <cell r="AX192">
            <v>267.01150860877271</v>
          </cell>
          <cell r="AY192">
            <v>285.24718775529232</v>
          </cell>
          <cell r="AZ192">
            <v>287.55688158327041</v>
          </cell>
          <cell r="BA192">
            <v>289.8665754112485</v>
          </cell>
          <cell r="BB192">
            <v>292.1762692392266</v>
          </cell>
          <cell r="BC192">
            <v>308.58679728868918</v>
          </cell>
          <cell r="BD192">
            <v>311.08547580924539</v>
          </cell>
          <cell r="BE192">
            <v>313.58415432980155</v>
          </cell>
          <cell r="BF192">
            <v>316.08283285035782</v>
          </cell>
          <cell r="BG192">
            <v>332.06302598021267</v>
          </cell>
          <cell r="BH192">
            <v>334.75179542134799</v>
          </cell>
          <cell r="BI192">
            <v>337.44056486248337</v>
          </cell>
          <cell r="BJ192">
            <v>340.12933430361863</v>
          </cell>
          <cell r="BK192">
            <v>332.06302598021267</v>
          </cell>
          <cell r="BL192">
            <v>334.75179542134799</v>
          </cell>
          <cell r="BM192">
            <v>337.44056486248337</v>
          </cell>
          <cell r="BN192">
            <v>439.32829723354848</v>
          </cell>
        </row>
        <row r="193">
          <cell r="A193" t="str">
            <v>Provisioning expenses</v>
          </cell>
          <cell r="H193">
            <v>2697.4574824249999</v>
          </cell>
          <cell r="I193">
            <v>7134.3511772840002</v>
          </cell>
          <cell r="J193">
            <v>2580.442989316</v>
          </cell>
          <cell r="K193">
            <v>125.259430991</v>
          </cell>
          <cell r="L193">
            <v>118.966112426406</v>
          </cell>
          <cell r="M193">
            <v>307.91599786723259</v>
          </cell>
          <cell r="N193">
            <v>459.1027528200438</v>
          </cell>
          <cell r="O193">
            <v>488.94443175334663</v>
          </cell>
          <cell r="P193">
            <v>595.11522264835889</v>
          </cell>
          <cell r="Q193">
            <v>633.7977121205023</v>
          </cell>
          <cell r="AE193">
            <v>1108.4421188660001</v>
          </cell>
          <cell r="AF193">
            <v>993.23341886000003</v>
          </cell>
          <cell r="AG193">
            <v>807.68133218999992</v>
          </cell>
          <cell r="AH193">
            <v>4224.9943073680006</v>
          </cell>
          <cell r="AI193">
            <v>1259.2513831450001</v>
          </cell>
          <cell r="AJ193">
            <v>700.84298572900002</v>
          </cell>
          <cell r="AK193">
            <v>465.05056284299985</v>
          </cell>
          <cell r="AL193">
            <v>155.298057599</v>
          </cell>
          <cell r="AM193">
            <v>94.592368898999993</v>
          </cell>
          <cell r="AN193">
            <v>-3.2828218049999975</v>
          </cell>
          <cell r="AO193">
            <v>-22.769618886663352</v>
          </cell>
          <cell r="AP193">
            <v>56.719502783663359</v>
          </cell>
          <cell r="AQ193">
            <v>-18.211236221</v>
          </cell>
          <cell r="AR193">
            <v>70.375085078313106</v>
          </cell>
          <cell r="AS193">
            <v>61.564521177686885</v>
          </cell>
          <cell r="AT193">
            <v>5.2377423914060017</v>
          </cell>
          <cell r="AU193">
            <v>0</v>
          </cell>
          <cell r="AV193">
            <v>76.671083468940921</v>
          </cell>
          <cell r="AW193">
            <v>77.286915464675374</v>
          </cell>
          <cell r="AX193">
            <v>153.9579989336163</v>
          </cell>
          <cell r="AY193">
            <v>113.39837994655082</v>
          </cell>
          <cell r="AZ193">
            <v>114.31658545219091</v>
          </cell>
          <cell r="BA193">
            <v>115.234790957831</v>
          </cell>
          <cell r="BB193">
            <v>116.15299646347108</v>
          </cell>
          <cell r="BC193">
            <v>120.76927464307661</v>
          </cell>
          <cell r="BD193">
            <v>121.74716350658331</v>
          </cell>
          <cell r="BE193">
            <v>122.72505237009001</v>
          </cell>
          <cell r="BF193">
            <v>123.70294123359673</v>
          </cell>
          <cell r="BG193">
            <v>146.99345999414464</v>
          </cell>
          <cell r="BH193">
            <v>148.18369043944136</v>
          </cell>
          <cell r="BI193">
            <v>149.37392088473808</v>
          </cell>
          <cell r="BJ193">
            <v>150.5641513300348</v>
          </cell>
          <cell r="BK193">
            <v>146.99345999414464</v>
          </cell>
          <cell r="BL193">
            <v>148.18369043944136</v>
          </cell>
          <cell r="BM193">
            <v>149.37392088473808</v>
          </cell>
          <cell r="BN193">
            <v>189.24664080217821</v>
          </cell>
        </row>
        <row r="194">
          <cell r="A194" t="str">
            <v>Operating profits</v>
          </cell>
          <cell r="H194">
            <v>494.07763048900006</v>
          </cell>
          <cell r="I194">
            <v>-5334.7241830970006</v>
          </cell>
          <cell r="J194">
            <v>-846.88328725400038</v>
          </cell>
          <cell r="K194">
            <v>1248.434125926</v>
          </cell>
          <cell r="L194">
            <v>1191.1822747795939</v>
          </cell>
          <cell r="M194">
            <v>1042.9221479387345</v>
          </cell>
          <cell r="N194">
            <v>1010.7024104387317</v>
          </cell>
          <cell r="O194">
            <v>1101.1237176914997</v>
          </cell>
          <cell r="P194">
            <v>1115.9198762559388</v>
          </cell>
          <cell r="Q194">
            <v>1203.4906123309793</v>
          </cell>
          <cell r="AE194">
            <v>-377.1144677850001</v>
          </cell>
          <cell r="AF194">
            <v>-370.57842555714262</v>
          </cell>
          <cell r="AG194">
            <v>-218.08609178885717</v>
          </cell>
          <cell r="AH194">
            <v>-4368.9451979660007</v>
          </cell>
          <cell r="AI194">
            <v>-616.06000861600023</v>
          </cell>
          <cell r="AJ194">
            <v>-418.13140510899984</v>
          </cell>
          <cell r="AK194">
            <v>-69.908895480929459</v>
          </cell>
          <cell r="AL194">
            <v>257.21702195192915</v>
          </cell>
          <cell r="AM194">
            <v>292.73861594499994</v>
          </cell>
          <cell r="AN194">
            <v>354.9711754170001</v>
          </cell>
          <cell r="AO194">
            <v>361.30802727766297</v>
          </cell>
          <cell r="AP194">
            <v>239.41630728633697</v>
          </cell>
          <cell r="AQ194">
            <v>342.14187301700008</v>
          </cell>
          <cell r="AR194">
            <v>286.27857659968674</v>
          </cell>
          <cell r="AS194">
            <v>287.31880690616299</v>
          </cell>
          <cell r="AT194">
            <v>275.44301825674398</v>
          </cell>
          <cell r="AU194">
            <v>301.87882936500012</v>
          </cell>
          <cell r="AV194">
            <v>259.6876148367449</v>
          </cell>
          <cell r="AW194">
            <v>261.77345913262252</v>
          </cell>
          <cell r="AX194">
            <v>219.5822446043673</v>
          </cell>
          <cell r="AY194">
            <v>249.64349537836679</v>
          </cell>
          <cell r="AZ194">
            <v>251.66490019924419</v>
          </cell>
          <cell r="BA194">
            <v>253.68630502012175</v>
          </cell>
          <cell r="BB194">
            <v>255.7077098409988</v>
          </cell>
          <cell r="BC194">
            <v>271.9775582698004</v>
          </cell>
          <cell r="BD194">
            <v>274.17980570518341</v>
          </cell>
          <cell r="BE194">
            <v>276.38205314056643</v>
          </cell>
          <cell r="BF194">
            <v>278.5843005759495</v>
          </cell>
          <cell r="BG194">
            <v>275.63220943521702</v>
          </cell>
          <cell r="BH194">
            <v>277.86404918772882</v>
          </cell>
          <cell r="BI194">
            <v>280.09588894024074</v>
          </cell>
          <cell r="BJ194">
            <v>282.32772869275249</v>
          </cell>
          <cell r="BK194">
            <v>275.63220943521702</v>
          </cell>
          <cell r="BL194">
            <v>277.86404918772882</v>
          </cell>
          <cell r="BM194">
            <v>280.09588894024074</v>
          </cell>
          <cell r="BN194">
            <v>369.89846476779252</v>
          </cell>
        </row>
        <row r="195">
          <cell r="A195" t="str">
            <v>Net non-op income</v>
          </cell>
          <cell r="H195">
            <v>6.9539340109999443</v>
          </cell>
          <cell r="I195">
            <v>-238.36101234099999</v>
          </cell>
          <cell r="J195">
            <v>53.344025035000001</v>
          </cell>
          <cell r="K195">
            <v>114.639048867</v>
          </cell>
          <cell r="L195">
            <v>-4.4052661692749025E-2</v>
          </cell>
          <cell r="M195">
            <v>127.15864395674907</v>
          </cell>
          <cell r="N195">
            <v>169.84752538423777</v>
          </cell>
          <cell r="O195">
            <v>112.47913377968803</v>
          </cell>
          <cell r="P195">
            <v>115.35299818894123</v>
          </cell>
          <cell r="Q195">
            <v>-1.4604686541645151</v>
          </cell>
          <cell r="AE195">
            <v>-23.53841091</v>
          </cell>
          <cell r="AF195">
            <v>8.2456145539999994</v>
          </cell>
          <cell r="AG195">
            <v>-51.863796805000007</v>
          </cell>
          <cell r="AH195">
            <v>-171.20441918</v>
          </cell>
          <cell r="AI195">
            <v>69.820089715999998</v>
          </cell>
          <cell r="AJ195">
            <v>-63.553354689323101</v>
          </cell>
          <cell r="AK195">
            <v>-21.493838811676895</v>
          </cell>
          <cell r="AL195">
            <v>68.571128819999998</v>
          </cell>
          <cell r="AM195">
            <v>-0.967728959</v>
          </cell>
          <cell r="AN195">
            <v>124.820539842</v>
          </cell>
          <cell r="AO195">
            <v>2.0853736480000009</v>
          </cell>
          <cell r="AP195">
            <v>-11.299135664000005</v>
          </cell>
          <cell r="AQ195">
            <v>11.43453465</v>
          </cell>
          <cell r="AR195">
            <v>0.70938428800000075</v>
          </cell>
          <cell r="AS195">
            <v>18.804677622</v>
          </cell>
          <cell r="AT195">
            <v>-30.992649221692748</v>
          </cell>
          <cell r="AU195">
            <v>43.540123170000001</v>
          </cell>
          <cell r="AV195">
            <v>31.662502345230518</v>
          </cell>
          <cell r="AW195">
            <v>31.916819633144019</v>
          </cell>
          <cell r="AX195">
            <v>20.039198808374536</v>
          </cell>
          <cell r="AY195">
            <v>41.952338769906731</v>
          </cell>
          <cell r="AZ195">
            <v>42.292033820675208</v>
          </cell>
          <cell r="BA195">
            <v>42.631728871443677</v>
          </cell>
          <cell r="BB195">
            <v>42.971423922212153</v>
          </cell>
          <cell r="BC195">
            <v>27.782346043582944</v>
          </cell>
          <cell r="BD195">
            <v>28.00730431114232</v>
          </cell>
          <cell r="BE195">
            <v>28.232262578701693</v>
          </cell>
          <cell r="BF195">
            <v>28.457220846261066</v>
          </cell>
          <cell r="BG195">
            <v>28.492190552668482</v>
          </cell>
          <cell r="BH195">
            <v>28.722896549046364</v>
          </cell>
          <cell r="BI195">
            <v>28.95360254542425</v>
          </cell>
          <cell r="BJ195">
            <v>29.184308541802139</v>
          </cell>
          <cell r="BK195">
            <v>28.492190552668482</v>
          </cell>
          <cell r="BL195">
            <v>28.722896549046364</v>
          </cell>
          <cell r="BM195">
            <v>28.95360254542425</v>
          </cell>
          <cell r="BN195">
            <v>-87.629158301303605</v>
          </cell>
        </row>
        <row r="196">
          <cell r="A196" t="str">
            <v>Pretax profits</v>
          </cell>
          <cell r="H196">
            <v>501.0315645</v>
          </cell>
          <cell r="I196">
            <v>-5556.9521903970008</v>
          </cell>
          <cell r="J196">
            <v>-81.600473410000404</v>
          </cell>
          <cell r="K196">
            <v>1363.0731747929999</v>
          </cell>
          <cell r="L196">
            <v>1191.138222117901</v>
          </cell>
          <cell r="M196">
            <v>1170.0807918954836</v>
          </cell>
          <cell r="N196">
            <v>1180.5499358229695</v>
          </cell>
          <cell r="O196">
            <v>1213.6028514711877</v>
          </cell>
          <cell r="P196">
            <v>1231.27287444488</v>
          </cell>
          <cell r="Q196">
            <v>1202.0301436768148</v>
          </cell>
          <cell r="AE196">
            <v>-384.51987365400009</v>
          </cell>
          <cell r="AF196">
            <v>-362.33281100314264</v>
          </cell>
          <cell r="AG196">
            <v>-269.94988859385717</v>
          </cell>
          <cell r="AH196">
            <v>-4540.1496171460012</v>
          </cell>
          <cell r="AI196">
            <v>121.08402371299974</v>
          </cell>
          <cell r="AJ196">
            <v>-481.68475979832283</v>
          </cell>
          <cell r="AK196">
            <v>-46.78788809660648</v>
          </cell>
          <cell r="AL196">
            <v>325.78815077192917</v>
          </cell>
          <cell r="AM196">
            <v>291.77088698599994</v>
          </cell>
          <cell r="AN196">
            <v>479.79171525900006</v>
          </cell>
          <cell r="AO196">
            <v>363.39340092566306</v>
          </cell>
          <cell r="AP196">
            <v>228.11717162233685</v>
          </cell>
          <cell r="AQ196">
            <v>353.57640766700013</v>
          </cell>
          <cell r="AR196">
            <v>286.98796088768665</v>
          </cell>
          <cell r="AS196">
            <v>306.12348452816309</v>
          </cell>
          <cell r="AT196">
            <v>244.45036903505115</v>
          </cell>
          <cell r="AU196">
            <v>345.41895253500013</v>
          </cell>
          <cell r="AV196">
            <v>291.35011718197541</v>
          </cell>
          <cell r="AW196">
            <v>293.69027876576655</v>
          </cell>
          <cell r="AX196">
            <v>239.62144341274183</v>
          </cell>
          <cell r="AY196">
            <v>291.59583414827352</v>
          </cell>
          <cell r="AZ196">
            <v>293.9569340199194</v>
          </cell>
          <cell r="BA196">
            <v>296.31803389156545</v>
          </cell>
          <cell r="BB196">
            <v>298.67913376321098</v>
          </cell>
          <cell r="BC196">
            <v>299.75990431338334</v>
          </cell>
          <cell r="BD196">
            <v>302.18711001632573</v>
          </cell>
          <cell r="BE196">
            <v>304.61431571926812</v>
          </cell>
          <cell r="BF196">
            <v>307.04152142221056</v>
          </cell>
          <cell r="BG196">
            <v>304.12439998788551</v>
          </cell>
          <cell r="BH196">
            <v>306.58694573677519</v>
          </cell>
          <cell r="BI196">
            <v>309.04949148566499</v>
          </cell>
          <cell r="BJ196">
            <v>311.51203723455461</v>
          </cell>
          <cell r="BK196">
            <v>304.12439998788551</v>
          </cell>
          <cell r="BL196">
            <v>306.58694573677519</v>
          </cell>
          <cell r="BM196">
            <v>309.04949148566499</v>
          </cell>
          <cell r="BN196">
            <v>282.2693064664889</v>
          </cell>
        </row>
        <row r="197">
          <cell r="A197" t="str">
            <v xml:space="preserve">   Income taxes</v>
          </cell>
          <cell r="H197">
            <v>150.63719141000001</v>
          </cell>
          <cell r="I197">
            <v>0</v>
          </cell>
          <cell r="J197">
            <v>0</v>
          </cell>
          <cell r="K197">
            <v>0</v>
          </cell>
          <cell r="L197">
            <v>-2.5410259009999998</v>
          </cell>
          <cell r="M197">
            <v>0</v>
          </cell>
          <cell r="N197">
            <v>0</v>
          </cell>
          <cell r="O197">
            <v>305.56319250068691</v>
          </cell>
          <cell r="P197">
            <v>338.60004047234219</v>
          </cell>
          <cell r="Q197">
            <v>330.55828951112409</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-2.5410259009999998</v>
          </cell>
          <cell r="AT197">
            <v>0</v>
          </cell>
          <cell r="AU197">
            <v>-519.98051612200004</v>
          </cell>
          <cell r="AV197">
            <v>0</v>
          </cell>
          <cell r="AW197">
            <v>0</v>
          </cell>
          <cell r="AX197">
            <v>519.98051612200004</v>
          </cell>
          <cell r="AY197">
            <v>0</v>
          </cell>
          <cell r="AZ197">
            <v>0</v>
          </cell>
          <cell r="BA197">
            <v>0</v>
          </cell>
          <cell r="BB197">
            <v>0</v>
          </cell>
          <cell r="BC197">
            <v>43.568330025642766</v>
          </cell>
          <cell r="BD197">
            <v>83.101455254489579</v>
          </cell>
          <cell r="BE197">
            <v>83.768936822798736</v>
          </cell>
          <cell r="BF197">
            <v>95.124470397755829</v>
          </cell>
          <cell r="BG197">
            <v>83.634209996668488</v>
          </cell>
          <cell r="BH197">
            <v>84.311410077613218</v>
          </cell>
          <cell r="BI197">
            <v>84.988610158557861</v>
          </cell>
          <cell r="BJ197">
            <v>85.665810239502633</v>
          </cell>
          <cell r="BK197">
            <v>83.634209996668488</v>
          </cell>
          <cell r="BL197">
            <v>84.311410077613218</v>
          </cell>
          <cell r="BM197">
            <v>84.988610158557861</v>
          </cell>
          <cell r="BN197">
            <v>77.624059278284534</v>
          </cell>
        </row>
        <row r="198">
          <cell r="A198" t="str">
            <v>Net profits</v>
          </cell>
          <cell r="H198">
            <v>350.39437308999999</v>
          </cell>
          <cell r="I198">
            <v>-5598.8110330510008</v>
          </cell>
          <cell r="J198">
            <v>-81.600473410000404</v>
          </cell>
          <cell r="K198">
            <v>1363.0731747929999</v>
          </cell>
          <cell r="L198">
            <v>1193.679248018901</v>
          </cell>
          <cell r="M198">
            <v>1170.0807918954836</v>
          </cell>
          <cell r="N198">
            <v>1180.5499358229695</v>
          </cell>
          <cell r="O198">
            <v>908.0396589705008</v>
          </cell>
          <cell r="P198">
            <v>892.67283397253777</v>
          </cell>
          <cell r="Q198">
            <v>871.47185416569073</v>
          </cell>
          <cell r="AE198">
            <v>-384.51987365400009</v>
          </cell>
          <cell r="AF198">
            <v>-362.33281100314264</v>
          </cell>
          <cell r="AG198">
            <v>-269.94988859385717</v>
          </cell>
          <cell r="AH198">
            <v>-4582.0084598000012</v>
          </cell>
          <cell r="AI198">
            <v>121.08402371299974</v>
          </cell>
          <cell r="AJ198">
            <v>-481.68475979832283</v>
          </cell>
          <cell r="AK198">
            <v>-46.78788809660648</v>
          </cell>
          <cell r="AL198">
            <v>325.78815077192917</v>
          </cell>
          <cell r="AM198">
            <v>291.77088698599994</v>
          </cell>
          <cell r="AN198">
            <v>479.79171525900006</v>
          </cell>
          <cell r="AO198">
            <v>363.39340092566306</v>
          </cell>
          <cell r="AP198">
            <v>228.11717162233685</v>
          </cell>
          <cell r="AQ198">
            <v>353.57640766700013</v>
          </cell>
          <cell r="AR198">
            <v>286.98796088768665</v>
          </cell>
          <cell r="AS198">
            <v>308.6645104291631</v>
          </cell>
          <cell r="AT198">
            <v>244.45036903505115</v>
          </cell>
          <cell r="AU198">
            <v>865.39946865700017</v>
          </cell>
          <cell r="AV198">
            <v>291.35011718197541</v>
          </cell>
          <cell r="AW198">
            <v>293.69027876576655</v>
          </cell>
          <cell r="AX198">
            <v>-280.35907270925821</v>
          </cell>
          <cell r="AY198">
            <v>291.59583414827352</v>
          </cell>
          <cell r="AZ198">
            <v>293.9569340199194</v>
          </cell>
          <cell r="BA198">
            <v>296.31803389156545</v>
          </cell>
          <cell r="BB198">
            <v>298.67913376321098</v>
          </cell>
          <cell r="BC198">
            <v>256.19157428774059</v>
          </cell>
          <cell r="BD198">
            <v>219.08565476183617</v>
          </cell>
          <cell r="BE198">
            <v>220.84537889646938</v>
          </cell>
          <cell r="BF198">
            <v>211.91705102445474</v>
          </cell>
          <cell r="BG198">
            <v>220.49018999121702</v>
          </cell>
          <cell r="BH198">
            <v>222.27553565916196</v>
          </cell>
          <cell r="BI198">
            <v>224.06088132710713</v>
          </cell>
          <cell r="BJ198">
            <v>225.84622699505198</v>
          </cell>
          <cell r="BK198">
            <v>220.49018999121702</v>
          </cell>
          <cell r="BL198">
            <v>222.27553565916196</v>
          </cell>
          <cell r="BM198">
            <v>224.06088132710713</v>
          </cell>
          <cell r="BN198">
            <v>204.64524718820437</v>
          </cell>
        </row>
        <row r="200">
          <cell r="A200" t="str">
            <v>Income statement (Adjusted)</v>
          </cell>
          <cell r="AU200">
            <v>0.247</v>
          </cell>
          <cell r="AV200">
            <v>0.249</v>
          </cell>
          <cell r="AW200">
            <v>0.251</v>
          </cell>
          <cell r="AX200">
            <v>0.253</v>
          </cell>
          <cell r="AY200">
            <v>0.247</v>
          </cell>
          <cell r="AZ200">
            <v>0.249</v>
          </cell>
          <cell r="BA200">
            <v>0.251</v>
          </cell>
          <cell r="BB200">
            <v>0.253</v>
          </cell>
          <cell r="BC200">
            <v>0.247</v>
          </cell>
          <cell r="BD200">
            <v>0.249</v>
          </cell>
          <cell r="BE200">
            <v>0.251</v>
          </cell>
          <cell r="BF200">
            <v>0.253</v>
          </cell>
          <cell r="BG200">
            <v>0.247</v>
          </cell>
          <cell r="BH200">
            <v>0.249</v>
          </cell>
          <cell r="BI200">
            <v>0.251</v>
          </cell>
          <cell r="BJ200">
            <v>0.253</v>
          </cell>
          <cell r="BK200">
            <v>0.247</v>
          </cell>
          <cell r="BL200">
            <v>0.249</v>
          </cell>
          <cell r="BM200">
            <v>0.251</v>
          </cell>
          <cell r="BN200">
            <v>0.253</v>
          </cell>
        </row>
        <row r="201">
          <cell r="A201" t="str">
            <v>Net interest income</v>
          </cell>
          <cell r="H201">
            <v>2466.328781235</v>
          </cell>
          <cell r="I201">
            <v>1295.5570329789998</v>
          </cell>
          <cell r="J201">
            <v>1096.2485332249998</v>
          </cell>
          <cell r="K201">
            <v>1258.873010435</v>
          </cell>
          <cell r="L201">
            <v>1586.3900235169999</v>
          </cell>
          <cell r="M201">
            <v>1673.2125797721546</v>
          </cell>
          <cell r="N201">
            <v>1837.6187866991672</v>
          </cell>
          <cell r="O201">
            <v>2001.2169552886319</v>
          </cell>
          <cell r="P201">
            <v>2162.7469854994224</v>
          </cell>
          <cell r="Q201">
            <v>2330.1754397683208</v>
          </cell>
          <cell r="AE201">
            <v>423.78943630499998</v>
          </cell>
          <cell r="AF201">
            <v>369.22774891500001</v>
          </cell>
          <cell r="AG201">
            <v>291.60989857899995</v>
          </cell>
          <cell r="AH201">
            <v>210.92994917999988</v>
          </cell>
          <cell r="AI201">
            <v>294.37467453300002</v>
          </cell>
          <cell r="AJ201">
            <v>255.00410349200007</v>
          </cell>
          <cell r="AK201">
            <v>287.02713966686088</v>
          </cell>
          <cell r="AL201">
            <v>259.84261553313877</v>
          </cell>
          <cell r="AM201">
            <v>282.76668578499994</v>
          </cell>
          <cell r="AN201">
            <v>315.89966258100003</v>
          </cell>
          <cell r="AO201">
            <v>306.43041332099978</v>
          </cell>
          <cell r="AP201">
            <v>353.77624874800028</v>
          </cell>
          <cell r="AQ201">
            <v>366.76667728699999</v>
          </cell>
          <cell r="AR201">
            <v>394.23812477599995</v>
          </cell>
          <cell r="AS201">
            <v>405.89680904700009</v>
          </cell>
          <cell r="AT201">
            <v>419.48841240699983</v>
          </cell>
          <cell r="AU201">
            <v>412.40661923600004</v>
          </cell>
          <cell r="AV201">
            <v>416.62993236326651</v>
          </cell>
          <cell r="AW201">
            <v>419.97635752281087</v>
          </cell>
          <cell r="AX201">
            <v>424.19967065007728</v>
          </cell>
          <cell r="AY201">
            <v>453.89184031469432</v>
          </cell>
          <cell r="AZ201">
            <v>457.56707788809257</v>
          </cell>
          <cell r="BA201">
            <v>461.24231546149099</v>
          </cell>
          <cell r="BB201">
            <v>464.91755303488901</v>
          </cell>
          <cell r="BC201">
            <v>494.30058795629202</v>
          </cell>
          <cell r="BD201">
            <v>498.30302186686936</v>
          </cell>
          <cell r="BE201">
            <v>502.30545577744658</v>
          </cell>
          <cell r="BF201">
            <v>506.30788968802403</v>
          </cell>
          <cell r="BG201">
            <v>534.19850541835729</v>
          </cell>
          <cell r="BH201">
            <v>538.52399938935616</v>
          </cell>
          <cell r="BI201">
            <v>542.84949336035504</v>
          </cell>
          <cell r="BJ201">
            <v>547.17498733135369</v>
          </cell>
          <cell r="BK201">
            <v>534.19850541835729</v>
          </cell>
          <cell r="BL201">
            <v>538.52399938935616</v>
          </cell>
          <cell r="BM201">
            <v>542.84949336035504</v>
          </cell>
          <cell r="BN201">
            <v>714.60344160025204</v>
          </cell>
        </row>
        <row r="202">
          <cell r="A202" t="str">
            <v xml:space="preserve">   Interest income</v>
          </cell>
          <cell r="H202">
            <v>3333.244343506</v>
          </cell>
          <cell r="I202">
            <v>2400.6766094669997</v>
          </cell>
          <cell r="J202">
            <v>1832.5485409689998</v>
          </cell>
          <cell r="K202">
            <v>1656.730570979</v>
          </cell>
          <cell r="L202">
            <v>1912.3595911969999</v>
          </cell>
          <cell r="M202">
            <v>1963.0664908731051</v>
          </cell>
          <cell r="N202">
            <v>2090.6658127798569</v>
          </cell>
          <cell r="O202">
            <v>2226.5590906105476</v>
          </cell>
          <cell r="P202">
            <v>2371.2854315002328</v>
          </cell>
          <cell r="Q202">
            <v>2525.4189845477476</v>
          </cell>
          <cell r="AE202">
            <v>672.79239135900002</v>
          </cell>
          <cell r="AF202">
            <v>606.19600740999999</v>
          </cell>
          <cell r="AG202">
            <v>514.90421612299997</v>
          </cell>
          <cell r="AH202">
            <v>606.78399457499972</v>
          </cell>
          <cell r="AI202">
            <v>502.37733566100002</v>
          </cell>
          <cell r="AJ202">
            <v>451.13313648600007</v>
          </cell>
          <cell r="AK202">
            <v>462.82707635700001</v>
          </cell>
          <cell r="AL202">
            <v>416.21099246499966</v>
          </cell>
          <cell r="AM202">
            <v>398.26161990699995</v>
          </cell>
          <cell r="AN202">
            <v>413.54614202400001</v>
          </cell>
          <cell r="AO202">
            <v>398.86716150499979</v>
          </cell>
          <cell r="AP202">
            <v>446.0556475430003</v>
          </cell>
          <cell r="AQ202">
            <v>451.94787116999998</v>
          </cell>
          <cell r="AR202">
            <v>478.37279510199994</v>
          </cell>
          <cell r="AS202">
            <v>486.90098071200009</v>
          </cell>
          <cell r="AT202">
            <v>495.13794421299986</v>
          </cell>
          <cell r="AU202">
            <v>480.17000746000002</v>
          </cell>
          <cell r="AV202">
            <v>488.80355622740313</v>
          </cell>
          <cell r="AW202">
            <v>492.7296892091494</v>
          </cell>
          <cell r="AX202">
            <v>501.36323797655245</v>
          </cell>
          <cell r="AY202">
            <v>516.39445575662467</v>
          </cell>
          <cell r="AZ202">
            <v>520.57578738218433</v>
          </cell>
          <cell r="BA202">
            <v>524.75711900774411</v>
          </cell>
          <cell r="BB202">
            <v>528.93845063330355</v>
          </cell>
          <cell r="BC202">
            <v>549.96009538080523</v>
          </cell>
          <cell r="BD202">
            <v>554.41321356202639</v>
          </cell>
          <cell r="BE202">
            <v>558.86633174324743</v>
          </cell>
          <cell r="BF202">
            <v>563.3194499244687</v>
          </cell>
          <cell r="BG202">
            <v>585.7075015805575</v>
          </cell>
          <cell r="BH202">
            <v>590.45007244355793</v>
          </cell>
          <cell r="BI202">
            <v>595.19264330655847</v>
          </cell>
          <cell r="BJ202">
            <v>599.93521416955878</v>
          </cell>
          <cell r="BK202">
            <v>585.7075015805575</v>
          </cell>
          <cell r="BL202">
            <v>590.45007244355793</v>
          </cell>
          <cell r="BM202">
            <v>595.19264330655847</v>
          </cell>
          <cell r="BN202">
            <v>754.06876721707363</v>
          </cell>
        </row>
        <row r="203">
          <cell r="A203" t="str">
            <v xml:space="preserve">      as % avg. IEA</v>
          </cell>
          <cell r="H203">
            <v>0.22705022369048625</v>
          </cell>
          <cell r="I203">
            <v>0.17767155226364328</v>
          </cell>
          <cell r="J203">
            <v>0.18065838994200234</v>
          </cell>
          <cell r="K203">
            <v>0.20403404621440149</v>
          </cell>
          <cell r="L203">
            <v>0.22045629804518035</v>
          </cell>
          <cell r="M203">
            <v>0.21</v>
          </cell>
          <cell r="N203">
            <v>0.21000000000000002</v>
          </cell>
          <cell r="O203">
            <v>0.21000000000000002</v>
          </cell>
          <cell r="P203">
            <v>0.21</v>
          </cell>
          <cell r="Q203">
            <v>0.21</v>
          </cell>
          <cell r="Y203">
            <v>0.21</v>
          </cell>
          <cell r="AE203">
            <v>0.18612002627548649</v>
          </cell>
          <cell r="AF203">
            <v>0.18730513133242233</v>
          </cell>
          <cell r="AG203">
            <v>0.19088447319919208</v>
          </cell>
          <cell r="AH203">
            <v>0.21797791080514689</v>
          </cell>
          <cell r="AI203">
            <v>0.16521480712007197</v>
          </cell>
          <cell r="AJ203">
            <v>0.16131009724312503</v>
          </cell>
          <cell r="AK203">
            <v>0.18244135539345419</v>
          </cell>
          <cell r="AL203">
            <v>0.18655163474800746</v>
          </cell>
          <cell r="AM203">
            <v>0.20158889321833359</v>
          </cell>
          <cell r="AN203">
            <v>0.2022229231102193</v>
          </cell>
          <cell r="AO203">
            <v>0.18926801532817616</v>
          </cell>
          <cell r="AP203">
            <v>0.21425243378647418</v>
          </cell>
          <cell r="AQ203">
            <v>0.21312019890756964</v>
          </cell>
          <cell r="AR203">
            <v>0.2175777082348464</v>
          </cell>
          <cell r="AS203">
            <v>0.21637353945113608</v>
          </cell>
          <cell r="AT203">
            <v>0.21840540054168248</v>
          </cell>
          <cell r="AU203">
            <v>0.21408742322326269</v>
          </cell>
          <cell r="AV203">
            <v>0.21493045758257787</v>
          </cell>
          <cell r="AW203">
            <v>0.20991688682448262</v>
          </cell>
          <cell r="AX203">
            <v>0.20982366536162153</v>
          </cell>
          <cell r="AY203">
            <v>0.21249656540607564</v>
          </cell>
          <cell r="AZ203">
            <v>0.21250450184501846</v>
          </cell>
          <cell r="BA203">
            <v>0.21167285323609847</v>
          </cell>
          <cell r="BB203">
            <v>0.20841973285841484</v>
          </cell>
          <cell r="BC203">
            <v>0.21249656540607559</v>
          </cell>
          <cell r="BD203">
            <v>0.21250450184501846</v>
          </cell>
          <cell r="BE203">
            <v>0.21167285323609844</v>
          </cell>
          <cell r="BF203">
            <v>0.208419732858415</v>
          </cell>
          <cell r="BG203">
            <v>0.21249656540607564</v>
          </cell>
          <cell r="BH203">
            <v>0.21250450184501843</v>
          </cell>
          <cell r="BI203">
            <v>0.21167285323609847</v>
          </cell>
          <cell r="BJ203">
            <v>0.20841973285841489</v>
          </cell>
          <cell r="BK203">
            <v>0.19952729146110387</v>
          </cell>
          <cell r="BL203">
            <v>0.19953474351644923</v>
          </cell>
          <cell r="BM203">
            <v>0.19875385280384833</v>
          </cell>
          <cell r="BN203">
            <v>0.24597775074310499</v>
          </cell>
        </row>
        <row r="204">
          <cell r="A204" t="str">
            <v xml:space="preserve">   Interest expenses</v>
          </cell>
          <cell r="H204">
            <v>866.915562271</v>
          </cell>
          <cell r="I204">
            <v>1105.1195764879999</v>
          </cell>
          <cell r="J204">
            <v>736.30000774400003</v>
          </cell>
          <cell r="K204">
            <v>397.85756054400002</v>
          </cell>
          <cell r="L204">
            <v>325.96956768000001</v>
          </cell>
          <cell r="M204">
            <v>289.85391110095031</v>
          </cell>
          <cell r="N204">
            <v>253.04702608068973</v>
          </cell>
          <cell r="O204">
            <v>225.34213532191575</v>
          </cell>
          <cell r="P204">
            <v>208.5384460008105</v>
          </cell>
          <cell r="Q204">
            <v>195.243544779427</v>
          </cell>
          <cell r="AE204">
            <v>249.00295505400001</v>
          </cell>
          <cell r="AF204">
            <v>236.96825849500001</v>
          </cell>
          <cell r="AG204">
            <v>223.29431754400002</v>
          </cell>
          <cell r="AH204">
            <v>395.85404539499984</v>
          </cell>
          <cell r="AI204">
            <v>208.002661128</v>
          </cell>
          <cell r="AJ204">
            <v>196.129032994</v>
          </cell>
          <cell r="AK204">
            <v>175.79993669013913</v>
          </cell>
          <cell r="AL204">
            <v>156.36837693186089</v>
          </cell>
          <cell r="AM204">
            <v>115.494934122</v>
          </cell>
          <cell r="AN204">
            <v>97.64647944299999</v>
          </cell>
          <cell r="AO204">
            <v>92.43674818400001</v>
          </cell>
          <cell r="AP204">
            <v>92.27939879500002</v>
          </cell>
          <cell r="AQ204">
            <v>85.181193883000006</v>
          </cell>
          <cell r="AR204">
            <v>84.134670326000006</v>
          </cell>
          <cell r="AS204">
            <v>81.004171665000001</v>
          </cell>
          <cell r="AT204">
            <v>75.649531805999999</v>
          </cell>
          <cell r="AU204">
            <v>67.763388223999996</v>
          </cell>
          <cell r="AV204">
            <v>72.17362386413663</v>
          </cell>
          <cell r="AW204">
            <v>72.753331686338527</v>
          </cell>
          <cell r="AX204">
            <v>77.163567326475174</v>
          </cell>
          <cell r="AY204">
            <v>62.502615441930367</v>
          </cell>
          <cell r="AZ204">
            <v>63.008709494091747</v>
          </cell>
          <cell r="BA204">
            <v>63.51480354625312</v>
          </cell>
          <cell r="BB204">
            <v>64.020897598414507</v>
          </cell>
          <cell r="BC204">
            <v>55.659507424513187</v>
          </cell>
          <cell r="BD204">
            <v>56.11019169515702</v>
          </cell>
          <cell r="BE204">
            <v>56.560875965800854</v>
          </cell>
          <cell r="BF204">
            <v>57.011560236444694</v>
          </cell>
          <cell r="BG204">
            <v>51.508996162200191</v>
          </cell>
          <cell r="BH204">
            <v>51.926073054201815</v>
          </cell>
          <cell r="BI204">
            <v>52.343149946203432</v>
          </cell>
          <cell r="BJ204">
            <v>52.760226838205057</v>
          </cell>
          <cell r="BK204">
            <v>51.508996162200191</v>
          </cell>
          <cell r="BL204">
            <v>51.926073054201815</v>
          </cell>
          <cell r="BM204">
            <v>52.343149946203432</v>
          </cell>
          <cell r="BN204">
            <v>39.465325616821559</v>
          </cell>
        </row>
        <row r="205">
          <cell r="A205" t="str">
            <v xml:space="preserve">      as % avg. IBL</v>
          </cell>
          <cell r="H205">
            <v>5.6177985287326579E-2</v>
          </cell>
          <cell r="I205">
            <v>7.9311109461876264E-2</v>
          </cell>
          <cell r="J205">
            <v>7.2979587243164806E-2</v>
          </cell>
          <cell r="K205">
            <v>5.7595838866865028E-2</v>
          </cell>
          <cell r="L205">
            <v>5.8157802030175891E-2</v>
          </cell>
          <cell r="M205">
            <v>0.06</v>
          </cell>
          <cell r="N205">
            <v>0.06</v>
          </cell>
          <cell r="O205">
            <v>0.06</v>
          </cell>
          <cell r="P205">
            <v>0.06</v>
          </cell>
          <cell r="Q205">
            <v>0.06</v>
          </cell>
          <cell r="Y205">
            <v>0.06</v>
          </cell>
          <cell r="AE205">
            <v>6.1753793451808668E-2</v>
          </cell>
          <cell r="AF205">
            <v>6.072926411256354E-2</v>
          </cell>
          <cell r="AG205">
            <v>6.6072988004755473E-2</v>
          </cell>
          <cell r="AH205">
            <v>0.126259039716307</v>
          </cell>
          <cell r="AI205">
            <v>7.0605006094768691E-2</v>
          </cell>
          <cell r="AJ205">
            <v>7.2582100150105355E-2</v>
          </cell>
          <cell r="AK205">
            <v>7.019287054387896E-2</v>
          </cell>
          <cell r="AL205">
            <v>7.2340851145758417E-2</v>
          </cell>
          <cell r="AM205">
            <v>6.4785369086131167E-2</v>
          </cell>
          <cell r="AN205">
            <v>6.0116469684230976E-2</v>
          </cell>
          <cell r="AO205">
            <v>5.8688587040613263E-2</v>
          </cell>
          <cell r="AP205">
            <v>6.0513028411718885E-2</v>
          </cell>
          <cell r="AQ205">
            <v>5.6492025634066835E-2</v>
          </cell>
          <cell r="AR205">
            <v>5.7975621838722027E-2</v>
          </cell>
          <cell r="AS205">
            <v>5.7881392224783786E-2</v>
          </cell>
          <cell r="AT205">
            <v>5.6499375414224291E-2</v>
          </cell>
          <cell r="AU205">
            <v>5.6311322413104464E-2</v>
          </cell>
          <cell r="AV205">
            <v>5.9903976199247852E-2</v>
          </cell>
          <cell r="AW205">
            <v>5.8292908508003526E-2</v>
          </cell>
          <cell r="AX205">
            <v>6.5935588060059627E-2</v>
          </cell>
          <cell r="AY205">
            <v>5.6200347935673883E-2</v>
          </cell>
          <cell r="AZ205">
            <v>5.7653801316625092E-2</v>
          </cell>
          <cell r="BA205">
            <v>5.9694809886271426E-2</v>
          </cell>
          <cell r="BB205">
            <v>6.3625442034658641E-2</v>
          </cell>
          <cell r="BC205">
            <v>5.7515732254367895E-2</v>
          </cell>
          <cell r="BD205">
            <v>5.8562417128935618E-2</v>
          </cell>
          <cell r="BE205">
            <v>5.9933594247849602E-2</v>
          </cell>
          <cell r="BF205">
            <v>6.2312847478950065E-2</v>
          </cell>
          <cell r="BG205">
            <v>5.7705361821958664E-2</v>
          </cell>
          <cell r="BH205">
            <v>5.8692287358706373E-2</v>
          </cell>
          <cell r="BI205">
            <v>5.9967273298392305E-2</v>
          </cell>
          <cell r="BJ205">
            <v>6.2132878567001969E-2</v>
          </cell>
          <cell r="BK205">
            <v>6.1958188787983794E-2</v>
          </cell>
          <cell r="BL205">
            <v>6.2909771604299461E-2</v>
          </cell>
          <cell r="BM205">
            <v>6.4107720688814596E-2</v>
          </cell>
          <cell r="BN205">
            <v>4.9414962856525281E-2</v>
          </cell>
        </row>
        <row r="206">
          <cell r="A206" t="str">
            <v>Non-interest come</v>
          </cell>
          <cell r="H206">
            <v>2297.9093930089998</v>
          </cell>
          <cell r="I206">
            <v>1991.957956195</v>
          </cell>
          <cell r="J206">
            <v>1599.7199363279999</v>
          </cell>
          <cell r="K206">
            <v>1072.9815708220001</v>
          </cell>
          <cell r="L206">
            <v>791.03798613399999</v>
          </cell>
          <cell r="M206">
            <v>738.99839488135808</v>
          </cell>
          <cell r="N206">
            <v>787.03329054864639</v>
          </cell>
          <cell r="O206">
            <v>838.19045443430844</v>
          </cell>
          <cell r="P206">
            <v>892.67283397253834</v>
          </cell>
          <cell r="Q206">
            <v>950.69656818075339</v>
          </cell>
          <cell r="AE206">
            <v>713.40941460299996</v>
          </cell>
          <cell r="AF206">
            <v>627.20598010085746</v>
          </cell>
          <cell r="AG206">
            <v>716.66275941714275</v>
          </cell>
          <cell r="AH206">
            <v>-65.320197926000219</v>
          </cell>
          <cell r="AI206">
            <v>619.4208758929999</v>
          </cell>
          <cell r="AJ206">
            <v>230.53852275400021</v>
          </cell>
          <cell r="AK206">
            <v>324.81799588599995</v>
          </cell>
          <cell r="AL206">
            <v>424.9425417949999</v>
          </cell>
          <cell r="AM206">
            <v>303.63055854599997</v>
          </cell>
          <cell r="AN206">
            <v>257.20639579700014</v>
          </cell>
          <cell r="AO206">
            <v>259.75875888099972</v>
          </cell>
          <cell r="AP206">
            <v>252.38585759800026</v>
          </cell>
          <cell r="AQ206">
            <v>225.3485088330001</v>
          </cell>
          <cell r="AR206">
            <v>214.42039327399993</v>
          </cell>
          <cell r="AS206">
            <v>187.69133007400001</v>
          </cell>
          <cell r="AT206">
            <v>163.57775395299996</v>
          </cell>
          <cell r="AU206">
            <v>153.14711594400006</v>
          </cell>
          <cell r="AV206">
            <v>184.01060032545817</v>
          </cell>
          <cell r="AW206">
            <v>185.48859711522087</v>
          </cell>
          <cell r="AX206">
            <v>216.35208149667903</v>
          </cell>
          <cell r="AY206">
            <v>194.39722276551566</v>
          </cell>
          <cell r="AZ206">
            <v>195.97128934661296</v>
          </cell>
          <cell r="BA206">
            <v>197.54535592771023</v>
          </cell>
          <cell r="BB206">
            <v>199.11942250880747</v>
          </cell>
          <cell r="BC206">
            <v>207.03304224527417</v>
          </cell>
          <cell r="BD206">
            <v>208.7094231541428</v>
          </cell>
          <cell r="BE206">
            <v>210.38580406301142</v>
          </cell>
          <cell r="BF206">
            <v>212.06218497188001</v>
          </cell>
          <cell r="BG206">
            <v>220.49018999121697</v>
          </cell>
          <cell r="BH206">
            <v>222.27553565916205</v>
          </cell>
          <cell r="BI206">
            <v>224.06088132710713</v>
          </cell>
          <cell r="BJ206">
            <v>225.84622699505223</v>
          </cell>
          <cell r="BK206">
            <v>220.49018999121697</v>
          </cell>
          <cell r="BL206">
            <v>222.27553565916205</v>
          </cell>
          <cell r="BM206">
            <v>224.06088132710713</v>
          </cell>
          <cell r="BN206">
            <v>283.86996120326728</v>
          </cell>
        </row>
        <row r="207">
          <cell r="A207" t="str">
            <v xml:space="preserve">   as % of managed IEA</v>
          </cell>
          <cell r="H207">
            <v>7.1919115478159892E-2</v>
          </cell>
          <cell r="I207">
            <v>7.2869386517514068E-2</v>
          </cell>
          <cell r="J207">
            <v>9.6019454596791232E-2</v>
          </cell>
          <cell r="K207">
            <v>9.155969102198995E-2</v>
          </cell>
          <cell r="L207">
            <v>6.8265792488894542E-2</v>
          </cell>
          <cell r="M207">
            <v>0.06</v>
          </cell>
          <cell r="N207">
            <v>0.06</v>
          </cell>
          <cell r="O207">
            <v>0.06</v>
          </cell>
          <cell r="P207">
            <v>0.06</v>
          </cell>
          <cell r="Q207">
            <v>0.06</v>
          </cell>
          <cell r="Y207">
            <v>0.06</v>
          </cell>
          <cell r="AE207">
            <v>8.5074431557363869E-2</v>
          </cell>
          <cell r="AF207">
            <v>8.3442830169536436E-2</v>
          </cell>
          <cell r="AG207">
            <v>0.10878693949829832</v>
          </cell>
          <cell r="AH207">
            <v>-1.1361994634585841E-2</v>
          </cell>
          <cell r="AI207">
            <v>0.1283408532185073</v>
          </cell>
          <cell r="AJ207">
            <v>5.6107330506768034E-2</v>
          </cell>
          <cell r="AK207">
            <v>8.8936549159256903E-2</v>
          </cell>
          <cell r="AL207">
            <v>0.13064973579600175</v>
          </cell>
          <cell r="AM207">
            <v>0.10472758586571955</v>
          </cell>
          <cell r="AN207">
            <v>9.4760641851280983E-2</v>
          </cell>
          <cell r="AO207">
            <v>9.7073756048510901E-2</v>
          </cell>
          <cell r="AP207">
            <v>9.202103672588334E-2</v>
          </cell>
          <cell r="AQ207">
            <v>7.8836678694888751E-2</v>
          </cell>
          <cell r="AR207">
            <v>7.3025522661411046E-2</v>
          </cell>
          <cell r="AS207">
            <v>6.2829283147132181E-2</v>
          </cell>
          <cell r="AT207">
            <v>5.4619898726555309E-2</v>
          </cell>
          <cell r="AU207">
            <v>5.1866462756149173E-2</v>
          </cell>
          <cell r="AV207">
            <v>6.1442007858431395E-2</v>
          </cell>
          <cell r="AW207">
            <v>5.9952637850387167E-2</v>
          </cell>
          <cell r="AX207">
            <v>6.8711672247540601E-2</v>
          </cell>
          <cell r="AY207">
            <v>6.0713304401735897E-2</v>
          </cell>
          <cell r="AZ207">
            <v>6.0715571955719555E-2</v>
          </cell>
          <cell r="BA207">
            <v>6.0477958067456691E-2</v>
          </cell>
          <cell r="BB207">
            <v>5.9548495102404252E-2</v>
          </cell>
          <cell r="BC207">
            <v>6.0713304401735897E-2</v>
          </cell>
          <cell r="BD207">
            <v>6.0715571955719555E-2</v>
          </cell>
          <cell r="BE207">
            <v>6.0477958067456698E-2</v>
          </cell>
          <cell r="BF207">
            <v>5.9548495102404272E-2</v>
          </cell>
          <cell r="BG207">
            <v>6.0713304401735883E-2</v>
          </cell>
          <cell r="BH207">
            <v>6.0715571955719555E-2</v>
          </cell>
          <cell r="BI207">
            <v>6.0477958067456691E-2</v>
          </cell>
          <cell r="BJ207">
            <v>5.9548495102404286E-2</v>
          </cell>
          <cell r="BK207">
            <v>5.7007797560315383E-2</v>
          </cell>
          <cell r="BL207">
            <v>5.7009926718985492E-2</v>
          </cell>
          <cell r="BM207">
            <v>5.6786815086813804E-2</v>
          </cell>
          <cell r="BN207">
            <v>7.0279357355172906E-2</v>
          </cell>
        </row>
        <row r="209">
          <cell r="A209" t="str">
            <v>LLPE</v>
          </cell>
          <cell r="H209">
            <v>2697.4574824249999</v>
          </cell>
          <cell r="I209">
            <v>7134.3511772840002</v>
          </cell>
          <cell r="J209">
            <v>2580.442989316</v>
          </cell>
          <cell r="K209">
            <v>125.259430991</v>
          </cell>
          <cell r="L209">
            <v>118.966112426406</v>
          </cell>
          <cell r="M209">
            <v>307.91599786723259</v>
          </cell>
          <cell r="N209">
            <v>459.1027528200438</v>
          </cell>
          <cell r="O209">
            <v>488.94443175334663</v>
          </cell>
          <cell r="P209">
            <v>595.11522264835889</v>
          </cell>
          <cell r="Q209">
            <v>633.7977121205023</v>
          </cell>
          <cell r="AE209">
            <v>1108.4421188660001</v>
          </cell>
          <cell r="AF209">
            <v>993.23341886000003</v>
          </cell>
          <cell r="AG209">
            <v>807.68133218999992</v>
          </cell>
          <cell r="AH209">
            <v>4224.9943073680006</v>
          </cell>
          <cell r="AI209">
            <v>1259.2513831450001</v>
          </cell>
          <cell r="AJ209">
            <v>700.84298572900002</v>
          </cell>
          <cell r="AK209">
            <v>465.05056284299985</v>
          </cell>
          <cell r="AL209">
            <v>155.298057599</v>
          </cell>
          <cell r="AM209">
            <v>94.592368898999993</v>
          </cell>
          <cell r="AN209">
            <v>-3.2828218049999975</v>
          </cell>
          <cell r="AO209">
            <v>-22.769618886663352</v>
          </cell>
          <cell r="AP209">
            <v>56.719502783663359</v>
          </cell>
          <cell r="AQ209">
            <v>-18.211236221</v>
          </cell>
          <cell r="AR209">
            <v>70.375085078313106</v>
          </cell>
          <cell r="AS209">
            <v>61.564521177686885</v>
          </cell>
          <cell r="AT209">
            <v>5.2377423914060017</v>
          </cell>
          <cell r="AU209">
            <v>0</v>
          </cell>
          <cell r="AV209">
            <v>76.671083468940921</v>
          </cell>
          <cell r="AW209">
            <v>77.286915464675374</v>
          </cell>
          <cell r="AX209">
            <v>153.9579989336163</v>
          </cell>
          <cell r="AY209">
            <v>113.39837994655082</v>
          </cell>
          <cell r="AZ209">
            <v>114.31658545219091</v>
          </cell>
          <cell r="BA209">
            <v>115.234790957831</v>
          </cell>
          <cell r="BB209">
            <v>116.15299646347108</v>
          </cell>
          <cell r="BC209">
            <v>120.76927464307661</v>
          </cell>
          <cell r="BD209">
            <v>121.74716350658331</v>
          </cell>
          <cell r="BE209">
            <v>122.72505237009001</v>
          </cell>
          <cell r="BF209">
            <v>123.70294123359673</v>
          </cell>
          <cell r="BG209">
            <v>146.99345999414464</v>
          </cell>
          <cell r="BH209">
            <v>148.18369043944136</v>
          </cell>
          <cell r="BI209">
            <v>149.37392088473808</v>
          </cell>
          <cell r="BJ209">
            <v>150.5641513300348</v>
          </cell>
          <cell r="BK209">
            <v>146.99345999414464</v>
          </cell>
          <cell r="BL209">
            <v>148.18369043944136</v>
          </cell>
          <cell r="BM209">
            <v>149.37392088473808</v>
          </cell>
          <cell r="BN209">
            <v>189.24664080217821</v>
          </cell>
        </row>
        <row r="210">
          <cell r="A210" t="str">
            <v xml:space="preserve">   as % of avg. IEA (managed)</v>
          </cell>
          <cell r="H210">
            <v>8.4424023317089175E-2</v>
          </cell>
          <cell r="I210">
            <v>0.26098733252495254</v>
          </cell>
          <cell r="J210">
            <v>0.15488506633290694</v>
          </cell>
          <cell r="K210">
            <v>1.0688640989742414E-2</v>
          </cell>
          <cell r="L210">
            <v>1.0266657336902905E-2</v>
          </cell>
          <cell r="M210">
            <v>2.5000000000000001E-2</v>
          </cell>
          <cell r="N210">
            <v>3.5000000000000003E-2</v>
          </cell>
          <cell r="O210">
            <v>3.5000000000000003E-2</v>
          </cell>
          <cell r="P210">
            <v>0.04</v>
          </cell>
          <cell r="Q210">
            <v>0.04</v>
          </cell>
          <cell r="AE210">
            <v>0.13218228025381651</v>
          </cell>
          <cell r="AF210">
            <v>0.13213873929473033</v>
          </cell>
          <cell r="AG210">
            <v>0.12260324547953169</v>
          </cell>
          <cell r="AH210">
            <v>0.73490840774631461</v>
          </cell>
          <cell r="AI210">
            <v>0.26091047818887558</v>
          </cell>
          <cell r="AJ210">
            <v>0.17056771494804249</v>
          </cell>
          <cell r="AK210">
            <v>0.12733282258887682</v>
          </cell>
          <cell r="AL210">
            <v>4.7746808566720804E-2</v>
          </cell>
          <cell r="AM210">
            <v>3.2626592275661934E-2</v>
          </cell>
          <cell r="AN210">
            <v>-1.2094656525209503E-3</v>
          </cell>
          <cell r="AO210">
            <v>-8.509173814362574E-3</v>
          </cell>
          <cell r="AP210">
            <v>2.0680189842660516E-2</v>
          </cell>
          <cell r="AQ210">
            <v>-6.3710800041533308E-3</v>
          </cell>
          <cell r="AR210">
            <v>2.3967763941268021E-2</v>
          </cell>
          <cell r="AS210">
            <v>2.0608595673361516E-2</v>
          </cell>
          <cell r="AT210">
            <v>1.7489233839008507E-3</v>
          </cell>
          <cell r="AU210">
            <v>0</v>
          </cell>
          <cell r="AV210">
            <v>2.5600836607679752E-2</v>
          </cell>
          <cell r="AW210">
            <v>2.4980265770994659E-2</v>
          </cell>
          <cell r="AX210">
            <v>4.889581597474129E-2</v>
          </cell>
          <cell r="AY210">
            <v>3.5416094234345948E-2</v>
          </cell>
          <cell r="AZ210">
            <v>3.5417416974169745E-2</v>
          </cell>
          <cell r="BA210">
            <v>3.527880887268308E-2</v>
          </cell>
          <cell r="BB210">
            <v>3.4736622143069162E-2</v>
          </cell>
          <cell r="BC210">
            <v>3.5416094234345941E-2</v>
          </cell>
          <cell r="BD210">
            <v>3.5417416974169745E-2</v>
          </cell>
          <cell r="BE210">
            <v>3.527880887268308E-2</v>
          </cell>
          <cell r="BF210">
            <v>3.4736622143069176E-2</v>
          </cell>
          <cell r="BG210">
            <v>4.0475536267823922E-2</v>
          </cell>
          <cell r="BH210">
            <v>4.0477047970479706E-2</v>
          </cell>
          <cell r="BI210">
            <v>4.0318638711637794E-2</v>
          </cell>
          <cell r="BJ210">
            <v>3.9698996734936182E-2</v>
          </cell>
          <cell r="BK210">
            <v>3.8005198373543589E-2</v>
          </cell>
          <cell r="BL210">
            <v>3.8006617812656997E-2</v>
          </cell>
          <cell r="BM210">
            <v>3.7857876724542536E-2</v>
          </cell>
          <cell r="BN210">
            <v>4.6852904903448608E-2</v>
          </cell>
        </row>
        <row r="211">
          <cell r="A211" t="str">
            <v>SG&amp;A</v>
          </cell>
          <cell r="H211">
            <v>1572.7030613300001</v>
          </cell>
          <cell r="I211">
            <v>1487.887994987</v>
          </cell>
          <cell r="J211">
            <v>962.40876749100005</v>
          </cell>
          <cell r="K211">
            <v>958.16102434000004</v>
          </cell>
          <cell r="L211">
            <v>1067.2796224450001</v>
          </cell>
          <cell r="M211">
            <v>1061.3728288475454</v>
          </cell>
          <cell r="N211">
            <v>1154.8469139890378</v>
          </cell>
          <cell r="O211">
            <v>1249.3392602780939</v>
          </cell>
          <cell r="P211">
            <v>1344.3847205676627</v>
          </cell>
          <cell r="Q211">
            <v>1443.5836834975926</v>
          </cell>
          <cell r="AE211">
            <v>405.871199827</v>
          </cell>
          <cell r="AF211">
            <v>373.778735713</v>
          </cell>
          <cell r="AG211">
            <v>418.67741759500007</v>
          </cell>
          <cell r="AH211">
            <v>289.56064185199989</v>
          </cell>
          <cell r="AI211">
            <v>270.604175897</v>
          </cell>
          <cell r="AJ211">
            <v>202.83104562599999</v>
          </cell>
          <cell r="AK211">
            <v>216.70346819079066</v>
          </cell>
          <cell r="AL211">
            <v>272.27007777720939</v>
          </cell>
          <cell r="AM211">
            <v>199.066259487</v>
          </cell>
          <cell r="AN211">
            <v>221.41770476600001</v>
          </cell>
          <cell r="AO211">
            <v>227.65076381099999</v>
          </cell>
          <cell r="AP211">
            <v>310.02629627600004</v>
          </cell>
          <cell r="AQ211">
            <v>268.18454932399999</v>
          </cell>
          <cell r="AR211">
            <v>252.00485637200001</v>
          </cell>
          <cell r="AS211">
            <v>244.70481103715019</v>
          </cell>
          <cell r="AT211">
            <v>302.3854057118499</v>
          </cell>
          <cell r="AU211">
            <v>263.67490581499999</v>
          </cell>
          <cell r="AV211">
            <v>264.28183438303881</v>
          </cell>
          <cell r="AW211">
            <v>266.40458004073389</v>
          </cell>
          <cell r="AX211">
            <v>267.01150860877271</v>
          </cell>
          <cell r="AY211">
            <v>285.24718775529232</v>
          </cell>
          <cell r="AZ211">
            <v>287.55688158327041</v>
          </cell>
          <cell r="BA211">
            <v>289.8665754112485</v>
          </cell>
          <cell r="BB211">
            <v>292.1762692392266</v>
          </cell>
          <cell r="BC211">
            <v>308.58679728868918</v>
          </cell>
          <cell r="BD211">
            <v>311.08547580924539</v>
          </cell>
          <cell r="BE211">
            <v>313.58415432980155</v>
          </cell>
          <cell r="BF211">
            <v>316.08283285035782</v>
          </cell>
          <cell r="BG211">
            <v>332.06302598021267</v>
          </cell>
          <cell r="BH211">
            <v>334.75179542134799</v>
          </cell>
          <cell r="BI211">
            <v>337.44056486248337</v>
          </cell>
          <cell r="BJ211">
            <v>340.12933430361863</v>
          </cell>
          <cell r="BK211">
            <v>332.06302598021267</v>
          </cell>
          <cell r="BL211">
            <v>334.75179542134799</v>
          </cell>
          <cell r="BM211">
            <v>337.44056486248337</v>
          </cell>
          <cell r="BN211">
            <v>439.32829723354848</v>
          </cell>
        </row>
        <row r="212">
          <cell r="A212" t="str">
            <v xml:space="preserve">   Cost / income ratio</v>
          </cell>
          <cell r="H212">
            <v>0.33010588551853004</v>
          </cell>
          <cell r="I212">
            <v>0.45258744063120981</v>
          </cell>
          <cell r="J212">
            <v>0.35698072079105975</v>
          </cell>
          <cell r="K212">
            <v>0.41090084778078129</v>
          </cell>
          <cell r="L212">
            <v>0.44892195183721834</v>
          </cell>
          <cell r="M212">
            <v>0.43999999999999995</v>
          </cell>
          <cell r="N212">
            <v>0.44</v>
          </cell>
          <cell r="O212">
            <v>0.44000000000000006</v>
          </cell>
          <cell r="P212">
            <v>0.44</v>
          </cell>
          <cell r="Q212">
            <v>0.44</v>
          </cell>
          <cell r="Y212">
            <v>0.44</v>
          </cell>
          <cell r="AE212">
            <v>0.35690433515908926</v>
          </cell>
          <cell r="AF212">
            <v>0.3751165028126538</v>
          </cell>
          <cell r="AG212">
            <v>0.41524226038925455</v>
          </cell>
          <cell r="AH212">
            <v>1.9886074892532044</v>
          </cell>
          <cell r="AI212">
            <v>0.2961320787465509</v>
          </cell>
          <cell r="AJ212">
            <v>0.41774096580191006</v>
          </cell>
          <cell r="AK212">
            <v>0.35418025836714101</v>
          </cell>
          <cell r="AL212">
            <v>0.39759926871011558</v>
          </cell>
          <cell r="AM212">
            <v>0.3394733884094352</v>
          </cell>
          <cell r="AN212">
            <v>0.38634682277248034</v>
          </cell>
          <cell r="AO212">
            <v>0.40207544578365928</v>
          </cell>
          <cell r="AP212">
            <v>0.51145773223084878</v>
          </cell>
          <cell r="AQ212">
            <v>0.45292631503230657</v>
          </cell>
          <cell r="AR212">
            <v>0.41403323686221438</v>
          </cell>
          <cell r="AS212">
            <v>0.41224680028060384</v>
          </cell>
          <cell r="AT212">
            <v>0.51861250602071385</v>
          </cell>
          <cell r="AU212">
            <v>0.46622432036644507</v>
          </cell>
          <cell r="AV212">
            <v>0.43999999999999995</v>
          </cell>
          <cell r="AW212">
            <v>0.43999999999999989</v>
          </cell>
          <cell r="AX212">
            <v>0.4168461138602863</v>
          </cell>
          <cell r="AY212">
            <v>0.43999999999999989</v>
          </cell>
          <cell r="AZ212">
            <v>0.43999999999999995</v>
          </cell>
          <cell r="BA212">
            <v>0.43999999999999995</v>
          </cell>
          <cell r="BB212">
            <v>0.44000000000000022</v>
          </cell>
          <cell r="BC212">
            <v>0.44000000000000011</v>
          </cell>
          <cell r="BD212">
            <v>0.44000000000000006</v>
          </cell>
          <cell r="BE212">
            <v>0.44000000000000006</v>
          </cell>
          <cell r="BF212">
            <v>0.44000000000000006</v>
          </cell>
          <cell r="BG212">
            <v>0.44</v>
          </cell>
          <cell r="BH212">
            <v>0.43999999999999995</v>
          </cell>
          <cell r="BI212">
            <v>0.44</v>
          </cell>
          <cell r="BJ212">
            <v>0.44000000000000006</v>
          </cell>
          <cell r="BK212">
            <v>0.44</v>
          </cell>
          <cell r="BL212">
            <v>0.43999999999999995</v>
          </cell>
          <cell r="BM212">
            <v>0.44</v>
          </cell>
          <cell r="BN212">
            <v>0.44</v>
          </cell>
        </row>
        <row r="213">
          <cell r="H213">
            <v>0</v>
          </cell>
          <cell r="I213">
            <v>0</v>
          </cell>
          <cell r="J213">
            <v>0</v>
          </cell>
          <cell r="K213">
            <v>4.0431524547803618E-2</v>
          </cell>
        </row>
        <row r="214">
          <cell r="A214" t="str">
            <v>Op profits</v>
          </cell>
          <cell r="H214">
            <v>494.07763048899938</v>
          </cell>
          <cell r="I214">
            <v>-5334.7241830970006</v>
          </cell>
          <cell r="J214">
            <v>-846.88328725400049</v>
          </cell>
          <cell r="K214">
            <v>1248.434125926</v>
          </cell>
          <cell r="L214">
            <v>1191.1822747795939</v>
          </cell>
          <cell r="M214">
            <v>1042.9221479387347</v>
          </cell>
          <cell r="N214">
            <v>1010.7024104387317</v>
          </cell>
          <cell r="O214">
            <v>1101.1237176914999</v>
          </cell>
          <cell r="P214">
            <v>1115.9198762559392</v>
          </cell>
          <cell r="Q214">
            <v>1203.4906123309793</v>
          </cell>
          <cell r="AE214">
            <v>-377.11446778500016</v>
          </cell>
          <cell r="AF214">
            <v>-370.57842555714257</v>
          </cell>
          <cell r="AG214">
            <v>-218.08609178885729</v>
          </cell>
          <cell r="AH214">
            <v>-4368.9451979660007</v>
          </cell>
          <cell r="AI214">
            <v>-616.06000861600023</v>
          </cell>
          <cell r="AJ214">
            <v>-418.13140510899973</v>
          </cell>
          <cell r="AK214">
            <v>-69.908895480929687</v>
          </cell>
          <cell r="AL214">
            <v>257.21702195192927</v>
          </cell>
          <cell r="AM214">
            <v>292.73861594499988</v>
          </cell>
          <cell r="AN214">
            <v>354.97117541700015</v>
          </cell>
          <cell r="AO214">
            <v>361.30802727766292</v>
          </cell>
          <cell r="AP214">
            <v>239.41630728633709</v>
          </cell>
          <cell r="AQ214">
            <v>342.14187301700014</v>
          </cell>
          <cell r="AR214">
            <v>286.2785765996868</v>
          </cell>
          <cell r="AS214">
            <v>287.31880690616299</v>
          </cell>
          <cell r="AT214">
            <v>275.44301825674393</v>
          </cell>
          <cell r="AU214">
            <v>301.87882936500012</v>
          </cell>
          <cell r="AV214">
            <v>259.68761483674496</v>
          </cell>
          <cell r="AW214">
            <v>261.77345913262241</v>
          </cell>
          <cell r="AX214">
            <v>219.58224460436736</v>
          </cell>
          <cell r="AY214">
            <v>249.64349537836688</v>
          </cell>
          <cell r="AZ214">
            <v>251.66490019924424</v>
          </cell>
          <cell r="BA214">
            <v>253.68630502012172</v>
          </cell>
          <cell r="BB214">
            <v>255.70770984099875</v>
          </cell>
          <cell r="BC214">
            <v>271.97755826980034</v>
          </cell>
          <cell r="BD214">
            <v>274.17980570518341</v>
          </cell>
          <cell r="BE214">
            <v>276.38205314056643</v>
          </cell>
          <cell r="BF214">
            <v>278.58430057594956</v>
          </cell>
          <cell r="BG214">
            <v>275.63220943521691</v>
          </cell>
          <cell r="BH214">
            <v>277.86404918772894</v>
          </cell>
          <cell r="BI214">
            <v>280.09588894024068</v>
          </cell>
          <cell r="BJ214">
            <v>282.32772869275254</v>
          </cell>
          <cell r="BK214">
            <v>275.63220943521691</v>
          </cell>
          <cell r="BL214">
            <v>277.86404918772894</v>
          </cell>
          <cell r="BM214">
            <v>280.09588894024068</v>
          </cell>
          <cell r="BN214">
            <v>369.89846476779258</v>
          </cell>
        </row>
        <row r="215">
          <cell r="A215" t="str">
            <v>Net non-op income</v>
          </cell>
          <cell r="H215">
            <v>6.9539340109999443</v>
          </cell>
          <cell r="I215">
            <v>-238.36101234099999</v>
          </cell>
          <cell r="J215">
            <v>53.344025035000001</v>
          </cell>
          <cell r="K215">
            <v>114.639048867</v>
          </cell>
          <cell r="L215">
            <v>-4.4052661692749025E-2</v>
          </cell>
          <cell r="M215">
            <v>127.15864395674907</v>
          </cell>
          <cell r="N215">
            <v>169.84752538423777</v>
          </cell>
          <cell r="O215">
            <v>112.47913377968803</v>
          </cell>
          <cell r="P215">
            <v>115.35299818894123</v>
          </cell>
          <cell r="Q215">
            <v>-1.4604686541645151</v>
          </cell>
          <cell r="AE215">
            <v>-23.53841091</v>
          </cell>
          <cell r="AF215">
            <v>8.2456145539999994</v>
          </cell>
          <cell r="AG215">
            <v>-51.863796805000007</v>
          </cell>
          <cell r="AH215">
            <v>-171.20441918</v>
          </cell>
          <cell r="AI215">
            <v>69.820089715999998</v>
          </cell>
          <cell r="AJ215">
            <v>-63.553354689323101</v>
          </cell>
          <cell r="AK215">
            <v>-21.493838811676895</v>
          </cell>
          <cell r="AL215">
            <v>68.571128819999998</v>
          </cell>
          <cell r="AM215">
            <v>-0.967728959</v>
          </cell>
          <cell r="AN215">
            <v>124.820539842</v>
          </cell>
          <cell r="AO215">
            <v>2.0853736480000009</v>
          </cell>
          <cell r="AP215">
            <v>-11.299135664000005</v>
          </cell>
          <cell r="AQ215">
            <v>11.43453465</v>
          </cell>
          <cell r="AR215">
            <v>0.70938428800000075</v>
          </cell>
          <cell r="AS215">
            <v>18.804677622</v>
          </cell>
          <cell r="AT215">
            <v>-30.992649221692748</v>
          </cell>
          <cell r="AU215">
            <v>43.540123170000001</v>
          </cell>
          <cell r="AV215">
            <v>31.662502345230518</v>
          </cell>
          <cell r="AW215">
            <v>31.916819633144019</v>
          </cell>
          <cell r="AX215">
            <v>20.039198808374536</v>
          </cell>
          <cell r="AY215">
            <v>41.952338769906731</v>
          </cell>
          <cell r="AZ215">
            <v>42.292033820675208</v>
          </cell>
          <cell r="BA215">
            <v>42.631728871443677</v>
          </cell>
          <cell r="BB215">
            <v>42.971423922212153</v>
          </cell>
          <cell r="BC215">
            <v>27.782346043582944</v>
          </cell>
          <cell r="BD215">
            <v>28.00730431114232</v>
          </cell>
          <cell r="BE215">
            <v>28.232262578701693</v>
          </cell>
          <cell r="BF215">
            <v>28.457220846261066</v>
          </cell>
          <cell r="BG215">
            <v>28.492190552668482</v>
          </cell>
          <cell r="BH215">
            <v>28.722896549046364</v>
          </cell>
          <cell r="BI215">
            <v>28.95360254542425</v>
          </cell>
          <cell r="BJ215">
            <v>29.184308541802139</v>
          </cell>
          <cell r="BK215">
            <v>28.492190552668482</v>
          </cell>
          <cell r="BL215">
            <v>28.722896549046364</v>
          </cell>
          <cell r="BM215">
            <v>28.95360254542425</v>
          </cell>
          <cell r="BN215">
            <v>-87.629158301303605</v>
          </cell>
        </row>
        <row r="216">
          <cell r="A216" t="str">
            <v>Pretax profits</v>
          </cell>
          <cell r="H216">
            <v>501.03156449999932</v>
          </cell>
          <cell r="I216">
            <v>-5573.0851954380005</v>
          </cell>
          <cell r="J216">
            <v>-793.53926221900053</v>
          </cell>
          <cell r="K216">
            <v>1363.0731747929999</v>
          </cell>
          <cell r="L216">
            <v>1191.138222117901</v>
          </cell>
          <cell r="M216">
            <v>1170.0807918954838</v>
          </cell>
          <cell r="N216">
            <v>1180.5499358229695</v>
          </cell>
          <cell r="O216">
            <v>1213.6028514711879</v>
          </cell>
          <cell r="P216">
            <v>1231.2728744448805</v>
          </cell>
          <cell r="Q216">
            <v>1202.0301436768148</v>
          </cell>
          <cell r="AE216">
            <v>-400.65287869500014</v>
          </cell>
          <cell r="AF216">
            <v>-362.33281100314258</v>
          </cell>
          <cell r="AG216">
            <v>-269.94988859385728</v>
          </cell>
          <cell r="AH216">
            <v>-4540.1496171460003</v>
          </cell>
          <cell r="AI216">
            <v>-546.23991890000025</v>
          </cell>
          <cell r="AJ216">
            <v>-481.68475979832283</v>
          </cell>
          <cell r="AK216">
            <v>-91.402734292606581</v>
          </cell>
          <cell r="AL216">
            <v>325.78815077192928</v>
          </cell>
          <cell r="AM216">
            <v>291.77088698599988</v>
          </cell>
          <cell r="AN216">
            <v>479.79171525900017</v>
          </cell>
          <cell r="AO216">
            <v>363.39340092566295</v>
          </cell>
          <cell r="AP216">
            <v>228.11717162233708</v>
          </cell>
          <cell r="AQ216">
            <v>353.57640766700013</v>
          </cell>
          <cell r="AR216">
            <v>286.98796088768682</v>
          </cell>
          <cell r="AS216">
            <v>306.12348452816298</v>
          </cell>
          <cell r="AT216">
            <v>244.45036903505118</v>
          </cell>
          <cell r="AU216">
            <v>345.41895253500013</v>
          </cell>
          <cell r="AV216">
            <v>291.35011718197546</v>
          </cell>
          <cell r="AW216">
            <v>293.69027876576644</v>
          </cell>
          <cell r="AX216">
            <v>239.62144341274188</v>
          </cell>
          <cell r="AY216">
            <v>291.59583414827364</v>
          </cell>
          <cell r="AZ216">
            <v>293.95693401991946</v>
          </cell>
          <cell r="BA216">
            <v>296.31803389156539</v>
          </cell>
          <cell r="BB216">
            <v>298.67913376321087</v>
          </cell>
          <cell r="BC216">
            <v>299.75990431338329</v>
          </cell>
          <cell r="BD216">
            <v>302.18711001632573</v>
          </cell>
          <cell r="BE216">
            <v>304.61431571926812</v>
          </cell>
          <cell r="BF216">
            <v>307.04152142221062</v>
          </cell>
          <cell r="BG216">
            <v>304.1243999878854</v>
          </cell>
          <cell r="BH216">
            <v>306.58694573677531</v>
          </cell>
          <cell r="BI216">
            <v>309.04949148566493</v>
          </cell>
          <cell r="BJ216">
            <v>311.51203723455467</v>
          </cell>
          <cell r="BK216">
            <v>304.1243999878854</v>
          </cell>
          <cell r="BL216">
            <v>306.58694573677531</v>
          </cell>
          <cell r="BM216">
            <v>309.04949148566493</v>
          </cell>
          <cell r="BN216">
            <v>282.26930646648896</v>
          </cell>
        </row>
        <row r="217">
          <cell r="A217" t="str">
            <v xml:space="preserve">   Income taxes</v>
          </cell>
          <cell r="H217">
            <v>150.63719141000001</v>
          </cell>
          <cell r="I217">
            <v>0</v>
          </cell>
          <cell r="J217">
            <v>0</v>
          </cell>
          <cell r="K217">
            <v>0</v>
          </cell>
          <cell r="L217">
            <v>-2.5410259009999998</v>
          </cell>
          <cell r="M217">
            <v>0</v>
          </cell>
          <cell r="N217">
            <v>0</v>
          </cell>
          <cell r="O217">
            <v>305.56319250068691</v>
          </cell>
          <cell r="P217">
            <v>338.60004047234219</v>
          </cell>
          <cell r="Q217">
            <v>330.55828951112409</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-2.5410259009999998</v>
          </cell>
          <cell r="AT217">
            <v>0</v>
          </cell>
          <cell r="AU217">
            <v>-519.98051612200004</v>
          </cell>
          <cell r="AV217">
            <v>0</v>
          </cell>
          <cell r="AW217">
            <v>0</v>
          </cell>
          <cell r="AX217">
            <v>519.98051612200004</v>
          </cell>
          <cell r="AY217">
            <v>0</v>
          </cell>
          <cell r="AZ217">
            <v>0</v>
          </cell>
          <cell r="BA217">
            <v>0</v>
          </cell>
          <cell r="BB217">
            <v>0</v>
          </cell>
          <cell r="BC217">
            <v>43.568330025642766</v>
          </cell>
          <cell r="BD217">
            <v>83.101455254489579</v>
          </cell>
          <cell r="BE217">
            <v>83.768936822798736</v>
          </cell>
          <cell r="BF217">
            <v>95.124470397755829</v>
          </cell>
          <cell r="BG217">
            <v>83.634209996668488</v>
          </cell>
          <cell r="BH217">
            <v>84.311410077613218</v>
          </cell>
          <cell r="BI217">
            <v>84.988610158557861</v>
          </cell>
          <cell r="BJ217">
            <v>85.665810239502633</v>
          </cell>
          <cell r="BK217">
            <v>83.634209996668488</v>
          </cell>
          <cell r="BL217">
            <v>84.311410077613218</v>
          </cell>
          <cell r="BM217">
            <v>84.988610158557861</v>
          </cell>
          <cell r="BN217">
            <v>77.624059278284534</v>
          </cell>
        </row>
        <row r="218">
          <cell r="A218" t="str">
            <v xml:space="preserve">   Effective tax rate</v>
          </cell>
          <cell r="M218">
            <v>0</v>
          </cell>
          <cell r="N218">
            <v>0</v>
          </cell>
          <cell r="O218">
            <v>0.27500000000000002</v>
          </cell>
          <cell r="P218">
            <v>0.27500000000000002</v>
          </cell>
          <cell r="Q218">
            <v>0.27500000000000002</v>
          </cell>
          <cell r="AV218">
            <v>0</v>
          </cell>
          <cell r="AW218">
            <v>0</v>
          </cell>
          <cell r="AX218">
            <v>0</v>
          </cell>
          <cell r="AY218">
            <v>0</v>
          </cell>
          <cell r="AZ218">
            <v>0</v>
          </cell>
          <cell r="BA218">
            <v>0</v>
          </cell>
          <cell r="BB218">
            <v>0</v>
          </cell>
          <cell r="BC218">
            <v>0.27500000000000002</v>
          </cell>
          <cell r="BD218">
            <v>0.27500000000000002</v>
          </cell>
          <cell r="BE218">
            <v>0.27500000000000002</v>
          </cell>
          <cell r="BF218">
            <v>0.27500000000000002</v>
          </cell>
          <cell r="BG218">
            <v>0.27500000000000002</v>
          </cell>
          <cell r="BH218">
            <v>0.27500000000000002</v>
          </cell>
          <cell r="BI218">
            <v>0.27500000000000002</v>
          </cell>
          <cell r="BJ218">
            <v>0.27500000000000002</v>
          </cell>
          <cell r="BK218">
            <v>0.27500000000000002</v>
          </cell>
          <cell r="BL218">
            <v>0.27500000000000002</v>
          </cell>
          <cell r="BM218">
            <v>0.27500000000000002</v>
          </cell>
          <cell r="BN218">
            <v>0.27500000000000002</v>
          </cell>
        </row>
        <row r="219">
          <cell r="A219" t="str">
            <v>Net profits</v>
          </cell>
          <cell r="H219">
            <v>350.39437308999931</v>
          </cell>
          <cell r="I219">
            <v>-5573.0851954380005</v>
          </cell>
          <cell r="J219">
            <v>-793.53926221900053</v>
          </cell>
          <cell r="K219">
            <v>1363.0731747929999</v>
          </cell>
          <cell r="L219">
            <v>1193.679248018901</v>
          </cell>
          <cell r="M219">
            <v>1170.0807918954838</v>
          </cell>
          <cell r="N219">
            <v>1180.5499358229695</v>
          </cell>
          <cell r="O219">
            <v>908.03965897050091</v>
          </cell>
          <cell r="P219">
            <v>892.67283397253834</v>
          </cell>
          <cell r="Q219">
            <v>871.47185416569062</v>
          </cell>
          <cell r="AE219">
            <v>-400.65287869500014</v>
          </cell>
          <cell r="AF219">
            <v>-362.33281100314258</v>
          </cell>
          <cell r="AG219">
            <v>-269.94988859385728</v>
          </cell>
          <cell r="AH219">
            <v>-4540.1496171460003</v>
          </cell>
          <cell r="AI219">
            <v>-546.23991890000025</v>
          </cell>
          <cell r="AJ219">
            <v>-481.68475979832283</v>
          </cell>
          <cell r="AK219">
            <v>-91.402734292606581</v>
          </cell>
          <cell r="AL219">
            <v>325.78815077192928</v>
          </cell>
          <cell r="AM219">
            <v>291.77088698599988</v>
          </cell>
          <cell r="AN219">
            <v>479.79171525900017</v>
          </cell>
          <cell r="AO219">
            <v>363.39340092566295</v>
          </cell>
          <cell r="AP219">
            <v>228.11717162233708</v>
          </cell>
          <cell r="AQ219">
            <v>353.57640766700013</v>
          </cell>
          <cell r="AR219">
            <v>286.98796088768682</v>
          </cell>
          <cell r="AS219">
            <v>308.66451042916299</v>
          </cell>
          <cell r="AT219">
            <v>244.45036903505118</v>
          </cell>
          <cell r="AU219">
            <v>865.39946865700017</v>
          </cell>
          <cell r="AV219">
            <v>291.35011718197546</v>
          </cell>
          <cell r="AW219">
            <v>293.69027876576644</v>
          </cell>
          <cell r="AX219">
            <v>-280.35907270925816</v>
          </cell>
          <cell r="AY219">
            <v>291.59583414827364</v>
          </cell>
          <cell r="AZ219">
            <v>293.95693401991946</v>
          </cell>
          <cell r="BA219">
            <v>296.31803389156539</v>
          </cell>
          <cell r="BB219">
            <v>298.67913376321087</v>
          </cell>
          <cell r="BC219">
            <v>256.19157428774054</v>
          </cell>
          <cell r="BD219">
            <v>219.08565476183617</v>
          </cell>
          <cell r="BE219">
            <v>220.84537889646938</v>
          </cell>
          <cell r="BF219">
            <v>211.91705102445479</v>
          </cell>
          <cell r="BG219">
            <v>220.49018999121691</v>
          </cell>
          <cell r="BH219">
            <v>222.27553565916207</v>
          </cell>
          <cell r="BI219">
            <v>224.06088132710707</v>
          </cell>
          <cell r="BJ219">
            <v>225.84622699505204</v>
          </cell>
          <cell r="BK219">
            <v>220.49018999121691</v>
          </cell>
          <cell r="BL219">
            <v>222.27553565916207</v>
          </cell>
          <cell r="BM219">
            <v>224.06088132710707</v>
          </cell>
          <cell r="BN219">
            <v>204.64524718820442</v>
          </cell>
        </row>
        <row r="220">
          <cell r="A220" t="str">
            <v xml:space="preserve">   Return on avg IEA</v>
          </cell>
          <cell r="H220">
            <v>1.0966513065233989E-2</v>
          </cell>
          <cell r="I220">
            <v>-0.20387342912455114</v>
          </cell>
          <cell r="J220">
            <v>-4.7630341679873761E-2</v>
          </cell>
          <cell r="K220">
            <v>0.11631379523955851</v>
          </cell>
          <cell r="L220">
            <v>0.1030133334579892</v>
          </cell>
          <cell r="M220">
            <v>9.5000000000000001E-2</v>
          </cell>
          <cell r="N220">
            <v>0.09</v>
          </cell>
          <cell r="O220">
            <v>6.5000000000000002E-2</v>
          </cell>
          <cell r="P220">
            <v>0.06</v>
          </cell>
          <cell r="Q220">
            <v>5.5E-2</v>
          </cell>
          <cell r="AE220">
            <v>-4.7778057324581971E-2</v>
          </cell>
          <cell r="AF220">
            <v>-4.8204379697598221E-2</v>
          </cell>
          <cell r="AG220">
            <v>-4.0977463684475995E-2</v>
          </cell>
          <cell r="AH220">
            <v>-0.78972748442479423</v>
          </cell>
          <cell r="AI220">
            <v>-0.11317813135142758</v>
          </cell>
          <cell r="AJ220">
            <v>-0.11723006504607579</v>
          </cell>
          <cell r="AK220">
            <v>-2.5026457507477264E-2</v>
          </cell>
          <cell r="AL220">
            <v>0.10016444963129691</v>
          </cell>
          <cell r="AM220">
            <v>0.10063697398005529</v>
          </cell>
          <cell r="AN220">
            <v>0.17676609771692223</v>
          </cell>
          <cell r="AO220">
            <v>0.13580278294776227</v>
          </cell>
          <cell r="AP220">
            <v>8.317256294565864E-2</v>
          </cell>
          <cell r="AQ220">
            <v>0.12369635720994972</v>
          </cell>
          <cell r="AR220">
            <v>9.7739984156148665E-2</v>
          </cell>
          <cell r="AS220">
            <v>0.10332480416425618</v>
          </cell>
          <cell r="AT220">
            <v>8.1623901036077889E-2</v>
          </cell>
          <cell r="AU220">
            <v>0.29308556699626231</v>
          </cell>
          <cell r="AV220">
            <v>9.7283179109183049E-2</v>
          </cell>
          <cell r="AW220">
            <v>9.4925009929779702E-2</v>
          </cell>
          <cell r="AX220">
            <v>-8.9039775269824012E-2</v>
          </cell>
          <cell r="AY220">
            <v>9.1069956602603891E-2</v>
          </cell>
          <cell r="AZ220">
            <v>9.1073357933579346E-2</v>
          </cell>
          <cell r="BA220">
            <v>9.0716937101185058E-2</v>
          </cell>
          <cell r="BB220">
            <v>8.9322742653606277E-2</v>
          </cell>
          <cell r="BC220">
            <v>7.5129249255122585E-2</v>
          </cell>
          <cell r="BD220">
            <v>6.3734117200515861E-2</v>
          </cell>
          <cell r="BE220">
            <v>6.348469006155949E-2</v>
          </cell>
          <cell r="BF220">
            <v>5.9507740508846781E-2</v>
          </cell>
          <cell r="BG220">
            <v>6.0713304401735869E-2</v>
          </cell>
          <cell r="BH220">
            <v>6.0715571955719562E-2</v>
          </cell>
          <cell r="BI220">
            <v>6.0477958067456677E-2</v>
          </cell>
          <cell r="BJ220">
            <v>5.9548495102404231E-2</v>
          </cell>
          <cell r="BK220">
            <v>5.7007797560315369E-2</v>
          </cell>
          <cell r="BL220">
            <v>5.7009926718985499E-2</v>
          </cell>
          <cell r="BM220">
            <v>5.678681508681379E-2</v>
          </cell>
          <cell r="BN220">
            <v>5.0665228533564102E-2</v>
          </cell>
        </row>
        <row r="221">
          <cell r="A221" t="str">
            <v xml:space="preserve">   ROA</v>
          </cell>
          <cell r="I221">
            <v>-0.21738963725224661</v>
          </cell>
          <cell r="J221">
            <v>-5.3148160463513242E-2</v>
          </cell>
          <cell r="K221">
            <v>0.11213718271136465</v>
          </cell>
          <cell r="L221">
            <v>9.8347097231655689E-2</v>
          </cell>
          <cell r="M221">
            <v>9.1821977140904301E-2</v>
          </cell>
          <cell r="N221">
            <v>8.7031452330085135E-2</v>
          </cell>
          <cell r="O221">
            <v>6.2962477942303044E-2</v>
          </cell>
          <cell r="P221">
            <v>5.8216395143661087E-2</v>
          </cell>
          <cell r="Q221">
            <v>5.3453152305940041E-2</v>
          </cell>
          <cell r="AE221">
            <v>-4.7226840566949126E-2</v>
          </cell>
          <cell r="AF221">
            <v>-4.5292844621458224E-2</v>
          </cell>
          <cell r="AG221">
            <v>-3.8586488498596583E-2</v>
          </cell>
          <cell r="AH221">
            <v>-0.83414712664504065</v>
          </cell>
          <cell r="AI221">
            <v>-0.12588736389427277</v>
          </cell>
          <cell r="AJ221">
            <v>-0.11778218641163776</v>
          </cell>
          <cell r="AK221">
            <v>-2.5148667859886831E-2</v>
          </cell>
          <cell r="AL221">
            <v>0.10041317936026228</v>
          </cell>
          <cell r="AM221">
            <v>9.6354640273089695E-2</v>
          </cell>
          <cell r="AN221">
            <v>0.16487032163884291</v>
          </cell>
          <cell r="AO221">
            <v>0.12697268947846604</v>
          </cell>
          <cell r="AP221">
            <v>7.7971478483725584E-2</v>
          </cell>
          <cell r="AQ221">
            <v>0.11697237852347832</v>
          </cell>
          <cell r="AR221">
            <v>9.4187658914400604E-2</v>
          </cell>
          <cell r="AS221">
            <v>9.9613945549102398E-2</v>
          </cell>
          <cell r="AT221">
            <v>7.8244846164423773E-2</v>
          </cell>
          <cell r="AU221">
            <v>0.27837181954018958</v>
          </cell>
          <cell r="AV221">
            <v>9.2951335106426489E-2</v>
          </cell>
          <cell r="AW221">
            <v>9.25469590450749E-2</v>
          </cell>
          <cell r="AX221">
            <v>-8.6281867048057556E-2</v>
          </cell>
          <cell r="AY221">
            <v>8.8008620501532533E-2</v>
          </cell>
          <cell r="AZ221">
            <v>8.8031371985962587E-2</v>
          </cell>
          <cell r="BA221">
            <v>8.771537978967521E-2</v>
          </cell>
          <cell r="BB221">
            <v>8.6421586710481724E-2</v>
          </cell>
          <cell r="BC221">
            <v>7.2727286999504703E-2</v>
          </cell>
          <cell r="BD221">
            <v>6.1709944781123453E-2</v>
          </cell>
          <cell r="BE221">
            <v>6.1488186204898765E-2</v>
          </cell>
          <cell r="BF221">
            <v>5.7672073771657735E-2</v>
          </cell>
          <cell r="BG221">
            <v>5.8870984038655691E-2</v>
          </cell>
          <cell r="BH221">
            <v>5.888588160739535E-2</v>
          </cell>
          <cell r="BI221">
            <v>5.8674037172960172E-2</v>
          </cell>
          <cell r="BJ221">
            <v>5.7807703974548832E-2</v>
          </cell>
          <cell r="BK221">
            <v>5.5369640715037298E-2</v>
          </cell>
          <cell r="BL221">
            <v>5.5383503540726083E-2</v>
          </cell>
          <cell r="BM221">
            <v>5.5184041067929297E-2</v>
          </cell>
          <cell r="BN221">
            <v>4.9265030608961459E-2</v>
          </cell>
        </row>
        <row r="223">
          <cell r="A223" t="str">
            <v>VALUE ADDITION TO PRICE TARGET</v>
          </cell>
          <cell r="Q223">
            <v>0.14300000000000013</v>
          </cell>
        </row>
        <row r="224">
          <cell r="A224" t="str">
            <v>Tax carried forward</v>
          </cell>
          <cell r="H224">
            <v>0.4</v>
          </cell>
          <cell r="I224">
            <v>0.3</v>
          </cell>
          <cell r="J224">
            <v>0.2</v>
          </cell>
          <cell r="K224">
            <v>0.1</v>
          </cell>
          <cell r="Q224">
            <v>115.92695400000011</v>
          </cell>
        </row>
        <row r="225">
          <cell r="H225">
            <v>2006</v>
          </cell>
          <cell r="I225">
            <v>2007</v>
          </cell>
          <cell r="J225">
            <v>2008</v>
          </cell>
          <cell r="K225">
            <v>2009</v>
          </cell>
        </row>
        <row r="226">
          <cell r="H226">
            <v>321.77221777125806</v>
          </cell>
          <cell r="I226">
            <v>324.65123235131665</v>
          </cell>
          <cell r="J226">
            <v>249.71090621688776</v>
          </cell>
          <cell r="K226">
            <v>38.865643660537643</v>
          </cell>
          <cell r="M226">
            <v>3400</v>
          </cell>
          <cell r="N226">
            <v>935.00000000000011</v>
          </cell>
          <cell r="Q226">
            <v>46392</v>
          </cell>
          <cell r="Y226">
            <v>46392</v>
          </cell>
        </row>
        <row r="227">
          <cell r="H227">
            <v>321.77221777125806</v>
          </cell>
          <cell r="I227">
            <v>289.86717174224697</v>
          </cell>
          <cell r="J227">
            <v>199.06800559381995</v>
          </cell>
          <cell r="K227">
            <v>27.663797476125204</v>
          </cell>
          <cell r="L227">
            <v>838.37119258345012</v>
          </cell>
          <cell r="Q227">
            <v>17.892081999999998</v>
          </cell>
          <cell r="Y227">
            <v>0</v>
          </cell>
        </row>
        <row r="228">
          <cell r="H228">
            <v>0.12</v>
          </cell>
          <cell r="P228">
            <v>5.5E-2</v>
          </cell>
          <cell r="Q228">
            <v>830.04946814399989</v>
          </cell>
          <cell r="Y228">
            <v>0</v>
          </cell>
        </row>
        <row r="229">
          <cell r="A229" t="str">
            <v>Written off assets</v>
          </cell>
          <cell r="H229">
            <v>9000</v>
          </cell>
          <cell r="Q229">
            <v>45.652720747919993</v>
          </cell>
          <cell r="Y229">
            <v>0</v>
          </cell>
        </row>
        <row r="230">
          <cell r="A230" t="str">
            <v xml:space="preserve">   Recovery ratio</v>
          </cell>
          <cell r="H230">
            <v>0.08</v>
          </cell>
        </row>
        <row r="231">
          <cell r="A231" t="str">
            <v xml:space="preserve">   Value of written off assets</v>
          </cell>
          <cell r="H231">
            <v>720</v>
          </cell>
          <cell r="L231">
            <v>1021.7894363041793</v>
          </cell>
          <cell r="Q231">
            <v>70.274233252080109</v>
          </cell>
          <cell r="Y231">
            <v>115.92695400000011</v>
          </cell>
          <cell r="Z231">
            <v>0.64963669662761747</v>
          </cell>
        </row>
        <row r="232">
          <cell r="L232">
            <v>-285.71428571428572</v>
          </cell>
          <cell r="Q232">
            <v>171.01657954187655</v>
          </cell>
          <cell r="Y232">
            <v>282.11522534401547</v>
          </cell>
          <cell r="Z232">
            <v>410.92058700000001</v>
          </cell>
          <cell r="AE232">
            <v>0</v>
          </cell>
        </row>
        <row r="233">
          <cell r="A233" t="str">
            <v>Value of excess capital</v>
          </cell>
          <cell r="H233">
            <v>1552.0468673972084</v>
          </cell>
          <cell r="L233">
            <v>-150</v>
          </cell>
          <cell r="Q233">
            <v>6480.0981195939867</v>
          </cell>
          <cell r="Y233">
            <v>6480.0981195939867</v>
          </cell>
        </row>
        <row r="234">
          <cell r="L234">
            <v>586.07515058989361</v>
          </cell>
          <cell r="Q234">
            <v>2.6391047849224799E-2</v>
          </cell>
          <cell r="Y234">
            <v>4.3535640994536592E-2</v>
          </cell>
        </row>
        <row r="235">
          <cell r="A235" t="str">
            <v>Value to SFG</v>
          </cell>
          <cell r="H235">
            <v>2048.5882774034239</v>
          </cell>
          <cell r="L235">
            <v>146.5187876474734</v>
          </cell>
        </row>
        <row r="236">
          <cell r="A236" t="str">
            <v xml:space="preserve">   # of shares</v>
          </cell>
          <cell r="H236">
            <v>410.92058700000001</v>
          </cell>
          <cell r="L236">
            <v>596.51878764747335</v>
          </cell>
        </row>
        <row r="237">
          <cell r="A237" t="str">
            <v xml:space="preserve">  Per share value</v>
          </cell>
          <cell r="H237">
            <v>4985.3629684497264</v>
          </cell>
        </row>
        <row r="239">
          <cell r="A239" t="str">
            <v>Goodwill creation</v>
          </cell>
          <cell r="H239">
            <v>3914.3974554892129</v>
          </cell>
        </row>
        <row r="240">
          <cell r="A240" t="str">
            <v xml:space="preserve">   Amortization</v>
          </cell>
          <cell r="M240">
            <v>293.57980916169095</v>
          </cell>
          <cell r="N240">
            <v>391.43974554892128</v>
          </cell>
          <cell r="O240">
            <v>391.43974554892128</v>
          </cell>
          <cell r="P240">
            <v>391.43974554892128</v>
          </cell>
          <cell r="Q240">
            <v>391.43974554892128</v>
          </cell>
          <cell r="AV240">
            <v>97.85993638723032</v>
          </cell>
          <cell r="AW240">
            <v>97.85993638723032</v>
          </cell>
          <cell r="AX240">
            <v>97.85993638723032</v>
          </cell>
          <cell r="AY240">
            <v>97.85993638723032</v>
          </cell>
          <cell r="AZ240">
            <v>97.85993638723032</v>
          </cell>
          <cell r="BA240">
            <v>97.85993638723032</v>
          </cell>
          <cell r="BB240">
            <v>97.85993638723032</v>
          </cell>
          <cell r="BC240">
            <v>97.85993638723032</v>
          </cell>
          <cell r="BD240">
            <v>97.85993638723032</v>
          </cell>
          <cell r="BE240">
            <v>97.85993638723032</v>
          </cell>
          <cell r="BF240">
            <v>97.85993638723032</v>
          </cell>
          <cell r="BG240">
            <v>97.85993638723032</v>
          </cell>
          <cell r="BH240">
            <v>97.85993638723032</v>
          </cell>
          <cell r="BI240">
            <v>97.85993638723032</v>
          </cell>
          <cell r="BJ240">
            <v>97.85993638723032</v>
          </cell>
          <cell r="BK240">
            <v>97.85993638723032</v>
          </cell>
          <cell r="BL240">
            <v>97.85993638723032</v>
          </cell>
          <cell r="BM240">
            <v>97.85993638723032</v>
          </cell>
          <cell r="BN240">
            <v>97.85993638723032</v>
          </cell>
        </row>
        <row r="241">
          <cell r="AU241">
            <v>3914.3974554892129</v>
          </cell>
          <cell r="AV241">
            <v>3816.5375191019825</v>
          </cell>
          <cell r="AW241">
            <v>3718.6775827147521</v>
          </cell>
          <cell r="AX241">
            <v>3620.8176463275217</v>
          </cell>
          <cell r="AY241">
            <v>3522.9577099402914</v>
          </cell>
          <cell r="AZ241">
            <v>3425.097773553061</v>
          </cell>
          <cell r="BA241">
            <v>3327.2378371658306</v>
          </cell>
          <cell r="BB241">
            <v>3229.3779007786002</v>
          </cell>
          <cell r="BC241">
            <v>3131.5179643913698</v>
          </cell>
          <cell r="BD241">
            <v>3033.6580280041394</v>
          </cell>
          <cell r="BE241">
            <v>2935.798091616909</v>
          </cell>
          <cell r="BF241">
            <v>2837.9381552296786</v>
          </cell>
          <cell r="BG241">
            <v>2740.0782188424482</v>
          </cell>
          <cell r="BH241">
            <v>2642.2182824552178</v>
          </cell>
          <cell r="BI241">
            <v>2544.3583460679874</v>
          </cell>
          <cell r="BJ241">
            <v>2446.498409680757</v>
          </cell>
          <cell r="BK241">
            <v>2348.6384732935267</v>
          </cell>
          <cell r="BL241">
            <v>2250.7785369062963</v>
          </cell>
          <cell r="BM241">
            <v>2152.9186005190659</v>
          </cell>
          <cell r="BN241">
            <v>2055.0586641318355</v>
          </cell>
        </row>
        <row r="243">
          <cell r="A243" t="str">
            <v>Funding cost</v>
          </cell>
        </row>
        <row r="244">
          <cell r="A244" t="str">
            <v xml:space="preserve">   CRPS</v>
          </cell>
          <cell r="M244">
            <v>20.742201821250003</v>
          </cell>
          <cell r="N244">
            <v>27.656269095000003</v>
          </cell>
          <cell r="O244">
            <v>27.656269095000003</v>
          </cell>
          <cell r="P244">
            <v>27.656269095000003</v>
          </cell>
          <cell r="Q244">
            <v>27.656269095000003</v>
          </cell>
          <cell r="AV244">
            <v>6.9140672737500006</v>
          </cell>
          <cell r="AW244">
            <v>6.9140672737500006</v>
          </cell>
          <cell r="AX244">
            <v>6.9140672737500006</v>
          </cell>
          <cell r="AY244">
            <v>6.9140672737500006</v>
          </cell>
          <cell r="AZ244">
            <v>6.9140672737500006</v>
          </cell>
          <cell r="BA244">
            <v>6.9140672737500006</v>
          </cell>
          <cell r="BB244">
            <v>6.9140672737500006</v>
          </cell>
          <cell r="BC244">
            <v>6.9140672737500006</v>
          </cell>
          <cell r="BD244">
            <v>6.9140672737500006</v>
          </cell>
          <cell r="BE244">
            <v>6.9140672737500006</v>
          </cell>
          <cell r="BF244">
            <v>6.9140672737500006</v>
          </cell>
          <cell r="BG244">
            <v>6.9140672737500006</v>
          </cell>
          <cell r="BH244">
            <v>6.9140672737500006</v>
          </cell>
          <cell r="BI244">
            <v>6.9140672737500006</v>
          </cell>
          <cell r="BJ244">
            <v>6.9140672737500006</v>
          </cell>
          <cell r="BK244">
            <v>6.9140672737500006</v>
          </cell>
          <cell r="BL244">
            <v>6.9140672737500006</v>
          </cell>
          <cell r="BM244">
            <v>6.9140672737500006</v>
          </cell>
          <cell r="BN244">
            <v>6.9140672737500006</v>
          </cell>
        </row>
        <row r="245">
          <cell r="A245" t="str">
            <v xml:space="preserve">   RPS</v>
          </cell>
          <cell r="M245">
            <v>152.19749999999999</v>
          </cell>
          <cell r="N245">
            <v>202.93</v>
          </cell>
          <cell r="O245">
            <v>202.93</v>
          </cell>
          <cell r="P245">
            <v>202.93</v>
          </cell>
          <cell r="Q245">
            <v>202.93</v>
          </cell>
          <cell r="AV245">
            <v>50.732499999999995</v>
          </cell>
          <cell r="AW245">
            <v>50.732499999999995</v>
          </cell>
          <cell r="AX245">
            <v>50.732499999999995</v>
          </cell>
          <cell r="AY245">
            <v>50.732500000000002</v>
          </cell>
          <cell r="AZ245">
            <v>50.732500000000002</v>
          </cell>
          <cell r="BA245">
            <v>50.732500000000002</v>
          </cell>
          <cell r="BB245">
            <v>50.732500000000002</v>
          </cell>
          <cell r="BC245">
            <v>50.732500000000002</v>
          </cell>
          <cell r="BD245">
            <v>50.732500000000002</v>
          </cell>
          <cell r="BE245">
            <v>50.732500000000002</v>
          </cell>
          <cell r="BF245">
            <v>50.732500000000002</v>
          </cell>
          <cell r="BG245">
            <v>50.732500000000002</v>
          </cell>
          <cell r="BH245">
            <v>50.732500000000002</v>
          </cell>
          <cell r="BI245">
            <v>50.732500000000002</v>
          </cell>
          <cell r="BJ245">
            <v>50.732500000000002</v>
          </cell>
          <cell r="BK245">
            <v>50.732500000000002</v>
          </cell>
          <cell r="BL245">
            <v>50.732500000000002</v>
          </cell>
          <cell r="BM245">
            <v>50.732500000000002</v>
          </cell>
          <cell r="BN245">
            <v>50.732500000000002</v>
          </cell>
        </row>
        <row r="255">
          <cell r="A255" t="str">
            <v>Tender Offer</v>
          </cell>
        </row>
        <row r="256">
          <cell r="A256" t="str">
            <v xml:space="preserve">   Price (Won)</v>
          </cell>
          <cell r="H256">
            <v>46392</v>
          </cell>
        </row>
        <row r="257">
          <cell r="A257" t="str">
            <v xml:space="preserve">   Period</v>
          </cell>
        </row>
      </sheetData>
      <sheetData sheetId="6" refreshError="1"/>
      <sheetData sheetId="7" refreshError="1"/>
      <sheetData sheetId="8" refreshError="1"/>
      <sheetData sheetId="9" refreshError="1">
        <row r="2">
          <cell r="B2" t="str">
            <v>SHINHAN FINANCIAL GROUP (055550.KS)</v>
          </cell>
          <cell r="O2" t="str">
            <v>Foreign exchange rate</v>
          </cell>
          <cell r="W2">
            <v>965.2</v>
          </cell>
        </row>
        <row r="3">
          <cell r="O3" t="str">
            <v>Current share price</v>
          </cell>
          <cell r="W3">
            <v>58900</v>
          </cell>
          <cell r="X3">
            <v>61.023622047244089</v>
          </cell>
        </row>
        <row r="5">
          <cell r="B5" t="str">
            <v>Profit and Loss Statements</v>
          </cell>
          <cell r="O5" t="str">
            <v>Per Share Data and Valuations</v>
          </cell>
        </row>
        <row r="6">
          <cell r="B6" t="str">
            <v>Won billions, Year ending Dec 31</v>
          </cell>
          <cell r="C6">
            <v>2000</v>
          </cell>
          <cell r="D6">
            <v>2001</v>
          </cell>
          <cell r="E6">
            <v>2002</v>
          </cell>
          <cell r="F6">
            <v>2003</v>
          </cell>
          <cell r="G6">
            <v>2004</v>
          </cell>
          <cell r="H6">
            <v>2005</v>
          </cell>
          <cell r="I6">
            <v>2006</v>
          </cell>
          <cell r="J6">
            <v>2007</v>
          </cell>
          <cell r="K6" t="str">
            <v>2008E</v>
          </cell>
          <cell r="L6" t="str">
            <v>2009E</v>
          </cell>
          <cell r="M6" t="str">
            <v>2010E</v>
          </cell>
          <cell r="O6" t="str">
            <v>Won billions, Year ending Dec 31</v>
          </cell>
          <cell r="P6">
            <v>2000</v>
          </cell>
          <cell r="Q6">
            <v>2001</v>
          </cell>
          <cell r="R6">
            <v>2002</v>
          </cell>
          <cell r="S6">
            <v>2003</v>
          </cell>
          <cell r="T6">
            <v>2004</v>
          </cell>
          <cell r="U6">
            <v>2005</v>
          </cell>
          <cell r="V6">
            <v>2006</v>
          </cell>
          <cell r="W6">
            <v>2007</v>
          </cell>
          <cell r="X6" t="str">
            <v>2008E</v>
          </cell>
          <cell r="Y6" t="str">
            <v>2009E</v>
          </cell>
          <cell r="Z6" t="str">
            <v>2010E</v>
          </cell>
        </row>
        <row r="7">
          <cell r="B7" t="str">
            <v>Avg Earning Assets</v>
          </cell>
          <cell r="C7">
            <v>0</v>
          </cell>
          <cell r="D7">
            <v>0</v>
          </cell>
          <cell r="E7">
            <v>49724.987999999998</v>
          </cell>
          <cell r="F7">
            <v>57957.267000000007</v>
          </cell>
          <cell r="G7">
            <v>112895.58162500002</v>
          </cell>
          <cell r="H7">
            <v>114974.23262499998</v>
          </cell>
          <cell r="I7">
            <v>120580.75200000001</v>
          </cell>
          <cell r="J7">
            <v>138812.614</v>
          </cell>
          <cell r="K7">
            <v>156516.76335599885</v>
          </cell>
          <cell r="L7">
            <v>168104.09170572687</v>
          </cell>
          <cell r="M7">
            <v>183115.62515496527</v>
          </cell>
          <cell r="O7" t="str">
            <v>Book Value Per Share (Won)</v>
          </cell>
          <cell r="P7" t="e">
            <v>#DIV/0!</v>
          </cell>
          <cell r="Q7">
            <v>0</v>
          </cell>
          <cell r="R7">
            <v>12451.998142403514</v>
          </cell>
          <cell r="S7">
            <v>12234.947540557414</v>
          </cell>
          <cell r="T7">
            <v>17506.335706253656</v>
          </cell>
          <cell r="U7">
            <v>22965.11908125148</v>
          </cell>
          <cell r="V7">
            <v>27798.766366076343</v>
          </cell>
          <cell r="W7">
            <v>35090.084731713381</v>
          </cell>
          <cell r="X7">
            <v>38673.070574065168</v>
          </cell>
          <cell r="Y7">
            <v>43296.866391284449</v>
          </cell>
          <cell r="Z7">
            <v>48332.025647816103</v>
          </cell>
        </row>
        <row r="8">
          <cell r="B8" t="str">
            <v>Net Interest Margin (%)</v>
          </cell>
          <cell r="C8" t="e">
            <v>#DIV/0!</v>
          </cell>
          <cell r="D8" t="e">
            <v>#DIV/0!</v>
          </cell>
          <cell r="E8">
            <v>2.5436245454699762</v>
          </cell>
          <cell r="F8">
            <v>2.0384052960951382</v>
          </cell>
          <cell r="G8">
            <v>3.1026550642394182</v>
          </cell>
          <cell r="H8">
            <v>2.9873692758946273</v>
          </cell>
          <cell r="I8">
            <v>2.5144859654814553</v>
          </cell>
          <cell r="J8">
            <v>2.3191199324291967</v>
          </cell>
          <cell r="K8">
            <v>2.1933726161836997</v>
          </cell>
          <cell r="L8">
            <v>2.1218156277862024</v>
          </cell>
          <cell r="M8">
            <v>2.0908781077618204</v>
          </cell>
          <cell r="O8" t="str">
            <v>Price/Book (x)</v>
          </cell>
          <cell r="P8" t="e">
            <v>#DIV/0!</v>
          </cell>
          <cell r="Q8" t="e">
            <v>#DIV/0!</v>
          </cell>
          <cell r="R8">
            <v>4.7301645347524106</v>
          </cell>
          <cell r="S8">
            <v>4.814078671343168</v>
          </cell>
          <cell r="T8">
            <v>3.3644962023068938</v>
          </cell>
          <cell r="U8">
            <v>2.5647591807214027</v>
          </cell>
          <cell r="V8">
            <v>2.1187990583595613</v>
          </cell>
          <cell r="W8">
            <v>1.6785368416841673</v>
          </cell>
          <cell r="X8">
            <v>1.5230236214938506</v>
          </cell>
          <cell r="Y8">
            <v>1.3603755862538915</v>
          </cell>
          <cell r="Z8">
            <v>1.2186536610153731</v>
          </cell>
        </row>
        <row r="9">
          <cell r="B9" t="str">
            <v xml:space="preserve">  Interest Income</v>
          </cell>
          <cell r="C9">
            <v>0</v>
          </cell>
          <cell r="D9">
            <v>0</v>
          </cell>
          <cell r="E9">
            <v>4093.9695122271314</v>
          </cell>
          <cell r="F9">
            <v>5645.5872263039464</v>
          </cell>
          <cell r="G9">
            <v>7980.9449999999997</v>
          </cell>
          <cell r="H9">
            <v>7884.7379999999994</v>
          </cell>
          <cell r="I9">
            <v>9262.9760000000006</v>
          </cell>
          <cell r="J9">
            <v>13320.949000000001</v>
          </cell>
          <cell r="K9">
            <v>15333.669285486485</v>
          </cell>
          <cell r="L9">
            <v>16380.001282212468</v>
          </cell>
          <cell r="M9">
            <v>17964.533621263272</v>
          </cell>
          <cell r="O9" t="str">
            <v>ROAA (%)</v>
          </cell>
          <cell r="P9" t="e">
            <v>#DIV/0!</v>
          </cell>
          <cell r="Q9" t="e">
            <v>#DIV/0!</v>
          </cell>
          <cell r="R9">
            <v>1.8406863534163227</v>
          </cell>
          <cell r="S9">
            <v>0.39444653993212997</v>
          </cell>
          <cell r="T9">
            <v>0.74210067252642919</v>
          </cell>
          <cell r="U9">
            <v>1.1322192125998027</v>
          </cell>
          <cell r="V9">
            <v>1.1205480808626735</v>
          </cell>
          <cell r="W9">
            <v>1.1246407990881466</v>
          </cell>
          <cell r="X9">
            <v>1.1471067263024362</v>
          </cell>
          <cell r="Y9">
            <v>1.1251049747283821</v>
          </cell>
          <cell r="Z9">
            <v>1.1350010193471678</v>
          </cell>
        </row>
        <row r="10">
          <cell r="B10" t="str">
            <v xml:space="preserve">  Interest Expense</v>
          </cell>
          <cell r="C10">
            <v>0</v>
          </cell>
          <cell r="D10">
            <v>0</v>
          </cell>
          <cell r="E10">
            <v>2352.14</v>
          </cell>
          <cell r="F10">
            <v>2996.8960000000002</v>
          </cell>
          <cell r="G10">
            <v>3985.7900000000004</v>
          </cell>
          <cell r="H10">
            <v>3841.9270000000001</v>
          </cell>
          <cell r="I10">
            <v>4782.1670000000004</v>
          </cell>
          <cell r="J10">
            <v>6867.6059999999998</v>
          </cell>
          <cell r="K10">
            <v>8503.8665613400481</v>
          </cell>
          <cell r="L10">
            <v>9051.3068073174618</v>
          </cell>
          <cell r="M10">
            <v>9932.789299601649</v>
          </cell>
          <cell r="O10" t="str">
            <v>ROAE (Reported, %)</v>
          </cell>
          <cell r="S10">
            <v>9.319788443136142</v>
          </cell>
          <cell r="T10">
            <v>18.493212606186336</v>
          </cell>
          <cell r="U10">
            <v>21.581550838516041</v>
          </cell>
          <cell r="V10">
            <v>17.903234941104078</v>
          </cell>
          <cell r="W10">
            <v>17.454531018625993</v>
          </cell>
          <cell r="X10">
            <v>14.580874080497095</v>
          </cell>
          <cell r="Y10">
            <v>14.129812046500506</v>
          </cell>
          <cell r="Z10">
            <v>13.97476780686093</v>
          </cell>
        </row>
        <row r="11">
          <cell r="B11" t="str">
            <v>Net Interest Income (NII)</v>
          </cell>
          <cell r="C11">
            <v>0</v>
          </cell>
          <cell r="D11">
            <v>0</v>
          </cell>
          <cell r="E11">
            <v>1741.8295122271315</v>
          </cell>
          <cell r="F11">
            <v>2648.6912263039462</v>
          </cell>
          <cell r="G11">
            <v>3995.1549999999993</v>
          </cell>
          <cell r="H11">
            <v>4042.8109999999992</v>
          </cell>
          <cell r="I11">
            <v>4480.8090000000002</v>
          </cell>
          <cell r="J11">
            <v>6453.3430000000008</v>
          </cell>
          <cell r="K11">
            <v>6829.802724146437</v>
          </cell>
          <cell r="L11">
            <v>7328.6944748950064</v>
          </cell>
          <cell r="M11">
            <v>8031.744321661623</v>
          </cell>
          <cell r="O11" t="str">
            <v>ROAE (ModelWare, %)</v>
          </cell>
          <cell r="T11">
            <v>20.174543848069664</v>
          </cell>
          <cell r="U11">
            <v>22.968598483969629</v>
          </cell>
          <cell r="V11">
            <v>19.550041310098013</v>
          </cell>
          <cell r="W11">
            <v>17.91244842551021</v>
          </cell>
          <cell r="X11">
            <v>17.570013356211028</v>
          </cell>
          <cell r="Y11">
            <v>16.819680463970368</v>
          </cell>
          <cell r="Z11">
            <v>16.381086815182027</v>
          </cell>
        </row>
        <row r="12">
          <cell r="B12" t="str">
            <v>Loan Loss Prov Exp (LLPE)</v>
          </cell>
          <cell r="C12">
            <v>0</v>
          </cell>
          <cell r="D12">
            <v>0</v>
          </cell>
          <cell r="E12">
            <v>210.54599999999999</v>
          </cell>
          <cell r="F12">
            <v>1096.3929999999998</v>
          </cell>
          <cell r="G12">
            <v>1384.81</v>
          </cell>
          <cell r="H12">
            <v>902.69299999999998</v>
          </cell>
          <cell r="I12">
            <v>584.55900000000008</v>
          </cell>
          <cell r="J12">
            <v>866.42300000000012</v>
          </cell>
          <cell r="K12">
            <v>640.41421074056257</v>
          </cell>
          <cell r="L12">
            <v>779.5551711577657</v>
          </cell>
          <cell r="M12">
            <v>974.64059532565352</v>
          </cell>
        </row>
        <row r="13">
          <cell r="B13" t="str">
            <v>NII After LLPE</v>
          </cell>
          <cell r="C13">
            <v>0</v>
          </cell>
          <cell r="D13">
            <v>0</v>
          </cell>
          <cell r="E13">
            <v>1531.2835122271315</v>
          </cell>
          <cell r="F13">
            <v>1552.2982263039464</v>
          </cell>
          <cell r="G13">
            <v>2610.3449999999993</v>
          </cell>
          <cell r="H13">
            <v>3140.1179999999995</v>
          </cell>
          <cell r="I13">
            <v>3896.25</v>
          </cell>
          <cell r="J13">
            <v>5586.920000000001</v>
          </cell>
          <cell r="K13">
            <v>6189.3885134058746</v>
          </cell>
          <cell r="L13">
            <v>6549.1393037372409</v>
          </cell>
          <cell r="M13">
            <v>7057.1037263359694</v>
          </cell>
          <cell r="O13" t="str">
            <v>MW EPS Growth (%)</v>
          </cell>
          <cell r="S13">
            <v>-43.00337837184518</v>
          </cell>
          <cell r="T13">
            <v>143.37954558801238</v>
          </cell>
          <cell r="U13">
            <v>56.245570769616073</v>
          </cell>
          <cell r="V13">
            <v>8.927047444434443</v>
          </cell>
          <cell r="W13">
            <v>9.9238632538054983</v>
          </cell>
          <cell r="X13">
            <v>18.800169290303479</v>
          </cell>
          <cell r="Y13">
            <v>6.3801906980504919</v>
          </cell>
          <cell r="Z13">
            <v>8.8686418581237056</v>
          </cell>
        </row>
        <row r="14">
          <cell r="O14" t="str">
            <v>Current P/MW EPS</v>
          </cell>
          <cell r="P14" t="e">
            <v>#DIV/0!</v>
          </cell>
          <cell r="Q14" t="e">
            <v>#DIV/0!</v>
          </cell>
          <cell r="R14">
            <v>28.023307521997893</v>
          </cell>
          <cell r="S14">
            <v>49.166611496417396</v>
          </cell>
          <cell r="T14">
            <v>20.201620221464939</v>
          </cell>
          <cell r="U14">
            <v>12.929403452499916</v>
          </cell>
          <cell r="V14">
            <v>11.869782350518062</v>
          </cell>
          <cell r="W14">
            <v>10.798185215808578</v>
          </cell>
          <cell r="X14">
            <v>9.0893685424149719</v>
          </cell>
          <cell r="Y14">
            <v>8.5442303522600689</v>
          </cell>
          <cell r="Z14">
            <v>7.8482014714529154</v>
          </cell>
        </row>
        <row r="15">
          <cell r="B15" t="str">
            <v>Non-interest Income</v>
          </cell>
        </row>
        <row r="16">
          <cell r="B16" t="str">
            <v>Fees and Commissions</v>
          </cell>
          <cell r="C16">
            <v>0</v>
          </cell>
          <cell r="D16">
            <v>0</v>
          </cell>
          <cell r="E16">
            <v>284.00548777286809</v>
          </cell>
          <cell r="F16">
            <v>560.02877369605358</v>
          </cell>
          <cell r="G16">
            <v>718.28499999999985</v>
          </cell>
          <cell r="H16">
            <v>943.00099999999998</v>
          </cell>
          <cell r="I16">
            <v>786.91399999999999</v>
          </cell>
          <cell r="J16">
            <v>590.197</v>
          </cell>
          <cell r="K16">
            <v>681.11272646689088</v>
          </cell>
          <cell r="L16">
            <v>767.98008956179763</v>
          </cell>
          <cell r="M16">
            <v>819.50997851175975</v>
          </cell>
          <cell r="O16" t="str">
            <v>Gross Dividends</v>
          </cell>
          <cell r="P16">
            <v>0</v>
          </cell>
          <cell r="Q16">
            <v>150.812285352</v>
          </cell>
          <cell r="R16">
            <v>157.49299999999999</v>
          </cell>
          <cell r="S16">
            <v>185.54912639999998</v>
          </cell>
          <cell r="T16">
            <v>266.29053524999995</v>
          </cell>
          <cell r="U16">
            <v>295.9627792</v>
          </cell>
          <cell r="V16">
            <v>335.32384230000002</v>
          </cell>
          <cell r="W16">
            <v>356.57962830000002</v>
          </cell>
          <cell r="X16">
            <v>452.01264570000001</v>
          </cell>
          <cell r="Y16">
            <v>534.1967631</v>
          </cell>
          <cell r="Z16">
            <v>616.38088049999999</v>
          </cell>
        </row>
        <row r="17">
          <cell r="B17" t="str">
            <v>Dividend Income</v>
          </cell>
          <cell r="C17">
            <v>0</v>
          </cell>
          <cell r="D17">
            <v>0</v>
          </cell>
          <cell r="E17">
            <v>16.09</v>
          </cell>
          <cell r="F17">
            <v>8.4960000000000004</v>
          </cell>
          <cell r="G17">
            <v>78.173000000000002</v>
          </cell>
          <cell r="H17">
            <v>90.212000000000003</v>
          </cell>
          <cell r="I17">
            <v>97.061000000000007</v>
          </cell>
          <cell r="J17">
            <v>106.523</v>
          </cell>
          <cell r="K17">
            <v>110.55519089680313</v>
          </cell>
          <cell r="L17">
            <v>117.63362409418171</v>
          </cell>
          <cell r="M17">
            <v>123.65242509085931</v>
          </cell>
          <cell r="O17" t="str">
            <v>Gross DPS (Won)</v>
          </cell>
          <cell r="P17">
            <v>0</v>
          </cell>
          <cell r="Q17">
            <v>574.58669542322627</v>
          </cell>
          <cell r="R17">
            <v>600.00201685832212</v>
          </cell>
          <cell r="S17">
            <v>600</v>
          </cell>
          <cell r="T17">
            <v>750</v>
          </cell>
          <cell r="U17">
            <v>800</v>
          </cell>
          <cell r="V17">
            <v>900</v>
          </cell>
          <cell r="W17">
            <v>900</v>
          </cell>
          <cell r="X17">
            <v>1100</v>
          </cell>
          <cell r="Y17">
            <v>1300</v>
          </cell>
          <cell r="Z17">
            <v>1500</v>
          </cell>
        </row>
        <row r="18">
          <cell r="B18" t="str">
            <v>Forex Income</v>
          </cell>
          <cell r="C18">
            <v>0</v>
          </cell>
          <cell r="D18">
            <v>0</v>
          </cell>
          <cell r="E18">
            <v>85.564000000000021</v>
          </cell>
          <cell r="F18">
            <v>120.42400000000001</v>
          </cell>
          <cell r="G18">
            <v>149.31499999999994</v>
          </cell>
          <cell r="H18">
            <v>53.08199999999988</v>
          </cell>
          <cell r="I18">
            <v>124.31200000000013</v>
          </cell>
          <cell r="J18">
            <v>158.28400000000011</v>
          </cell>
          <cell r="K18">
            <v>-24.557502560363901</v>
          </cell>
          <cell r="L18">
            <v>0</v>
          </cell>
          <cell r="M18">
            <v>0</v>
          </cell>
          <cell r="O18" t="str">
            <v>Dividend Yield (Current Price, %)</v>
          </cell>
          <cell r="P18">
            <v>0</v>
          </cell>
          <cell r="Q18">
            <v>0.97552919426693763</v>
          </cell>
          <cell r="R18">
            <v>1.0186791457696469</v>
          </cell>
          <cell r="S18">
            <v>1.0186757215619695</v>
          </cell>
          <cell r="T18">
            <v>1.2733446519524618</v>
          </cell>
          <cell r="U18">
            <v>1.3582342954159592</v>
          </cell>
          <cell r="V18">
            <v>1.5280135823429541</v>
          </cell>
          <cell r="W18">
            <v>1.5280135823429541</v>
          </cell>
          <cell r="X18">
            <v>1.8675721561969438</v>
          </cell>
          <cell r="Y18">
            <v>2.2071307300509337</v>
          </cell>
          <cell r="Z18">
            <v>2.5466893039049237</v>
          </cell>
        </row>
        <row r="19">
          <cell r="B19" t="str">
            <v>Other trading income</v>
          </cell>
          <cell r="C19">
            <v>0</v>
          </cell>
          <cell r="D19">
            <v>0</v>
          </cell>
          <cell r="E19">
            <v>70.039000000000172</v>
          </cell>
          <cell r="F19">
            <v>54.36600000000012</v>
          </cell>
          <cell r="G19">
            <v>258.37800000000004</v>
          </cell>
          <cell r="H19">
            <v>152.58600000000035</v>
          </cell>
          <cell r="I19">
            <v>266.34400000000062</v>
          </cell>
          <cell r="J19">
            <v>156.21800000000036</v>
          </cell>
          <cell r="K19">
            <v>251.36587948925239</v>
          </cell>
          <cell r="L19">
            <v>308.92084917054422</v>
          </cell>
          <cell r="M19">
            <v>330.7706676874318</v>
          </cell>
          <cell r="O19" t="str">
            <v>Dividend Payout Ratio (%)</v>
          </cell>
          <cell r="P19" t="e">
            <v>#DIV/0!</v>
          </cell>
          <cell r="Q19" t="e">
            <v>#DIV/0!</v>
          </cell>
          <cell r="R19">
            <v>26.154546194302881</v>
          </cell>
          <cell r="S19">
            <v>51.117151641376694</v>
          </cell>
          <cell r="T19">
            <v>27.369656976640123</v>
          </cell>
          <cell r="U19">
            <v>18.120936123595342</v>
          </cell>
          <cell r="V19">
            <v>19.339113261303069</v>
          </cell>
          <cell r="W19">
            <v>16.326040681605729</v>
          </cell>
          <cell r="X19">
            <v>20.455007142560472</v>
          </cell>
          <cell r="Y19">
            <v>22.448243362362387</v>
          </cell>
          <cell r="Z19">
            <v>23.194200838310451</v>
          </cell>
        </row>
        <row r="20">
          <cell r="B20" t="str">
            <v>Other Income</v>
          </cell>
          <cell r="C20">
            <v>0</v>
          </cell>
          <cell r="D20">
            <v>0</v>
          </cell>
          <cell r="E20">
            <v>-106.20799999999986</v>
          </cell>
          <cell r="F20">
            <v>-161.6880000000005</v>
          </cell>
          <cell r="G20">
            <v>-156.81999999999826</v>
          </cell>
          <cell r="H20">
            <v>-174.83300000000094</v>
          </cell>
          <cell r="I20">
            <v>226.38765746088018</v>
          </cell>
          <cell r="J20">
            <v>1059.8640000000009</v>
          </cell>
          <cell r="K20">
            <v>293.53675247954277</v>
          </cell>
          <cell r="L20">
            <v>242.73044249755469</v>
          </cell>
          <cell r="M20">
            <v>265.92746223075414</v>
          </cell>
        </row>
        <row r="21">
          <cell r="B21" t="str">
            <v>Total Non-interest Income</v>
          </cell>
          <cell r="C21">
            <v>0</v>
          </cell>
          <cell r="D21">
            <v>0</v>
          </cell>
          <cell r="E21">
            <v>349.49048777286839</v>
          </cell>
          <cell r="F21">
            <v>581.62677369605308</v>
          </cell>
          <cell r="G21">
            <v>1047.3310000000015</v>
          </cell>
          <cell r="H21">
            <v>1064.0479999999993</v>
          </cell>
          <cell r="I21">
            <v>1501.0186574608811</v>
          </cell>
          <cell r="J21">
            <v>2071.0860000000011</v>
          </cell>
          <cell r="K21">
            <v>1312.0130467721251</v>
          </cell>
          <cell r="L21">
            <v>1437.2650053240782</v>
          </cell>
          <cell r="M21">
            <v>1539.8605335208051</v>
          </cell>
          <cell r="O21" t="str">
            <v>Issued Shares (m)</v>
          </cell>
          <cell r="P21">
            <v>0</v>
          </cell>
          <cell r="Q21">
            <v>292.34419200000002</v>
          </cell>
          <cell r="R21">
            <v>292.36112500000002</v>
          </cell>
          <cell r="S21">
            <v>339.12190299999997</v>
          </cell>
          <cell r="T21">
            <v>364.03961399999997</v>
          </cell>
          <cell r="U21">
            <v>381.56761399999999</v>
          </cell>
          <cell r="V21">
            <v>381.56761399999999</v>
          </cell>
          <cell r="W21">
            <v>410.92058700000001</v>
          </cell>
          <cell r="X21">
            <v>410.92058700000001</v>
          </cell>
          <cell r="Y21">
            <v>410.92058700000001</v>
          </cell>
          <cell r="Z21">
            <v>410.92058700000001</v>
          </cell>
        </row>
        <row r="22">
          <cell r="O22" t="str">
            <v>Market Cap (Wonbn)</v>
          </cell>
          <cell r="P22">
            <v>0</v>
          </cell>
          <cell r="Q22">
            <v>17219.072908800001</v>
          </cell>
          <cell r="R22">
            <v>17220.070262499998</v>
          </cell>
          <cell r="S22">
            <v>19974.280086700001</v>
          </cell>
          <cell r="T22">
            <v>21441.933264599997</v>
          </cell>
          <cell r="U22">
            <v>22474.3324646</v>
          </cell>
          <cell r="V22">
            <v>22474.3324646</v>
          </cell>
          <cell r="W22">
            <v>24203.222574300002</v>
          </cell>
          <cell r="X22">
            <v>24203.222574300002</v>
          </cell>
          <cell r="Y22">
            <v>24203.222574300002</v>
          </cell>
          <cell r="Z22">
            <v>24203.222574300002</v>
          </cell>
        </row>
        <row r="23">
          <cell r="B23" t="str">
            <v>Non-interest Expense</v>
          </cell>
          <cell r="O23" t="str">
            <v>Market Cap (US$mn)</v>
          </cell>
          <cell r="P23">
            <v>0</v>
          </cell>
          <cell r="Q23">
            <v>17839.901480314962</v>
          </cell>
          <cell r="R23">
            <v>17840.934793307086</v>
          </cell>
          <cell r="S23">
            <v>20694.446836614174</v>
          </cell>
          <cell r="T23">
            <v>22215.015814960625</v>
          </cell>
          <cell r="U23">
            <v>23284.637862204723</v>
          </cell>
          <cell r="V23">
            <v>23284.637862204723</v>
          </cell>
          <cell r="W23">
            <v>25075.862592519687</v>
          </cell>
          <cell r="X23">
            <v>25075.862592519687</v>
          </cell>
          <cell r="Y23">
            <v>25075.862592519687</v>
          </cell>
          <cell r="Z23">
            <v>25075.862592519687</v>
          </cell>
        </row>
        <row r="24">
          <cell r="B24" t="str">
            <v>Salaries &amp; Benefits</v>
          </cell>
          <cell r="C24">
            <v>0</v>
          </cell>
          <cell r="D24">
            <v>0</v>
          </cell>
          <cell r="E24">
            <v>563.56799999999998</v>
          </cell>
          <cell r="F24">
            <v>739.86200000000008</v>
          </cell>
          <cell r="G24">
            <v>1249.345</v>
          </cell>
          <cell r="H24">
            <v>1458.665</v>
          </cell>
          <cell r="I24">
            <v>1705.1170000000002</v>
          </cell>
          <cell r="J24">
            <v>2079.808</v>
          </cell>
          <cell r="K24">
            <v>2208.3588068099407</v>
          </cell>
          <cell r="L24">
            <v>2412.8204672103607</v>
          </cell>
          <cell r="M24">
            <v>2571.928177527634</v>
          </cell>
        </row>
        <row r="25">
          <cell r="B25" t="str">
            <v>Net Occupancy &amp; Equipment</v>
          </cell>
          <cell r="C25">
            <v>0</v>
          </cell>
          <cell r="D25">
            <v>0</v>
          </cell>
          <cell r="E25">
            <v>30.073</v>
          </cell>
          <cell r="F25">
            <v>47.597999999999999</v>
          </cell>
          <cell r="G25">
            <v>77.260999999999996</v>
          </cell>
          <cell r="H25">
            <v>88.057999999999993</v>
          </cell>
          <cell r="I25">
            <v>117.727</v>
          </cell>
          <cell r="J25">
            <v>163.23599999999999</v>
          </cell>
          <cell r="K25">
            <v>184.0946179960942</v>
          </cell>
          <cell r="L25">
            <v>194.38932776474522</v>
          </cell>
          <cell r="M25">
            <v>204.65487740003638</v>
          </cell>
          <cell r="O25" t="str">
            <v>PERFORMANCE RATIOS</v>
          </cell>
        </row>
        <row r="26">
          <cell r="B26" t="str">
            <v>Other Expenses</v>
          </cell>
          <cell r="C26">
            <v>0</v>
          </cell>
          <cell r="D26">
            <v>0</v>
          </cell>
          <cell r="E26">
            <v>348.11599999999999</v>
          </cell>
          <cell r="F26">
            <v>560.67899999999997</v>
          </cell>
          <cell r="G26">
            <v>861.28100000000018</v>
          </cell>
          <cell r="H26">
            <v>881.26499999999976</v>
          </cell>
          <cell r="I26">
            <v>1150.1221496401095</v>
          </cell>
          <cell r="J26">
            <v>1723.6419999999998</v>
          </cell>
          <cell r="K26">
            <v>1645.2775116999671</v>
          </cell>
          <cell r="L26">
            <v>1708.8365000409808</v>
          </cell>
          <cell r="M26">
            <v>1812.9344399135971</v>
          </cell>
          <cell r="O26" t="str">
            <v>Won billions, Year ending Dec 31</v>
          </cell>
          <cell r="P26">
            <v>2000</v>
          </cell>
          <cell r="Q26">
            <v>2001</v>
          </cell>
          <cell r="R26">
            <v>2002</v>
          </cell>
          <cell r="S26">
            <v>2003</v>
          </cell>
          <cell r="T26">
            <v>2004</v>
          </cell>
          <cell r="U26">
            <v>2005</v>
          </cell>
          <cell r="V26">
            <v>2006</v>
          </cell>
          <cell r="W26">
            <v>2007</v>
          </cell>
          <cell r="X26" t="str">
            <v>2008E</v>
          </cell>
          <cell r="Y26" t="str">
            <v>2009E</v>
          </cell>
          <cell r="Z26" t="str">
            <v>2010E</v>
          </cell>
        </row>
        <row r="27">
          <cell r="B27" t="str">
            <v>Total Non-interest Expense</v>
          </cell>
          <cell r="C27">
            <v>0</v>
          </cell>
          <cell r="D27">
            <v>0</v>
          </cell>
          <cell r="E27">
            <v>941.75699999999995</v>
          </cell>
          <cell r="F27">
            <v>1348.1390000000001</v>
          </cell>
          <cell r="G27">
            <v>2187.8870000000002</v>
          </cell>
          <cell r="H27">
            <v>2427.9879999999998</v>
          </cell>
          <cell r="I27">
            <v>2972.9661496401095</v>
          </cell>
          <cell r="J27">
            <v>3966.6859999999997</v>
          </cell>
          <cell r="K27">
            <v>4037.7309365060019</v>
          </cell>
          <cell r="L27">
            <v>4316.0462950160872</v>
          </cell>
          <cell r="M27">
            <v>4589.5174948412678</v>
          </cell>
          <cell r="O27" t="str">
            <v>Growth (%)</v>
          </cell>
        </row>
        <row r="28">
          <cell r="O28" t="str">
            <v>Net Interest Income</v>
          </cell>
          <cell r="P28" t="e">
            <v>#DIV/0!</v>
          </cell>
          <cell r="Q28" t="e">
            <v>#DIV/0!</v>
          </cell>
          <cell r="R28" t="e">
            <v>#DIV/0!</v>
          </cell>
          <cell r="S28">
            <v>52.06374721009788</v>
          </cell>
          <cell r="T28">
            <v>50.83505998450957</v>
          </cell>
          <cell r="U28">
            <v>1.1928448333043296</v>
          </cell>
          <cell r="V28">
            <v>10.833996444553096</v>
          </cell>
          <cell r="W28">
            <v>44.02182730841686</v>
          </cell>
          <cell r="X28">
            <v>5.8335613672857001</v>
          </cell>
          <cell r="Y28">
            <v>7.3046290046528295</v>
          </cell>
          <cell r="Z28">
            <v>9.5931116950633832</v>
          </cell>
        </row>
        <row r="29">
          <cell r="B29" t="str">
            <v>Pre-tax Operating Profit</v>
          </cell>
          <cell r="C29">
            <v>0</v>
          </cell>
          <cell r="D29">
            <v>0</v>
          </cell>
          <cell r="E29">
            <v>939.01699999999994</v>
          </cell>
          <cell r="F29">
            <v>785.78599999999915</v>
          </cell>
          <cell r="G29">
            <v>1469.7890000000007</v>
          </cell>
          <cell r="H29">
            <v>1776.1779999999994</v>
          </cell>
          <cell r="I29">
            <v>2424.302507820772</v>
          </cell>
          <cell r="J29">
            <v>3691.3200000000024</v>
          </cell>
          <cell r="K29">
            <v>3463.6706236719974</v>
          </cell>
          <cell r="L29">
            <v>3670.3580140452323</v>
          </cell>
          <cell r="M29">
            <v>4007.4467650155075</v>
          </cell>
          <cell r="O29" t="str">
            <v>Non-interest Income</v>
          </cell>
          <cell r="P29" t="e">
            <v>#DIV/0!</v>
          </cell>
          <cell r="Q29" t="e">
            <v>#DIV/0!</v>
          </cell>
          <cell r="R29" t="e">
            <v>#DIV/0!</v>
          </cell>
          <cell r="S29">
            <v>66.421345943483459</v>
          </cell>
          <cell r="T29">
            <v>80.069255296578973</v>
          </cell>
          <cell r="U29">
            <v>1.5961525057501147</v>
          </cell>
          <cell r="V29">
            <v>41.066818175578732</v>
          </cell>
          <cell r="W29">
            <v>37.978697979906826</v>
          </cell>
          <cell r="X29">
            <v>-36.650962501213158</v>
          </cell>
          <cell r="Y29">
            <v>9.5465482496613685</v>
          </cell>
          <cell r="Z29">
            <v>7.1382471441718165</v>
          </cell>
        </row>
        <row r="30">
          <cell r="B30" t="str">
            <v>Associate Profit/Loss</v>
          </cell>
          <cell r="C30">
            <v>0</v>
          </cell>
          <cell r="D30">
            <v>0</v>
          </cell>
          <cell r="E30">
            <v>-86.700999999999993</v>
          </cell>
          <cell r="F30">
            <v>-154.80699999999999</v>
          </cell>
          <cell r="G30">
            <v>-136.00800000000001</v>
          </cell>
          <cell r="H30">
            <v>235.04500000000002</v>
          </cell>
          <cell r="I30">
            <v>89.374492179227758</v>
          </cell>
          <cell r="J30">
            <v>195.19999999999996</v>
          </cell>
          <cell r="K30">
            <v>115.26840718750049</v>
          </cell>
          <cell r="L30">
            <v>94.894787908159159</v>
          </cell>
          <cell r="M30">
            <v>94.929184250876901</v>
          </cell>
          <cell r="O30" t="str">
            <v>Non-interest Expense</v>
          </cell>
          <cell r="P30" t="e">
            <v>#DIV/0!</v>
          </cell>
          <cell r="Q30" t="e">
            <v>#DIV/0!</v>
          </cell>
          <cell r="R30" t="e">
            <v>#DIV/0!</v>
          </cell>
          <cell r="S30">
            <v>43.151471133211672</v>
          </cell>
          <cell r="T30">
            <v>62.289422678225307</v>
          </cell>
          <cell r="U30">
            <v>10.974104238473004</v>
          </cell>
          <cell r="V30">
            <v>22.445668991778778</v>
          </cell>
          <cell r="W30">
            <v>33.425198954255976</v>
          </cell>
          <cell r="X30">
            <v>1.7910400900399415</v>
          </cell>
          <cell r="Y30">
            <v>6.8928653961009667</v>
          </cell>
          <cell r="Z30">
            <v>6.3361507530854899</v>
          </cell>
        </row>
        <row r="31">
          <cell r="O31" t="str">
            <v>Recurrent Net Profit After Tax (FD)</v>
          </cell>
          <cell r="P31" t="e">
            <v>#DIV/0!</v>
          </cell>
          <cell r="Q31" t="e">
            <v>#DIV/0!</v>
          </cell>
          <cell r="R31" t="e">
            <v>#DIV/0!</v>
          </cell>
          <cell r="S31">
            <v>-28.701637719056571</v>
          </cell>
          <cell r="T31">
            <v>163.12278635744221</v>
          </cell>
          <cell r="U31">
            <v>24.921595152984001</v>
          </cell>
          <cell r="V31">
            <v>15.139496538870944</v>
          </cell>
          <cell r="W31">
            <v>79.030705112855856</v>
          </cell>
          <cell r="X31">
            <v>-24.880338826641513</v>
          </cell>
          <cell r="Y31">
            <v>6.2652160099088583</v>
          </cell>
          <cell r="Z31">
            <v>9.6678432295888239</v>
          </cell>
        </row>
        <row r="32">
          <cell r="B32" t="str">
            <v>Profit Before Tax</v>
          </cell>
          <cell r="C32">
            <v>0</v>
          </cell>
          <cell r="D32">
            <v>0</v>
          </cell>
          <cell r="E32">
            <v>852.31599999999992</v>
          </cell>
          <cell r="F32">
            <v>630.97899999999913</v>
          </cell>
          <cell r="G32">
            <v>1333.7810000000006</v>
          </cell>
          <cell r="H32">
            <v>2011.2229999999995</v>
          </cell>
          <cell r="I32">
            <v>2513.6769999999997</v>
          </cell>
          <cell r="J32">
            <v>3886.5200000000023</v>
          </cell>
          <cell r="K32">
            <v>3578.939030859498</v>
          </cell>
          <cell r="L32">
            <v>3765.2528019533916</v>
          </cell>
          <cell r="M32">
            <v>4102.3759492663839</v>
          </cell>
          <cell r="O32" t="str">
            <v>Net Profit</v>
          </cell>
          <cell r="P32" t="e">
            <v>#DIV/0!</v>
          </cell>
          <cell r="Q32" t="e">
            <v>#DIV/0!</v>
          </cell>
          <cell r="R32" t="e">
            <v>#DIV/0!</v>
          </cell>
          <cell r="S32">
            <v>-39.719311880670304</v>
          </cell>
          <cell r="T32">
            <v>168.03660485497454</v>
          </cell>
          <cell r="U32">
            <v>67.868840700506965</v>
          </cell>
          <cell r="V32">
            <v>6.1625666129573764</v>
          </cell>
          <cell r="W32">
            <v>25.96438673189747</v>
          </cell>
          <cell r="X32">
            <v>1.1754852330420285</v>
          </cell>
          <cell r="Y32">
            <v>7.688156084542408</v>
          </cell>
          <cell r="Z32">
            <v>10.556950206565352</v>
          </cell>
        </row>
        <row r="33">
          <cell r="B33" t="str">
            <v>Effective Tax</v>
          </cell>
          <cell r="C33" t="e">
            <v>#DIV/0!</v>
          </cell>
          <cell r="D33" t="e">
            <v>#DIV/0!</v>
          </cell>
          <cell r="E33">
            <v>254.57200000000012</v>
          </cell>
          <cell r="F33">
            <v>253.94699999999997</v>
          </cell>
          <cell r="G33">
            <v>212.6519999999999</v>
          </cell>
          <cell r="H33">
            <v>263.64200000000017</v>
          </cell>
          <cell r="I33">
            <v>671.16400000000021</v>
          </cell>
          <cell r="J33">
            <v>536.90699999999993</v>
          </cell>
          <cell r="K33">
            <v>1109.5656834863616</v>
          </cell>
          <cell r="L33">
            <v>1160.0239205371827</v>
          </cell>
          <cell r="M33">
            <v>1252.7327860482567</v>
          </cell>
        </row>
        <row r="34">
          <cell r="B34" t="str">
            <v xml:space="preserve">Minority Interests </v>
          </cell>
          <cell r="C34">
            <v>0</v>
          </cell>
          <cell r="D34">
            <v>0</v>
          </cell>
          <cell r="E34">
            <v>0</v>
          </cell>
          <cell r="F34">
            <v>0</v>
          </cell>
          <cell r="G34">
            <v>70.834000000000003</v>
          </cell>
          <cell r="H34">
            <v>15.513999999999999</v>
          </cell>
          <cell r="I34">
            <v>9.7949999999999999</v>
          </cell>
          <cell r="J34">
            <v>953.23599999999999</v>
          </cell>
          <cell r="K34">
            <v>8.2159999999999993</v>
          </cell>
          <cell r="L34">
            <v>8.2159999999999993</v>
          </cell>
          <cell r="M34">
            <v>8.2159999999999993</v>
          </cell>
          <cell r="O34" t="str">
            <v>Gross Customer Loans</v>
          </cell>
          <cell r="P34" t="e">
            <v>#DIV/0!</v>
          </cell>
          <cell r="Q34" t="e">
            <v>#DIV/0!</v>
          </cell>
          <cell r="R34" t="e">
            <v>#DIV/0!</v>
          </cell>
          <cell r="S34">
            <v>112.0591625455357</v>
          </cell>
          <cell r="T34">
            <v>1.4278304222505422</v>
          </cell>
          <cell r="U34">
            <v>9.3789743971032458</v>
          </cell>
          <cell r="V34">
            <v>14.628122186557135</v>
          </cell>
          <cell r="W34">
            <v>21.502643353002448</v>
          </cell>
          <cell r="X34">
            <v>11.999994187491092</v>
          </cell>
          <cell r="Y34">
            <v>10.744482349571459</v>
          </cell>
          <cell r="Z34">
            <v>9.6392354917727694</v>
          </cell>
        </row>
        <row r="35">
          <cell r="B35" t="str">
            <v>Preference Dividend</v>
          </cell>
          <cell r="C35">
            <v>0</v>
          </cell>
          <cell r="D35">
            <v>0</v>
          </cell>
          <cell r="E35">
            <v>0</v>
          </cell>
          <cell r="F35">
            <v>0</v>
          </cell>
          <cell r="G35">
            <v>77.354288769028159</v>
          </cell>
          <cell r="H35">
            <v>98.802707353298402</v>
          </cell>
          <cell r="I35">
            <v>98.802707353298402</v>
          </cell>
          <cell r="J35">
            <v>212.261235167</v>
          </cell>
          <cell r="K35">
            <v>251.36762425197904</v>
          </cell>
          <cell r="L35">
            <v>217.33107524131938</v>
          </cell>
          <cell r="M35">
            <v>210.52353369065969</v>
          </cell>
          <cell r="O35" t="str">
            <v>Total Deposits</v>
          </cell>
          <cell r="P35" t="e">
            <v>#DIV/0!</v>
          </cell>
          <cell r="Q35" t="e">
            <v>#DIV/0!</v>
          </cell>
          <cell r="R35" t="e">
            <v>#DIV/0!</v>
          </cell>
          <cell r="S35">
            <v>126.20694401396553</v>
          </cell>
          <cell r="T35">
            <v>-7.3687727405757908E-2</v>
          </cell>
          <cell r="U35">
            <v>4.5818232461681596</v>
          </cell>
          <cell r="V35">
            <v>8.9810159646481083</v>
          </cell>
          <cell r="W35">
            <v>11.087676311363271</v>
          </cell>
          <cell r="X35">
            <v>10.285917801372136</v>
          </cell>
          <cell r="Y35">
            <v>8.1412280812280144</v>
          </cell>
          <cell r="Z35">
            <v>8.198434245722396</v>
          </cell>
        </row>
        <row r="36">
          <cell r="B36" t="str">
            <v>Net Profit</v>
          </cell>
          <cell r="C36" t="e">
            <v>#DIV/0!</v>
          </cell>
          <cell r="D36" t="e">
            <v>#DIV/0!</v>
          </cell>
          <cell r="E36">
            <v>602.16299999999978</v>
          </cell>
          <cell r="F36">
            <v>362.98799999999915</v>
          </cell>
          <cell r="G36">
            <v>972.94071123097262</v>
          </cell>
          <cell r="H36">
            <v>1633.2642926467008</v>
          </cell>
          <cell r="I36">
            <v>1733.9152926467009</v>
          </cell>
          <cell r="J36">
            <v>2184.1157648330022</v>
          </cell>
          <cell r="K36">
            <v>2209.7897231211573</v>
          </cell>
          <cell r="L36">
            <v>2379.6818061748895</v>
          </cell>
          <cell r="M36">
            <v>2630.9036295274677</v>
          </cell>
          <cell r="O36" t="str">
            <v>Avg Earning Assets</v>
          </cell>
          <cell r="P36" t="e">
            <v>#DIV/0!</v>
          </cell>
          <cell r="Q36" t="e">
            <v>#DIV/0!</v>
          </cell>
          <cell r="R36" t="e">
            <v>#DIV/0!</v>
          </cell>
          <cell r="S36">
            <v>16.555617871642347</v>
          </cell>
          <cell r="T36">
            <v>94.791071885774073</v>
          </cell>
          <cell r="U36">
            <v>1.8412155463306989</v>
          </cell>
          <cell r="V36">
            <v>4.8763268490656264</v>
          </cell>
          <cell r="W36">
            <v>15.120043371432935</v>
          </cell>
          <cell r="X36">
            <v>12.753991763312555</v>
          </cell>
          <cell r="Y36">
            <v>7.4032506814446064</v>
          </cell>
          <cell r="Z36">
            <v>8.9299036667808807</v>
          </cell>
        </row>
        <row r="37">
          <cell r="B37" t="str">
            <v>EPS - Reported (Won)</v>
          </cell>
          <cell r="C37" t="e">
            <v>#DIV/0!</v>
          </cell>
          <cell r="D37" t="e">
            <v>#DIV/0!</v>
          </cell>
          <cell r="E37">
            <v>2059.6548190187723</v>
          </cell>
          <cell r="F37">
            <v>1070.37615910052</v>
          </cell>
          <cell r="G37">
            <v>2672.6231811436123</v>
          </cell>
          <cell r="H37">
            <v>4280.4059692725941</v>
          </cell>
          <cell r="I37">
            <v>4544.1888384340209</v>
          </cell>
          <cell r="J37">
            <v>5315.1772725200599</v>
          </cell>
          <cell r="K37">
            <v>5377.6563964685402</v>
          </cell>
          <cell r="L37">
            <v>5791.09901391942</v>
          </cell>
          <cell r="M37">
            <v>6402.4624532317912</v>
          </cell>
          <cell r="O37" t="str">
            <v>Total Interest-bearing Liab</v>
          </cell>
          <cell r="P37" t="e">
            <v>#DIV/0!</v>
          </cell>
          <cell r="Q37" t="e">
            <v>#DIV/0!</v>
          </cell>
          <cell r="R37" t="e">
            <v>#DIV/0!</v>
          </cell>
          <cell r="S37">
            <v>18.42290985145063</v>
          </cell>
          <cell r="T37">
            <v>87.310985986774554</v>
          </cell>
          <cell r="U37">
            <v>1.0543712250567827</v>
          </cell>
          <cell r="V37">
            <v>3.4256103458454756</v>
          </cell>
          <cell r="W37">
            <v>14.48919305119205</v>
          </cell>
          <cell r="X37">
            <v>13.378534846101765</v>
          </cell>
          <cell r="Y37">
            <v>7.8362534515066251</v>
          </cell>
          <cell r="Z37">
            <v>8.3293874291353589</v>
          </cell>
        </row>
        <row r="38">
          <cell r="B38" t="str">
            <v>EPS - ModelWare (Won)</v>
          </cell>
          <cell r="E38">
            <v>2101.8218478944482</v>
          </cell>
          <cell r="F38">
            <v>1197.9674459422904</v>
          </cell>
          <cell r="G38">
            <v>2915.6077262266645</v>
          </cell>
          <cell r="H38">
            <v>4555.5079332458772</v>
          </cell>
          <cell r="I38">
            <v>4962.1802877817117</v>
          </cell>
          <cell r="J38">
            <v>5454.6202739484606</v>
          </cell>
          <cell r="K38">
            <v>6480.0981195939867</v>
          </cell>
          <cell r="L38">
            <v>6893.5407370448675</v>
          </cell>
          <cell r="M38">
            <v>7504.9041763572377</v>
          </cell>
          <cell r="O38" t="str">
            <v>Risk-weighted Assets</v>
          </cell>
          <cell r="P38" t="e">
            <v>#DIV/0!</v>
          </cell>
          <cell r="Q38" t="e">
            <v>#DIV/0!</v>
          </cell>
          <cell r="R38" t="e">
            <v>#DIV/0!</v>
          </cell>
          <cell r="S38">
            <v>116.37673691113801</v>
          </cell>
          <cell r="T38">
            <v>2.0997881346845659</v>
          </cell>
          <cell r="U38">
            <v>11.323326356639729</v>
          </cell>
          <cell r="V38">
            <v>14.409505820219358</v>
          </cell>
          <cell r="W38">
            <v>19.319302295931418</v>
          </cell>
          <cell r="X38">
            <v>-1.2046334551493287</v>
          </cell>
          <cell r="Y38">
            <v>6.8887306472265042</v>
          </cell>
          <cell r="Z38">
            <v>8.8836818361297532</v>
          </cell>
        </row>
        <row r="40">
          <cell r="B40" t="str">
            <v>Selective Balance Sheet Data</v>
          </cell>
          <cell r="O40" t="str">
            <v>Revenue Breakdown (%)</v>
          </cell>
        </row>
        <row r="41">
          <cell r="B41" t="str">
            <v>Won billions, Year ending Dec 31</v>
          </cell>
          <cell r="C41">
            <v>2000</v>
          </cell>
          <cell r="D41">
            <v>2001</v>
          </cell>
          <cell r="E41">
            <v>2002</v>
          </cell>
          <cell r="F41">
            <v>2003</v>
          </cell>
          <cell r="G41">
            <v>2004</v>
          </cell>
          <cell r="H41">
            <v>2005</v>
          </cell>
          <cell r="I41">
            <v>2006</v>
          </cell>
          <cell r="J41">
            <v>2007</v>
          </cell>
          <cell r="K41" t="str">
            <v>2008E</v>
          </cell>
          <cell r="L41" t="str">
            <v>2009E</v>
          </cell>
          <cell r="M41" t="str">
            <v>2010E</v>
          </cell>
          <cell r="O41" t="str">
            <v>NII/Operating Income</v>
          </cell>
          <cell r="P41" t="e">
            <v>#DIV/0!</v>
          </cell>
          <cell r="Q41" t="e">
            <v>#DIV/0!</v>
          </cell>
          <cell r="R41">
            <v>83.288521710074576</v>
          </cell>
          <cell r="S41">
            <v>81.994751795456267</v>
          </cell>
          <cell r="T41">
            <v>79.229867965919951</v>
          </cell>
          <cell r="U41">
            <v>79.164335651326979</v>
          </cell>
          <cell r="V41">
            <v>74.907022679118413</v>
          </cell>
          <cell r="W41">
            <v>75.704108744409737</v>
          </cell>
          <cell r="X41">
            <v>83.885498226839601</v>
          </cell>
          <cell r="Y41">
            <v>83.60401951928533</v>
          </cell>
          <cell r="Z41">
            <v>83.912201174006199</v>
          </cell>
        </row>
        <row r="42">
          <cell r="B42" t="str">
            <v>Total Assets</v>
          </cell>
          <cell r="C42">
            <v>0</v>
          </cell>
          <cell r="D42">
            <v>0</v>
          </cell>
          <cell r="E42">
            <v>66767.594474691636</v>
          </cell>
          <cell r="F42">
            <v>139220.77600000001</v>
          </cell>
          <cell r="G42">
            <v>146831.17100000003</v>
          </cell>
          <cell r="H42">
            <v>160217.90100000001</v>
          </cell>
          <cell r="I42">
            <v>177725.16899999999</v>
          </cell>
          <cell r="J42">
            <v>220876.014</v>
          </cell>
          <cell r="K42">
            <v>243388.67246111063</v>
          </cell>
          <cell r="L42">
            <v>260155.0625328169</v>
          </cell>
          <cell r="M42">
            <v>283266.41056881676</v>
          </cell>
          <cell r="O42" t="str">
            <v>Non-interest Inc/Opg Income</v>
          </cell>
          <cell r="P42" t="e">
            <v>#DIV/0!</v>
          </cell>
          <cell r="Q42" t="e">
            <v>#DIV/0!</v>
          </cell>
          <cell r="R42">
            <v>16.711478289925427</v>
          </cell>
          <cell r="S42">
            <v>18.00524820454374</v>
          </cell>
          <cell r="T42">
            <v>20.770132034080042</v>
          </cell>
          <cell r="U42">
            <v>20.835664348673021</v>
          </cell>
          <cell r="V42">
            <v>25.092977320881587</v>
          </cell>
          <cell r="W42">
            <v>24.295891255590266</v>
          </cell>
          <cell r="X42">
            <v>16.114501773160406</v>
          </cell>
          <cell r="Y42">
            <v>16.39598048071467</v>
          </cell>
          <cell r="Z42">
            <v>16.087798825993811</v>
          </cell>
        </row>
        <row r="43">
          <cell r="B43" t="str">
            <v>RWA</v>
          </cell>
          <cell r="C43">
            <v>0</v>
          </cell>
          <cell r="D43">
            <v>0</v>
          </cell>
          <cell r="E43">
            <v>40358.226834557849</v>
          </cell>
          <cell r="F43">
            <v>87325.814299811536</v>
          </cell>
          <cell r="G43">
            <v>89159.471386995661</v>
          </cell>
          <cell r="H43">
            <v>99255.289309999993</v>
          </cell>
          <cell r="I43">
            <v>113557.486</v>
          </cell>
          <cell r="J43">
            <v>135496</v>
          </cell>
          <cell r="K43">
            <v>133863.76985361087</v>
          </cell>
          <cell r="L43">
            <v>143085.28439304931</v>
          </cell>
          <cell r="M43">
            <v>155796.52581284923</v>
          </cell>
          <cell r="O43" t="str">
            <v>Forex Income/Operating Income</v>
          </cell>
          <cell r="P43" t="e">
            <v>#DIV/0!</v>
          </cell>
          <cell r="Q43" t="e">
            <v>#DIV/0!</v>
          </cell>
          <cell r="R43">
            <v>4.0913872578084671</v>
          </cell>
          <cell r="S43">
            <v>3.7279301913929226</v>
          </cell>
          <cell r="T43">
            <v>2.9611386129778032</v>
          </cell>
          <cell r="U43">
            <v>1.0394256038790164</v>
          </cell>
          <cell r="V43">
            <v>2.0781608417780308</v>
          </cell>
          <cell r="W43">
            <v>1.8568281816881818</v>
          </cell>
          <cell r="X43">
            <v>-0.30162193853710006</v>
          </cell>
          <cell r="Y43">
            <v>0</v>
          </cell>
          <cell r="Z43">
            <v>0</v>
          </cell>
        </row>
        <row r="44">
          <cell r="B44" t="str">
            <v>Total Liquid Assets</v>
          </cell>
          <cell r="C44">
            <v>0</v>
          </cell>
          <cell r="D44">
            <v>0</v>
          </cell>
          <cell r="E44">
            <v>21689.015449180937</v>
          </cell>
          <cell r="F44">
            <v>40708.053</v>
          </cell>
          <cell r="G44">
            <v>40374.689000000006</v>
          </cell>
          <cell r="H44">
            <v>44036.509999999995</v>
          </cell>
          <cell r="I44">
            <v>46064.578000000001</v>
          </cell>
          <cell r="J44">
            <v>64514.883999999991</v>
          </cell>
          <cell r="K44">
            <v>71361.631428163935</v>
          </cell>
          <cell r="L44">
            <v>72253.458598232988</v>
          </cell>
          <cell r="M44">
            <v>79340.875471888838</v>
          </cell>
        </row>
        <row r="45">
          <cell r="B45" t="str">
            <v>Gross Customer Loans</v>
          </cell>
          <cell r="C45">
            <v>0</v>
          </cell>
          <cell r="D45">
            <v>0</v>
          </cell>
          <cell r="E45">
            <v>46048.02727117802</v>
          </cell>
          <cell r="F45">
            <v>97649.061000000002</v>
          </cell>
          <cell r="G45">
            <v>99043.323999999993</v>
          </cell>
          <cell r="H45">
            <v>108332.572</v>
          </cell>
          <cell r="I45">
            <v>124179.59299999999</v>
          </cell>
          <cell r="J45">
            <v>150881.48799999998</v>
          </cell>
          <cell r="K45">
            <v>168987.25779000006</v>
          </cell>
          <cell r="L45">
            <v>187144.06387627145</v>
          </cell>
          <cell r="M45">
            <v>205183.32090217891</v>
          </cell>
          <cell r="O45" t="str">
            <v>Efficiency (%)</v>
          </cell>
        </row>
        <row r="46">
          <cell r="B46" t="str">
            <v>Total Customer Deposits</v>
          </cell>
          <cell r="C46">
            <v>0</v>
          </cell>
          <cell r="D46">
            <v>0</v>
          </cell>
          <cell r="E46">
            <v>33851.352686086015</v>
          </cell>
          <cell r="F46">
            <v>75496.45</v>
          </cell>
          <cell r="G46">
            <v>74764.328999999998</v>
          </cell>
          <cell r="H46">
            <v>77204.725000000006</v>
          </cell>
          <cell r="I46">
            <v>82270.615999999995</v>
          </cell>
          <cell r="J46">
            <v>90349.616999999984</v>
          </cell>
          <cell r="K46">
            <v>99384.578699999984</v>
          </cell>
          <cell r="L46">
            <v>106341.49920899999</v>
          </cell>
          <cell r="M46">
            <v>113785.40415362999</v>
          </cell>
          <cell r="O46" t="str">
            <v>Cost/Income</v>
          </cell>
          <cell r="P46" t="e">
            <v>#DIV/0!</v>
          </cell>
          <cell r="Q46" t="e">
            <v>#DIV/0!</v>
          </cell>
          <cell r="R46">
            <v>45.031702465428538</v>
          </cell>
          <cell r="S46">
            <v>37.9</v>
          </cell>
          <cell r="T46">
            <v>43.389054525882663</v>
          </cell>
          <cell r="U46">
            <v>47.543666273143636</v>
          </cell>
          <cell r="V46">
            <v>49.699963286840173</v>
          </cell>
          <cell r="W46">
            <v>46.533157822066421</v>
          </cell>
          <cell r="X46">
            <v>49.592511672005863</v>
          </cell>
          <cell r="Y46">
            <v>49.236439031637161</v>
          </cell>
          <cell r="Z46">
            <v>47.949299665837437</v>
          </cell>
        </row>
        <row r="47">
          <cell r="B47" t="str">
            <v>Certificates of Deposits</v>
          </cell>
          <cell r="C47">
            <v>0</v>
          </cell>
          <cell r="D47">
            <v>0</v>
          </cell>
          <cell r="E47">
            <v>2776.6493348669974</v>
          </cell>
          <cell r="F47">
            <v>7163.7519999999931</v>
          </cell>
          <cell r="G47">
            <v>8061.3179999999993</v>
          </cell>
          <cell r="H47">
            <v>10686.451000000001</v>
          </cell>
          <cell r="I47">
            <v>13238.382000000012</v>
          </cell>
          <cell r="J47">
            <v>15842.782000000007</v>
          </cell>
          <cell r="K47">
            <v>17743.915840000009</v>
          </cell>
          <cell r="L47">
            <v>20228.064057600011</v>
          </cell>
          <cell r="M47">
            <v>23059.993025664015</v>
          </cell>
          <cell r="O47" t="str">
            <v>Expenses/Avg Assets</v>
          </cell>
          <cell r="P47" t="e">
            <v>#DIV/0!</v>
          </cell>
          <cell r="Q47" t="e">
            <v>#DIV/0!</v>
          </cell>
          <cell r="R47">
            <v>2.8210002394409295</v>
          </cell>
          <cell r="S47">
            <v>1.3089467108199069</v>
          </cell>
          <cell r="T47">
            <v>1.5297130629214</v>
          </cell>
          <cell r="U47">
            <v>1.5814983475996303</v>
          </cell>
          <cell r="V47">
            <v>1.7594479150823299</v>
          </cell>
          <cell r="W47">
            <v>1.9903031747901261</v>
          </cell>
          <cell r="X47">
            <v>1.7394090286228241</v>
          </cell>
          <cell r="Y47">
            <v>1.7142686901141315</v>
          </cell>
          <cell r="Z47">
            <v>1.689118933282532</v>
          </cell>
        </row>
        <row r="48">
          <cell r="B48" t="str">
            <v>Other Interest Bearing Liability</v>
          </cell>
          <cell r="C48">
            <v>0</v>
          </cell>
          <cell r="D48">
            <v>0</v>
          </cell>
          <cell r="E48">
            <v>19747.217395110012</v>
          </cell>
          <cell r="F48">
            <v>34957.455000000002</v>
          </cell>
          <cell r="G48">
            <v>35009.203999999998</v>
          </cell>
          <cell r="H48">
            <v>38756.544999999998</v>
          </cell>
          <cell r="I48">
            <v>46376.911000000007</v>
          </cell>
          <cell r="J48">
            <v>66791.438999999984</v>
          </cell>
          <cell r="K48">
            <v>75266.209151861054</v>
          </cell>
          <cell r="L48">
            <v>79599.477080950572</v>
          </cell>
          <cell r="M48">
            <v>88750.24193201735</v>
          </cell>
        </row>
        <row r="49">
          <cell r="B49" t="str">
            <v>EOP Shareholders' Equity</v>
          </cell>
          <cell r="C49">
            <v>0</v>
          </cell>
          <cell r="D49">
            <v>0</v>
          </cell>
          <cell r="E49">
            <v>3961.3668422400751</v>
          </cell>
          <cell r="F49">
            <v>6119.0149999999994</v>
          </cell>
          <cell r="G49">
            <v>7834.8869999999988</v>
          </cell>
          <cell r="H49">
            <v>10210.873</v>
          </cell>
          <cell r="I49">
            <v>11512.105</v>
          </cell>
          <cell r="J49">
            <v>18174.415000000001</v>
          </cell>
          <cell r="K49">
            <v>19242.199384163687</v>
          </cell>
          <cell r="L49">
            <v>20952.503752767178</v>
          </cell>
          <cell r="M49">
            <v>23011.554350099646</v>
          </cell>
          <cell r="O49" t="str">
            <v>Rev Per Employee</v>
          </cell>
          <cell r="P49">
            <v>0</v>
          </cell>
          <cell r="Q49">
            <v>0</v>
          </cell>
          <cell r="R49">
            <v>0.17988302081541371</v>
          </cell>
          <cell r="S49">
            <v>0.40897866683547501</v>
          </cell>
          <cell r="T49">
            <v>0.44308123544659733</v>
          </cell>
          <cell r="U49">
            <v>0.44566358320970406</v>
          </cell>
          <cell r="V49">
            <v>0.53764404614963879</v>
          </cell>
          <cell r="W49">
            <v>0.79589458942159585</v>
          </cell>
          <cell r="X49">
            <v>0.75067451326927548</v>
          </cell>
          <cell r="Y49">
            <v>0.77410451079292508</v>
          </cell>
          <cell r="Z49">
            <v>0.8269919522362561</v>
          </cell>
        </row>
        <row r="50">
          <cell r="O50" t="str">
            <v>Exp Per Employee</v>
          </cell>
          <cell r="P50">
            <v>0</v>
          </cell>
          <cell r="Q50">
            <v>0</v>
          </cell>
          <cell r="R50">
            <v>8.1004386719421978E-2</v>
          </cell>
          <cell r="S50">
            <v>0.17068291447743245</v>
          </cell>
          <cell r="T50">
            <v>0.19224875884187867</v>
          </cell>
          <cell r="U50">
            <v>0.21188480670215551</v>
          </cell>
          <cell r="V50">
            <v>0.26720889355025251</v>
          </cell>
          <cell r="W50">
            <v>0.37035488539283878</v>
          </cell>
          <cell r="X50">
            <v>0.37227834561183865</v>
          </cell>
          <cell r="Y50">
            <v>0.3811414954977117</v>
          </cell>
          <cell r="Z50">
            <v>0.39653684939012163</v>
          </cell>
        </row>
        <row r="51">
          <cell r="B51" t="str">
            <v>Avg Loans</v>
          </cell>
          <cell r="C51">
            <v>0</v>
          </cell>
          <cell r="D51">
            <v>0</v>
          </cell>
          <cell r="E51">
            <v>23024.01363558901</v>
          </cell>
          <cell r="F51">
            <v>71848.544135589007</v>
          </cell>
          <cell r="G51">
            <v>98346.192500000005</v>
          </cell>
          <cell r="H51">
            <v>103687.948</v>
          </cell>
          <cell r="I51">
            <v>116256.08249999999</v>
          </cell>
          <cell r="J51">
            <v>137530.5405</v>
          </cell>
          <cell r="K51">
            <v>159934.37289500004</v>
          </cell>
          <cell r="L51">
            <v>178065.66083313577</v>
          </cell>
          <cell r="M51">
            <v>196163.69238922518</v>
          </cell>
          <cell r="O51" t="str">
            <v>Rev Per Branch</v>
          </cell>
          <cell r="P51">
            <v>0</v>
          </cell>
          <cell r="Q51">
            <v>0</v>
          </cell>
          <cell r="R51">
            <v>2.8905597788527984</v>
          </cell>
          <cell r="S51">
            <v>5.7123218390804587</v>
          </cell>
          <cell r="T51">
            <v>6.1795171568627465</v>
          </cell>
          <cell r="U51">
            <v>6.1086830143540656</v>
          </cell>
          <cell r="V51">
            <v>6.7476905329507959</v>
          </cell>
          <cell r="W51">
            <v>9.316315846994538</v>
          </cell>
          <cell r="X51">
            <v>8.9274295733756155</v>
          </cell>
          <cell r="Y51">
            <v>9.6117976756788206</v>
          </cell>
          <cell r="Z51">
            <v>10.495180762261434</v>
          </cell>
        </row>
        <row r="52">
          <cell r="B52" t="str">
            <v>Avg Total Assets</v>
          </cell>
          <cell r="C52">
            <v>0</v>
          </cell>
          <cell r="D52">
            <v>0</v>
          </cell>
          <cell r="E52">
            <v>33383.797237345818</v>
          </cell>
          <cell r="F52">
            <v>102994.18523734582</v>
          </cell>
          <cell r="G52">
            <v>143025.97350000002</v>
          </cell>
          <cell r="H52">
            <v>153524.53600000002</v>
          </cell>
          <cell r="I52">
            <v>168971.535</v>
          </cell>
          <cell r="J52">
            <v>199300.59149999998</v>
          </cell>
          <cell r="K52">
            <v>232132.3432305553</v>
          </cell>
          <cell r="L52">
            <v>251771.86749696377</v>
          </cell>
          <cell r="M52">
            <v>271710.7365508168</v>
          </cell>
          <cell r="O52" t="str">
            <v>Exp Per Branch</v>
          </cell>
          <cell r="P52">
            <v>0</v>
          </cell>
          <cell r="Q52">
            <v>0</v>
          </cell>
          <cell r="R52">
            <v>1.3016682791983414</v>
          </cell>
          <cell r="S52">
            <v>2.3839770114942529</v>
          </cell>
          <cell r="T52">
            <v>2.6812340686274512</v>
          </cell>
          <cell r="U52">
            <v>2.904291866028708</v>
          </cell>
          <cell r="V52">
            <v>3.3535997175861358</v>
          </cell>
          <cell r="W52">
            <v>4.3351759562841528</v>
          </cell>
          <cell r="X52">
            <v>4.4273365531864055</v>
          </cell>
          <cell r="Y52">
            <v>4.73250690242992</v>
          </cell>
          <cell r="Z52">
            <v>5.0323656741680569</v>
          </cell>
        </row>
        <row r="53">
          <cell r="B53" t="str">
            <v>Avg Total Deposits</v>
          </cell>
          <cell r="C53">
            <v>0</v>
          </cell>
          <cell r="D53">
            <v>0</v>
          </cell>
          <cell r="E53">
            <v>0</v>
          </cell>
          <cell r="F53">
            <v>63157.468750182001</v>
          </cell>
          <cell r="G53">
            <v>87560.33249999999</v>
          </cell>
          <cell r="H53">
            <v>89533.250499999995</v>
          </cell>
          <cell r="I53">
            <v>95648.982000000004</v>
          </cell>
          <cell r="J53">
            <v>105290.0295</v>
          </cell>
          <cell r="K53">
            <v>116519.99062</v>
          </cell>
          <cell r="L53">
            <v>127194.52713829999</v>
          </cell>
          <cell r="M53">
            <v>137587.52828144701</v>
          </cell>
          <cell r="O53" t="str">
            <v>Net Profit Per Branch</v>
          </cell>
          <cell r="P53" t="e">
            <v>#DIV/0!</v>
          </cell>
          <cell r="Q53" t="e">
            <v>#DIV/0!</v>
          </cell>
          <cell r="R53">
            <v>0.83229163787145788</v>
          </cell>
          <cell r="S53">
            <v>0.64188859416445476</v>
          </cell>
          <cell r="T53">
            <v>1.1923293029791331</v>
          </cell>
          <cell r="U53">
            <v>1.9536654218261971</v>
          </cell>
          <cell r="V53">
            <v>1.955911215619516</v>
          </cell>
          <cell r="W53">
            <v>2.3870117648448113</v>
          </cell>
          <cell r="X53">
            <v>2.4230150472819707</v>
          </cell>
          <cell r="Y53">
            <v>2.609300226068958</v>
          </cell>
          <cell r="Z53">
            <v>2.8847627516748551</v>
          </cell>
        </row>
        <row r="54">
          <cell r="B54" t="str">
            <v>Avg Shareholders' Equity</v>
          </cell>
          <cell r="F54">
            <v>5040.1909211200373</v>
          </cell>
          <cell r="G54">
            <v>6976.9509999999991</v>
          </cell>
          <cell r="H54">
            <v>9022.8799999999992</v>
          </cell>
          <cell r="I54">
            <v>10861.489</v>
          </cell>
          <cell r="J54">
            <v>14843.26</v>
          </cell>
          <cell r="K54">
            <v>18708.307192081844</v>
          </cell>
          <cell r="L54">
            <v>20097.351568465434</v>
          </cell>
          <cell r="M54">
            <v>21982.029051433412</v>
          </cell>
        </row>
        <row r="55">
          <cell r="B55" t="str">
            <v>Avg Equity/Avg Assets (%)</v>
          </cell>
          <cell r="C55" t="e">
            <v>#DIV/0!</v>
          </cell>
          <cell r="D55" t="e">
            <v>#DIV/0!</v>
          </cell>
          <cell r="E55">
            <v>5.4524656969496359</v>
          </cell>
          <cell r="F55">
            <v>4.4487415305500964</v>
          </cell>
          <cell r="G55">
            <v>4.6392556104503626</v>
          </cell>
          <cell r="H55">
            <v>5.8245699566875739</v>
          </cell>
          <cell r="I55">
            <v>6.3615871750232946</v>
          </cell>
          <cell r="J55">
            <v>7.3605719830490317</v>
          </cell>
          <cell r="K55">
            <v>7.9627142581003385</v>
          </cell>
          <cell r="L55">
            <v>7.8823030411468666</v>
          </cell>
          <cell r="M55">
            <v>7.9975121069127617</v>
          </cell>
          <cell r="O55" t="str">
            <v>Net Interest Margin Analysis (%)</v>
          </cell>
        </row>
        <row r="56">
          <cell r="B56" t="str">
            <v>Avg EA/Avg Assets (%)</v>
          </cell>
          <cell r="C56" t="e">
            <v>#DIV/0!</v>
          </cell>
          <cell r="D56" t="e">
            <v>#DIV/0!</v>
          </cell>
          <cell r="E56">
            <v>148.94946685206202</v>
          </cell>
          <cell r="F56">
            <v>56.272368062759945</v>
          </cell>
          <cell r="G56">
            <v>78.933622238201366</v>
          </cell>
          <cell r="H56">
            <v>74.889809551354034</v>
          </cell>
          <cell r="I56">
            <v>71.361576966203216</v>
          </cell>
          <cell r="J56">
            <v>69.64987557500551</v>
          </cell>
          <cell r="K56">
            <v>67.425659508612895</v>
          </cell>
          <cell r="L56">
            <v>66.768417526932041</v>
          </cell>
          <cell r="M56">
            <v>67.393591979284182</v>
          </cell>
          <cell r="O56" t="str">
            <v>Int Income/Avg EA</v>
          </cell>
          <cell r="P56" t="e">
            <v>#DIV/0!</v>
          </cell>
          <cell r="Q56" t="e">
            <v>#DIV/0!</v>
          </cell>
          <cell r="R56">
            <v>6.8304571536548186</v>
          </cell>
          <cell r="S56">
            <v>5.812725779495433</v>
          </cell>
          <cell r="T56">
            <v>6.4593240724097365</v>
          </cell>
          <cell r="U56">
            <v>6.1475321376469747</v>
          </cell>
          <cell r="V56">
            <v>6.1167174392145096</v>
          </cell>
          <cell r="W56">
            <v>6.3407976741940768</v>
          </cell>
          <cell r="X56">
            <v>6.5572836374824899</v>
          </cell>
          <cell r="Y56">
            <v>6.4528461878514509</v>
          </cell>
          <cell r="Z56">
            <v>6.4544183387152829</v>
          </cell>
        </row>
        <row r="57">
          <cell r="B57" t="str">
            <v>Avg Loans/Avg EA (%)</v>
          </cell>
          <cell r="C57" t="e">
            <v>#DIV/0!</v>
          </cell>
          <cell r="D57" t="e">
            <v>#DIV/0!</v>
          </cell>
          <cell r="E57">
            <v>46.302703251711215</v>
          </cell>
          <cell r="F57">
            <v>123.96813696475542</v>
          </cell>
          <cell r="G57">
            <v>87.112525649295975</v>
          </cell>
          <cell r="H57">
            <v>90.183639962345879</v>
          </cell>
          <cell r="I57">
            <v>96.413466139272359</v>
          </cell>
          <cell r="J57">
            <v>99.076399858012905</v>
          </cell>
          <cell r="K57">
            <v>102.18354217511374</v>
          </cell>
          <cell r="L57">
            <v>105.92583382494165</v>
          </cell>
          <cell r="M57">
            <v>107.12558921349159</v>
          </cell>
          <cell r="O57" t="str">
            <v>Int Exp/Avg Int Bearing Liab.</v>
          </cell>
          <cell r="P57" t="e">
            <v>#DIV/0!</v>
          </cell>
          <cell r="Q57" t="e">
            <v>#DIV/0!</v>
          </cell>
          <cell r="R57">
            <v>4.313763861049023</v>
          </cell>
          <cell r="S57">
            <v>3.7381446179738971</v>
          </cell>
          <cell r="T57">
            <v>3.4572568134634758</v>
          </cell>
          <cell r="U57">
            <v>3.2802055377221655</v>
          </cell>
          <cell r="V57">
            <v>3.7915133097783258</v>
          </cell>
          <cell r="W57">
            <v>4.2563240606711652</v>
          </cell>
          <cell r="X57">
            <v>4.593084030785155</v>
          </cell>
          <cell r="Y57">
            <v>4.540172851023037</v>
          </cell>
          <cell r="Z57">
            <v>4.599609432165896</v>
          </cell>
        </row>
        <row r="58">
          <cell r="O58" t="str">
            <v xml:space="preserve">Net Interest Spread </v>
          </cell>
          <cell r="P58">
            <v>0</v>
          </cell>
          <cell r="Q58">
            <v>0</v>
          </cell>
          <cell r="R58">
            <v>2.5166932926057961</v>
          </cell>
          <cell r="S58">
            <v>2.0745811615215359</v>
          </cell>
          <cell r="T58">
            <v>3.0020672589462603</v>
          </cell>
          <cell r="U58">
            <v>2.8673265999248092</v>
          </cell>
          <cell r="V58">
            <v>2.3252041294361843</v>
          </cell>
          <cell r="W58">
            <v>2.0844736135229116</v>
          </cell>
          <cell r="X58">
            <v>1.9641996066973353</v>
          </cell>
          <cell r="Y58">
            <v>1.9126733368284139</v>
          </cell>
          <cell r="Z58">
            <v>1.8548089065493871</v>
          </cell>
        </row>
        <row r="59">
          <cell r="B59" t="str">
            <v>Asset Quality</v>
          </cell>
          <cell r="O59" t="str">
            <v>Contribution From Free Funds</v>
          </cell>
          <cell r="P59" t="e">
            <v>#DIV/0!</v>
          </cell>
          <cell r="Q59" t="e">
            <v>#DIV/0!</v>
          </cell>
          <cell r="R59">
            <v>2.6931252864180077E-2</v>
          </cell>
          <cell r="S59">
            <v>-3.6175865426397724E-2</v>
          </cell>
          <cell r="T59">
            <v>0.10058780529315792</v>
          </cell>
          <cell r="U59">
            <v>0.1200426759698181</v>
          </cell>
          <cell r="V59">
            <v>0.18928183604527105</v>
          </cell>
          <cell r="W59">
            <v>0.23464631890628507</v>
          </cell>
          <cell r="X59">
            <v>0.22917300948636443</v>
          </cell>
          <cell r="Y59">
            <v>0.20914229095778847</v>
          </cell>
          <cell r="Z59">
            <v>0.23606920121243324</v>
          </cell>
        </row>
        <row r="60">
          <cell r="B60" t="str">
            <v>Won billions, Year ending Dec 31</v>
          </cell>
          <cell r="C60">
            <v>2000</v>
          </cell>
          <cell r="D60">
            <v>2001</v>
          </cell>
          <cell r="E60">
            <v>2002</v>
          </cell>
          <cell r="F60">
            <v>2003</v>
          </cell>
          <cell r="G60">
            <v>2004</v>
          </cell>
          <cell r="H60">
            <v>2005</v>
          </cell>
          <cell r="I60">
            <v>2006</v>
          </cell>
          <cell r="J60">
            <v>2007</v>
          </cell>
          <cell r="K60" t="str">
            <v>2008E</v>
          </cell>
          <cell r="L60" t="str">
            <v>2009E</v>
          </cell>
          <cell r="M60" t="str">
            <v>2010E</v>
          </cell>
          <cell r="O60" t="str">
            <v>Net Interest Margin</v>
          </cell>
          <cell r="P60" t="e">
            <v>#DIV/0!</v>
          </cell>
          <cell r="Q60" t="e">
            <v>#DIV/0!</v>
          </cell>
          <cell r="R60">
            <v>2.5436245454699762</v>
          </cell>
          <cell r="S60">
            <v>2.0384052960951382</v>
          </cell>
          <cell r="T60">
            <v>3.1026550642394182</v>
          </cell>
          <cell r="U60">
            <v>2.9873692758946273</v>
          </cell>
          <cell r="V60">
            <v>2.5144859654814553</v>
          </cell>
          <cell r="W60">
            <v>2.3191199324291967</v>
          </cell>
          <cell r="X60">
            <v>2.1933726161836997</v>
          </cell>
          <cell r="Y60">
            <v>2.1218156277862024</v>
          </cell>
          <cell r="Z60">
            <v>2.0908781077618204</v>
          </cell>
        </row>
        <row r="61">
          <cell r="B61" t="str">
            <v>Non-performing Loans (NPL)</v>
          </cell>
          <cell r="C61">
            <v>0</v>
          </cell>
          <cell r="D61">
            <v>1015.9639100000001</v>
          </cell>
          <cell r="E61">
            <v>702.2805179363703</v>
          </cell>
          <cell r="F61">
            <v>3444.8</v>
          </cell>
          <cell r="G61">
            <v>1702.1000000000001</v>
          </cell>
          <cell r="H61">
            <v>1210.4462781789998</v>
          </cell>
          <cell r="I61">
            <v>1078.5999999999999</v>
          </cell>
          <cell r="J61">
            <v>1590.1569686790003</v>
          </cell>
          <cell r="K61">
            <v>2030.8519399963293</v>
          </cell>
          <cell r="L61">
            <v>2646.0640784072971</v>
          </cell>
          <cell r="M61">
            <v>3363.1542232852744</v>
          </cell>
        </row>
        <row r="62">
          <cell r="B62" t="str">
            <v>Gross NPL Ratio (%)</v>
          </cell>
          <cell r="C62">
            <v>0</v>
          </cell>
          <cell r="D62">
            <v>2.7610022100621237</v>
          </cell>
          <cell r="E62">
            <v>1.5289946470795288</v>
          </cell>
          <cell r="F62">
            <v>3.4854367065618042</v>
          </cell>
          <cell r="G62">
            <v>1.7078126332582488</v>
          </cell>
          <cell r="H62">
            <v>1.110445535649885</v>
          </cell>
          <cell r="I62">
            <v>0.84865317812196339</v>
          </cell>
          <cell r="J62">
            <v>0.99705310837549344</v>
          </cell>
          <cell r="K62">
            <v>1.1523761970019661</v>
          </cell>
          <cell r="L62">
            <v>1.3466089810653352</v>
          </cell>
          <cell r="M62">
            <v>1.5419310496906753</v>
          </cell>
          <cell r="O62" t="str">
            <v>Liquidity (%)</v>
          </cell>
        </row>
        <row r="63">
          <cell r="B63" t="str">
            <v>Loan Loss Reserve (LLR)</v>
          </cell>
          <cell r="C63">
            <v>0</v>
          </cell>
          <cell r="D63">
            <v>557</v>
          </cell>
          <cell r="E63">
            <v>2886.0508423473698</v>
          </cell>
          <cell r="F63">
            <v>2823.1096119999997</v>
          </cell>
          <cell r="G63">
            <v>1941.75</v>
          </cell>
          <cell r="H63">
            <v>1772.4233314994103</v>
          </cell>
          <cell r="I63">
            <v>1942.2000000000003</v>
          </cell>
          <cell r="J63">
            <v>3050.4851436695494</v>
          </cell>
          <cell r="K63">
            <v>3600.913511971065</v>
          </cell>
          <cell r="L63">
            <v>4691.8666988627001</v>
          </cell>
          <cell r="M63">
            <v>5959.2513421799431</v>
          </cell>
          <cell r="O63" t="str">
            <v>Avg Loans/Avg EA</v>
          </cell>
          <cell r="P63" t="e">
            <v>#DIV/0!</v>
          </cell>
          <cell r="Q63" t="e">
            <v>#DIV/0!</v>
          </cell>
          <cell r="R63">
            <v>46.302703251711215</v>
          </cell>
          <cell r="S63">
            <v>123.96813696475542</v>
          </cell>
          <cell r="T63">
            <v>87.112525649295975</v>
          </cell>
          <cell r="U63">
            <v>90.183639962345879</v>
          </cell>
          <cell r="V63">
            <v>96.413466139272359</v>
          </cell>
          <cell r="W63">
            <v>99.076399858012905</v>
          </cell>
          <cell r="X63">
            <v>102.18354217511374</v>
          </cell>
          <cell r="Y63">
            <v>105.92583382494165</v>
          </cell>
          <cell r="Z63">
            <v>107.12558921349159</v>
          </cell>
        </row>
        <row r="64">
          <cell r="B64" t="str">
            <v>LLR/NPL (%)</v>
          </cell>
          <cell r="C64" t="str">
            <v>na</v>
          </cell>
          <cell r="D64">
            <v>54.824782112585083</v>
          </cell>
          <cell r="E64">
            <v>410.95413707729517</v>
          </cell>
          <cell r="F64">
            <v>81.952787157454694</v>
          </cell>
          <cell r="G64">
            <v>114.07966629457729</v>
          </cell>
          <cell r="H64">
            <v>146.42726104010589</v>
          </cell>
          <cell r="I64">
            <v>180.06675319859079</v>
          </cell>
          <cell r="J64">
            <v>191.83547308563479</v>
          </cell>
          <cell r="K64">
            <v>177.31048931009582</v>
          </cell>
          <cell r="L64">
            <v>177.31493115188655</v>
          </cell>
          <cell r="M64">
            <v>177.19233037010977</v>
          </cell>
          <cell r="O64" t="str">
            <v>Avg Liquid Assets/AEA</v>
          </cell>
          <cell r="P64" t="e">
            <v>#DIV/0!</v>
          </cell>
          <cell r="Q64" t="e">
            <v>#DIV/0!</v>
          </cell>
          <cell r="R64">
            <v>21.808970018435136</v>
          </cell>
          <cell r="S64">
            <v>53.830237068615503</v>
          </cell>
          <cell r="T64">
            <v>35.910502799537696</v>
          </cell>
          <cell r="U64">
            <v>36.708746417693263</v>
          </cell>
          <cell r="V64">
            <v>37.361306222406036</v>
          </cell>
          <cell r="W64">
            <v>39.830480391356943</v>
          </cell>
          <cell r="X64">
            <v>43.406377858425145</v>
          </cell>
          <cell r="Y64">
            <v>42.716119687854189</v>
          </cell>
          <cell r="Z64">
            <v>41.393063519793046</v>
          </cell>
        </row>
        <row r="65">
          <cell r="B65" t="str">
            <v>LLR/Total Credit (%)</v>
          </cell>
          <cell r="C65" t="e">
            <v>#DIV/0!</v>
          </cell>
          <cell r="D65">
            <v>1.5137134457902177</v>
          </cell>
          <cell r="E65">
            <v>6.283466757863712</v>
          </cell>
          <cell r="F65">
            <v>2.8564125256363941</v>
          </cell>
          <cell r="G65">
            <v>1.9482669529576433</v>
          </cell>
          <cell r="H65">
            <v>1.6259949831942591</v>
          </cell>
          <cell r="I65">
            <v>1.5281422237608731</v>
          </cell>
          <cell r="J65">
            <v>1.9127015473671547</v>
          </cell>
          <cell r="K65">
            <v>2.0432838735972596</v>
          </cell>
          <cell r="L65">
            <v>2.3877387876611205</v>
          </cell>
          <cell r="M65">
            <v>2.7321835596472033</v>
          </cell>
          <cell r="O65" t="str">
            <v>Avg Loans/Avg Deposits</v>
          </cell>
          <cell r="P65" t="e">
            <v>#DIV/0!</v>
          </cell>
          <cell r="Q65" t="e">
            <v>#DIV/0!</v>
          </cell>
          <cell r="R65" t="e">
            <v>#DIV/0!</v>
          </cell>
          <cell r="S65">
            <v>113.7609621750111</v>
          </cell>
          <cell r="T65">
            <v>112.3182035655244</v>
          </cell>
          <cell r="U65">
            <v>115.80943104483849</v>
          </cell>
          <cell r="V65">
            <v>121.54450582652305</v>
          </cell>
          <cell r="W65">
            <v>130.62066859806512</v>
          </cell>
          <cell r="X65">
            <v>137.25917076030748</v>
          </cell>
          <cell r="Y65">
            <v>139.99475043413074</v>
          </cell>
          <cell r="Z65">
            <v>142.57374548364271</v>
          </cell>
        </row>
        <row r="66">
          <cell r="O66" t="str">
            <v>Avg Loans/Avg Depo &amp; Equity</v>
          </cell>
          <cell r="P66" t="e">
            <v>#DIV/0!</v>
          </cell>
          <cell r="Q66" t="e">
            <v>#DIV/0!</v>
          </cell>
          <cell r="R66">
            <v>122.82148869330368</v>
          </cell>
          <cell r="S66">
            <v>121.25140126636254</v>
          </cell>
          <cell r="T66">
            <v>120.2780095034925</v>
          </cell>
          <cell r="U66">
            <v>122.09114849209148</v>
          </cell>
          <cell r="V66">
            <v>128.47829745423377</v>
          </cell>
          <cell r="W66">
            <v>136.19611817336107</v>
          </cell>
          <cell r="X66">
            <v>141.09640424646136</v>
          </cell>
          <cell r="Y66">
            <v>145.11278201539329</v>
          </cell>
          <cell r="Z66">
            <v>148.84164763646658</v>
          </cell>
        </row>
        <row r="67">
          <cell r="B67" t="str">
            <v>Specific Reserve</v>
          </cell>
          <cell r="C67">
            <v>0</v>
          </cell>
          <cell r="D67">
            <v>173.31301500000001</v>
          </cell>
          <cell r="E67">
            <v>222.35739149480787</v>
          </cell>
          <cell r="F67">
            <v>462.04250000000002</v>
          </cell>
          <cell r="G67">
            <v>477.67849999999999</v>
          </cell>
          <cell r="H67">
            <v>528.22919854546501</v>
          </cell>
          <cell r="I67">
            <v>622.12099999999998</v>
          </cell>
          <cell r="J67">
            <v>780.54542193505972</v>
          </cell>
          <cell r="K67">
            <v>860.2492158058709</v>
          </cell>
          <cell r="L67">
            <v>957.20285274076321</v>
          </cell>
          <cell r="M67">
            <v>1060.269556984882</v>
          </cell>
          <cell r="O67" t="str">
            <v>Period-End Loans/Deposits</v>
          </cell>
          <cell r="P67" t="e">
            <v>#DIV/0!</v>
          </cell>
          <cell r="Q67" t="e">
            <v>#DIV/0!</v>
          </cell>
          <cell r="R67">
            <v>118.9185265911994</v>
          </cell>
          <cell r="S67">
            <v>111.48094179868266</v>
          </cell>
          <cell r="T67">
            <v>113.15608274649296</v>
          </cell>
          <cell r="U67">
            <v>118.34653378027269</v>
          </cell>
          <cell r="V67">
            <v>124.47893621143315</v>
          </cell>
          <cell r="W67">
            <v>136.1493938271513</v>
          </cell>
          <cell r="X67">
            <v>138.26544332463874</v>
          </cell>
          <cell r="Y67">
            <v>141.59386960465937</v>
          </cell>
          <cell r="Z67">
            <v>143.47937400388361</v>
          </cell>
        </row>
        <row r="68">
          <cell r="B68" t="str">
            <v>Specific Reserve/NPLs (%)</v>
          </cell>
          <cell r="C68" t="str">
            <v>na</v>
          </cell>
          <cell r="D68">
            <v>17.058973581059586</v>
          </cell>
          <cell r="E68">
            <v>31.662189939171064</v>
          </cell>
          <cell r="F68">
            <v>13.412752554575011</v>
          </cell>
          <cell r="G68">
            <v>28.064067916103635</v>
          </cell>
          <cell r="H68">
            <v>43.639210435686174</v>
          </cell>
          <cell r="I68">
            <v>57.678564806230305</v>
          </cell>
          <cell r="J68">
            <v>49.086061144233227</v>
          </cell>
          <cell r="K68">
            <v>42.35903163907782</v>
          </cell>
          <cell r="L68">
            <v>36.174590802688236</v>
          </cell>
          <cell r="M68">
            <v>31.526046282503362</v>
          </cell>
        </row>
        <row r="69">
          <cell r="B69" t="str">
            <v>General Reserve</v>
          </cell>
          <cell r="C69">
            <v>0</v>
          </cell>
          <cell r="D69">
            <v>383.68698499999999</v>
          </cell>
          <cell r="E69">
            <v>2663.6934508525619</v>
          </cell>
          <cell r="F69">
            <v>2361.0671119999997</v>
          </cell>
          <cell r="G69">
            <v>1464.0715</v>
          </cell>
          <cell r="H69">
            <v>1244.1941329539454</v>
          </cell>
          <cell r="I69">
            <v>1320.0790000000002</v>
          </cell>
          <cell r="J69">
            <v>2269.9397217344895</v>
          </cell>
          <cell r="K69">
            <v>2740.6642961651942</v>
          </cell>
          <cell r="L69">
            <v>3734.6638461219368</v>
          </cell>
          <cell r="M69">
            <v>4898.9817851950611</v>
          </cell>
          <cell r="O69" t="str">
            <v>Capital Information</v>
          </cell>
        </row>
        <row r="70">
          <cell r="B70" t="str">
            <v>General Reserve/NPLs (%)</v>
          </cell>
          <cell r="C70" t="e">
            <v>#DIV/0!</v>
          </cell>
          <cell r="D70">
            <v>37.765808531525494</v>
          </cell>
          <cell r="E70">
            <v>379.2919471381241</v>
          </cell>
          <cell r="F70">
            <v>68.5400346028797</v>
          </cell>
          <cell r="G70">
            <v>86.015598378473641</v>
          </cell>
          <cell r="H70">
            <v>102.78805060441971</v>
          </cell>
          <cell r="I70">
            <v>122.38818839236049</v>
          </cell>
          <cell r="J70">
            <v>142.74941194140155</v>
          </cell>
          <cell r="K70">
            <v>134.95145767101801</v>
          </cell>
          <cell r="L70">
            <v>141.14034034919831</v>
          </cell>
          <cell r="M70">
            <v>145.66628408760641</v>
          </cell>
          <cell r="O70" t="str">
            <v>Tier 1 Ratio (%)</v>
          </cell>
          <cell r="P70" t="e">
            <v>#DIV/0!</v>
          </cell>
          <cell r="Q70" t="e">
            <v>#DIV/0!</v>
          </cell>
          <cell r="R70">
            <v>6.8123756062686791</v>
          </cell>
          <cell r="S70">
            <v>5.4802843554934402</v>
          </cell>
          <cell r="T70">
            <v>6.3272080024969855</v>
          </cell>
          <cell r="U70">
            <v>7.4047330888788494</v>
          </cell>
          <cell r="V70">
            <v>7.8106308200588392</v>
          </cell>
          <cell r="W70">
            <v>7.6363877900454629</v>
          </cell>
          <cell r="X70">
            <v>8.376806047056176</v>
          </cell>
          <cell r="Y70">
            <v>8.3370969111653732</v>
          </cell>
          <cell r="Z70">
            <v>8.2206549611334463</v>
          </cell>
        </row>
        <row r="71">
          <cell r="B71" t="str">
            <v>Net Charge-offs (NCO)</v>
          </cell>
          <cell r="C71">
            <v>1255.2463950000001</v>
          </cell>
          <cell r="D71">
            <v>1785.11</v>
          </cell>
          <cell r="E71">
            <v>188.6</v>
          </cell>
          <cell r="F71">
            <v>565.9</v>
          </cell>
          <cell r="G71">
            <v>1817.79</v>
          </cell>
          <cell r="H71">
            <v>797.197</v>
          </cell>
          <cell r="I71">
            <v>371.4</v>
          </cell>
          <cell r="J71">
            <v>801.97596778499997</v>
          </cell>
          <cell r="K71">
            <v>415.98584243904645</v>
          </cell>
          <cell r="L71">
            <v>-7.3980157338691868</v>
          </cell>
          <cell r="M71">
            <v>11.25595200841002</v>
          </cell>
          <cell r="O71" t="str">
            <v>Tier 2 Ratio (%)</v>
          </cell>
          <cell r="P71" t="e">
            <v>#DIV/0!</v>
          </cell>
          <cell r="Q71" t="e">
            <v>#DIV/0!</v>
          </cell>
          <cell r="R71">
            <v>4.2299674289411904</v>
          </cell>
          <cell r="S71">
            <v>4.5561204744126327</v>
          </cell>
          <cell r="T71">
            <v>4.7180386173666893</v>
          </cell>
          <cell r="U71">
            <v>4.493840702100111</v>
          </cell>
          <cell r="V71">
            <v>4.3088458298557262</v>
          </cell>
          <cell r="W71">
            <v>4.5160004723386669</v>
          </cell>
          <cell r="X71">
            <v>4.7273270300430204</v>
          </cell>
          <cell r="Y71">
            <v>4.8051417324854695</v>
          </cell>
          <cell r="Z71">
            <v>4.8193828470378302</v>
          </cell>
        </row>
        <row r="72">
          <cell r="B72" t="str">
            <v>NCO/Avg Total Credit (%)</v>
          </cell>
          <cell r="C72" t="e">
            <v>#DIV/0!</v>
          </cell>
          <cell r="D72">
            <v>4.8512477723780529</v>
          </cell>
          <cell r="E72">
            <v>0.4559531752059679</v>
          </cell>
          <cell r="F72">
            <v>0.7818189808982986</v>
          </cell>
          <cell r="G72">
            <v>1.8315301391035548</v>
          </cell>
          <cell r="H72">
            <v>0.76407085603612723</v>
          </cell>
          <cell r="I72">
            <v>0.31461117143916567</v>
          </cell>
          <cell r="J72">
            <v>0.55968501273387472</v>
          </cell>
          <cell r="K72">
            <v>0.24781908015903414</v>
          </cell>
          <cell r="L72">
            <v>-3.9696378831054358E-3</v>
          </cell>
          <cell r="M72">
            <v>5.4296385876669157E-3</v>
          </cell>
          <cell r="O72" t="str">
            <v>Total CAR (%)</v>
          </cell>
          <cell r="P72" t="e">
            <v>#DIV/0!</v>
          </cell>
          <cell r="Q72" t="e">
            <v>#DIV/0!</v>
          </cell>
          <cell r="R72">
            <v>11.042343035209869</v>
          </cell>
          <cell r="S72">
            <v>10.036404829906072</v>
          </cell>
          <cell r="T72">
            <v>11.045246619863676</v>
          </cell>
          <cell r="U72">
            <v>11.898573790978961</v>
          </cell>
          <cell r="V72">
            <v>12.119476649914565</v>
          </cell>
          <cell r="W72">
            <v>12.152388262384129</v>
          </cell>
          <cell r="X72">
            <v>13.104133077099196</v>
          </cell>
          <cell r="Y72">
            <v>13.142238643650842</v>
          </cell>
          <cell r="Z72">
            <v>13.040037808171277</v>
          </cell>
        </row>
        <row r="73">
          <cell r="B73" t="str">
            <v>LLPE/Avg Loans (%)</v>
          </cell>
          <cell r="C73" t="e">
            <v>#DIV/0!</v>
          </cell>
          <cell r="D73" t="e">
            <v>#DIV/0!</v>
          </cell>
          <cell r="E73">
            <v>0.9144626272916716</v>
          </cell>
          <cell r="F73">
            <v>1.5259780322492567</v>
          </cell>
          <cell r="G73">
            <v>1.4080972173884616</v>
          </cell>
          <cell r="H73">
            <v>0.87058623245201072</v>
          </cell>
          <cell r="I73">
            <v>0.50282014276543352</v>
          </cell>
          <cell r="J73">
            <v>0.6299858902975809</v>
          </cell>
          <cell r="K73">
            <v>0.40042312302747241</v>
          </cell>
          <cell r="L73">
            <v>0.43779085058307904</v>
          </cell>
          <cell r="M73">
            <v>0.49685065745590967</v>
          </cell>
        </row>
        <row r="152">
          <cell r="O152">
            <v>3810988.7930000001</v>
          </cell>
          <cell r="P152">
            <v>0</v>
          </cell>
        </row>
        <row r="167">
          <cell r="C167">
            <v>2891795.6310000001</v>
          </cell>
          <cell r="D167">
            <v>3078048.412</v>
          </cell>
          <cell r="E167">
            <v>4094917.1359999999</v>
          </cell>
          <cell r="F167">
            <v>4859382.1409999998</v>
          </cell>
        </row>
        <row r="171">
          <cell r="A171" t="str">
            <v>Contra Account of Guarantee Issued</v>
          </cell>
        </row>
        <row r="188">
          <cell r="O188">
            <v>2791587</v>
          </cell>
          <cell r="P188">
            <v>0</v>
          </cell>
        </row>
        <row r="192">
          <cell r="O192">
            <v>2348914.6860000002</v>
          </cell>
        </row>
        <row r="203">
          <cell r="C203">
            <v>331599</v>
          </cell>
          <cell r="D203">
            <v>316714</v>
          </cell>
          <cell r="E203">
            <v>620630</v>
          </cell>
          <cell r="F203">
            <v>1055526</v>
          </cell>
        </row>
        <row r="207">
          <cell r="A207" t="str">
            <v xml:space="preserve">    Guarantee Payment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dang Poddar" refreshedDate="44672.895842824073" createdVersion="7" refreshedVersion="7" minRefreshableVersion="3" recordCount="458" xr:uid="{E989987C-EBC2-41C7-9521-D184C9558105}">
  <cacheSource type="worksheet">
    <worksheetSource name="Data"/>
  </cacheSource>
  <cacheFields count="91">
    <cacheField name="Period" numFmtId="207">
      <sharedItems containsSemiMixedTypes="0" containsNonDate="0" containsDate="1" containsString="0" minDate="2003-01-31T00:00:00" maxDate="2022-02-01T00:00:00" count="229">
        <d v="2003-01-31T00:00:00"/>
        <d v="2003-02-28T00:00:00"/>
        <d v="2003-03-31T00:00:00"/>
        <d v="2003-04-30T00:00:00"/>
        <d v="2003-05-31T00:00:00"/>
        <d v="2003-06-30T00:00:00"/>
        <d v="2003-07-31T00:00:00"/>
        <d v="2003-08-31T00:00:00"/>
        <d v="2003-09-30T00:00:00"/>
        <d v="2003-10-31T00:00:00"/>
        <d v="2003-11-30T00:00:00"/>
        <d v="2003-12-31T00:00:00"/>
        <d v="2004-01-31T00:00:00"/>
        <d v="2004-02-29T00:00:00"/>
        <d v="2004-03-31T00:00:00"/>
        <d v="2004-04-30T00:00:00"/>
        <d v="2004-05-31T00:00:00"/>
        <d v="2004-06-30T00:00:00"/>
        <d v="2004-07-31T00:00:00"/>
        <d v="2004-08-31T00:00:00"/>
        <d v="2004-09-30T00:00:00"/>
        <d v="2004-10-31T00:00:00"/>
        <d v="2004-11-30T00:00:00"/>
        <d v="2004-12-31T00:00:00"/>
        <d v="2005-01-31T00:00:00"/>
        <d v="2005-02-28T00:00:00"/>
        <d v="2005-03-31T00:00:00"/>
        <d v="2005-04-30T00:00:00"/>
        <d v="2005-05-31T00:00:00"/>
        <d v="2005-06-30T00:00:00"/>
        <d v="2005-07-31T00:00:00"/>
        <d v="2005-08-31T00:00:00"/>
        <d v="2005-09-30T00:00:00"/>
        <d v="2005-10-31T00:00:00"/>
        <d v="2005-11-30T00:00:00"/>
        <d v="2005-12-31T00:00:00"/>
        <d v="2006-01-31T00:00:00"/>
        <d v="2006-02-28T00:00:00"/>
        <d v="2006-03-31T00:00:00"/>
        <d v="2006-04-30T00:00:00"/>
        <d v="2006-05-31T00:00:00"/>
        <d v="2006-06-30T00:00:00"/>
        <d v="2006-07-31T00:00:00"/>
        <d v="2006-08-31T00:00:00"/>
        <d v="2006-09-30T00:00:00"/>
        <d v="2006-10-31T00:00:00"/>
        <d v="2006-11-30T00:00:00"/>
        <d v="2006-12-31T00:00:00"/>
        <d v="2007-01-31T00:00:00"/>
        <d v="2007-02-28T00:00:00"/>
        <d v="2007-03-31T00:00:00"/>
        <d v="2007-04-30T00:00:00"/>
        <d v="2007-05-31T00:00:00"/>
        <d v="2007-06-30T00:00:00"/>
        <d v="2007-07-31T00:00:00"/>
        <d v="2007-08-31T00:00:00"/>
        <d v="2007-09-30T00:00:00"/>
        <d v="2007-10-31T00:00:00"/>
        <d v="2007-11-30T00:00:00"/>
        <d v="2007-12-31T00:00:00"/>
        <d v="2008-01-31T00:00:00"/>
        <d v="2008-02-29T00:00:00"/>
        <d v="2008-03-31T00:00:00"/>
        <d v="2008-04-30T00:00:00"/>
        <d v="2008-05-31T00:00:00"/>
        <d v="2008-06-30T00:00:00"/>
        <d v="2008-07-31T00:00:00"/>
        <d v="2008-08-31T00:00:00"/>
        <d v="2008-09-30T00:00:00"/>
        <d v="2008-10-31T00:00:00"/>
        <d v="2008-11-30T00:00:00"/>
        <d v="2008-12-31T00:00:00"/>
        <d v="2009-01-31T00:00:00"/>
        <d v="2009-02-28T00:00:00"/>
        <d v="2009-03-31T00:00:00"/>
        <d v="2009-04-30T00:00:00"/>
        <d v="2009-05-31T00:00:00"/>
        <d v="2009-06-30T00:00:00"/>
        <d v="2009-07-31T00:00:00"/>
        <d v="2009-08-31T00:00:00"/>
        <d v="2009-09-30T00:00:00"/>
        <d v="2009-10-31T00:00:00"/>
        <d v="2009-11-30T00:00:00"/>
        <d v="2009-12-31T00:00:00"/>
        <d v="2010-01-31T00:00:00"/>
        <d v="2010-02-28T00:00:00"/>
        <d v="2010-03-31T00:00:00"/>
        <d v="2010-04-30T00:00:00"/>
        <d v="2010-05-31T00:00:00"/>
        <d v="2010-06-30T00:00:00"/>
        <d v="2010-07-31T00:00:00"/>
        <d v="2010-08-31T00:00:00"/>
        <d v="2010-09-30T00:00:00"/>
        <d v="2010-10-31T00:00:00"/>
        <d v="2010-11-30T00:00:00"/>
        <d v="2010-12-31T00:00:00"/>
        <d v="2011-01-31T00:00:00"/>
        <d v="2011-02-28T00:00:00"/>
        <d v="2011-03-31T00:00:00"/>
        <d v="2011-04-30T00:00:00"/>
        <d v="2011-05-31T00:00:00"/>
        <d v="2011-06-30T00:00:00"/>
        <d v="2011-07-31T00:00:00"/>
        <d v="2011-08-31T00:00:00"/>
        <d v="2011-09-30T00:00:00"/>
        <d v="2011-10-31T00:00:00"/>
        <d v="2011-11-30T00:00:00"/>
        <d v="2011-12-31T00:00:00"/>
        <d v="2012-01-31T00:00:00"/>
        <d v="2012-02-29T00:00:00"/>
        <d v="2012-03-31T00:00:00"/>
        <d v="2012-04-30T00:00:00"/>
        <d v="2012-05-31T00:00:00"/>
        <d v="2012-06-30T00:00:00"/>
        <d v="2012-07-31T00:00:00"/>
        <d v="2012-08-31T00:00:00"/>
        <d v="2012-09-30T00:00:00"/>
        <d v="2012-10-31T00:00:00"/>
        <d v="2012-11-30T00:00:00"/>
        <d v="2012-12-31T00:00:00"/>
        <d v="2013-01-31T00:00:00"/>
        <d v="2013-02-28T00:00:00"/>
        <d v="2013-03-31T00:00:00"/>
        <d v="2013-04-30T00:00:00"/>
        <d v="2013-05-31T00:00:00"/>
        <d v="2013-06-30T00:00:00"/>
        <d v="2013-07-31T00:00:00"/>
        <d v="2013-08-31T00:00:00"/>
        <d v="2013-09-30T00:00:00"/>
        <d v="2013-10-31T00:00:00"/>
        <d v="2013-11-30T00:00:00"/>
        <d v="2013-12-31T00:00:00"/>
        <d v="2014-01-31T00:00:00"/>
        <d v="2014-02-28T00:00:00"/>
        <d v="2014-03-31T00:00:00"/>
        <d v="2014-04-30T00:00:00"/>
        <d v="2014-05-31T00:00:00"/>
        <d v="2014-06-30T00:00:00"/>
        <d v="2014-07-31T00:00:00"/>
        <d v="2014-08-31T00:00:00"/>
        <d v="2014-09-30T00:00:00"/>
        <d v="2014-10-31T00:00:00"/>
        <d v="2014-11-30T00:00:00"/>
        <d v="2014-12-31T00:00:00"/>
        <d v="2015-01-31T00:00:00"/>
        <d v="2015-02-28T00:00:00"/>
        <d v="2015-03-31T00:00:00"/>
        <d v="2015-04-30T00:00:00"/>
        <d v="2015-05-31T00:00:00"/>
        <d v="2015-06-30T00:00:00"/>
        <d v="2015-07-31T00:00:00"/>
        <d v="2015-08-31T00:00:00"/>
        <d v="2015-09-30T00:00:00"/>
        <d v="2015-10-31T00:00:00"/>
        <d v="2015-11-30T00:00:00"/>
        <d v="2015-12-31T00:00:00"/>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sharedItems>
      <fieldGroup par="43" base="0">
        <rangePr groupBy="months" startDate="2003-01-31T00:00:00" endDate="2022-02-01T00:00:00"/>
        <groupItems count="14">
          <s v="&lt;1/31/2003"/>
          <s v="Jan"/>
          <s v="Feb"/>
          <s v="Mar"/>
          <s v="Apr"/>
          <s v="May"/>
          <s v="Jun"/>
          <s v="Jul"/>
          <s v="Aug"/>
          <s v="Sep"/>
          <s v="Oct"/>
          <s v="Nov"/>
          <s v="Dec"/>
          <s v="&gt;2/1/2022"/>
        </groupItems>
      </fieldGroup>
    </cacheField>
    <cacheField name="Regions" numFmtId="207">
      <sharedItems count="2">
        <s v="Domestic"/>
        <s v="International"/>
      </sharedItems>
    </cacheField>
    <cacheField name="Industry ASM" numFmtId="174">
      <sharedItems containsSemiMixedTypes="0" containsString="0" containsNumber="1" minValue="0" maxValue="79.103566000000001"/>
    </cacheField>
    <cacheField name="AAL ASM" numFmtId="174">
      <sharedItems containsSemiMixedTypes="0" containsString="0" containsNumber="1" minValue="0" maxValue="13.748059"/>
    </cacheField>
    <cacheField name="DAL ASM" numFmtId="174">
      <sharedItems containsSemiMixedTypes="0" containsString="0" containsNumber="1" minValue="0" maxValue="14.222614"/>
    </cacheField>
    <cacheField name="UAL ASM" numFmtId="174">
      <sharedItems containsSemiMixedTypes="0" containsString="0" containsNumber="1" minValue="0" maxValue="11.995899999999999"/>
    </cacheField>
    <cacheField name="LUV ASM" numFmtId="174">
      <sharedItems containsSemiMixedTypes="0" containsString="0" containsNumber="1" minValue="0" maxValue="14.018889"/>
    </cacheField>
    <cacheField name="Others ASM" numFmtId="174">
      <sharedItems containsSemiMixedTypes="0" containsString="0" containsNumber="1" minValue="0" maxValue="26.056213999999997"/>
    </cacheField>
    <cacheField name="Industry RPM" numFmtId="174">
      <sharedItems containsSemiMixedTypes="0" containsString="0" containsNumber="1" minValue="0" maxValue="70.462705"/>
    </cacheField>
    <cacheField name="AAL RPM" numFmtId="174">
      <sharedItems containsSemiMixedTypes="0" containsString="0" containsNumber="1" minValue="0" maxValue="12.201478"/>
    </cacheField>
    <cacheField name="DAL RPM" numFmtId="174">
      <sharedItems containsSemiMixedTypes="0" containsString="0" containsNumber="1" minValue="0" maxValue="13.005057000000001"/>
    </cacheField>
    <cacheField name="UAL RPM" numFmtId="174">
      <sharedItems containsSemiMixedTypes="0" containsString="0" containsNumber="1" minValue="0" maxValue="10.930448"/>
    </cacheField>
    <cacheField name="LUV RPM" numFmtId="174">
      <sharedItems containsSemiMixedTypes="0" containsString="0" containsNumber="1" minValue="0" maxValue="12.079916000000001"/>
    </cacheField>
    <cacheField name="Others RPM" numFmtId="174">
      <sharedItems containsSemiMixedTypes="0" containsString="0" containsNumber="1" minValue="0" maxValue="22.803949000000003"/>
    </cacheField>
    <cacheField name="Industry Passengers" numFmtId="174">
      <sharedItems containsSemiMixedTypes="0" containsString="0" containsNumber="1" minValue="0.372915" maxValue="75.281915999999995"/>
    </cacheField>
    <cacheField name="AAL Passengers" numFmtId="174">
      <sharedItems containsString="0" containsBlank="1" containsNumber="1" minValue="2.5465999999999999E-2" maxValue="11.275850999999999"/>
    </cacheField>
    <cacheField name="DAL Passengers" numFmtId="174">
      <sharedItems containsString="0" containsBlank="1" containsNumber="1" minValue="2.8310999999999999E-2" maxValue="12.965327"/>
    </cacheField>
    <cacheField name="UAL Passengers" numFmtId="174">
      <sharedItems containsString="0" containsBlank="1" containsNumber="1" minValue="3.5528999999999998E-2" maxValue="8.3595980000000001"/>
    </cacheField>
    <cacheField name="LUV Passengers" numFmtId="174">
      <sharedItems containsString="0" containsBlank="1" containsNumber="1" minValue="0" maxValue="14.456159"/>
    </cacheField>
    <cacheField name="Others Passengers" numFmtId="174">
      <sharedItems containsSemiMixedTypes="0" containsString="0" containsNumber="1" minValue="0.24438699999999999" maxValue="35.840468000000001"/>
    </cacheField>
    <cacheField name="Industry Revenue" numFmtId="174">
      <sharedItems containsSemiMixedTypes="0" containsString="0" containsNumber="1" minValue="0" maxValue="15526.782666666666"/>
    </cacheField>
    <cacheField name="AAL Revenue" numFmtId="174">
      <sharedItems containsSemiMixedTypes="0" containsString="0" containsNumber="1" minValue="0" maxValue="2801.7559048843195"/>
    </cacheField>
    <cacheField name="DAL Revenue" numFmtId="174">
      <sharedItems containsSemiMixedTypes="0" containsString="0" containsNumber="1" minValue="0" maxValue="2995.4189999999999"/>
    </cacheField>
    <cacheField name="UAL Revenue" numFmtId="174">
      <sharedItems containsSemiMixedTypes="0" containsString="0" containsNumber="1" minValue="0" maxValue="2364.6906666666669"/>
    </cacheField>
    <cacheField name="LUV Revenue" numFmtId="174">
      <sharedItems containsSemiMixedTypes="0" containsString="0" containsNumber="1" minValue="0" maxValue="1913.0913333333335"/>
    </cacheField>
    <cacheField name="Others Revenue" numFmtId="174">
      <sharedItems containsSemiMixedTypes="0" containsString="0" containsNumber="1" minValue="0" maxValue="6847.4886666666671"/>
    </cacheField>
    <cacheField name="Industry Consumption" numFmtId="174">
      <sharedItems containsSemiMixedTypes="0" containsString="0" containsNumber="1" minValue="133.80000000000001" maxValue="1193.7"/>
    </cacheField>
    <cacheField name="AAL Consumption" numFmtId="174">
      <sharedItems containsString="0" containsBlank="1" containsNumber="1" minValue="4.7960000000000003" maxValue="204.63499999999999"/>
    </cacheField>
    <cacheField name="DAL Consumption" numFmtId="174">
      <sharedItems containsString="0" containsBlank="1" containsNumber="1" minValue="4.266" maxValue="206.25800000000001"/>
    </cacheField>
    <cacheField name="UALConsumption" numFmtId="174">
      <sharedItems containsString="0" containsBlank="1" containsNumber="1" minValue="16.715" maxValue="168.983"/>
    </cacheField>
    <cacheField name="LUV Consumption" numFmtId="174">
      <sharedItems containsString="0" containsBlank="1" containsNumber="1" minValue="0" maxValue="188.79300000000001"/>
    </cacheField>
    <cacheField name="Industry Cost ($m)" numFmtId="174">
      <sharedItems containsSemiMixedTypes="0" containsString="0" containsNumber="1" minValue="149.69999999999999" maxValue="4184.2"/>
    </cacheField>
    <cacheField name="AAL Fuel Cost" numFmtId="174">
      <sharedItems containsString="0" containsBlank="1" containsNumber="1" minValue="4.4969999999999999" maxValue="508.78899999999999"/>
    </cacheField>
    <cacheField name="DAL Fuel Cost" numFmtId="174">
      <sharedItems containsString="0" containsBlank="1" containsNumber="1" minValue="7.1970000000000001" maxValue="532.10799999999995"/>
    </cacheField>
    <cacheField name="UAL Fuel Cost" numFmtId="174">
      <sharedItems containsString="0" containsBlank="1" containsNumber="1" minValue="17.690000000000001" maxValue="493.096"/>
    </cacheField>
    <cacheField name="LUV Fuel Cost" numFmtId="174">
      <sharedItems containsString="0" containsBlank="1" containsNumber="1" minValue="0" maxValue="514.55200000000002"/>
    </cacheField>
    <cacheField name="Industry Cost per Gallon" numFmtId="223">
      <sharedItems containsSemiMixedTypes="0" containsString="0" containsNumber="1" minValue="0.724193118164844" maxValue="4.0990602975724357"/>
    </cacheField>
    <cacheField name="AAL Cost per Gallon" numFmtId="0">
      <sharedItems containsString="0" containsBlank="1" containsNumber="1" minValue="0.71517419999772802" maxValue="4.1944628740427534"/>
    </cacheField>
    <cacheField name="DAL Cost per Gallon" numFmtId="0">
      <sharedItems containsString="0" containsBlank="1" containsNumber="1" minValue="0.70757872308797654" maxValue="4.6134552273792782"/>
    </cacheField>
    <cacheField name="UAL Cost per Gallon" numFmtId="0">
      <sharedItems containsString="0" containsBlank="1" containsNumber="1" minValue="0.74014724243337482" maxValue="4.0145227983280849"/>
    </cacheField>
    <cacheField name="LUV Cost per Gallon" numFmtId="0">
      <sharedItems containsString="0" containsBlank="1" containsNumber="1" minValue="0" maxValue="3.5761843790012806"/>
    </cacheField>
    <cacheField name="U.S. Gulf Coast Kerosene-Type Jet Fuel Spot Price" numFmtId="0">
      <sharedItems containsString="0" containsBlank="1" containsNumber="1" minValue="0.60599999999999998" maxValue="3.8860000000000001"/>
    </cacheField>
    <cacheField name="Quarters" numFmtId="0" databaseField="0">
      <fieldGroup base="0">
        <rangePr groupBy="quarters" startDate="2003-01-31T00:00:00" endDate="2022-02-01T00:00:00"/>
        <groupItems count="6">
          <s v="&lt;1/31/2003"/>
          <s v="Qtr1"/>
          <s v="Qtr2"/>
          <s v="Qtr3"/>
          <s v="Qtr4"/>
          <s v="&gt;2/1/2022"/>
        </groupItems>
      </fieldGroup>
    </cacheField>
    <cacheField name="Years" numFmtId="0" databaseField="0">
      <fieldGroup base="0">
        <rangePr groupBy="years" startDate="2003-01-31T00:00:00" endDate="2022-02-01T00:00:00"/>
        <groupItems count="22">
          <s v="&lt;1/31/2003"/>
          <s v="2003"/>
          <s v="2004"/>
          <s v="2005"/>
          <s v="2006"/>
          <s v="2007"/>
          <s v="2008"/>
          <s v="2009"/>
          <s v="2010"/>
          <s v="2011"/>
          <s v="2012"/>
          <s v="2013"/>
          <s v="2014"/>
          <s v="2015"/>
          <s v="2016"/>
          <s v="2017"/>
          <s v="2018"/>
          <s v="2019"/>
          <s v="2020"/>
          <s v="2021"/>
          <s v="2022"/>
          <s v="&gt;2/1/2022"/>
        </groupItems>
      </fieldGroup>
    </cacheField>
    <cacheField name="AAL ASM Share" numFmtId="0" formula="'AAL ASM'/'Industry ASM'" databaseField="0"/>
    <cacheField name="DAL ASM MS" numFmtId="0" formula="'DAL ASM'/'Industry ASM'" databaseField="0"/>
    <cacheField name="AAL ASM MS" numFmtId="0" formula="'AAL ASM'/'Industry ASM'" databaseField="0"/>
    <cacheField name="UAL ASM MS" numFmtId="0" formula="'UAL ASM'/'Industry ASM'" databaseField="0"/>
    <cacheField name="LUV ASM MS" numFmtId="0" formula="'LUV ASM'/'Industry ASM'" databaseField="0"/>
    <cacheField name="Other ASM MS" numFmtId="0" formula="'Others ASM'/'Industry ASM'" databaseField="0"/>
    <cacheField name="AAL PY" numFmtId="0" formula="'AAL Revenue'/'AAL RPM'/10" databaseField="0"/>
    <cacheField name="DAL PY" numFmtId="0" formula="'DAL Revenue'/'DAL RPM'/10" databaseField="0"/>
    <cacheField name="UAL PY" numFmtId="0" formula="'UAL Revenue'/'UAL RPM'/10" databaseField="0"/>
    <cacheField name="LUV PY" numFmtId="0" formula="'LUV Revenue'/'LUV RPM'/10" databaseField="0"/>
    <cacheField name="Industry PY" numFmtId="0" formula="'Industry Revenue'/'Industry RPM'/10" databaseField="0"/>
    <cacheField name="AAL CG" numFmtId="0" formula="'AAL Fuel Cost'/'AAL Consumption'" databaseField="0"/>
    <cacheField name="DAL CG" numFmtId="0" formula="'DAL Fuel Cost'/'DAL Consumption'" databaseField="0"/>
    <cacheField name="UAL CG" numFmtId="0" formula="'UAL Fuel Cost'/UALConsumption" databaseField="0"/>
    <cacheField name="LUV CG" numFmtId="0" formula="'LUV Fuel Cost'/'LUV Consumption'" databaseField="0"/>
    <cacheField name="Industry CG" numFmtId="0" formula="'Industry Cost ($m)'/'Industry Consumption'" databaseField="0"/>
    <cacheField name="AAL FCR" numFmtId="0" formula="'AAL Fuel Cost'/'AAL Revenue'" databaseField="0"/>
    <cacheField name="DAL FCR" numFmtId="0" formula="'DAL Fuel Cost'/'DAL Revenue'" databaseField="0"/>
    <cacheField name="UAL FCR" numFmtId="0" formula="'UAL Fuel Cost'/'UAL Revenue'" databaseField="0"/>
    <cacheField name="LUV FCR" numFmtId="0" formula="'LUV Fuel Cost'/'LUV Revenue'" databaseField="0"/>
    <cacheField name="Industry FCR" numFmtId="0" formula="'Industry Cost ($m)'/'Industry Revenue'" databaseField="0"/>
    <cacheField name="AAL E" numFmtId="0" formula="'AAL ASM'/'AAL Consumption'*1000" databaseField="0"/>
    <cacheField name="DAL E" numFmtId="0" formula="'DAL ASM'/'DAL Consumption'*1000" databaseField="0"/>
    <cacheField name="UAL E" numFmtId="0" formula="'UAL ASM'/UALConsumption*1000" databaseField="0"/>
    <cacheField name="LUV E" numFmtId="0" formula="'LUV ASM'/'LUV Consumption'*1000" databaseField="0"/>
    <cacheField name="Industry E" numFmtId="0" formula="'Industry ASM'/'Industry Consumption'*1000" databaseField="0"/>
    <cacheField name="AAL RASM" numFmtId="0" formula="'AAL Revenue'/'AAL ASM'/10" databaseField="0"/>
    <cacheField name="DAL RASM" numFmtId="0" formula="'DAL Revenue'/'DAL RPM'/10" databaseField="0"/>
    <cacheField name="UAL RASM" numFmtId="0" formula="'UAL Revenue'/'UAL ASM'/10" databaseField="0"/>
    <cacheField name="LUV RASM" numFmtId="0" formula="'LUV Revenue'/'LUV ASM'/10" databaseField="0"/>
    <cacheField name="Industry RASM" numFmtId="0" formula="'Industry Revenue'/'Industry ASM'/10" databaseField="0"/>
    <cacheField name="AAL LF" numFmtId="0" formula="'AAL RPM'/'AAL ASM'" databaseField="0"/>
    <cacheField name="DAL LF" numFmtId="0" formula="'DAL RPM'/'DAL ASM'" databaseField="0"/>
    <cacheField name="UAL LF" numFmtId="0" formula="'UAL RPM'/'UAL ASM'" databaseField="0"/>
    <cacheField name="LUV LF" numFmtId="0" formula="'LUV RPM'/'LUV ASM'" databaseField="0"/>
    <cacheField name="Industry LF" numFmtId="0" formula="'Industry RPM'/'Industry ASM'" databaseField="0"/>
    <cacheField name="AAL FA" numFmtId="0" formula="'AAL Fuel Cost'/'AAL ASM'/10" databaseField="0"/>
    <cacheField name="DAL FA" numFmtId="0" formula="'DAL Fuel Cost'/'DAL ASM'/10" databaseField="0"/>
    <cacheField name="UAL FA" numFmtId="0" formula="'UAL Fuel Cost'/'UAL ASM'/10" databaseField="0"/>
    <cacheField name="LUV FA" numFmtId="0" formula="'LUV Fuel Cost'/'LUV ASM'/10" databaseField="0"/>
    <cacheField name="Industry FA" numFmtId="0" formula="'Industry Cost ($m)'/'Industry ASM'/10" databaseField="0"/>
    <cacheField name="AAL Diff" numFmtId="0" formula="'AAL Cost per Gallon'/'U.S. Gulf Coast Kerosene-Type Jet Fuel Spot Price'-1" databaseField="0"/>
    <cacheField name="DAL Diff" numFmtId="0" formula="'DAL Cost per Gallon'/'U.S. Gulf Coast Kerosene-Type Jet Fuel Spot Price'-1" databaseField="0"/>
    <cacheField name="UAL Diff" numFmtId="0" formula="'UAL Cost per Gallon'/'U.S. Gulf Coast Kerosene-Type Jet Fuel Spot Price'-1" databaseField="0"/>
    <cacheField name="LUV Diff" numFmtId="0" formula="'LUV Cost per Gallon'/'U.S. Gulf Coast Kerosene-Type Jet Fuel Spot Price'-1" databaseField="0"/>
    <cacheField name="Industry Diff" numFmtId="0" formula="'Industry Cost per Gallon'/'U.S. Gulf Coast Kerosene-Type Jet Fuel Spot Price'-1" databaseField="0"/>
    <cacheField name="AAL FC\" numFmtId="0" formula="'AAL Fuel Cost'/'AAL Passengers'" databaseField="0"/>
  </cacheFields>
  <extLst>
    <ext xmlns:x14="http://schemas.microsoft.com/office/spreadsheetml/2009/9/main" uri="{725AE2AE-9491-48be-B2B4-4EB974FC3084}">
      <x14:pivotCacheDefinition pivotCacheId="13902768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8">
  <r>
    <x v="0"/>
    <x v="0"/>
    <n v="37.150388999999997"/>
    <n v="9.8013089999999998"/>
    <n v="8.1525020000000001"/>
    <n v="7.4404139999999996"/>
    <n v="5.991225"/>
    <n v="5.7649389999999947"/>
    <n v="24.088107000000001"/>
    <n v="6.4288429999999996"/>
    <n v="5.4011990000000001"/>
    <n v="5.0369570000000001"/>
    <n v="3.474326"/>
    <n v="3.7467819999999996"/>
    <n v="43.032449999999997"/>
    <n v="5.6591719999999999"/>
    <n v="6.2565720000000002"/>
    <n v="4.3692630000000001"/>
    <n v="5.4842940000000002"/>
    <n v="21.263148999999999"/>
    <n v="6897.3863333333329"/>
    <n v="963.89800000000002"/>
    <n v="932.70299999999997"/>
    <n v="668.33033333333333"/>
    <n v="450.4203333333333"/>
    <n v="3882.034666666666"/>
    <n v="1027.5999999999999"/>
    <n v="180.20099999999999"/>
    <n v="137.00200000000001"/>
    <n v="115.19"/>
    <n v="94.308999999999997"/>
    <n v="855.2"/>
    <n v="141.345"/>
    <n v="109.962"/>
    <n v="95.713999999999999"/>
    <n v="64.936999999999998"/>
    <n v="0.83223043985986778"/>
    <n v="0.78437411557094583"/>
    <n v="0.80263061853111628"/>
    <n v="0.83092282316173283"/>
    <n v="0.68855570518190201"/>
    <n v="0.88700000000000001"/>
  </r>
  <r>
    <x v="1"/>
    <x v="0"/>
    <n v="32.903118999999997"/>
    <n v="8.4765550000000012"/>
    <n v="7.1278190000000006"/>
    <n v="6.6105640000000001"/>
    <n v="5.3829040000000008"/>
    <n v="5.3052769999999931"/>
    <n v="22.435296999999998"/>
    <n v="5.8614730000000002"/>
    <n v="4.9857639999999996"/>
    <n v="4.6526180000000004"/>
    <n v="3.3634279999999999"/>
    <n v="3.5720139999999994"/>
    <n v="41.166780000000003"/>
    <n v="5.224456"/>
    <n v="5.8706019999999999"/>
    <n v="4.1029450000000001"/>
    <n v="5.3574020000000004"/>
    <n v="20.611375000000002"/>
    <n v="6897.3863333333329"/>
    <n v="963.89800000000002"/>
    <n v="932.70299999999997"/>
    <n v="668.33033333333333"/>
    <n v="450.4203333333333"/>
    <n v="3882.034666666666"/>
    <n v="928.9"/>
    <n v="158.501"/>
    <n v="118.675"/>
    <n v="99.88"/>
    <n v="86.594999999999999"/>
    <n v="815.4"/>
    <n v="130.48599999999999"/>
    <n v="88.81"/>
    <n v="97.897000000000006"/>
    <n v="53.765999999999998"/>
    <n v="0.87781246635805787"/>
    <n v="0.82325032649636276"/>
    <n v="0.74834632399410161"/>
    <n v="0.98014617541049265"/>
    <n v="0.62089035163693052"/>
    <n v="1.0549999999999999"/>
  </r>
  <r>
    <x v="2"/>
    <x v="0"/>
    <n v="37.371319"/>
    <n v="9.7826759999999986"/>
    <n v="8.0520209999999999"/>
    <n v="7.4491049999999994"/>
    <n v="6.027126"/>
    <n v="6.0603910000000027"/>
    <n v="26.996917"/>
    <n v="7.0954899999999999"/>
    <n v="5.9260669999999998"/>
    <n v="5.579275"/>
    <n v="4.0591910000000002"/>
    <n v="4.3368939999999974"/>
    <n v="49.992699999999999"/>
    <n v="6.3076720000000002"/>
    <n v="6.9623530000000002"/>
    <n v="4.8435199999999998"/>
    <n v="6.3278759999999998"/>
    <n v="25.551278999999997"/>
    <n v="6897.3863333333329"/>
    <n v="963.89800000000002"/>
    <n v="932.70299999999997"/>
    <n v="668.33033333333333"/>
    <n v="450.4203333333333"/>
    <n v="3882.034666666666"/>
    <n v="1061.0999999999999"/>
    <n v="179.428"/>
    <n v="136.51599999999999"/>
    <n v="115.426"/>
    <n v="96.364999999999995"/>
    <n v="1050.7"/>
    <n v="167.78200000000001"/>
    <n v="128.46899999999999"/>
    <n v="114.146"/>
    <n v="89.846000000000004"/>
    <n v="0.99019885024974097"/>
    <n v="0.93509374233675913"/>
    <n v="0.94105452840692672"/>
    <n v="0.98891064404900109"/>
    <n v="0.93235095729777417"/>
    <n v="0.89300000000000002"/>
  </r>
  <r>
    <x v="3"/>
    <x v="0"/>
    <n v="35.556147000000003"/>
    <n v="9.3364570000000011"/>
    <n v="7.3806560000000001"/>
    <n v="6.9224620000000003"/>
    <n v="5.9091570000000004"/>
    <n v="6.0074150000000017"/>
    <n v="25.517873999999999"/>
    <n v="6.7645670000000004"/>
    <n v="5.269285"/>
    <n v="5.2911720000000004"/>
    <n v="3.9350239999999999"/>
    <n v="4.2578260000000014"/>
    <n v="47.033259999999999"/>
    <n v="5.9059780000000002"/>
    <n v="6.1458130000000004"/>
    <n v="4.5363939999999996"/>
    <n v="6.1332700000000004"/>
    <n v="24.311804999999996"/>
    <n v="7355.6469999999999"/>
    <n v="1021.2673333333333"/>
    <n v="969.20600000000002"/>
    <n v="704.82266666666658"/>
    <n v="505.029"/>
    <n v="4155.3220000000001"/>
    <n v="996.2"/>
    <n v="169.09899999999999"/>
    <n v="124.575"/>
    <n v="106.265"/>
    <n v="93.281999999999996"/>
    <n v="828.1"/>
    <n v="136.934"/>
    <n v="100.093"/>
    <n v="88.489000000000004"/>
    <n v="66.454999999999998"/>
    <n v="0.8312587833768319"/>
    <n v="0.80978598335886087"/>
    <n v="0.80347581778045352"/>
    <n v="0.83272008657601282"/>
    <n v="0.71240968246821468"/>
    <n v="0.74299999999999999"/>
  </r>
  <r>
    <x v="4"/>
    <x v="0"/>
    <n v="35.872762000000002"/>
    <n v="9.4325419999999998"/>
    <n v="7.3024809999999993"/>
    <n v="6.9569679999999998"/>
    <n v="6.0502209999999996"/>
    <n v="6.1305500000000031"/>
    <n v="26.588601000000001"/>
    <n v="7.0553800000000004"/>
    <n v="5.4552199999999997"/>
    <n v="5.4571009999999998"/>
    <n v="4.1895239999999996"/>
    <n v="4.4313760000000038"/>
    <n v="49.152352"/>
    <n v="6.2171279999999998"/>
    <n v="6.330578"/>
    <n v="4.6993109999999998"/>
    <n v="6.5377109999999998"/>
    <n v="25.367623999999999"/>
    <n v="7355.6469999999999"/>
    <n v="1021.2673333333333"/>
    <n v="969.20600000000002"/>
    <n v="704.82266666666658"/>
    <n v="505.029"/>
    <n v="4155.3220000000001"/>
    <n v="1022.1"/>
    <n v="174.023"/>
    <n v="122.498"/>
    <n v="110.327"/>
    <n v="96.432000000000002"/>
    <n v="775.6"/>
    <n v="128.08000000000001"/>
    <n v="88.781999999999996"/>
    <n v="84.414000000000001"/>
    <n v="65.111999999999995"/>
    <n v="0.75882986009196751"/>
    <n v="0.73599466737155439"/>
    <n v="0.7247628532710737"/>
    <n v="0.76512549058707302"/>
    <n v="0.67521154803384764"/>
    <n v="0.71399999999999997"/>
  </r>
  <r>
    <x v="5"/>
    <x v="0"/>
    <n v="36.554969999999997"/>
    <n v="9.4770090000000007"/>
    <n v="7.4156229999999992"/>
    <n v="7.309463"/>
    <n v="5.9379340000000003"/>
    <n v="6.4149409999999989"/>
    <n v="28.856732000000001"/>
    <n v="7.5478300000000003"/>
    <n v="6.0018799999999999"/>
    <n v="5.9653330000000002"/>
    <n v="4.4274849999999999"/>
    <n v="4.914203999999998"/>
    <n v="52.209516000000001"/>
    <n v="6.5479859999999999"/>
    <n v="6.8190439999999999"/>
    <n v="5.0381780000000003"/>
    <n v="6.7755520000000002"/>
    <n v="27.028755999999998"/>
    <n v="7355.6469999999999"/>
    <n v="1021.2673333333333"/>
    <n v="969.20600000000002"/>
    <n v="704.82266666666658"/>
    <n v="505.029"/>
    <n v="4155.3220000000001"/>
    <n v="1041.0999999999999"/>
    <n v="176.06200000000001"/>
    <n v="124.688"/>
    <n v="116.13500000000001"/>
    <n v="95.933999999999997"/>
    <n v="778.6"/>
    <n v="125.91500000000001"/>
    <n v="88.227999999999994"/>
    <n v="85.956999999999994"/>
    <n v="60.988999999999997"/>
    <n v="0.74786283738353676"/>
    <n v="0.71517419999772802"/>
    <n v="0.70759014500192474"/>
    <n v="0.74014724243337482"/>
    <n v="0.63573915400170955"/>
    <n v="0.748"/>
  </r>
  <r>
    <x v="6"/>
    <x v="0"/>
    <n v="38.618284000000003"/>
    <n v="10.028508"/>
    <n v="7.6802549999999998"/>
    <n v="7.9009559999999999"/>
    <n v="6.127338"/>
    <n v="6.8812270000000026"/>
    <n v="31.307608999999999"/>
    <n v="8.1929309999999997"/>
    <n v="6.428528"/>
    <n v="6.4638900000000001"/>
    <n v="4.750318"/>
    <n v="5.4719419999999985"/>
    <n v="55.810772999999998"/>
    <n v="7.0071370000000002"/>
    <n v="7.1868639999999999"/>
    <n v="5.4000120000000003"/>
    <n v="7.1324100000000001"/>
    <n v="29.084349999999997"/>
    <n v="7722.0746666666664"/>
    <n v="1034.8486666666665"/>
    <n v="979.45666666666659"/>
    <n v="864.56466666666665"/>
    <n v="517.80133333333333"/>
    <n v="4325.4033333333336"/>
    <n v="1105.3"/>
    <n v="187.93700000000001"/>
    <n v="130.10900000000001"/>
    <n v="125.964"/>
    <n v="99.572999999999993"/>
    <n v="861.4"/>
    <n v="139.107"/>
    <n v="96.471000000000004"/>
    <n v="101.509"/>
    <n v="69.540000000000006"/>
    <n v="0.77933592689767484"/>
    <n v="0.74017888973432577"/>
    <n v="0.74146292723793128"/>
    <n v="0.80585722904956969"/>
    <n v="0.69838209153083675"/>
    <n v="0.78"/>
  </r>
  <r>
    <x v="7"/>
    <x v="0"/>
    <n v="38.700282999999999"/>
    <n v="9.9371209999999994"/>
    <n v="7.8249170000000001"/>
    <n v="7.7643950000000004"/>
    <n v="6.1193249999999999"/>
    <n v="7.0545249999999982"/>
    <n v="30.616554000000001"/>
    <n v="7.923807"/>
    <n v="6.3406789999999997"/>
    <n v="6.2861549999999999"/>
    <n v="4.4807160000000001"/>
    <n v="5.5851970000000009"/>
    <n v="53.920972999999996"/>
    <n v="6.6960620000000004"/>
    <n v="6.9971100000000002"/>
    <n v="5.2234540000000003"/>
    <n v="6.8335220000000003"/>
    <n v="28.170824999999994"/>
    <n v="7722.0746666666664"/>
    <n v="1034.8486666666665"/>
    <n v="979.45666666666659"/>
    <n v="864.56466666666665"/>
    <n v="517.80133333333333"/>
    <n v="4325.4033333333336"/>
    <n v="1103.2"/>
    <n v="187.41300000000001"/>
    <n v="132.74799999999999"/>
    <n v="123.325"/>
    <n v="98.759"/>
    <n v="909.9"/>
    <n v="148.309"/>
    <n v="103.947"/>
    <n v="103.661"/>
    <n v="73.424000000000007"/>
    <n v="0.82478245105148651"/>
    <n v="0.79134851904617065"/>
    <n v="0.78304004580106679"/>
    <n v="0.84055138860733836"/>
    <n v="0.74346641825048865"/>
    <n v="0.82299999999999995"/>
  </r>
  <r>
    <x v="8"/>
    <x v="0"/>
    <n v="36.021819000000001"/>
    <n v="9.1662890000000008"/>
    <n v="7.6005870000000009"/>
    <n v="6.9484779999999997"/>
    <n v="5.9609570000000005"/>
    <n v="6.3455079999999953"/>
    <n v="24.024526999999999"/>
    <n v="6.0157389999999999"/>
    <n v="5.0214639999999999"/>
    <n v="4.9187839999999996"/>
    <n v="3.6026500000000001"/>
    <n v="4.4658899999999981"/>
    <n v="44.213408000000001"/>
    <n v="5.2681199999999997"/>
    <n v="5.7282659999999996"/>
    <n v="4.265898"/>
    <n v="5.7422389999999996"/>
    <n v="23.208885000000002"/>
    <n v="7722.0746666666664"/>
    <n v="1034.8486666666665"/>
    <n v="979.45666666666659"/>
    <n v="864.56466666666665"/>
    <n v="517.80133333333333"/>
    <n v="4325.4033333333336"/>
    <n v="993.6"/>
    <n v="167.55099999999999"/>
    <n v="122.14700000000001"/>
    <n v="107.131"/>
    <n v="93.881"/>
    <n v="796.5"/>
    <n v="130.256"/>
    <n v="95.075000000000003"/>
    <n v="84.897000000000006"/>
    <n v="70.665999999999997"/>
    <n v="0.80163043478260865"/>
    <n v="0.77741105693191925"/>
    <n v="0.77836541216730659"/>
    <n v="0.792459698873342"/>
    <n v="0.75271886750247652"/>
    <n v="0.73799999999999999"/>
  </r>
  <r>
    <x v="9"/>
    <x v="0"/>
    <n v="37.758876000000001"/>
    <n v="9.6200310000000009"/>
    <n v="7.9923700000000002"/>
    <n v="7.2677909999999999"/>
    <n v="6.2384009999999996"/>
    <n v="6.6402830000000002"/>
    <n v="26.872599000000001"/>
    <n v="6.8230069999999996"/>
    <n v="5.80464"/>
    <n v="5.3935639999999996"/>
    <n v="3.9681929999999999"/>
    <n v="4.8831950000000006"/>
    <n v="49.944935000000001"/>
    <n v="5.9999440000000002"/>
    <n v="6.6577270000000004"/>
    <n v="4.6880730000000002"/>
    <n v="6.2741199999999999"/>
    <n v="26.325071000000001"/>
    <n v="7648.2573333333339"/>
    <n v="1001.4326666666666"/>
    <n v="992.27700000000004"/>
    <n v="789.67433333333338"/>
    <n v="505.64799999999997"/>
    <n v="4359.2253333333338"/>
    <n v="1055"/>
    <n v="175.72200000000001"/>
    <n v="129.852"/>
    <n v="113.04300000000001"/>
    <n v="98.378"/>
    <n v="857.5"/>
    <n v="132.90100000000001"/>
    <n v="105.943"/>
    <n v="93.433000000000007"/>
    <n v="72.477000000000004"/>
    <n v="0.8127962085308057"/>
    <n v="0.75631395044445204"/>
    <n v="0.81587499614946246"/>
    <n v="0.82652618914926179"/>
    <n v="0.73671959177864976"/>
    <n v="0.82"/>
  </r>
  <r>
    <x v="10"/>
    <x v="0"/>
    <n v="36.151197000000003"/>
    <n v="9.0062139999999999"/>
    <n v="7.7596080000000001"/>
    <n v="6.9872749999999995"/>
    <n v="5.9049690000000004"/>
    <n v="6.4931310000000018"/>
    <n v="25.407633000000001"/>
    <n v="6.3451820000000003"/>
    <n v="5.4734819999999997"/>
    <n v="5.0397999999999996"/>
    <n v="3.7620689999999999"/>
    <n v="4.7871000000000024"/>
    <n v="47.059494999999998"/>
    <n v="5.4449209999999999"/>
    <n v="6.2225440000000001"/>
    <n v="4.391521"/>
    <n v="6.0068849999999996"/>
    <n v="24.993623999999997"/>
    <n v="7648.2573333333339"/>
    <n v="1001.4326666666666"/>
    <n v="992.27700000000004"/>
    <n v="789.67433333333338"/>
    <n v="505.64799999999997"/>
    <n v="4359.2253333333338"/>
    <n v="1007.5"/>
    <n v="166.52099999999999"/>
    <n v="125.879"/>
    <n v="108.16200000000001"/>
    <n v="92.995000000000005"/>
    <n v="844.7"/>
    <n v="132.04300000000001"/>
    <n v="100.944"/>
    <n v="95.674999999999997"/>
    <n v="70.006"/>
    <n v="0.83841191066997522"/>
    <n v="0.79295103920826815"/>
    <n v="0.80191294814861891"/>
    <n v="0.8845528004289861"/>
    <n v="0.75279316092263027"/>
    <n v="0.83099999999999996"/>
  </r>
  <r>
    <x v="11"/>
    <x v="0"/>
    <n v="38.113013000000002"/>
    <n v="9.5121479999999998"/>
    <n v="7.9712500000000004"/>
    <n v="7.4069530000000006"/>
    <n v="6.1543270000000003"/>
    <n v="7.0683349999999976"/>
    <n v="27.653086999999999"/>
    <n v="6.9328789999999998"/>
    <n v="5.894158"/>
    <n v="5.5922289999999997"/>
    <n v="3.9353090000000002"/>
    <n v="5.2985119999999988"/>
    <n v="49.757123999999997"/>
    <n v="5.8927199999999997"/>
    <n v="6.4942950000000002"/>
    <n v="4.7421879999999996"/>
    <n v="6.1140590000000001"/>
    <n v="26.513861999999996"/>
    <n v="7648.2573333333339"/>
    <n v="1001.4326666666666"/>
    <n v="992.27700000000004"/>
    <n v="789.67433333333338"/>
    <n v="505.64799999999997"/>
    <n v="4359.2253333333338"/>
    <n v="1075.4000000000001"/>
    <n v="174.06"/>
    <n v="130.048"/>
    <n v="114.95399999999999"/>
    <n v="96.149000000000001"/>
    <n v="941.8"/>
    <n v="144.959"/>
    <n v="111.21899999999999"/>
    <n v="107.667"/>
    <n v="71.138999999999996"/>
    <n v="0.87576715640691827"/>
    <n v="0.83281052510628517"/>
    <n v="0.85521499753937003"/>
    <n v="0.93660942637924738"/>
    <n v="0.73988289009766084"/>
    <n v="0.876"/>
  </r>
  <r>
    <x v="12"/>
    <x v="0"/>
    <n v="37.895128999999997"/>
    <n v="9.549790999999999"/>
    <n v="7.9119449999999993"/>
    <n v="7.3292910000000004"/>
    <n v="6.1488860000000001"/>
    <n v="6.9552159999999965"/>
    <n v="24.979610000000001"/>
    <n v="6.463552"/>
    <n v="5.2899950000000002"/>
    <n v="4.9587680000000001"/>
    <n v="3.456658"/>
    <n v="4.8106369999999998"/>
    <n v="43.815480999999998"/>
    <n v="5.474024"/>
    <n v="5.8112440000000003"/>
    <n v="4.1557760000000004"/>
    <n v="5.3579999999999997"/>
    <n v="23.016436999999996"/>
    <n v="7962.0223333333333"/>
    <n v="1011.2923333333333"/>
    <n v="980.18"/>
    <n v="807.46066666666673"/>
    <n v="494.66200000000003"/>
    <n v="4668.4273333333331"/>
    <n v="1065.2"/>
    <n v="173.768"/>
    <n v="131.566"/>
    <n v="106.291"/>
    <n v="95.238"/>
    <n v="1008.2"/>
    <n v="156.32499999999999"/>
    <n v="120.822"/>
    <n v="105.69499999999999"/>
    <n v="72.759"/>
    <n v="0.94648892226811865"/>
    <n v="0.89961903227291551"/>
    <n v="0.91833756441633863"/>
    <n v="0.99439275197335608"/>
    <n v="0.76397026397026402"/>
    <n v="0.998"/>
  </r>
  <r>
    <x v="13"/>
    <x v="0"/>
    <n v="36.465701000000003"/>
    <n v="9.2508029999999994"/>
    <n v="7.5356750000000003"/>
    <n v="6.9562689999999998"/>
    <n v="5.883"/>
    <n v="6.8399540000000059"/>
    <n v="25.172298999999999"/>
    <n v="6.4581210000000002"/>
    <n v="5.2575760000000002"/>
    <n v="4.9433379999999998"/>
    <n v="3.6601849999999998"/>
    <n v="4.853079000000001"/>
    <n v="45.306643999999999"/>
    <n v="5.4937379999999996"/>
    <n v="5.945233"/>
    <n v="4.1974429999999998"/>
    <n v="5.7465869999999999"/>
    <n v="23.923642999999998"/>
    <n v="7962.0223333333333"/>
    <n v="1011.2923333333333"/>
    <n v="980.18"/>
    <n v="807.46066666666673"/>
    <n v="494.66200000000003"/>
    <n v="4668.4273333333331"/>
    <n v="1032.4000000000001"/>
    <n v="165.66800000000001"/>
    <n v="125.372"/>
    <n v="111.068"/>
    <n v="91.766999999999996"/>
    <n v="997.4"/>
    <n v="153.44800000000001"/>
    <n v="115.958"/>
    <n v="110.72"/>
    <n v="73.733000000000004"/>
    <n v="0.96609841146842301"/>
    <n v="0.92623801820508489"/>
    <n v="0.92491146348466957"/>
    <n v="0.99686678431231324"/>
    <n v="0.80348055401179086"/>
    <n v="0.93300000000000005"/>
  </r>
  <r>
    <x v="14"/>
    <x v="0"/>
    <n v="40.035069"/>
    <n v="10.064912"/>
    <n v="8.3242900000000013"/>
    <n v="7.6406689999999999"/>
    <n v="6.3532960000000003"/>
    <n v="7.6519019999999998"/>
    <n v="30.292988999999999"/>
    <n v="7.5967330000000004"/>
    <n v="6.2704170000000001"/>
    <n v="5.9229750000000001"/>
    <n v="4.6767950000000003"/>
    <n v="5.8260689999999968"/>
    <n v="54.147227000000001"/>
    <n v="6.4250949999999998"/>
    <n v="6.9392670000000001"/>
    <n v="5.0297700000000001"/>
    <n v="7.0858169999999996"/>
    <n v="28.667278000000003"/>
    <n v="7962.0223333333333"/>
    <n v="1011.2923333333333"/>
    <n v="980.18"/>
    <n v="807.46066666666673"/>
    <n v="494.66200000000003"/>
    <n v="4668.4273333333331"/>
    <n v="1140.5"/>
    <n v="188.446"/>
    <n v="137.49"/>
    <n v="116.57599999999999"/>
    <n v="100.4"/>
    <n v="1116.5"/>
    <n v="169.654"/>
    <n v="129.52799999999999"/>
    <n v="121.548"/>
    <n v="82.953999999999994"/>
    <n v="0.97895659798334067"/>
    <n v="0.90027912505439223"/>
    <n v="0.9420903338424611"/>
    <n v="1.0426502882239912"/>
    <n v="0.82623505976095601"/>
    <n v="0.94699999999999995"/>
  </r>
  <r>
    <x v="15"/>
    <x v="0"/>
    <n v="39.200845000000001"/>
    <n v="9.7454230000000006"/>
    <n v="8.170122000000001"/>
    <n v="7.5715780000000006"/>
    <n v="6.150773"/>
    <n v="7.5629489999999961"/>
    <n v="29.862386999999998"/>
    <n v="7.4121969999999999"/>
    <n v="6.0648419999999996"/>
    <n v="6.0052989999999999"/>
    <n v="4.6891179999999997"/>
    <n v="5.6909309999999991"/>
    <n v="53.253194000000001"/>
    <n v="6.2097470000000001"/>
    <n v="6.6970580000000002"/>
    <n v="5.0220729999999998"/>
    <n v="7.1156360000000003"/>
    <n v="28.208680000000001"/>
    <n v="8620.5193333333336"/>
    <n v="1065.4963333333333"/>
    <n v="1055.1786666666667"/>
    <n v="899.13633333333337"/>
    <n v="572.08266666666668"/>
    <n v="5028.6253333333334"/>
    <n v="1094.4000000000001"/>
    <n v="174.01900000000001"/>
    <n v="131.80000000000001"/>
    <n v="116.17700000000001"/>
    <n v="97.27"/>
    <n v="1092.5"/>
    <n v="167.06800000000001"/>
    <n v="126.672"/>
    <n v="124.49"/>
    <n v="77.959000000000003"/>
    <n v="0.99826388888888884"/>
    <n v="0.96005608582970825"/>
    <n v="0.96109256449165392"/>
    <n v="1.0715546106372174"/>
    <n v="0.80147013467667327"/>
    <n v="0.97299999999999998"/>
  </r>
  <r>
    <x v="16"/>
    <x v="0"/>
    <n v="39.936666000000002"/>
    <n v="9.6667760000000005"/>
    <n v="8.3194490000000005"/>
    <n v="7.7794949999999998"/>
    <n v="6.3405339999999999"/>
    <n v="7.8304120000000026"/>
    <n v="29.840064999999999"/>
    <n v="7.168145"/>
    <n v="6.1090869999999997"/>
    <n v="6.0852320000000004"/>
    <n v="4.6816329999999997"/>
    <n v="5.7959679999999985"/>
    <n v="53.030873"/>
    <n v="6.0807570000000002"/>
    <n v="6.7565710000000001"/>
    <n v="5.1203580000000004"/>
    <n v="7.1391140000000002"/>
    <n v="27.934073000000001"/>
    <n v="8620.5193333333336"/>
    <n v="1065.4963333333333"/>
    <n v="1055.1786666666667"/>
    <n v="899.13633333333337"/>
    <n v="572.08266666666668"/>
    <n v="5028.6253333333334"/>
    <n v="1120.4000000000001"/>
    <n v="173.732"/>
    <n v="134.86099999999999"/>
    <n v="120.66200000000001"/>
    <n v="100.184"/>
    <n v="1206.5"/>
    <n v="188.24"/>
    <n v="140.08799999999999"/>
    <n v="136.762"/>
    <n v="83.653999999999996"/>
    <n v="1.076847554444841"/>
    <n v="1.0835079317569591"/>
    <n v="1.0387584253416482"/>
    <n v="1.1334305746631084"/>
    <n v="0.83500359338816577"/>
    <n v="1.0920000000000001"/>
  </r>
  <r>
    <x v="17"/>
    <x v="0"/>
    <n v="40.411841000000003"/>
    <n v="9.7631640000000015"/>
    <n v="8.2774219999999996"/>
    <n v="7.9729849999999995"/>
    <n v="6.2867980000000001"/>
    <n v="8.1114720000000062"/>
    <n v="32.738930000000003"/>
    <n v="7.8302610000000001"/>
    <n v="6.7457779999999996"/>
    <n v="6.7369849999999998"/>
    <n v="4.9564180000000002"/>
    <n v="6.4694880000000055"/>
    <n v="56.959142"/>
    <n v="6.5201779999999996"/>
    <n v="7.227106"/>
    <n v="5.6044029999999996"/>
    <n v="7.3732980000000001"/>
    <n v="30.234157000000003"/>
    <n v="8620.5193333333336"/>
    <n v="1065.4963333333333"/>
    <n v="1055.1786666666667"/>
    <n v="899.13633333333337"/>
    <n v="572.08266666666668"/>
    <n v="5028.6253333333334"/>
    <n v="1136.3"/>
    <n v="177.18700000000001"/>
    <n v="136.958"/>
    <n v="124.298"/>
    <n v="100.574"/>
    <n v="1218.3"/>
    <n v="191.101"/>
    <n v="146.41900000000001"/>
    <n v="143.298"/>
    <n v="83.215999999999994"/>
    <n v="1.0721640411863065"/>
    <n v="1.07852720572051"/>
    <n v="1.0690795718395421"/>
    <n v="1.1528584530724548"/>
    <n v="0.82741066279555353"/>
    <n v="1.032"/>
  </r>
  <r>
    <x v="18"/>
    <x v="0"/>
    <n v="41.996445000000001"/>
    <n v="9.9790859999999988"/>
    <n v="8.4670059999999996"/>
    <n v="8.3238490000000009"/>
    <n v="6.5474049999999995"/>
    <n v="8.6790990000000008"/>
    <n v="34.630775"/>
    <n v="8.1706179999999993"/>
    <n v="7.1281220000000003"/>
    <n v="7.0452450000000004"/>
    <n v="5.1974679999999998"/>
    <n v="7.0893219999999992"/>
    <n v="59.614286999999997"/>
    <n v="6.7173160000000003"/>
    <n v="7.4658879999999996"/>
    <n v="5.8330640000000002"/>
    <n v="7.6208049999999998"/>
    <n v="31.977213999999996"/>
    <n v="8567.3150000000005"/>
    <n v="996.94966666666676"/>
    <n v="1020.5826666666667"/>
    <n v="941.35933333333332"/>
    <n v="558.1396666666667"/>
    <n v="5050.2836666666672"/>
    <n v="1181.5999999999999"/>
    <n v="181.87"/>
    <n v="140.54900000000001"/>
    <n v="128.768"/>
    <n v="104.139"/>
    <n v="1309"/>
    <n v="200.55199999999999"/>
    <n v="152.51499999999999"/>
    <n v="148.19300000000001"/>
    <n v="84.066000000000003"/>
    <n v="1.1078199052132702"/>
    <n v="1.1027217243085721"/>
    <n v="1.0851375676810222"/>
    <n v="1.1508526963220678"/>
    <n v="0.80724800507014671"/>
    <n v="1.145"/>
  </r>
  <r>
    <x v="19"/>
    <x v="0"/>
    <n v="42.261560000000003"/>
    <n v="10.010638"/>
    <n v="8.4639570000000006"/>
    <n v="8.4333010000000002"/>
    <n v="6.6431940000000003"/>
    <n v="8.7104700000000008"/>
    <n v="33.562071000000003"/>
    <n v="7.9093140000000002"/>
    <n v="6.7209240000000001"/>
    <n v="6.9968360000000001"/>
    <n v="4.9866820000000001"/>
    <n v="6.9483150000000009"/>
    <n v="57.380873000000001"/>
    <n v="6.4057899999999997"/>
    <n v="6.9900159999999998"/>
    <n v="5.8182900000000002"/>
    <n v="7.3576940000000004"/>
    <n v="30.809083000000001"/>
    <n v="8567.3150000000005"/>
    <n v="996.94966666666676"/>
    <n v="1020.5826666666667"/>
    <n v="941.35933333333332"/>
    <n v="558.1396666666667"/>
    <n v="5050.2836666666672"/>
    <n v="1185.4000000000001"/>
    <n v="182.09899999999999"/>
    <n v="138.398"/>
    <n v="130.85599999999999"/>
    <n v="104.914"/>
    <n v="1392"/>
    <n v="220.25899999999999"/>
    <n v="166.52199999999999"/>
    <n v="163.65899999999999"/>
    <n v="84.989000000000004"/>
    <n v="1.1742871604521679"/>
    <n v="1.2095563402325109"/>
    <n v="1.2032110290611135"/>
    <n v="1.2506801369444274"/>
    <n v="0.81008254379777722"/>
    <n v="1.2270000000000001"/>
  </r>
  <r>
    <x v="20"/>
    <x v="0"/>
    <n v="38.037562999999999"/>
    <n v="8.7044500000000014"/>
    <n v="7.6454240000000002"/>
    <n v="7.5386540000000002"/>
    <n v="6.2996020000000001"/>
    <n v="7.8494329999999977"/>
    <n v="26.843032000000001"/>
    <n v="6.3531110000000002"/>
    <n v="5.2664010000000001"/>
    <n v="5.6216489999999997"/>
    <n v="3.9813000000000001"/>
    <n v="5.6205710000000018"/>
    <n v="47.671785"/>
    <n v="5.3230449999999996"/>
    <n v="5.5924839999999998"/>
    <n v="4.8037859999999997"/>
    <n v="6.1242530000000004"/>
    <n v="25.828217000000002"/>
    <n v="8567.3150000000005"/>
    <n v="996.94966666666676"/>
    <n v="1020.5826666666667"/>
    <n v="941.35933333333332"/>
    <n v="558.1396666666667"/>
    <n v="5050.2836666666672"/>
    <n v="1058.2"/>
    <n v="154.75899999999999"/>
    <n v="125.663"/>
    <n v="114.19799999999999"/>
    <n v="96.757999999999996"/>
    <n v="1304.4000000000001"/>
    <n v="192.27600000000001"/>
    <n v="157.988"/>
    <n v="152.06800000000001"/>
    <n v="77.433000000000007"/>
    <n v="1.2326592326592327"/>
    <n v="1.242422088537662"/>
    <n v="1.2572356222595356"/>
    <n v="1.3316170160598262"/>
    <n v="0.80027491266871997"/>
    <n v="1.3620000000000001"/>
  </r>
  <r>
    <x v="21"/>
    <x v="0"/>
    <n v="40.386189000000002"/>
    <n v="9.3351179999999996"/>
    <n v="8.3251190000000008"/>
    <n v="7.7582569999999995"/>
    <n v="6.7613689999999993"/>
    <n v="8.2063259999999971"/>
    <n v="29.899038000000001"/>
    <n v="7.1244110000000003"/>
    <n v="6.1279669999999999"/>
    <n v="5.9751099999999999"/>
    <n v="4.5046929999999996"/>
    <n v="6.1668570000000003"/>
    <n v="54.167489000000003"/>
    <n v="6.0365140000000004"/>
    <n v="6.7192590000000001"/>
    <n v="5.0994580000000003"/>
    <n v="6.8917149999999996"/>
    <n v="29.420543000000002"/>
    <n v="8484.3133333333335"/>
    <n v="977.79"/>
    <n v="987.49166666666667"/>
    <n v="847.39733333333334"/>
    <n v="551.65566666666666"/>
    <n v="5119.9786666666669"/>
    <n v="1137.9000000000001"/>
    <n v="167.27799999999999"/>
    <n v="135.42599999999999"/>
    <n v="120.095"/>
    <n v="104.253"/>
    <n v="1562.7"/>
    <n v="246.44399999999999"/>
    <n v="196.58600000000001"/>
    <n v="164.40700000000001"/>
    <n v="88.832999999999998"/>
    <n v="1.373319272343791"/>
    <n v="1.4732600820191537"/>
    <n v="1.4516119504378777"/>
    <n v="1.3689745618052376"/>
    <n v="0.85209058732122811"/>
    <n v="1.52"/>
  </r>
  <r>
    <x v="22"/>
    <x v="0"/>
    <n v="38.873690000000003"/>
    <n v="9.1217930000000003"/>
    <n v="8.1009390000000003"/>
    <n v="6.9802140000000001"/>
    <n v="6.5595649999999992"/>
    <n v="8.1111790000000035"/>
    <n v="28.475178"/>
    <n v="6.8190020000000002"/>
    <n v="5.9602170000000001"/>
    <n v="5.331061"/>
    <n v="4.293323"/>
    <n v="6.0715749999999957"/>
    <n v="51.782564000000001"/>
    <n v="5.8165950000000004"/>
    <n v="6.5347679999999997"/>
    <n v="4.6022559999999997"/>
    <n v="6.6325969999999996"/>
    <n v="28.196348"/>
    <n v="8484.3133333333335"/>
    <n v="977.79"/>
    <n v="987.49166666666667"/>
    <n v="847.39733333333334"/>
    <n v="551.65566666666666"/>
    <n v="5119.9786666666669"/>
    <n v="1084.8"/>
    <n v="162.96899999999999"/>
    <n v="131.45400000000001"/>
    <n v="104.06399999999999"/>
    <n v="100.196"/>
    <n v="1479.2"/>
    <n v="233.20599999999999"/>
    <n v="182.95"/>
    <n v="151.268"/>
    <n v="90.313999999999993"/>
    <n v="1.3635693215339233"/>
    <n v="1.4309838067362504"/>
    <n v="1.391741597821291"/>
    <n v="1.4536054735547357"/>
    <n v="0.90137330831570117"/>
    <n v="1.347"/>
  </r>
  <r>
    <x v="23"/>
    <x v="0"/>
    <n v="40.578611000000002"/>
    <n v="9.6315910000000002"/>
    <n v="8.2287680000000005"/>
    <n v="7.3094200000000003"/>
    <n v="6.9029210000000001"/>
    <n v="8.5059109999999976"/>
    <n v="29.669006"/>
    <n v="7.2028280000000002"/>
    <n v="6.0802860000000001"/>
    <n v="5.661346"/>
    <n v="4.3393810000000004"/>
    <n v="6.3851650000000006"/>
    <n v="52.640056999999999"/>
    <n v="6.1199820000000003"/>
    <n v="6.5854379999999999"/>
    <n v="4.7813809999999997"/>
    <n v="6.6205220000000002"/>
    <n v="28.532733999999998"/>
    <n v="8484.3133333333335"/>
    <n v="977.79"/>
    <n v="987.49166666666667"/>
    <n v="847.39733333333334"/>
    <n v="551.65566666666666"/>
    <n v="5119.9786666666669"/>
    <n v="1142.8"/>
    <n v="170.721"/>
    <n v="130.92699999999999"/>
    <n v="108.63200000000001"/>
    <n v="104.874"/>
    <n v="1454.4"/>
    <n v="224.017"/>
    <n v="176.08099999999999"/>
    <n v="141.976"/>
    <n v="97.480999999999995"/>
    <n v="1.2726636331816592"/>
    <n v="1.3121818639768978"/>
    <n v="1.3448792074973077"/>
    <n v="1.306944546726563"/>
    <n v="0.92950588325037664"/>
    <n v="1.2230000000000001"/>
  </r>
  <r>
    <x v="24"/>
    <x v="0"/>
    <n v="39.206764"/>
    <n v="9.2835300000000007"/>
    <n v="8.0532430000000002"/>
    <n v="6.7197360000000002"/>
    <n v="6.8195439999999996"/>
    <n v="8.3307109999999973"/>
    <n v="27.604619"/>
    <n v="6.8097529999999997"/>
    <n v="5.8105659999999997"/>
    <n v="5.0625270000000002"/>
    <n v="4.0051740000000002"/>
    <n v="5.9165990000000015"/>
    <n v="47.977657000000001"/>
    <n v="5.7812010000000003"/>
    <n v="6.1811660000000002"/>
    <n v="4.2299429999999996"/>
    <n v="6.0344340000000001"/>
    <n v="25.750913000000001"/>
    <n v="8562.757333333333"/>
    <n v="1014.4520000000001"/>
    <n v="985.74133333333339"/>
    <n v="846.92166666666662"/>
    <n v="554.50200000000007"/>
    <n v="5161.1403333333328"/>
    <n v="1084.7"/>
    <n v="164.428"/>
    <n v="129.18299999999999"/>
    <n v="100.655"/>
    <n v="103.178"/>
    <n v="1378.2"/>
    <n v="209.72399999999999"/>
    <n v="172.08099999999999"/>
    <n v="137.31299999999999"/>
    <n v="93.447000000000003"/>
    <n v="1.270581727666636"/>
    <n v="1.2754761962682755"/>
    <n v="1.3320715574030639"/>
    <n v="1.3641945258556454"/>
    <n v="0.90568725891178359"/>
    <n v="1.3340000000000001"/>
  </r>
  <r>
    <x v="25"/>
    <x v="0"/>
    <n v="36.717700000000001"/>
    <n v="8.6153459999999988"/>
    <n v="7.7896739999999998"/>
    <n v="6.1625690000000004"/>
    <n v="6.3114319999999999"/>
    <n v="7.8386789999999991"/>
    <n v="26.390875999999999"/>
    <n v="6.3654270000000004"/>
    <n v="5.6062510000000003"/>
    <n v="4.6727090000000002"/>
    <n v="3.9976229999999999"/>
    <n v="5.748865999999996"/>
    <n v="47.074882000000002"/>
    <n v="5.4744200000000003"/>
    <n v="6.0376519999999996"/>
    <n v="3.9071660000000001"/>
    <n v="6.0785869999999997"/>
    <n v="25.577057000000003"/>
    <n v="8562.757333333333"/>
    <n v="1014.4520000000001"/>
    <n v="985.74133333333339"/>
    <n v="846.92166666666662"/>
    <n v="554.50200000000007"/>
    <n v="5161.1403333333328"/>
    <n v="1017"/>
    <n v="152.435"/>
    <n v="125.23"/>
    <n v="90.456999999999994"/>
    <n v="95.191999999999993"/>
    <n v="1333.5"/>
    <n v="206.42599999999999"/>
    <n v="170.81299999999999"/>
    <n v="129.12700000000001"/>
    <n v="83.424000000000007"/>
    <n v="1.3112094395280236"/>
    <n v="1.3541903106242004"/>
    <n v="1.3639942505789346"/>
    <n v="1.4274959372961742"/>
    <n v="0.87637616606437529"/>
    <n v="1.3340000000000001"/>
  </r>
  <r>
    <x v="26"/>
    <x v="0"/>
    <n v="41.421857000000003"/>
    <n v="9.7537250000000011"/>
    <n v="8.631772999999999"/>
    <n v="6.931508"/>
    <n v="7.1066149999999997"/>
    <n v="8.9982360000000057"/>
    <n v="33.143185000000003"/>
    <n v="7.9640440000000003"/>
    <n v="6.9932619999999996"/>
    <n v="5.7420169999999997"/>
    <n v="5.2365409999999999"/>
    <n v="7.2073210000000039"/>
    <n v="58.838974999999998"/>
    <n v="6.8353849999999996"/>
    <n v="7.4515640000000003"/>
    <n v="4.725384"/>
    <n v="7.6677249999999999"/>
    <n v="32.158917000000002"/>
    <n v="8562.757333333333"/>
    <n v="1014.4520000000001"/>
    <n v="985.74133333333339"/>
    <n v="846.92166666666662"/>
    <n v="554.50200000000007"/>
    <n v="5161.1403333333328"/>
    <n v="1162.9000000000001"/>
    <n v="170.001"/>
    <n v="139.19999999999999"/>
    <n v="104.423"/>
    <n v="108.13800000000001"/>
    <n v="1675.5"/>
    <n v="249.59700000000001"/>
    <n v="211.17599999999999"/>
    <n v="154.767"/>
    <n v="100.952"/>
    <n v="1.4407945653108607"/>
    <n v="1.4682090105352321"/>
    <n v="1.5170689655172414"/>
    <n v="1.4821160089252368"/>
    <n v="0.93354787401283534"/>
    <n v="1.5620000000000001"/>
  </r>
  <r>
    <x v="27"/>
    <x v="0"/>
    <n v="39.939055000000003"/>
    <n v="9.3137119999999989"/>
    <n v="8.3421959999999995"/>
    <n v="6.5450820000000007"/>
    <n v="6.9625950000000003"/>
    <n v="8.7754700000000057"/>
    <n v="30.787946999999999"/>
    <n v="7.4356920000000004"/>
    <n v="6.399972"/>
    <n v="5.3129270000000002"/>
    <n v="4.8075539999999997"/>
    <n v="6.8318019999999962"/>
    <n v="54.908859"/>
    <n v="6.4172159999999998"/>
    <n v="6.8524219999999998"/>
    <n v="4.3858180000000004"/>
    <n v="7.1252820000000003"/>
    <n v="30.128121"/>
    <n v="9472.751666666667"/>
    <n v="1134.8846666666666"/>
    <n v="1104.3293333333334"/>
    <n v="958.04233333333332"/>
    <n v="648.16300000000001"/>
    <n v="5627.3323333333337"/>
    <n v="1098.7"/>
    <n v="161.06100000000001"/>
    <n v="132.21199999999999"/>
    <n v="96.001000000000005"/>
    <n v="104.026"/>
    <n v="1705.3"/>
    <n v="254.767"/>
    <n v="215.22300000000001"/>
    <n v="161.477"/>
    <n v="102.578"/>
    <n v="1.5521070355875124"/>
    <n v="1.5818044095094403"/>
    <n v="1.6278628263697701"/>
    <n v="1.6820345621399777"/>
    <n v="0.98608040297617905"/>
    <n v="1.573"/>
  </r>
  <r>
    <x v="28"/>
    <x v="0"/>
    <n v="41.543840000000003"/>
    <n v="9.5983250000000009"/>
    <n v="8.6443469999999998"/>
    <n v="6.9234640000000001"/>
    <n v="7.2447600000000003"/>
    <n v="9.1329440000000019"/>
    <n v="32.402842"/>
    <n v="7.7006819999999996"/>
    <n v="6.563739"/>
    <n v="5.7156399999999996"/>
    <n v="5.2416980000000004"/>
    <n v="7.181083000000001"/>
    <n v="57.323875999999998"/>
    <n v="6.6916500000000001"/>
    <n v="6.9188179999999999"/>
    <n v="4.7491459999999996"/>
    <n v="7.774165"/>
    <n v="31.190096999999998"/>
    <n v="9472.751666666667"/>
    <n v="1134.8846666666666"/>
    <n v="1104.3293333333334"/>
    <n v="958.04233333333332"/>
    <n v="648.16300000000001"/>
    <n v="5627.3323333333337"/>
    <n v="1123.5999999999999"/>
    <n v="164.45"/>
    <n v="135.47399999999999"/>
    <n v="103.63200000000001"/>
    <n v="108.765"/>
    <n v="1699.2"/>
    <n v="251.55"/>
    <n v="209.98099999999999"/>
    <n v="168.256"/>
    <n v="116.646"/>
    <n v="1.5122819508721967"/>
    <n v="1.5296442687747038"/>
    <n v="1.5499726884863516"/>
    <n v="1.623591168750965"/>
    <n v="1.0724589711763894"/>
    <n v="1.4710000000000001"/>
  </r>
  <r>
    <x v="29"/>
    <x v="0"/>
    <n v="41.68533"/>
    <n v="9.6838250000000006"/>
    <n v="8.4445400000000017"/>
    <n v="7.0595210000000002"/>
    <n v="7.1338549999999996"/>
    <n v="9.3635889999999975"/>
    <n v="34.547780000000003"/>
    <n v="8.224043"/>
    <n v="6.952172"/>
    <n v="6.2334079999999998"/>
    <n v="5.4325159999999997"/>
    <n v="7.7056410000000035"/>
    <n v="59.724060999999999"/>
    <n v="7.069026"/>
    <n v="7.0525409999999997"/>
    <n v="5.0525630000000001"/>
    <n v="7.8782129999999997"/>
    <n v="32.671717999999998"/>
    <n v="9472.751666666667"/>
    <n v="1134.8846666666666"/>
    <n v="1104.3293333333334"/>
    <n v="958.04233333333332"/>
    <n v="648.16300000000001"/>
    <n v="5627.3323333333337"/>
    <n v="1148.9000000000001"/>
    <n v="169.12799999999999"/>
    <n v="135.023"/>
    <n v="106.34399999999999"/>
    <n v="108.97199999999999"/>
    <n v="1777.3"/>
    <n v="267.8"/>
    <n v="218.137"/>
    <n v="175.62299999999999"/>
    <n v="109.072"/>
    <n v="1.5469579597876228"/>
    <n v="1.5834161108746041"/>
    <n v="1.6155543870303579"/>
    <n v="1.6514612954186414"/>
    <n v="1.0009176669236135"/>
    <n v="1.6539999999999999"/>
  </r>
  <r>
    <x v="30"/>
    <x v="0"/>
    <n v="43.266660999999999"/>
    <n v="10.051041999999999"/>
    <n v="8.7210190000000001"/>
    <n v="7.3201719999999995"/>
    <n v="7.3794979999999999"/>
    <n v="9.7949300000000008"/>
    <n v="36.660387999999998"/>
    <n v="8.6719650000000001"/>
    <n v="7.4787340000000002"/>
    <n v="6.3983119999999998"/>
    <n v="5.9603999999999999"/>
    <n v="8.1509769999999975"/>
    <n v="62.396445999999997"/>
    <n v="7.3656750000000004"/>
    <n v="7.3922600000000003"/>
    <n v="5.1135109999999999"/>
    <n v="8.483943"/>
    <n v="34.041056999999995"/>
    <n v="9682.1693333333333"/>
    <n v="1134.7606666666668"/>
    <n v="1088.596"/>
    <n v="1021.5913333333333"/>
    <n v="662.875"/>
    <n v="5774.346333333333"/>
    <n v="1193.7"/>
    <n v="177.21"/>
    <n v="140.86000000000001"/>
    <n v="109.96599999999999"/>
    <n v="113.489"/>
    <n v="1915.2"/>
    <n v="294.35899999999998"/>
    <n v="238.178"/>
    <n v="188.583"/>
    <n v="104.026"/>
    <n v="1.604423221915054"/>
    <n v="1.6610744314654928"/>
    <n v="1.6908845662359788"/>
    <n v="1.7149209755742685"/>
    <n v="0.9166174695344923"/>
    <n v="1.665"/>
  </r>
  <r>
    <x v="31"/>
    <x v="0"/>
    <n v="43.123243000000002"/>
    <n v="9.7835990000000006"/>
    <n v="8.7056759999999986"/>
    <n v="7.2668340000000002"/>
    <n v="7.4564729999999999"/>
    <n v="9.9106610000000046"/>
    <n v="35.029065000000003"/>
    <n v="8.0444040000000001"/>
    <n v="7.140574"/>
    <n v="6.1760000000000002"/>
    <n v="5.6719419999999996"/>
    <n v="7.9961449999999985"/>
    <n v="59.110633"/>
    <n v="6.7681810000000002"/>
    <n v="6.9717609999999999"/>
    <n v="4.9643379999999997"/>
    <n v="8.1256799999999991"/>
    <n v="32.280673000000007"/>
    <n v="9682.1693333333333"/>
    <n v="1134.7606666666668"/>
    <n v="1088.596"/>
    <n v="1021.5913333333333"/>
    <n v="662.875"/>
    <n v="5774.346333333333"/>
    <n v="1185.4000000000001"/>
    <n v="171.65700000000001"/>
    <n v="138.37299999999999"/>
    <n v="110.321"/>
    <n v="113.895"/>
    <n v="2118.3000000000002"/>
    <n v="306.125"/>
    <n v="246.33"/>
    <n v="205.43100000000001"/>
    <n v="121.584"/>
    <n v="1.7869917327484393"/>
    <n v="1.7833528489953803"/>
    <n v="1.7801883315386675"/>
    <n v="1.8621205391539237"/>
    <n v="1.0675095482681418"/>
    <n v="1.8740000000000001"/>
  </r>
  <r>
    <x v="32"/>
    <x v="0"/>
    <n v="39.264436000000003"/>
    <n v="8.8268889999999995"/>
    <n v="7.6572449999999996"/>
    <n v="6.6448169999999998"/>
    <n v="7.0318490000000002"/>
    <n v="9.1036360000000052"/>
    <n v="29.167165000000001"/>
    <n v="6.8418679999999998"/>
    <n v="5.6015800000000002"/>
    <n v="5.2517810000000003"/>
    <n v="4.7345620000000004"/>
    <n v="6.7373739999999991"/>
    <n v="50.600324999999998"/>
    <n v="5.9028609999999997"/>
    <n v="5.5904030000000002"/>
    <n v="4.3380210000000003"/>
    <n v="6.9861259999999996"/>
    <n v="27.782913999999998"/>
    <n v="9682.1693333333333"/>
    <n v="1134.7606666666668"/>
    <n v="1088.596"/>
    <n v="1021.5913333333333"/>
    <n v="662.875"/>
    <n v="5774.346333333333"/>
    <n v="1054.4000000000001"/>
    <n v="151.65700000000001"/>
    <n v="118.003"/>
    <n v="98.361999999999995"/>
    <n v="104.956"/>
    <n v="1986"/>
    <n v="301.47300000000001"/>
    <n v="236.346"/>
    <n v="200.55799999999999"/>
    <n v="109.999"/>
    <n v="1.8835356600910469"/>
    <n v="1.987860764752039"/>
    <n v="2.0028812826792541"/>
    <n v="2.0389784672942803"/>
    <n v="1.0480487061244712"/>
    <n v="2.2320000000000002"/>
  </r>
  <r>
    <x v="33"/>
    <x v="0"/>
    <n v="40.235438000000002"/>
    <n v="8.8825820000000011"/>
    <n v="7.8821369999999993"/>
    <n v="6.8654269999999995"/>
    <n v="7.3169870000000001"/>
    <n v="9.2883050000000011"/>
    <n v="30.500715"/>
    <n v="7.1303369999999999"/>
    <n v="5.6889000000000003"/>
    <n v="5.5583790000000004"/>
    <n v="5.1475090000000003"/>
    <n v="6.9755899999999968"/>
    <n v="53.738092999999999"/>
    <n v="6.2058660000000003"/>
    <n v="5.7910529999999998"/>
    <n v="4.608511"/>
    <n v="7.5638040000000002"/>
    <n v="29.568859"/>
    <n v="9568.3423333333321"/>
    <n v="1112.7536666666667"/>
    <n v="1045.5743333333332"/>
    <n v="961.78533333333337"/>
    <n v="662.40566666666666"/>
    <n v="5785.8233333333319"/>
    <n v="1062"/>
    <n v="152.91"/>
    <n v="121.03"/>
    <n v="102.187"/>
    <n v="109.752"/>
    <n v="2280.4"/>
    <n v="353.69200000000001"/>
    <n v="273.99099999999999"/>
    <n v="223.04499999999999"/>
    <n v="144.01"/>
    <n v="2.1472693032015067"/>
    <n v="2.3130730495062455"/>
    <n v="2.2638271502933156"/>
    <n v="2.1827140438607651"/>
    <n v="1.3121400976747577"/>
    <n v="2.3980000000000001"/>
  </r>
  <r>
    <x v="34"/>
    <x v="0"/>
    <n v="39.325201999999997"/>
    <n v="8.9516550000000006"/>
    <n v="7.5581170000000002"/>
    <n v="6.6670259999999999"/>
    <n v="7.0511850000000003"/>
    <n v="9.0972189999999955"/>
    <n v="30.171924000000001"/>
    <n v="7.2500390000000001"/>
    <n v="5.620285"/>
    <n v="5.3181209999999997"/>
    <n v="4.9988330000000003"/>
    <n v="6.9846459999999979"/>
    <n v="52.766404000000001"/>
    <n v="6.3332920000000001"/>
    <n v="5.7294510000000001"/>
    <n v="4.4653130000000001"/>
    <n v="7.4061459999999997"/>
    <n v="28.832202000000002"/>
    <n v="9568.3423333333321"/>
    <n v="1112.7536666666667"/>
    <n v="1045.5743333333332"/>
    <n v="961.78533333333337"/>
    <n v="662.40566666666666"/>
    <n v="5785.8233333333319"/>
    <n v="1055.0999999999999"/>
    <n v="154.01400000000001"/>
    <n v="116.285"/>
    <n v="99.02"/>
    <n v="106.11499999999999"/>
    <n v="1961"/>
    <n v="292.20999999999998"/>
    <n v="239.15899999999999"/>
    <n v="204.20599999999999"/>
    <n v="130.005"/>
    <n v="1.8585916026916882"/>
    <n v="1.8972950510992506"/>
    <n v="2.0566625102119791"/>
    <n v="2.0622702484346598"/>
    <n v="1.2251331103048579"/>
    <n v="1.698"/>
  </r>
  <r>
    <x v="35"/>
    <x v="0"/>
    <n v="40.537249000000003"/>
    <n v="9.1902019999999993"/>
    <n v="7.3069660000000001"/>
    <n v="7.0153549999999996"/>
    <n v="7.3831040000000003"/>
    <n v="9.6416220000000052"/>
    <n v="30.905339999999999"/>
    <n v="7.3985469999999998"/>
    <n v="5.5320419999999997"/>
    <n v="5.6029020000000003"/>
    <n v="4.9946349999999997"/>
    <n v="7.3772140000000022"/>
    <n v="52.801276000000001"/>
    <n v="6.4155439999999997"/>
    <n v="5.5023270000000002"/>
    <n v="4.6136080000000002"/>
    <n v="7.255795"/>
    <n v="29.014002000000001"/>
    <n v="9568.3423333333321"/>
    <n v="1112.7536666666667"/>
    <n v="1045.5743333333332"/>
    <n v="961.78533333333337"/>
    <n v="662.40566666666666"/>
    <n v="5785.8233333333319"/>
    <n v="1097.8"/>
    <n v="158.51"/>
    <n v="115.033"/>
    <n v="104.476"/>
    <n v="110.875"/>
    <n v="1853"/>
    <n v="267.55799999999999"/>
    <n v="208.42"/>
    <n v="195.80799999999999"/>
    <n v="117.301"/>
    <n v="1.6879212971397342"/>
    <n v="1.6879565957983724"/>
    <n v="1.8118279102518406"/>
    <n v="1.8741912018071136"/>
    <n v="1.0579571589627959"/>
    <n v="1.7270000000000001"/>
  </r>
  <r>
    <x v="36"/>
    <x v="0"/>
    <n v="40.075643999999997"/>
    <n v="9.2506450000000005"/>
    <n v="6.991072"/>
    <n v="6.7925770000000005"/>
    <n v="7.5077189999999998"/>
    <n v="9.5336309999999926"/>
    <n v="29.124413000000001"/>
    <n v="7.0422789999999997"/>
    <n v="5.1653779999999996"/>
    <n v="5.2105629999999996"/>
    <n v="4.759328"/>
    <n v="6.9468650000000025"/>
    <n v="48.886043000000001"/>
    <n v="6.0704760000000002"/>
    <n v="5.1784270000000001"/>
    <n v="4.2843119999999999"/>
    <n v="6.8600989999999999"/>
    <n v="26.492729000000001"/>
    <n v="9465.3756666666668"/>
    <n v="1145.6416666666667"/>
    <n v="996.8413333333333"/>
    <n v="1001.9383333333334"/>
    <n v="673.15066666666667"/>
    <n v="5647.8036666666667"/>
    <n v="1048"/>
    <n v="158.012"/>
    <n v="107.376"/>
    <n v="99.67"/>
    <n v="111.444"/>
    <n v="1874.3"/>
    <n v="278.16500000000002"/>
    <n v="198.73500000000001"/>
    <n v="198.15899999999999"/>
    <n v="167.768"/>
    <n v="1.7884541984732825"/>
    <n v="1.7604042730931828"/>
    <n v="1.8508325882878855"/>
    <n v="1.9881508979632787"/>
    <n v="1.5054018161587883"/>
    <n v="1.8160000000000001"/>
  </r>
  <r>
    <x v="37"/>
    <x v="0"/>
    <n v="36.531705000000002"/>
    <n v="8.2907649999999986"/>
    <n v="6.253806"/>
    <n v="6.3832740000000001"/>
    <n v="6.8503869999999996"/>
    <n v="8.7534730000000067"/>
    <n v="27.669692000000001"/>
    <n v="6.4921319999999998"/>
    <n v="4.7583390000000003"/>
    <n v="4.9911649999999996"/>
    <n v="4.6899990000000003"/>
    <n v="6.7380570000000013"/>
    <n v="47.348142000000003"/>
    <n v="5.6497219999999997"/>
    <n v="4.8327410000000004"/>
    <n v="4.1135359999999999"/>
    <n v="6.818257"/>
    <n v="25.933886000000005"/>
    <n v="9465.3756666666668"/>
    <n v="1145.6416666666667"/>
    <n v="996.8413333333333"/>
    <n v="1001.9383333333334"/>
    <n v="673.15066666666667"/>
    <n v="5647.8036666666667"/>
    <n v="967.2"/>
    <n v="142.96299999999999"/>
    <n v="97.332999999999998"/>
    <n v="93.718000000000004"/>
    <n v="102.545"/>
    <n v="1754.9"/>
    <n v="264.88"/>
    <n v="180.94900000000001"/>
    <n v="183.81"/>
    <n v="159.821"/>
    <n v="1.8144127377998345"/>
    <n v="1.8527870847701853"/>
    <n v="1.8590714351761479"/>
    <n v="1.961309460295781"/>
    <n v="1.5585450290116534"/>
    <n v="1.754"/>
  </r>
  <r>
    <x v="38"/>
    <x v="0"/>
    <n v="41.835129000000002"/>
    <n v="9.4244889999999995"/>
    <n v="7.3823889999999999"/>
    <n v="7.2481650000000002"/>
    <n v="7.7236769999999995"/>
    <n v="10.056409000000006"/>
    <n v="34.070739000000003"/>
    <n v="7.8813409999999999"/>
    <n v="6.0303849999999999"/>
    <n v="6.0743390000000002"/>
    <n v="5.8326250000000002"/>
    <n v="8.2520490000000031"/>
    <n v="58.286011000000002"/>
    <n v="6.8966010000000004"/>
    <n v="5.9840200000000001"/>
    <n v="5.008165"/>
    <n v="8.3371279999999999"/>
    <n v="32.060096999999999"/>
    <n v="9465.3756666666668"/>
    <n v="1145.6416666666667"/>
    <n v="996.8413333333333"/>
    <n v="1001.9383333333334"/>
    <n v="673.15066666666667"/>
    <n v="5647.8036666666667"/>
    <n v="1118"/>
    <n v="162.953"/>
    <n v="112.929"/>
    <n v="106.922"/>
    <n v="115.79600000000001"/>
    <n v="2015.1"/>
    <n v="299.22300000000001"/>
    <n v="211.78299999999999"/>
    <n v="200.46199999999999"/>
    <n v="172.155"/>
    <n v="1.8024150268336314"/>
    <n v="1.8362533982191185"/>
    <n v="1.8753641668659067"/>
    <n v="1.8748433437459082"/>
    <n v="1.4867093854710007"/>
    <n v="1.875"/>
  </r>
  <r>
    <x v="39"/>
    <x v="0"/>
    <n v="40.346254000000002"/>
    <n v="9.0870200000000008"/>
    <n v="7.0292259999999995"/>
    <n v="7.0123299999999995"/>
    <n v="7.471419"/>
    <n v="9.746259000000002"/>
    <n v="32.711565999999998"/>
    <n v="7.6721349999999999"/>
    <n v="5.4769310000000004"/>
    <n v="5.8970929999999999"/>
    <n v="5.7340939999999998"/>
    <n v="7.9313129999999958"/>
    <n v="55.828555000000001"/>
    <n v="6.6127830000000003"/>
    <n v="5.359953"/>
    <n v="4.8359589999999999"/>
    <n v="8.1307390000000002"/>
    <n v="30.889121000000003"/>
    <n v="10581.135"/>
    <n v="1256.0889999999999"/>
    <n v="1180.9349999999999"/>
    <n v="1156.9423333333334"/>
    <n v="816.34233333333339"/>
    <n v="6170.8263333333334"/>
    <n v="1070.8"/>
    <n v="155.48099999999999"/>
    <n v="106.376"/>
    <n v="106.389"/>
    <n v="111.878"/>
    <n v="2026.3"/>
    <n v="305.35599999999999"/>
    <n v="209.68799999999999"/>
    <n v="212.107"/>
    <n v="145.76499999999999"/>
    <n v="1.8923234964512514"/>
    <n v="1.9639441475164168"/>
    <n v="1.971196510491088"/>
    <n v="1.993692956978635"/>
    <n v="1.3028924364039398"/>
    <n v="2.0739999999999998"/>
  </r>
  <r>
    <x v="40"/>
    <x v="0"/>
    <n v="41.231369000000001"/>
    <n v="9.4018529999999991"/>
    <n v="6.7946390000000001"/>
    <n v="7.2362849999999996"/>
    <n v="7.7619999999999996"/>
    <n v="10.036592000000002"/>
    <n v="33.059046000000002"/>
    <n v="7.8428740000000001"/>
    <n v="5.1461930000000002"/>
    <n v="6.0595730000000003"/>
    <n v="5.9599880000000001"/>
    <n v="8.0504180000000041"/>
    <n v="57.145192999999999"/>
    <n v="6.8033450000000002"/>
    <n v="5.146846"/>
    <n v="5.0301980000000004"/>
    <n v="8.4889980000000005"/>
    <n v="31.675805999999994"/>
    <n v="10581.135"/>
    <n v="1256.0889999999999"/>
    <n v="1180.9349999999999"/>
    <n v="1156.9423333333334"/>
    <n v="816.34233333333339"/>
    <n v="6170.8263333333334"/>
    <n v="1084.9000000000001"/>
    <n v="160.982"/>
    <n v="102.298"/>
    <n v="109.279"/>
    <n v="115.85299999999999"/>
    <n v="2213"/>
    <n v="330.935"/>
    <n v="213.35599999999999"/>
    <n v="240.99199999999999"/>
    <n v="175.00399999999999"/>
    <n v="2.0398193381878511"/>
    <n v="2.0557267272117379"/>
    <n v="2.0856321726719975"/>
    <n v="2.2052910440249271"/>
    <n v="1.5105694284999094"/>
    <n v="2.0699999999999998"/>
  </r>
  <r>
    <x v="41"/>
    <x v="0"/>
    <n v="41.417217000000001"/>
    <n v="9.1526129999999988"/>
    <n v="7.0235690000000002"/>
    <n v="7.3233410000000001"/>
    <n v="7.6531279999999997"/>
    <n v="10.264566000000006"/>
    <n v="35.046489000000001"/>
    <n v="8.0056930000000008"/>
    <n v="5.9686570000000003"/>
    <n v="6.3878779999999997"/>
    <n v="6.1513749999999998"/>
    <n v="8.5328859999999978"/>
    <n v="59.297120999999997"/>
    <n v="6.9122500000000002"/>
    <n v="5.6217490000000003"/>
    <n v="5.2280449999999998"/>
    <n v="8.6871209999999994"/>
    <n v="32.847955999999996"/>
    <n v="10581.135"/>
    <n v="1256.0889999999999"/>
    <n v="1180.9349999999999"/>
    <n v="1156.9423333333334"/>
    <n v="816.34233333333339"/>
    <n v="6170.8263333333334"/>
    <n v="1117.3"/>
    <n v="158.815"/>
    <n v="114.157"/>
    <n v="112.514"/>
    <n v="115.895"/>
    <n v="2294.3000000000002"/>
    <n v="322.53899999999999"/>
    <n v="246.875"/>
    <n v="247.792"/>
    <n v="195.548"/>
    <n v="2.0534323816342974"/>
    <n v="2.0309101785095867"/>
    <n v="2.1625918690925654"/>
    <n v="2.2023214888813838"/>
    <n v="1.6872859053453557"/>
    <n v="2.081"/>
  </r>
  <r>
    <x v="42"/>
    <x v="0"/>
    <n v="42.986465000000003"/>
    <n v="9.3506370000000008"/>
    <n v="7.2784040000000001"/>
    <n v="7.5601039999999999"/>
    <n v="7.963876"/>
    <n v="10.833444"/>
    <n v="36.626437000000003"/>
    <n v="8.2771550000000005"/>
    <n v="6.3482200000000004"/>
    <n v="6.6250710000000002"/>
    <n v="6.3306230000000001"/>
    <n v="9.0453679999999999"/>
    <n v="60.838605999999999"/>
    <n v="7.0310560000000004"/>
    <n v="5.8007569999999999"/>
    <n v="5.33317"/>
    <n v="8.7637879999999999"/>
    <n v="33.909835000000001"/>
    <n v="10358.901666666667"/>
    <n v="1173.883"/>
    <n v="1139.8726666666666"/>
    <n v="1144.2083333333333"/>
    <n v="780.68600000000004"/>
    <n v="6120.251666666667"/>
    <n v="1141.9000000000001"/>
    <n v="158.643"/>
    <n v="111.92700000000001"/>
    <n v="115.486"/>
    <n v="120.724"/>
    <n v="2370.6999999999998"/>
    <n v="338.77699999999999"/>
    <n v="240.30099999999999"/>
    <n v="258.06400000000002"/>
    <n v="198.33099999999999"/>
    <n v="2.0761012347841312"/>
    <n v="2.1354676853060015"/>
    <n v="2.1469439902793783"/>
    <n v="2.2345912058604509"/>
    <n v="1.6428464928266127"/>
    <n v="2.1539999999999999"/>
  </r>
  <r>
    <x v="43"/>
    <x v="0"/>
    <n v="43.281790000000001"/>
    <n v="9.3638359999999992"/>
    <n v="7.2919539999999996"/>
    <n v="7.6301310000000004"/>
    <n v="8.0912559999999996"/>
    <n v="10.904612999999998"/>
    <n v="35.036079000000001"/>
    <n v="7.7390140000000001"/>
    <n v="5.9536509999999998"/>
    <n v="6.2921180000000003"/>
    <n v="6.241206"/>
    <n v="8.8100900000000024"/>
    <n v="58.303232999999999"/>
    <n v="6.500972"/>
    <n v="5.4259300000000001"/>
    <n v="5.0931920000000002"/>
    <n v="8.6578630000000008"/>
    <n v="32.625275999999999"/>
    <n v="10358.901666666667"/>
    <n v="1173.883"/>
    <n v="1139.8726666666666"/>
    <n v="1144.2083333333333"/>
    <n v="780.68600000000004"/>
    <n v="6120.251666666667"/>
    <n v="1160.5"/>
    <n v="162.208"/>
    <n v="112.251"/>
    <n v="116.35899999999999"/>
    <n v="122.313"/>
    <n v="2460.3000000000002"/>
    <n v="340.471"/>
    <n v="254.99"/>
    <n v="262.83699999999999"/>
    <n v="195.732"/>
    <n v="2.1200344679017666"/>
    <n v="2.0989778555928194"/>
    <n v="2.2716055981683905"/>
    <n v="2.2588454696241804"/>
    <n v="1.6002550832699713"/>
    <n v="2.133"/>
  </r>
  <r>
    <x v="44"/>
    <x v="0"/>
    <n v="39.475749"/>
    <n v="8.6330279999999995"/>
    <n v="6.3689229999999997"/>
    <n v="6.8558649999999997"/>
    <n v="7.7331139999999996"/>
    <n v="9.8848190000000002"/>
    <n v="29.101210999999999"/>
    <n v="6.5767680000000004"/>
    <n v="4.7336169999999997"/>
    <n v="5.3526999999999996"/>
    <n v="5.1969139999999996"/>
    <n v="7.2412120000000009"/>
    <n v="49.949551"/>
    <n v="5.6725940000000001"/>
    <n v="4.6241760000000003"/>
    <n v="4.4603630000000001"/>
    <n v="7.4589949999999998"/>
    <n v="27.733423000000002"/>
    <n v="10358.901666666667"/>
    <n v="1173.883"/>
    <n v="1139.8726666666666"/>
    <n v="1144.2083333333333"/>
    <n v="780.68600000000004"/>
    <n v="6120.251666666667"/>
    <n v="1052"/>
    <n v="148.56399999999999"/>
    <n v="97.373000000000005"/>
    <n v="104.68899999999999"/>
    <n v="115.49299999999999"/>
    <n v="2091.6999999999998"/>
    <n v="294.96300000000002"/>
    <n v="227.71799999999999"/>
    <n v="230.80799999999999"/>
    <n v="167.256"/>
    <n v="1.9883079847908744"/>
    <n v="1.9854271559731835"/>
    <n v="2.338615427274501"/>
    <n v="2.2047015445748839"/>
    <n v="1.4481916652957323"/>
    <n v="1.81"/>
  </r>
  <r>
    <x v="45"/>
    <x v="0"/>
    <n v="40.972639999999998"/>
    <n v="8.9030499999999986"/>
    <n v="6.602894"/>
    <n v="7.1066760000000002"/>
    <n v="8.1343360000000011"/>
    <n v="10.225683999999998"/>
    <n v="31.684851999999999"/>
    <n v="7.1526129999999997"/>
    <n v="5.2300440000000004"/>
    <n v="5.7656850000000004"/>
    <n v="5.699554"/>
    <n v="7.8369560000000007"/>
    <n v="55.088985999999998"/>
    <n v="6.2480989999999998"/>
    <n v="5.2440350000000002"/>
    <n v="4.8272959999999996"/>
    <n v="8.1400769999999998"/>
    <n v="30.629478999999996"/>
    <n v="9896.8963333333322"/>
    <n v="1120.4453333333333"/>
    <n v="1054.1696666666667"/>
    <n v="1002.467"/>
    <n v="758.58733333333339"/>
    <n v="5961.226999999999"/>
    <n v="1095.4000000000001"/>
    <n v="153.78899999999999"/>
    <n v="101.249"/>
    <n v="108.179"/>
    <n v="122.492"/>
    <n v="2041.9"/>
    <n v="276.69499999999999"/>
    <n v="225.15100000000001"/>
    <n v="215.81100000000001"/>
    <n v="183.62899999999999"/>
    <n v="1.8640679203943764"/>
    <n v="1.799185897560944"/>
    <n v="2.2237355430670922"/>
    <n v="1.9949435657567551"/>
    <n v="1.4991101459687162"/>
    <n v="1.7390000000000001"/>
  </r>
  <r>
    <x v="46"/>
    <x v="0"/>
    <n v="39.550238"/>
    <n v="8.5202569999999991"/>
    <n v="6.387346"/>
    <n v="6.7972640000000002"/>
    <n v="7.7885039999999996"/>
    <n v="10.056867"/>
    <n v="30.773510999999999"/>
    <n v="7.0108819999999996"/>
    <n v="5.0513680000000001"/>
    <n v="5.3869040000000004"/>
    <n v="5.5948099999999998"/>
    <n v="7.7295470000000002"/>
    <n v="53.852209000000002"/>
    <n v="6.1085440000000002"/>
    <n v="5.1171379999999997"/>
    <n v="4.5388650000000004"/>
    <n v="8.0645620000000005"/>
    <n v="30.023099999999999"/>
    <n v="9896.8963333333322"/>
    <n v="1120.4453333333333"/>
    <n v="1054.1696666666667"/>
    <n v="1002.467"/>
    <n v="758.58733333333339"/>
    <n v="5961.226999999999"/>
    <n v="1061.5999999999999"/>
    <n v="143.739"/>
    <n v="101.276"/>
    <n v="103.703"/>
    <n v="116.852"/>
    <n v="1914.8"/>
    <n v="250.91900000000001"/>
    <n v="225.21"/>
    <n v="195.99700000000001"/>
    <n v="179.89599999999999"/>
    <n v="1.803692539562924"/>
    <n v="1.7456570589749476"/>
    <n v="2.2237252656108062"/>
    <n v="1.8899838963192965"/>
    <n v="1.5395200766781911"/>
    <n v="1.7330000000000001"/>
  </r>
  <r>
    <x v="47"/>
    <x v="0"/>
    <n v="40.832462"/>
    <n v="8.9797669999999989"/>
    <n v="6.5396319999999992"/>
    <n v="6.8781869999999996"/>
    <n v="7.9921040000000003"/>
    <n v="10.442772000000001"/>
    <n v="31.202356000000002"/>
    <n v="7.2389890000000001"/>
    <n v="5.1535260000000003"/>
    <n v="5.4475889999999998"/>
    <n v="5.5070540000000001"/>
    <n v="7.8551980000000015"/>
    <n v="53.538969999999999"/>
    <n v="6.2776129999999997"/>
    <n v="5.0564450000000001"/>
    <n v="4.4556620000000002"/>
    <n v="7.8692799999999998"/>
    <n v="29.87997"/>
    <n v="9896.8963333333322"/>
    <n v="1120.4453333333333"/>
    <n v="1054.1696666666667"/>
    <n v="1002.467"/>
    <n v="758.58733333333339"/>
    <n v="5961.226999999999"/>
    <n v="1101.7"/>
    <n v="153.36099999999999"/>
    <n v="99.759"/>
    <n v="105.18300000000001"/>
    <n v="118.651"/>
    <n v="2048.1"/>
    <n v="278.86599999999999"/>
    <n v="204.887"/>
    <n v="201.893"/>
    <n v="192.10599999999999"/>
    <n v="1.8590360352182989"/>
    <n v="1.8183632083776189"/>
    <n v="2.0538197054902314"/>
    <n v="1.9194451574874265"/>
    <n v="1.6190845420603281"/>
    <n v="1.81"/>
  </r>
  <r>
    <x v="48"/>
    <x v="0"/>
    <n v="41.028916000000002"/>
    <n v="9.0321550000000013"/>
    <n v="6.3937489999999997"/>
    <n v="6.9207659999999995"/>
    <n v="8.1202760000000005"/>
    <n v="10.561970000000002"/>
    <n v="29.558453"/>
    <n v="6.8454940000000004"/>
    <n v="4.7733879999999997"/>
    <n v="5.3106249999999999"/>
    <n v="5.1796119999999997"/>
    <n v="7.4493340000000003"/>
    <n v="50.022168000000001"/>
    <n v="5.9099500000000003"/>
    <n v="4.6212850000000003"/>
    <n v="4.3644499999999997"/>
    <n v="7.2849490000000001"/>
    <n v="27.841533999999999"/>
    <n v="9604.8549999999996"/>
    <n v="1117.4383333333333"/>
    <n v="1049.665"/>
    <n v="952.11"/>
    <n v="732.51899999999989"/>
    <n v="5753.1226666666662"/>
    <n v="1062.2"/>
    <n v="155.34100000000001"/>
    <n v="97.584999999999994"/>
    <n v="104.875"/>
    <n v="119.51"/>
    <n v="1929.7"/>
    <n v="269.13099999999997"/>
    <n v="191.453"/>
    <n v="199.45599999999999"/>
    <n v="198.50700000000001"/>
    <n v="1.8167011862172848"/>
    <n v="1.7325174937717664"/>
    <n v="1.9619101296305785"/>
    <n v="1.90184505363528"/>
    <n v="1.6610074470755585"/>
    <n v="1.6539999999999999"/>
  </r>
  <r>
    <x v="49"/>
    <x v="0"/>
    <n v="36.756813000000001"/>
    <n v="7.9705579999999996"/>
    <n v="5.7316690000000001"/>
    <n v="6.1784849999999993"/>
    <n v="7.2579739999999999"/>
    <n v="9.6181270000000012"/>
    <n v="27.62528"/>
    <n v="6.3284479999999999"/>
    <n v="4.401427"/>
    <n v="4.8845590000000003"/>
    <n v="4.8459669999999999"/>
    <n v="7.1648790000000027"/>
    <n v="47.766421000000001"/>
    <n v="5.5412540000000003"/>
    <n v="4.3471120000000001"/>
    <n v="4.0556720000000004"/>
    <n v="6.9870640000000002"/>
    <n v="26.835318999999998"/>
    <n v="9604.8549999999996"/>
    <n v="1117.4383333333333"/>
    <n v="1049.665"/>
    <n v="952.11"/>
    <n v="732.51899999999989"/>
    <n v="5753.1226666666662"/>
    <n v="970.1"/>
    <n v="138.81399999999999"/>
    <n v="87.531000000000006"/>
    <n v="94.382999999999996"/>
    <n v="109.813"/>
    <n v="1689.2"/>
    <n v="234.47200000000001"/>
    <n v="165.10900000000001"/>
    <n v="172.221"/>
    <n v="173.43899999999999"/>
    <n v="1.7412637872384291"/>
    <n v="1.6891091676632042"/>
    <n v="1.8862917137928277"/>
    <n v="1.8247036012841298"/>
    <n v="1.5794031672024258"/>
    <n v="1.74"/>
  </r>
  <r>
    <x v="50"/>
    <x v="0"/>
    <n v="42.577331999999998"/>
    <n v="9.0886219999999991"/>
    <n v="6.6711109999999998"/>
    <n v="7.2225630000000001"/>
    <n v="8.2997819999999987"/>
    <n v="11.295254"/>
    <n v="34.621189000000001"/>
    <n v="7.6795109999999998"/>
    <n v="5.6809450000000004"/>
    <n v="6.1340430000000001"/>
    <n v="6.0849780000000004"/>
    <n v="9.041712000000004"/>
    <n v="59.244231999999997"/>
    <n v="6.7320960000000003"/>
    <n v="5.6013070000000003"/>
    <n v="5.0884819999999999"/>
    <n v="8.6310599999999997"/>
    <n v="33.191286999999996"/>
    <n v="9604.8549999999996"/>
    <n v="1117.4383333333333"/>
    <n v="1049.665"/>
    <n v="952.11"/>
    <n v="732.51899999999989"/>
    <n v="5753.1226666666662"/>
    <n v="1113.2"/>
    <n v="156.965"/>
    <n v="102.164"/>
    <n v="110.33199999999999"/>
    <n v="123.515"/>
    <n v="2019.1"/>
    <n v="285.709"/>
    <n v="200.21799999999999"/>
    <n v="205.38499999999999"/>
    <n v="191.49"/>
    <n v="1.813780093424362"/>
    <n v="1.8202083266970344"/>
    <n v="1.9597705649739634"/>
    <n v="1.8615179639633108"/>
    <n v="1.5503380156256326"/>
    <n v="1.8460000000000001"/>
  </r>
  <r>
    <x v="51"/>
    <x v="0"/>
    <n v="41.182353999999997"/>
    <n v="8.7060339999999989"/>
    <n v="6.3035510000000006"/>
    <n v="6.8475000000000001"/>
    <n v="8.1889760000000003"/>
    <n v="11.136292999999998"/>
    <n v="33.373927999999999"/>
    <n v="7.3935040000000001"/>
    <n v="5.3099280000000002"/>
    <n v="5.9349959999999999"/>
    <n v="5.9225289999999999"/>
    <n v="8.812971000000001"/>
    <n v="57.398266999999997"/>
    <n v="6.4087079999999998"/>
    <n v="5.2460310000000003"/>
    <n v="4.9211770000000001"/>
    <n v="8.4349769999999999"/>
    <n v="32.387373999999994"/>
    <n v="10672.450999999999"/>
    <n v="1215.1193333333333"/>
    <n v="1200.1496666666667"/>
    <n v="1125.0643333333335"/>
    <n v="861.05633333333333"/>
    <n v="6271.0613333333322"/>
    <n v="1075.9000000000001"/>
    <n v="150.732"/>
    <n v="96.257999999999996"/>
    <n v="110.33199999999999"/>
    <n v="122.194"/>
    <n v="2082.1"/>
    <n v="297.529"/>
    <n v="194.35300000000001"/>
    <n v="205.38499999999999"/>
    <n v="195.01"/>
    <n v="1.9352170276047957"/>
    <n v="1.9738940636361224"/>
    <n v="2.0190841280724721"/>
    <n v="1.8615179639633108"/>
    <n v="1.5959048725796683"/>
    <n v="2.036"/>
  </r>
  <r>
    <x v="52"/>
    <x v="0"/>
    <n v="42.251949000000003"/>
    <n v="9.0349950000000003"/>
    <n v="6.343661"/>
    <n v="6.9590930000000002"/>
    <n v="8.4717850000000006"/>
    <n v="11.442415000000004"/>
    <n v="34.347245999999998"/>
    <n v="7.6496050000000002"/>
    <n v="5.2626520000000001"/>
    <n v="6.004346"/>
    <n v="6.2688740000000003"/>
    <n v="9.1617689999999961"/>
    <n v="59.285570999999997"/>
    <n v="6.6806789999999996"/>
    <n v="5.1427849999999999"/>
    <n v="5.0476179999999999"/>
    <n v="8.9299479999999996"/>
    <n v="33.484540999999993"/>
    <n v="10672.450999999999"/>
    <n v="1215.1193333333333"/>
    <n v="1200.1496666666667"/>
    <n v="1125.0643333333335"/>
    <n v="861.05633333333333"/>
    <n v="6271.0613333333322"/>
    <n v="1101.8"/>
    <n v="155.958"/>
    <n v="96.132000000000005"/>
    <n v="107.813"/>
    <n v="126"/>
    <n v="2248.1999999999998"/>
    <n v="314.21800000000002"/>
    <n v="214.096"/>
    <n v="225.27500000000001"/>
    <n v="207.17699999999999"/>
    <n v="2.0404792158286438"/>
    <n v="2.0147603842060042"/>
    <n v="2.2271043981192524"/>
    <n v="2.0894975559533635"/>
    <n v="1.6442619047619047"/>
    <n v="2.044"/>
  </r>
  <r>
    <x v="53"/>
    <x v="0"/>
    <n v="42.050184999999999"/>
    <n v="8.6354629999999997"/>
    <n v="6.7213919999999998"/>
    <n v="6.9387259999999999"/>
    <n v="8.3164180000000005"/>
    <n v="11.438186000000002"/>
    <n v="36.415069000000003"/>
    <n v="7.7667999999999999"/>
    <n v="5.969767"/>
    <n v="6.2546229999999996"/>
    <n v="6.8290870000000004"/>
    <n v="9.5947920000000018"/>
    <n v="61.493934000000003"/>
    <n v="6.7679080000000003"/>
    <n v="5.5698650000000001"/>
    <n v="5.136177"/>
    <n v="9.5244990000000005"/>
    <n v="34.495485000000002"/>
    <n v="10672.450999999999"/>
    <n v="1215.1193333333333"/>
    <n v="1200.1496666666667"/>
    <n v="1125.0643333333335"/>
    <n v="861.05633333333333"/>
    <n v="6271.0613333333322"/>
    <n v="1114.5"/>
    <n v="153.14400000000001"/>
    <n v="103.785"/>
    <n v="108.85299999999999"/>
    <n v="126.246"/>
    <n v="2255.3000000000002"/>
    <n v="301.74099999999999"/>
    <n v="230.86"/>
    <n v="231.91800000000001"/>
    <n v="203.215"/>
    <n v="2.0235980260206374"/>
    <n v="1.9703089902314159"/>
    <n v="2.2244062244062248"/>
    <n v="2.130561399318347"/>
    <n v="1.6096747619726566"/>
    <n v="2.0990000000000002"/>
  </r>
  <r>
    <x v="54"/>
    <x v="0"/>
    <n v="44.071381000000002"/>
    <n v="9.0411399999999986"/>
    <n v="7.0523950000000006"/>
    <n v="7.2253819999999997"/>
    <n v="8.6516419999999989"/>
    <n v="12.100822000000004"/>
    <n v="38.087899999999998"/>
    <n v="8.1019860000000001"/>
    <n v="6.3195040000000002"/>
    <n v="6.3693499999999998"/>
    <n v="7.0498320000000003"/>
    <n v="10.247228"/>
    <n v="63.457402999999999"/>
    <n v="7.0274799999999997"/>
    <n v="5.7658240000000003"/>
    <n v="5.1658140000000001"/>
    <n v="9.6578169999999997"/>
    <n v="35.840468000000001"/>
    <n v="10763.897333333332"/>
    <n v="1195.3396666666665"/>
    <n v="1204.5913333333333"/>
    <n v="1182.6443333333334"/>
    <n v="862.67266666666671"/>
    <n v="6318.6493333333328"/>
    <n v="1143.2"/>
    <n v="155.477"/>
    <n v="109.104"/>
    <n v="112.938"/>
    <n v="130.95500000000001"/>
    <n v="2391.1999999999998"/>
    <n v="324.755"/>
    <n v="245.87299999999999"/>
    <n v="249.999"/>
    <n v="221.98500000000001"/>
    <n v="2.0916724982505248"/>
    <n v="2.0887655408838603"/>
    <n v="2.2535654054846752"/>
    <n v="2.2135950698613396"/>
    <n v="1.6951242793325951"/>
    <n v="2.137"/>
  </r>
  <r>
    <x v="55"/>
    <x v="0"/>
    <n v="44.135081"/>
    <n v="9.0632409999999997"/>
    <n v="7.014043"/>
    <n v="7.268243"/>
    <n v="8.7432119999999998"/>
    <n v="12.046342000000003"/>
    <n v="37.484068999999998"/>
    <n v="7.8722209999999997"/>
    <n v="6.1688210000000003"/>
    <n v="6.3705980000000002"/>
    <n v="6.9961460000000004"/>
    <n v="10.076282999999997"/>
    <n v="62.660178999999999"/>
    <n v="6.7859980000000002"/>
    <n v="5.6413200000000003"/>
    <n v="5.157349"/>
    <n v="9.6053420000000003"/>
    <n v="35.470169999999996"/>
    <n v="10763.897333333332"/>
    <n v="1195.3396666666665"/>
    <n v="1204.5913333333333"/>
    <n v="1182.6443333333334"/>
    <n v="862.67266666666671"/>
    <n v="6318.6493333333328"/>
    <n v="1157.2"/>
    <n v="158.21"/>
    <n v="108.13200000000001"/>
    <n v="114.733"/>
    <n v="131.02799999999999"/>
    <n v="2455.4"/>
    <n v="334.27499999999998"/>
    <n v="248.34200000000001"/>
    <n v="255.01"/>
    <n v="229.45599999999999"/>
    <n v="2.1218458347735916"/>
    <n v="2.1128563301940457"/>
    <n v="2.2966559390374726"/>
    <n v="2.2226386479914235"/>
    <n v="1.7511982171749549"/>
    <n v="2.0920000000000001"/>
  </r>
  <r>
    <x v="56"/>
    <x v="0"/>
    <n v="40.750652000000002"/>
    <n v="8.620279"/>
    <n v="6.3061210000000001"/>
    <n v="6.4306530000000004"/>
    <n v="8.3327770000000001"/>
    <n v="11.060822000000002"/>
    <n v="30.623201000000002"/>
    <n v="6.7386229999999996"/>
    <n v="4.9264080000000003"/>
    <n v="5.1079239999999997"/>
    <n v="5.6414920000000004"/>
    <n v="8.2087540000000025"/>
    <n v="52.310402000000003"/>
    <n v="5.8598710000000001"/>
    <n v="4.6922300000000003"/>
    <n v="4.297104"/>
    <n v="7.9794539999999996"/>
    <n v="29.481743000000002"/>
    <n v="10763.897333333332"/>
    <n v="1195.3396666666665"/>
    <n v="1204.5913333333333"/>
    <n v="1182.6443333333334"/>
    <n v="862.67266666666671"/>
    <n v="6318.6493333333328"/>
    <n v="1038.4000000000001"/>
    <n v="147.28100000000001"/>
    <n v="95.87"/>
    <n v="100.009"/>
    <n v="125.80500000000001"/>
    <n v="2183.8000000000002"/>
    <n v="297.887"/>
    <n v="214.77500000000001"/>
    <n v="224.363"/>
    <n v="207.08799999999999"/>
    <n v="2.1030431432973806"/>
    <n v="2.02257589234185"/>
    <n v="2.2402732867424637"/>
    <n v="2.2434280914717677"/>
    <n v="1.6461030960613647"/>
    <n v="2.2650000000000001"/>
  </r>
  <r>
    <x v="57"/>
    <x v="0"/>
    <n v="42.250574"/>
    <n v="9.0298420000000004"/>
    <n v="6.5386580000000007"/>
    <n v="6.7489859999999995"/>
    <n v="8.5663719999999994"/>
    <n v="11.366716000000004"/>
    <n v="32.951782000000001"/>
    <n v="7.3726760000000002"/>
    <n v="5.2838260000000004"/>
    <n v="5.5355400000000001"/>
    <n v="6.0347660000000003"/>
    <n v="8.7249739999999996"/>
    <n v="57.208618000000001"/>
    <n v="6.4793789999999998"/>
    <n v="5.2181709999999999"/>
    <n v="4.6876620000000004"/>
    <n v="8.5240109999999998"/>
    <n v="32.299395000000004"/>
    <n v="10459.789333333332"/>
    <n v="1164.2176666666667"/>
    <n v="1118.6843333333334"/>
    <n v="1044.5296666666666"/>
    <n v="830.67966666666678"/>
    <n v="6301.677999999999"/>
    <n v="1092"/>
    <n v="155.619"/>
    <n v="100.697"/>
    <n v="105.33799999999999"/>
    <n v="127.93"/>
    <n v="2404.1"/>
    <n v="338.714"/>
    <n v="244.773"/>
    <n v="245.28299999999999"/>
    <n v="223.71700000000001"/>
    <n v="2.2015567765567763"/>
    <n v="2.1765594175518412"/>
    <n v="2.4307874117401709"/>
    <n v="2.3285329130987868"/>
    <n v="1.7487454076448057"/>
    <n v="2.3719999999999999"/>
  </r>
  <r>
    <x v="58"/>
    <x v="0"/>
    <n v="40.989021999999999"/>
    <n v="8.7078150000000001"/>
    <n v="6.3766930000000004"/>
    <n v="6.4418940000000005"/>
    <n v="8.2904410000000013"/>
    <n v="11.172178999999996"/>
    <n v="31.622171999999999"/>
    <n v="7.1556860000000002"/>
    <n v="4.9627590000000001"/>
    <n v="5.1847830000000004"/>
    <n v="5.7430159999999999"/>
    <n v="8.5759279999999976"/>
    <n v="55.047116000000003"/>
    <n v="6.2794150000000002"/>
    <n v="4.907762"/>
    <n v="4.3451019999999998"/>
    <n v="8.2717949999999991"/>
    <n v="31.243042000000003"/>
    <n v="10459.789333333332"/>
    <n v="1164.2176666666667"/>
    <n v="1118.6843333333334"/>
    <n v="1044.5296666666666"/>
    <n v="830.67966666666678"/>
    <n v="6301.677999999999"/>
    <n v="1047.5"/>
    <n v="148.64699999999999"/>
    <n v="96.754999999999995"/>
    <n v="98.94"/>
    <n v="122.78"/>
    <n v="2541.9"/>
    <n v="329.87099999999998"/>
    <n v="266.77"/>
    <n v="253.31100000000001"/>
    <n v="220.953"/>
    <n v="2.4266348448687354"/>
    <n v="2.2191567942844457"/>
    <n v="2.75717017208413"/>
    <n v="2.5602486355366891"/>
    <n v="1.799584622902753"/>
    <n v="2.673"/>
  </r>
  <r>
    <x v="59"/>
    <x v="0"/>
    <n v="41.526955999999998"/>
    <n v="8.7660110000000007"/>
    <n v="6.389176"/>
    <n v="6.5390459999999999"/>
    <n v="8.4050319999999985"/>
    <n v="11.427690999999999"/>
    <n v="31.198207"/>
    <n v="6.9442940000000002"/>
    <n v="4.9495360000000002"/>
    <n v="5.0856830000000004"/>
    <n v="5.7290619999999999"/>
    <n v="8.4896320000000003"/>
    <n v="53.291139000000001"/>
    <n v="6.0789650000000002"/>
    <n v="4.7405160000000004"/>
    <n v="4.132676"/>
    <n v="8.0798930000000002"/>
    <n v="30.259089000000003"/>
    <n v="10459.789333333332"/>
    <n v="1164.2176666666667"/>
    <n v="1118.6843333333334"/>
    <n v="1044.5296666666666"/>
    <n v="830.67966666666678"/>
    <n v="6301.677999999999"/>
    <n v="1083"/>
    <n v="152.071"/>
    <n v="97.738"/>
    <n v="100.922"/>
    <n v="125.02200000000001"/>
    <n v="2699.9"/>
    <n v="339.23099999999999"/>
    <n v="279.57799999999997"/>
    <n v="269.07299999999998"/>
    <n v="257.77"/>
    <n v="2.4929824561403509"/>
    <n v="2.2307409039198793"/>
    <n v="2.86048415150709"/>
    <n v="2.6661481143853667"/>
    <n v="2.0617971237062274"/>
    <n v="2.601"/>
  </r>
  <r>
    <x v="60"/>
    <x v="0"/>
    <n v="40.812545"/>
    <n v="8.7180020000000003"/>
    <n v="6.1089570000000002"/>
    <n v="6.1593599999999995"/>
    <n v="8.5497739999999993"/>
    <n v="11.276451999999999"/>
    <n v="29.513598999999999"/>
    <n v="6.7023380000000001"/>
    <n v="4.6485659999999998"/>
    <n v="4.6429150000000003"/>
    <n v="5.4857550000000002"/>
    <n v="8.0340249999999997"/>
    <n v="50.245100000000001"/>
    <n v="5.8508930000000001"/>
    <n v="4.4474140000000002"/>
    <n v="3.814616"/>
    <n v="7.6543369999999999"/>
    <n v="28.47784"/>
    <n v="10469.433999999999"/>
    <n v="1154.5143333333333"/>
    <n v="1138.4866666666667"/>
    <n v="988.29100000000005"/>
    <n v="843.20066666666662"/>
    <n v="6344.9413333333323"/>
    <n v="1071.5999999999999"/>
    <n v="149.79"/>
    <n v="93.521000000000001"/>
    <n v="95.135999999999996"/>
    <n v="126.111"/>
    <n v="2747.8"/>
    <n v="396.51"/>
    <n v="267.87599999999998"/>
    <n v="262.18599999999998"/>
    <n v="232.172"/>
    <n v="2.5642030608435986"/>
    <n v="2.6471059483276589"/>
    <n v="2.864340629377359"/>
    <n v="2.7559073326606121"/>
    <n v="1.8410130757824454"/>
    <n v="2.605"/>
  </r>
  <r>
    <x v="61"/>
    <x v="0"/>
    <n v="38.357489000000001"/>
    <n v="7.9653850000000004"/>
    <n v="5.8402790000000007"/>
    <n v="6.0173350000000001"/>
    <n v="7.9087520000000007"/>
    <n v="10.625738000000002"/>
    <n v="28.878281999999999"/>
    <n v="6.2904850000000003"/>
    <n v="4.5471700000000004"/>
    <n v="4.6272830000000003"/>
    <n v="5.4279229999999998"/>
    <n v="7.9854209999999952"/>
    <n v="50.118363000000002"/>
    <n v="5.5318290000000001"/>
    <n v="4.4573130000000001"/>
    <n v="3.8538860000000001"/>
    <n v="7.7446200000000003"/>
    <n v="28.530715000000001"/>
    <n v="10469.433999999999"/>
    <n v="1154.5143333333333"/>
    <n v="1138.4866666666667"/>
    <n v="988.29100000000005"/>
    <n v="843.20066666666662"/>
    <n v="6344.9413333333323"/>
    <n v="1025.7"/>
    <n v="137.84800000000001"/>
    <n v="89.706000000000003"/>
    <n v="92.754999999999995"/>
    <n v="117.68899999999999"/>
    <n v="2613.4"/>
    <n v="332.90899999999999"/>
    <n v="252.768"/>
    <n v="257.25799999999998"/>
    <n v="232.81200000000001"/>
    <n v="2.5479184946865554"/>
    <n v="2.415044106552144"/>
    <n v="2.8177379439502372"/>
    <n v="2.7735216430381109"/>
    <n v="1.978196772850479"/>
    <n v="2.7280000000000002"/>
  </r>
  <r>
    <x v="62"/>
    <x v="0"/>
    <n v="42.262272000000003"/>
    <n v="8.4880639999999996"/>
    <n v="6.4278089999999999"/>
    <n v="6.8312179999999998"/>
    <n v="8.7377570000000002"/>
    <n v="11.777424000000003"/>
    <n v="34.639294"/>
    <n v="7.2316399999999996"/>
    <n v="5.5270339999999996"/>
    <n v="5.6987949999999996"/>
    <n v="6.679996"/>
    <n v="9.5018290000000007"/>
    <n v="59.213076999999998"/>
    <n v="6.3375110000000001"/>
    <n v="5.3882589999999997"/>
    <n v="4.6962229999999998"/>
    <n v="9.3096580000000007"/>
    <n v="33.481425999999999"/>
    <n v="10469.433999999999"/>
    <n v="1154.5143333333333"/>
    <n v="1138.4866666666667"/>
    <n v="988.29100000000005"/>
    <n v="843.20066666666662"/>
    <n v="6344.9413333333323"/>
    <n v="1117.9000000000001"/>
    <n v="146.904"/>
    <n v="98.986999999999995"/>
    <n v="104.285"/>
    <n v="129.20400000000001"/>
    <n v="3197"/>
    <n v="388.91"/>
    <n v="301.51299999999998"/>
    <n v="323.315"/>
    <n v="285.53199999999998"/>
    <n v="2.8598264603273993"/>
    <n v="2.6473751565648316"/>
    <n v="3.0459858365239878"/>
    <n v="3.1003020568634034"/>
    <n v="2.2099315810656015"/>
    <n v="3.1240000000000001"/>
  </r>
  <r>
    <x v="63"/>
    <x v="0"/>
    <n v="40.594997999999997"/>
    <n v="8.2111420000000006"/>
    <n v="5.9762899999999997"/>
    <n v="6.3834219999999995"/>
    <n v="8.6261550000000007"/>
    <n v="11.397988999999995"/>
    <n v="32.351551000000001"/>
    <n v="6.7788979999999999"/>
    <n v="5.0450390000000001"/>
    <n v="5.3583109999999996"/>
    <n v="6.261889"/>
    <n v="8.9074139999999993"/>
    <n v="55.611052999999998"/>
    <n v="5.8479669999999997"/>
    <n v="4.9320959999999996"/>
    <n v="4.4713279999999997"/>
    <n v="8.7943979999999993"/>
    <n v="31.565263999999999"/>
    <n v="11414.904666666667"/>
    <n v="1252.297"/>
    <n v="1220.9460000000001"/>
    <n v="1137.7863333333332"/>
    <n v="956.38666666666666"/>
    <n v="6847.4886666666671"/>
    <n v="1059.5999999999999"/>
    <n v="137.226"/>
    <n v="90.558999999999997"/>
    <n v="98.534999999999997"/>
    <n v="126.29300000000001"/>
    <n v="3143.8"/>
    <n v="365.84199999999998"/>
    <n v="282.25700000000001"/>
    <n v="331.245"/>
    <n v="267.524"/>
    <n v="2.9669686674216691"/>
    <n v="2.6659816652820894"/>
    <n v="3.1168299119910778"/>
    <n v="3.3616988887197445"/>
    <n v="2.1182805064413706"/>
    <n v="3.3650000000000002"/>
  </r>
  <r>
    <x v="64"/>
    <x v="0"/>
    <n v="41.784593000000001"/>
    <n v="8.8468529999999994"/>
    <n v="5.8790449999999996"/>
    <n v="6.562811"/>
    <n v="8.9149899999999995"/>
    <n v="11.580894000000004"/>
    <n v="33.808556000000003"/>
    <n v="7.4117670000000002"/>
    <n v="5.025328"/>
    <n v="5.5556729999999996"/>
    <n v="6.6732129999999996"/>
    <n v="9.1425750000000043"/>
    <n v="58.047400000000003"/>
    <n v="6.4915589999999996"/>
    <n v="4.8813409999999999"/>
    <n v="4.6512229999999999"/>
    <n v="9.3048339999999996"/>
    <n v="32.718443000000008"/>
    <n v="11414.904666666667"/>
    <n v="1252.297"/>
    <n v="1220.9460000000001"/>
    <n v="1137.7863333333332"/>
    <n v="956.38666666666666"/>
    <n v="6847.4886666666671"/>
    <n v="1087.7"/>
    <n v="151.321"/>
    <n v="88.528000000000006"/>
    <n v="102.09699999999999"/>
    <n v="131.095"/>
    <n v="3465.6"/>
    <n v="435.60300000000001"/>
    <n v="281.64"/>
    <n v="366.25299999999999"/>
    <n v="290.98399999999998"/>
    <n v="3.1861726579019947"/>
    <n v="2.8786685258490232"/>
    <n v="3.1813663473703233"/>
    <n v="3.587304230290802"/>
    <n v="2.219642244174072"/>
    <n v="3.738"/>
  </r>
  <r>
    <x v="65"/>
    <x v="0"/>
    <n v="41.909030000000001"/>
    <n v="8.4137389999999996"/>
    <n v="6.2926139999999995"/>
    <n v="6.7692449999999997"/>
    <n v="8.7962860000000003"/>
    <n v="11.637146000000001"/>
    <n v="35.269691000000002"/>
    <n v="7.4228100000000001"/>
    <n v="5.5693060000000001"/>
    <n v="5.955533"/>
    <n v="6.878063"/>
    <n v="9.4439790000000023"/>
    <n v="59.559170999999999"/>
    <n v="6.5371759999999997"/>
    <n v="5.2226309999999998"/>
    <n v="4.862311"/>
    <n v="9.4517249999999997"/>
    <n v="33.485327999999996"/>
    <n v="11414.904666666667"/>
    <n v="1252.297"/>
    <n v="1220.9460000000001"/>
    <n v="1137.7863333333332"/>
    <n v="956.38666666666666"/>
    <n v="6847.4886666666671"/>
    <n v="1094.8"/>
    <n v="145.339"/>
    <n v="96.100999999999999"/>
    <n v="106.123"/>
    <n v="130.482"/>
    <n v="3717.1"/>
    <n v="454.41800000000001"/>
    <n v="310.64999999999998"/>
    <n v="409.40899999999999"/>
    <n v="329.84399999999999"/>
    <n v="3.3952320058458167"/>
    <n v="3.1266074487921345"/>
    <n v="3.2325366021165229"/>
    <n v="3.8578724687391044"/>
    <n v="2.5278889042166734"/>
    <n v="3.8780000000000001"/>
  </r>
  <r>
    <x v="66"/>
    <x v="0"/>
    <n v="43.551172000000001"/>
    <n v="8.7896590000000003"/>
    <n v="6.5177149999999999"/>
    <n v="7.0121180000000001"/>
    <n v="9.0291530000000009"/>
    <n v="12.202527"/>
    <n v="36.524695999999999"/>
    <n v="7.7050850000000004"/>
    <n v="5.8877499999999996"/>
    <n v="6.0702249999999998"/>
    <n v="6.8858290000000002"/>
    <n v="9.9758069999999961"/>
    <n v="61.401479999999999"/>
    <n v="6.7507380000000001"/>
    <n v="5.4893080000000003"/>
    <n v="4.9051030000000004"/>
    <n v="9.3629230000000003"/>
    <n v="34.893408000000001"/>
    <n v="11353.362333333333"/>
    <n v="1232.4179999999999"/>
    <n v="1184.1733333333334"/>
    <n v="1191.42"/>
    <n v="963.50566666666657"/>
    <n v="6781.8453333333327"/>
    <n v="1133"/>
    <n v="150.11500000000001"/>
    <n v="99.003"/>
    <n v="108.645"/>
    <n v="132.512"/>
    <n v="4184.2"/>
    <n v="506.71100000000001"/>
    <n v="353.10500000000002"/>
    <n v="433.50700000000001"/>
    <n v="344.43799999999999"/>
    <n v="3.693027360988526"/>
    <n v="3.3754854611464542"/>
    <n v="3.5666090926537581"/>
    <n v="3.9901237976897237"/>
    <n v="2.5992966674716249"/>
    <n v="3.8860000000000001"/>
  </r>
  <r>
    <x v="67"/>
    <x v="0"/>
    <n v="42.678379"/>
    <n v="8.8166640000000012"/>
    <n v="6.2605320000000004"/>
    <n v="6.8746540000000005"/>
    <n v="8.8828979999999991"/>
    <n v="11.843631000000002"/>
    <n v="35.292515999999999"/>
    <n v="7.4534789999999997"/>
    <n v="5.5757139999999996"/>
    <n v="5.9348989999999997"/>
    <n v="6.6306440000000002"/>
    <n v="9.6977799999999981"/>
    <n v="58.966473000000001"/>
    <n v="6.4064490000000003"/>
    <n v="5.2059749999999996"/>
    <n v="4.8540580000000002"/>
    <n v="8.9702470000000005"/>
    <n v="33.529744000000001"/>
    <n v="11353.362333333333"/>
    <n v="1232.4179999999999"/>
    <n v="1184.1733333333334"/>
    <n v="1191.42"/>
    <n v="963.50566666666657"/>
    <n v="6781.8453333333327"/>
    <n v="1101.5"/>
    <n v="149.54499999999999"/>
    <n v="95.831000000000003"/>
    <n v="106.378"/>
    <n v="130.13200000000001"/>
    <n v="3747"/>
    <n v="508.78899999999999"/>
    <n v="336.73200000000003"/>
    <n v="396.89499999999998"/>
    <n v="334.78"/>
    <n v="3.4017249205628688"/>
    <n v="3.4022468153398644"/>
    <n v="3.5138107710448603"/>
    <n v="3.7309876102201582"/>
    <n v="2.572618571911597"/>
    <n v="3.2709999999999999"/>
  </r>
  <r>
    <x v="68"/>
    <x v="0"/>
    <n v="37.413677999999997"/>
    <n v="7.7926479999999998"/>
    <n v="5.5568050000000007"/>
    <n v="5.7192550000000004"/>
    <n v="8.3772659999999988"/>
    <n v="9.9677039999999977"/>
    <n v="28.119834999999998"/>
    <n v="5.9580489999999999"/>
    <n v="4.6356010000000003"/>
    <n v="4.6319480000000004"/>
    <n v="5.3078969999999996"/>
    <n v="7.5863399999999963"/>
    <n v="47.680101000000001"/>
    <n v="5.241968"/>
    <n v="4.5868659999999997"/>
    <n v="3.9738259999999999"/>
    <n v="7.3530110000000004"/>
    <n v="26.524430000000002"/>
    <n v="11353.362333333333"/>
    <n v="1232.4179999999999"/>
    <n v="1184.1733333333334"/>
    <n v="1191.42"/>
    <n v="963.50566666666657"/>
    <n v="6781.8453333333327"/>
    <n v="925.3"/>
    <n v="131.916"/>
    <n v="83.738"/>
    <n v="87.974000000000004"/>
    <n v="119.703"/>
    <n v="3083.8"/>
    <n v="410.75900000000001"/>
    <n v="284.99299999999999"/>
    <n v="302.88600000000002"/>
    <n v="315.61399999999998"/>
    <n v="3.3327569436939375"/>
    <n v="3.1137921101306896"/>
    <n v="3.4033891423248703"/>
    <n v="3.4429035851501579"/>
    <n v="2.6366423564990016"/>
    <n v="3.375"/>
  </r>
  <r>
    <x v="69"/>
    <x v="0"/>
    <n v="38.865969999999997"/>
    <n v="8.0808669999999996"/>
    <n v="5.8071189999999993"/>
    <n v="5.8712790000000004"/>
    <n v="8.8129100000000005"/>
    <n v="10.293794999999996"/>
    <n v="30.715078999999999"/>
    <n v="6.5244470000000003"/>
    <n v="4.9493239999999998"/>
    <n v="4.955597"/>
    <n v="6.2080869999999999"/>
    <n v="8.0776240000000001"/>
    <n v="52.956023000000002"/>
    <n v="5.8543209999999997"/>
    <n v="5.11876"/>
    <n v="4.2467560000000004"/>
    <n v="8.5625619999999998"/>
    <n v="29.173624"/>
    <n v="10005.075999999999"/>
    <n v="1074.3663333333334"/>
    <n v="1081.8709999999999"/>
    <n v="976.15933333333339"/>
    <n v="911.32133333333331"/>
    <n v="5961.3579999999984"/>
    <n v="968.3"/>
    <n v="136.113"/>
    <n v="88.415000000000006"/>
    <n v="90.174999999999997"/>
    <n v="127.187"/>
    <n v="3088.5"/>
    <n v="400.67099999999999"/>
    <n v="337.255"/>
    <n v="268.67700000000002"/>
    <n v="353.18200000000002"/>
    <n v="3.1896106578539709"/>
    <n v="2.9436644552687841"/>
    <n v="3.814454560877679"/>
    <n v="2.9795065151095095"/>
    <n v="2.7768718501104677"/>
    <n v="2.3149999999999999"/>
  </r>
  <r>
    <x v="70"/>
    <x v="0"/>
    <n v="36.751654000000002"/>
    <n v="7.3696589999999995"/>
    <n v="5.6157309999999994"/>
    <n v="5.338991"/>
    <n v="8.3259969999999992"/>
    <n v="10.101276000000006"/>
    <n v="27.499434000000001"/>
    <n v="5.7677690000000004"/>
    <n v="4.576206"/>
    <n v="4.2404460000000004"/>
    <n v="5.2636459999999996"/>
    <n v="7.6513670000000005"/>
    <n v="47.658141000000001"/>
    <n v="5.1308730000000002"/>
    <n v="4.7240900000000003"/>
    <n v="3.5509469999999999"/>
    <n v="7.4474539999999996"/>
    <n v="26.804776999999998"/>
    <n v="10005.075999999999"/>
    <n v="1074.3663333333334"/>
    <n v="1081.8709999999999"/>
    <n v="976.15933333333339"/>
    <n v="911.32133333333331"/>
    <n v="5961.3579999999984"/>
    <n v="909.1"/>
    <n v="125.383"/>
    <n v="84.587999999999994"/>
    <n v="80.293000000000006"/>
    <n v="118.697"/>
    <n v="2276.1999999999998"/>
    <n v="331.94400000000002"/>
    <n v="272.07600000000002"/>
    <n v="202.15100000000001"/>
    <n v="277.10300000000001"/>
    <n v="2.5037949620503794"/>
    <n v="2.6474402430951565"/>
    <n v="3.2164846077457798"/>
    <n v="2.5176665462742704"/>
    <n v="2.3345408898287237"/>
    <n v="1.88"/>
  </r>
  <r>
    <x v="71"/>
    <x v="0"/>
    <n v="37.928798999999998"/>
    <n v="7.7109059999999996"/>
    <n v="5.8031310000000005"/>
    <n v="5.6274560000000005"/>
    <n v="8.3190519999999992"/>
    <n v="10.468253999999998"/>
    <n v="29.719971000000001"/>
    <n v="6.2695559999999997"/>
    <n v="4.8663650000000001"/>
    <n v="4.6016279999999998"/>
    <n v="5.7948630000000003"/>
    <n v="8.1875590000000003"/>
    <n v="50.253799999999998"/>
    <n v="5.5575549999999998"/>
    <n v="4.8222699999999996"/>
    <n v="3.781104"/>
    <n v="7.9648289999999999"/>
    <n v="28.128042000000001"/>
    <n v="10005.075999999999"/>
    <n v="1074.3663333333334"/>
    <n v="1081.8709999999999"/>
    <n v="976.15933333333339"/>
    <n v="911.32133333333331"/>
    <n v="5961.3579999999984"/>
    <n v="975"/>
    <n v="133.66800000000001"/>
    <n v="88.224000000000004"/>
    <n v="86.822000000000003"/>
    <n v="121.705"/>
    <n v="1930.6"/>
    <n v="288.12"/>
    <n v="236.75200000000001"/>
    <n v="163.988"/>
    <n v="246.941"/>
    <n v="1.980102564102564"/>
    <n v="2.1554897208007899"/>
    <n v="2.6835328255350017"/>
    <n v="1.8887839487687452"/>
    <n v="2.0290127767963519"/>
    <n v="1.375"/>
  </r>
  <r>
    <x v="72"/>
    <x v="0"/>
    <n v="37.320194999999998"/>
    <n v="7.6867730000000005"/>
    <n v="5.7028159999999994"/>
    <n v="5.3900959999999998"/>
    <n v="8.1732399999999998"/>
    <n v="10.367269999999998"/>
    <n v="26.872243999999998"/>
    <n v="5.758311"/>
    <n v="4.4490639999999999"/>
    <n v="4.1703869999999998"/>
    <n v="5.1357860000000004"/>
    <n v="7.3586959999999983"/>
    <n v="44.825055999999996"/>
    <n v="5.0467940000000002"/>
    <n v="4.3514629999999999"/>
    <n v="3.3793709999999999"/>
    <n v="6.9935660000000004"/>
    <n v="25.053861999999995"/>
    <n v="8727.7953333333335"/>
    <n v="963.41466666666668"/>
    <n v="991.70433333333324"/>
    <n v="812.30633333333333"/>
    <n v="785.52433333333329"/>
    <n v="5174.8456666666671"/>
    <n v="922.1"/>
    <n v="130.72300000000001"/>
    <n v="85.837999999999994"/>
    <n v="82.126999999999995"/>
    <n v="117.23099999999999"/>
    <n v="1620.4"/>
    <n v="256.80900000000003"/>
    <n v="243.91900000000001"/>
    <n v="141.76900000000001"/>
    <n v="236.98400000000001"/>
    <n v="1.7572931352347902"/>
    <n v="1.9645280478569189"/>
    <n v="2.8416202614226802"/>
    <n v="1.7262167131394062"/>
    <n v="2.0215130810109954"/>
    <n v="1.4690000000000001"/>
  </r>
  <r>
    <x v="73"/>
    <x v="0"/>
    <n v="34.397255999999999"/>
    <n v="6.9691710000000002"/>
    <n v="5.1664750000000002"/>
    <n v="5.1569309999999993"/>
    <n v="7.3920290000000008"/>
    <n v="9.7126499999999965"/>
    <n v="25.746207999999999"/>
    <n v="5.4235949999999997"/>
    <n v="4.067939"/>
    <n v="3.9896820000000002"/>
    <n v="5.1048090000000004"/>
    <n v="7.160183"/>
    <n v="43.680328000000003"/>
    <n v="4.8171780000000002"/>
    <n v="4.0125820000000001"/>
    <n v="3.260853"/>
    <n v="7.0680379999999996"/>
    <n v="24.521677000000004"/>
    <n v="8727.7953333333335"/>
    <n v="963.41466666666668"/>
    <n v="991.70433333333324"/>
    <n v="812.30633333333333"/>
    <n v="785.52433333333329"/>
    <n v="5174.8456666666671"/>
    <n v="849.6"/>
    <n v="118.453"/>
    <n v="77.153999999999996"/>
    <n v="77.381"/>
    <n v="106.75"/>
    <n v="1567.3"/>
    <n v="256.81799999999998"/>
    <n v="238.45500000000001"/>
    <n v="121.709"/>
    <n v="213.411"/>
    <n v="1.8447504708097928"/>
    <n v="2.1681004280178633"/>
    <n v="3.0906369080021778"/>
    <n v="1.5728538013207376"/>
    <n v="1.9991662763466043"/>
    <n v="1.2589999999999999"/>
  </r>
  <r>
    <x v="74"/>
    <x v="0"/>
    <n v="39.285454000000001"/>
    <n v="7.776516"/>
    <n v="5.8330079999999995"/>
    <n v="6.0076340000000004"/>
    <n v="8.6084680000000002"/>
    <n v="11.059828000000003"/>
    <n v="31.730671999999998"/>
    <n v="6.463616"/>
    <n v="4.8554649999999997"/>
    <n v="4.9907009999999996"/>
    <n v="6.6523250000000003"/>
    <n v="8.7685649999999988"/>
    <n v="53.534891000000002"/>
    <n v="5.7883079999999998"/>
    <n v="4.7319139999999997"/>
    <n v="4.0832790000000001"/>
    <n v="8.9883860000000002"/>
    <n v="29.943004000000002"/>
    <n v="8727.7953333333335"/>
    <n v="963.41466666666668"/>
    <n v="991.70433333333324"/>
    <n v="812.30633333333333"/>
    <n v="785.52433333333329"/>
    <n v="5174.8456666666671"/>
    <n v="966.3"/>
    <n v="133.762"/>
    <n v="87.512"/>
    <n v="89.903000000000006"/>
    <n v="125.22799999999999"/>
    <n v="1587"/>
    <n v="260.30799999999999"/>
    <n v="242.91800000000001"/>
    <n v="127.917"/>
    <n v="212.45699999999999"/>
    <n v="1.6423470971747904"/>
    <n v="1.9460534381961991"/>
    <n v="2.7758250297102114"/>
    <n v="1.4228334983259734"/>
    <n v="1.6965614718752995"/>
    <n v="1.268"/>
  </r>
  <r>
    <x v="75"/>
    <x v="0"/>
    <n v="37.774853999999998"/>
    <n v="7.5246760000000004"/>
    <n v="5.5382470000000001"/>
    <n v="5.5788199999999994"/>
    <n v="8.4642199999999992"/>
    <n v="10.668890999999995"/>
    <n v="30.829416999999999"/>
    <n v="6.3628159999999996"/>
    <n v="4.7173119999999997"/>
    <n v="4.7616100000000001"/>
    <n v="6.5183470000000003"/>
    <n v="8.4693320000000014"/>
    <n v="52.247781000000003"/>
    <n v="5.5988300000000004"/>
    <n v="4.6730099999999997"/>
    <n v="3.8349340000000001"/>
    <n v="8.8145039999999995"/>
    <n v="29.326503000000002"/>
    <n v="9123.146999999999"/>
    <n v="1000.5479999999999"/>
    <n v="1027.0283333333334"/>
    <n v="897.2736666666666"/>
    <n v="871.98799999999994"/>
    <n v="5326.3089999999993"/>
    <n v="935.7"/>
    <n v="129.672"/>
    <n v="83.91"/>
    <n v="83.915999999999997"/>
    <n v="122.815"/>
    <n v="1629.3"/>
    <n v="254.37899999999999"/>
    <n v="219.00399999999999"/>
    <n v="128.76400000000001"/>
    <n v="217.21799999999999"/>
    <n v="1.741263225392754"/>
    <n v="1.9617110864334628"/>
    <n v="2.6099868907162436"/>
    <n v="1.5344392011058678"/>
    <n v="1.7686601799454464"/>
    <n v="1.369"/>
  </r>
  <r>
    <x v="76"/>
    <x v="0"/>
    <n v="38.491123999999999"/>
    <n v="7.7302270000000002"/>
    <n v="5.498742"/>
    <n v="5.6403720000000002"/>
    <n v="8.6256599999999999"/>
    <n v="10.996123000000001"/>
    <n v="31.095268000000001"/>
    <n v="6.4232399999999998"/>
    <n v="4.745393"/>
    <n v="4.8035129999999997"/>
    <n v="6.434844"/>
    <n v="8.6882780000000004"/>
    <n v="52.951245999999998"/>
    <n v="5.6593850000000003"/>
    <n v="4.695195"/>
    <n v="3.905735"/>
    <n v="8.6858249999999995"/>
    <n v="30.005105999999998"/>
    <n v="9123.146999999999"/>
    <n v="1000.5479999999999"/>
    <n v="1027.0283333333334"/>
    <n v="897.2736666666666"/>
    <n v="871.98799999999994"/>
    <n v="5326.3089999999993"/>
    <n v="949.3"/>
    <n v="132.36799999999999"/>
    <n v="84.397000000000006"/>
    <n v="85.614000000000004"/>
    <n v="124.694"/>
    <n v="1648.6"/>
    <n v="254.14"/>
    <n v="212.18600000000001"/>
    <n v="133.04599999999999"/>
    <n v="223.79300000000001"/>
    <n v="1.7366480564626567"/>
    <n v="1.9199504411942463"/>
    <n v="2.5141414979205421"/>
    <n v="1.5540215385334173"/>
    <n v="1.7947375174426998"/>
    <n v="1.488"/>
  </r>
  <r>
    <x v="77"/>
    <x v="0"/>
    <n v="38.931781999999998"/>
    <n v="7.5097459999999998"/>
    <n v="5.7093860000000003"/>
    <n v="5.9503219999999999"/>
    <n v="8.4651650000000007"/>
    <n v="11.297162999999998"/>
    <n v="33.135142999999999"/>
    <n v="6.654782"/>
    <n v="5.1078200000000002"/>
    <n v="5.297987"/>
    <n v="6.7317539999999996"/>
    <n v="9.3428000000000004"/>
    <n v="55.898026999999999"/>
    <n v="5.901624"/>
    <n v="4.881087"/>
    <n v="4.2135290000000003"/>
    <n v="9.0051089999999991"/>
    <n v="31.896678000000001"/>
    <n v="9123.146999999999"/>
    <n v="1000.5479999999999"/>
    <n v="1027.0283333333334"/>
    <n v="897.2736666666666"/>
    <n v="871.98799999999994"/>
    <n v="5326.3089999999993"/>
    <n v="973.1"/>
    <n v="130.89500000000001"/>
    <n v="102.267"/>
    <n v="91.126999999999995"/>
    <n v="123.827"/>
    <n v="1853.4"/>
    <n v="273.96499999999997"/>
    <n v="205.62799999999999"/>
    <n v="160.96899999999999"/>
    <n v="249.072"/>
    <n v="1.9046346726955092"/>
    <n v="2.0930134840903012"/>
    <n v="2.0106974879482138"/>
    <n v="1.7664248795636859"/>
    <n v="2.0114514605053824"/>
    <n v="1.8049999999999999"/>
  </r>
  <r>
    <x v="78"/>
    <x v="0"/>
    <n v="40.743408000000002"/>
    <n v="7.8530299999999995"/>
    <n v="6.1060559999999997"/>
    <n v="6.2185249999999996"/>
    <n v="8.704362999999999"/>
    <n v="11.861434000000003"/>
    <n v="35.451583999999997"/>
    <n v="7.0454340000000002"/>
    <n v="5.5623370000000003"/>
    <n v="5.5448370000000002"/>
    <n v="7.2412520000000002"/>
    <n v="10.057723999999997"/>
    <n v="59.468957000000003"/>
    <n v="6.2357889999999996"/>
    <n v="5.2446809999999999"/>
    <n v="4.4000399999999997"/>
    <n v="9.5549990000000005"/>
    <n v="34.033448"/>
    <n v="9405.4343333333327"/>
    <n v="1015.7353333333334"/>
    <n v="1019.7316666666667"/>
    <n v="982.47666666666657"/>
    <n v="888.52799999999991"/>
    <n v="5498.9626666666663"/>
    <n v="1026.3"/>
    <n v="136.209"/>
    <n v="113.947"/>
    <n v="94.917000000000002"/>
    <n v="127.82299999999999"/>
    <n v="1961.2"/>
    <n v="276.48399999999998"/>
    <n v="225.452"/>
    <n v="175"/>
    <n v="274.63"/>
    <n v="1.9109422196238919"/>
    <n v="2.0298511845766432"/>
    <n v="1.9785689838258136"/>
    <n v="1.8437160887933668"/>
    <n v="2.148517872370387"/>
    <n v="1.712"/>
  </r>
  <r>
    <x v="79"/>
    <x v="0"/>
    <n v="40.067078000000002"/>
    <n v="7.8287569999999995"/>
    <n v="6.0196560000000003"/>
    <n v="6.1547389999999993"/>
    <n v="8.3446039999999986"/>
    <n v="11.719322000000005"/>
    <n v="34.003354000000002"/>
    <n v="6.7423060000000001"/>
    <n v="5.3792450000000001"/>
    <n v="5.4158189999999999"/>
    <n v="6.6943590000000004"/>
    <n v="9.7716250000000002"/>
    <n v="56.568179999999998"/>
    <n v="5.8738739999999998"/>
    <n v="5.0603309999999997"/>
    <n v="4.2892580000000002"/>
    <n v="8.890924"/>
    <n v="32.453792999999997"/>
    <n v="9405.4343333333327"/>
    <n v="1015.7353333333334"/>
    <n v="1019.7316666666667"/>
    <n v="982.47666666666657"/>
    <n v="888.52799999999991"/>
    <n v="5498.9626666666663"/>
    <n v="969.5"/>
    <n v="133.90299999999999"/>
    <n v="92.427999999999997"/>
    <n v="94.451999999999998"/>
    <n v="122.45"/>
    <n v="1965.4"/>
    <n v="285.48399999999998"/>
    <n v="213.791"/>
    <n v="179.27"/>
    <n v="267.04700000000003"/>
    <n v="2.0272305312016505"/>
    <n v="2.1320209405315786"/>
    <n v="2.3130544856536979"/>
    <n v="1.8980011010883837"/>
    <n v="2.1808656594528379"/>
    <n v="1.885"/>
  </r>
  <r>
    <x v="80"/>
    <x v="0"/>
    <n v="36.001601000000001"/>
    <n v="7.2771739999999996"/>
    <n v="5.2415929999999999"/>
    <n v="5.2946490000000006"/>
    <n v="7.7241459999999993"/>
    <n v="10.464039"/>
    <n v="28.464324000000001"/>
    <n v="5.8002760000000002"/>
    <n v="4.383292"/>
    <n v="4.3695680000000001"/>
    <n v="5.7724460000000004"/>
    <n v="8.138741999999997"/>
    <n v="48.235025"/>
    <n v="5.0680300000000003"/>
    <n v="4.3808619999999996"/>
    <n v="3.554837"/>
    <n v="7.950437"/>
    <n v="27.280859"/>
    <n v="9405.4343333333327"/>
    <n v="1015.7353333333334"/>
    <n v="1019.7316666666667"/>
    <n v="982.47666666666657"/>
    <n v="888.52799999999991"/>
    <n v="5498.9626666666663"/>
    <n v="870.8"/>
    <n v="132.04900000000001"/>
    <n v="80.712000000000003"/>
    <n v="80.001000000000005"/>
    <n v="112.384"/>
    <n v="1735.9"/>
    <n v="257.11799999999999"/>
    <n v="195.33099999999999"/>
    <n v="155.31399999999999"/>
    <n v="242.428"/>
    <n v="1.9934542949012404"/>
    <n v="1.947140834084317"/>
    <n v="2.420098622261869"/>
    <n v="1.9414007324908436"/>
    <n v="2.1571398063781322"/>
    <n v="1.7490000000000001"/>
  </r>
  <r>
    <x v="81"/>
    <x v="0"/>
    <n v="37.290928999999998"/>
    <n v="7.5066199999999998"/>
    <n v="5.4699089999999995"/>
    <n v="5.5234359999999993"/>
    <n v="7.9878479999999996"/>
    <n v="10.803115999999999"/>
    <n v="30.658072000000001"/>
    <n v="6.3119100000000001"/>
    <n v="4.6726970000000003"/>
    <n v="4.7230249999999998"/>
    <n v="6.3257009999999996"/>
    <n v="8.6247390000000017"/>
    <n v="52.279404999999997"/>
    <n v="5.5829360000000001"/>
    <n v="4.7957660000000004"/>
    <n v="3.805704"/>
    <n v="8.7760789999999993"/>
    <n v="29.318919999999999"/>
    <n v="9303.9623333333329"/>
    <n v="1005.5120000000001"/>
    <n v="985.5916666666667"/>
    <n v="903.98566666666659"/>
    <n v="904.0723333333334"/>
    <n v="5504.8006666666661"/>
    <n v="913.4"/>
    <n v="129.91900000000001"/>
    <n v="85.46"/>
    <n v="84.867999999999995"/>
    <n v="118.447"/>
    <n v="1821.3"/>
    <n v="267.87299999999999"/>
    <n v="184.14400000000001"/>
    <n v="166.85900000000001"/>
    <n v="255"/>
    <n v="1.9939785417122837"/>
    <n v="2.06184622726468"/>
    <n v="2.1547390592089868"/>
    <n v="1.9661002969317058"/>
    <n v="2.1528616174322694"/>
    <n v="1.9419999999999999"/>
  </r>
  <r>
    <x v="82"/>
    <x v="0"/>
    <n v="35.860529999999997"/>
    <n v="7.2412640000000001"/>
    <n v="5.3244099999999994"/>
    <n v="5.153276"/>
    <n v="7.6866840000000005"/>
    <n v="10.454895999999998"/>
    <n v="28.419322999999999"/>
    <n v="5.8496589999999999"/>
    <n v="4.3048229999999998"/>
    <n v="4.2169800000000004"/>
    <n v="5.8796330000000001"/>
    <n v="8.1682279999999992"/>
    <n v="48.584831999999999"/>
    <n v="5.1775159999999998"/>
    <n v="4.455362"/>
    <n v="3.3695029999999999"/>
    <n v="8.255414"/>
    <n v="27.327036999999997"/>
    <n v="9303.9623333333329"/>
    <n v="1005.5120000000001"/>
    <n v="985.5916666666667"/>
    <n v="903.98566666666659"/>
    <n v="904.0723333333334"/>
    <n v="5504.8006666666661"/>
    <n v="845"/>
    <n v="120.974"/>
    <n v="81.113"/>
    <n v="76.921999999999997"/>
    <n v="110.65900000000001"/>
    <n v="1812.7"/>
    <n v="270.81400000000002"/>
    <n v="185.73400000000001"/>
    <n v="164.14099999999999"/>
    <n v="247.32900000000001"/>
    <n v="2.1452071005917159"/>
    <n v="2.2386132557409031"/>
    <n v="2.2898179083500798"/>
    <n v="2.1338628740802372"/>
    <n v="2.2350554405877516"/>
    <n v="1.986"/>
  </r>
  <r>
    <x v="83"/>
    <x v="0"/>
    <n v="37.188625999999999"/>
    <n v="7.576816"/>
    <n v="5.4520990000000005"/>
    <n v="5.4363260000000002"/>
    <n v="7.8334930000000007"/>
    <n v="10.889891999999996"/>
    <n v="29.612162000000001"/>
    <n v="6.1309100000000001"/>
    <n v="4.4264299999999999"/>
    <n v="4.4347729999999999"/>
    <n v="5.9711460000000001"/>
    <n v="8.6489030000000007"/>
    <n v="49.793526999999997"/>
    <n v="5.3922309999999998"/>
    <n v="4.344754"/>
    <n v="3.4735680000000002"/>
    <n v="8.3549469999999992"/>
    <n v="28.228026999999997"/>
    <n v="9303.9623333333329"/>
    <n v="1005.5120000000001"/>
    <n v="985.5916666666667"/>
    <n v="903.98566666666659"/>
    <n v="904.0723333333334"/>
    <n v="5504.8006666666661"/>
    <n v="926.5"/>
    <n v="129.75899999999999"/>
    <n v="84.49"/>
    <n v="82.293999999999997"/>
    <n v="115.56100000000001"/>
    <n v="1965.9"/>
    <n v="295.14600000000002"/>
    <n v="196.21299999999999"/>
    <n v="163.982"/>
    <n v="252.601"/>
    <n v="2.1218564490016192"/>
    <n v="2.2745705500196522"/>
    <n v="2.3223221683039412"/>
    <n v="1.9926361581646292"/>
    <n v="2.185867204333642"/>
    <n v="1.9790000000000001"/>
  </r>
  <r>
    <x v="84"/>
    <x v="0"/>
    <n v="40.088808999999998"/>
    <n v="7.6463770000000002"/>
    <n v="8.5114330000000002"/>
    <n v="5.492362"/>
    <n v="7.6232530000000001"/>
    <n v="10.815383999999995"/>
    <n v="30.119185999999999"/>
    <n v="5.7881970000000003"/>
    <n v="6.5875700000000004"/>
    <n v="4.2907289999999998"/>
    <n v="5.4995219999999998"/>
    <n v="7.9531680000000016"/>
    <n v="45.501620000000003"/>
    <n v="5.0713200000000001"/>
    <n v="6.2698270000000003"/>
    <n v="3.2567499999999998"/>
    <n v="7.5760129999999997"/>
    <n v="23.327710000000003"/>
    <n v="9081.39"/>
    <n v="1012.8336666666668"/>
    <n v="1547.3906666666664"/>
    <n v="912.29533333333336"/>
    <n v="876.67933333333337"/>
    <n v="4732.1909999999998"/>
    <n v="872.7"/>
    <n v="128.33600000000001"/>
    <n v="128.69"/>
    <n v="78.471000000000004"/>
    <n v="110.70699999999999"/>
    <n v="1931.6"/>
    <n v="298.47699999999998"/>
    <n v="281.36099999999999"/>
    <n v="168.02699999999999"/>
    <n v="263.64600000000002"/>
    <n v="2.2133608341927351"/>
    <n v="2.3257464779952621"/>
    <n v="2.1863470355116945"/>
    <n v="2.1412623771839274"/>
    <n v="2.3814754261248163"/>
    <n v="2.052"/>
  </r>
  <r>
    <x v="85"/>
    <x v="0"/>
    <n v="35.701636000000001"/>
    <n v="6.7473810000000007"/>
    <n v="7.7203629999999999"/>
    <n v="4.7302860000000004"/>
    <n v="6.7520629999999997"/>
    <n v="9.7515430000000016"/>
    <n v="27.61589"/>
    <n v="5.2081590000000002"/>
    <n v="6.1782859999999999"/>
    <n v="3.8392729999999999"/>
    <n v="4.9866529999999996"/>
    <n v="7.4035189999999993"/>
    <n v="42.440613999999997"/>
    <n v="4.5871890000000004"/>
    <n v="5.8969209999999999"/>
    <n v="2.9981990000000001"/>
    <n v="6.9632949999999996"/>
    <n v="21.995009999999997"/>
    <n v="9081.39"/>
    <n v="1012.8336666666668"/>
    <n v="1547.3906666666664"/>
    <n v="912.29533333333336"/>
    <n v="876.67933333333337"/>
    <n v="4732.1909999999998"/>
    <n v="786.9"/>
    <n v="113.861"/>
    <n v="116.495"/>
    <n v="70.834000000000003"/>
    <n v="98.385000000000005"/>
    <n v="1696.7"/>
    <n v="247.304"/>
    <n v="263.22500000000002"/>
    <n v="150.36699999999999"/>
    <n v="232.684"/>
    <n v="2.1561824882450122"/>
    <n v="2.1719816267202994"/>
    <n v="2.2595390360101293"/>
    <n v="2.1228082559222972"/>
    <n v="2.3650353204248615"/>
    <n v="1.9890000000000001"/>
  </r>
  <r>
    <x v="86"/>
    <x v="0"/>
    <n v="42.564160999999999"/>
    <n v="7.8561909999999999"/>
    <n v="9.1951339999999995"/>
    <n v="5.6879650000000002"/>
    <n v="8.2461409999999997"/>
    <n v="11.57873"/>
    <n v="35.584498000000004"/>
    <n v="6.5765260000000003"/>
    <n v="7.9837590000000001"/>
    <n v="4.8635099999999998"/>
    <n v="6.6768840000000003"/>
    <n v="9.483819000000004"/>
    <n v="54.424076999999997"/>
    <n v="5.8267639999999998"/>
    <n v="7.6970000000000001"/>
    <n v="3.7819750000000001"/>
    <n v="9.1551559999999998"/>
    <n v="27.963181999999996"/>
    <n v="9081.39"/>
    <n v="1012.8336666666668"/>
    <n v="1547.3906666666664"/>
    <n v="912.29533333333336"/>
    <n v="876.67933333333337"/>
    <n v="4732.1909999999998"/>
    <n v="928.2"/>
    <n v="131.381"/>
    <n v="139.63499999999999"/>
    <n v="84.725999999999999"/>
    <n v="120.122"/>
    <n v="2046"/>
    <n v="288.93400000000003"/>
    <n v="310.66800000000001"/>
    <n v="186.148"/>
    <n v="285.02100000000002"/>
    <n v="2.2042663219133805"/>
    <n v="2.199206886840563"/>
    <n v="2.2248576646256315"/>
    <n v="2.1970587541014566"/>
    <n v="2.372762691263882"/>
    <n v="2.1080000000000001"/>
  </r>
  <r>
    <x v="87"/>
    <x v="0"/>
    <n v="41.308827000000001"/>
    <n v="7.5470319999999997"/>
    <n v="8.8338459999999994"/>
    <n v="5.4480919999999999"/>
    <n v="8.2161679999999997"/>
    <n v="11.263689000000003"/>
    <n v="34.161154000000003"/>
    <n v="6.3707180000000001"/>
    <n v="7.5897370000000004"/>
    <n v="4.6370740000000001"/>
    <n v="6.4779210000000003"/>
    <n v="9.0857039999999998"/>
    <n v="52.498074000000003"/>
    <n v="5.5565420000000003"/>
    <n v="7.488219"/>
    <n v="3.5943610000000001"/>
    <n v="8.9114920000000009"/>
    <n v="26.94746"/>
    <n v="10208.292666666666"/>
    <n v="1136.7513333333334"/>
    <n v="1803.7070000000001"/>
    <n v="1087.5323333333333"/>
    <n v="1056.1056666666666"/>
    <n v="5124.1963333333333"/>
    <n v="900.9"/>
    <n v="125.51300000000001"/>
    <n v="134.56399999999999"/>
    <n v="81.289000000000001"/>
    <n v="119.27200000000001"/>
    <n v="2075.1999999999998"/>
    <n v="291.91800000000001"/>
    <n v="311.46800000000002"/>
    <n v="187.017"/>
    <n v="286.48599999999999"/>
    <n v="2.3034743034743035"/>
    <n v="2.3257989212272832"/>
    <n v="2.3146458190898014"/>
    <n v="2.30064338348362"/>
    <n v="2.4019551948487488"/>
    <n v="2.2429999999999999"/>
  </r>
  <r>
    <x v="88"/>
    <x v="0"/>
    <n v="42.404718000000003"/>
    <n v="7.6836869999999999"/>
    <n v="9.1168230000000001"/>
    <n v="5.5555559999999993"/>
    <n v="8.6299250000000001"/>
    <n v="11.418727000000004"/>
    <n v="35.004288000000003"/>
    <n v="6.5039720000000001"/>
    <n v="7.7690929999999998"/>
    <n v="4.7627829999999998"/>
    <n v="6.6631900000000002"/>
    <n v="9.3052500000000045"/>
    <n v="53.842421999999999"/>
    <n v="5.6684950000000001"/>
    <n v="7.6584659999999998"/>
    <n v="3.7245780000000002"/>
    <n v="9.0805670000000003"/>
    <n v="27.710315999999999"/>
    <n v="10208.292666666666"/>
    <n v="1136.7513333333334"/>
    <n v="1803.7070000000001"/>
    <n v="1087.5323333333333"/>
    <n v="1056.1056666666666"/>
    <n v="5124.1963333333333"/>
    <n v="940"/>
    <n v="129.285"/>
    <n v="141.43100000000001"/>
    <n v="83.986999999999995"/>
    <n v="125.54600000000001"/>
    <n v="2189.6999999999998"/>
    <n v="313.20999999999998"/>
    <n v="331.363"/>
    <n v="192.72399999999999"/>
    <n v="310.94200000000001"/>
    <n v="2.3294680851063827"/>
    <n v="2.4226321692385038"/>
    <n v="2.3429304749312383"/>
    <n v="2.2946884636908091"/>
    <n v="2.4767176970990712"/>
    <n v="2.0630000000000002"/>
  </r>
  <r>
    <x v="89"/>
    <x v="0"/>
    <n v="43.345363999999996"/>
    <n v="7.5408609999999996"/>
    <n v="9.6572060000000004"/>
    <n v="5.7180619999999998"/>
    <n v="8.6277729999999995"/>
    <n v="11.801461999999994"/>
    <n v="37.474902"/>
    <n v="6.7217890000000002"/>
    <n v="8.6329860000000007"/>
    <n v="5.1241339999999997"/>
    <n v="7.0665909999999998"/>
    <n v="9.9294019999999996"/>
    <n v="56.689852999999999"/>
    <n v="5.8260630000000004"/>
    <n v="8.3335860000000004"/>
    <n v="3.9244819999999998"/>
    <n v="9.5621419999999997"/>
    <n v="29.043579999999999"/>
    <n v="10208.292666666666"/>
    <n v="1136.7513333333334"/>
    <n v="1803.7070000000001"/>
    <n v="1087.5323333333333"/>
    <n v="1056.1056666666666"/>
    <n v="5124.1963333333333"/>
    <n v="959.8"/>
    <n v="128.4"/>
    <n v="147.80199999999999"/>
    <n v="87.393000000000001"/>
    <n v="126.93"/>
    <n v="2090.8000000000002"/>
    <n v="263.411"/>
    <n v="338.10700000000003"/>
    <n v="191.87899999999999"/>
    <n v="294.3"/>
    <n v="2.1783704938528863"/>
    <n v="2.05148753894081"/>
    <n v="2.2875671506474879"/>
    <n v="2.1955877473024152"/>
    <n v="2.3186008035925312"/>
    <n v="2.0579999999999998"/>
  </r>
  <r>
    <x v="90"/>
    <x v="0"/>
    <n v="45.462606000000001"/>
    <n v="7.8952979999999995"/>
    <n v="10.091099"/>
    <n v="5.9973609999999997"/>
    <n v="8.824147"/>
    <n v="12.654700999999996"/>
    <n v="39.676188000000003"/>
    <n v="7.012956"/>
    <n v="9.0696060000000003"/>
    <n v="5.3360919999999998"/>
    <n v="7.487851"/>
    <n v="10.769683000000004"/>
    <n v="59.142493000000002"/>
    <n v="6.0190720000000004"/>
    <n v="8.5703879999999995"/>
    <n v="4.0195749999999997"/>
    <n v="10.001004"/>
    <n v="30.532454000000001"/>
    <n v="10377.289999999999"/>
    <n v="1115.1923333333334"/>
    <n v="1836.9696666666666"/>
    <n v="1114.6373333333333"/>
    <n v="1063.9193333333333"/>
    <n v="5246.5713333333324"/>
    <n v="1010.8"/>
    <n v="132.97399999999999"/>
    <n v="154.89400000000001"/>
    <n v="91.076999999999998"/>
    <n v="130.29900000000001"/>
    <n v="2235.3000000000002"/>
    <n v="291.49700000000001"/>
    <n v="355.73700000000002"/>
    <n v="198.94499999999999"/>
    <n v="302.28899999999999"/>
    <n v="2.2114166996438467"/>
    <n v="2.1921353046460212"/>
    <n v="2.2966480302658594"/>
    <n v="2.1843604861820216"/>
    <n v="2.3199640826099968"/>
    <n v="2.0190000000000001"/>
  </r>
  <r>
    <x v="91"/>
    <x v="0"/>
    <n v="44.999994999999998"/>
    <n v="7.8678879999999998"/>
    <n v="9.9624069999999989"/>
    <n v="5.9858760000000002"/>
    <n v="8.6512960000000003"/>
    <n v="12.532527999999999"/>
    <n v="38.497934999999998"/>
    <n v="6.7758130000000003"/>
    <n v="8.7457729999999998"/>
    <n v="5.3175499999999998"/>
    <n v="7.1218880000000002"/>
    <n v="10.536910999999996"/>
    <n v="57.370747999999999"/>
    <n v="5.7569119999999998"/>
    <n v="8.2895699999999994"/>
    <n v="4.030843"/>
    <n v="9.5040709999999997"/>
    <n v="29.789352000000001"/>
    <n v="10377.289999999999"/>
    <n v="1115.1923333333334"/>
    <n v="1836.9696666666666"/>
    <n v="1114.6373333333333"/>
    <n v="1063.9193333333333"/>
    <n v="5246.5713333333324"/>
    <n v="994.4"/>
    <n v="129.84700000000001"/>
    <n v="152.452"/>
    <n v="90.43"/>
    <n v="126.992"/>
    <n v="2214.6"/>
    <n v="282.14699999999999"/>
    <n v="348.64299999999997"/>
    <n v="194.67500000000001"/>
    <n v="302.26900000000001"/>
    <n v="2.2270716009654064"/>
    <n v="2.17291889685553"/>
    <n v="2.2869034187809931"/>
    <n v="2.1527700984186664"/>
    <n v="2.3802208013103185"/>
    <n v="2.0830000000000002"/>
  </r>
  <r>
    <x v="92"/>
    <x v="0"/>
    <n v="41.008657999999997"/>
    <n v="7.3654139999999995"/>
    <n v="9.0819100000000006"/>
    <n v="5.2768930000000003"/>
    <n v="8.0841580000000004"/>
    <n v="11.200282999999992"/>
    <n v="32.750985"/>
    <n v="5.887556"/>
    <n v="7.3819330000000001"/>
    <n v="4.445195"/>
    <n v="6.064743"/>
    <n v="8.9715580000000017"/>
    <n v="50.304707999999998"/>
    <n v="5.1203909999999997"/>
    <n v="7.3255819999999998"/>
    <n v="3.4987240000000002"/>
    <n v="8.3098209999999995"/>
    <n v="26.050190000000001"/>
    <n v="10377.289999999999"/>
    <n v="1115.1923333333334"/>
    <n v="1836.9696666666666"/>
    <n v="1114.6373333333333"/>
    <n v="1063.9193333333333"/>
    <n v="5246.5713333333324"/>
    <n v="914.9"/>
    <n v="121.194"/>
    <n v="138.09"/>
    <n v="80.03"/>
    <n v="117.235"/>
    <n v="1996.9"/>
    <n v="257.45400000000001"/>
    <n v="314.16699999999997"/>
    <n v="174.26"/>
    <n v="278.40899999999999"/>
    <n v="2.1826429117936388"/>
    <n v="2.1243130848061784"/>
    <n v="2.2750887102614237"/>
    <n v="2.1774334624515803"/>
    <n v="2.3747942167441463"/>
    <n v="2.1139999999999999"/>
  </r>
  <r>
    <x v="93"/>
    <x v="0"/>
    <n v="42.350003999999998"/>
    <n v="7.5362239999999998"/>
    <n v="9.3242009999999986"/>
    <n v="5.5442070000000001"/>
    <n v="8.3906860000000005"/>
    <n v="11.554685999999997"/>
    <n v="35.416910999999999"/>
    <n v="6.4024419999999997"/>
    <n v="7.8783880000000002"/>
    <n v="4.7978620000000003"/>
    <n v="6.8515709999999999"/>
    <n v="9.4866479999999989"/>
    <n v="54.826050000000002"/>
    <n v="5.62181"/>
    <n v="7.9885080000000004"/>
    <n v="3.7541310000000001"/>
    <n v="9.3587900000000008"/>
    <n v="28.102811000000003"/>
    <n v="10024.195"/>
    <n v="1089.0943333333332"/>
    <n v="1671.5739999999998"/>
    <n v="1003.678"/>
    <n v="1037.8656666666668"/>
    <n v="5221.9830000000002"/>
    <n v="925"/>
    <n v="123.471"/>
    <n v="141.07900000000001"/>
    <n v="83.200999999999993"/>
    <n v="122.422"/>
    <n v="2177.1"/>
    <n v="290.12900000000002"/>
    <n v="336.40300000000002"/>
    <n v="186.833"/>
    <n v="294.79000000000002"/>
    <n v="2.3536216216216217"/>
    <n v="2.3497744409618453"/>
    <n v="2.3845008824842817"/>
    <n v="2.2455619523803803"/>
    <n v="2.4079822254170002"/>
    <n v="2.2480000000000002"/>
  </r>
  <r>
    <x v="94"/>
    <x v="0"/>
    <n v="40.667067000000003"/>
    <n v="7.330311"/>
    <n v="8.697614999999999"/>
    <n v="5.2348630000000007"/>
    <n v="8.1281859999999995"/>
    <n v="11.276092000000002"/>
    <n v="33.127651"/>
    <n v="6.0020239999999996"/>
    <n v="7.122134"/>
    <n v="4.360023"/>
    <n v="6.5073720000000002"/>
    <n v="9.1360980000000005"/>
    <n v="51.420518999999999"/>
    <n v="5.2713710000000003"/>
    <n v="7.3363480000000001"/>
    <n v="3.397281"/>
    <n v="8.8588299999999993"/>
    <n v="26.556688999999999"/>
    <n v="10024.195"/>
    <n v="1089.0943333333332"/>
    <n v="1671.5739999999998"/>
    <n v="1003.678"/>
    <n v="1037.8656666666668"/>
    <n v="5221.9830000000002"/>
    <n v="891.7"/>
    <n v="119.66200000000001"/>
    <n v="132.43299999999999"/>
    <n v="78.097999999999999"/>
    <n v="118.223"/>
    <n v="2146.1999999999998"/>
    <n v="281.90199999999999"/>
    <n v="327.07600000000002"/>
    <n v="185.06200000000001"/>
    <n v="290.22500000000002"/>
    <n v="2.4068632948300994"/>
    <n v="2.3558188898731425"/>
    <n v="2.4697469663905527"/>
    <n v="2.3696125380931652"/>
    <n v="2.454894563663585"/>
    <n v="2.323"/>
  </r>
  <r>
    <x v="95"/>
    <x v="0"/>
    <n v="41.550885000000001"/>
    <n v="7.598516"/>
    <n v="8.7761890000000005"/>
    <n v="5.292675"/>
    <n v="8.2711410000000001"/>
    <n v="11.612364000000003"/>
    <n v="33.700547"/>
    <n v="6.1593999999999998"/>
    <n v="7.1052179999999998"/>
    <n v="4.3764079999999996"/>
    <n v="6.6484759999999996"/>
    <n v="9.411045000000005"/>
    <n v="51.076414999999997"/>
    <n v="5.3854620000000004"/>
    <n v="7.0972730000000004"/>
    <n v="3.3260010000000002"/>
    <n v="8.9463399999999993"/>
    <n v="26.321338999999995"/>
    <n v="10024.195"/>
    <n v="1089.0943333333332"/>
    <n v="1671.5739999999998"/>
    <n v="1003.678"/>
    <n v="1037.8656666666668"/>
    <n v="5221.9830000000002"/>
    <n v="931.5"/>
    <n v="124.099"/>
    <n v="132.94200000000001"/>
    <n v="78.741"/>
    <n v="120.57"/>
    <n v="2303.5"/>
    <n v="297.33800000000002"/>
    <n v="334.58300000000003"/>
    <n v="195.36699999999999"/>
    <n v="313.44799999999998"/>
    <n v="2.4728931830381105"/>
    <n v="2.3959741819031581"/>
    <n v="2.5167591882174181"/>
    <n v="2.4811343518624351"/>
    <n v="2.5997180061375134"/>
    <n v="2.4529999999999998"/>
  </r>
  <r>
    <x v="96"/>
    <x v="0"/>
    <n v="40.541766000000003"/>
    <n v="7.6001970000000005"/>
    <n v="8.4974290000000003"/>
    <n v="4.9420029999999997"/>
    <n v="8.1948209999999992"/>
    <n v="11.307316"/>
    <n v="31.176304999999999"/>
    <n v="5.7511799999999997"/>
    <n v="6.5299500000000004"/>
    <n v="3.9745750000000002"/>
    <n v="6.2266919999999999"/>
    <n v="8.6939079999999969"/>
    <n v="46.305"/>
    <n v="4.9840949999999999"/>
    <n v="6.3537999999999997"/>
    <n v="3.012378"/>
    <n v="8.3073189999999997"/>
    <n v="23.647407999999999"/>
    <n v="10178.048000000001"/>
    <n v="1060.375"/>
    <n v="1708.2443333333333"/>
    <n v="981.57166666666672"/>
    <n v="1034.2976666666666"/>
    <n v="5393.5593333333345"/>
    <n v="861.6"/>
    <n v="122.738"/>
    <n v="122.733"/>
    <n v="73.534999999999997"/>
    <n v="118.506"/>
    <n v="2272.1999999999998"/>
    <n v="312.767"/>
    <n v="326.48599999999999"/>
    <n v="188.791"/>
    <n v="311.07600000000002"/>
    <n v="2.6371866295264623"/>
    <n v="2.5482491160031939"/>
    <n v="2.6601321567956457"/>
    <n v="2.5673624804514859"/>
    <n v="2.6249810136195637"/>
    <n v="2.6190000000000002"/>
  </r>
  <r>
    <x v="97"/>
    <x v="0"/>
    <n v="36.819156"/>
    <n v="6.7346199999999996"/>
    <n v="7.914879"/>
    <n v="4.5129700000000001"/>
    <n v="7.3297540000000003"/>
    <n v="10.326933"/>
    <n v="28.924904000000002"/>
    <n v="5.2145200000000003"/>
    <n v="6.2576650000000003"/>
    <n v="3.6940580000000001"/>
    <n v="5.6370589999999998"/>
    <n v="8.1216020000000029"/>
    <n v="43.657817999999999"/>
    <n v="4.5284000000000004"/>
    <n v="6.190982"/>
    <n v="2.8097249999999998"/>
    <n v="7.6022550000000004"/>
    <n v="22.526456"/>
    <n v="10178.048000000001"/>
    <n v="1060.375"/>
    <n v="1708.2443333333333"/>
    <n v="981.57166666666672"/>
    <n v="1034.2976666666666"/>
    <n v="5393.5593333333345"/>
    <n v="794.2"/>
    <n v="109.009"/>
    <n v="112.959"/>
    <n v="67.768000000000001"/>
    <n v="106.88200000000001"/>
    <n v="2206.1"/>
    <n v="277.48700000000002"/>
    <n v="323.12400000000002"/>
    <n v="189.00200000000001"/>
    <n v="286.08300000000003"/>
    <n v="2.7777637874590781"/>
    <n v="2.5455421112018275"/>
    <n v="2.86054232066502"/>
    <n v="2.7889564396175186"/>
    <n v="2.6766246889092646"/>
    <n v="2.839"/>
  </r>
  <r>
    <x v="98"/>
    <x v="0"/>
    <n v="44.084297999999997"/>
    <n v="7.8489049999999994"/>
    <n v="9.4628320000000006"/>
    <n v="5.3783430000000001"/>
    <n v="8.9830400000000008"/>
    <n v="12.411177999999992"/>
    <n v="36.734521000000001"/>
    <n v="6.4641339999999996"/>
    <n v="8.0629240000000006"/>
    <n v="4.5901649999999998"/>
    <n v="7.3335220000000003"/>
    <n v="10.283776000000003"/>
    <n v="55.649428"/>
    <n v="5.6725209999999997"/>
    <n v="8.0387599999999999"/>
    <n v="3.4496699999999998"/>
    <n v="9.6895439999999997"/>
    <n v="28.798932999999998"/>
    <n v="10178.048000000001"/>
    <n v="1060.375"/>
    <n v="1708.2443333333333"/>
    <n v="981.57166666666672"/>
    <n v="1034.2976666666666"/>
    <n v="5393.5593333333345"/>
    <n v="944"/>
    <n v="126.142"/>
    <n v="136.69200000000001"/>
    <n v="80.39"/>
    <n v="130.24299999999999"/>
    <n v="2858.6"/>
    <n v="341.97899999999998"/>
    <n v="399.18799999999999"/>
    <n v="255.15600000000001"/>
    <n v="388.63499999999999"/>
    <n v="3.028177966101695"/>
    <n v="2.7110637218372946"/>
    <n v="2.9203464723612207"/>
    <n v="3.17397686279388"/>
    <n v="2.9839223605107374"/>
    <n v="3.125"/>
  </r>
  <r>
    <x v="99"/>
    <x v="0"/>
    <n v="42.117818999999997"/>
    <n v="7.4891959999999997"/>
    <n v="8.8612080000000013"/>
    <n v="5.0445890000000002"/>
    <n v="8.830705"/>
    <n v="11.892120999999996"/>
    <n v="34.812534999999997"/>
    <n v="6.2534539999999996"/>
    <n v="7.5258209999999996"/>
    <n v="4.3483830000000001"/>
    <n v="7.0407460000000004"/>
    <n v="9.6441310000000016"/>
    <n v="52.858479000000003"/>
    <n v="5.4433369999999996"/>
    <n v="7.7081650000000002"/>
    <n v="3.23"/>
    <n v="9.2236779999999996"/>
    <n v="27.253299000000002"/>
    <n v="11554.63"/>
    <n v="1191.6736666666668"/>
    <n v="1986.99"/>
    <n v="1146.0076666666666"/>
    <n v="1198.623"/>
    <n v="6031.3356666666659"/>
    <n v="909.7"/>
    <n v="123.045"/>
    <n v="128.39500000000001"/>
    <n v="75.585999999999999"/>
    <n v="128.06700000000001"/>
    <n v="2919.7"/>
    <n v="346.93"/>
    <n v="413.173"/>
    <n v="253.11600000000001"/>
    <n v="405.49"/>
    <n v="3.2095196218533579"/>
    <n v="2.8195375675565848"/>
    <n v="3.217983566338253"/>
    <n v="3.34871537057127"/>
    <n v="3.1662332997571583"/>
    <n v="3.2669999999999999"/>
  </r>
  <r>
    <x v="100"/>
    <x v="0"/>
    <n v="42.859555"/>
    <n v="7.4767709999999994"/>
    <n v="9.1657869999999999"/>
    <n v="5.0959520000000005"/>
    <n v="8.9676969999999994"/>
    <n v="12.153348000000001"/>
    <n v="36.373866"/>
    <n v="6.4501980000000003"/>
    <n v="7.9398299999999997"/>
    <n v="4.47689"/>
    <n v="7.3767360000000002"/>
    <n v="10.130211999999997"/>
    <n v="55.982233999999998"/>
    <n v="5.6207419999999999"/>
    <n v="8.2113169999999993"/>
    <n v="3.3826000000000001"/>
    <n v="9.7065040000000007"/>
    <n v="29.061070999999998"/>
    <n v="11554.63"/>
    <n v="1191.6736666666668"/>
    <n v="1986.99"/>
    <n v="1146.0076666666666"/>
    <n v="1198.623"/>
    <n v="6031.3356666666659"/>
    <n v="921.9"/>
    <n v="122.59399999999999"/>
    <n v="133.809"/>
    <n v="77.218999999999994"/>
    <n v="131.07"/>
    <n v="2993.1"/>
    <n v="373.15199999999999"/>
    <n v="436.13499999999999"/>
    <n v="258.09399999999999"/>
    <n v="422.41699999999997"/>
    <n v="3.2466644972339731"/>
    <n v="3.0438031225019171"/>
    <n v="3.2593846452779709"/>
    <n v="3.3423639259767675"/>
    <n v="3.2228351262684063"/>
    <n v="3.085"/>
  </r>
  <r>
    <x v="101"/>
    <x v="0"/>
    <n v="44.435661000000003"/>
    <n v="7.5913890000000004"/>
    <n v="9.544649999999999"/>
    <n v="5.5270250000000001"/>
    <n v="9.2133269999999996"/>
    <n v="12.559270000000005"/>
    <n v="38.32338"/>
    <n v="6.6728240000000003"/>
    <n v="8.3918219999999994"/>
    <n v="4.9703689999999998"/>
    <n v="7.6934940000000003"/>
    <n v="10.594870999999998"/>
    <n v="57.778699000000003"/>
    <n v="5.8596550000000001"/>
    <n v="8.47621"/>
    <n v="3.6640790000000001"/>
    <n v="9.9246119999999998"/>
    <n v="29.854143000000004"/>
    <n v="11554.63"/>
    <n v="1191.6736666666668"/>
    <n v="1986.99"/>
    <n v="1146.0076666666666"/>
    <n v="1198.623"/>
    <n v="6031.3356666666659"/>
    <n v="953.7"/>
    <n v="125.05500000000001"/>
    <n v="138.649"/>
    <n v="83.462000000000003"/>
    <n v="134.089"/>
    <n v="2984.1"/>
    <n v="360.74299999999999"/>
    <n v="426.43799999999999"/>
    <n v="257.16500000000002"/>
    <n v="429.05599999999998"/>
    <n v="3.128971374646115"/>
    <n v="2.8846747431130302"/>
    <n v="3.0756658901254244"/>
    <n v="3.0812225923174621"/>
    <n v="3.1997852172810597"/>
    <n v="3.0459999999999998"/>
  </r>
  <r>
    <x v="102"/>
    <x v="0"/>
    <n v="46.376542999999998"/>
    <n v="7.8528450000000003"/>
    <n v="10.084368"/>
    <n v="5.7857439999999993"/>
    <n v="9.4491790000000009"/>
    <n v="13.204406999999996"/>
    <n v="40.56147"/>
    <n v="6.9625440000000003"/>
    <n v="9.0289450000000002"/>
    <n v="5.2403959999999996"/>
    <n v="7.9597490000000004"/>
    <n v="11.369835999999999"/>
    <n v="60.310568000000004"/>
    <n v="6.0769250000000001"/>
    <n v="8.9750800000000002"/>
    <n v="3.8229060000000001"/>
    <n v="10.118492"/>
    <n v="31.317165000000003"/>
    <n v="11558.852666666666"/>
    <n v="1194.8093333333334"/>
    <n v="2001.1869999999999"/>
    <n v="1192.7049999999999"/>
    <n v="1184.2280000000001"/>
    <n v="5985.9233333333323"/>
    <n v="978.8"/>
    <n v="128.58500000000001"/>
    <n v="144.988"/>
    <n v="85.643000000000001"/>
    <n v="137.21100000000001"/>
    <n v="3042.7"/>
    <n v="381.08699999999999"/>
    <n v="445.346"/>
    <n v="269.149"/>
    <n v="418.21800000000002"/>
    <n v="3.1086023702492849"/>
    <n v="2.9636971652992181"/>
    <n v="3.0716059260076696"/>
    <n v="3.1426853333021962"/>
    <n v="3.047991779084767"/>
    <n v="3.1309999999999998"/>
  </r>
  <r>
    <x v="103"/>
    <x v="0"/>
    <n v="44.800721000000003"/>
    <n v="7.6580259999999996"/>
    <n v="9.7130869999999998"/>
    <n v="5.6271819999999995"/>
    <n v="9.032843999999999"/>
    <n v="12.769582000000007"/>
    <n v="38.489958999999999"/>
    <n v="6.6030030000000002"/>
    <n v="8.5901929999999993"/>
    <n v="5.0123800000000003"/>
    <n v="7.410355"/>
    <n v="10.874027999999999"/>
    <n v="57.403835000000001"/>
    <n v="5.7175450000000003"/>
    <n v="8.5605930000000008"/>
    <n v="3.7155049999999998"/>
    <n v="9.6074330000000003"/>
    <n v="29.802758999999998"/>
    <n v="11558.852666666666"/>
    <n v="1194.8093333333334"/>
    <n v="2001.1869999999999"/>
    <n v="1192.7049999999999"/>
    <n v="1184.2280000000001"/>
    <n v="5985.9233333333323"/>
    <n v="952.9"/>
    <n v="124.646"/>
    <n v="139.68199999999999"/>
    <n v="84.978999999999999"/>
    <n v="131.446"/>
    <n v="2978.3"/>
    <n v="378.96899999999999"/>
    <n v="424.98200000000003"/>
    <n v="266.65100000000001"/>
    <n v="415.625"/>
    <n v="3.1255115961800821"/>
    <n v="3.0403623060507354"/>
    <n v="3.0424965278274945"/>
    <n v="3.1378458207321809"/>
    <n v="3.1619448290552774"/>
    <n v="3.008"/>
  </r>
  <r>
    <x v="104"/>
    <x v="0"/>
    <n v="40.576121000000001"/>
    <n v="7.2838339999999997"/>
    <n v="8.75441"/>
    <n v="4.7574449999999997"/>
    <n v="8.3614979999999992"/>
    <n v="11.418934"/>
    <n v="33.410648000000002"/>
    <n v="5.9873820000000002"/>
    <n v="7.3905890000000003"/>
    <n v="4.1450940000000003"/>
    <n v="6.5551399999999997"/>
    <n v="9.3324429999999978"/>
    <n v="50.982170000000004"/>
    <n v="5.2775119999999998"/>
    <n v="7.5073189999999999"/>
    <n v="3.17171"/>
    <n v="8.7511159999999997"/>
    <n v="26.274513000000002"/>
    <n v="11558.852666666666"/>
    <n v="1194.8093333333334"/>
    <n v="2001.1869999999999"/>
    <n v="1192.7049999999999"/>
    <n v="1184.2280000000001"/>
    <n v="5985.9233333333323"/>
    <n v="866.7"/>
    <n v="117.40600000000001"/>
    <n v="125.84399999999999"/>
    <n v="75.263000000000005"/>
    <n v="121.107"/>
    <n v="2752.4"/>
    <n v="386.40800000000002"/>
    <n v="381.49099999999999"/>
    <n v="235.429"/>
    <n v="405.86"/>
    <n v="3.1757240106149762"/>
    <n v="3.2912116927584623"/>
    <n v="3.0314595848828709"/>
    <n v="3.1280841847919958"/>
    <n v="3.35125137275302"/>
    <n v="2.948"/>
  </r>
  <r>
    <x v="105"/>
    <x v="0"/>
    <n v="41.726699000000004"/>
    <n v="7.3751660000000001"/>
    <n v="9.0090329999999987"/>
    <n v="4.8945230000000004"/>
    <n v="8.7875570000000014"/>
    <n v="11.660420000000002"/>
    <n v="35.170169000000001"/>
    <n v="6.2902680000000002"/>
    <n v="7.7269019999999999"/>
    <n v="4.287064"/>
    <n v="7.1608450000000001"/>
    <n v="9.7050899999999984"/>
    <n v="54.124363000000002"/>
    <n v="5.5979369999999999"/>
    <n v="7.987349"/>
    <n v="3.2697820000000002"/>
    <n v="9.5222660000000001"/>
    <n v="27.747029000000005"/>
    <n v="10982.501333333334"/>
    <n v="1147.4366666666667"/>
    <n v="1851.6506666666667"/>
    <n v="1029.1233333333332"/>
    <n v="1134.3983333333333"/>
    <n v="5819.8923333333332"/>
    <n v="895"/>
    <n v="118.637"/>
    <n v="139.72999999999999"/>
    <n v="73.897999999999996"/>
    <n v="126.96599999999999"/>
    <n v="2684.7"/>
    <n v="314.67200000000003"/>
    <n v="417.34"/>
    <n v="225.49700000000001"/>
    <n v="393.30399999999997"/>
    <n v="2.9996648044692735"/>
    <n v="2.6523934354375114"/>
    <n v="2.9867601803478139"/>
    <n v="3.0514628271401123"/>
    <n v="3.0977111982735535"/>
    <n v="2.9660000000000002"/>
  </r>
  <r>
    <x v="106"/>
    <x v="0"/>
    <n v="39.561205000000001"/>
    <n v="6.9483549999999994"/>
    <n v="8.5219640000000005"/>
    <n v="4.4844179999999998"/>
    <n v="8.2002769999999998"/>
    <n v="11.406191"/>
    <n v="33.284725000000002"/>
    <n v="5.898943"/>
    <n v="7.2577230000000004"/>
    <n v="3.8740190000000001"/>
    <n v="6.7222039999999996"/>
    <n v="9.5318359999999984"/>
    <n v="51.660083"/>
    <n v="5.2377000000000002"/>
    <n v="7.5347410000000004"/>
    <n v="2.9528560000000001"/>
    <n v="9.0709429999999998"/>
    <n v="26.863842999999999"/>
    <n v="10982.501333333334"/>
    <n v="1147.4366666666667"/>
    <n v="1851.6506666666667"/>
    <n v="1029.1233333333332"/>
    <n v="1134.3983333333333"/>
    <n v="5819.8923333333332"/>
    <n v="859.9"/>
    <n v="112.041"/>
    <n v="123.746"/>
    <n v="67.341999999999999"/>
    <n v="119.129"/>
    <n v="2664.2"/>
    <n v="338.54899999999998"/>
    <n v="350.91199999999998"/>
    <n v="207.559"/>
    <n v="380.34500000000003"/>
    <n v="3.0982672403767877"/>
    <n v="3.0216527878187449"/>
    <n v="2.8357441856706478"/>
    <n v="3.0821626919307414"/>
    <n v="3.1927154597117413"/>
    <n v="3.0459999999999998"/>
  </r>
  <r>
    <x v="107"/>
    <x v="0"/>
    <n v="41.418644999999998"/>
    <n v="7.2671080000000003"/>
    <n v="8.5937450000000002"/>
    <n v="4.9009239999999998"/>
    <n v="8.4598600000000008"/>
    <n v="12.197007999999997"/>
    <n v="33.853327"/>
    <n v="5.9201300000000003"/>
    <n v="7.0635159999999999"/>
    <n v="4.1835990000000001"/>
    <n v="6.7356400000000001"/>
    <n v="9.9504419999999989"/>
    <n v="51.534990000000001"/>
    <n v="5.2171989999999999"/>
    <n v="7.1666359999999996"/>
    <n v="3.0473219999999999"/>
    <n v="9.0626529999999992"/>
    <n v="27.041180000000004"/>
    <n v="10982.501333333334"/>
    <n v="1147.4366666666667"/>
    <n v="1851.6506666666667"/>
    <n v="1029.1233333333332"/>
    <n v="1134.3983333333333"/>
    <n v="5819.8923333333332"/>
    <n v="889.7"/>
    <n v="116.416"/>
    <n v="123.973"/>
    <n v="72.141999999999996"/>
    <n v="122.167"/>
    <n v="2742.9"/>
    <n v="358.23700000000002"/>
    <n v="362.00299999999999"/>
    <n v="225.001"/>
    <n v="400.80099999999999"/>
    <n v="3.0829493087557602"/>
    <n v="3.0772144722374932"/>
    <n v="2.9200148419413905"/>
    <n v="3.1188627983698818"/>
    <n v="3.2807632175628441"/>
    <n v="2.8730000000000002"/>
  </r>
  <r>
    <x v="108"/>
    <x v="0"/>
    <n v="43.663212000000001"/>
    <n v="7.250445"/>
    <n v="8.2170349999999992"/>
    <n v="8.1983999999999995"/>
    <n v="8.0693380000000001"/>
    <n v="11.927994000000005"/>
    <n v="34.351703000000001"/>
    <n v="5.6810970000000003"/>
    <n v="6.5339999999999998"/>
    <n v="6.6515690000000003"/>
    <n v="6.0986359999999999"/>
    <n v="9.3864009999999993"/>
    <n v="47.080840000000002"/>
    <n v="4.9972789999999998"/>
    <n v="6.5446749999999998"/>
    <n v="4.984089"/>
    <n v="8.1699629999999992"/>
    <n v="22.384834000000001"/>
    <n v="10840.012333333334"/>
    <n v="1163.0413333333333"/>
    <n v="1865.1953333333333"/>
    <n v="1650.1816666666666"/>
    <n v="1104.5063333333333"/>
    <n v="5057.0876666666682"/>
    <n v="808.5"/>
    <n v="115.60899999999999"/>
    <n v="115.158"/>
    <n v="118.364"/>
    <n v="116.468"/>
    <n v="2538.5"/>
    <n v="352.29899999999998"/>
    <n v="366.041"/>
    <n v="361.45"/>
    <n v="376.35399999999998"/>
    <n v="3.139764996907854"/>
    <n v="3.047331955124601"/>
    <n v="3.1785981000017367"/>
    <n v="3.0537156567875368"/>
    <n v="3.2313940309784659"/>
    <n v="3.0870000000000002"/>
  </r>
  <r>
    <x v="109"/>
    <x v="0"/>
    <n v="42.100566000000001"/>
    <n v="6.9355330000000004"/>
    <n v="7.8010979999999996"/>
    <n v="8.0895320000000002"/>
    <n v="7.8300299999999998"/>
    <n v="11.444372999999999"/>
    <n v="33.423710999999997"/>
    <n v="5.4385149999999998"/>
    <n v="6.3536669999999997"/>
    <n v="6.48306"/>
    <n v="5.9584520000000003"/>
    <n v="9.1900169999999974"/>
    <n v="46.405385000000003"/>
    <n v="4.8678119999999998"/>
    <n v="6.4619460000000002"/>
    <n v="4.9192819999999999"/>
    <n v="8.0503660000000004"/>
    <n v="22.105979000000001"/>
    <n v="10840.012333333334"/>
    <n v="1163.0413333333333"/>
    <n v="1865.1953333333333"/>
    <n v="1650.1816666666666"/>
    <n v="1104.5063333333333"/>
    <n v="5057.0876666666682"/>
    <n v="788.3"/>
    <n v="111.386"/>
    <n v="109.91500000000001"/>
    <n v="116.61799999999999"/>
    <n v="112.991"/>
    <n v="2559.6"/>
    <n v="357.36700000000002"/>
    <n v="356.94200000000001"/>
    <n v="365.51400000000001"/>
    <n v="379.447"/>
    <n v="3.2469871876189269"/>
    <n v="3.2083655037437384"/>
    <n v="3.2474366555975069"/>
    <n v="3.134284587284982"/>
    <n v="3.3582055207936916"/>
    <n v="3.2069999999999999"/>
  </r>
  <r>
    <x v="110"/>
    <x v="0"/>
    <n v="48.403540999999997"/>
    <n v="7.6318779999999995"/>
    <n v="9.1815189999999998"/>
    <n v="9.3791470000000015"/>
    <n v="9.0922790000000013"/>
    <n v="13.118717999999994"/>
    <n v="41.084615999999997"/>
    <n v="6.4498230000000003"/>
    <n v="8.0842679999999998"/>
    <n v="7.9695239999999998"/>
    <n v="7.4562290000000004"/>
    <n v="11.124771999999997"/>
    <n v="56.200391000000003"/>
    <n v="5.7998130000000003"/>
    <n v="8.2276310000000006"/>
    <n v="5.9520819999999999"/>
    <n v="9.7457949999999993"/>
    <n v="26.475070000000002"/>
    <n v="10840.012333333334"/>
    <n v="1163.0413333333333"/>
    <n v="1865.1953333333333"/>
    <n v="1650.1816666666666"/>
    <n v="1104.5063333333333"/>
    <n v="5057.0876666666682"/>
    <n v="891.3"/>
    <n v="123.20399999999999"/>
    <n v="129.464"/>
    <n v="133.792"/>
    <n v="130.90600000000001"/>
    <n v="2966.7"/>
    <n v="405.20699999999999"/>
    <n v="431.40699999999998"/>
    <n v="440.66899999999998"/>
    <n v="423.75400000000002"/>
    <n v="3.3285089195557052"/>
    <n v="3.2889110743157692"/>
    <n v="3.3322545263548169"/>
    <n v="3.2936872159770387"/>
    <n v="3.2370861534230668"/>
    <n v="3.2559999999999998"/>
  </r>
  <r>
    <x v="111"/>
    <x v="0"/>
    <n v="46.492944000000001"/>
    <n v="7.1643670000000004"/>
    <n v="8.8045589999999994"/>
    <n v="9.0316419999999997"/>
    <n v="8.9058259999999994"/>
    <n v="12.586550000000003"/>
    <n v="39.178576"/>
    <n v="6.1010350000000004"/>
    <n v="7.6720280000000001"/>
    <n v="7.7533899999999996"/>
    <n v="7.1108560000000001"/>
    <n v="10.541266999999998"/>
    <n v="53.691569999999999"/>
    <n v="5.4078540000000004"/>
    <n v="7.9682120000000003"/>
    <n v="5.7576000000000001"/>
    <n v="9.3710459999999998"/>
    <n v="25.186857999999997"/>
    <n v="11921.080333333333"/>
    <n v="1265.2863333333332"/>
    <n v="2124.3246666666669"/>
    <n v="1914.1826666666666"/>
    <n v="1525.2056666666667"/>
    <n v="5092.0810000000001"/>
    <n v="844.9"/>
    <n v="114.73099999999999"/>
    <n v="122.738"/>
    <n v="126.98399999999999"/>
    <n v="156.19800000000001"/>
    <n v="2825.1"/>
    <n v="386.38400000000001"/>
    <n v="420.39299999999997"/>
    <n v="411.62700000000001"/>
    <n v="514.55200000000002"/>
    <n v="3.3437093147118002"/>
    <n v="3.3677384490678199"/>
    <n v="3.4251250631426289"/>
    <n v="3.2415658665658666"/>
    <n v="3.2942291194509532"/>
    <n v="3.226"/>
  </r>
  <r>
    <x v="112"/>
    <x v="0"/>
    <n v="47.784970999999999"/>
    <n v="7.5885879999999997"/>
    <n v="9.0385920000000013"/>
    <n v="9.2531610000000004"/>
    <n v="9.1403809999999996"/>
    <n v="12.764249"/>
    <n v="40.594168000000003"/>
    <n v="6.5110640000000002"/>
    <n v="7.8498460000000003"/>
    <n v="8.0035129999999999"/>
    <n v="7.4207479999999997"/>
    <n v="10.808997000000002"/>
    <n v="55.749349000000002"/>
    <n v="5.8101120000000002"/>
    <n v="8.1845119999999998"/>
    <n v="5.9089660000000004"/>
    <n v="9.7505860000000002"/>
    <n v="26.095173000000003"/>
    <n v="11921.080333333333"/>
    <n v="1265.2863333333332"/>
    <n v="2124.3246666666669"/>
    <n v="1914.1826666666666"/>
    <n v="1525.2056666666667"/>
    <n v="5092.0810000000001"/>
    <n v="885"/>
    <n v="122.556"/>
    <n v="127.273"/>
    <n v="133.833"/>
    <n v="162.27799999999999"/>
    <n v="2867.4"/>
    <n v="405.75599999999997"/>
    <n v="432.63799999999998"/>
    <n v="419.28"/>
    <n v="508.46600000000001"/>
    <n v="3.24"/>
    <n v="3.3107803779496718"/>
    <n v="3.3992912872329559"/>
    <n v="3.1328596086167089"/>
    <n v="3.1333021111919055"/>
    <n v="2.9740000000000002"/>
  </r>
  <r>
    <x v="113"/>
    <x v="0"/>
    <n v="49.423730999999997"/>
    <n v="7.3151899999999994"/>
    <n v="9.6256090000000007"/>
    <n v="9.8312600000000003"/>
    <n v="9.3632480000000005"/>
    <n v="13.288423999999999"/>
    <n v="43.039887"/>
    <n v="6.5200129999999996"/>
    <n v="8.5870949999999997"/>
    <n v="8.6142009999999996"/>
    <n v="7.8576119999999996"/>
    <n v="11.460966000000003"/>
    <n v="57.903292999999998"/>
    <n v="5.7633140000000003"/>
    <n v="8.7315989999999992"/>
    <n v="6.1852790000000004"/>
    <n v="10.097756"/>
    <n v="27.125344999999996"/>
    <n v="11921.080333333333"/>
    <n v="1265.2863333333332"/>
    <n v="2124.3246666666669"/>
    <n v="1914.1826666666666"/>
    <n v="1525.2056666666667"/>
    <n v="5092.0810000000001"/>
    <n v="905.7"/>
    <n v="119.34399999999999"/>
    <n v="135.70599999999999"/>
    <n v="141.19300000000001"/>
    <n v="163.88900000000001"/>
    <n v="2708.8"/>
    <n v="355.00900000000001"/>
    <n v="459.79300000000001"/>
    <n v="402.99299999999999"/>
    <n v="484.28500000000003"/>
    <n v="2.9908358175996468"/>
    <n v="2.9746698619117846"/>
    <n v="3.3881552768484817"/>
    <n v="2.8541995708002519"/>
    <n v="2.9549573186730043"/>
    <n v="2.6779999999999999"/>
  </r>
  <r>
    <x v="114"/>
    <x v="0"/>
    <n v="51.651941999999998"/>
    <n v="7.6286339999999999"/>
    <n v="10.095748"/>
    <n v="10.016298000000001"/>
    <n v="9.7761749999999985"/>
    <n v="14.135087000000006"/>
    <n v="45.104357999999998"/>
    <n v="6.7576869999999998"/>
    <n v="9.0450479999999995"/>
    <n v="8.8570740000000008"/>
    <n v="8.2139209999999991"/>
    <n v="12.230628000000003"/>
    <n v="59.688267000000003"/>
    <n v="5.8627900000000004"/>
    <n v="9.0711030000000008"/>
    <n v="6.3260839999999998"/>
    <n v="10.440046000000001"/>
    <n v="27.988244000000002"/>
    <n v="11421.025333333333"/>
    <n v="1188.9829999999999"/>
    <n v="2038.6670000000001"/>
    <n v="1855.7079999999999"/>
    <n v="1422.0603333333331"/>
    <n v="4915.607"/>
    <n v="918.7"/>
    <n v="124.774"/>
    <n v="143.255"/>
    <n v="146.38999999999999"/>
    <n v="169.96"/>
    <n v="2716.2"/>
    <n v="367.78199999999998"/>
    <n v="456.71199999999999"/>
    <n v="412.79"/>
    <n v="495.57400000000001"/>
    <n v="2.9565690649831278"/>
    <n v="2.9475852341032587"/>
    <n v="3.1881051272206906"/>
    <n v="2.8197964341826633"/>
    <n v="2.9158272534714049"/>
    <n v="2.8919999999999999"/>
  </r>
  <r>
    <x v="115"/>
    <x v="0"/>
    <n v="50.617932000000003"/>
    <n v="7.4872520000000007"/>
    <n v="9.9855049999999999"/>
    <n v="9.8935840000000006"/>
    <n v="9.2925930000000001"/>
    <n v="13.958998000000001"/>
    <n v="44.080874999999999"/>
    <n v="6.5460339999999997"/>
    <n v="8.8875890000000002"/>
    <n v="8.7695399999999992"/>
    <n v="7.8301480000000003"/>
    <n v="12.047564000000001"/>
    <n v="58.646304000000001"/>
    <n v="5.6703330000000003"/>
    <n v="9.0184510000000007"/>
    <n v="6.2847179999999998"/>
    <n v="10.108416"/>
    <n v="27.564385999999999"/>
    <n v="11421.025333333333"/>
    <n v="1188.9829999999999"/>
    <n v="2038.6670000000001"/>
    <n v="1855.7079999999999"/>
    <n v="1422.0603333333331"/>
    <n v="4915.607"/>
    <n v="904.8"/>
    <n v="122.15"/>
    <n v="141.809"/>
    <n v="143.631"/>
    <n v="161.46899999999999"/>
    <n v="2796.6"/>
    <n v="367.02600000000001"/>
    <n v="448.02600000000001"/>
    <n v="433.36"/>
    <n v="494.36500000000001"/>
    <n v="3.090848806366048"/>
    <n v="3.0047155137126484"/>
    <n v="3.1593622407604598"/>
    <n v="3.0171759578364004"/>
    <n v="3.0616712805554007"/>
    <n v="3.1560000000000001"/>
  </r>
  <r>
    <x v="116"/>
    <x v="0"/>
    <n v="45.295872000000003"/>
    <n v="6.8633709999999999"/>
    <n v="8.8901719999999997"/>
    <n v="8.5880930000000006"/>
    <n v="8.5209440000000001"/>
    <n v="12.433292000000002"/>
    <n v="36.587791000000003"/>
    <n v="5.5610850000000003"/>
    <n v="7.2690929999999998"/>
    <n v="7.0514679999999998"/>
    <n v="6.6015920000000001"/>
    <n v="10.104553000000003"/>
    <n v="50.134504"/>
    <n v="4.9278380000000004"/>
    <n v="7.6514090000000001"/>
    <n v="5.2533110000000001"/>
    <n v="8.7069010000000002"/>
    <n v="23.595044999999999"/>
    <n v="11421.025333333333"/>
    <n v="1188.9829999999999"/>
    <n v="2038.6670000000001"/>
    <n v="1855.7079999999999"/>
    <n v="1422.0603333333331"/>
    <n v="4915.607"/>
    <n v="816.1"/>
    <n v="110.35"/>
    <n v="127.411"/>
    <n v="123.789"/>
    <n v="143.494"/>
    <n v="2660.3"/>
    <n v="377.59300000000002"/>
    <n v="377.42500000000001"/>
    <n v="399.99299999999999"/>
    <n v="471.834"/>
    <n v="3.2597720867540745"/>
    <n v="3.4217761667421844"/>
    <n v="2.9622638547692115"/>
    <n v="3.2312483338584204"/>
    <n v="3.2881792966953323"/>
    <n v="3.1909999999999998"/>
  </r>
  <r>
    <x v="117"/>
    <x v="0"/>
    <n v="46.143196000000003"/>
    <n v="6.9814319999999999"/>
    <n v="9.0324580000000001"/>
    <n v="8.558764"/>
    <n v="8.9674079999999989"/>
    <n v="12.603134000000004"/>
    <n v="38.924835999999999"/>
    <n v="5.9036530000000003"/>
    <n v="7.7975399999999997"/>
    <n v="7.3483669999999996"/>
    <n v="7.2399100000000001"/>
    <n v="10.635365999999998"/>
    <n v="53.779646"/>
    <n v="5.3073519999999998"/>
    <n v="8.3656400000000009"/>
    <n v="5.5109339999999998"/>
    <n v="9.5904430000000005"/>
    <n v="25.005277"/>
    <n v="11094.619000000001"/>
    <n v="1134.855"/>
    <n v="1920.2496666666666"/>
    <n v="1687.3873333333333"/>
    <n v="1377.607"/>
    <n v="4974.5200000000004"/>
    <n v="827.8"/>
    <n v="113.461"/>
    <n v="130.02799999999999"/>
    <n v="124.52200000000001"/>
    <n v="150.27500000000001"/>
    <n v="2728.7"/>
    <n v="371.50400000000002"/>
    <n v="436.33800000000002"/>
    <n v="398.41500000000002"/>
    <n v="509.36700000000002"/>
    <n v="3.2963276153660304"/>
    <n v="3.2742880813671662"/>
    <n v="3.3557233826560435"/>
    <n v="3.1995550986974188"/>
    <n v="3.3895657960405923"/>
    <n v="3.1110000000000002"/>
  </r>
  <r>
    <x v="118"/>
    <x v="0"/>
    <n v="45.223151999999999"/>
    <n v="6.9886859999999995"/>
    <n v="8.7108570000000007"/>
    <n v="8.2496730000000014"/>
    <n v="8.5886299999999984"/>
    <n v="12.685305999999997"/>
    <n v="37.531165999999999"/>
    <n v="5.8212089999999996"/>
    <n v="7.3630610000000001"/>
    <n v="6.911664"/>
    <n v="6.8801889999999997"/>
    <n v="10.555042999999998"/>
    <n v="51.844481999999999"/>
    <n v="5.217765"/>
    <n v="7.8856809999999999"/>
    <n v="5.204739"/>
    <n v="9.1631359999999997"/>
    <n v="24.373160999999996"/>
    <n v="11094.619000000001"/>
    <n v="1134.855"/>
    <n v="1920.2496666666666"/>
    <n v="1687.3873333333333"/>
    <n v="1377.607"/>
    <n v="4974.5200000000004"/>
    <n v="795.5"/>
    <n v="101.803"/>
    <n v="123.735"/>
    <n v="116.09099999999999"/>
    <n v="143.102"/>
    <n v="2525.9"/>
    <n v="351.50700000000001"/>
    <n v="389.80700000000002"/>
    <n v="356.99799999999999"/>
    <n v="453.69"/>
    <n v="3.1752357008170962"/>
    <n v="3.4528157323458051"/>
    <n v="3.1503374146361178"/>
    <n v="3.0751565582172606"/>
    <n v="3.170395941356515"/>
    <n v="2.96"/>
  </r>
  <r>
    <x v="119"/>
    <x v="0"/>
    <n v="46.728859999999997"/>
    <n v="7.402304"/>
    <n v="8.6323679999999996"/>
    <n v="8.6865040000000011"/>
    <n v="8.8367760000000004"/>
    <n v="13.170907999999997"/>
    <n v="38.200662000000001"/>
    <n v="6.0581389999999997"/>
    <n v="7.1443079999999997"/>
    <n v="7.2455730000000003"/>
    <n v="6.9018600000000001"/>
    <n v="10.850782000000002"/>
    <n v="51.165450999999997"/>
    <n v="5.3772970000000004"/>
    <n v="7.3280120000000002"/>
    <n v="5.2467439999999996"/>
    <n v="9.0396199999999993"/>
    <n v="24.173777999999999"/>
    <n v="11094.619000000001"/>
    <n v="1134.855"/>
    <n v="1920.2496666666666"/>
    <n v="1687.3873333333333"/>
    <n v="1377.607"/>
    <n v="4974.5200000000004"/>
    <n v="851.5"/>
    <n v="120.303"/>
    <n v="123.901"/>
    <n v="124.434"/>
    <n v="147.42599999999999"/>
    <n v="2662"/>
    <n v="372.19900000000001"/>
    <n v="398.60399999999998"/>
    <n v="376.80599999999998"/>
    <n v="476.005"/>
    <n v="3.126247798003523"/>
    <n v="3.0938463712459376"/>
    <n v="3.2171168917119313"/>
    <n v="3.0281595062442741"/>
    <n v="3.2287724010690111"/>
    <n v="2.94"/>
  </r>
  <r>
    <x v="120"/>
    <x v="0"/>
    <n v="44.950085999999999"/>
    <n v="7.2977790000000002"/>
    <n v="8.3234740000000009"/>
    <n v="8.1113280000000003"/>
    <n v="8.4332829999999994"/>
    <n v="12.784222"/>
    <n v="35.651395999999998"/>
    <n v="5.850422"/>
    <n v="6.7081410000000004"/>
    <n v="6.6845100000000004"/>
    <n v="6.154522"/>
    <n v="10.253800999999999"/>
    <n v="47.816859000000001"/>
    <n v="5.1955960000000001"/>
    <n v="6.9454459999999996"/>
    <n v="4.954097"/>
    <n v="8.0474750000000004"/>
    <n v="22.674244999999999"/>
    <n v="10894.100333333334"/>
    <n v="1165.5226666666667"/>
    <n v="1889.9846666666665"/>
    <n v="1674.0989999999999"/>
    <n v="1344.6056666666666"/>
    <n v="4819.8883333333342"/>
    <n v="810"/>
    <n v="118.343"/>
    <n v="120.117"/>
    <n v="116.72"/>
    <n v="139.334"/>
    <n v="2530"/>
    <n v="381.11900000000003"/>
    <n v="383.04899999999998"/>
    <n v="359.452"/>
    <n v="440.61099999999999"/>
    <n v="3.1234567901234569"/>
    <n v="3.2204608637604255"/>
    <n v="3.1889657583855739"/>
    <n v="3.07960932145305"/>
    <n v="3.1622647738527565"/>
    <n v="3.0910000000000002"/>
  </r>
  <r>
    <x v="121"/>
    <x v="0"/>
    <n v="41.214905999999999"/>
    <n v="6.5993490000000001"/>
    <n v="7.659052"/>
    <n v="7.4427979999999998"/>
    <n v="7.8741199999999996"/>
    <n v="11.639586999999999"/>
    <n v="33.390402999999999"/>
    <n v="5.3662070000000002"/>
    <n v="6.3168040000000003"/>
    <n v="6.2003649999999997"/>
    <n v="5.9824279999999996"/>
    <n v="9.524599000000002"/>
    <n v="45.740158000000001"/>
    <n v="4.822406"/>
    <n v="6.6505359999999998"/>
    <n v="4.6860910000000002"/>
    <n v="7.8919870000000003"/>
    <n v="21.689138"/>
    <n v="10894.100333333334"/>
    <n v="1165.5226666666667"/>
    <n v="1889.9846666666665"/>
    <n v="1674.0989999999999"/>
    <n v="1344.6056666666666"/>
    <n v="4819.8883333333342"/>
    <n v="737.5"/>
    <n v="107.44499999999999"/>
    <n v="110.06699999999999"/>
    <n v="106.911"/>
    <n v="129.63900000000001"/>
    <n v="2422.4"/>
    <n v="347.47300000000001"/>
    <n v="352.35300000000001"/>
    <n v="343.697"/>
    <n v="435.75099999999998"/>
    <n v="3.2846101694915255"/>
    <n v="3.2339615617292572"/>
    <n v="3.2012592330126197"/>
    <n v="3.2147954840942465"/>
    <n v="3.3612647428628728"/>
    <n v="3.218"/>
  </r>
  <r>
    <x v="122"/>
    <x v="0"/>
    <n v="49.492398999999999"/>
    <n v="7.4484750000000002"/>
    <n v="9.535442999999999"/>
    <n v="8.9003610000000002"/>
    <n v="9.7667810000000017"/>
    <n v="13.841338999999998"/>
    <n v="42.221609000000001"/>
    <n v="6.3671530000000001"/>
    <n v="8.2965490000000006"/>
    <n v="7.7287400000000002"/>
    <n v="8.0037430000000001"/>
    <n v="11.825423999999998"/>
    <n v="56.564537999999999"/>
    <n v="5.6731629999999997"/>
    <n v="8.5950170000000004"/>
    <n v="5.7044959999999998"/>
    <n v="10.248051"/>
    <n v="26.343810999999999"/>
    <n v="10894.100333333334"/>
    <n v="1165.5226666666667"/>
    <n v="1889.9846666666665"/>
    <n v="1674.0989999999999"/>
    <n v="1344.6056666666666"/>
    <n v="4819.8883333333342"/>
    <n v="870.8"/>
    <n v="120.703"/>
    <n v="135.852"/>
    <n v="126.24"/>
    <n v="159.02699999999999"/>
    <n v="2789.2"/>
    <n v="384.303"/>
    <n v="444.85700000000003"/>
    <n v="396.02800000000002"/>
    <n v="511.483"/>
    <n v="3.2030316949931099"/>
    <n v="3.1838728117776691"/>
    <n v="3.2745708565203309"/>
    <n v="3.1371039290240814"/>
    <n v="3.2163280449231895"/>
    <n v="2.9689999999999999"/>
  </r>
  <r>
    <x v="123"/>
    <x v="0"/>
    <n v="47.483345"/>
    <n v="7.0500990000000003"/>
    <n v="9.115298000000001"/>
    <n v="8.5708979999999997"/>
    <n v="9.608585999999999"/>
    <n v="13.138463999999999"/>
    <n v="39.406328000000002"/>
    <n v="6.0184189999999997"/>
    <n v="7.7088159999999997"/>
    <n v="7.3051360000000001"/>
    <n v="7.4625219999999999"/>
    <n v="10.911435000000001"/>
    <n v="53.228574999999999"/>
    <n v="5.3492480000000002"/>
    <n v="8.1293000000000006"/>
    <n v="5.2632279999999998"/>
    <n v="9.6430710000000008"/>
    <n v="24.843727999999999"/>
    <n v="11842.632"/>
    <n v="1232.6153333333334"/>
    <n v="2117.0486666666666"/>
    <n v="1921.6409999999998"/>
    <n v="1528.5376666666668"/>
    <n v="5042.7893333333332"/>
    <n v="839.4"/>
    <n v="116.285"/>
    <n v="129.95699999999999"/>
    <n v="122.075"/>
    <n v="155.38399999999999"/>
    <n v="2560.4"/>
    <n v="367.16199999999998"/>
    <n v="407.49799999999999"/>
    <n v="360.34800000000001"/>
    <n v="458.798"/>
    <n v="3.0502740052418398"/>
    <n v="3.157432170959281"/>
    <n v="3.1356371722954517"/>
    <n v="2.9518574646733566"/>
    <n v="2.9526720897904548"/>
    <n v="2.8079999999999998"/>
  </r>
  <r>
    <x v="124"/>
    <x v="0"/>
    <n v="49.034852999999998"/>
    <n v="7.3600029999999999"/>
    <n v="9.2877170000000007"/>
    <n v="8.9843970000000013"/>
    <n v="9.7872469999999989"/>
    <n v="13.615488999999997"/>
    <n v="41.709091000000001"/>
    <n v="6.3678379999999999"/>
    <n v="7.9999830000000003"/>
    <n v="7.795617"/>
    <n v="8.0161960000000008"/>
    <n v="11.529457000000001"/>
    <n v="56.562928999999997"/>
    <n v="5.6615029999999997"/>
    <n v="8.5217139999999993"/>
    <n v="5.6186959999999999"/>
    <n v="10.354673"/>
    <n v="26.406343"/>
    <n v="11842.632"/>
    <n v="1232.6153333333334"/>
    <n v="2117.0486666666666"/>
    <n v="1921.6409999999998"/>
    <n v="1528.5376666666668"/>
    <n v="5042.7893333333332"/>
    <n v="867.8"/>
    <n v="121.292"/>
    <n v="132.86600000000001"/>
    <n v="128.334"/>
    <n v="158.03899999999999"/>
    <n v="2532.8000000000002"/>
    <n v="352.887"/>
    <n v="393.03100000000001"/>
    <n v="358.65"/>
    <n v="476.58800000000002"/>
    <n v="2.9186448490435586"/>
    <n v="2.9094004551000889"/>
    <n v="2.9581006427528487"/>
    <n v="2.7946608069568466"/>
    <n v="3.0156353811400987"/>
    <n v="2.7250000000000001"/>
  </r>
  <r>
    <x v="125"/>
    <x v="0"/>
    <n v="50.555970000000002"/>
    <n v="7.334295"/>
    <n v="9.8190640000000009"/>
    <n v="9.4162999999999997"/>
    <n v="9.9384540000000001"/>
    <n v="14.047857"/>
    <n v="44.089519000000003"/>
    <n v="6.5436870000000003"/>
    <n v="8.6375890000000002"/>
    <n v="8.3729750000000003"/>
    <n v="8.4365970000000008"/>
    <n v="12.098671000000003"/>
    <n v="57.990788999999999"/>
    <n v="5.7665110000000004"/>
    <n v="8.9558289999999996"/>
    <n v="5.8350429999999998"/>
    <n v="10.501237"/>
    <n v="26.932169000000002"/>
    <n v="11842.632"/>
    <n v="1232.6153333333334"/>
    <n v="2117.0486666666666"/>
    <n v="1921.6409999999998"/>
    <n v="1528.5376666666668"/>
    <n v="5042.7893333333332"/>
    <n v="889.6"/>
    <n v="122.018"/>
    <n v="141.21199999999999"/>
    <n v="134.755"/>
    <n v="160.69"/>
    <n v="2579.9"/>
    <n v="353.697"/>
    <n v="429.74900000000002"/>
    <n v="373.65800000000002"/>
    <n v="462.73500000000001"/>
    <n v="2.9000674460431655"/>
    <n v="2.8987280565162519"/>
    <n v="3.0432895221369294"/>
    <n v="2.7728692812882643"/>
    <n v="2.8796751509116936"/>
    <n v="2.7690000000000001"/>
  </r>
  <r>
    <x v="126"/>
    <x v="0"/>
    <n v="52.846639000000003"/>
    <n v="7.6305309999999995"/>
    <n v="10.459715000000001"/>
    <n v="9.6763439999999985"/>
    <n v="10.255768"/>
    <n v="14.824281000000006"/>
    <n v="45.931973999999997"/>
    <n v="6.7794230000000004"/>
    <n v="9.1703550000000007"/>
    <n v="8.5603890000000007"/>
    <n v="8.5961300000000005"/>
    <n v="12.825676999999992"/>
    <n v="59.310478000000003"/>
    <n v="5.9049149999999999"/>
    <n v="9.2859960000000008"/>
    <n v="5.8998220000000003"/>
    <n v="10.516679"/>
    <n v="27.703066000000003"/>
    <n v="11996.835333333334"/>
    <n v="1244.9206666666666"/>
    <n v="2188.9316666666668"/>
    <n v="1930.8890000000001"/>
    <n v="1496.1009999999999"/>
    <n v="5135.9930000000013"/>
    <n v="926.1"/>
    <n v="126.364"/>
    <n v="151.64400000000001"/>
    <n v="138.49"/>
    <n v="165.61799999999999"/>
    <n v="2699.1"/>
    <n v="352.375"/>
    <n v="444.976"/>
    <n v="399.19"/>
    <n v="483.75599999999997"/>
    <n v="2.9144800777453836"/>
    <n v="2.7885711120255769"/>
    <n v="2.9343462319643376"/>
    <n v="2.8824463860206513"/>
    <n v="2.9209143933630402"/>
    <n v="2.8940000000000001"/>
  </r>
  <r>
    <x v="127"/>
    <x v="0"/>
    <n v="51.900230999999998"/>
    <n v="7.6285080000000001"/>
    <n v="10.364130999999999"/>
    <n v="9.5957419999999995"/>
    <n v="9.7345269999999999"/>
    <n v="14.577323"/>
    <n v="44.563454"/>
    <n v="6.5897490000000003"/>
    <n v="9.0267300000000006"/>
    <n v="8.5153739999999996"/>
    <n v="7.9312389999999997"/>
    <n v="12.500362000000003"/>
    <n v="58.115405000000003"/>
    <n v="5.7179929999999999"/>
    <n v="9.1863869999999999"/>
    <n v="5.9020849999999996"/>
    <n v="9.9288059999999998"/>
    <n v="27.380134000000005"/>
    <n v="11996.835333333334"/>
    <n v="1244.9206666666666"/>
    <n v="2188.9316666666668"/>
    <n v="1930.8890000000001"/>
    <n v="1496.1009999999999"/>
    <n v="5135.9930000000013"/>
    <n v="897.4"/>
    <n v="112.01900000000001"/>
    <n v="149.25700000000001"/>
    <n v="137.97300000000001"/>
    <n v="156.09299999999999"/>
    <n v="2737.3"/>
    <n v="383.71499999999997"/>
    <n v="439.04700000000003"/>
    <n v="408.18700000000001"/>
    <n v="463.94600000000003"/>
    <n v="3.0502562959661246"/>
    <n v="3.4254456833215792"/>
    <n v="2.9415504800444872"/>
    <n v="2.9584556398715689"/>
    <n v="2.972240907664021"/>
    <n v="3.0030000000000001"/>
  </r>
  <r>
    <x v="128"/>
    <x v="0"/>
    <n v="46.236500999999997"/>
    <n v="6.9325140000000003"/>
    <n v="8.9658269999999991"/>
    <n v="8.4509559999999997"/>
    <n v="8.9572690000000001"/>
    <n v="12.929934999999993"/>
    <n v="37.451642999999997"/>
    <n v="5.5865600000000004"/>
    <n v="7.3867120000000002"/>
    <n v="7.0629330000000001"/>
    <n v="6.9077099999999998"/>
    <n v="10.507727999999993"/>
    <n v="50.766098"/>
    <n v="5.0042260000000001"/>
    <n v="7.8561100000000001"/>
    <n v="5.0972140000000001"/>
    <n v="8.8948680000000007"/>
    <n v="23.913679999999999"/>
    <n v="11996.835333333334"/>
    <n v="1244.9206666666666"/>
    <n v="2188.9316666666668"/>
    <n v="1930.8890000000001"/>
    <n v="1496.1009999999999"/>
    <n v="5135.9930000000013"/>
    <n v="798.8"/>
    <n v="111.83499999999999"/>
    <n v="128.97999999999999"/>
    <n v="120.623"/>
    <n v="140.52000000000001"/>
    <n v="2464.4"/>
    <n v="363.08199999999999"/>
    <n v="378.65199999999999"/>
    <n v="364.59100000000001"/>
    <n v="432.71300000000002"/>
    <n v="3.085127691537306"/>
    <n v="3.2465864890240086"/>
    <n v="2.9357419755000778"/>
    <n v="3.0225661772630428"/>
    <n v="3.0793694847708513"/>
    <n v="2.9340000000000002"/>
  </r>
  <r>
    <x v="129"/>
    <x v="0"/>
    <n v="48.216943999999998"/>
    <n v="7.2737850000000002"/>
    <n v="9.3547860000000007"/>
    <n v="8.9256020000000014"/>
    <n v="9.4708830000000006"/>
    <n v="13.191887999999992"/>
    <n v="39.944003000000002"/>
    <n v="6.1159179999999997"/>
    <n v="7.8282569999999998"/>
    <n v="7.5342950000000002"/>
    <n v="7.5304250000000001"/>
    <n v="10.935108"/>
    <n v="54.706246"/>
    <n v="5.5378230000000004"/>
    <n v="8.4951699999999999"/>
    <n v="5.5246930000000001"/>
    <n v="9.7648810000000008"/>
    <n v="25.383679000000001"/>
    <n v="11648.031333333332"/>
    <n v="1192.2243333333333"/>
    <n v="2044.3216666666667"/>
    <n v="1840.0283333333334"/>
    <n v="1459.9620000000002"/>
    <n v="5111.4949999999981"/>
    <n v="839.8"/>
    <n v="105.479"/>
    <n v="134.24"/>
    <n v="127.404"/>
    <n v="148.869"/>
    <n v="2557.6"/>
    <n v="363.98599999999999"/>
    <n v="400.72699999999998"/>
    <n v="374.04300000000001"/>
    <n v="442.09699999999998"/>
    <n v="3.0454870207192188"/>
    <n v="3.4507911527413038"/>
    <n v="2.9851534564958282"/>
    <n v="2.9358811340303288"/>
    <n v="2.9697049083422336"/>
    <n v="2.8849999999999998"/>
  </r>
  <r>
    <x v="130"/>
    <x v="0"/>
    <n v="46.412998999999999"/>
    <n v="6.9706099999999998"/>
    <n v="8.7905949999999997"/>
    <n v="8.4594529999999999"/>
    <n v="9.0918489999999998"/>
    <n v="13.100492000000003"/>
    <n v="37.260727000000003"/>
    <n v="5.6153009999999997"/>
    <n v="7.0486639999999996"/>
    <n v="6.9573830000000001"/>
    <n v="7.1559090000000003"/>
    <n v="10.483470000000004"/>
    <n v="50.542543000000002"/>
    <n v="5.0395669999999999"/>
    <n v="7.6614149999999999"/>
    <n v="5.1229240000000003"/>
    <n v="9.2825849999999992"/>
    <n v="23.436052000000004"/>
    <n v="11648.031333333332"/>
    <n v="1192.2243333333333"/>
    <n v="2044.3216666666667"/>
    <n v="1840.0283333333334"/>
    <n v="1459.9620000000002"/>
    <n v="5111.4949999999981"/>
    <n v="801.9"/>
    <n v="99.531000000000006"/>
    <n v="126.083"/>
    <n v="119.131"/>
    <n v="139.99100000000001"/>
    <n v="2423"/>
    <n v="331.40699999999998"/>
    <n v="387.041"/>
    <n v="344.49400000000003"/>
    <n v="415.26"/>
    <n v="3.0215737623145031"/>
    <n v="3.3296862284112483"/>
    <n v="3.0697318433095657"/>
    <n v="2.8917242363448641"/>
    <n v="2.9663335500139292"/>
    <n v="2.83"/>
  </r>
  <r>
    <x v="131"/>
    <x v="0"/>
    <n v="48.506216000000002"/>
    <n v="7.2372520000000007"/>
    <n v="9.0305689999999998"/>
    <n v="8.721093999999999"/>
    <n v="9.6456029999999995"/>
    <n v="13.871698000000002"/>
    <n v="41.313840999999996"/>
    <n v="6.1418179999999998"/>
    <n v="7.7952659999999998"/>
    <n v="7.6754280000000001"/>
    <n v="8.0009169999999994"/>
    <n v="11.700412"/>
    <n v="54.332935999999997"/>
    <n v="5.3793040000000003"/>
    <n v="8.0894019999999998"/>
    <n v="5.5050929999999996"/>
    <n v="10.248472"/>
    <n v="25.110664999999997"/>
    <n v="11648.031333333332"/>
    <n v="1192.2243333333333"/>
    <n v="2044.3216666666667"/>
    <n v="1840.0283333333334"/>
    <n v="1459.9620000000002"/>
    <n v="5111.4949999999981"/>
    <n v="877.2"/>
    <n v="116.08199999999999"/>
    <n v="131.142"/>
    <n v="124.61799999999999"/>
    <n v="150.05600000000001"/>
    <n v="2656.4"/>
    <n v="363.30700000000002"/>
    <n v="400.09199999999998"/>
    <n v="368.95699999999999"/>
    <n v="444.21199999999999"/>
    <n v="3.0282717738258094"/>
    <n v="3.1297444909632848"/>
    <n v="3.0508303975842979"/>
    <n v="2.960703911152482"/>
    <n v="2.9603081516233938"/>
    <n v="2.9550000000000001"/>
  </r>
  <r>
    <x v="132"/>
    <x v="0"/>
    <n v="45.345289999999999"/>
    <n v="7.2482749999999996"/>
    <n v="8.4487070000000006"/>
    <n v="7.8814260000000003"/>
    <n v="8.7422720000000016"/>
    <n v="13.024609999999996"/>
    <n v="36.599144000000003"/>
    <n v="5.8554899999999996"/>
    <n v="6.9462120000000001"/>
    <n v="6.6181910000000004"/>
    <n v="6.67157"/>
    <n v="10.507681000000005"/>
    <n v="47.957371000000002"/>
    <n v="5.2228810000000001"/>
    <n v="7.1146029999999998"/>
    <n v="4.7868209999999998"/>
    <n v="8.5690489999999997"/>
    <n v="22.264017000000003"/>
    <n v="11186.149333333333"/>
    <n v="1236.8066666666666"/>
    <n v="2009.2156666666667"/>
    <n v="1668.5290000000002"/>
    <n v="1368.8426666666667"/>
    <n v="4902.7553333333326"/>
    <n v="793.7"/>
    <n v="104.8"/>
    <n v="119.548"/>
    <n v="113.69199999999999"/>
    <n v="134.238"/>
    <n v="2453.9"/>
    <n v="368.87599999999998"/>
    <n v="357.70699999999999"/>
    <n v="339.59199999999998"/>
    <n v="395.14600000000002"/>
    <n v="3.0917223132165805"/>
    <n v="3.5198091603053432"/>
    <n v="2.9921621440760195"/>
    <n v="2.9869471906554552"/>
    <n v="2.943622521193701"/>
    <n v="2.9209999999999998"/>
  </r>
  <r>
    <x v="133"/>
    <x v="0"/>
    <n v="41.658410000000003"/>
    <n v="6.4767869999999998"/>
    <n v="7.6891999999999996"/>
    <n v="7.2363100000000005"/>
    <n v="8.2694729999999996"/>
    <n v="11.986640000000001"/>
    <n v="34.344225999999999"/>
    <n v="5.3543700000000003"/>
    <n v="6.516165"/>
    <n v="6.1017489999999999"/>
    <n v="6.4643249999999997"/>
    <n v="9.9076169999999983"/>
    <n v="45.513184000000003"/>
    <n v="4.8168110000000004"/>
    <n v="6.8287550000000001"/>
    <n v="4.565753"/>
    <n v="8.3824179999999995"/>
    <n v="20.919447000000005"/>
    <n v="11186.149333333333"/>
    <n v="1236.8066666666666"/>
    <n v="2009.2156666666667"/>
    <n v="1668.5290000000002"/>
    <n v="1368.8426666666667"/>
    <n v="4902.7553333333326"/>
    <n v="737.8"/>
    <n v="104.102"/>
    <n v="109.374"/>
    <n v="105.232"/>
    <n v="126.199"/>
    <n v="2246.3000000000002"/>
    <n v="323.28699999999998"/>
    <n v="325.38200000000001"/>
    <n v="315.50700000000001"/>
    <n v="379.47899999999998"/>
    <n v="3.0445920303605316"/>
    <n v="3.1054830838984837"/>
    <n v="2.9749483423848448"/>
    <n v="2.9982039683746389"/>
    <n v="3.0069889618776693"/>
    <n v="2.9649999999999999"/>
  </r>
  <r>
    <x v="134"/>
    <x v="0"/>
    <n v="51.248668000000002"/>
    <n v="7.511342"/>
    <n v="9.9621700000000004"/>
    <n v="8.908513000000001"/>
    <n v="10.529919"/>
    <n v="14.336724000000004"/>
    <n v="43.896813999999999"/>
    <n v="6.4189100000000003"/>
    <n v="8.7623610000000003"/>
    <n v="7.7496400000000003"/>
    <n v="8.7071459999999998"/>
    <n v="12.258756999999996"/>
    <n v="57.762169999999998"/>
    <n v="5.7416239999999998"/>
    <n v="9.2386459999999992"/>
    <n v="5.645416"/>
    <n v="10.944063999999999"/>
    <n v="26.192419999999998"/>
    <n v="11186.149333333333"/>
    <n v="1236.8066666666666"/>
    <n v="2009.2156666666667"/>
    <n v="1668.5290000000002"/>
    <n v="1368.8426666666667"/>
    <n v="4902.7553333333326"/>
    <n v="882.6"/>
    <n v="119.352"/>
    <n v="141.11099999999999"/>
    <n v="125.267"/>
    <n v="157.58500000000001"/>
    <n v="2651.2"/>
    <n v="346.44799999999998"/>
    <n v="426.40600000000001"/>
    <n v="372.27"/>
    <n v="469.36200000000002"/>
    <n v="3.0038522547020166"/>
    <n v="2.9027414706079493"/>
    <n v="3.0217771825017188"/>
    <n v="2.9718122091213166"/>
    <n v="2.9784687628898689"/>
    <n v="2.89"/>
  </r>
  <r>
    <x v="135"/>
    <x v="0"/>
    <n v="49.065683"/>
    <n v="7.1129440000000006"/>
    <n v="9.5866299999999995"/>
    <n v="8.3450260000000007"/>
    <n v="10.228611000000001"/>
    <n v="13.792471999999997"/>
    <n v="41.744692000000001"/>
    <n v="6.1543060000000001"/>
    <n v="8.4065480000000008"/>
    <n v="7.2698119999999999"/>
    <n v="8.3497299999999992"/>
    <n v="11.564295999999999"/>
    <n v="55.247481999999998"/>
    <n v="5.5014050000000001"/>
    <n v="8.9611180000000008"/>
    <n v="5.2637890000000001"/>
    <n v="10.564429000000001"/>
    <n v="24.956740999999997"/>
    <n v="12690.402333333333"/>
    <n v="1384.1636666666666"/>
    <n v="2350.9209999999998"/>
    <n v="1972.2026666666668"/>
    <n v="1649.0936666666666"/>
    <n v="5334.0213333333331"/>
    <n v="851.1"/>
    <n v="112.94199999999999"/>
    <n v="134.90199999999999"/>
    <n v="116.13"/>
    <n v="151.71"/>
    <n v="2536.1"/>
    <n v="346.66300000000001"/>
    <n v="390.36399999999998"/>
    <n v="342.64299999999997"/>
    <n v="444.21899999999999"/>
    <n v="2.9797908588884972"/>
    <n v="3.0693895982008468"/>
    <n v="2.893685786719248"/>
    <n v="2.9505123568414708"/>
    <n v="2.9280798892624085"/>
    <n v="2.8879999999999999"/>
  </r>
  <r>
    <x v="136"/>
    <x v="0"/>
    <n v="50.523117999999997"/>
    <n v="7.2738160000000001"/>
    <n v="9.8626560000000012"/>
    <n v="8.9243480000000002"/>
    <n v="10.359057"/>
    <n v="14.103240999999997"/>
    <n v="43.681148"/>
    <n v="6.3725769999999997"/>
    <n v="8.7295580000000008"/>
    <n v="7.8305720000000001"/>
    <n v="8.6683880000000002"/>
    <n v="12.080052999999999"/>
    <n v="57.888637000000003"/>
    <n v="5.7672559999999997"/>
    <n v="9.3640670000000004"/>
    <n v="5.6765340000000002"/>
    <n v="11.027354000000001"/>
    <n v="26.053426000000002"/>
    <n v="12690.402333333333"/>
    <n v="1384.1636666666666"/>
    <n v="2350.9209999999998"/>
    <n v="1972.2026666666668"/>
    <n v="1649.0936666666666"/>
    <n v="5334.0213333333331"/>
    <n v="874"/>
    <n v="116.203"/>
    <n v="139.53299999999999"/>
    <n v="125.85599999999999"/>
    <n v="153.65700000000001"/>
    <n v="2612.6"/>
    <n v="346.75200000000001"/>
    <n v="407.88799999999998"/>
    <n v="371.46899999999999"/>
    <n v="452.25700000000001"/>
    <n v="2.9892448512585812"/>
    <n v="2.9840193454557973"/>
    <n v="2.9232367970300932"/>
    <n v="2.9515398550724639"/>
    <n v="2.9432892741625829"/>
    <n v="2.8679999999999999"/>
  </r>
  <r>
    <x v="137"/>
    <x v="0"/>
    <n v="52.445034999999997"/>
    <n v="7.3699680000000001"/>
    <n v="10.233839"/>
    <n v="9.3303700000000003"/>
    <n v="10.888866"/>
    <n v="14.621991999999999"/>
    <n v="45.988315"/>
    <n v="6.5597849999999998"/>
    <n v="9.1363669999999999"/>
    <n v="8.2662800000000001"/>
    <n v="9.3750529999999994"/>
    <n v="12.650829999999999"/>
    <n v="59.262095000000002"/>
    <n v="5.9359209999999996"/>
    <n v="9.6046180000000003"/>
    <n v="5.7824179999999998"/>
    <n v="11.506171"/>
    <n v="26.432967000000005"/>
    <n v="12690.402333333333"/>
    <n v="1384.1636666666666"/>
    <n v="2350.9209999999998"/>
    <n v="1972.2026666666668"/>
    <n v="1649.0936666666666"/>
    <n v="5334.0213333333331"/>
    <n v="901.2"/>
    <n v="119.489"/>
    <n v="146.48400000000001"/>
    <n v="131.76400000000001"/>
    <n v="159.78100000000001"/>
    <n v="2677"/>
    <n v="366.34699999999998"/>
    <n v="422.06799999999998"/>
    <n v="385.536"/>
    <n v="458.815"/>
    <n v="2.9704837993786062"/>
    <n v="3.0659474930746762"/>
    <n v="2.881324922858469"/>
    <n v="2.9259585319207067"/>
    <n v="2.8715241486785037"/>
    <n v="2.883"/>
  </r>
  <r>
    <x v="138"/>
    <x v="0"/>
    <n v="55.183860000000003"/>
    <n v="7.7080580000000003"/>
    <n v="10.814486"/>
    <n v="9.6925790000000003"/>
    <n v="11.415306000000001"/>
    <n v="15.553431000000003"/>
    <n v="48.670279000000001"/>
    <n v="6.8786579999999997"/>
    <n v="9.7450639999999993"/>
    <n v="8.5662749999999992"/>
    <n v="9.9030059999999995"/>
    <n v="13.577276000000005"/>
    <n v="61.757697999999998"/>
    <n v="6.1370120000000004"/>
    <n v="10.060931"/>
    <n v="5.9273910000000001"/>
    <n v="11.917562"/>
    <n v="27.714801999999999"/>
    <n v="12641.452333333335"/>
    <n v="1334.384"/>
    <n v="2357.2829999999999"/>
    <n v="1989.0336666666665"/>
    <n v="1583.2160000000001"/>
    <n v="5377.5356666666676"/>
    <n v="928.1"/>
    <n v="110.538"/>
    <n v="153.334"/>
    <n v="135.208"/>
    <n v="166.393"/>
    <n v="2783.3"/>
    <n v="377.91199999999998"/>
    <n v="441.23399999999998"/>
    <n v="391.58499999999998"/>
    <n v="480.27800000000002"/>
    <n v="2.9989225298997955"/>
    <n v="3.4188423890426822"/>
    <n v="2.8776005321715989"/>
    <n v="2.8961673865451747"/>
    <n v="2.88640748108394"/>
    <n v="2.8170000000000002"/>
  </r>
  <r>
    <x v="139"/>
    <x v="0"/>
    <n v="53.570639"/>
    <n v="7.4738129999999998"/>
    <n v="10.797004999999999"/>
    <n v="9.3733629999999994"/>
    <n v="10.513731"/>
    <n v="15.412727000000004"/>
    <n v="46.76408"/>
    <n v="6.568778"/>
    <n v="9.5737649999999999"/>
    <n v="8.3581850000000006"/>
    <n v="8.9961190000000002"/>
    <n v="13.267232999999997"/>
    <n v="59.758814000000001"/>
    <n v="5.8466849999999999"/>
    <n v="9.8751660000000001"/>
    <n v="5.8478969999999997"/>
    <n v="11.134047000000001"/>
    <n v="27.055019000000001"/>
    <n v="12641.452333333335"/>
    <n v="1334.384"/>
    <n v="2357.2829999999999"/>
    <n v="1989.0336666666665"/>
    <n v="1583.2160000000001"/>
    <n v="5377.5356666666676"/>
    <n v="900.4"/>
    <n v="106.55200000000001"/>
    <n v="153.864"/>
    <n v="130.63399999999999"/>
    <n v="154.029"/>
    <n v="2685"/>
    <n v="344.03699999999998"/>
    <n v="449.06599999999997"/>
    <n v="377.267"/>
    <n v="440.95800000000003"/>
    <n v="2.9820079964460242"/>
    <n v="3.2288178541932573"/>
    <n v="2.9185904435085526"/>
    <n v="2.8879694413399273"/>
    <n v="2.8628245330424793"/>
    <n v="2.839"/>
  </r>
  <r>
    <x v="140"/>
    <x v="0"/>
    <n v="48.240659999999998"/>
    <n v="6.8996729999999999"/>
    <n v="9.4367149999999995"/>
    <n v="8.4249419999999997"/>
    <n v="9.7198950000000011"/>
    <n v="13.759434999999996"/>
    <n v="39.767307000000002"/>
    <n v="5.6750410000000002"/>
    <n v="7.9744159999999997"/>
    <n v="7.0533669999999997"/>
    <n v="7.8405810000000002"/>
    <n v="11.223902000000002"/>
    <n v="52.529471999999998"/>
    <n v="5.1630779999999996"/>
    <n v="8.6364450000000001"/>
    <n v="5.1642380000000001"/>
    <n v="10.028081999999999"/>
    <n v="23.537628999999995"/>
    <n v="12641.452333333335"/>
    <n v="1334.384"/>
    <n v="2357.2829999999999"/>
    <n v="1989.0336666666665"/>
    <n v="1583.2160000000001"/>
    <n v="5377.5356666666676"/>
    <n v="822.5"/>
    <n v="108.846"/>
    <n v="135.22300000000001"/>
    <n v="116.845"/>
    <n v="142.172"/>
    <n v="2376.8000000000002"/>
    <n v="323.54399999999998"/>
    <n v="381.38400000000001"/>
    <n v="324.87799999999999"/>
    <n v="402.13"/>
    <n v="2.8897264437689971"/>
    <n v="2.9724932473402785"/>
    <n v="2.8204077708673818"/>
    <n v="2.7804185031451922"/>
    <n v="2.8284753678642769"/>
    <n v="2.7290000000000001"/>
  </r>
  <r>
    <x v="141"/>
    <x v="0"/>
    <n v="50.874952"/>
    <n v="7.2055429999999996"/>
    <n v="9.8817500000000003"/>
    <n v="9.008109000000001"/>
    <n v="10.261948"/>
    <n v="14.517602000000004"/>
    <n v="42.886946999999999"/>
    <n v="6.1132160000000004"/>
    <n v="8.5670520000000003"/>
    <n v="7.5654960000000004"/>
    <n v="8.5363489999999995"/>
    <n v="12.104833999999997"/>
    <n v="57.084923000000003"/>
    <n v="5.5865999999999998"/>
    <n v="9.4303670000000004"/>
    <n v="5.6028250000000002"/>
    <n v="10.953878"/>
    <n v="25.511253000000004"/>
    <n v="12105.968666666668"/>
    <n v="1223.0260000000001"/>
    <n v="2206.9536666666668"/>
    <n v="1810.2323333333334"/>
    <n v="1525.193"/>
    <n v="5340.5636666666669"/>
    <n v="872.5"/>
    <n v="114.541"/>
    <n v="141.56700000000001"/>
    <n v="123.666"/>
    <n v="148.63800000000001"/>
    <n v="2349.1"/>
    <n v="314.24700000000001"/>
    <n v="380.69900000000001"/>
    <n v="322.42200000000003"/>
    <n v="393.52800000000002"/>
    <n v="2.6923782234957021"/>
    <n v="2.7435328834216572"/>
    <n v="2.6891789753261706"/>
    <n v="2.6072000388142258"/>
    <n v="2.6475598433778713"/>
    <n v="2.46"/>
  </r>
  <r>
    <x v="142"/>
    <x v="0"/>
    <n v="48.798003999999999"/>
    <n v="6.9803599999999992"/>
    <n v="9.2313299999999998"/>
    <n v="8.2327009999999987"/>
    <n v="10.111998999999999"/>
    <n v="14.241614000000006"/>
    <n v="39.878655000000002"/>
    <n v="5.6312280000000001"/>
    <n v="7.7372480000000001"/>
    <n v="6.7681750000000003"/>
    <n v="8.1506019999999992"/>
    <n v="11.591402000000002"/>
    <n v="52.578037000000002"/>
    <n v="5.0990700000000002"/>
    <n v="8.5552209999999995"/>
    <n v="5.0591749999999998"/>
    <n v="10.417562"/>
    <n v="23.447009000000001"/>
    <n v="12105.968666666668"/>
    <n v="1223.0260000000001"/>
    <n v="2206.9536666666668"/>
    <n v="1810.2323333333334"/>
    <n v="1525.193"/>
    <n v="5340.5636666666669"/>
    <n v="830"/>
    <n v="108.18899999999999"/>
    <n v="132.167"/>
    <n v="111.46299999999999"/>
    <n v="146.43"/>
    <n v="2138.3000000000002"/>
    <n v="277.392"/>
    <n v="360.69099999999997"/>
    <n v="273.10300000000001"/>
    <n v="364.59899999999999"/>
    <n v="2.576265060240964"/>
    <n v="2.5639575187865682"/>
    <n v="2.7290549078060331"/>
    <n v="2.4501673200972522"/>
    <n v="2.4899200983405039"/>
    <n v="2.2970000000000002"/>
  </r>
  <r>
    <x v="143"/>
    <x v="0"/>
    <n v="51.775407999999999"/>
    <n v="7.629594"/>
    <n v="9.5366579999999992"/>
    <n v="8.7206440000000001"/>
    <n v="10.680966"/>
    <n v="15.207546000000001"/>
    <n v="43.355091999999999"/>
    <n v="6.2529680000000001"/>
    <n v="8.1289650000000009"/>
    <n v="7.4819310000000003"/>
    <n v="8.8656159999999993"/>
    <n v="12.625612"/>
    <n v="55.487071999999998"/>
    <n v="5.5662349999999998"/>
    <n v="8.5501690000000004"/>
    <n v="5.3460559999999999"/>
    <n v="11.250166999999999"/>
    <n v="24.774445"/>
    <n v="12105.968666666668"/>
    <n v="1223.0260000000001"/>
    <n v="2206.9536666666668"/>
    <n v="1810.2323333333334"/>
    <n v="1525.193"/>
    <n v="5340.5636666666669"/>
    <n v="898.9"/>
    <n v="116.95699999999999"/>
    <n v="135.61500000000001"/>
    <n v="118.48099999999999"/>
    <n v="145.839"/>
    <n v="2080.9"/>
    <n v="257.98899999999998"/>
    <n v="340.01400000000001"/>
    <n v="255.114"/>
    <n v="348.13799999999998"/>
    <n v="2.3149404828123261"/>
    <n v="2.2058448831621877"/>
    <n v="2.5072005309147216"/>
    <n v="2.1532059992741455"/>
    <n v="2.3871392425894307"/>
    <n v="1.8009999999999999"/>
  </r>
  <r>
    <x v="144"/>
    <x v="0"/>
    <n v="49.164135999999999"/>
    <n v="7.2365440000000003"/>
    <n v="9.0543650000000007"/>
    <n v="7.865329"/>
    <n v="10.443049999999999"/>
    <n v="14.564847999999998"/>
    <n v="39.114345999999998"/>
    <n v="5.7643319999999996"/>
    <n v="7.3494580000000003"/>
    <n v="6.5396330000000003"/>
    <n v="7.8538230000000002"/>
    <n v="11.607099999999996"/>
    <n v="49.727992"/>
    <n v="5.1401849999999998"/>
    <n v="7.7707439999999997"/>
    <n v="4.8045390000000001"/>
    <n v="9.8915760000000006"/>
    <n v="22.120947999999999"/>
    <n v="11466.815999999999"/>
    <n v="1224.415"/>
    <n v="2156.2483333333334"/>
    <n v="1637.3400000000001"/>
    <n v="1451.5546666666667"/>
    <n v="4997.257999999998"/>
    <n v="826.8"/>
    <n v="110.155"/>
    <n v="128.505"/>
    <n v="107.321"/>
    <n v="142.39099999999999"/>
    <n v="1600.8"/>
    <n v="195.47300000000001"/>
    <n v="321.23399999999998"/>
    <n v="187.32900000000001"/>
    <n v="277.08499999999998"/>
    <n v="1.9361393323657474"/>
    <n v="1.7745268031410286"/>
    <n v="2.4997782187463522"/>
    <n v="1.7455018123200492"/>
    <n v="1.9459446172862049"/>
    <n v="1.496"/>
  </r>
  <r>
    <x v="145"/>
    <x v="0"/>
    <n v="44.390137000000003"/>
    <n v="6.2827010000000003"/>
    <n v="8.3649979999999999"/>
    <n v="7.25718"/>
    <n v="9.2354710000000004"/>
    <n v="13.249787000000001"/>
    <n v="36.692619999999998"/>
    <n v="5.2298020000000003"/>
    <n v="7.0984369999999997"/>
    <n v="6.0833589999999997"/>
    <n v="7.3911160000000002"/>
    <n v="10.889906"/>
    <n v="47.164898000000001"/>
    <n v="4.6840260000000002"/>
    <n v="7.621569"/>
    <n v="4.6070209999999996"/>
    <n v="9.4029539999999994"/>
    <n v="20.849328"/>
    <n v="11466.815999999999"/>
    <n v="1224.415"/>
    <n v="2156.2483333333334"/>
    <n v="1637.3400000000001"/>
    <n v="1451.5546666666667"/>
    <n v="4997.257999999998"/>
    <n v="755"/>
    <n v="97.299000000000007"/>
    <n v="120.218"/>
    <n v="99.63"/>
    <n v="127.521"/>
    <n v="1683.1"/>
    <n v="172.13"/>
    <n v="532.10799999999995"/>
    <n v="171.05099999999999"/>
    <n v="246.07"/>
    <n v="2.2292715231788076"/>
    <n v="1.7690829299376147"/>
    <n v="4.4261924171089184"/>
    <n v="1.7168623908461307"/>
    <n v="1.9296429607672461"/>
    <n v="1.766"/>
  </r>
  <r>
    <x v="146"/>
    <x v="0"/>
    <n v="54.533892000000002"/>
    <n v="7.5678410000000005"/>
    <n v="10.415333"/>
    <n v="8.9997229999999995"/>
    <n v="11.810347"/>
    <n v="15.740648"/>
    <n v="46.890717000000002"/>
    <n v="6.4098480000000002"/>
    <n v="9.2242660000000001"/>
    <n v="7.7396880000000001"/>
    <n v="10.002601"/>
    <n v="13.514313999999999"/>
    <n v="59.557625999999999"/>
    <n v="5.73034"/>
    <n v="9.8985850000000006"/>
    <n v="5.7767140000000001"/>
    <n v="12.354566999999999"/>
    <n v="25.797420000000002"/>
    <n v="11466.815999999999"/>
    <n v="1224.415"/>
    <n v="2156.2483333333334"/>
    <n v="1637.3400000000001"/>
    <n v="1451.5546666666667"/>
    <n v="4997.257999999998"/>
    <n v="906.1"/>
    <n v="115.96599999999999"/>
    <n v="149.44499999999999"/>
    <n v="121.172"/>
    <n v="161.798"/>
    <n v="1818.2"/>
    <n v="211.61099999999999"/>
    <n v="394.71499999999997"/>
    <n v="218.16300000000001"/>
    <n v="303.97399999999999"/>
    <n v="2.0066217856748705"/>
    <n v="1.8247676042978114"/>
    <n v="2.6412057947739971"/>
    <n v="1.8004406958703332"/>
    <n v="1.8787253241696436"/>
    <n v="1.629"/>
  </r>
  <r>
    <x v="147"/>
    <x v="0"/>
    <n v="53.176406"/>
    <n v="7.4905110000000006"/>
    <n v="10.063949000000001"/>
    <n v="8.6246029999999987"/>
    <n v="11.596962"/>
    <n v="15.400381000000003"/>
    <n v="45.132069000000001"/>
    <n v="6.3297150000000002"/>
    <n v="8.7777100000000008"/>
    <n v="7.4222130000000002"/>
    <n v="9.6589270000000003"/>
    <n v="12.943503999999997"/>
    <n v="57.698341999999997"/>
    <n v="5.6882299999999999"/>
    <n v="9.5377369999999999"/>
    <n v="5.5113390000000004"/>
    <n v="12.021031000000001"/>
    <n v="24.940004999999999"/>
    <n v="12662.972333333333"/>
    <n v="1315.9903333333334"/>
    <n v="2438.0266666666666"/>
    <n v="1919.5246666666665"/>
    <n v="1678.4073333333333"/>
    <n v="5311.0233333333335"/>
    <n v="884.1"/>
    <n v="115.849"/>
    <n v="142.98400000000001"/>
    <n v="115.95"/>
    <n v="159.31899999999999"/>
    <n v="1699.7"/>
    <n v="205.60599999999999"/>
    <n v="354.77100000000002"/>
    <n v="200.101"/>
    <n v="292.15499999999997"/>
    <n v="1.9225200769143762"/>
    <n v="1.7747757857210678"/>
    <n v="2.4811936999944049"/>
    <n v="1.7257524795170331"/>
    <n v="1.8337737495214004"/>
    <n v="1.702"/>
  </r>
  <r>
    <x v="148"/>
    <x v="0"/>
    <n v="55.088273000000001"/>
    <n v="7.4646000000000008"/>
    <n v="10.514173000000001"/>
    <n v="9.3343160000000012"/>
    <n v="11.758717000000001"/>
    <n v="16.016466999999992"/>
    <n v="47.181717999999996"/>
    <n v="6.3763940000000003"/>
    <n v="9.2422450000000005"/>
    <n v="8.0656599999999994"/>
    <n v="9.9514189999999996"/>
    <n v="13.545999999999992"/>
    <n v="60.252606999999998"/>
    <n v="5.7046000000000001"/>
    <n v="10.018605000000001"/>
    <n v="5.9844989999999996"/>
    <n v="12.380509999999999"/>
    <n v="26.164392999999997"/>
    <n v="12662.972333333333"/>
    <n v="1315.9903333333334"/>
    <n v="2438.0266666666666"/>
    <n v="1919.5246666666665"/>
    <n v="1678.4073333333333"/>
    <n v="5311.0233333333335"/>
    <n v="909.8"/>
    <n v="114.99299999999999"/>
    <n v="149.126"/>
    <n v="126.461"/>
    <n v="162.32"/>
    <n v="1901.9"/>
    <n v="224.62100000000001"/>
    <n v="369.76"/>
    <n v="244.02799999999999"/>
    <n v="326.649"/>
    <n v="2.0904594416355247"/>
    <n v="1.9533449862165524"/>
    <n v="2.4795139680538605"/>
    <n v="1.9296700168431373"/>
    <n v="2.0123767865943814"/>
    <n v="1.849"/>
  </r>
  <r>
    <x v="149"/>
    <x v="0"/>
    <n v="56.655605000000001"/>
    <n v="7.608714"/>
    <n v="10.929990999999999"/>
    <n v="9.8169210000000007"/>
    <n v="12.138085999999999"/>
    <n v="16.161892999999999"/>
    <n v="49.628025999999998"/>
    <n v="6.7657540000000003"/>
    <n v="9.816846"/>
    <n v="8.6150669999999998"/>
    <n v="10.471378"/>
    <n v="13.958981000000001"/>
    <n v="61.811275999999999"/>
    <n v="5.9382320000000002"/>
    <n v="10.447049"/>
    <n v="6.2319399999999998"/>
    <n v="12.694096999999999"/>
    <n v="26.499957999999999"/>
    <n v="12662.972333333333"/>
    <n v="1315.9903333333334"/>
    <n v="2438.0266666666666"/>
    <n v="1919.5246666666665"/>
    <n v="1678.4073333333333"/>
    <n v="5311.0233333333335"/>
    <n v="939"/>
    <n v="116.31100000000001"/>
    <n v="156.46100000000001"/>
    <n v="132.666"/>
    <n v="167.61799999999999"/>
    <n v="1915.3"/>
    <n v="226.089"/>
    <n v="385.24799999999999"/>
    <n v="246.78299999999999"/>
    <n v="329.54700000000003"/>
    <n v="2.0397231096911606"/>
    <n v="1.9438316238360944"/>
    <n v="2.4622621611775455"/>
    <n v="1.8601827144860024"/>
    <n v="1.9660597310551375"/>
    <n v="1.732"/>
  </r>
  <r>
    <x v="150"/>
    <x v="0"/>
    <n v="65.122649999999993"/>
    <n v="13.433644000000001"/>
    <n v="11.593058000000001"/>
    <n v="10.111394000000001"/>
    <n v="12.765655000000001"/>
    <n v="17.218898999999986"/>
    <n v="57.569878000000003"/>
    <n v="12.080458"/>
    <n v="10.388742000000001"/>
    <n v="8.9960140000000006"/>
    <n v="11.183337"/>
    <n v="14.921326999999998"/>
    <n v="65.129347999999993"/>
    <n v="11.012727999999999"/>
    <n v="10.866963999999999"/>
    <n v="6.4510290000000001"/>
    <n v="13.387625"/>
    <n v="23.411001999999996"/>
    <n v="12723.57"/>
    <n v="2246.277"/>
    <n v="2422.5409999999997"/>
    <n v="1964.7153333333333"/>
    <n v="1749.1463333333334"/>
    <n v="4340.8903333333328"/>
    <n v="986.7"/>
    <n v="201.40799999999999"/>
    <n v="165.18600000000001"/>
    <n v="136.74700000000001"/>
    <n v="176.208"/>
    <n v="1803.6"/>
    <n v="352.87700000000001"/>
    <n v="320.92500000000001"/>
    <n v="234.70500000000001"/>
    <n v="334.39800000000002"/>
    <n v="1.8279112192155669"/>
    <n v="1.7520505640292343"/>
    <n v="1.9428099233591225"/>
    <n v="1.7163447827009002"/>
    <n v="1.8977458458185783"/>
    <n v="1.5489999999999999"/>
  </r>
  <r>
    <x v="151"/>
    <x v="0"/>
    <n v="63.294589000000002"/>
    <n v="13.04087"/>
    <n v="11.610204"/>
    <n v="9.7355390000000011"/>
    <n v="11.848730999999999"/>
    <n v="17.059244999999997"/>
    <n v="55.027203"/>
    <n v="11.565486999999999"/>
    <n v="10.212115000000001"/>
    <n v="8.6216880000000007"/>
    <n v="10.119603"/>
    <n v="14.508310000000002"/>
    <n v="62.770806"/>
    <n v="10.562351"/>
    <n v="10.643803"/>
    <n v="6.2730129999999997"/>
    <n v="12.435731000000001"/>
    <n v="22.855908000000007"/>
    <n v="12723.57"/>
    <n v="2246.277"/>
    <n v="2422.5409999999997"/>
    <n v="1964.7153333333333"/>
    <n v="1749.1463333333334"/>
    <n v="4340.8903333333328"/>
    <n v="957.2"/>
    <n v="195.90600000000001"/>
    <n v="168.041"/>
    <n v="131.67099999999999"/>
    <n v="163.922"/>
    <n v="1605.2"/>
    <n v="317.685"/>
    <n v="307.32400000000001"/>
    <n v="202.059"/>
    <n v="288.10700000000003"/>
    <n v="1.6769745089845383"/>
    <n v="1.6216195522342347"/>
    <n v="1.8288631941014397"/>
    <n v="1.5345748114619013"/>
    <n v="1.7575859250131163"/>
    <n v="1.389"/>
  </r>
  <r>
    <x v="152"/>
    <x v="0"/>
    <n v="56.355727000000002"/>
    <n v="11.602587999999999"/>
    <n v="9.8144980000000004"/>
    <n v="8.6808750000000003"/>
    <n v="10.923960999999998"/>
    <n v="15.333805000000005"/>
    <n v="47.385126999999997"/>
    <n v="9.9446449999999995"/>
    <n v="8.4450979999999998"/>
    <n v="7.4129779999999998"/>
    <n v="9.0564929999999997"/>
    <n v="12.525913000000003"/>
    <n v="55.989598999999998"/>
    <n v="9.3946249999999996"/>
    <n v="9.3108050000000002"/>
    <n v="5.6554589999999996"/>
    <n v="11.424637000000001"/>
    <n v="20.204072999999994"/>
    <n v="12723.57"/>
    <n v="2246.277"/>
    <n v="2422.5409999999997"/>
    <n v="1964.7153333333333"/>
    <n v="1749.1463333333334"/>
    <n v="4340.8903333333328"/>
    <n v="857.1"/>
    <n v="173.33199999999999"/>
    <n v="140.39099999999999"/>
    <n v="116.786"/>
    <n v="150.23500000000001"/>
    <n v="1365.8"/>
    <n v="262.74"/>
    <n v="236.32499999999999"/>
    <n v="171.61199999999999"/>
    <n v="259.60300000000001"/>
    <n v="1.5935130089837823"/>
    <n v="1.5158193524565575"/>
    <n v="1.6833344017778917"/>
    <n v="1.4694569554569896"/>
    <n v="1.7279794987852364"/>
    <n v="1.395"/>
  </r>
  <r>
    <x v="153"/>
    <x v="0"/>
    <n v="59.279170999999998"/>
    <n v="12.077896000000001"/>
    <n v="10.304397000000002"/>
    <n v="9.3843809999999994"/>
    <n v="11.341970999999999"/>
    <n v="16.170525999999995"/>
    <n v="51.413448000000002"/>
    <n v="10.682605000000001"/>
    <n v="9.1711259999999992"/>
    <n v="8.1795460000000002"/>
    <n v="9.7636380000000003"/>
    <n v="13.616533000000004"/>
    <n v="60.892617000000001"/>
    <n v="10.202477999999999"/>
    <n v="10.186484999999999"/>
    <n v="6.3291690000000003"/>
    <n v="12.373023"/>
    <n v="21.801462000000001"/>
    <n v="12124.110333333332"/>
    <n v="2108.4223333333334"/>
    <n v="2248.203"/>
    <n v="1788.8176666666668"/>
    <n v="1631.9283333333333"/>
    <n v="4346.7389999999987"/>
    <n v="901.6"/>
    <n v="181.46799999999999"/>
    <n v="147.65799999999999"/>
    <n v="125.23699999999999"/>
    <n v="157.095"/>
    <n v="1472.6"/>
    <n v="268.988"/>
    <n v="303.12299999999999"/>
    <n v="184.24799999999999"/>
    <n v="256.15699999999998"/>
    <n v="1.633318544809228"/>
    <n v="1.4822888883990566"/>
    <n v="2.0528721775995882"/>
    <n v="1.4711946150099411"/>
    <n v="1.630586587733537"/>
    <n v="1.391"/>
  </r>
  <r>
    <x v="154"/>
    <x v="0"/>
    <n v="57.341374000000002"/>
    <n v="11.611497"/>
    <n v="9.7498950000000004"/>
    <n v="8.6511669999999992"/>
    <n v="11.326383"/>
    <n v="16.002431999999999"/>
    <n v="48.443218000000002"/>
    <n v="9.9014050000000005"/>
    <n v="8.4749389999999991"/>
    <n v="7.3878820000000003"/>
    <n v="9.4561790000000006"/>
    <n v="13.222813000000002"/>
    <n v="57.150827999999997"/>
    <n v="9.5002899999999997"/>
    <n v="9.4702710000000003"/>
    <n v="5.7401770000000001"/>
    <n v="11.917933"/>
    <n v="20.522157"/>
    <n v="12124.110333333332"/>
    <n v="2108.4223333333334"/>
    <n v="2248.203"/>
    <n v="1788.8176666666668"/>
    <n v="1631.9283333333333"/>
    <n v="4346.7389999999987"/>
    <n v="871.9"/>
    <n v="174.44499999999999"/>
    <n v="141.59299999999999"/>
    <n v="115.553"/>
    <n v="157.57499999999999"/>
    <n v="1367.5"/>
    <n v="257.642"/>
    <n v="259.73399999999998"/>
    <n v="159.04300000000001"/>
    <n v="253.42400000000001"/>
    <n v="1.5684138089230417"/>
    <n v="1.4769239588408953"/>
    <n v="1.834370343166682"/>
    <n v="1.3763640926674341"/>
    <n v="1.6082754244010791"/>
    <n v="1.3260000000000001"/>
  </r>
  <r>
    <x v="155"/>
    <x v="0"/>
    <n v="60.065592000000002"/>
    <n v="12.323293"/>
    <n v="10.033897000000001"/>
    <n v="9.1454179999999994"/>
    <n v="11.673617"/>
    <n v="16.889367"/>
    <n v="50.581513999999999"/>
    <n v="10.453499000000001"/>
    <n v="8.6361939999999997"/>
    <n v="7.8272329999999997"/>
    <n v="9.7032120000000006"/>
    <n v="13.961376000000001"/>
    <n v="57.870955000000002"/>
    <n v="9.7219320000000007"/>
    <n v="9.1313929999999992"/>
    <n v="5.8137420000000004"/>
    <n v="12.123894"/>
    <n v="21.079994000000006"/>
    <n v="12124.110333333332"/>
    <n v="2108.4223333333334"/>
    <n v="2248.203"/>
    <n v="1788.8176666666668"/>
    <n v="1631.9283333333333"/>
    <n v="4346.7389999999987"/>
    <n v="946.1"/>
    <n v="184.631"/>
    <n v="145.14099999999999"/>
    <n v="122.309"/>
    <n v="162.22800000000001"/>
    <n v="1366"/>
    <n v="249.56200000000001"/>
    <n v="267.495"/>
    <n v="156.20099999999999"/>
    <n v="236.81299999999999"/>
    <n v="1.4438220061304301"/>
    <n v="1.351679837080447"/>
    <n v="1.8430009439097155"/>
    <n v="1.2771014397959266"/>
    <n v="1.4597541731390387"/>
    <n v="1.0820000000000001"/>
  </r>
  <r>
    <x v="156"/>
    <x v="0"/>
    <n v="56.639924000000001"/>
    <n v="11.731985"/>
    <n v="9.5741319999999988"/>
    <n v="7.9092030000000006"/>
    <n v="11.171074000000001"/>
    <n v="16.253529999999998"/>
    <n v="45.815367999999999"/>
    <n v="9.6677710000000001"/>
    <n v="7.9571759999999996"/>
    <n v="6.617756"/>
    <n v="8.6457499999999996"/>
    <n v="12.926915000000001"/>
    <n v="52.474245000000003"/>
    <n v="9.0441280000000006"/>
    <n v="8.471686"/>
    <n v="5.0554199999999998"/>
    <n v="10.695152999999999"/>
    <n v="19.207858000000009"/>
    <n v="11588.832"/>
    <n v="1893.9639999999999"/>
    <n v="2240.1226666666666"/>
    <n v="1655.1973333333333"/>
    <n v="1577.4023333333334"/>
    <n v="4222.1456666666672"/>
    <n v="855.7"/>
    <n v="174.11"/>
    <n v="137.68199999999999"/>
    <n v="105.833"/>
    <n v="152.935"/>
    <n v="1103.0999999999999"/>
    <n v="195.09899999999999"/>
    <n v="187.25899999999999"/>
    <n v="116.934"/>
    <n v="275.51499999999999"/>
    <n v="1.2891200186981417"/>
    <n v="1.1205502268680718"/>
    <n v="1.3600833805435715"/>
    <n v="1.1048916689501385"/>
    <n v="1.801516984339752"/>
    <n v="0.93"/>
  </r>
  <r>
    <x v="157"/>
    <x v="0"/>
    <n v="54.584420999999999"/>
    <n v="11.307796"/>
    <n v="9.3843150000000009"/>
    <n v="7.8274869999999996"/>
    <n v="10.522028000000001"/>
    <n v="15.542794999999998"/>
    <n v="44.273296999999999"/>
    <n v="9.2045879999999993"/>
    <n v="7.722067"/>
    <n v="6.383051"/>
    <n v="8.3148300000000006"/>
    <n v="12.648761"/>
    <n v="51.111615999999998"/>
    <n v="8.6301050000000004"/>
    <n v="8.3317669999999993"/>
    <n v="4.9732380000000003"/>
    <n v="10.37838"/>
    <n v="18.798125999999996"/>
    <n v="11588.832"/>
    <n v="1893.9639999999999"/>
    <n v="2240.1226666666666"/>
    <n v="1655.1973333333333"/>
    <n v="1577.4023333333334"/>
    <n v="4222.1456666666672"/>
    <n v="824.7"/>
    <n v="167.49700000000001"/>
    <n v="135.851"/>
    <n v="104.23399999999999"/>
    <n v="144.33099999999999"/>
    <n v="1020.9"/>
    <n v="177.571"/>
    <n v="182.053"/>
    <n v="108.637"/>
    <n v="251.26400000000001"/>
    <n v="1.2379046926154964"/>
    <n v="1.0601443607945216"/>
    <n v="1.3400931903335271"/>
    <n v="1.0422414950975689"/>
    <n v="1.7408872660758952"/>
    <n v="0.97299999999999998"/>
  </r>
  <r>
    <x v="158"/>
    <x v="0"/>
    <n v="63.234119"/>
    <n v="12.894677"/>
    <n v="11.082316"/>
    <n v="9.1875419999999988"/>
    <n v="12.456087"/>
    <n v="17.613497000000002"/>
    <n v="54.084375000000001"/>
    <n v="11.038831999999999"/>
    <n v="9.64405"/>
    <n v="7.8128270000000004"/>
    <n v="10.551170000000001"/>
    <n v="15.037496000000004"/>
    <n v="61.593609999999998"/>
    <n v="10.231930999999999"/>
    <n v="10.207834999999999"/>
    <n v="5.9237830000000002"/>
    <n v="12.862493000000001"/>
    <n v="22.367567999999999"/>
    <n v="11588.832"/>
    <n v="1893.9639999999999"/>
    <n v="2240.1226666666666"/>
    <n v="1655.1973333333333"/>
    <n v="1577.4023333333334"/>
    <n v="4222.1456666666672"/>
    <n v="943.9"/>
    <n v="183.559"/>
    <n v="158.26900000000001"/>
    <n v="122.31699999999999"/>
    <n v="170.97399999999999"/>
    <n v="1207.9000000000001"/>
    <n v="201.27099999999999"/>
    <n v="218.28899999999999"/>
    <n v="135.86099999999999"/>
    <n v="281.476"/>
    <n v="1.2796906451954657"/>
    <n v="1.0964921360434519"/>
    <n v="1.3792277704414635"/>
    <n v="1.1107286803960201"/>
    <n v="1.6463087954893727"/>
    <n v="1.069"/>
  </r>
  <r>
    <x v="159"/>
    <x v="0"/>
    <n v="60.634473999999997"/>
    <n v="12.094565000000001"/>
    <n v="10.583512000000001"/>
    <n v="8.8492859999999993"/>
    <n v="12.021456000000001"/>
    <n v="17.085654999999996"/>
    <n v="51.093246999999998"/>
    <n v="10.244532"/>
    <n v="9.1413019999999996"/>
    <n v="7.4713370000000001"/>
    <n v="10.045417"/>
    <n v="14.190658999999997"/>
    <n v="58.894278"/>
    <n v="9.6121409999999994"/>
    <n v="9.8861170000000005"/>
    <n v="5.7299280000000001"/>
    <n v="12.366059"/>
    <n v="21.300032999999999"/>
    <n v="12894.336666666668"/>
    <n v="2308.5953333333332"/>
    <n v="2461.7313333333336"/>
    <n v="1906.3466666666666"/>
    <n v="1760.079"/>
    <n v="4457.5843333333341"/>
    <n v="903.4"/>
    <n v="177.708"/>
    <n v="149.30099999999999"/>
    <n v="117.402"/>
    <n v="164.53899999999999"/>
    <n v="1201.3"/>
    <n v="208.34299999999999"/>
    <n v="228.947"/>
    <n v="136.755"/>
    <n v="260.32600000000002"/>
    <n v="1.3297542616781048"/>
    <n v="1.1723895378936231"/>
    <n v="1.5334592534544311"/>
    <n v="1.1648438697807533"/>
    <n v="1.5821537750928354"/>
    <n v="1.147"/>
  </r>
  <r>
    <x v="160"/>
    <x v="0"/>
    <n v="63.325415999999997"/>
    <n v="12.699221"/>
    <n v="11.143941"/>
    <n v="9.4623610000000014"/>
    <n v="12.236820999999999"/>
    <n v="17.783071999999997"/>
    <n v="54.489587"/>
    <n v="10.933731999999999"/>
    <n v="9.7763200000000001"/>
    <n v="8.1866070000000004"/>
    <n v="10.532532"/>
    <n v="15.060395999999997"/>
    <n v="62.752723000000003"/>
    <n v="10.283822000000001"/>
    <n v="10.702738999999999"/>
    <n v="6.2936180000000004"/>
    <n v="12.996805999999999"/>
    <n v="22.475738"/>
    <n v="12894.336666666668"/>
    <n v="2308.5953333333332"/>
    <n v="2461.7313333333336"/>
    <n v="1906.3466666666666"/>
    <n v="1760.079"/>
    <n v="4457.5843333333341"/>
    <n v="950.5"/>
    <n v="188.173"/>
    <n v="166.393"/>
    <n v="128.09"/>
    <n v="168.52099999999999"/>
    <n v="1359.4"/>
    <n v="240.80600000000001"/>
    <n v="250.66800000000001"/>
    <n v="166.74799999999999"/>
    <n v="282.7"/>
    <n v="1.4301946344029459"/>
    <n v="1.279705377498366"/>
    <n v="1.5064816428575722"/>
    <n v="1.3018034194706847"/>
    <n v="1.677535737385845"/>
    <n v="1.2989999999999999"/>
  </r>
  <r>
    <x v="161"/>
    <x v="0"/>
    <n v="65.522751999999997"/>
    <n v="13.337906"/>
    <n v="11.516309"/>
    <n v="9.7830769999999987"/>
    <n v="12.714881999999999"/>
    <n v="18.170577999999992"/>
    <n v="57.560003999999999"/>
    <n v="11.763266"/>
    <n v="10.207591000000001"/>
    <n v="8.7531639999999999"/>
    <n v="11.109937"/>
    <n v="15.726045999999997"/>
    <n v="64.757942999999997"/>
    <n v="10.576237000000001"/>
    <n v="10.801557000000001"/>
    <n v="6.5921849999999997"/>
    <n v="13.333765"/>
    <n v="23.454198999999996"/>
    <n v="12894.336666666668"/>
    <n v="2308.5953333333332"/>
    <n v="2461.7313333333336"/>
    <n v="1906.3466666666666"/>
    <n v="1760.079"/>
    <n v="4457.5843333333341"/>
    <n v="992.2"/>
    <n v="197.90700000000001"/>
    <n v="172.351"/>
    <n v="133.303"/>
    <n v="175.18899999999999"/>
    <n v="1778.7"/>
    <n v="275.327"/>
    <n v="529.202"/>
    <n v="189.38499999999999"/>
    <n v="307.07600000000002"/>
    <n v="1.7926829268292683"/>
    <n v="1.3911938435729914"/>
    <n v="3.0704898724115322"/>
    <n v="1.4207107116869087"/>
    <n v="1.752826946897351"/>
    <n v="1.3819999999999999"/>
  </r>
  <r>
    <x v="162"/>
    <x v="0"/>
    <n v="68.217600000000004"/>
    <n v="13.748059"/>
    <n v="12.195664000000001"/>
    <n v="10.230414000000001"/>
    <n v="12.958264999999999"/>
    <n v="19.085198000000005"/>
    <n v="59.611300999999997"/>
    <n v="12.008604"/>
    <n v="10.648388000000001"/>
    <n v="9.0922879999999999"/>
    <n v="11.242391"/>
    <n v="16.619629999999994"/>
    <n v="66.135126"/>
    <n v="10.707983"/>
    <n v="10.934957000000001"/>
    <n v="6.767029"/>
    <n v="13.307475999999999"/>
    <n v="24.417680999999995"/>
    <n v="13089.206"/>
    <n v="2484.6569999999997"/>
    <n v="2379.0136666666667"/>
    <n v="1972.9033333333334"/>
    <n v="1682.018"/>
    <n v="4570.6139999999996"/>
    <n v="1027.5999999999999"/>
    <n v="204.63499999999999"/>
    <n v="183.23500000000001"/>
    <n v="139.41999999999999"/>
    <n v="179.33799999999999"/>
    <n v="1540.6"/>
    <n v="282.00599999999997"/>
    <n v="270.47699999999998"/>
    <n v="195.54300000000001"/>
    <n v="315.13499999999999"/>
    <n v="1.4992214869599065"/>
    <n v="1.3780927016395044"/>
    <n v="1.4761208284443472"/>
    <n v="1.4025462630899441"/>
    <n v="1.7572126375893564"/>
    <n v="1.272"/>
  </r>
  <r>
    <x v="163"/>
    <x v="0"/>
    <n v="66.647541000000004"/>
    <n v="13.197741000000001"/>
    <n v="11.968706000000001"/>
    <n v="10.311843000000001"/>
    <n v="12.324002"/>
    <n v="18.845249000000003"/>
    <n v="56.605963000000003"/>
    <n v="11.189609000000001"/>
    <n v="10.081262000000001"/>
    <n v="8.9310010000000002"/>
    <n v="10.423658"/>
    <n v="15.980433000000005"/>
    <n v="63.498615000000001"/>
    <n v="10.094479"/>
    <n v="10.332267"/>
    <n v="6.788195"/>
    <n v="12.69"/>
    <n v="23.593674"/>
    <n v="13089.206"/>
    <n v="2484.6569999999997"/>
    <n v="2379.0136666666667"/>
    <n v="1972.9033333333334"/>
    <n v="1682.018"/>
    <n v="4570.6139999999996"/>
    <n v="1006.7"/>
    <n v="196.114"/>
    <n v="178.32300000000001"/>
    <n v="141.03100000000001"/>
    <n v="170.50200000000001"/>
    <n v="1450.8"/>
    <n v="249.131"/>
    <n v="274.51"/>
    <n v="186.83199999999999"/>
    <n v="293.33499999999998"/>
    <n v="1.4411443329691069"/>
    <n v="1.2703376607483403"/>
    <n v="1.5393976099549693"/>
    <n v="1.324758386454042"/>
    <n v="1.7204197018216794"/>
    <n v="1.2949999999999999"/>
  </r>
  <r>
    <x v="164"/>
    <x v="0"/>
    <n v="59.465854"/>
    <n v="11.514602"/>
    <n v="10.245825"/>
    <n v="9.3869919999999993"/>
    <n v="11.509627"/>
    <n v="16.808807999999999"/>
    <n v="50.225549000000001"/>
    <n v="9.7603209999999994"/>
    <n v="8.8403919999999996"/>
    <n v="7.9784819999999996"/>
    <n v="9.7331810000000001"/>
    <n v="13.913173"/>
    <n v="58.620581000000001"/>
    <n v="9.2130050000000008"/>
    <n v="9.7123229999999996"/>
    <n v="6.3374829999999998"/>
    <n v="12.132315"/>
    <n v="21.225455000000004"/>
    <n v="13089.206"/>
    <n v="2484.6569999999997"/>
    <n v="2379.0136666666667"/>
    <n v="1972.9033333333334"/>
    <n v="1682.018"/>
    <n v="4570.6139999999996"/>
    <n v="897.3"/>
    <n v="170.339"/>
    <n v="154.74199999999999"/>
    <n v="128.04"/>
    <n v="158.61799999999999"/>
    <n v="1327.9"/>
    <n v="234.90100000000001"/>
    <n v="219.94"/>
    <n v="176.34100000000001"/>
    <n v="281.33499999999998"/>
    <n v="1.4798840967346485"/>
    <n v="1.3790206588039147"/>
    <n v="1.4213335745951325"/>
    <n v="1.3772336769759452"/>
    <n v="1.7736637708204617"/>
    <n v="1.319"/>
  </r>
  <r>
    <x v="165"/>
    <x v="0"/>
    <n v="61.709940000000003"/>
    <n v="11.966559999999999"/>
    <n v="10.603987"/>
    <n v="9.7709720000000004"/>
    <n v="11.931398999999999"/>
    <n v="17.437022000000006"/>
    <n v="52.849283"/>
    <n v="10.254956"/>
    <n v="9.3462110000000003"/>
    <n v="8.39222"/>
    <n v="10.245380000000001"/>
    <n v="14.610516000000004"/>
    <n v="61.709420999999999"/>
    <n v="9.6692429999999998"/>
    <n v="10.384814"/>
    <n v="6.7901210000000001"/>
    <n v="12.821619"/>
    <n v="22.043624000000001"/>
    <n v="12796.734666666665"/>
    <n v="2353.8086666666668"/>
    <n v="2321.23"/>
    <n v="1866.11"/>
    <n v="1661.2670000000001"/>
    <n v="4594.3189999999977"/>
    <n v="919.7"/>
    <n v="174.99199999999999"/>
    <n v="160.47"/>
    <n v="132.23400000000001"/>
    <n v="163.4"/>
    <n v="1459.8"/>
    <n v="249.38"/>
    <n v="273.93200000000002"/>
    <n v="193.065"/>
    <n v="298.03699999999998"/>
    <n v="1.5872567141459171"/>
    <n v="1.4250937185699919"/>
    <n v="1.7070605097526019"/>
    <n v="1.4600254095013385"/>
    <n v="1.8239718482252141"/>
    <n v="1.4570000000000001"/>
  </r>
  <r>
    <x v="166"/>
    <x v="0"/>
    <n v="59.870435000000001"/>
    <n v="11.625958000000001"/>
    <n v="10.037897000000001"/>
    <n v="9.0578510000000012"/>
    <n v="11.919554"/>
    <n v="17.229174999999998"/>
    <n v="50.878734000000001"/>
    <n v="9.7748530000000002"/>
    <n v="8.8477099999999993"/>
    <n v="7.7229289999999997"/>
    <n v="10.157213"/>
    <n v="14.376029000000003"/>
    <n v="59.269837000000003"/>
    <n v="9.2285419999999991"/>
    <n v="9.8584080000000007"/>
    <n v="6.297085"/>
    <n v="12.689306999999999"/>
    <n v="21.196495000000006"/>
    <n v="12796.734666666665"/>
    <n v="2353.8086666666668"/>
    <n v="2321.23"/>
    <n v="1866.11"/>
    <n v="1661.2670000000001"/>
    <n v="4594.3189999999977"/>
    <n v="886"/>
    <n v="169.179"/>
    <n v="152.35599999999999"/>
    <n v="120.544"/>
    <n v="162.637"/>
    <n v="1286.4000000000001"/>
    <n v="240.79300000000001"/>
    <n v="237.90899999999999"/>
    <n v="172.15600000000001"/>
    <n v="295.93400000000003"/>
    <n v="1.4519187358916479"/>
    <n v="1.4233031286388973"/>
    <n v="1.5615335136128541"/>
    <n v="1.428159012476772"/>
    <n v="1.8195982464014955"/>
    <n v="1.3560000000000001"/>
  </r>
  <r>
    <x v="167"/>
    <x v="0"/>
    <n v="62.627817999999998"/>
    <n v="12.339582"/>
    <n v="10.377364"/>
    <n v="9.5926669999999987"/>
    <n v="12.1914"/>
    <n v="18.126804999999997"/>
    <n v="52.401528999999996"/>
    <n v="10.191708"/>
    <n v="9.0161909999999992"/>
    <n v="8.1538229999999992"/>
    <n v="10.083869999999999"/>
    <n v="14.955936999999999"/>
    <n v="59.178832999999997"/>
    <n v="9.3347610000000003"/>
    <n v="9.3730770000000003"/>
    <n v="6.2320289999999998"/>
    <n v="12.547224999999999"/>
    <n v="21.691740999999993"/>
    <n v="12796.734666666665"/>
    <n v="2353.8086666666668"/>
    <n v="2321.23"/>
    <n v="1866.11"/>
    <n v="1661.2670000000001"/>
    <n v="4594.3189999999977"/>
    <n v="959.6"/>
    <n v="180.93"/>
    <n v="158.94"/>
    <n v="128.34899999999999"/>
    <n v="168.67099999999999"/>
    <n v="1543.1"/>
    <n v="270.26400000000001"/>
    <n v="258.75700000000001"/>
    <n v="192.69"/>
    <n v="309.41399999999999"/>
    <n v="1.6080658607753229"/>
    <n v="1.493748963687614"/>
    <n v="1.6280168617088211"/>
    <n v="1.5012972442325223"/>
    <n v="1.8344232262807478"/>
    <n v="1.4910000000000001"/>
  </r>
  <r>
    <x v="168"/>
    <x v="0"/>
    <n v="60.357404000000002"/>
    <n v="11.906091"/>
    <n v="9.9139159999999986"/>
    <n v="8.586939000000001"/>
    <n v="11.799123"/>
    <n v="18.151335000000003"/>
    <n v="48.118098000000003"/>
    <n v="9.5500019999999992"/>
    <n v="8.1958219999999997"/>
    <n v="7.1170489999999997"/>
    <n v="9.0072050000000008"/>
    <n v="14.248020000000004"/>
    <n v="54.109329000000002"/>
    <n v="8.8507289999999994"/>
    <n v="8.5262180000000001"/>
    <n v="5.5778980000000002"/>
    <n v="11.037315"/>
    <n v="20.117169000000004"/>
    <n v="12328.190333333334"/>
    <n v="2312.9313333333334"/>
    <n v="2233.9780000000001"/>
    <n v="1707.5780000000002"/>
    <n v="1593.2136666666665"/>
    <n v="4480.4893333333339"/>
    <n v="882.4"/>
    <n v="173.46899999999999"/>
    <n v="150.47300000000001"/>
    <n v="114.13500000000001"/>
    <n v="162.137"/>
    <n v="1451.9"/>
    <n v="266.03399999999999"/>
    <n v="250.41800000000001"/>
    <n v="181.09100000000001"/>
    <n v="288.11399999999998"/>
    <n v="1.6453989120580237"/>
    <n v="1.5336111927779603"/>
    <n v="1.6642055385351524"/>
    <n v="1.5866386296929076"/>
    <n v="1.7769787278659404"/>
    <n v="1.514"/>
  </r>
  <r>
    <x v="169"/>
    <x v="0"/>
    <n v="55.009656999999997"/>
    <n v="10.817748"/>
    <n v="9.2373840000000005"/>
    <n v="7.948169"/>
    <n v="10.561828"/>
    <n v="16.444527999999998"/>
    <n v="44.641537999999997"/>
    <n v="8.783061"/>
    <n v="7.7402790000000001"/>
    <n v="6.5173889999999997"/>
    <n v="8.3734850000000005"/>
    <n v="13.227323999999996"/>
    <n v="51.078172000000002"/>
    <n v="8.3137720000000002"/>
    <n v="8.2439040000000006"/>
    <n v="5.2541130000000003"/>
    <n v="10.40635"/>
    <n v="18.860033000000001"/>
    <n v="12328.190333333334"/>
    <n v="2312.9313333333334"/>
    <n v="2233.9780000000001"/>
    <n v="1707.5780000000002"/>
    <n v="1593.2136666666665"/>
    <n v="4480.4893333333339"/>
    <n v="804"/>
    <n v="156.839"/>
    <n v="139.78399999999999"/>
    <n v="104.88"/>
    <n v="144.702"/>
    <n v="1369.6"/>
    <n v="247.34100000000001"/>
    <n v="251.05"/>
    <n v="168.39699999999999"/>
    <n v="266.32600000000002"/>
    <n v="1.7034825870646766"/>
    <n v="1.5770375990665588"/>
    <n v="1.7959852343615865"/>
    <n v="1.6056159420289855"/>
    <n v="1.8405136072756425"/>
    <n v="1.5469999999999999"/>
  </r>
  <r>
    <x v="170"/>
    <x v="0"/>
    <n v="65.948650000000001"/>
    <n v="12.714264"/>
    <n v="11.417168999999999"/>
    <n v="9.8255180000000006"/>
    <n v="12.918338"/>
    <n v="19.073360999999998"/>
    <n v="56.543678999999997"/>
    <n v="10.889246999999999"/>
    <n v="10.035786"/>
    <n v="8.4756239999999998"/>
    <n v="10.904961"/>
    <n v="16.238061000000002"/>
    <n v="63.963808"/>
    <n v="10.234502000000001"/>
    <n v="10.589366999999999"/>
    <n v="6.712764"/>
    <n v="13.268281999999999"/>
    <n v="23.158892999999999"/>
    <n v="12328.190333333334"/>
    <n v="2312.9313333333334"/>
    <n v="2233.9780000000001"/>
    <n v="1707.5780000000002"/>
    <n v="1593.2136666666665"/>
    <n v="4480.4893333333339"/>
    <n v="965"/>
    <n v="184.643"/>
    <n v="171.602"/>
    <n v="130.47200000000001"/>
    <n v="176.13800000000001"/>
    <n v="1590.9"/>
    <n v="285.71199999999999"/>
    <n v="287.23500000000001"/>
    <n v="204.90700000000001"/>
    <n v="316.12099999999998"/>
    <n v="1.6486010362694301"/>
    <n v="1.5473752051255665"/>
    <n v="1.6738441276908196"/>
    <n v="1.5705055490833282"/>
    <n v="1.794734810205634"/>
    <n v="1.4450000000000001"/>
  </r>
  <r>
    <x v="171"/>
    <x v="0"/>
    <n v="63.407125000000001"/>
    <n v="11.951478999999999"/>
    <n v="10.572665000000001"/>
    <n v="9.4007959999999997"/>
    <n v="12.855437999999999"/>
    <n v="18.626747000000002"/>
    <n v="54.108272999999997"/>
    <n v="10.201138"/>
    <n v="9.1824279999999998"/>
    <n v="8.2607029999999995"/>
    <n v="10.816086"/>
    <n v="15.647917999999997"/>
    <n v="61.099004000000001"/>
    <n v="9.6062829999999995"/>
    <n v="9.6847860000000008"/>
    <n v="6.4787499999999998"/>
    <n v="13.121976"/>
    <n v="22.207208999999999"/>
    <n v="13910.114333333333"/>
    <n v="2589.9573333333333"/>
    <n v="2574.098"/>
    <n v="2057.0876666666668"/>
    <n v="1868.3113333333333"/>
    <n v="4820.66"/>
    <n v="919.2"/>
    <n v="174.16200000000001"/>
    <n v="157.911"/>
    <n v="124.867"/>
    <n v="174.22200000000001"/>
    <n v="1525.3"/>
    <n v="270.09800000000001"/>
    <n v="266.83100000000002"/>
    <n v="196.071"/>
    <n v="315.49200000000002"/>
    <n v="1.6593777197563098"/>
    <n v="1.5508434675761646"/>
    <n v="1.6897556218376175"/>
    <n v="1.5702387340129897"/>
    <n v="1.810862003650515"/>
    <n v="1.51"/>
  </r>
  <r>
    <x v="172"/>
    <x v="0"/>
    <n v="66.071675999999997"/>
    <n v="12.63434"/>
    <n v="11.408995000000001"/>
    <n v="10.130248999999999"/>
    <n v="12.690398999999999"/>
    <n v="19.207692999999999"/>
    <n v="56.768802000000001"/>
    <n v="10.796329999999999"/>
    <n v="10.10192"/>
    <n v="8.8028519999999997"/>
    <n v="10.854324999999999"/>
    <n v="16.213375000000006"/>
    <n v="64.442976999999999"/>
    <n v="10.136949"/>
    <n v="10.813516999999999"/>
    <n v="6.9143189999999999"/>
    <n v="13.381479000000001"/>
    <n v="23.196713000000003"/>
    <n v="13910.114333333333"/>
    <n v="2589.9573333333333"/>
    <n v="2574.098"/>
    <n v="2057.0876666666668"/>
    <n v="1868.3113333333333"/>
    <n v="4820.66"/>
    <n v="963.9"/>
    <n v="184.34399999999999"/>
    <n v="171.73500000000001"/>
    <n v="136.19499999999999"/>
    <n v="174.76300000000001"/>
    <n v="1544.5"/>
    <n v="274.55500000000001"/>
    <n v="290.97000000000003"/>
    <n v="204.101"/>
    <n v="310.01299999999998"/>
    <n v="1.602344641560328"/>
    <n v="1.4893622792171159"/>
    <n v="1.694296445104376"/>
    <n v="1.4985939278240759"/>
    <n v="1.7739052316565862"/>
    <n v="1.4119999999999999"/>
  </r>
  <r>
    <x v="173"/>
    <x v="0"/>
    <n v="68.879074000000003"/>
    <n v="13.080057"/>
    <n v="11.907511000000001"/>
    <n v="10.856358"/>
    <n v="13.108705"/>
    <n v="19.926442999999999"/>
    <n v="60.135012000000003"/>
    <n v="11.405562"/>
    <n v="10.614438"/>
    <n v="9.5927469999999992"/>
    <n v="11.466613000000001"/>
    <n v="17.055652000000002"/>
    <n v="66.746463000000006"/>
    <n v="10.253686"/>
    <n v="10.968902999999999"/>
    <n v="7.4092560000000001"/>
    <n v="13.873457999999999"/>
    <n v="24.241160000000008"/>
    <n v="13910.114333333333"/>
    <n v="2589.9573333333333"/>
    <n v="2574.098"/>
    <n v="2057.0876666666668"/>
    <n v="1868.3113333333333"/>
    <n v="4820.66"/>
    <n v="1008.7"/>
    <n v="190.148"/>
    <n v="181.06899999999999"/>
    <n v="147.00200000000001"/>
    <n v="180.43199999999999"/>
    <n v="1546.7"/>
    <n v="266.44400000000002"/>
    <n v="296.09199999999998"/>
    <n v="211.56200000000001"/>
    <n v="304.38299999999998"/>
    <n v="1.5333597700009913"/>
    <n v="1.4012453457306941"/>
    <n v="1.6352440229967582"/>
    <n v="1.4391776982626086"/>
    <n v="1.6869679436020217"/>
    <n v="1.2949999999999999"/>
  </r>
  <r>
    <x v="174"/>
    <x v="0"/>
    <n v="71.982934999999998"/>
    <n v="13.620668"/>
    <n v="12.622816"/>
    <n v="11.319520000000001"/>
    <n v="13.588081000000001"/>
    <n v="20.831849999999989"/>
    <n v="62.705398000000002"/>
    <n v="11.790478"/>
    <n v="11.205988"/>
    <n v="10.074370999999999"/>
    <n v="11.84516"/>
    <n v="17.789401000000005"/>
    <n v="68.575480999999996"/>
    <n v="10.476594"/>
    <n v="11.309402"/>
    <n v="7.6804350000000001"/>
    <n v="14.194967"/>
    <n v="24.914082999999998"/>
    <n v="13500.112666666668"/>
    <n v="2453.4516666666664"/>
    <n v="2551.9946666666669"/>
    <n v="1977.9870000000001"/>
    <n v="1713.845"/>
    <n v="4802.8343333333341"/>
    <n v="1037.5"/>
    <n v="197.554"/>
    <n v="189.999"/>
    <n v="152.99100000000001"/>
    <n v="185.619"/>
    <n v="1610.9"/>
    <n v="280.61599999999999"/>
    <n v="315.40499999999997"/>
    <n v="221.38900000000001"/>
    <n v="314.22699999999998"/>
    <n v="1.5526746987951807"/>
    <n v="1.4204521295443271"/>
    <n v="1.6600350528160674"/>
    <n v="1.4470720499898686"/>
    <n v="1.6928601059158814"/>
    <n v="1.417"/>
  </r>
  <r>
    <x v="175"/>
    <x v="0"/>
    <n v="70.442721000000006"/>
    <n v="13.438388999999999"/>
    <n v="12.58582"/>
    <n v="11.120138000000001"/>
    <n v="12.849101000000001"/>
    <n v="20.449273000000005"/>
    <n v="60.253922000000003"/>
    <n v="11.45904"/>
    <n v="11.098526"/>
    <n v="9.5860470000000007"/>
    <n v="10.907849000000001"/>
    <n v="17.202460000000002"/>
    <n v="66.664018999999996"/>
    <n v="10.366917000000001"/>
    <n v="11.30963"/>
    <n v="7.404363"/>
    <n v="13.316907"/>
    <n v="24.266201999999993"/>
    <n v="13500.112666666668"/>
    <n v="2453.4516666666664"/>
    <n v="2551.9946666666669"/>
    <n v="1977.9870000000001"/>
    <n v="1713.845"/>
    <n v="4802.8343333333341"/>
    <n v="1030.2"/>
    <n v="195.499"/>
    <n v="190.23599999999999"/>
    <n v="150.518"/>
    <n v="176.279"/>
    <n v="1696.2"/>
    <n v="301.12900000000002"/>
    <n v="303.34300000000002"/>
    <n v="236.55"/>
    <n v="322.81"/>
    <n v="1.6464764123471169"/>
    <n v="1.5403096691031668"/>
    <n v="1.5945614920414644"/>
    <n v="1.5715728351426408"/>
    <n v="1.8312447880916047"/>
    <n v="1.5609999999999999"/>
  </r>
  <r>
    <x v="176"/>
    <x v="0"/>
    <n v="60.585438000000003"/>
    <n v="11.226666"/>
    <n v="10.512139999999999"/>
    <n v="9.6225629999999995"/>
    <n v="11.307257"/>
    <n v="17.916812000000007"/>
    <n v="49.858885000000001"/>
    <n v="9.3738580000000002"/>
    <n v="8.8749540000000007"/>
    <n v="7.9411680000000002"/>
    <n v="9.2795769999999997"/>
    <n v="14.389327999999999"/>
    <n v="57.144508000000002"/>
    <n v="8.8446420000000003"/>
    <n v="9.4169689999999999"/>
    <n v="6.3660600000000001"/>
    <n v="11.730577"/>
    <n v="20.786259999999999"/>
    <n v="13500.112666666668"/>
    <n v="2453.4516666666664"/>
    <n v="2551.9946666666669"/>
    <n v="1977.9870000000001"/>
    <n v="1713.845"/>
    <n v="4802.8343333333341"/>
    <n v="879.4"/>
    <n v="161.053"/>
    <n v="157.76300000000001"/>
    <n v="129.30500000000001"/>
    <n v="153.27699999999999"/>
    <n v="1589.1"/>
    <n v="272.39999999999998"/>
    <n v="276.54899999999998"/>
    <n v="225.464"/>
    <n v="300.27800000000002"/>
    <n v="1.8070275187627927"/>
    <n v="1.6913686798755687"/>
    <n v="1.7529395358861075"/>
    <n v="1.7436603379606357"/>
    <n v="1.9590545222048974"/>
    <n v="1.8"/>
  </r>
  <r>
    <x v="177"/>
    <x v="0"/>
    <n v="65.327753999999999"/>
    <n v="12.275793"/>
    <n v="11.175537"/>
    <n v="10.308776"/>
    <n v="12.093076999999999"/>
    <n v="19.474570999999997"/>
    <n v="56.062908999999998"/>
    <n v="10.693868"/>
    <n v="9.8542690000000004"/>
    <n v="8.8206489999999995"/>
    <n v="10.412685"/>
    <n v="16.281438000000001"/>
    <n v="64.625405000000001"/>
    <n v="10.184329999999999"/>
    <n v="10.725324000000001"/>
    <n v="7.1007639999999999"/>
    <n v="13.24977"/>
    <n v="23.365217000000001"/>
    <n v="13774.584333333332"/>
    <n v="2512.8046666666664"/>
    <n v="2537.5346666666669"/>
    <n v="1968.0983333333334"/>
    <n v="1718.4226666666666"/>
    <n v="5037.7239999999983"/>
    <n v="953.4"/>
    <n v="177.88300000000001"/>
    <n v="169.577"/>
    <n v="138.941"/>
    <n v="164.44499999999999"/>
    <n v="1735.7"/>
    <n v="303.57"/>
    <n v="321.51600000000002"/>
    <n v="242.69399999999999"/>
    <n v="318.14800000000002"/>
    <n v="1.8205370253828403"/>
    <n v="1.7065711731868698"/>
    <n v="1.8959882531239498"/>
    <n v="1.7467414226182336"/>
    <n v="1.9346772477120011"/>
    <n v="1.659"/>
  </r>
  <r>
    <x v="178"/>
    <x v="0"/>
    <n v="62.590874999999997"/>
    <n v="11.375384"/>
    <n v="10.431477000000001"/>
    <n v="9.6579480000000011"/>
    <n v="12.122301"/>
    <n v="19.003764999999994"/>
    <n v="53.800322999999999"/>
    <n v="9.9518789999999999"/>
    <n v="9.1519720000000007"/>
    <n v="8.366581"/>
    <n v="10.445556"/>
    <n v="15.884335"/>
    <n v="61.911765000000003"/>
    <n v="9.4865589999999997"/>
    <n v="9.9687739999999998"/>
    <n v="6.8035310000000004"/>
    <n v="13.253765"/>
    <n v="22.399136000000006"/>
    <n v="13774.584333333332"/>
    <n v="2512.8046666666664"/>
    <n v="2537.5346666666669"/>
    <n v="1968.0983333333334"/>
    <n v="1718.4226666666666"/>
    <n v="5037.7239999999983"/>
    <n v="921.7"/>
    <n v="164.45500000000001"/>
    <n v="158.964"/>
    <n v="129.511"/>
    <n v="163.75899999999999"/>
    <n v="1726.6"/>
    <n v="287.65699999999998"/>
    <n v="307.04599999999999"/>
    <n v="232.15600000000001"/>
    <n v="323.863"/>
    <n v="1.8732776391450578"/>
    <n v="1.7491532638107687"/>
    <n v="1.9315442490123549"/>
    <n v="1.7925581610828425"/>
    <n v="1.9776806160272109"/>
    <n v="1.76"/>
  </r>
  <r>
    <x v="179"/>
    <x v="0"/>
    <n v="65.600797"/>
    <n v="12.482194999999999"/>
    <n v="10.550012000000001"/>
    <n v="10.147632999999999"/>
    <n v="12.365084000000001"/>
    <n v="20.055872999999998"/>
    <n v="54.919243999999999"/>
    <n v="10.541422000000001"/>
    <n v="8.9941329999999997"/>
    <n v="8.5601000000000003"/>
    <n v="10.314253000000001"/>
    <n v="16.509335999999998"/>
    <n v="61.374167"/>
    <n v="9.7164230000000007"/>
    <n v="9.1780869999999997"/>
    <n v="6.7321299999999997"/>
    <n v="12.974166"/>
    <n v="22.773360999999994"/>
    <n v="13774.584333333332"/>
    <n v="2512.8046666666664"/>
    <n v="2537.5346666666669"/>
    <n v="1968.0983333333334"/>
    <n v="1718.4226666666666"/>
    <n v="5037.7239999999983"/>
    <n v="975"/>
    <n v="180.095"/>
    <n v="159.88800000000001"/>
    <n v="135.53899999999999"/>
    <n v="167.239"/>
    <n v="1862.6"/>
    <n v="326.99400000000003"/>
    <n v="313.73399999999998"/>
    <n v="250.828"/>
    <n v="324.62700000000001"/>
    <n v="1.9103589743589742"/>
    <n v="1.8156750603847971"/>
    <n v="1.9622110477334131"/>
    <n v="1.8505965072783481"/>
    <n v="1.9410962753903096"/>
    <n v="1.8169999999999999"/>
  </r>
  <r>
    <x v="180"/>
    <x v="0"/>
    <n v="63.130322"/>
    <n v="12.121308000000001"/>
    <n v="10.341773"/>
    <n v="8.9531560000000017"/>
    <n v="12.023861999999999"/>
    <n v="19.690222999999996"/>
    <n v="49.936872000000001"/>
    <n v="9.7495419999999999"/>
    <n v="8.3264899999999997"/>
    <n v="7.2737160000000003"/>
    <n v="9.3588430000000002"/>
    <n v="15.228281000000003"/>
    <n v="55.831159"/>
    <n v="9.0311780000000006"/>
    <n v="8.5695040000000002"/>
    <n v="5.765091"/>
    <n v="11.656511999999999"/>
    <n v="20.808874000000003"/>
    <n v="13139.292333333333"/>
    <n v="2396.7943333333333"/>
    <n v="2387.6533333333332"/>
    <n v="1825.1413333333333"/>
    <n v="1604.2359999999999"/>
    <n v="4925.4673333333321"/>
    <n v="910.7"/>
    <n v="173.505"/>
    <n v="155.92699999999999"/>
    <n v="120.128"/>
    <n v="161.13800000000001"/>
    <n v="1837.8"/>
    <n v="337.14699999999999"/>
    <n v="321.39999999999998"/>
    <n v="237.637"/>
    <n v="315.017"/>
    <n v="2.0180081256176567"/>
    <n v="1.9431543759545835"/>
    <n v="2.0612209559601609"/>
    <n v="1.9781982551944592"/>
    <n v="1.9549516563442515"/>
    <n v="1.952"/>
  </r>
  <r>
    <x v="181"/>
    <x v="0"/>
    <n v="58.225205000000003"/>
    <n v="11.176619000000001"/>
    <n v="9.7528850000000009"/>
    <n v="8.2592499999999998"/>
    <n v="10.675371999999999"/>
    <n v="18.361079000000004"/>
    <n v="47.753625999999997"/>
    <n v="9.2924140000000008"/>
    <n v="8.1703880000000009"/>
    <n v="6.7946309999999999"/>
    <n v="8.6613910000000001"/>
    <n v="14.834801999999996"/>
    <n v="54.078218999999997"/>
    <n v="8.7535699999999999"/>
    <n v="8.5729780000000009"/>
    <n v="5.5006029999999999"/>
    <n v="10.920661000000001"/>
    <n v="20.330406999999994"/>
    <n v="13139.292333333333"/>
    <n v="2396.7943333333333"/>
    <n v="2387.6533333333332"/>
    <n v="1825.1413333333333"/>
    <n v="1604.2359999999999"/>
    <n v="4925.4673333333321"/>
    <n v="850.9"/>
    <n v="163.17699999999999"/>
    <n v="148.18899999999999"/>
    <n v="112.265"/>
    <n v="145.01300000000001"/>
    <n v="1721.2"/>
    <n v="320.33699999999999"/>
    <n v="303.31099999999998"/>
    <n v="223.50399999999999"/>
    <n v="291.089"/>
    <n v="2.0227993888823601"/>
    <n v="1.9631259307377877"/>
    <n v="2.0467848490778668"/>
    <n v="1.9908609094553065"/>
    <n v="2.0073303772765199"/>
    <n v="1.849"/>
  </r>
  <r>
    <x v="182"/>
    <x v="0"/>
    <n v="69.113369000000006"/>
    <n v="12.636079000000001"/>
    <n v="11.965187"/>
    <n v="10.155473000000001"/>
    <n v="13.227223"/>
    <n v="21.129407"/>
    <n v="59.620609000000002"/>
    <n v="11.148485000000001"/>
    <n v="10.504705"/>
    <n v="8.7384140000000006"/>
    <n v="11.267619"/>
    <n v="17.961386000000005"/>
    <n v="66.644135000000006"/>
    <n v="10.422226"/>
    <n v="10.898771999999999"/>
    <n v="6.9089210000000003"/>
    <n v="13.899027"/>
    <n v="24.515189000000007"/>
    <n v="13139.292333333333"/>
    <n v="2396.7943333333333"/>
    <n v="2387.6533333333332"/>
    <n v="1825.1413333333333"/>
    <n v="1604.2359999999999"/>
    <n v="4925.4673333333321"/>
    <n v="990.3"/>
    <n v="182.34800000000001"/>
    <n v="179.10300000000001"/>
    <n v="134.54"/>
    <n v="176.77"/>
    <n v="1936.7"/>
    <n v="350.49599999999998"/>
    <n v="339.50299999999999"/>
    <n v="260.56"/>
    <n v="345.31700000000001"/>
    <n v="1.9556699989902051"/>
    <n v="1.9221269221488579"/>
    <n v="1.8955740551526215"/>
    <n v="1.9366731083692583"/>
    <n v="1.9534819256661198"/>
    <n v="1.8580000000000001"/>
  </r>
  <r>
    <x v="183"/>
    <x v="0"/>
    <n v="69.214685000000003"/>
    <n v="12.204254000000001"/>
    <n v="11.469933000000001"/>
    <n v="10.327667999999999"/>
    <n v="13.072513000000001"/>
    <n v="22.140316999999996"/>
    <n v="58.456826999999997"/>
    <n v="10.458335"/>
    <n v="9.8926780000000001"/>
    <n v="8.8985330000000005"/>
    <n v="10.794650000000001"/>
    <n v="18.412630999999998"/>
    <n v="64.557779999999994"/>
    <n v="9.8792650000000002"/>
    <n v="10.458857999999999"/>
    <n v="6.9970369999999997"/>
    <n v="13.396982"/>
    <n v="23.825637999999998"/>
    <n v="14751.286666666667"/>
    <n v="2623.752"/>
    <n v="2780.7196666666664"/>
    <n v="2229.7706666666668"/>
    <n v="1863.4193333333333"/>
    <n v="5253.625"/>
    <n v="965.4"/>
    <n v="176.46899999999999"/>
    <n v="170.928"/>
    <n v="137.001"/>
    <n v="174.52199999999999"/>
    <n v="2005.5"/>
    <n v="347.767"/>
    <n v="371.62"/>
    <n v="279.21899999999999"/>
    <n v="348.976"/>
    <n v="2.0773772529521444"/>
    <n v="1.9706974029432931"/>
    <n v="2.1741317981840309"/>
    <n v="2.0380800140144961"/>
    <n v="1.9996103643093708"/>
    <n v="2.0150000000000001"/>
  </r>
  <r>
    <x v="184"/>
    <x v="0"/>
    <n v="72.179680000000005"/>
    <n v="12.828584999999999"/>
    <n v="11.956434999999999"/>
    <n v="10.808911999999999"/>
    <n v="13.34469"/>
    <n v="23.24105800000001"/>
    <n v="61.692422000000001"/>
    <n v="11.074519"/>
    <n v="10.465289"/>
    <n v="9.3896829999999998"/>
    <n v="11.300151"/>
    <n v="19.462780000000002"/>
    <n v="67.846119000000002"/>
    <n v="10.356532"/>
    <n v="11.0427"/>
    <n v="7.4168770000000004"/>
    <n v="14.040464999999999"/>
    <n v="24.989545000000007"/>
    <n v="14751.286666666667"/>
    <n v="2623.752"/>
    <n v="2780.7196666666664"/>
    <n v="2229.7706666666668"/>
    <n v="1863.4193333333333"/>
    <n v="5253.625"/>
    <n v="1011.8"/>
    <n v="186.10599999999999"/>
    <n v="179.70699999999999"/>
    <n v="144.733"/>
    <n v="179.255"/>
    <n v="2209.9"/>
    <n v="393.99799999999999"/>
    <n v="379.47300000000001"/>
    <n v="314.82400000000001"/>
    <n v="379.12"/>
    <n v="2.1841272978849577"/>
    <n v="2.1170623193233964"/>
    <n v="2.1116205823924501"/>
    <n v="2.1752053781791298"/>
    <n v="2.1149758723606036"/>
    <n v="2.1549999999999998"/>
  </r>
  <r>
    <x v="185"/>
    <x v="0"/>
    <n v="74.200872000000004"/>
    <n v="13.207884"/>
    <n v="12.661054"/>
    <n v="11.383563000000001"/>
    <n v="13.512464"/>
    <n v="23.435907"/>
    <n v="65.185742000000005"/>
    <n v="11.718730000000001"/>
    <n v="11.23612"/>
    <n v="10.219056"/>
    <n v="11.739575"/>
    <n v="20.272261"/>
    <n v="70.279157999999995"/>
    <n v="10.635376000000001"/>
    <n v="11.433287"/>
    <n v="7.9536579999999999"/>
    <n v="14.252319999999999"/>
    <n v="26.004516999999993"/>
    <n v="14751.286666666667"/>
    <n v="2623.752"/>
    <n v="2780.7196666666664"/>
    <n v="2229.7706666666668"/>
    <n v="1863.4193333333333"/>
    <n v="5253.625"/>
    <n v="1038.5999999999999"/>
    <n v="191.94200000000001"/>
    <n v="189.495"/>
    <n v="154.05699999999999"/>
    <n v="181.822"/>
    <n v="2288.3000000000002"/>
    <n v="413.05500000000001"/>
    <n v="410.2"/>
    <n v="335.404"/>
    <n v="394.59100000000001"/>
    <n v="2.2032543808973624"/>
    <n v="2.1519782017484448"/>
    <n v="2.1647009155914403"/>
    <n v="2.1771422265784746"/>
    <n v="2.1702049256965603"/>
    <n v="2.09"/>
  </r>
  <r>
    <x v="186"/>
    <x v="0"/>
    <n v="77.276233000000005"/>
    <n v="13.669487999999999"/>
    <n v="13.445174000000002"/>
    <n v="11.862388999999999"/>
    <n v="14.018889"/>
    <n v="24.280293"/>
    <n v="68.176940999999999"/>
    <n v="12.143687999999999"/>
    <n v="11.991789000000001"/>
    <n v="10.831424999999999"/>
    <n v="12.079916000000001"/>
    <n v="21.130122999999998"/>
    <n v="72.540389000000005"/>
    <n v="10.882459000000001"/>
    <n v="11.918888000000001"/>
    <n v="8.3595980000000001"/>
    <n v="14.456159"/>
    <n v="26.923285000000007"/>
    <n v="14599.553333333335"/>
    <n v="2541.6916666666666"/>
    <n v="2746.846"/>
    <n v="2254.0930000000003"/>
    <n v="1811.6493333333335"/>
    <n v="5245.2733333333344"/>
    <n v="1078.4000000000001"/>
    <n v="200.04300000000001"/>
    <n v="200.21299999999999"/>
    <n v="160.01599999999999"/>
    <n v="188.79300000000001"/>
    <n v="2365.1"/>
    <n v="423.96699999999998"/>
    <n v="451.14400000000001"/>
    <n v="345.24400000000003"/>
    <n v="401.00700000000001"/>
    <n v="2.1931565281899106"/>
    <n v="2.1193793334433098"/>
    <n v="2.2533202139721196"/>
    <n v="2.1575592440755926"/>
    <n v="2.124056506332332"/>
    <n v="2.0979999999999999"/>
  </r>
  <r>
    <x v="187"/>
    <x v="0"/>
    <n v="75.566730000000007"/>
    <n v="13.457585"/>
    <n v="13.353453"/>
    <n v="11.771387000000001"/>
    <n v="13.124191999999999"/>
    <n v="23.860113000000005"/>
    <n v="65.217820000000003"/>
    <n v="11.635177000000001"/>
    <n v="11.803438999999999"/>
    <n v="10.376588999999999"/>
    <n v="11.053578"/>
    <n v="20.349037000000003"/>
    <n v="70.338562999999994"/>
    <n v="10.584429999999999"/>
    <n v="11.932518"/>
    <n v="8.1244189999999996"/>
    <n v="13.593159999999999"/>
    <n v="26.104035999999994"/>
    <n v="14599.553333333335"/>
    <n v="2541.6916666666666"/>
    <n v="2746.846"/>
    <n v="2254.0930000000003"/>
    <n v="1811.6493333333335"/>
    <n v="5245.2733333333344"/>
    <n v="1071.0999999999999"/>
    <n v="200.03100000000001"/>
    <n v="200.75899999999999"/>
    <n v="159.273"/>
    <n v="177.34200000000001"/>
    <n v="2349.1999999999998"/>
    <n v="425.452"/>
    <n v="437.34800000000001"/>
    <n v="344.423"/>
    <n v="384.096"/>
    <n v="2.1932592661749601"/>
    <n v="2.1269303257995009"/>
    <n v="2.1784726961182317"/>
    <n v="2.1624694706572991"/>
    <n v="2.1658490374530568"/>
    <n v="2.1179999999999999"/>
  </r>
  <r>
    <x v="188"/>
    <x v="0"/>
    <n v="67.490855999999994"/>
    <n v="12.225584999999999"/>
    <n v="11.358251000000001"/>
    <n v="10.542313"/>
    <n v="12.060186999999999"/>
    <n v="21.304519999999997"/>
    <n v="54.647264999999997"/>
    <n v="9.6929169999999996"/>
    <n v="9.5046359999999996"/>
    <n v="8.6206130000000005"/>
    <n v="9.7322389999999999"/>
    <n v="17.09686"/>
    <n v="60.468575000000001"/>
    <n v="9.0043360000000003"/>
    <n v="10.028453000000001"/>
    <n v="6.9584169999999999"/>
    <n v="12.231040999999999"/>
    <n v="22.246327999999998"/>
    <n v="14599.553333333335"/>
    <n v="2541.6916666666666"/>
    <n v="2746.846"/>
    <n v="2254.0930000000003"/>
    <n v="1811.6493333333335"/>
    <n v="5245.2733333333344"/>
    <n v="950.1"/>
    <n v="181.029"/>
    <n v="168.81"/>
    <n v="141.27000000000001"/>
    <n v="162.637"/>
    <n v="2104.8000000000002"/>
    <n v="394.11900000000003"/>
    <n v="376.81599999999997"/>
    <n v="313.60599999999999"/>
    <n v="348.298"/>
    <n v="2.2153457530786236"/>
    <n v="2.1771042208706892"/>
    <n v="2.2321900361352998"/>
    <n v="2.2199051461739927"/>
    <n v="2.1415668021421941"/>
    <n v="2.1890000000000001"/>
  </r>
  <r>
    <x v="189"/>
    <x v="0"/>
    <n v="70.991226999999995"/>
    <n v="12.787012000000001"/>
    <n v="11.780794999999999"/>
    <n v="11.032446"/>
    <n v="13.025413"/>
    <n v="22.365560999999992"/>
    <n v="60.190272999999998"/>
    <n v="10.846817"/>
    <n v="10.249931999999999"/>
    <n v="9.3992780000000007"/>
    <n v="11.012373"/>
    <n v="18.681873000000003"/>
    <n v="67.082086000000004"/>
    <n v="10.268808"/>
    <n v="11.070334000000001"/>
    <n v="7.6608169999999998"/>
    <n v="13.766257"/>
    <n v="24.315870000000004"/>
    <n v="14738.519"/>
    <n v="2582.9270000000001"/>
    <n v="2621.8119999999999"/>
    <n v="2208.4863333333333"/>
    <n v="1853.807"/>
    <n v="5471.4866666666676"/>
    <n v="1003.8"/>
    <n v="190.202"/>
    <n v="175.61799999999999"/>
    <n v="148.70599999999999"/>
    <n v="175.167"/>
    <n v="2350.6999999999998"/>
    <n v="429.95699999999999"/>
    <n v="428.20299999999997"/>
    <n v="343.66199999999998"/>
    <n v="385.416"/>
    <n v="2.3418011556086871"/>
    <n v="2.2605282804597215"/>
    <n v="2.4382637315081599"/>
    <n v="2.3110163678667974"/>
    <n v="2.2002774495196014"/>
    <n v="2.2490000000000001"/>
  </r>
  <r>
    <x v="190"/>
    <x v="0"/>
    <n v="68.120834000000002"/>
    <n v="12.055161"/>
    <n v="11.040272000000002"/>
    <n v="10.243138999999999"/>
    <n v="12.90733"/>
    <n v="21.874932000000001"/>
    <n v="58.009149000000001"/>
    <n v="10.285416"/>
    <n v="9.7306690000000007"/>
    <n v="8.8167159999999996"/>
    <n v="10.924229"/>
    <n v="18.252119"/>
    <n v="64.660021999999998"/>
    <n v="9.8883039999999998"/>
    <n v="10.544475"/>
    <n v="7.1993790000000004"/>
    <n v="13.627166000000001"/>
    <n v="23.400697999999998"/>
    <n v="14738.519"/>
    <n v="2582.9270000000001"/>
    <n v="2621.8119999999999"/>
    <n v="2208.4863333333333"/>
    <n v="1853.807"/>
    <n v="5471.4866666666676"/>
    <n v="970.6"/>
    <n v="178.27799999999999"/>
    <n v="166.54499999999999"/>
    <n v="137.56299999999999"/>
    <n v="172.86500000000001"/>
    <n v="2186.1"/>
    <n v="381.04199999999997"/>
    <n v="409.71800000000002"/>
    <n v="304.09699999999998"/>
    <n v="386.22300000000001"/>
    <n v="2.2523181537193486"/>
    <n v="2.1373472890653922"/>
    <n v="2.4601038758293559"/>
    <n v="2.2106016879538828"/>
    <n v="2.2342463772307868"/>
    <n v="1.9450000000000001"/>
  </r>
  <r>
    <x v="191"/>
    <x v="0"/>
    <n v="70.877758"/>
    <n v="12.538423"/>
    <n v="11.454096999999999"/>
    <n v="10.819656999999999"/>
    <n v="13.027186"/>
    <n v="23.038395000000001"/>
    <n v="58.711320000000001"/>
    <n v="10.426356"/>
    <n v="9.7820920000000005"/>
    <n v="9.0351289999999995"/>
    <n v="10.630955"/>
    <n v="18.836787999999999"/>
    <n v="63.646582000000002"/>
    <n v="9.7643880000000003"/>
    <n v="10.002045000000001"/>
    <n v="7.0512309999999996"/>
    <n v="13.205219"/>
    <n v="23.623699000000002"/>
    <n v="14738.519"/>
    <n v="2582.9270000000001"/>
    <n v="2621.8119999999999"/>
    <n v="2208.4863333333333"/>
    <n v="1853.807"/>
    <n v="5471.4866666666676"/>
    <n v="1006.7"/>
    <n v="183.22499999999999"/>
    <n v="169.261"/>
    <n v="142.85499999999999"/>
    <n v="173.20400000000001"/>
    <n v="2047.3"/>
    <n v="345.96100000000001"/>
    <n v="414.327"/>
    <n v="275.411"/>
    <n v="351.34"/>
    <n v="2.0336743816429919"/>
    <n v="1.8881757402101242"/>
    <n v="2.4478586325260987"/>
    <n v="1.927905918588779"/>
    <n v="2.0284750929539732"/>
    <n v="1.696"/>
  </r>
  <r>
    <x v="192"/>
    <x v="0"/>
    <n v="67.820305000000005"/>
    <n v="12.401864999999999"/>
    <n v="11.237080000000001"/>
    <n v="9.6715509999999991"/>
    <n v="12.274355999999999"/>
    <n v="22.235453000000007"/>
    <n v="53.677152999999997"/>
    <n v="10.126054"/>
    <n v="9.0657350000000001"/>
    <n v="7.8508389999999997"/>
    <n v="9.33141"/>
    <n v="17.303114999999998"/>
    <n v="58.034261999999998"/>
    <n v="9.5475449999999995"/>
    <n v="9.2534320000000001"/>
    <n v="6.0735919999999997"/>
    <n v="11.610803000000001"/>
    <n v="21.54889"/>
    <n v="13791.997000000001"/>
    <n v="2488.7550000000001"/>
    <n v="2563.9893333333334"/>
    <n v="1958.3680000000002"/>
    <n v="1662.671"/>
    <n v="5118.2136666666665"/>
    <n v="947.7"/>
    <n v="181.80500000000001"/>
    <n v="165.83600000000001"/>
    <n v="127.59099999999999"/>
    <n v="162.87700000000001"/>
    <n v="1808.5"/>
    <n v="330.99400000000003"/>
    <n v="340.012"/>
    <n v="234.727"/>
    <n v="311.25799999999998"/>
    <n v="1.908304315711723"/>
    <n v="1.8205989934270235"/>
    <n v="2.0502906485925854"/>
    <n v="1.8396830497448882"/>
    <n v="1.9110003253989205"/>
    <n v="1.784"/>
  </r>
  <r>
    <x v="193"/>
    <x v="0"/>
    <n v="61.97786"/>
    <n v="11.507586999999999"/>
    <n v="10.190661"/>
    <n v="8.8947059999999993"/>
    <n v="10.890681000000001"/>
    <n v="20.494225"/>
    <n v="50.772069000000002"/>
    <n v="9.6662119999999998"/>
    <n v="8.5330619999999993"/>
    <n v="7.2642110000000004"/>
    <n v="8.7993369999999995"/>
    <n v="16.509247000000002"/>
    <n v="55.679481000000003"/>
    <n v="9.2345299999999995"/>
    <n v="8.8641159999999992"/>
    <n v="5.8016480000000001"/>
    <n v="11.053350999999999"/>
    <n v="20.725836000000008"/>
    <n v="13791.997000000001"/>
    <n v="2488.7550000000001"/>
    <n v="2563.9893333333334"/>
    <n v="1958.3680000000002"/>
    <n v="1662.671"/>
    <n v="5118.2136666666665"/>
    <n v="874.7"/>
    <n v="171.405"/>
    <n v="152.32300000000001"/>
    <n v="119.312"/>
    <n v="146.809"/>
    <n v="1741"/>
    <n v="327.02699999999999"/>
    <n v="313.96100000000001"/>
    <n v="229.839"/>
    <n v="289.14"/>
    <n v="1.9903967074425517"/>
    <n v="1.9079198389778593"/>
    <n v="2.0611529447292924"/>
    <n v="1.9263695185731529"/>
    <n v="1.9694977828334774"/>
    <n v="1.9139999999999999"/>
  </r>
  <r>
    <x v="194"/>
    <x v="0"/>
    <n v="74.668858999999998"/>
    <n v="13.021888000000001"/>
    <n v="12.839700000000001"/>
    <n v="11.170691000000001"/>
    <n v="13.25309"/>
    <n v="24.383489999999995"/>
    <n v="64.607692999999998"/>
    <n v="11.550425000000001"/>
    <n v="11.342854000000001"/>
    <n v="9.6379669999999997"/>
    <n v="11.354236999999999"/>
    <n v="20.722210000000004"/>
    <n v="70.234128999999996"/>
    <n v="10.903095"/>
    <n v="11.737009"/>
    <n v="7.5452649999999997"/>
    <n v="13.990024"/>
    <n v="26.058735999999996"/>
    <n v="13791.997000000001"/>
    <n v="2488.7550000000001"/>
    <n v="2563.9893333333334"/>
    <n v="1958.3680000000002"/>
    <n v="1662.671"/>
    <n v="5118.2136666666665"/>
    <n v="1031.9000000000001"/>
    <n v="193.30099999999999"/>
    <n v="187.11600000000001"/>
    <n v="147.71299999999999"/>
    <n v="177.68100000000001"/>
    <n v="2087"/>
    <n v="377.33600000000001"/>
    <n v="379.21600000000001"/>
    <n v="293.66000000000003"/>
    <n v="352.91199999999998"/>
    <n v="2.0224827987208061"/>
    <n v="1.9520643969767359"/>
    <n v="2.0266358836229932"/>
    <n v="1.9880443833650392"/>
    <n v="1.9862112437458139"/>
    <n v="1.9019999999999999"/>
  </r>
  <r>
    <x v="195"/>
    <x v="0"/>
    <n v="71.411752000000007"/>
    <n v="12.037896"/>
    <n v="12.172141"/>
    <n v="10.866921"/>
    <n v="12.696498999999999"/>
    <n v="23.638295000000014"/>
    <n v="61.213312999999999"/>
    <n v="10.605509"/>
    <n v="10.700708000000001"/>
    <n v="9.3571430000000007"/>
    <n v="10.78177"/>
    <n v="19.768183000000001"/>
    <n v="66.938654"/>
    <n v="10.162369999999999"/>
    <n v="11.237133"/>
    <n v="7.3456060000000001"/>
    <n v="13.359857"/>
    <n v="24.833688000000002"/>
    <n v="15526.782666666666"/>
    <n v="2731.136"/>
    <n v="2995.4189999999999"/>
    <n v="2362.3780000000002"/>
    <n v="1913.0913333333335"/>
    <n v="5524.7583333333314"/>
    <n v="992.3"/>
    <n v="180.185"/>
    <n v="178.154"/>
    <n v="144.59"/>
    <n v="171.40199999999999"/>
    <n v="2042.2"/>
    <n v="362.56099999999998"/>
    <n v="359.44900000000001"/>
    <n v="294.43099999999998"/>
    <n v="343.35700000000003"/>
    <n v="2.0580469616043535"/>
    <n v="2.0121597247273635"/>
    <n v="2.0176308137903165"/>
    <n v="2.0363164810844454"/>
    <n v="2.0032263334150131"/>
    <n v="1.9770000000000001"/>
  </r>
  <r>
    <x v="196"/>
    <x v="0"/>
    <n v="74.472491000000005"/>
    <n v="12.911875"/>
    <n v="12.731018000000001"/>
    <n v="11.216868"/>
    <n v="13.000401999999999"/>
    <n v="24.612328000000005"/>
    <n v="65.062929999999994"/>
    <n v="11.53689"/>
    <n v="11.454034"/>
    <n v="9.8200869999999991"/>
    <n v="11.242872999999999"/>
    <n v="21.009045999999998"/>
    <n v="71.364144999999994"/>
    <n v="11.006299"/>
    <n v="12.030749"/>
    <n v="7.7734449999999997"/>
    <n v="14.024988"/>
    <n v="26.528663999999992"/>
    <n v="15526.782666666666"/>
    <n v="2731.136"/>
    <n v="2995.4189999999999"/>
    <n v="2362.3780000000002"/>
    <n v="1913.0913333333335"/>
    <n v="5524.7583333333314"/>
    <n v="1047.0999999999999"/>
    <n v="195.42500000000001"/>
    <n v="186.75899999999999"/>
    <n v="153.202"/>
    <n v="177.34800000000001"/>
    <n v="2217.3000000000002"/>
    <n v="400.38499999999999"/>
    <n v="383.65100000000001"/>
    <n v="322.625"/>
    <n v="371.65300000000002"/>
    <n v="2.1175627924744536"/>
    <n v="2.0487910963285145"/>
    <n v="2.0542570906890703"/>
    <n v="2.1058798188013212"/>
    <n v="2.0956142725037776"/>
    <n v="1.972"/>
  </r>
  <r>
    <x v="197"/>
    <x v="0"/>
    <n v="75.677413999999999"/>
    <n v="12.850824000000001"/>
    <n v="13.404779000000001"/>
    <n v="11.544131999999999"/>
    <n v="12.86415"/>
    <n v="25.013528999999998"/>
    <n v="67.637010000000004"/>
    <n v="11.789635000000001"/>
    <n v="12.304731"/>
    <n v="10.500473"/>
    <n v="11.267874000000001"/>
    <n v="21.774297000000004"/>
    <n v="72.790418000000003"/>
    <n v="10.931036000000001"/>
    <n v="12.517894"/>
    <n v="8.0688379999999995"/>
    <n v="14.001624"/>
    <n v="27.271026000000006"/>
    <n v="15526.782666666666"/>
    <n v="2731.136"/>
    <n v="2995.4189999999999"/>
    <n v="2362.3780000000002"/>
    <n v="1913.0913333333335"/>
    <n v="5524.7583333333314"/>
    <n v="1060.0999999999999"/>
    <n v="195.67"/>
    <n v="196.667"/>
    <n v="158.80199999999999"/>
    <n v="176.31700000000001"/>
    <n v="2115.1"/>
    <n v="373.90800000000002"/>
    <n v="416.40600000000001"/>
    <n v="306.34699999999998"/>
    <n v="351.39299999999997"/>
    <n v="1.995189133100651"/>
    <n v="1.9109112280881078"/>
    <n v="2.1173150553982114"/>
    <n v="1.9291129834636842"/>
    <n v="1.9929615408610626"/>
    <n v="1.8169999999999999"/>
  </r>
  <r>
    <x v="198"/>
    <x v="0"/>
    <n v="79.103566000000001"/>
    <n v="13.393599"/>
    <n v="14.222614"/>
    <n v="11.995899999999999"/>
    <n v="13.435238999999999"/>
    <n v="26.056213999999997"/>
    <n v="70.462705"/>
    <n v="12.201478"/>
    <n v="13.005057000000001"/>
    <n v="10.930448"/>
    <n v="11.521773"/>
    <n v="22.803949000000003"/>
    <n v="75.281915999999995"/>
    <n v="11.275850999999999"/>
    <n v="12.965327"/>
    <n v="8.3419589999999992"/>
    <n v="14.271326"/>
    <n v="28.427453"/>
    <n v="15249.544666666667"/>
    <n v="2656.2193333333335"/>
    <n v="2945.1766666666667"/>
    <n v="2364.6906666666669"/>
    <n v="1835.3856666666668"/>
    <n v="5448.0723333333317"/>
    <n v="1099.7"/>
    <n v="200.601"/>
    <n v="206.25800000000001"/>
    <n v="163.602"/>
    <n v="182.53899999999999"/>
    <n v="2185.9"/>
    <n v="385.858"/>
    <n v="403.67899999999997"/>
    <n v="318.91699999999997"/>
    <n v="362.43700000000001"/>
    <n v="1.9877239247067382"/>
    <n v="1.9235098528920593"/>
    <n v="1.957155601237285"/>
    <n v="1.9493465850050731"/>
    <n v="1.985531858945212"/>
    <n v="1.913"/>
  </r>
  <r>
    <x v="199"/>
    <x v="0"/>
    <n v="77.976078999999999"/>
    <n v="13.497465"/>
    <n v="14.117869000000001"/>
    <n v="11.855912"/>
    <n v="12.883141"/>
    <n v="25.621691999999996"/>
    <n v="67.346919"/>
    <n v="11.824551"/>
    <n v="12.649908"/>
    <n v="10.400714000000001"/>
    <n v="10.737030000000001"/>
    <n v="21.734715999999992"/>
    <n v="72.729198999999994"/>
    <n v="11.052004"/>
    <n v="12.693732000000001"/>
    <n v="7.9873089999999998"/>
    <n v="13.520089"/>
    <n v="27.476064999999991"/>
    <n v="15249.544666666667"/>
    <n v="2656.2193333333335"/>
    <n v="2945.1766666666667"/>
    <n v="2364.6906666666669"/>
    <n v="1835.3856666666668"/>
    <n v="5448.0723333333317"/>
    <n v="1089.5"/>
    <n v="202.89500000000001"/>
    <n v="205.77799999999999"/>
    <n v="162.36000000000001"/>
    <n v="175.21899999999999"/>
    <n v="2110.8000000000002"/>
    <n v="381.04"/>
    <n v="391.47699999999998"/>
    <n v="308.41399999999999"/>
    <n v="342.80500000000001"/>
    <n v="1.9374024782010097"/>
    <n v="1.8780157224179994"/>
    <n v="1.9024239714643936"/>
    <n v="1.8995688593249567"/>
    <n v="1.9564373726593578"/>
    <n v="1.8"/>
  </r>
  <r>
    <x v="200"/>
    <x v="0"/>
    <n v="69.731136000000006"/>
    <n v="12.308126"/>
    <n v="12.062013"/>
    <n v="10.459835"/>
    <n v="11.999134"/>
    <n v="22.902028000000008"/>
    <n v="57.500227000000002"/>
    <n v="10.305125"/>
    <n v="10.413301000000001"/>
    <n v="8.5519090000000002"/>
    <n v="9.7277039999999992"/>
    <n v="18.502187999999997"/>
    <n v="63.991365000000002"/>
    <n v="9.9674420000000001"/>
    <n v="10.963963"/>
    <n v="6.8435180000000004"/>
    <n v="12.394693999999999"/>
    <n v="23.821748000000007"/>
    <n v="15249.544666666667"/>
    <n v="2656.2193333333335"/>
    <n v="2945.1766666666667"/>
    <n v="2364.6906666666669"/>
    <n v="1835.3856666666668"/>
    <n v="5448.0723333333317"/>
    <n v="962.6"/>
    <n v="181.81299999999999"/>
    <n v="174.87299999999999"/>
    <n v="141.65100000000001"/>
    <n v="161.363"/>
    <n v="1888.5"/>
    <n v="345.92399999999998"/>
    <n v="346.03800000000001"/>
    <n v="269.88"/>
    <n v="317.05099999999999"/>
    <n v="1.9618740910035322"/>
    <n v="1.9026362251324163"/>
    <n v="1.9787960405551459"/>
    <n v="1.9052459919096933"/>
    <n v="1.9648308472202425"/>
    <n v="1.8740000000000001"/>
  </r>
  <r>
    <x v="201"/>
    <x v="0"/>
    <n v="73.995063999999999"/>
    <n v="12.847395000000001"/>
    <n v="12.658209999999999"/>
    <n v="11.220727"/>
    <n v="12.916476000000001"/>
    <n v="24.352255999999997"/>
    <n v="62.601869999999998"/>
    <n v="11.041213000000001"/>
    <n v="11.015606999999999"/>
    <n v="9.4094239999999996"/>
    <n v="10.832711"/>
    <n v="20.302914999999992"/>
    <n v="69.936836"/>
    <n v="10.783388"/>
    <n v="11.859503999999999"/>
    <n v="7.542338"/>
    <n v="13.752706999999999"/>
    <n v="25.998899000000002"/>
    <n v="15212.277333333333"/>
    <n v="2695.6503333333335"/>
    <n v="2843.0229999999997"/>
    <n v="2301.3316666666665"/>
    <n v="1859.9159999999999"/>
    <n v="5512.356333333335"/>
    <n v="1033"/>
    <n v="191.643"/>
    <n v="184.46799999999999"/>
    <n v="151.71100000000001"/>
    <n v="174.40700000000001"/>
    <n v="2035"/>
    <n v="363.87400000000002"/>
    <n v="351.767"/>
    <n v="296.35899999999998"/>
    <n v="344.839"/>
    <n v="1.9699903194578896"/>
    <n v="1.8987074925773444"/>
    <n v="1.906926946679099"/>
    <n v="1.953444377797259"/>
    <n v="1.9772084836044423"/>
    <n v="1.861"/>
  </r>
  <r>
    <x v="202"/>
    <x v="0"/>
    <n v="71.257097000000002"/>
    <n v="12.617578999999999"/>
    <n v="11.732477999999999"/>
    <n v="10.45335"/>
    <n v="12.588374"/>
    <n v="23.865316"/>
    <n v="58.486181999999999"/>
    <n v="10.518273000000001"/>
    <n v="9.9826160000000002"/>
    <n v="8.5218919999999994"/>
    <n v="10.218591999999999"/>
    <n v="19.244808999999997"/>
    <n v="64.827416999999997"/>
    <n v="10.206878"/>
    <n v="10.787768"/>
    <n v="6.783563"/>
    <n v="12.697679000000001"/>
    <n v="24.351528999999999"/>
    <n v="15212.277333333333"/>
    <n v="2695.6503333333335"/>
    <n v="2843.0229999999997"/>
    <n v="2301.3316666666665"/>
    <n v="1859.9159999999999"/>
    <n v="5512.356333333335"/>
    <n v="986.5"/>
    <n v="184.26300000000001"/>
    <n v="170.363"/>
    <n v="138.727"/>
    <n v="168.601"/>
    <n v="1966.6"/>
    <n v="351.53"/>
    <n v="339.54"/>
    <n v="272.33"/>
    <n v="336.9"/>
    <n v="1.9935124176381145"/>
    <n v="1.9077622745749281"/>
    <n v="1.993038394487066"/>
    <n v="1.9630641475704078"/>
    <n v="1.9982087887972193"/>
    <n v="1.8240000000000001"/>
  </r>
  <r>
    <x v="203"/>
    <x v="0"/>
    <n v="75.266506000000007"/>
    <n v="13.347773"/>
    <n v="12.504628"/>
    <n v="11.058804"/>
    <n v="13.235389999999999"/>
    <n v="25.119911000000002"/>
    <n v="64.563382000000004"/>
    <n v="11.615715"/>
    <n v="11.038354999999999"/>
    <n v="9.6214250000000003"/>
    <n v="11.136248"/>
    <n v="21.151639000000003"/>
    <n v="69.737437999999997"/>
    <n v="10.960471999999999"/>
    <n v="11.302966"/>
    <n v="7.3650539999999998"/>
    <n v="13.741387"/>
    <n v="26.367559"/>
    <n v="15212.277333333333"/>
    <n v="2695.6503333333335"/>
    <n v="2843.0229999999997"/>
    <n v="2301.3316666666665"/>
    <n v="1859.9159999999999"/>
    <n v="5512.356333333335"/>
    <n v="1059"/>
    <n v="194.16499999999999"/>
    <n v="181.06299999999999"/>
    <n v="146.52799999999999"/>
    <n v="177.29499999999999"/>
    <n v="2131.1"/>
    <n v="371.92099999999999"/>
    <n v="368.38099999999997"/>
    <n v="287.709"/>
    <n v="358.54899999999998"/>
    <n v="2.0123701605288007"/>
    <n v="1.915489403342518"/>
    <n v="2.0345459867559912"/>
    <n v="1.963508680934702"/>
    <n v="2.0223300149468399"/>
    <n v="1.893"/>
  </r>
  <r>
    <x v="204"/>
    <x v="0"/>
    <n v="71.558323000000001"/>
    <n v="12.600657999999999"/>
    <n v="12.343052"/>
    <n v="10.158192999999999"/>
    <n v="12.035795999999999"/>
    <n v="24.420624000000004"/>
    <n v="56.979647"/>
    <n v="10.439038999999999"/>
    <n v="10.142414"/>
    <n v="8.2947550000000003"/>
    <n v="9.2015410000000006"/>
    <n v="18.901898000000003"/>
    <n v="61.638893000000003"/>
    <n v="9.8564659999999993"/>
    <n v="10.249349"/>
    <n v="6.4110670000000001"/>
    <n v="11.576961000000001"/>
    <n v="23.545050000000003"/>
    <n v="11974.137333333332"/>
    <n v="2015.796"/>
    <n v="2127.9693333333335"/>
    <n v="1692.4816666666666"/>
    <n v="1370.8066666666666"/>
    <n v="4767.0836666666655"/>
    <n v="982.3"/>
    <n v="183.78800000000001"/>
    <n v="178.006"/>
    <n v="133.34399999999999"/>
    <n v="161.053"/>
    <n v="1950.1"/>
    <n v="349.25299999999999"/>
    <n v="340.79399999999998"/>
    <n v="262.62299999999999"/>
    <n v="323.30799999999999"/>
    <n v="1.9852387254402932"/>
    <n v="1.9003036106818725"/>
    <n v="1.9145084997134927"/>
    <n v="1.9695149388048956"/>
    <n v="2.0074633816197154"/>
    <n v="1.77"/>
  </r>
  <r>
    <x v="205"/>
    <x v="0"/>
    <n v="67.671308999999994"/>
    <n v="11.869527"/>
    <n v="11.488196"/>
    <n v="9.6389370000000003"/>
    <n v="11.183564000000001"/>
    <n v="23.491084999999998"/>
    <n v="54.701686000000002"/>
    <n v="9.9189229999999995"/>
    <n v="9.6895229999999994"/>
    <n v="7.736103"/>
    <n v="8.8170409999999997"/>
    <n v="18.540095999999998"/>
    <n v="59.879629999999999"/>
    <n v="9.4979250000000004"/>
    <n v="9.9603699999999993"/>
    <n v="6.0851550000000003"/>
    <n v="11.205802"/>
    <n v="23.130378"/>
    <n v="11974.137333333332"/>
    <n v="2015.796"/>
    <n v="2127.9693333333335"/>
    <n v="1692.4816666666666"/>
    <n v="1370.8066666666666"/>
    <n v="4767.0836666666655"/>
    <n v="926.9"/>
    <n v="173.31700000000001"/>
    <n v="166.58600000000001"/>
    <n v="127.749"/>
    <n v="150.48500000000001"/>
    <n v="1663.1"/>
    <n v="295.33300000000003"/>
    <n v="320.06200000000001"/>
    <n v="221.65899999999999"/>
    <n v="276.78800000000001"/>
    <n v="1.7942604380192038"/>
    <n v="1.7040048004523505"/>
    <n v="1.9213019101245001"/>
    <n v="1.7351133864061559"/>
    <n v="1.8393062431471574"/>
    <n v="1.5089999999999999"/>
  </r>
  <r>
    <x v="206"/>
    <x v="0"/>
    <n v="64.222055999999995"/>
    <n v="10.985368000000001"/>
    <n v="10.500691999999999"/>
    <n v="9.0200639999999996"/>
    <n v="11.134969"/>
    <n v="22.580962999999997"/>
    <n v="32.172558000000002"/>
    <n v="5.6981469999999996"/>
    <n v="5.4426189999999997"/>
    <n v="4.5137280000000004"/>
    <n v="5.129143"/>
    <n v="11.388921000000003"/>
    <n v="34.420555"/>
    <n v="5.3583639999999999"/>
    <n v="5.4898660000000001"/>
    <n v="3.4672900000000002"/>
    <n v="6.2161280000000003"/>
    <n v="13.888907"/>
    <n v="11974.137333333332"/>
    <n v="2015.796"/>
    <n v="2127.9693333333335"/>
    <n v="1692.4816666666666"/>
    <n v="1370.8066666666666"/>
    <n v="4767.0836666666655"/>
    <n v="848.2"/>
    <n v="150.79"/>
    <n v="144.011"/>
    <n v="112.816"/>
    <n v="141.126"/>
    <n v="1238.7"/>
    <n v="205.297"/>
    <n v="232.31700000000001"/>
    <n v="162.19"/>
    <n v="218.869"/>
    <n v="1.4603867012497052"/>
    <n v="1.3614762252138737"/>
    <n v="1.6131892702640771"/>
    <n v="1.4376506878456956"/>
    <n v="1.5508765216898375"/>
    <n v="0.95299999999999996"/>
  </r>
  <r>
    <x v="207"/>
    <x v="0"/>
    <n v="19.314523999999999"/>
    <n v="4.1553389999999997"/>
    <n v="2.5520459999999998"/>
    <n v="1.7429649999999999"/>
    <n v="5.4893900000000002"/>
    <n v="5.3747839999999982"/>
    <n v="2.531101"/>
    <n v="0.64641000000000004"/>
    <n v="0.43515599999999999"/>
    <n v="0.229099"/>
    <n v="0.42844900000000002"/>
    <n v="0.791987"/>
    <n v="2.879712"/>
    <n v="0.63275099999999995"/>
    <n v="0.45207399999999998"/>
    <n v="0.18549099999999999"/>
    <n v="0.51572799999999996"/>
    <n v="1.0936680000000001"/>
    <n v="4604.7106666666668"/>
    <n v="471.48366666666669"/>
    <n v="402.62700000000001"/>
    <n v="308.61433333333332"/>
    <n v="335.75766666666669"/>
    <n v="3086.2280000000001"/>
    <n v="313"/>
    <n v="51.712000000000003"/>
    <n v="33.040999999999997"/>
    <n v="19.847999999999999"/>
    <n v="60.576000000000001"/>
    <n v="455.1"/>
    <n v="53.383000000000003"/>
    <n v="52.42"/>
    <n v="22.968"/>
    <n v="83.355000000000004"/>
    <n v="1.4539936102236422"/>
    <n v="1.0323135829207921"/>
    <n v="1.5865137253715083"/>
    <n v="1.1571946795646917"/>
    <n v="1.3760400158478605"/>
    <n v="0.60599999999999998"/>
  </r>
  <r>
    <x v="208"/>
    <x v="0"/>
    <n v="17.11035"/>
    <n v="3.4557359999999999"/>
    <n v="2.1503429999999999"/>
    <n v="1.36334"/>
    <n v="4.8771940000000003"/>
    <n v="5.2637370000000008"/>
    <n v="6.6173330000000004"/>
    <n v="1.6488640000000001"/>
    <n v="0.79167399999999999"/>
    <n v="0.50123600000000001"/>
    <n v="1.4596499999999999"/>
    <n v="2.2159089999999999"/>
    <n v="7.861491"/>
    <n v="1.6599600000000001"/>
    <n v="0.84360299999999999"/>
    <n v="0.39678000000000002"/>
    <n v="1.836192"/>
    <n v="3.1249560000000001"/>
    <n v="4604.7106666666668"/>
    <n v="471.48366666666669"/>
    <n v="402.62700000000001"/>
    <n v="308.61433333333332"/>
    <n v="335.75766666666669"/>
    <n v="3086.2280000000001"/>
    <n v="297"/>
    <n v="45.218000000000004"/>
    <n v="28.707000000000001"/>
    <n v="16.715"/>
    <n v="56.436"/>
    <n v="316.3"/>
    <n v="48.32"/>
    <n v="43.183"/>
    <n v="17.690000000000001"/>
    <n v="69.747"/>
    <n v="1.0649831649831649"/>
    <n v="1.0686009996019283"/>
    <n v="1.5042672518897828"/>
    <n v="1.0583308405623693"/>
    <n v="1.2358600893046991"/>
    <n v="0.68600000000000005"/>
  </r>
  <r>
    <x v="209"/>
    <x v="0"/>
    <n v="24.641020000000001"/>
    <n v="4.4095569999999995"/>
    <n v="2.9854439999999998"/>
    <n v="1.524141"/>
    <n v="7.5218249999999998"/>
    <n v="8.2000530000000005"/>
    <n v="13.844224000000001"/>
    <n v="3.0404040000000001"/>
    <n v="1.455783"/>
    <n v="0.83857899999999996"/>
    <n v="3.726559"/>
    <n v="4.7828990000000005"/>
    <n v="16.132885000000002"/>
    <n v="2.9602750000000002"/>
    <n v="1.5390900000000001"/>
    <n v="0.66127499999999995"/>
    <n v="4.6378170000000001"/>
    <n v="6.3344280000000026"/>
    <n v="4604.7106666666668"/>
    <n v="471.48366666666669"/>
    <n v="402.62700000000001"/>
    <n v="308.61433333333332"/>
    <n v="335.75766666666669"/>
    <n v="3086.2280000000001"/>
    <n v="393.5"/>
    <n v="59.875999999999998"/>
    <n v="39.075000000000003"/>
    <n v="19.122"/>
    <n v="90.879000000000005"/>
    <n v="442.9"/>
    <n v="60.192"/>
    <n v="53.091000000000001"/>
    <n v="22.457999999999998"/>
    <n v="106.274"/>
    <n v="1.1255400254129606"/>
    <n v="1.0052775736522146"/>
    <n v="1.3586948176583493"/>
    <n v="1.1744587386256666"/>
    <n v="1.1694010717547507"/>
    <n v="0.98299999999999998"/>
  </r>
  <r>
    <x v="210"/>
    <x v="0"/>
    <n v="40.150393000000001"/>
    <n v="7.5103469999999994"/>
    <n v="5.7001189999999999"/>
    <n v="3.1101770000000002"/>
    <n v="9.442501"/>
    <n v="14.387249000000001"/>
    <n v="19.995062999999998"/>
    <n v="4.3844779999999997"/>
    <n v="2.4076689999999998"/>
    <n v="1.518114"/>
    <n v="4.0235409999999998"/>
    <n v="7.6612609999999979"/>
    <n v="22.922158"/>
    <n v="4.3031699999999997"/>
    <n v="2.4179460000000002"/>
    <n v="1.207341"/>
    <n v="5.0784799999999999"/>
    <n v="9.915220999999999"/>
    <n v="6542.0503333333336"/>
    <n v="902.0866666666667"/>
    <n v="866.49833333333333"/>
    <n v="557.22433333333333"/>
    <n v="591.08966666666663"/>
    <n v="3625.1513333333332"/>
    <n v="565.70000000000005"/>
    <n v="99.048000000000002"/>
    <n v="73.066000000000003"/>
    <n v="39.090000000000003"/>
    <n v="115.244"/>
    <n v="666.1"/>
    <n v="109.47799999999999"/>
    <n v="86.659000000000006"/>
    <n v="47.284999999999997"/>
    <n v="130.239"/>
    <n v="1.1774792292734664"/>
    <n v="1.1053024796058475"/>
    <n v="1.1860372813620563"/>
    <n v="1.2096444103351238"/>
    <n v="1.1301152337648814"/>
    <n v="1.0840000000000001"/>
  </r>
  <r>
    <x v="211"/>
    <x v="0"/>
    <n v="42.704075000000003"/>
    <n v="7.4196960000000001"/>
    <n v="7.318524"/>
    <n v="4.43506"/>
    <n v="9.5321749999999987"/>
    <n v="13.998620000000006"/>
    <n v="21.105626000000001"/>
    <n v="4.3691240000000002"/>
    <n v="3.068565"/>
    <n v="2.1639940000000002"/>
    <n v="4.0156359999999998"/>
    <n v="7.4883069999999989"/>
    <n v="24.431822"/>
    <n v="4.3374030000000001"/>
    <n v="3.194715"/>
    <n v="1.7905629999999999"/>
    <n v="5.0664999999999996"/>
    <n v="10.042641"/>
    <n v="6542.0503333333336"/>
    <n v="902.0866666666667"/>
    <n v="866.49833333333333"/>
    <n v="557.22433333333333"/>
    <n v="591.08966666666663"/>
    <n v="3625.1513333333332"/>
    <n v="589.1"/>
    <n v="99.715999999999994"/>
    <n v="95.084999999999994"/>
    <n v="54.482999999999997"/>
    <n v="116.18899999999999"/>
    <n v="714"/>
    <n v="114.529"/>
    <n v="123.639"/>
    <n v="64.626000000000005"/>
    <n v="131.71100000000001"/>
    <n v="1.212018333050416"/>
    <n v="1.1485518873601028"/>
    <n v="1.3002997318188989"/>
    <n v="1.1861681625461153"/>
    <n v="1.133592680890618"/>
    <n v="1.1120000000000001"/>
  </r>
  <r>
    <x v="212"/>
    <x v="0"/>
    <n v="35.743836999999999"/>
    <n v="6.253012"/>
    <n v="6.7654240000000003"/>
    <n v="3.6673390000000001"/>
    <n v="7.1913320000000001"/>
    <n v="11.86673"/>
    <n v="20.39856"/>
    <n v="4.5079760000000002"/>
    <n v="3.0826579999999999"/>
    <n v="2.2064780000000002"/>
    <n v="3.7017030000000002"/>
    <n v="6.8997449999999994"/>
    <n v="23.854772000000001"/>
    <n v="4.5384409999999997"/>
    <n v="3.316398"/>
    <n v="1.821096"/>
    <n v="4.786829"/>
    <n v="9.3920080000000006"/>
    <n v="6542.0503333333336"/>
    <n v="902.0866666666667"/>
    <n v="866.49833333333333"/>
    <n v="557.22433333333333"/>
    <n v="591.08966666666663"/>
    <n v="3625.1513333333332"/>
    <n v="508.5"/>
    <n v="86.331000000000003"/>
    <n v="85.058999999999997"/>
    <n v="44.798000000000002"/>
    <n v="88.629000000000005"/>
    <n v="599"/>
    <n v="92.902000000000001"/>
    <n v="109.18300000000001"/>
    <n v="50.856999999999999"/>
    <n v="105.904"/>
    <n v="1.1779744346116028"/>
    <n v="1.0761140262478137"/>
    <n v="1.2836149025970209"/>
    <n v="1.1352515737309701"/>
    <n v="1.1949136287219757"/>
    <n v="1.006"/>
  </r>
  <r>
    <x v="213"/>
    <x v="0"/>
    <n v="40.318368"/>
    <n v="6.6408069999999997"/>
    <n v="7.5766620000000007"/>
    <n v="4.8625240000000005"/>
    <n v="7.2661009999999999"/>
    <n v="13.972273999999999"/>
    <n v="24.390235000000001"/>
    <n v="5.0842840000000002"/>
    <n v="3.512886"/>
    <n v="3.2098909999999998"/>
    <n v="3.9777100000000001"/>
    <n v="8.6054639999999996"/>
    <n v="28.027208999999999"/>
    <n v="5.0965860000000003"/>
    <n v="3.7310650000000001"/>
    <n v="2.6970960000000002"/>
    <n v="5.1573089999999997"/>
    <n v="11.345153"/>
    <n v="7803.3416666666672"/>
    <n v="1048.3353333333332"/>
    <n v="1091.1016666666667"/>
    <n v="745.32866666666666"/>
    <n v="657.02733333333333"/>
    <n v="4261.5486666666675"/>
    <n v="568.9"/>
    <n v="91.584999999999994"/>
    <n v="95.727999999999994"/>
    <n v="60.423999999999999"/>
    <n v="90.591999999999999"/>
    <n v="650.5"/>
    <n v="97.730999999999995"/>
    <n v="116.351"/>
    <n v="67.314999999999998"/>
    <n v="98.438999999999993"/>
    <n v="1.1434346985410442"/>
    <n v="1.0671070590162144"/>
    <n v="1.2154333110479694"/>
    <n v="1.1140440884416787"/>
    <n v="1.0866191275167785"/>
    <n v="1.0469999999999999"/>
  </r>
  <r>
    <x v="214"/>
    <x v="0"/>
    <n v="43.377699999999997"/>
    <n v="6.757161"/>
    <n v="8.0622160000000012"/>
    <n v="5.0824110000000005"/>
    <n v="8.3157199999999989"/>
    <n v="15.160191999999995"/>
    <n v="23.666198000000001"/>
    <n v="4.4689709999999998"/>
    <n v="3.4261979999999999"/>
    <n v="3.1702819999999998"/>
    <n v="3.9833419999999999"/>
    <n v="8.6174050000000015"/>
    <n v="26.294513999999999"/>
    <n v="4.2694279999999996"/>
    <n v="3.5246040000000001"/>
    <n v="2.5885750000000001"/>
    <n v="4.9570220000000003"/>
    <n v="10.954884999999999"/>
    <n v="7803.3416666666672"/>
    <n v="1048.3353333333332"/>
    <n v="1091.1016666666667"/>
    <n v="745.32866666666666"/>
    <n v="657.02733333333333"/>
    <n v="4261.5486666666675"/>
    <n v="593"/>
    <n v="91.683999999999997"/>
    <n v="101.322"/>
    <n v="61.853999999999999"/>
    <n v="102.233"/>
    <n v="717.9"/>
    <n v="103.27500000000001"/>
    <n v="123.495"/>
    <n v="73.064999999999998"/>
    <n v="121.06100000000001"/>
    <n v="1.2106239460370996"/>
    <n v="1.1264233672178352"/>
    <n v="1.2188369751880144"/>
    <n v="1.1812493937336308"/>
    <n v="1.1841675388573161"/>
    <n v="1.133"/>
  </r>
  <r>
    <x v="215"/>
    <x v="0"/>
    <n v="44.949733999999999"/>
    <n v="7.2116059999999997"/>
    <n v="8.5066000000000006"/>
    <n v="5.5190489999999999"/>
    <n v="7.6006220000000004"/>
    <n v="16.111856999999997"/>
    <n v="25.015291999999999"/>
    <n v="4.4549339999999997"/>
    <n v="3.6410610000000001"/>
    <n v="3.3561909999999999"/>
    <n v="4.5237540000000003"/>
    <n v="9.0393519999999974"/>
    <n v="27.264199000000001"/>
    <n v="4.1589999999999998"/>
    <n v="3.5387979999999999"/>
    <n v="2.6693530000000001"/>
    <n v="5.5651219999999997"/>
    <n v="11.331926000000003"/>
    <n v="7803.3416666666672"/>
    <n v="1048.3353333333332"/>
    <n v="1091.1016666666667"/>
    <n v="745.32866666666666"/>
    <n v="657.02733333333333"/>
    <n v="4261.5486666666675"/>
    <n v="646.70000000000005"/>
    <n v="96.268000000000001"/>
    <n v="107.19"/>
    <n v="66.611999999999995"/>
    <n v="94.512"/>
    <n v="953"/>
    <n v="125.08799999999999"/>
    <n v="205.251"/>
    <n v="89.406999999999996"/>
    <n v="128.65199999999999"/>
    <n v="1.4736353796196071"/>
    <n v="1.2993725848672455"/>
    <n v="1.9148334732717605"/>
    <n v="1.3422056085990512"/>
    <n v="1.361223971559167"/>
    <n v="1.3240000000000001"/>
  </r>
  <r>
    <x v="216"/>
    <x v="0"/>
    <n v="42.182777000000002"/>
    <n v="6.9789350000000008"/>
    <n v="8.4311179999999997"/>
    <n v="4.9285909999999999"/>
    <n v="7.1847780000000006"/>
    <n v="14.659354999999998"/>
    <n v="22.298925000000001"/>
    <n v="4.0125789999999997"/>
    <n v="3.603046"/>
    <n v="2.798343"/>
    <n v="3.832821"/>
    <n v="8.0521360000000008"/>
    <n v="24.305907999999999"/>
    <n v="3.8107839999999999"/>
    <n v="3.4857429999999998"/>
    <n v="2.272605"/>
    <n v="4.6833920000000004"/>
    <n v="10.053383999999998"/>
    <n v="7645.0933333333332"/>
    <n v="1033.58"/>
    <n v="1147.7438136826784"/>
    <n v="703.78133333333335"/>
    <n v="667.64600000000007"/>
    <n v="4092.3421863173212"/>
    <n v="579"/>
    <n v="92.578999999999994"/>
    <n v="106.922"/>
    <n v="59.816000000000003"/>
    <n v="88.87"/>
    <n v="877.5"/>
    <n v="130.63900000000001"/>
    <n v="174.971"/>
    <n v="86.367000000000004"/>
    <n v="127.994"/>
    <n v="1.5155440414507773"/>
    <n v="1.4111083507058839"/>
    <n v="1.6364359065486991"/>
    <n v="1.4438778922027551"/>
    <n v="1.4402385506920219"/>
    <n v="1.42"/>
  </r>
  <r>
    <x v="217"/>
    <x v="0"/>
    <n v="37.809009000000003"/>
    <n v="5.9897999999999998"/>
    <n v="7.5262460000000004"/>
    <n v="4.4286270000000005"/>
    <n v="5.7795800000000002"/>
    <n v="14.084756000000002"/>
    <n v="22.418441999999999"/>
    <n v="3.813323"/>
    <n v="3.666261"/>
    <n v="2.6689880000000001"/>
    <n v="3.7206359999999998"/>
    <n v="8.5492339999999984"/>
    <n v="24.483505000000001"/>
    <n v="3.6229269999999998"/>
    <n v="3.5235249999999998"/>
    <n v="2.2081590000000002"/>
    <n v="4.6239179999999998"/>
    <n v="10.504976000000001"/>
    <n v="7645.0933333333332"/>
    <n v="1033.58"/>
    <n v="1147.7438136826784"/>
    <n v="703.78133333333335"/>
    <n v="667.64600000000007"/>
    <n v="4092.3421863173212"/>
    <n v="525.79999999999995"/>
    <n v="82.582999999999998"/>
    <n v="96.981999999999999"/>
    <n v="54.761000000000003"/>
    <n v="73.893000000000001"/>
    <n v="848.2"/>
    <n v="128.41900000000001"/>
    <n v="155.98699999999999"/>
    <n v="85.460999999999999"/>
    <n v="117.08499999999999"/>
    <n v="1.6131608976797263"/>
    <n v="1.5550294854873281"/>
    <n v="1.6084118702439627"/>
    <n v="1.5606179580358284"/>
    <n v="1.5845208612453141"/>
    <n v="1.601"/>
  </r>
  <r>
    <x v="218"/>
    <x v="0"/>
    <n v="53.593108999999998"/>
    <n v="8.6614629999999995"/>
    <n v="9.8737519999999996"/>
    <n v="5.7845620000000002"/>
    <n v="9.5218670000000003"/>
    <n v="19.751464999999996"/>
    <n v="36.718462000000002"/>
    <n v="6.5097820000000004"/>
    <n v="5.3938199999999998"/>
    <n v="4.2387969999999999"/>
    <n v="6.9350110000000003"/>
    <n v="13.641052000000006"/>
    <n v="39.343494999999997"/>
    <n v="6.094754"/>
    <n v="5.0820189999999998"/>
    <n v="3.43486"/>
    <n v="8.284478"/>
    <n v="16.447383999999996"/>
    <n v="7645.0933333333332"/>
    <n v="1033.58"/>
    <n v="1147.7438136826784"/>
    <n v="703.78133333333335"/>
    <n v="667.64600000000007"/>
    <n v="4092.3421863173212"/>
    <n v="713.6"/>
    <n v="116.749"/>
    <n v="124.276"/>
    <n v="71.700999999999993"/>
    <n v="121.142"/>
    <n v="1333.1"/>
    <n v="195.61500000000001"/>
    <n v="308.53500000000003"/>
    <n v="123.01600000000001"/>
    <n v="206.005"/>
    <n v="1.8681334080717487"/>
    <n v="1.6755175633196002"/>
    <n v="2.4826595641958225"/>
    <n v="1.7156803949735711"/>
    <n v="1.7005250037146489"/>
    <n v="1.661"/>
  </r>
  <r>
    <x v="219"/>
    <x v="0"/>
    <n v="54.609251999999998"/>
    <n v="9.2778619999999989"/>
    <n v="9.8094000000000001"/>
    <n v="5.7703180000000005"/>
    <n v="9.7220890000000004"/>
    <n v="20.029583000000002"/>
    <n v="40.847237"/>
    <n v="7.6857530000000001"/>
    <n v="5.735582"/>
    <n v="4.683681"/>
    <n v="7.6888610000000002"/>
    <n v="15.053360000000001"/>
    <n v="43.798946000000001"/>
    <n v="7.2555829999999997"/>
    <n v="5.3889319999999996"/>
    <n v="3.7454809999999998"/>
    <n v="9.2793770000000002"/>
    <n v="18.129573000000004"/>
    <n v="11676.184000000001"/>
    <n v="1990.6323333333332"/>
    <n v="1992.2724605107071"/>
    <n v="1255.5773333333334"/>
    <n v="1293.7806666666668"/>
    <n v="5143.921206155961"/>
    <n v="739.8"/>
    <n v="126.86799999999999"/>
    <n v="125.845"/>
    <n v="73.114999999999995"/>
    <n v="125.74"/>
    <n v="1302.3"/>
    <n v="214.39599999999999"/>
    <n v="222.005"/>
    <n v="126.452"/>
    <n v="222.78700000000001"/>
    <n v="1.7603406326034063"/>
    <n v="1.6899139262855882"/>
    <n v="1.7641145854026778"/>
    <n v="1.7294946317445121"/>
    <n v="1.77180690313345"/>
    <n v="1.669"/>
  </r>
  <r>
    <x v="220"/>
    <x v="0"/>
    <n v="61.120491999999999"/>
    <n v="11.029284000000001"/>
    <n v="10.947183000000001"/>
    <n v="6.6269150000000003"/>
    <n v="10.671145000000001"/>
    <n v="21.845965"/>
    <n v="49.504829000000001"/>
    <n v="9.3459839999999996"/>
    <n v="8.6390510000000003"/>
    <n v="5.4009970000000003"/>
    <n v="8.9022310000000004"/>
    <n v="17.216566"/>
    <n v="52.752164"/>
    <n v="8.6028859999999998"/>
    <n v="8.1405130000000003"/>
    <n v="4.2373029999999998"/>
    <n v="10.776857"/>
    <n v="20.994605"/>
    <n v="11676.184000000001"/>
    <n v="1990.6323333333332"/>
    <n v="1992.2724605107071"/>
    <n v="1255.5773333333334"/>
    <n v="1293.7806666666668"/>
    <n v="5143.921206155961"/>
    <n v="819.4"/>
    <n v="151.41200000000001"/>
    <n v="144.934"/>
    <n v="83.8"/>
    <n v="139.07400000000001"/>
    <n v="1632.4"/>
    <n v="263.142"/>
    <n v="403.55599999999998"/>
    <n v="150.86699999999999"/>
    <n v="245.84200000000001"/>
    <n v="1.9921894068830854"/>
    <n v="1.7379203761921116"/>
    <n v="2.7844122152152013"/>
    <n v="1.8003221957040572"/>
    <n v="1.7677064009088685"/>
    <n v="1.752"/>
  </r>
  <r>
    <x v="221"/>
    <x v="0"/>
    <n v="67.221782000000005"/>
    <n v="12.596565"/>
    <n v="11.233416999999999"/>
    <n v="7.8996750000000002"/>
    <n v="11.987009"/>
    <n v="23.505116000000001"/>
    <n v="57.542386999999998"/>
    <n v="11.247522999999999"/>
    <n v="9.6762270000000008"/>
    <n v="6.7269379999999996"/>
    <n v="10.233967"/>
    <n v="19.657732000000003"/>
    <n v="60.110694000000002"/>
    <n v="10.186206"/>
    <n v="9.3444730000000007"/>
    <n v="5.0836110000000003"/>
    <n v="12.004580000000001"/>
    <n v="23.491824000000001"/>
    <n v="11676.184000000001"/>
    <n v="1990.6323333333332"/>
    <n v="1992.2724605107071"/>
    <n v="1255.5773333333334"/>
    <n v="1293.7806666666668"/>
    <n v="5143.921206155961"/>
    <n v="897.7"/>
    <n v="175.25399999999999"/>
    <n v="144.934"/>
    <n v="102.709"/>
    <n v="155.85"/>
    <n v="1824.9"/>
    <n v="318.92399999999998"/>
    <n v="403.55599999999998"/>
    <n v="192.245"/>
    <n v="297.16000000000003"/>
    <n v="2.0328617578255543"/>
    <n v="1.8197815741723442"/>
    <n v="2.7844122152152013"/>
    <n v="1.8717444430380978"/>
    <n v="1.906705165222971"/>
    <n v="1.857"/>
  </r>
  <r>
    <x v="222"/>
    <x v="0"/>
    <n v="73.101095999999998"/>
    <n v="13.317148"/>
    <n v="11.879190000000001"/>
    <n v="9.5992450000000016"/>
    <n v="13.045862"/>
    <n v="25.259650999999998"/>
    <n v="64.326768999999999"/>
    <n v="12.096626000000001"/>
    <n v="10.662663999999999"/>
    <n v="8.4732749999999992"/>
    <n v="11.374043"/>
    <n v="21.720160999999997"/>
    <n v="66.739880999999997"/>
    <n v="10.950575000000001"/>
    <n v="10.311639"/>
    <n v="6.395518"/>
    <n v="13.236682"/>
    <n v="25.845466999999999"/>
    <n v="13681.510666666667"/>
    <n v="2372.8646666666668"/>
    <n v="2443.6974922356649"/>
    <n v="1803.9033333333334"/>
    <n v="1508.8689999999999"/>
    <n v="5552.1761744310015"/>
    <n v="993.7"/>
    <n v="185.066"/>
    <n v="168.023"/>
    <n v="126.843"/>
    <n v="169.477"/>
    <n v="1978.3"/>
    <n v="350.351"/>
    <n v="337.358"/>
    <n v="246.84200000000001"/>
    <n v="316.85199999999998"/>
    <n v="1.990842306531146"/>
    <n v="1.893113808046859"/>
    <n v="2.0078084547948793"/>
    <n v="1.9460435341327469"/>
    <n v="1.8695870236079231"/>
    <n v="1.887"/>
  </r>
  <r>
    <x v="223"/>
    <x v="0"/>
    <n v="71.565318000000005"/>
    <n v="12.797222"/>
    <n v="11.893038000000001"/>
    <n v="9.7694989999999997"/>
    <n v="12.866566000000001"/>
    <n v="24.238993000000001"/>
    <n v="58.220039999999997"/>
    <n v="10.594509"/>
    <n v="10.176507000000001"/>
    <n v="8.1058179999999993"/>
    <n v="10.197217"/>
    <n v="19.145988999999993"/>
    <n v="60.630876999999998"/>
    <n v="9.6113999999999997"/>
    <n v="9.856033"/>
    <n v="6.1209230000000003"/>
    <n v="11.867179"/>
    <n v="23.175342000000001"/>
    <n v="13681.510666666667"/>
    <n v="2372.8646666666668"/>
    <n v="2443.6974922356649"/>
    <n v="1803.9033333333334"/>
    <n v="1508.8689999999999"/>
    <n v="5552.1761744310015"/>
    <n v="965.2"/>
    <n v="177.041"/>
    <n v="167.649"/>
    <n v="127.736"/>
    <n v="166.202"/>
    <n v="1907.9"/>
    <n v="336.00799999999998"/>
    <n v="327.16800000000001"/>
    <n v="250.607"/>
    <n v="324.20999999999998"/>
    <n v="1.9766887691670121"/>
    <n v="1.8979106534644516"/>
    <n v="1.9515058246693986"/>
    <n v="1.9619136343708898"/>
    <n v="1.9506985475505709"/>
    <n v="1.8169999999999999"/>
  </r>
  <r>
    <x v="224"/>
    <x v="0"/>
    <n v="66.006820000000005"/>
    <n v="11.792102000000002"/>
    <n v="11.105900999999999"/>
    <n v="9.223001"/>
    <n v="11.734041999999999"/>
    <n v="22.151774000000003"/>
    <n v="49.96163"/>
    <n v="9.3138500000000004"/>
    <n v="8.7495930000000008"/>
    <n v="7.0260020000000001"/>
    <n v="8.8121430000000007"/>
    <n v="16.060042000000003"/>
    <n v="53.902403999999997"/>
    <n v="8.8147099999999998"/>
    <n v="8.7930460000000004"/>
    <n v="5.6134969999999997"/>
    <n v="10.68933"/>
    <n v="19.991820999999995"/>
    <n v="13681.510666666667"/>
    <n v="2372.8646666666668"/>
    <n v="2443.6974922356649"/>
    <n v="1803.9033333333334"/>
    <n v="1508.8689999999999"/>
    <n v="5552.1761744310015"/>
    <n v="884.3"/>
    <n v="160.483"/>
    <n v="150.857"/>
    <n v="119.55"/>
    <n v="149.82599999999999"/>
    <n v="1773.3"/>
    <n v="315.08"/>
    <n v="269.93400000000003"/>
    <n v="238.35"/>
    <n v="296.2"/>
    <n v="2.0053149383693318"/>
    <n v="1.9633232180355551"/>
    <n v="1.7893369217205699"/>
    <n v="1.9937264742785445"/>
    <n v="1.9769599401972955"/>
    <n v="2.0030000000000001"/>
  </r>
  <r>
    <x v="225"/>
    <x v="0"/>
    <n v="68.788498000000004"/>
    <n v="12.353774999999999"/>
    <n v="11.517745000000001"/>
    <n v="9.7766460000000013"/>
    <n v="12.099069999999999"/>
    <n v="23.041262000000003"/>
    <n v="55.741931999999998"/>
    <n v="10.529514000000001"/>
    <n v="9.4827969999999997"/>
    <n v="7.9907159999999999"/>
    <n v="9.7466480000000004"/>
    <n v="17.992257000000002"/>
    <n v="60.547953"/>
    <n v="10.10116"/>
    <n v="9.6318839999999994"/>
    <n v="6.5520589999999999"/>
    <n v="11.893214"/>
    <n v="22.369636"/>
    <n v="14877.978528592907"/>
    <n v="2801.7559048843195"/>
    <n v="2594.2995902959997"/>
    <n v="2260.361046327012"/>
    <n v="1793.0376666666664"/>
    <n v="5428.5243204189082"/>
    <n v="927.8"/>
    <m/>
    <m/>
    <m/>
    <m/>
    <n v="2078"/>
    <m/>
    <m/>
    <m/>
    <m/>
    <n v="2.2397068333692607"/>
    <n v="2.3587540279269601"/>
    <n v="2.3112582781456954"/>
    <n v="2.4103194103194103"/>
    <n v="2.3601105721306883"/>
    <n v="2.2959999999999998"/>
  </r>
  <r>
    <x v="226"/>
    <x v="0"/>
    <n v="68.176215999999997"/>
    <n v="12.551110000000001"/>
    <n v="11.293353999999999"/>
    <n v="9.7184380000000008"/>
    <n v="11.772206000000001"/>
    <n v="22.841107999999991"/>
    <n v="55.533935"/>
    <n v="10.55696"/>
    <n v="9.3321679999999994"/>
    <n v="8.0225220000000004"/>
    <n v="9.6021409999999996"/>
    <n v="18.020144000000002"/>
    <n v="59.778784000000002"/>
    <n v="10.071653"/>
    <n v="9.6226020000000005"/>
    <n v="6.4712069999999997"/>
    <n v="11.775524000000001"/>
    <n v="21.837798000000006"/>
    <n v="14877.978528592908"/>
    <n v="2801.7559048843195"/>
    <n v="2594.2995902959997"/>
    <n v="2260.361046327012"/>
    <n v="1793.0376666666664"/>
    <n v="5428.5243204189101"/>
    <n v="915.1"/>
    <m/>
    <m/>
    <m/>
    <m/>
    <n v="2109.4"/>
    <m/>
    <m/>
    <m/>
    <m/>
    <n v="2.3051032674024698"/>
    <n v="2.3587540279269601"/>
    <n v="2.3112582781456954"/>
    <n v="2.4103194103194103"/>
    <n v="2.3601105721306883"/>
    <n v="2.1930000000000001"/>
  </r>
  <r>
    <x v="227"/>
    <x v="0"/>
    <n v="69.133358999999999"/>
    <n v="12.770175999999999"/>
    <n v="11.081713000000001"/>
    <n v="10.313495999999999"/>
    <n v="11.725503"/>
    <n v="23.242470999999995"/>
    <n v="56.867944000000001"/>
    <n v="10.742754"/>
    <n v="9.3222489999999993"/>
    <n v="8.6641359999999992"/>
    <n v="9.5014040000000008"/>
    <n v="18.637401000000004"/>
    <n v="59.532589000000002"/>
    <n v="10.082533"/>
    <n v="9.2169810000000005"/>
    <n v="6.6689699999999998"/>
    <n v="11.584666"/>
    <n v="21.979438999999999"/>
    <n v="14877.978528592908"/>
    <n v="2801.7559048843195"/>
    <n v="2594.2995902959997"/>
    <n v="2260.361046327012"/>
    <n v="1793.0376666666664"/>
    <n v="5428.5243204189101"/>
    <n v="976.5"/>
    <m/>
    <m/>
    <m/>
    <m/>
    <n v="2085"/>
    <m/>
    <m/>
    <m/>
    <m/>
    <n v="2.1351766513056836"/>
    <n v="2.3587540279269601"/>
    <n v="2.3112582781456954"/>
    <n v="2.4103194103194103"/>
    <n v="2.3601105721306883"/>
    <n v="2.0950000000000002"/>
  </r>
  <r>
    <x v="228"/>
    <x v="0"/>
    <n v="64.024658000000002"/>
    <n v="11.597543"/>
    <n v="11.01535"/>
    <n v="9.1275359999999992"/>
    <n v="10.898481"/>
    <n v="21.385748000000007"/>
    <n v="43.782505999999998"/>
    <n v="7.9955290000000003"/>
    <n v="7.7789060000000001"/>
    <n v="6.2925950000000004"/>
    <n v="7.4200929999999996"/>
    <n v="14.295382999999994"/>
    <n v="45.748868999999999"/>
    <n v="7.5407440000000001"/>
    <n v="7.7234220000000002"/>
    <n v="4.8845260000000001"/>
    <n v="8.8314039999999991"/>
    <n v="16.768772999999999"/>
    <n v="0"/>
    <n v="0"/>
    <n v="0"/>
    <n v="0"/>
    <n v="0"/>
    <n v="0"/>
    <n v="848.7"/>
    <m/>
    <m/>
    <m/>
    <m/>
    <n v="2003.4"/>
    <m/>
    <m/>
    <m/>
    <m/>
    <n v="2.3605514316012726"/>
    <m/>
    <m/>
    <m/>
    <m/>
    <n v="2.4460000000000002"/>
  </r>
  <r>
    <x v="0"/>
    <x v="1"/>
    <n v="11.290009"/>
    <n v="4.2373890000000003"/>
    <n v="2.3631700000000002"/>
    <n v="4.2516150000000001"/>
    <n v="0"/>
    <n v="0.43783499999999798"/>
    <n v="8.1116119999999992"/>
    <n v="2.9767039999999998"/>
    <n v="1.6058250000000001"/>
    <n v="3.24451"/>
    <n v="0"/>
    <n v="0.28457299999999908"/>
    <n v="9.7264359999999996"/>
    <n v="1.354646"/>
    <n v="0.50170800000000004"/>
    <n v="0.73292400000000002"/>
    <n v="0"/>
    <n v="7.1371579999999994"/>
    <n v="2322.6309999999999"/>
    <n v="405.39166666666665"/>
    <n v="183.76666666666668"/>
    <n v="367.40699999999998"/>
    <n v="0"/>
    <n v="1366.0656666666666"/>
    <n v="377.8"/>
    <n v="70.31"/>
    <n v="41.963000000000001"/>
    <n v="76.585999999999999"/>
    <n v="0"/>
    <n v="339.5"/>
    <n v="64.454999999999998"/>
    <n v="33.680999999999997"/>
    <n v="72.262"/>
    <n v="0"/>
    <n v="0.89862361037586025"/>
    <n v="0.91672592803299668"/>
    <n v="0.80263565522007474"/>
    <n v="0.94354059488679398"/>
    <n v="0"/>
    <m/>
  </r>
  <r>
    <x v="1"/>
    <x v="1"/>
    <n v="9.6792630000000006"/>
    <n v="3.665686"/>
    <n v="1.8869629999999999"/>
    <n v="3.7118280000000001"/>
    <n v="0"/>
    <n v="0.41478600000000121"/>
    <n v="6.6182449999999999"/>
    <n v="2.493611"/>
    <n v="1.2568699999999999"/>
    <n v="2.5825879999999999"/>
    <n v="0"/>
    <n v="0.28517599999999987"/>
    <n v="8.283372"/>
    <n v="1.13947"/>
    <n v="0.40690799999999999"/>
    <n v="0.60314599999999996"/>
    <n v="0"/>
    <n v="6.1338480000000004"/>
    <n v="2322.6309999999999"/>
    <n v="405.39166666666665"/>
    <n v="183.76666666666668"/>
    <n v="367.40699999999998"/>
    <n v="0"/>
    <n v="1366.0656666666666"/>
    <n v="329.9"/>
    <n v="61.853999999999999"/>
    <n v="32.427999999999997"/>
    <n v="68.238"/>
    <n v="0"/>
    <n v="313.5"/>
    <n v="56.575000000000003"/>
    <n v="24.266999999999999"/>
    <n v="70.798000000000002"/>
    <n v="0"/>
    <n v="0.95028796605031829"/>
    <n v="0.91465386232094936"/>
    <n v="0.74833477241889734"/>
    <n v="1.0375157536856296"/>
    <n v="0"/>
    <m/>
  </r>
  <r>
    <x v="2"/>
    <x v="1"/>
    <n v="10.905794"/>
    <n v="4.1473089999999999"/>
    <n v="2.202747"/>
    <n v="4.0816840000000001"/>
    <n v="0"/>
    <n v="0.47405399999999887"/>
    <n v="7.7010940000000003"/>
    <n v="2.8861370000000002"/>
    <n v="1.5564560000000001"/>
    <n v="2.9287770000000002"/>
    <n v="0"/>
    <n v="0.32972399999999968"/>
    <n v="9.538653"/>
    <n v="1.3208089999999999"/>
    <n v="0.49127999999999999"/>
    <n v="0.68976499999999996"/>
    <n v="0"/>
    <n v="7.0367990000000002"/>
    <n v="2322.6309999999999"/>
    <n v="405.39166666666665"/>
    <n v="183.76666666666668"/>
    <n v="367.40699999999998"/>
    <n v="0"/>
    <n v="1366.0656666666666"/>
    <n v="374.2"/>
    <n v="70.11"/>
    <n v="39.595999999999997"/>
    <n v="77.412000000000006"/>
    <n v="0"/>
    <n v="360.1"/>
    <n v="72.962000000000003"/>
    <n v="37.262"/>
    <n v="75.338999999999999"/>
    <n v="0"/>
    <n v="0.96231961517904874"/>
    <n v="1.0406789331051205"/>
    <n v="0.94105465198504912"/>
    <n v="0.97322120601457129"/>
    <n v="0"/>
    <m/>
  </r>
  <r>
    <x v="3"/>
    <x v="1"/>
    <n v="9.5592629999999996"/>
    <n v="3.874139"/>
    <n v="1.9547030000000001"/>
    <n v="3.3069980000000001"/>
    <n v="0"/>
    <n v="0.42342299999999966"/>
    <n v="6.2793479999999997"/>
    <n v="2.5610539999999999"/>
    <n v="1.3731040000000001"/>
    <n v="2.061464"/>
    <n v="0"/>
    <n v="0.2837259999999997"/>
    <n v="8.3093050000000002"/>
    <n v="1.1971069999999999"/>
    <n v="0.44858700000000001"/>
    <n v="0.51735399999999998"/>
    <n v="0"/>
    <n v="6.1462570000000003"/>
    <n v="2305.2309999999998"/>
    <n v="417.41466666666673"/>
    <n v="204.53533333333328"/>
    <n v="306.76366666666667"/>
    <n v="0"/>
    <n v="1376.517333333333"/>
    <n v="338.1"/>
    <n v="65.688000000000002"/>
    <n v="34.904000000000003"/>
    <n v="63.131999999999998"/>
    <n v="0"/>
    <n v="309.3"/>
    <n v="59.744"/>
    <n v="28.044"/>
    <n v="58.121000000000002"/>
    <n v="0"/>
    <n v="0.91481810115350481"/>
    <n v="0.90951163073925223"/>
    <n v="0.80346092138436853"/>
    <n v="0.92062662358233549"/>
    <n v="0"/>
    <m/>
  </r>
  <r>
    <x v="4"/>
    <x v="1"/>
    <n v="9.3438750000000006"/>
    <n v="3.912655"/>
    <n v="2.0227469999999999"/>
    <n v="3.0478609999999997"/>
    <n v="0"/>
    <n v="0.36061200000000149"/>
    <n v="6.9241339999999996"/>
    <n v="2.78308"/>
    <n v="1.5576749999999999"/>
    <n v="2.326031"/>
    <n v="0"/>
    <n v="0.25734799999999947"/>
    <n v="8.8018730000000005"/>
    <n v="1.230334"/>
    <n v="0.48297299999999999"/>
    <n v="0.58726500000000004"/>
    <n v="0"/>
    <n v="6.5013010000000007"/>
    <n v="2305.2309999999998"/>
    <n v="417.41466666666673"/>
    <n v="204.53533333333328"/>
    <n v="306.76366666666667"/>
    <n v="0"/>
    <n v="1376.517333333333"/>
    <n v="374.9"/>
    <n v="65.405000000000001"/>
    <n v="35.72"/>
    <n v="58.35"/>
    <n v="0"/>
    <n v="271.5"/>
    <n v="52.781999999999996"/>
    <n v="25.888999999999999"/>
    <n v="49.433"/>
    <n v="0"/>
    <n v="0.724193118164844"/>
    <n v="0.80700252274290951"/>
    <n v="0.72477603583426653"/>
    <n v="0.84718080548414731"/>
    <n v="0"/>
    <m/>
  </r>
  <r>
    <x v="5"/>
    <x v="1"/>
    <n v="10.445100999999999"/>
    <n v="4.280106"/>
    <n v="2.2804250000000001"/>
    <n v="3.5190900000000003"/>
    <n v="0"/>
    <n v="0.36547999999999981"/>
    <n v="8.4435280000000006"/>
    <n v="3.3060659999999999"/>
    <n v="1.930992"/>
    <n v="2.9455650000000002"/>
    <n v="0"/>
    <n v="0.26090500000000105"/>
    <n v="10.347899999999999"/>
    <n v="1.4434359999999999"/>
    <n v="0.58452599999999999"/>
    <n v="0.72892500000000005"/>
    <n v="0"/>
    <n v="7.5910129999999993"/>
    <n v="2305.2309999999998"/>
    <n v="417.41466666666673"/>
    <n v="204.53533333333328"/>
    <n v="306.76366666666667"/>
    <n v="0"/>
    <n v="1376.517333333333"/>
    <n v="361.6"/>
    <n v="70.590999999999994"/>
    <n v="40.363"/>
    <n v="64.899000000000001"/>
    <n v="0"/>
    <n v="287.8"/>
    <n v="56.488999999999997"/>
    <n v="28.56"/>
    <n v="54.664999999999999"/>
    <n v="0"/>
    <n v="0.7959070796460177"/>
    <n v="0.80022949101160212"/>
    <n v="0.70757872308797654"/>
    <n v="0.84230881831769366"/>
    <n v="0"/>
    <m/>
  </r>
  <r>
    <x v="6"/>
    <x v="1"/>
    <n v="11.363263"/>
    <n v="4.7287749999999997"/>
    <n v="2.4480479999999996"/>
    <n v="3.7973970000000001"/>
    <n v="0"/>
    <n v="0.38904300000000092"/>
    <n v="9.4000959999999996"/>
    <n v="3.767023"/>
    <n v="2.0804840000000002"/>
    <n v="3.2559140000000002"/>
    <n v="0"/>
    <n v="0.29667499999999869"/>
    <n v="11.705206"/>
    <n v="1.7352730000000001"/>
    <n v="0.631965"/>
    <n v="0.81219699999999995"/>
    <n v="0"/>
    <n v="8.5257710000000007"/>
    <n v="2538.5986666666663"/>
    <n v="497.14566666666673"/>
    <n v="248.95900000000003"/>
    <n v="387.88633333333337"/>
    <n v="0"/>
    <n v="1404.6076666666663"/>
    <n v="390.9"/>
    <n v="77.384"/>
    <n v="43.171999999999997"/>
    <n v="67.855999999999995"/>
    <n v="0"/>
    <n v="315.89999999999998"/>
    <n v="63.835999999999999"/>
    <n v="32.011000000000003"/>
    <n v="59.045999999999999"/>
    <n v="0"/>
    <n v="0.80813507290867226"/>
    <n v="0.82492504910575826"/>
    <n v="0.74147595663856214"/>
    <n v="0.87016623437868434"/>
    <n v="0"/>
    <m/>
  </r>
  <r>
    <x v="7"/>
    <x v="1"/>
    <n v="11.680892"/>
    <n v="4.7255880000000001"/>
    <n v="2.5361819999999997"/>
    <n v="4.0217510000000001"/>
    <n v="0"/>
    <n v="0.3973709999999997"/>
    <n v="9.617324"/>
    <n v="3.752936"/>
    <n v="2.106144"/>
    <n v="3.4428809999999999"/>
    <n v="0"/>
    <n v="0.31536299999999962"/>
    <n v="11.799671999999999"/>
    <n v="1.7280880000000001"/>
    <n v="0.64077600000000001"/>
    <n v="0.83903799999999995"/>
    <n v="0"/>
    <n v="8.5917699999999986"/>
    <n v="2538.5986666666663"/>
    <n v="497.14566666666673"/>
    <n v="248.95900000000003"/>
    <n v="387.88633333333337"/>
    <n v="0"/>
    <n v="1404.6076666666663"/>
    <n v="401.5"/>
    <n v="77.644999999999996"/>
    <n v="44.734999999999999"/>
    <n v="72.489000000000004"/>
    <n v="0"/>
    <n v="338"/>
    <n v="66.599999999999994"/>
    <n v="35.029000000000003"/>
    <n v="65.813000000000002"/>
    <n v="0"/>
    <n v="0.84184308841843092"/>
    <n v="0.85775001609891166"/>
    <n v="0.78303341902313628"/>
    <n v="0.90790326808205379"/>
    <n v="0"/>
    <m/>
  </r>
  <r>
    <x v="8"/>
    <x v="1"/>
    <n v="11.038582999999999"/>
    <n v="4.294746"/>
    <n v="2.470132"/>
    <n v="3.9307609999999999"/>
    <n v="0"/>
    <n v="0.34294399999999925"/>
    <n v="8.2915580000000002"/>
    <n v="2.981061"/>
    <n v="1.889135"/>
    <n v="3.2170670000000001"/>
    <n v="0"/>
    <n v="0.20429500000000012"/>
    <n v="9.4546469999999996"/>
    <n v="1.244953"/>
    <n v="0.53276900000000005"/>
    <n v="0.75438899999999998"/>
    <n v="0"/>
    <n v="6.9225359999999991"/>
    <n v="2538.5986666666663"/>
    <n v="497.14566666666673"/>
    <n v="248.95900000000003"/>
    <n v="387.88633333333337"/>
    <n v="0"/>
    <n v="1404.6076666666663"/>
    <n v="389.5"/>
    <n v="69.971999999999994"/>
    <n v="42.405000000000001"/>
    <n v="82.125"/>
    <n v="0"/>
    <n v="317.10000000000002"/>
    <n v="60.033000000000001"/>
    <n v="33.006"/>
    <n v="62.726999999999997"/>
    <n v="0"/>
    <n v="0.8141206675224647"/>
    <n v="0.85795746870176648"/>
    <n v="0.77835160948001414"/>
    <n v="0.7637990867579908"/>
    <n v="0"/>
    <m/>
  </r>
  <r>
    <x v="9"/>
    <x v="1"/>
    <n v="11.161648"/>
    <n v="4.343985"/>
    <n v="2.3625729999999998"/>
    <n v="4.0875000000000004"/>
    <n v="0"/>
    <n v="0.36758999999999986"/>
    <n v="8.3545850000000002"/>
    <n v="2.9898319999999998"/>
    <n v="1.8154539999999999"/>
    <n v="3.3033429999999999"/>
    <n v="0"/>
    <n v="0.24595599999999962"/>
    <n v="9.6083580000000008"/>
    <n v="1.273217"/>
    <n v="0.53698199999999996"/>
    <n v="0.76613299999999995"/>
    <n v="0"/>
    <n v="7.032026000000001"/>
    <n v="2466.1800000000003"/>
    <n v="459.7093333333334"/>
    <n v="223.43933333333334"/>
    <n v="376.46066666666667"/>
    <n v="0"/>
    <n v="1406.570666666667"/>
    <n v="383.4"/>
    <n v="70.808000000000007"/>
    <n v="41.353000000000002"/>
    <n v="75.096999999999994"/>
    <n v="0"/>
    <n v="328.2"/>
    <n v="60.502000000000002"/>
    <n v="33.738"/>
    <n v="68.307000000000002"/>
    <n v="0"/>
    <n v="0.8560250391236307"/>
    <n v="0.85445147440967117"/>
    <n v="0.81585374700747226"/>
    <n v="0.90958360520393633"/>
    <n v="0"/>
    <m/>
  </r>
  <r>
    <x v="10"/>
    <x v="1"/>
    <n v="10.763500000000001"/>
    <n v="4.2581899999999999"/>
    <n v="2.1861869999999999"/>
    <n v="3.883162"/>
    <n v="0"/>
    <n v="0.43596100000000071"/>
    <n v="8.1536749999999998"/>
    <n v="3.0322209999999998"/>
    <n v="1.6465620000000001"/>
    <n v="3.1800320000000002"/>
    <n v="0"/>
    <n v="0.2948599999999999"/>
    <n v="9.4818859999999994"/>
    <n v="1.3361099999999999"/>
    <n v="0.50168500000000005"/>
    <n v="0.72351299999999996"/>
    <n v="0"/>
    <n v="6.920577999999999"/>
    <n v="2466.1800000000003"/>
    <n v="459.7093333333334"/>
    <n v="223.43933333333334"/>
    <n v="376.46066666666667"/>
    <n v="0"/>
    <n v="1406.570666666667"/>
    <n v="360.4"/>
    <n v="69.769000000000005"/>
    <n v="38.265999999999998"/>
    <n v="72.811999999999998"/>
    <n v="0"/>
    <n v="317.5"/>
    <n v="62.438000000000002"/>
    <n v="30.686"/>
    <n v="66.105000000000004"/>
    <n v="0"/>
    <n v="0.88096559378468375"/>
    <n v="0.89492468001547965"/>
    <n v="0.80191292531228775"/>
    <n v="0.90788606273691164"/>
    <n v="0"/>
    <m/>
  </r>
  <r>
    <x v="11"/>
    <x v="1"/>
    <n v="11.242015"/>
    <n v="4.4947520000000001"/>
    <n v="2.2542209999999998"/>
    <n v="4.0121120000000001"/>
    <n v="0"/>
    <n v="0.48093000000000075"/>
    <n v="8.8748310000000004"/>
    <n v="3.4093520000000002"/>
    <n v="1.772599"/>
    <n v="3.3581089999999998"/>
    <n v="0"/>
    <n v="0.33477099999999993"/>
    <n v="10.512547"/>
    <n v="1.531539"/>
    <n v="0.54634400000000005"/>
    <n v="0.77134000000000003"/>
    <n v="0"/>
    <n v="7.6633239999999994"/>
    <n v="2466.1800000000003"/>
    <n v="459.7093333333334"/>
    <n v="223.43933333333334"/>
    <n v="376.46066666666667"/>
    <n v="0"/>
    <n v="1406.570666666667"/>
    <n v="368.9"/>
    <n v="73.248000000000005"/>
    <n v="39.683"/>
    <n v="74.614000000000004"/>
    <n v="0"/>
    <n v="339.8"/>
    <n v="68.994"/>
    <n v="33.936999999999998"/>
    <n v="71.11"/>
    <n v="0"/>
    <n v="0.9211168338303064"/>
    <n v="0.94192332896461328"/>
    <n v="0.85520247965123597"/>
    <n v="0.95303830380357568"/>
    <n v="0"/>
    <m/>
  </r>
  <r>
    <x v="12"/>
    <x v="1"/>
    <n v="11.318180999999999"/>
    <n v="4.60114"/>
    <n v="2.1826149999999997"/>
    <n v="4.0414899999999996"/>
    <n v="0"/>
    <n v="0.49293600000000026"/>
    <n v="8.4755500000000001"/>
    <n v="3.3043650000000002"/>
    <n v="1.615081"/>
    <n v="3.2142010000000001"/>
    <n v="0"/>
    <n v="0.34190300000000029"/>
    <n v="10.252443"/>
    <n v="1.4726999999999999"/>
    <n v="0.505444"/>
    <n v="0.73257899999999998"/>
    <n v="0"/>
    <n v="7.5417199999999998"/>
    <n v="2582.5483333333336"/>
    <n v="489.74166666666673"/>
    <n v="209.34366666666668"/>
    <n v="401.20266666666663"/>
    <n v="0"/>
    <n v="1482.2603333333336"/>
    <n v="371.3"/>
    <n v="74.445999999999998"/>
    <n v="37.667000000000002"/>
    <n v="82.575999999999993"/>
    <n v="0"/>
    <n v="368.9"/>
    <n v="73.474000000000004"/>
    <n v="34.591000000000001"/>
    <n v="83.343999999999994"/>
    <n v="0"/>
    <n v="0.99353622407756526"/>
    <n v="0.98694355640329912"/>
    <n v="0.91833700586720468"/>
    <n v="1.0093005231544274"/>
    <n v="0"/>
    <m/>
  </r>
  <r>
    <x v="13"/>
    <x v="1"/>
    <n v="10.597341999999999"/>
    <n v="4.3344420000000001"/>
    <n v="2.0121089999999997"/>
    <n v="3.759566"/>
    <n v="0"/>
    <n v="0.49122500000000002"/>
    <n v="7.5016150000000001"/>
    <n v="2.913449"/>
    <n v="1.3539870000000001"/>
    <n v="2.8787699999999998"/>
    <n v="0"/>
    <n v="0.35540900000000075"/>
    <n v="9.3103169999999995"/>
    <n v="1.3355900000000001"/>
    <n v="0.43533699999999997"/>
    <n v="0.66922300000000001"/>
    <n v="0"/>
    <n v="6.8701669999999995"/>
    <n v="2582.5483333333336"/>
    <n v="489.74166666666673"/>
    <n v="209.34366666666668"/>
    <n v="401.20266666666663"/>
    <n v="0"/>
    <n v="1482.2603333333336"/>
    <n v="347.1"/>
    <n v="69.334000000000003"/>
    <n v="34.518000000000001"/>
    <n v="66.742000000000004"/>
    <n v="0"/>
    <n v="352.4"/>
    <n v="72.888000000000005"/>
    <n v="31.925999999999998"/>
    <n v="66.760000000000005"/>
    <n v="0"/>
    <n v="1.0152693748199364"/>
    <n v="1.0512591225084373"/>
    <n v="0.92490874326438377"/>
    <n v="1.0002696952443739"/>
    <n v="0"/>
    <m/>
  </r>
  <r>
    <x v="14"/>
    <x v="1"/>
    <n v="11.426667999999999"/>
    <n v="4.6459299999999999"/>
    <n v="2.203703"/>
    <n v="4.029509"/>
    <n v="0"/>
    <n v="0.54752599999999951"/>
    <n v="9.0659469999999995"/>
    <n v="3.4661240000000002"/>
    <n v="1.789501"/>
    <n v="3.4198849999999998"/>
    <n v="0"/>
    <n v="0.39043700000000037"/>
    <n v="10.97644"/>
    <n v="1.5344819999999999"/>
    <n v="0.55443600000000004"/>
    <n v="0.793659"/>
    <n v="0"/>
    <n v="8.0938630000000007"/>
    <n v="2582.5483333333336"/>
    <n v="489.74166666666673"/>
    <n v="209.34366666666668"/>
    <n v="401.20266666666663"/>
    <n v="0"/>
    <n v="1482.2603333333336"/>
    <n v="373.6"/>
    <n v="65.688000000000002"/>
    <n v="37.259"/>
    <n v="76.971999999999994"/>
    <n v="0"/>
    <n v="394.5"/>
    <n v="75.686000000000007"/>
    <n v="35.100999999999999"/>
    <n v="76.73"/>
    <n v="0"/>
    <n v="1.0559421841541756"/>
    <n v="1.1522043600048715"/>
    <n v="0.94208110792023403"/>
    <n v="0.99685599958426452"/>
    <n v="0"/>
    <m/>
  </r>
  <r>
    <x v="15"/>
    <x v="1"/>
    <n v="11.619158000000001"/>
    <n v="4.6704480000000004"/>
    <n v="2.5086280000000003"/>
    <n v="3.9300450000000002"/>
    <n v="0"/>
    <n v="0.51003700000000052"/>
    <n v="8.9441229999999994"/>
    <n v="3.4066869999999998"/>
    <n v="1.9719819999999999"/>
    <n v="3.197289"/>
    <n v="0"/>
    <n v="0.36816499999999941"/>
    <n v="10.802021999999999"/>
    <n v="1.515225"/>
    <n v="0.60230600000000001"/>
    <n v="0.74499899999999997"/>
    <n v="0"/>
    <n v="7.9394919999999995"/>
    <n v="2812.232"/>
    <n v="541.49533333333329"/>
    <n v="277.20766666666663"/>
    <n v="421.69166666666661"/>
    <n v="0"/>
    <n v="1571.8373333333334"/>
    <n v="380.9"/>
    <n v="74.941999999999993"/>
    <n v="41.679000000000002"/>
    <n v="74.575000000000003"/>
    <n v="0"/>
    <n v="393.6"/>
    <n v="79.742999999999995"/>
    <n v="40.057000000000002"/>
    <n v="77.581999999999994"/>
    <n v="0"/>
    <n v="1.0333420845366239"/>
    <n v="1.0640628752902244"/>
    <n v="0.96108351927829361"/>
    <n v="1.0403218236674487"/>
    <n v="0"/>
    <m/>
  </r>
  <r>
    <x v="16"/>
    <x v="1"/>
    <n v="12.221123"/>
    <n v="4.9805799999999998"/>
    <n v="2.7862959999999997"/>
    <n v="3.962634"/>
    <n v="0"/>
    <n v="0.49161300000000097"/>
    <n v="9.4116339999999994"/>
    <n v="3.5568620000000002"/>
    <n v="2.165943"/>
    <n v="3.3346499999999999"/>
    <n v="0"/>
    <n v="0.35417899999999847"/>
    <n v="10.971254"/>
    <n v="1.4804619999999999"/>
    <n v="0.63644699999999998"/>
    <n v="0.77227800000000002"/>
    <n v="0"/>
    <n v="8.0820670000000003"/>
    <n v="2812.232"/>
    <n v="541.49533333333329"/>
    <n v="277.20766666666663"/>
    <n v="421.69166666666661"/>
    <n v="0"/>
    <n v="1571.8373333333334"/>
    <n v="402.4"/>
    <n v="80.12"/>
    <n v="46.198"/>
    <n v="74.150999999999996"/>
    <n v="0"/>
    <n v="443.9"/>
    <n v="86.914000000000001"/>
    <n v="47.988999999999997"/>
    <n v="82.263000000000005"/>
    <n v="0"/>
    <n v="1.1031312127236581"/>
    <n v="1.0847978032950574"/>
    <n v="1.0387679120308237"/>
    <n v="1.1093983897722217"/>
    <n v="0"/>
    <m/>
  </r>
  <r>
    <x v="17"/>
    <x v="1"/>
    <n v="12.58128"/>
    <n v="5.0855870000000003"/>
    <n v="2.844865"/>
    <n v="4.0903220000000005"/>
    <n v="0"/>
    <n v="0.56050599999999839"/>
    <n v="10.438181999999999"/>
    <n v="3.911727"/>
    <n v="2.4645480000000002"/>
    <n v="3.6554570000000002"/>
    <n v="0"/>
    <n v="0.40644999999999953"/>
    <n v="12.159514"/>
    <n v="1.6553850000000001"/>
    <n v="0.72766900000000001"/>
    <n v="0.85651100000000002"/>
    <n v="0"/>
    <n v="8.919948999999999"/>
    <n v="2812.232"/>
    <n v="541.49533333333329"/>
    <n v="277.20766666666663"/>
    <n v="421.69166666666661"/>
    <n v="0"/>
    <n v="1571.8373333333334"/>
    <n v="413"/>
    <n v="80.75"/>
    <n v="48.244999999999997"/>
    <n v="77.251000000000005"/>
    <n v="0"/>
    <n v="465.8"/>
    <n v="88.596000000000004"/>
    <n v="51.578000000000003"/>
    <n v="87.513999999999996"/>
    <n v="0"/>
    <n v="1.1278450363196126"/>
    <n v="1.0971640866873065"/>
    <n v="1.0690848792620997"/>
    <n v="1.1328526491566451"/>
    <n v="0"/>
    <m/>
  </r>
  <r>
    <x v="18"/>
    <x v="1"/>
    <n v="13.435537999999999"/>
    <n v="5.5376980000000007"/>
    <n v="2.949557"/>
    <n v="4.3228929999999997"/>
    <n v="0"/>
    <n v="0.62538999999999767"/>
    <n v="11.119235"/>
    <n v="4.4202680000000001"/>
    <n v="2.5387900000000001"/>
    <n v="3.6966600000000001"/>
    <n v="0"/>
    <n v="0.46351699999999951"/>
    <n v="13.502912999999999"/>
    <n v="1.974326"/>
    <n v="0.77044900000000005"/>
    <n v="0.87884600000000002"/>
    <n v="0"/>
    <n v="9.8792919999999995"/>
    <n v="3006.377"/>
    <n v="587.32666666666671"/>
    <n v="283.99099999999999"/>
    <n v="467.0796666666667"/>
    <n v="0"/>
    <n v="1667.9796666666666"/>
    <n v="432.1"/>
    <n v="88.938999999999993"/>
    <n v="50.103999999999999"/>
    <n v="81.278000000000006"/>
    <n v="0"/>
    <n v="493.7"/>
    <n v="100.881"/>
    <n v="54.37"/>
    <n v="93.662000000000006"/>
    <n v="0"/>
    <n v="1.1425595926868779"/>
    <n v="1.1342718042703426"/>
    <n v="1.0851429027622546"/>
    <n v="1.1523659538866606"/>
    <n v="0"/>
    <m/>
  </r>
  <r>
    <x v="19"/>
    <x v="1"/>
    <n v="13.372610999999999"/>
    <n v="5.4964469999999999"/>
    <n v="2.9393000000000002"/>
    <n v="4.3201890000000001"/>
    <n v="0"/>
    <n v="0.61667500000000075"/>
    <n v="10.843299999999999"/>
    <n v="4.2684430000000004"/>
    <n v="2.4158360000000001"/>
    <n v="3.6969240000000001"/>
    <n v="0"/>
    <n v="0.46209699999999998"/>
    <n v="13.203566"/>
    <n v="1.914936"/>
    <n v="0.73538599999999998"/>
    <n v="0.87626499999999996"/>
    <n v="0"/>
    <n v="9.6769789999999993"/>
    <n v="3006.377"/>
    <n v="587.32666666666671"/>
    <n v="283.99099999999999"/>
    <n v="467.0796666666667"/>
    <n v="0"/>
    <n v="1667.9796666666666"/>
    <n v="432.4"/>
    <n v="87.825000000000003"/>
    <n v="48.494"/>
    <n v="83.028999999999996"/>
    <n v="0"/>
    <n v="530.79999999999995"/>
    <n v="108.28700000000001"/>
    <n v="58.356000000000002"/>
    <n v="103.55800000000001"/>
    <n v="0"/>
    <n v="1.2275670675300647"/>
    <n v="1.2329860518075719"/>
    <n v="1.2033653647873963"/>
    <n v="1.2472509605077746"/>
    <n v="0"/>
    <m/>
  </r>
  <r>
    <x v="20"/>
    <x v="1"/>
    <n v="12.181253999999999"/>
    <n v="4.6934080000000007"/>
    <n v="2.7996300000000001"/>
    <n v="4.1463400000000004"/>
    <n v="0"/>
    <n v="0.54187599999999847"/>
    <n v="9.4751650000000005"/>
    <n v="3.489849"/>
    <n v="2.1834419999999999"/>
    <n v="3.4406099999999999"/>
    <n v="0"/>
    <n v="0.36126400000000025"/>
    <n v="10.570682"/>
    <n v="1.3871519999999999"/>
    <n v="0.61884099999999997"/>
    <n v="0.80684999999999996"/>
    <n v="0"/>
    <n v="7.7578389999999997"/>
    <n v="3006.377"/>
    <n v="587.32666666666671"/>
    <n v="283.99099999999999"/>
    <n v="467.0796666666667"/>
    <n v="0"/>
    <n v="1667.9796666666666"/>
    <n v="402.3"/>
    <n v="75.822999999999993"/>
    <n v="44.563000000000002"/>
    <n v="79.983000000000004"/>
    <n v="0"/>
    <n v="523.5"/>
    <n v="98.501999999999995"/>
    <n v="56.043999999999997"/>
    <n v="97.74"/>
    <n v="0"/>
    <n v="1.3012677106636839"/>
    <n v="1.2991044933595348"/>
    <n v="1.2576352579494199"/>
    <n v="1.2220096770563744"/>
    <n v="0"/>
    <m/>
  </r>
  <r>
    <x v="21"/>
    <x v="1"/>
    <n v="12.462847"/>
    <n v="4.9543840000000001"/>
    <n v="2.6476219999999997"/>
    <n v="4.2556149999999997"/>
    <n v="0"/>
    <n v="0.60522600000000182"/>
    <n v="9.4688400000000001"/>
    <n v="3.5866500000000001"/>
    <n v="2.0679639999999999"/>
    <n v="3.3933599999999999"/>
    <n v="0"/>
    <n v="0.42086600000000018"/>
    <n v="10.772176999999999"/>
    <n v="1.4599690000000001"/>
    <n v="0.61386499999999999"/>
    <n v="0.78922400000000004"/>
    <n v="0"/>
    <n v="7.9091189999999987"/>
    <n v="2851.4339999999997"/>
    <n v="532.42566666666664"/>
    <n v="237.518"/>
    <n v="448.39533333333338"/>
    <n v="0"/>
    <n v="1633.0949999999998"/>
    <n v="411.8"/>
    <n v="79.953000000000003"/>
    <n v="44.488999999999997"/>
    <n v="81.972999999999999"/>
    <n v="0"/>
    <n v="592.4"/>
    <n v="111.664"/>
    <n v="64.581000000000003"/>
    <n v="111.01"/>
    <n v="0"/>
    <n v="1.4385624089363769"/>
    <n v="1.3966205145522994"/>
    <n v="1.4516172537031626"/>
    <n v="1.3542263916167518"/>
    <n v="0"/>
    <m/>
  </r>
  <r>
    <x v="22"/>
    <x v="1"/>
    <n v="12.066483"/>
    <n v="4.699694"/>
    <n v="2.4073580000000003"/>
    <n v="4.2548870000000001"/>
    <n v="0"/>
    <n v="0.70454400000000028"/>
    <n v="8.8585689999999992"/>
    <n v="3.3337509999999999"/>
    <n v="1.8140069999999999"/>
    <n v="3.2247710000000001"/>
    <n v="0"/>
    <n v="0.48603999999999914"/>
    <n v="10.17432"/>
    <n v="1.439853"/>
    <n v="0.55869800000000003"/>
    <n v="0.73400500000000002"/>
    <n v="0"/>
    <n v="7.441764"/>
    <n v="2851.4339999999997"/>
    <n v="532.42566666666664"/>
    <n v="237.518"/>
    <n v="448.39533333333338"/>
    <n v="0"/>
    <n v="1633.0949999999998"/>
    <n v="390.2"/>
    <n v="74.647999999999996"/>
    <n v="40.887999999999998"/>
    <n v="80.7"/>
    <n v="0"/>
    <n v="569.29999999999995"/>
    <n v="111.06699999999999"/>
    <n v="56.905999999999999"/>
    <n v="116.82"/>
    <n v="0"/>
    <n v="1.4589953869810353"/>
    <n v="1.4878764333940628"/>
    <n v="1.3917530815887302"/>
    <n v="1.4475836431226765"/>
    <n v="0"/>
    <m/>
  </r>
  <r>
    <x v="23"/>
    <x v="1"/>
    <n v="12.999423999999999"/>
    <n v="5.0649840000000008"/>
    <n v="2.649057"/>
    <n v="4.5090269999999997"/>
    <n v="0"/>
    <n v="0.77635599999999805"/>
    <n v="9.8746460000000003"/>
    <n v="3.7721260000000001"/>
    <n v="2.029623"/>
    <n v="3.5268090000000001"/>
    <n v="0"/>
    <n v="0.54608799999999924"/>
    <n v="11.244427"/>
    <n v="1.6737949999999999"/>
    <n v="0.63084399999999996"/>
    <n v="0.81329200000000001"/>
    <n v="0"/>
    <n v="8.1264959999999995"/>
    <n v="2851.4339999999997"/>
    <n v="532.42566666666664"/>
    <n v="237.518"/>
    <n v="448.39533333333338"/>
    <n v="0"/>
    <n v="1633.0949999999998"/>
    <n v="407.5"/>
    <n v="80.602999999999994"/>
    <n v="44.25"/>
    <n v="84.323999999999998"/>
    <n v="0"/>
    <n v="561.79999999999995"/>
    <n v="112.095"/>
    <n v="59.511000000000003"/>
    <n v="113.434"/>
    <n v="0"/>
    <n v="1.3786503067484661"/>
    <n v="1.3907050606056848"/>
    <n v="1.3448813559322035"/>
    <n v="1.3452160713438641"/>
    <n v="0"/>
    <m/>
  </r>
  <r>
    <x v="24"/>
    <x v="1"/>
    <n v="13.097308"/>
    <n v="5.1097010000000003"/>
    <n v="2.5897869999999998"/>
    <n v="4.5810279999999999"/>
    <n v="0"/>
    <n v="0.81679199999999952"/>
    <n v="9.8231459999999995"/>
    <n v="3.7481040000000001"/>
    <n v="1.9557439999999999"/>
    <n v="3.549785"/>
    <n v="0"/>
    <n v="0.56951299999999883"/>
    <n v="11.387275000000001"/>
    <n v="1.666774"/>
    <n v="0.61793200000000004"/>
    <n v="0.832152"/>
    <n v="0"/>
    <n v="8.2704170000000019"/>
    <n v="2997.6036666666664"/>
    <n v="564.39166666666665"/>
    <n v="239.69499999999996"/>
    <n v="458.56166666666667"/>
    <n v="0"/>
    <n v="1734.9553333333331"/>
    <n v="405.2"/>
    <n v="81.14"/>
    <n v="43.454000000000001"/>
    <n v="87.570999999999998"/>
    <n v="0"/>
    <n v="538.70000000000005"/>
    <n v="107.572"/>
    <n v="57.884"/>
    <n v="115.248"/>
    <n v="0"/>
    <n v="1.3294669299111552"/>
    <n v="1.3257579492235643"/>
    <n v="1.3320752980162931"/>
    <n v="1.3160521177102009"/>
    <n v="0"/>
    <m/>
  </r>
  <r>
    <x v="25"/>
    <x v="1"/>
    <n v="11.852558"/>
    <n v="4.6693860000000003"/>
    <n v="2.300354"/>
    <n v="4.1327039999999995"/>
    <n v="0"/>
    <n v="0.75011400000000172"/>
    <n v="8.4313870000000009"/>
    <n v="3.232996"/>
    <n v="1.6328339999999999"/>
    <n v="3.0289730000000001"/>
    <n v="0"/>
    <n v="0.53658400000000128"/>
    <n v="9.9450669999999999"/>
    <n v="1.4542580000000001"/>
    <n v="0.52942599999999995"/>
    <n v="0.72135400000000005"/>
    <n v="0"/>
    <n v="7.2400289999999998"/>
    <n v="2997.6036666666664"/>
    <n v="564.39166666666665"/>
    <n v="239.69499999999996"/>
    <n v="458.56166666666667"/>
    <n v="0"/>
    <n v="1734.9553333333331"/>
    <n v="368.3"/>
    <n v="74.441999999999993"/>
    <n v="37.887"/>
    <n v="77.590999999999994"/>
    <n v="0"/>
    <n v="503"/>
    <n v="101.575"/>
    <n v="51.677999999999997"/>
    <n v="105.459"/>
    <n v="0"/>
    <n v="1.3657344556068423"/>
    <n v="1.364485102495903"/>
    <n v="1.3640034840446591"/>
    <n v="1.3591653671173205"/>
    <n v="0"/>
    <m/>
  </r>
  <r>
    <x v="26"/>
    <x v="1"/>
    <n v="13.474379000000001"/>
    <n v="5.2643760000000004"/>
    <n v="2.750413"/>
    <n v="4.6002900000000002"/>
    <n v="0"/>
    <n v="0.85929999999999929"/>
    <n v="10.84788"/>
    <n v="4.0987869999999997"/>
    <n v="2.2465160000000002"/>
    <n v="3.8579409999999998"/>
    <n v="0"/>
    <n v="0.64463600000000021"/>
    <n v="12.479642999999999"/>
    <n v="1.8350569999999999"/>
    <n v="0.71554600000000002"/>
    <n v="0.90681500000000004"/>
    <n v="0"/>
    <n v="9.0222249999999988"/>
    <n v="2997.6036666666664"/>
    <n v="564.39166666666665"/>
    <n v="239.69499999999996"/>
    <n v="458.56166666666667"/>
    <n v="0"/>
    <n v="1734.9553333333331"/>
    <n v="424.1"/>
    <n v="83.384"/>
    <n v="45.222000000000001"/>
    <n v="88.426000000000002"/>
    <n v="0"/>
    <n v="604"/>
    <n v="126.694"/>
    <n v="53.625"/>
    <n v="124.741"/>
    <n v="0"/>
    <n v="1.4241924074510728"/>
    <n v="1.5194042022450351"/>
    <n v="1.1858166379195967"/>
    <n v="1.4106823784859657"/>
    <n v="0"/>
    <m/>
  </r>
  <r>
    <x v="27"/>
    <x v="1"/>
    <n v="13.336501999999999"/>
    <n v="5.2714679999999996"/>
    <n v="2.7860339999999999"/>
    <n v="4.4626060000000001"/>
    <n v="0"/>
    <n v="0.81639399999999895"/>
    <n v="10.199642000000001"/>
    <n v="3.8669959999999999"/>
    <n v="2.2127110000000001"/>
    <n v="3.543396"/>
    <n v="0"/>
    <n v="0.57653900000000036"/>
    <n v="11.521174"/>
    <n v="1.652015"/>
    <n v="0.68544499999999997"/>
    <n v="0.83749300000000004"/>
    <n v="0"/>
    <n v="8.3462209999999999"/>
    <n v="3328.2413333333334"/>
    <n v="630.51266666666663"/>
    <n v="302.16699999999997"/>
    <n v="499.94366666666673"/>
    <n v="0"/>
    <n v="1895.6179999999999"/>
    <n v="410.4"/>
    <n v="82.066999999999993"/>
    <n v="45.43"/>
    <n v="81.676000000000002"/>
    <n v="0"/>
    <n v="698.8"/>
    <n v="133.85400000000001"/>
    <n v="73.953999999999994"/>
    <n v="131.708"/>
    <n v="0"/>
    <n v="1.702729044834308"/>
    <n v="1.6310331802064171"/>
    <n v="1.6278670482060311"/>
    <n v="1.6125667270679269"/>
    <n v="0"/>
    <m/>
  </r>
  <r>
    <x v="28"/>
    <x v="1"/>
    <n v="13.92802"/>
    <n v="5.4883790000000001"/>
    <n v="3.0601030000000002"/>
    <n v="4.6422020000000002"/>
    <n v="0"/>
    <n v="0.7373359999999991"/>
    <n v="10.914521000000001"/>
    <n v="4.1001620000000001"/>
    <n v="2.499622"/>
    <n v="3.794645"/>
    <n v="0"/>
    <n v="0.52009200000000178"/>
    <n v="12.1646"/>
    <n v="1.6988099999999999"/>
    <n v="0.74367300000000003"/>
    <n v="0.88250300000000004"/>
    <n v="0"/>
    <n v="8.839614000000001"/>
    <n v="3328.2413333333334"/>
    <n v="630.51266666666663"/>
    <n v="302.16699999999997"/>
    <n v="499.94366666666673"/>
    <n v="0"/>
    <n v="1895.6179999999999"/>
    <n v="426.1"/>
    <n v="84.774000000000001"/>
    <n v="50.369"/>
    <n v="85.94"/>
    <n v="0"/>
    <n v="700"/>
    <n v="136.20500000000001"/>
    <n v="78.070999999999998"/>
    <n v="143.22499999999999"/>
    <n v="0"/>
    <n v="1.6428068528514432"/>
    <n v="1.6066836530068183"/>
    <n v="1.5499811391927574"/>
    <n v="1.6665696997905515"/>
    <n v="0"/>
    <m/>
  </r>
  <r>
    <x v="29"/>
    <x v="1"/>
    <n v="13.956947"/>
    <n v="5.5885029999999993"/>
    <n v="3.0854679999999997"/>
    <n v="4.5712099999999998"/>
    <n v="0"/>
    <n v="0.71176600000000079"/>
    <n v="11.656366"/>
    <n v="4.433929"/>
    <n v="2.651713"/>
    <n v="4.0518330000000002"/>
    <n v="0"/>
    <n v="0.51889099999999999"/>
    <n v="13.140060999999999"/>
    <n v="1.88473"/>
    <n v="0.79233799999999999"/>
    <n v="0.94298099999999996"/>
    <n v="0"/>
    <n v="9.5200119999999995"/>
    <n v="3328.2413333333334"/>
    <n v="630.51266666666663"/>
    <n v="302.16699999999997"/>
    <n v="499.94366666666673"/>
    <n v="0"/>
    <n v="1895.6179999999999"/>
    <n v="441"/>
    <n v="86.531000000000006"/>
    <n v="51.796999999999997"/>
    <n v="85.876999999999995"/>
    <n v="0"/>
    <n v="709.6"/>
    <n v="138.511"/>
    <n v="83.680999999999997"/>
    <n v="134.59700000000001"/>
    <n v="0"/>
    <n v="1.6090702947845805"/>
    <n v="1.6007095722920108"/>
    <n v="1.6155568855339113"/>
    <n v="1.5673230317780082"/>
    <n v="0"/>
    <m/>
  </r>
  <r>
    <x v="30"/>
    <x v="1"/>
    <n v="14.682569000000001"/>
    <n v="5.9299059999999999"/>
    <n v="3.2489430000000001"/>
    <n v="4.7649709999999992"/>
    <n v="0"/>
    <n v="0.7387490000000021"/>
    <n v="12.350248000000001"/>
    <n v="4.9389760000000003"/>
    <n v="2.7764769999999999"/>
    <n v="4.0749810000000002"/>
    <n v="0"/>
    <n v="0.55981399999999937"/>
    <n v="14.421208999999999"/>
    <n v="2.1732800000000001"/>
    <n v="0.83939600000000003"/>
    <n v="0.95625700000000002"/>
    <n v="0"/>
    <n v="10.452275999999999"/>
    <n v="3586.8083333333338"/>
    <n v="688.91266666666661"/>
    <n v="328.42533333333336"/>
    <n v="527.73533333333341"/>
    <n v="0"/>
    <n v="2041.7350000000006"/>
    <n v="460.9"/>
    <n v="91.606999999999999"/>
    <n v="55.408000000000001"/>
    <n v="89.171999999999997"/>
    <n v="0"/>
    <n v="785.7"/>
    <n v="158.95699999999999"/>
    <n v="93.688000000000002"/>
    <n v="152.29499999999999"/>
    <n v="0"/>
    <n v="1.704708179648514"/>
    <n v="1.7352058248823778"/>
    <n v="1.6908749639041294"/>
    <n v="1.7078791548916699"/>
    <n v="0"/>
    <m/>
  </r>
  <r>
    <x v="31"/>
    <x v="1"/>
    <n v="14.446721999999999"/>
    <n v="5.6994720000000001"/>
    <n v="3.2510659999999998"/>
    <n v="4.7461530000000005"/>
    <n v="0"/>
    <n v="0.75003099999999812"/>
    <n v="11.792728"/>
    <n v="4.5955409999999999"/>
    <n v="2.6075919999999999"/>
    <n v="4.0429940000000002"/>
    <n v="0"/>
    <n v="0.54660100000000078"/>
    <n v="13.703334"/>
    <n v="2.0032760000000001"/>
    <n v="0.78544800000000004"/>
    <n v="0.94972900000000005"/>
    <n v="0"/>
    <n v="9.9648810000000001"/>
    <n v="3586.8083333333338"/>
    <n v="688.91266666666661"/>
    <n v="328.42533333333336"/>
    <n v="527.73533333333341"/>
    <n v="0"/>
    <n v="2041.7350000000006"/>
    <n v="456.7"/>
    <n v="88.224000000000004"/>
    <n v="54.738"/>
    <n v="90.197000000000003"/>
    <n v="0"/>
    <n v="816.1"/>
    <n v="157.46199999999999"/>
    <n v="97.442999999999998"/>
    <n v="157.09299999999999"/>
    <n v="0"/>
    <n v="1.7869498576746223"/>
    <n v="1.7847977874501268"/>
    <n v="1.7801709963827688"/>
    <n v="1.7416654655919819"/>
    <n v="0"/>
    <m/>
  </r>
  <r>
    <x v="32"/>
    <x v="1"/>
    <n v="13.451961000000001"/>
    <n v="5.2481850000000003"/>
    <n v="3.1051700000000002"/>
    <n v="4.4361420000000003"/>
    <n v="0"/>
    <n v="0.66246399999999994"/>
    <n v="10.401348"/>
    <n v="3.8934329999999999"/>
    <n v="2.3928189999999998"/>
    <n v="3.673257"/>
    <n v="0"/>
    <n v="0.44183900000000165"/>
    <n v="11.325799999999999"/>
    <n v="1.5584720000000001"/>
    <n v="0.682944"/>
    <n v="0.84387000000000001"/>
    <n v="0"/>
    <n v="8.2405139999999992"/>
    <n v="3586.8083333333338"/>
    <n v="688.91266666666661"/>
    <n v="328.42533333333336"/>
    <n v="527.73533333333341"/>
    <n v="0"/>
    <n v="2041.7350000000006"/>
    <n v="421.9"/>
    <n v="82.087999999999994"/>
    <n v="52.06"/>
    <n v="84.123000000000005"/>
    <n v="0"/>
    <n v="829.2"/>
    <n v="163.56299999999999"/>
    <n v="104.27"/>
    <n v="157.024"/>
    <n v="0"/>
    <n v="1.9653946432803984"/>
    <n v="1.9925324042490986"/>
    <n v="2.0028812908182863"/>
    <n v="1.8666000974763144"/>
    <n v="0"/>
    <m/>
  </r>
  <r>
    <x v="33"/>
    <x v="1"/>
    <n v="13.305517999999999"/>
    <n v="5.1940939999999998"/>
    <n v="2.9216529999999996"/>
    <n v="4.5429459999999997"/>
    <n v="0"/>
    <n v="0.64682499999999976"/>
    <n v="10.096036"/>
    <n v="3.737886"/>
    <n v="2.2222650000000002"/>
    <n v="3.6800120000000001"/>
    <n v="0"/>
    <n v="0.45587300000000042"/>
    <n v="11.107586"/>
    <n v="1.50264"/>
    <n v="0.66011399999999998"/>
    <n v="0.84075800000000001"/>
    <n v="0"/>
    <n v="8.1040739999999989"/>
    <n v="3316.126666666667"/>
    <n v="605.04766666666671"/>
    <n v="276.04266666666666"/>
    <n v="493.47"/>
    <n v="0"/>
    <n v="1941.5663333333337"/>
    <n v="417.1"/>
    <n v="80.873000000000005"/>
    <n v="48.177"/>
    <n v="85.802000000000007"/>
    <n v="0"/>
    <n v="886.5"/>
    <n v="168.12100000000001"/>
    <n v="109.063"/>
    <n v="172.86500000000001"/>
    <n v="0"/>
    <n v="2.1253895948213857"/>
    <n v="2.078827297120176"/>
    <n v="2.2637980779209999"/>
    <n v="2.0146966271182492"/>
    <n v="0"/>
    <m/>
  </r>
  <r>
    <x v="34"/>
    <x v="1"/>
    <n v="12.450842"/>
    <n v="4.9758900000000006"/>
    <n v="2.5776210000000002"/>
    <n v="4.1917229999999996"/>
    <n v="0"/>
    <n v="0.70560799999999979"/>
    <n v="9.3797300000000003"/>
    <n v="3.5722360000000002"/>
    <n v="1.927141"/>
    <n v="3.3745440000000002"/>
    <n v="0"/>
    <n v="0.50580900000000106"/>
    <n v="10.580099000000001"/>
    <n v="1.5095829999999999"/>
    <n v="0.59783699999999995"/>
    <n v="0.76987000000000005"/>
    <n v="0"/>
    <n v="7.7028090000000002"/>
    <n v="3316.126666666667"/>
    <n v="605.04766666666671"/>
    <n v="276.04266666666666"/>
    <n v="493.47"/>
    <n v="0"/>
    <n v="1941.5663333333337"/>
    <n v="393.3"/>
    <n v="76.503"/>
    <n v="42.968000000000004"/>
    <n v="80.659000000000006"/>
    <n v="0"/>
    <n v="783.7"/>
    <n v="154.583"/>
    <n v="88.37"/>
    <n v="160.13999999999999"/>
    <n v="0"/>
    <n v="1.9926264937706586"/>
    <n v="2.0206135707096453"/>
    <n v="2.0566468069260844"/>
    <n v="1.9853953061654617"/>
    <n v="0"/>
    <m/>
  </r>
  <r>
    <x v="35"/>
    <x v="1"/>
    <n v="13.518651"/>
    <n v="5.3346049999999998"/>
    <n v="2.8656190000000001"/>
    <n v="4.5010829999999995"/>
    <n v="0"/>
    <n v="0.81734400000000029"/>
    <n v="10.451725"/>
    <n v="4.0812039999999996"/>
    <n v="2.1748750000000001"/>
    <n v="3.6101800000000002"/>
    <n v="0"/>
    <n v="0.58546600000000026"/>
    <n v="11.812574"/>
    <n v="1.7502770000000001"/>
    <n v="0.70217300000000005"/>
    <n v="0.84525499999999998"/>
    <n v="0"/>
    <n v="8.5148689999999991"/>
    <n v="3316.126666666667"/>
    <n v="605.04766666666671"/>
    <n v="276.04266666666666"/>
    <n v="493.47"/>
    <n v="0"/>
    <n v="1941.5663333333337"/>
    <n v="415.3"/>
    <n v="82.043000000000006"/>
    <n v="48.378999999999998"/>
    <n v="85.201999999999998"/>
    <n v="0"/>
    <n v="745.6"/>
    <n v="144.34899999999999"/>
    <n v="87.653999999999996"/>
    <n v="154.30500000000001"/>
    <n v="0"/>
    <n v="1.7953286780640501"/>
    <n v="1.7594310300695974"/>
    <n v="1.8118191777424089"/>
    <n v="1.8110490364075962"/>
    <n v="0"/>
    <m/>
  </r>
  <r>
    <x v="36"/>
    <x v="1"/>
    <n v="13.631349999999999"/>
    <n v="5.419143"/>
    <n v="2.8000729999999998"/>
    <n v="4.5503720000000003"/>
    <n v="0"/>
    <n v="0.86176200000000058"/>
    <n v="10.254728"/>
    <n v="3.9834369999999999"/>
    <n v="2.052368"/>
    <n v="3.5979950000000001"/>
    <n v="0"/>
    <n v="0.62092799999999926"/>
    <n v="11.724098"/>
    <n v="1.7196769999999999"/>
    <n v="0.66910700000000001"/>
    <n v="0.85265100000000005"/>
    <n v="0"/>
    <n v="8.4826629999999987"/>
    <n v="3329.8809999999999"/>
    <n v="630.24400000000003"/>
    <n v="252.94799999999998"/>
    <n v="484.62100000000004"/>
    <n v="0"/>
    <n v="1962.0679999999998"/>
    <n v="411.2"/>
    <n v="82.983999999999995"/>
    <n v="45.832999999999998"/>
    <n v="84.923000000000002"/>
    <n v="0"/>
    <n v="748.2"/>
    <n v="150.233"/>
    <n v="84.828999999999994"/>
    <n v="150.619"/>
    <n v="0"/>
    <n v="1.8195525291828796"/>
    <n v="1.810385134483756"/>
    <n v="1.8508280060218618"/>
    <n v="1.7735949036185721"/>
    <n v="0"/>
    <m/>
  </r>
  <r>
    <x v="37"/>
    <x v="1"/>
    <n v="12.17651"/>
    <n v="4.8409309999999994"/>
    <n v="2.4417310000000003"/>
    <n v="4.0833979999999999"/>
    <n v="0"/>
    <n v="0.81044999999999945"/>
    <n v="8.7078070000000007"/>
    <n v="3.3652860000000002"/>
    <n v="1.6976089999999999"/>
    <n v="3.0469409999999999"/>
    <n v="0"/>
    <n v="0.59797100000000114"/>
    <n v="10.167275"/>
    <n v="1.4782789999999999"/>
    <n v="0.56204299999999996"/>
    <n v="0.74024599999999996"/>
    <n v="0"/>
    <n v="7.3867070000000004"/>
    <n v="3329.8809999999999"/>
    <n v="630.24400000000003"/>
    <n v="252.94799999999998"/>
    <n v="484.62100000000004"/>
    <n v="0"/>
    <n v="1962.0679999999998"/>
    <n v="372.1"/>
    <n v="73.48"/>
    <n v="40.415999999999997"/>
    <n v="75.628"/>
    <n v="0"/>
    <n v="693.6"/>
    <n v="137.31700000000001"/>
    <n v="75.135999999999996"/>
    <n v="133.98400000000001"/>
    <n v="0"/>
    <n v="1.8640150497178178"/>
    <n v="1.8687670114316821"/>
    <n v="1.8590657165479019"/>
    <n v="1.7716189770984292"/>
    <n v="0"/>
    <m/>
  </r>
  <r>
    <x v="38"/>
    <x v="1"/>
    <n v="14.066109000000001"/>
    <n v="5.469144"/>
    <n v="3.1120410000000001"/>
    <n v="4.5483580000000003"/>
    <n v="0"/>
    <n v="0.9365660000000009"/>
    <n v="11.246304"/>
    <n v="4.2134650000000002"/>
    <n v="2.4673129999999999"/>
    <n v="3.8477009999999998"/>
    <n v="0"/>
    <n v="0.71782499999999949"/>
    <n v="12.707241"/>
    <n v="1.817529"/>
    <n v="0.79344700000000001"/>
    <n v="0.92279500000000003"/>
    <n v="0"/>
    <n v="9.17347"/>
    <n v="3329.8809999999999"/>
    <n v="630.24400000000003"/>
    <n v="252.94799999999998"/>
    <n v="484.62100000000004"/>
    <n v="0"/>
    <n v="1962.0679999999998"/>
    <n v="440.4"/>
    <n v="83.454999999999998"/>
    <n v="51.462000000000003"/>
    <n v="87.173000000000002"/>
    <n v="0"/>
    <n v="824"/>
    <n v="153.62899999999999"/>
    <n v="96.51"/>
    <n v="156.14599999999999"/>
    <n v="0"/>
    <n v="1.8710263396911899"/>
    <n v="1.840860343897909"/>
    <n v="1.8753643465081031"/>
    <n v="1.7912197584114344"/>
    <n v="0"/>
    <m/>
  </r>
  <r>
    <x v="39"/>
    <x v="1"/>
    <n v="14.121427000000001"/>
    <n v="5.5108459999999999"/>
    <n v="3.1503809999999999"/>
    <n v="4.5670539999999997"/>
    <n v="0"/>
    <n v="0.89314600000000155"/>
    <n v="11.138123999999999"/>
    <n v="4.2592920000000003"/>
    <n v="2.4942000000000002"/>
    <n v="3.7050999999999998"/>
    <n v="0"/>
    <n v="0.67953200000000002"/>
    <n v="12.619137"/>
    <n v="1.8061970000000001"/>
    <n v="0.78446099999999996"/>
    <n v="0.89514899999999997"/>
    <n v="0"/>
    <n v="9.1333300000000008"/>
    <n v="3826.7029999999995"/>
    <n v="729.97033333333331"/>
    <n v="379.00600000000003"/>
    <n v="546.73533333333341"/>
    <n v="0"/>
    <n v="2170.9913333333329"/>
    <n v="426.2"/>
    <n v="84.262"/>
    <n v="51.831000000000003"/>
    <n v="83.343999999999994"/>
    <n v="0"/>
    <n v="838.3"/>
    <n v="160.31700000000001"/>
    <n v="102.16800000000001"/>
    <n v="158.93"/>
    <n v="0"/>
    <n v="1.9669169404035662"/>
    <n v="1.9026014098882058"/>
    <n v="1.9711755513109914"/>
    <n v="1.9069159147629107"/>
    <n v="0"/>
    <m/>
  </r>
  <r>
    <x v="40"/>
    <x v="1"/>
    <n v="14.698218000000001"/>
    <n v="5.743932"/>
    <n v="3.5991740000000001"/>
    <n v="4.6124660000000004"/>
    <n v="0"/>
    <n v="0.74264600000000058"/>
    <n v="11.69516"/>
    <n v="4.3971"/>
    <n v="2.8415819999999998"/>
    <n v="3.888976"/>
    <n v="0"/>
    <n v="0.56750199999999928"/>
    <n v="12.610792999999999"/>
    <n v="1.8122739999999999"/>
    <n v="0.84184400000000004"/>
    <n v="0.92020599999999997"/>
    <n v="0"/>
    <n v="9.0364690000000003"/>
    <n v="3826.7029999999995"/>
    <n v="729.97033333333331"/>
    <n v="379.00600000000003"/>
    <n v="546.73533333333341"/>
    <n v="0"/>
    <n v="2170.9913333333329"/>
    <n v="448.1"/>
    <n v="88.263000000000005"/>
    <n v="57.344999999999999"/>
    <n v="83.147999999999996"/>
    <n v="0"/>
    <n v="937.7"/>
    <n v="183.59100000000001"/>
    <n v="119.601"/>
    <n v="169.83600000000001"/>
    <n v="0"/>
    <n v="2.0926132559696495"/>
    <n v="2.0800448659121034"/>
    <n v="2.085639550091551"/>
    <n v="2.042574686101891"/>
    <n v="0"/>
    <m/>
  </r>
  <r>
    <x v="41"/>
    <x v="1"/>
    <n v="15.076981999999999"/>
    <n v="5.659459"/>
    <n v="4.0829499999999994"/>
    <n v="4.5902529999999997"/>
    <n v="0"/>
    <n v="0.74432000000000009"/>
    <n v="12.85735"/>
    <n v="4.6503629999999996"/>
    <n v="3.4870209999999999"/>
    <n v="4.1472790000000002"/>
    <n v="0"/>
    <n v="0.57268700000000194"/>
    <n v="13.690835"/>
    <n v="1.92666"/>
    <n v="1.03444"/>
    <n v="0.98668299999999998"/>
    <n v="0"/>
    <n v="9.7430519999999987"/>
    <n v="3826.7029999999995"/>
    <n v="729.97033333333331"/>
    <n v="379.00600000000003"/>
    <n v="546.73533333333341"/>
    <n v="0"/>
    <n v="2170.9913333333329"/>
    <n v="437.9"/>
    <n v="88.197999999999993"/>
    <n v="47.024999999999999"/>
    <n v="83.363"/>
    <n v="0"/>
    <n v="955.2"/>
    <n v="186.72200000000001"/>
    <n v="125.623"/>
    <n v="174.35400000000001"/>
    <n v="0"/>
    <n v="2.1813199360584612"/>
    <n v="2.1170774847502214"/>
    <n v="2.6714088250930357"/>
    <n v="2.091503424780778"/>
    <n v="0"/>
    <m/>
  </r>
  <r>
    <x v="42"/>
    <x v="1"/>
    <n v="15.791857"/>
    <n v="5.9149219999999998"/>
    <n v="4.3254729999999997"/>
    <n v="4.7877479999999997"/>
    <n v="0"/>
    <n v="0.76371400000000023"/>
    <n v="13.517068"/>
    <n v="5.0163599999999997"/>
    <n v="3.6812830000000001"/>
    <n v="4.2194849999999997"/>
    <n v="0"/>
    <n v="0.59994000000000192"/>
    <n v="14.912621"/>
    <n v="2.1552609999999999"/>
    <n v="1.1180619999999999"/>
    <n v="1.024491"/>
    <n v="0"/>
    <n v="10.614806999999999"/>
    <n v="4067.5963333333334"/>
    <n v="769.31100000000004"/>
    <n v="431.97633333333334"/>
    <n v="581.08266666666668"/>
    <n v="0"/>
    <n v="2285.2263333333331"/>
    <n v="472.8"/>
    <n v="96.534999999999997"/>
    <n v="69.813999999999993"/>
    <n v="86.328999999999994"/>
    <n v="0"/>
    <n v="1023.5"/>
    <n v="197.23500000000001"/>
    <n v="149.886"/>
    <n v="181.01400000000001"/>
    <n v="0"/>
    <n v="2.1647631133671741"/>
    <n v="2.0431449733257372"/>
    <n v="2.1469332798579082"/>
    <n v="2.0967925030986114"/>
    <n v="0"/>
    <m/>
  </r>
  <r>
    <x v="43"/>
    <x v="1"/>
    <n v="15.603434"/>
    <n v="5.8378379999999996"/>
    <n v="4.2422529999999998"/>
    <n v="4.7877740000000006"/>
    <n v="0"/>
    <n v="0.73556899999999992"/>
    <n v="12.725572"/>
    <n v="4.7288759999999996"/>
    <n v="3.3523010000000002"/>
    <n v="4.0769599999999997"/>
    <n v="0"/>
    <n v="0.56743499999999969"/>
    <n v="14.171796000000001"/>
    <n v="2.020918"/>
    <n v="1.0089840000000001"/>
    <n v="0.99232600000000004"/>
    <n v="0"/>
    <n v="10.149568"/>
    <n v="4067.5963333333334"/>
    <n v="769.31100000000004"/>
    <n v="431.97633333333334"/>
    <n v="581.08266666666668"/>
    <n v="0"/>
    <n v="2285.2263333333331"/>
    <n v="474.4"/>
    <n v="90.816999999999993"/>
    <n v="67.87"/>
    <n v="86.756"/>
    <n v="0"/>
    <n v="1044"/>
    <n v="199.61799999999999"/>
    <n v="154.17500000000001"/>
    <n v="184.63900000000001"/>
    <n v="0"/>
    <n v="2.200674536256324"/>
    <n v="2.1980245989187046"/>
    <n v="2.2716222189479889"/>
    <n v="2.1282562589330998"/>
    <n v="0"/>
    <m/>
  </r>
  <r>
    <x v="44"/>
    <x v="1"/>
    <n v="14.376499000000001"/>
    <n v="5.3872099999999996"/>
    <n v="3.8205230000000001"/>
    <n v="4.5126279999999994"/>
    <n v="0"/>
    <n v="0.65613800000000211"/>
    <n v="11.118943"/>
    <n v="4.0151969999999997"/>
    <n v="2.9383270000000001"/>
    <n v="3.703716"/>
    <n v="0"/>
    <n v="0.46170299999999997"/>
    <n v="12.010922000000001"/>
    <n v="1.5837319999999999"/>
    <n v="0.80035599999999996"/>
    <n v="0.86095600000000005"/>
    <n v="0"/>
    <n v="8.7658780000000007"/>
    <n v="4067.5963333333334"/>
    <n v="769.31100000000004"/>
    <n v="431.97633333333334"/>
    <n v="581.08266666666668"/>
    <n v="0"/>
    <n v="2285.2263333333331"/>
    <n v="441.3"/>
    <n v="83.616"/>
    <n v="61.082000000000001"/>
    <n v="82.066000000000003"/>
    <n v="0"/>
    <n v="954.7"/>
    <n v="173.791"/>
    <n v="140.51"/>
    <n v="170.59399999999999"/>
    <n v="0"/>
    <n v="2.1633809200090641"/>
    <n v="2.0784419249904325"/>
    <n v="2.300350348711568"/>
    <n v="2.0787415007433041"/>
    <n v="0"/>
    <m/>
  </r>
  <r>
    <x v="45"/>
    <x v="1"/>
    <n v="14.496732"/>
    <n v="5.4293209999999998"/>
    <n v="3.7446439999999996"/>
    <n v="4.6108260000000003"/>
    <n v="0"/>
    <n v="0.71194100000000127"/>
    <n v="10.969765000000001"/>
    <n v="3.9677769999999999"/>
    <n v="2.781345"/>
    <n v="3.7087720000000002"/>
    <n v="0"/>
    <n v="0.51187100000000108"/>
    <n v="11.517227999999999"/>
    <n v="1.599153"/>
    <n v="0.771702"/>
    <n v="0.85525799999999996"/>
    <n v="0"/>
    <n v="8.2911149999999996"/>
    <n v="3650.7786666666666"/>
    <n v="672.19799999999998"/>
    <n v="343.96299999999997"/>
    <n v="526.6246666666666"/>
    <n v="0"/>
    <n v="2107.9929999999999"/>
    <n v="440"/>
    <n v="84.087000000000003"/>
    <n v="59.734999999999999"/>
    <n v="83.326999999999998"/>
    <n v="0"/>
    <n v="887.2"/>
    <n v="159.11500000000001"/>
    <n v="132.834"/>
    <n v="161.42599999999999"/>
    <n v="0"/>
    <n v="2.0163636363636366"/>
    <n v="1.89226634319217"/>
    <n v="2.223721436343852"/>
    <n v="1.9372592317016093"/>
    <n v="0"/>
    <m/>
  </r>
  <r>
    <x v="46"/>
    <x v="1"/>
    <n v="13.332027999999999"/>
    <n v="4.9021360000000005"/>
    <n v="3.1835360000000001"/>
    <n v="4.4130339999999997"/>
    <n v="0"/>
    <n v="0.83332199999999901"/>
    <n v="10.242645"/>
    <n v="3.6926359999999998"/>
    <n v="2.4152230000000001"/>
    <n v="3.549442"/>
    <n v="0"/>
    <n v="0.5853439999999992"/>
    <n v="11.222687000000001"/>
    <n v="1.5838589999999999"/>
    <n v="0.72994800000000004"/>
    <n v="0.83550100000000005"/>
    <n v="0"/>
    <n v="8.073379000000001"/>
    <n v="3650.7786666666666"/>
    <n v="672.19799999999998"/>
    <n v="343.96299999999997"/>
    <n v="526.6246666666666"/>
    <n v="0"/>
    <n v="2107.9929999999999"/>
    <n v="423.8"/>
    <n v="79.346000000000004"/>
    <n v="59.774000000000001"/>
    <n v="79.849000000000004"/>
    <n v="0"/>
    <n v="800.3"/>
    <n v="140.98500000000001"/>
    <n v="132.922"/>
    <n v="146.66800000000001"/>
    <n v="0"/>
    <n v="1.8883907503539403"/>
    <n v="1.7768381518917149"/>
    <n v="2.2237427644126209"/>
    <n v="1.836816992072537"/>
    <n v="0"/>
    <m/>
  </r>
  <r>
    <x v="47"/>
    <x v="1"/>
    <n v="14.557779"/>
    <n v="5.360525"/>
    <n v="3.5730239999999998"/>
    <n v="4.6331740000000003"/>
    <n v="0"/>
    <n v="0.99105600000000038"/>
    <n v="11.32296"/>
    <n v="4.1098689999999998"/>
    <n v="2.787245"/>
    <n v="3.7158229999999999"/>
    <n v="0"/>
    <n v="0.71002299999999963"/>
    <n v="12.385958"/>
    <n v="1.7829219999999999"/>
    <n v="0.89439299999999999"/>
    <n v="0.88180000000000003"/>
    <n v="0"/>
    <n v="8.8268430000000002"/>
    <n v="3650.7786666666666"/>
    <n v="672.19799999999998"/>
    <n v="343.96299999999997"/>
    <n v="526.6246666666666"/>
    <n v="0"/>
    <n v="2107.9929999999999"/>
    <n v="432"/>
    <n v="82.388999999999996"/>
    <n v="56.198999999999998"/>
    <n v="83.373999999999995"/>
    <n v="0"/>
    <n v="828.4"/>
    <n v="154.19200000000001"/>
    <n v="115.42400000000001"/>
    <n v="151.58099999999999"/>
    <n v="0"/>
    <n v="1.9175925925925925"/>
    <n v="1.8715119736858077"/>
    <n v="2.0538443744550618"/>
    <n v="1.8180847746299806"/>
    <n v="0"/>
    <m/>
  </r>
  <r>
    <x v="48"/>
    <x v="1"/>
    <n v="14.705002"/>
    <n v="5.4404939999999993"/>
    <n v="3.5979520000000003"/>
    <n v="4.6330519999999993"/>
    <n v="0"/>
    <n v="1.0335040000000006"/>
    <n v="11.163788"/>
    <n v="4.0472659999999996"/>
    <n v="2.6913710000000002"/>
    <n v="3.705838"/>
    <n v="0"/>
    <n v="0.71931299999999965"/>
    <n v="12.072442000000001"/>
    <n v="1.7687379999999999"/>
    <n v="0.86582199999999998"/>
    <n v="0.86560099999999995"/>
    <n v="0"/>
    <n v="8.5722810000000003"/>
    <n v="3710.2959999999998"/>
    <n v="683.21466666666674"/>
    <n v="346.73233333333332"/>
    <n v="505.94133333333338"/>
    <n v="0"/>
    <n v="2174.407666666666"/>
    <n v="431.5"/>
    <n v="83.456999999999994"/>
    <n v="56.433"/>
    <n v="82.454999999999998"/>
    <n v="0"/>
    <n v="821.4"/>
    <n v="151.78"/>
    <n v="110.717"/>
    <n v="149.88200000000001"/>
    <n v="0"/>
    <n v="1.9035921205098494"/>
    <n v="1.8186611069173348"/>
    <n v="1.9619194442967767"/>
    <n v="1.8177430113395185"/>
    <n v="0"/>
    <m/>
  </r>
  <r>
    <x v="49"/>
    <x v="1"/>
    <n v="13.036659999999999"/>
    <n v="4.7435979999999995"/>
    <n v="3.1685110000000001"/>
    <n v="4.1486279999999995"/>
    <n v="0"/>
    <n v="0.97592299999999987"/>
    <n v="9.4495799999999992"/>
    <n v="3.4021710000000001"/>
    <n v="2.228999"/>
    <n v="3.1223010000000002"/>
    <n v="0"/>
    <n v="0.69610899999999809"/>
    <n v="10.59158"/>
    <n v="1.49268"/>
    <n v="0.72819299999999998"/>
    <n v="0.74682599999999999"/>
    <n v="0"/>
    <n v="7.6238810000000008"/>
    <n v="3710.2959999999998"/>
    <n v="683.21466666666674"/>
    <n v="346.73233333333332"/>
    <n v="505.94133333333338"/>
    <n v="0"/>
    <n v="2174.407666666666"/>
    <n v="382.6"/>
    <n v="73.224000000000004"/>
    <n v="48.994999999999997"/>
    <n v="73.933999999999997"/>
    <n v="0"/>
    <n v="681.1"/>
    <n v="128.64599999999999"/>
    <n v="92.418999999999997"/>
    <n v="134.35300000000001"/>
    <n v="0"/>
    <n v="1.7801881860951385"/>
    <n v="1.7568829891838738"/>
    <n v="1.8862945198489642"/>
    <n v="1.8172018286579925"/>
    <n v="0"/>
    <m/>
  </r>
  <r>
    <x v="50"/>
    <x v="1"/>
    <n v="14.936292999999999"/>
    <n v="5.3769010000000002"/>
    <n v="3.745549"/>
    <n v="4.6585270000000003"/>
    <n v="0"/>
    <n v="1.1553159999999991"/>
    <n v="12.142639000000001"/>
    <n v="4.2470420000000004"/>
    <n v="3.060924"/>
    <n v="3.980429"/>
    <n v="0"/>
    <n v="0.85424399999999956"/>
    <n v="13.247375"/>
    <n v="1.844066"/>
    <n v="0.97085399999999999"/>
    <n v="0.94770699999999997"/>
    <n v="0"/>
    <n v="9.4847479999999997"/>
    <n v="3710.2959999999998"/>
    <n v="683.21466666666674"/>
    <n v="346.73233333333332"/>
    <n v="505.94133333333338"/>
    <n v="0"/>
    <n v="2174.407666666666"/>
    <n v="450.7"/>
    <n v="83.456000000000003"/>
    <n v="58.963000000000001"/>
    <n v="84.108000000000004"/>
    <n v="0"/>
    <n v="838.4"/>
    <n v="155.999"/>
    <n v="115.55500000000001"/>
    <n v="154.40100000000001"/>
    <n v="0"/>
    <n v="1.8602174395384956"/>
    <n v="1.8692364838957054"/>
    <n v="1.9597883418414939"/>
    <n v="1.8357468968469111"/>
    <n v="0"/>
    <m/>
  </r>
  <r>
    <x v="51"/>
    <x v="1"/>
    <n v="14.803736000000001"/>
    <n v="5.3461340000000002"/>
    <n v="3.7315740000000002"/>
    <n v="4.6711549999999997"/>
    <n v="0"/>
    <n v="1.0548730000000006"/>
    <n v="11.632014"/>
    <n v="4.1486980000000004"/>
    <n v="2.9343189999999999"/>
    <n v="3.7769210000000002"/>
    <n v="0"/>
    <n v="0.77207600000000021"/>
    <n v="12.795517"/>
    <n v="1.7871220000000001"/>
    <n v="0.90732199999999996"/>
    <n v="0.89558400000000005"/>
    <n v="0"/>
    <n v="9.205489"/>
    <n v="4223.6540000000005"/>
    <n v="735.91600000000005"/>
    <n v="483.61166666666668"/>
    <n v="607.07266666666669"/>
    <n v="0"/>
    <n v="2397.0536666666667"/>
    <n v="436.6"/>
    <n v="82.787000000000006"/>
    <n v="58.835999999999999"/>
    <n v="84.108000000000004"/>
    <n v="0"/>
    <n v="851.8"/>
    <n v="162.166"/>
    <n v="118.794"/>
    <n v="154.40100000000001"/>
    <n v="0"/>
    <n v="1.9509848831882728"/>
    <n v="1.9588341164675611"/>
    <n v="2.01906995716908"/>
    <n v="1.8357468968469111"/>
    <n v="0"/>
    <m/>
  </r>
  <r>
    <x v="52"/>
    <x v="1"/>
    <n v="15.384117"/>
    <n v="5.5019549999999997"/>
    <n v="4.0890550000000001"/>
    <n v="4.8736259999999998"/>
    <n v="0"/>
    <n v="0.91948099999999933"/>
    <n v="12.165105000000001"/>
    <n v="4.2343419999999998"/>
    <n v="3.2125729999999999"/>
    <n v="4.0368500000000003"/>
    <n v="0"/>
    <n v="0.6813400000000005"/>
    <n v="12.972588999999999"/>
    <n v="1.767736"/>
    <n v="0.93166599999999999"/>
    <n v="0.93779199999999996"/>
    <n v="0"/>
    <n v="9.3353949999999983"/>
    <n v="4223.6540000000005"/>
    <n v="735.91600000000005"/>
    <n v="483.61166666666668"/>
    <n v="607.07266666666669"/>
    <n v="0"/>
    <n v="2397.0536666666667"/>
    <n v="456.8"/>
    <n v="84.561000000000007"/>
    <n v="64.052999999999997"/>
    <n v="86.760999999999996"/>
    <n v="0"/>
    <n v="985"/>
    <n v="175.97300000000001"/>
    <n v="142.65299999999999"/>
    <n v="178.17400000000001"/>
    <n v="0"/>
    <n v="2.1563047285464099"/>
    <n v="2.0810184363950284"/>
    <n v="2.2271088005245656"/>
    <n v="2.0536185613351621"/>
    <n v="0"/>
    <m/>
  </r>
  <r>
    <x v="53"/>
    <x v="1"/>
    <n v="15.972293000000001"/>
    <n v="5.3839679999999994"/>
    <n v="4.6881319999999995"/>
    <n v="4.8832550000000001"/>
    <n v="0"/>
    <n v="1.0169380000000015"/>
    <n v="13.420949"/>
    <n v="4.4550380000000001"/>
    <n v="3.9163619999999999"/>
    <n v="4.3049280000000003"/>
    <n v="0"/>
    <n v="0.74462100000000042"/>
    <n v="14.170877000000001"/>
    <n v="1.8826890000000001"/>
    <n v="1.130654"/>
    <n v="1.010445"/>
    <n v="0"/>
    <n v="10.147089000000001"/>
    <n v="4223.6540000000005"/>
    <n v="735.91600000000005"/>
    <n v="483.61166666666668"/>
    <n v="607.07266666666669"/>
    <n v="0"/>
    <n v="2397.0536666666667"/>
    <n v="468.4"/>
    <n v="84.629000000000005"/>
    <n v="73.275000000000006"/>
    <n v="87.194000000000003"/>
    <n v="0"/>
    <n v="982.2"/>
    <n v="175.65299999999999"/>
    <n v="162.995"/>
    <n v="182.72399999999999"/>
    <n v="0"/>
    <n v="2.0969257045260461"/>
    <n v="2.0755651136135365"/>
    <n v="2.2244285226885019"/>
    <n v="2.0956029084570038"/>
    <n v="0"/>
    <m/>
  </r>
  <r>
    <x v="54"/>
    <x v="1"/>
    <n v="16.695837000000001"/>
    <n v="5.6429399999999994"/>
    <n v="4.9215169999999997"/>
    <n v="5.0654449999999995"/>
    <n v="0"/>
    <n v="1.0659350000000032"/>
    <n v="14.203837"/>
    <n v="4.8000230000000004"/>
    <n v="4.1838090000000001"/>
    <n v="4.3895379999999999"/>
    <n v="0"/>
    <n v="0.83046700000000051"/>
    <n v="15.470687"/>
    <n v="2.0924700000000001"/>
    <n v="1.2382200000000001"/>
    <n v="1.0377160000000001"/>
    <n v="0"/>
    <n v="11.102281"/>
    <n v="4554.5013333333327"/>
    <n v="778.48633333333339"/>
    <n v="553.64533333333327"/>
    <n v="652.279"/>
    <n v="0"/>
    <n v="2570.090666666666"/>
    <n v="499.3"/>
    <n v="92.694999999999993"/>
    <n v="77.477999999999994"/>
    <n v="89.918000000000006"/>
    <n v="0"/>
    <n v="1062"/>
    <n v="191.01499999999999"/>
    <n v="174.602"/>
    <n v="188.47399999999999"/>
    <n v="0"/>
    <n v="2.1269777688764271"/>
    <n v="2.0606828847294891"/>
    <n v="2.2535687550014201"/>
    <n v="2.0960653039435928"/>
    <n v="0"/>
    <m/>
  </r>
  <r>
    <x v="55"/>
    <x v="1"/>
    <n v="16.629092"/>
    <n v="5.6598920000000001"/>
    <n v="4.8457340000000002"/>
    <n v="5.0813480000000002"/>
    <n v="0"/>
    <n v="1.0421180000000003"/>
    <n v="13.682369"/>
    <n v="4.644088"/>
    <n v="3.9135460000000002"/>
    <n v="4.3099990000000004"/>
    <n v="0"/>
    <n v="0.81473599999999813"/>
    <n v="15.131296000000001"/>
    <n v="2.0184120000000001"/>
    <n v="1.1383779999999999"/>
    <n v="1.0234989999999999"/>
    <n v="0"/>
    <n v="10.951007000000001"/>
    <n v="4554.5013333333327"/>
    <n v="778.48633333333339"/>
    <n v="553.64533333333327"/>
    <n v="652.279"/>
    <n v="0"/>
    <n v="2570.090666666666"/>
    <n v="496.1"/>
    <n v="88.891000000000005"/>
    <n v="76.834999999999994"/>
    <n v="90.486000000000004"/>
    <n v="0"/>
    <n v="1093.2"/>
    <n v="189.50700000000001"/>
    <n v="176.464"/>
    <n v="193.69300000000001"/>
    <n v="0"/>
    <n v="2.2035879862930861"/>
    <n v="2.1319031173009639"/>
    <n v="2.2966616776208761"/>
    <n v="2.1405852839113235"/>
    <n v="0"/>
    <m/>
  </r>
  <r>
    <x v="56"/>
    <x v="1"/>
    <n v="15.128169"/>
    <n v="5.2049149999999997"/>
    <n v="4.2577759999999998"/>
    <n v="4.8028570000000004"/>
    <n v="0"/>
    <n v="0.86262100000000075"/>
    <n v="11.973615000000001"/>
    <n v="4.1063479999999997"/>
    <n v="3.3377289999999999"/>
    <n v="3.9274089999999999"/>
    <n v="0"/>
    <n v="0.60212899999999969"/>
    <n v="12.332433999999999"/>
    <n v="1.653459"/>
    <n v="0.88665700000000003"/>
    <n v="0.89671000000000001"/>
    <n v="0"/>
    <n v="8.8956079999999993"/>
    <n v="4554.5013333333327"/>
    <n v="778.48633333333339"/>
    <n v="553.64533333333327"/>
    <n v="652.279"/>
    <n v="0"/>
    <n v="2570.090666666666"/>
    <n v="455"/>
    <n v="81.757999999999996"/>
    <n v="66.95"/>
    <n v="86.203000000000003"/>
    <n v="0"/>
    <n v="977.7"/>
    <n v="179.62100000000001"/>
    <n v="149.988"/>
    <n v="182.71700000000001"/>
    <n v="0"/>
    <n v="2.1487912087912089"/>
    <n v="2.196983781403655"/>
    <n v="2.2402987303958177"/>
    <n v="2.1196130065078944"/>
    <n v="0"/>
    <m/>
  </r>
  <r>
    <x v="57"/>
    <x v="1"/>
    <n v="15.087612"/>
    <n v="5.2654589999999999"/>
    <n v="4.0493170000000003"/>
    <n v="4.8907969999999992"/>
    <n v="0"/>
    <n v="0.88203900000000068"/>
    <n v="11.907621000000001"/>
    <n v="4.1443310000000002"/>
    <n v="3.1962839999999999"/>
    <n v="3.9272010000000002"/>
    <n v="0"/>
    <n v="0.63980500000000085"/>
    <n v="12.392937999999999"/>
    <n v="1.697201"/>
    <n v="0.85153599999999996"/>
    <n v="0.89567200000000002"/>
    <n v="0"/>
    <n v="8.9485289999999988"/>
    <n v="4242.6943333333329"/>
    <n v="721.18700000000001"/>
    <n v="455.85366666666664"/>
    <n v="613.39"/>
    <n v="0"/>
    <n v="2452.2636666666663"/>
    <n v="457.3"/>
    <n v="82.959000000000003"/>
    <n v="64.590999999999994"/>
    <n v="87.307000000000002"/>
    <n v="0"/>
    <n v="1044.0999999999999"/>
    <n v="193.006"/>
    <n v="157.00700000000001"/>
    <n v="200.05500000000001"/>
    <n v="0"/>
    <n v="2.2831839055324727"/>
    <n v="2.3265227401487483"/>
    <n v="2.4307875710238274"/>
    <n v="2.2913970242935848"/>
    <n v="0"/>
    <m/>
  </r>
  <r>
    <x v="58"/>
    <x v="1"/>
    <n v="14.371471"/>
    <n v="5.0053680000000007"/>
    <n v="3.6609189999999998"/>
    <n v="4.6670600000000002"/>
    <n v="0"/>
    <n v="1.0381239999999998"/>
    <n v="11.228"/>
    <n v="3.9843999999999999"/>
    <n v="2.8179080000000001"/>
    <n v="3.6606909999999999"/>
    <n v="0"/>
    <n v="0.76500099999999982"/>
    <n v="12.023481"/>
    <n v="1.700061"/>
    <n v="0.81376800000000005"/>
    <n v="0.83565699999999998"/>
    <n v="0"/>
    <n v="8.6739949999999997"/>
    <n v="4242.6943333333329"/>
    <n v="721.18700000000001"/>
    <n v="455.85366666666664"/>
    <n v="613.39"/>
    <n v="0"/>
    <n v="2452.2636666666663"/>
    <n v="435.1"/>
    <n v="78.222999999999999"/>
    <n v="57.819000000000003"/>
    <n v="83.269000000000005"/>
    <n v="0"/>
    <n v="1114"/>
    <n v="201.05600000000001"/>
    <n v="159.416"/>
    <n v="210.78800000000001"/>
    <n v="0"/>
    <n v="2.5603309584003675"/>
    <n v="2.5702926249312865"/>
    <n v="2.757155952195645"/>
    <n v="2.5314102487120058"/>
    <n v="0"/>
    <m/>
  </r>
  <r>
    <x v="59"/>
    <x v="1"/>
    <n v="15.743622999999999"/>
    <n v="5.4793069999999995"/>
    <n v="4.0216140000000005"/>
    <n v="5.0207990000000002"/>
    <n v="0"/>
    <n v="1.2219029999999993"/>
    <n v="12.408402000000001"/>
    <n v="4.2881289999999996"/>
    <n v="3.2191390000000002"/>
    <n v="4.0127940000000004"/>
    <n v="0"/>
    <n v="0.88834000000000124"/>
    <n v="13.123756"/>
    <n v="1.840017"/>
    <n v="0.95755199999999996"/>
    <n v="0.91573899999999997"/>
    <n v="0"/>
    <n v="9.4104480000000006"/>
    <n v="4242.6943333333329"/>
    <n v="721.18700000000001"/>
    <n v="455.85366666666664"/>
    <n v="613.39"/>
    <n v="0"/>
    <n v="2452.2636666666663"/>
    <n v="458.6"/>
    <n v="85.480999999999995"/>
    <n v="63.360999999999997"/>
    <n v="88.64"/>
    <n v="0"/>
    <n v="1234.0999999999999"/>
    <n v="230.065"/>
    <n v="181.24199999999999"/>
    <n v="231.983"/>
    <n v="0"/>
    <n v="2.6910161360662883"/>
    <n v="2.6914168060738644"/>
    <n v="2.8604662173892459"/>
    <n v="2.6171367328519857"/>
    <n v="0"/>
    <m/>
  </r>
  <r>
    <x v="60"/>
    <x v="1"/>
    <n v="15.648885999999999"/>
    <n v="5.5275179999999997"/>
    <n v="3.8910680000000002"/>
    <n v="5.0461139999999993"/>
    <n v="0"/>
    <n v="1.1841860000000004"/>
    <n v="11.975438"/>
    <n v="4.2069910000000004"/>
    <n v="2.9704769999999998"/>
    <n v="3.92266"/>
    <n v="0"/>
    <n v="0.8753100000000007"/>
    <n v="12.794513999999999"/>
    <n v="1.813264"/>
    <n v="0.89572600000000002"/>
    <n v="0.88593"/>
    <n v="0"/>
    <n v="9.1995939999999994"/>
    <n v="4288.1306666666669"/>
    <n v="736.34333333333325"/>
    <n v="465.17266666666666"/>
    <n v="582.11166666666668"/>
    <n v="0"/>
    <n v="2504.5030000000006"/>
    <n v="451.1"/>
    <n v="84.802000000000007"/>
    <n v="60.302"/>
    <n v="88.691999999999993"/>
    <n v="0"/>
    <n v="1229.4000000000001"/>
    <n v="229.61799999999999"/>
    <n v="172.726"/>
    <n v="237.494"/>
    <n v="0"/>
    <n v="2.7253380625138552"/>
    <n v="2.7076955732176127"/>
    <n v="2.8643494411462305"/>
    <n v="2.6777386912010104"/>
    <n v="0"/>
    <m/>
  </r>
  <r>
    <x v="61"/>
    <x v="1"/>
    <n v="14.431823"/>
    <n v="5.0119759999999998"/>
    <n v="3.561588"/>
    <n v="4.7385839999999995"/>
    <n v="0"/>
    <n v="1.1196750000000009"/>
    <n v="10.421783"/>
    <n v="3.6842990000000002"/>
    <n v="2.5093049999999999"/>
    <n v="3.3673860000000002"/>
    <n v="0"/>
    <n v="0.86079299999999925"/>
    <n v="11.6774"/>
    <n v="1.6030990000000001"/>
    <n v="0.78592899999999999"/>
    <n v="0.79166999999999998"/>
    <n v="0"/>
    <n v="8.4967020000000009"/>
    <n v="4288.1306666666669"/>
    <n v="736.34333333333325"/>
    <n v="465.17266666666666"/>
    <n v="582.11166666666668"/>
    <n v="0"/>
    <n v="2504.5030000000006"/>
    <n v="418.4"/>
    <n v="77.274000000000001"/>
    <n v="55.26"/>
    <n v="83.091999999999999"/>
    <n v="0"/>
    <n v="1119.0999999999999"/>
    <n v="206.90100000000001"/>
    <n v="155.709"/>
    <n v="219.434"/>
    <n v="0"/>
    <n v="2.6747131931166348"/>
    <n v="2.6774982529699511"/>
    <n v="2.8177524429967429"/>
    <n v="2.640855918740673"/>
    <n v="0"/>
    <m/>
  </r>
  <r>
    <x v="62"/>
    <x v="1"/>
    <n v="15.853581999999999"/>
    <n v="5.3124669999999998"/>
    <n v="4.1596489999999999"/>
    <n v="5.1079280000000002"/>
    <n v="0"/>
    <n v="1.2735379999999985"/>
    <n v="12.978961999999999"/>
    <n v="4.3529080000000002"/>
    <n v="3.4113910000000001"/>
    <n v="4.1910550000000004"/>
    <n v="0"/>
    <n v="1.0236079999999994"/>
    <n v="14.221964"/>
    <n v="1.899842"/>
    <n v="1.051782"/>
    <n v="0.97860000000000003"/>
    <n v="0"/>
    <n v="10.291740000000001"/>
    <n v="4288.1306666666669"/>
    <n v="736.34333333333325"/>
    <n v="465.17266666666666"/>
    <n v="582.11166666666668"/>
    <n v="0"/>
    <n v="2504.5030000000006"/>
    <n v="461.7"/>
    <n v="82.415999999999997"/>
    <n v="63.963999999999999"/>
    <n v="89.853999999999999"/>
    <n v="0"/>
    <n v="1374.1"/>
    <n v="244.50899999999999"/>
    <n v="194.83500000000001"/>
    <n v="263.28199999999998"/>
    <n v="0"/>
    <n v="2.9761750054147713"/>
    <n v="2.9667661619103085"/>
    <n v="3.04601025576887"/>
    <n v="2.9301088432345805"/>
    <n v="0"/>
    <m/>
  </r>
  <r>
    <x v="63"/>
    <x v="1"/>
    <n v="15.669619000000001"/>
    <n v="5.2412409999999996"/>
    <n v="4.3252759999999997"/>
    <n v="4.9586989999999993"/>
    <n v="0"/>
    <n v="1.1444030000000023"/>
    <n v="12.056559"/>
    <n v="4.0049460000000003"/>
    <n v="3.3979300000000001"/>
    <n v="3.795105"/>
    <n v="0"/>
    <n v="0.85857799999999962"/>
    <n v="12.983853999999999"/>
    <n v="1.693703"/>
    <n v="0.97668900000000003"/>
    <n v="0.89089200000000002"/>
    <n v="0"/>
    <n v="9.4225699999999986"/>
    <n v="4930.3836666666666"/>
    <n v="799.35666666666668"/>
    <n v="629.64633333333325"/>
    <n v="652.38900000000001"/>
    <n v="0"/>
    <n v="2848.9916666666668"/>
    <n v="465.3"/>
    <n v="83.525000000000006"/>
    <n v="66.837999999999994"/>
    <n v="85.936999999999998"/>
    <n v="0"/>
    <n v="1443.6"/>
    <n v="257.03899999999999"/>
    <n v="208.322"/>
    <n v="272.92500000000001"/>
    <n v="0"/>
    <n v="3.1025145067698254"/>
    <n v="3.0773900029931154"/>
    <n v="3.1168197731829204"/>
    <n v="3.1758730232612264"/>
    <n v="0"/>
    <m/>
  </r>
  <r>
    <x v="64"/>
    <x v="1"/>
    <n v="16.503112999999999"/>
    <n v="5.5343179999999998"/>
    <n v="4.7805010000000001"/>
    <n v="5.1287120000000002"/>
    <n v="0"/>
    <n v="1.0595819999999989"/>
    <n v="13.126707"/>
    <n v="4.3422229999999997"/>
    <n v="3.8690920000000002"/>
    <n v="4.1106299999999996"/>
    <n v="0"/>
    <n v="0.8047620000000002"/>
    <n v="13.628619"/>
    <n v="1.8267070000000001"/>
    <n v="1.0553520000000001"/>
    <n v="0.94613899999999995"/>
    <n v="0"/>
    <n v="9.800421"/>
    <n v="4930.3836666666666"/>
    <n v="799.35666666666668"/>
    <n v="629.64633333333325"/>
    <n v="652.38900000000001"/>
    <n v="0"/>
    <n v="2848.9916666666668"/>
    <n v="481.7"/>
    <n v="85.159000000000006"/>
    <n v="73.703999999999994"/>
    <n v="89.028999999999996"/>
    <n v="0"/>
    <n v="1602.9"/>
    <n v="292.54199999999997"/>
    <n v="234.48"/>
    <n v="303.59199999999998"/>
    <n v="0"/>
    <n v="3.3275897861739674"/>
    <n v="3.4352446599889612"/>
    <n v="3.181374145229567"/>
    <n v="3.4100349324377448"/>
    <n v="0"/>
    <m/>
  </r>
  <r>
    <x v="65"/>
    <x v="1"/>
    <n v="16.881314"/>
    <n v="5.4403589999999999"/>
    <n v="5.3434590000000002"/>
    <n v="5.0232989999999997"/>
    <n v="0"/>
    <n v="1.0741969999999998"/>
    <n v="13.931922999999999"/>
    <n v="4.4203700000000001"/>
    <n v="4.4497479999999996"/>
    <n v="4.2529430000000001"/>
    <n v="0"/>
    <n v="0.80886199999999953"/>
    <n v="14.447504"/>
    <n v="1.868045"/>
    <n v="1.235465"/>
    <n v="0.98419800000000002"/>
    <n v="0"/>
    <n v="10.359795999999999"/>
    <n v="4930.3836666666666"/>
    <n v="799.35666666666668"/>
    <n v="629.64633333333325"/>
    <n v="652.38900000000001"/>
    <n v="0"/>
    <n v="2848.9916666666668"/>
    <n v="486.4"/>
    <n v="84.212999999999994"/>
    <n v="82.784999999999997"/>
    <n v="86.897999999999996"/>
    <n v="0"/>
    <n v="1752.1"/>
    <n v="310.14499999999998"/>
    <n v="267.60700000000003"/>
    <n v="337.47300000000001"/>
    <n v="0"/>
    <n v="3.6021792763157894"/>
    <n v="3.6828636908790804"/>
    <n v="3.2325542066799544"/>
    <n v="3.8835531312573366"/>
    <n v="0"/>
    <m/>
  </r>
  <r>
    <x v="66"/>
    <x v="1"/>
    <n v="17.74081"/>
    <n v="5.7239170000000001"/>
    <n v="5.7415349999999998"/>
    <n v="5.1419410000000001"/>
    <n v="0"/>
    <n v="1.1334170000000015"/>
    <n v="14.769821"/>
    <n v="4.7523049999999998"/>
    <n v="4.8253529999999998"/>
    <n v="4.2889949999999999"/>
    <n v="0"/>
    <n v="0.90316800000000086"/>
    <n v="15.488628"/>
    <n v="2.0488919999999999"/>
    <n v="1.3698859999999999"/>
    <n v="1.009938"/>
    <n v="0"/>
    <n v="11.059912000000001"/>
    <n v="5326.143"/>
    <n v="901.58466666666664"/>
    <n v="736.35666666666668"/>
    <n v="677.52599999999995"/>
    <n v="0"/>
    <n v="3010.675666666667"/>
    <n v="510.8"/>
    <n v="88.927000000000007"/>
    <n v="88.808999999999997"/>
    <n v="89.239000000000004"/>
    <n v="0"/>
    <n v="2093.8000000000002"/>
    <n v="373.00099999999998"/>
    <n v="316.74700000000001"/>
    <n v="358.25200000000001"/>
    <n v="0"/>
    <n v="4.0990602975724357"/>
    <n v="4.1944628740427534"/>
    <n v="3.5666092400544991"/>
    <n v="4.0145227983280849"/>
    <n v="0"/>
    <m/>
  </r>
  <r>
    <x v="67"/>
    <x v="1"/>
    <n v="17.548946000000001"/>
    <n v="5.7355850000000004"/>
    <n v="5.5922190000000001"/>
    <n v="5.1288179999999999"/>
    <n v="0"/>
    <n v="1.0923240000000014"/>
    <n v="14.423341000000001"/>
    <n v="4.7016280000000004"/>
    <n v="4.6084459999999998"/>
    <n v="4.2319440000000004"/>
    <n v="0"/>
    <n v="0.88132300000000008"/>
    <n v="15.369491999999999"/>
    <n v="2.0276559999999999"/>
    <n v="1.2671680000000001"/>
    <n v="1.004594"/>
    <n v="0"/>
    <n v="11.070073999999998"/>
    <n v="5326.143"/>
    <n v="901.58466666666664"/>
    <n v="736.35666666666668"/>
    <n v="677.52599999999995"/>
    <n v="0"/>
    <n v="3010.675666666667"/>
    <n v="502.4"/>
    <n v="88.909000000000006"/>
    <n v="87.254999999999995"/>
    <n v="88.73"/>
    <n v="0"/>
    <n v="1919.3"/>
    <n v="322.95999999999998"/>
    <n v="306.596"/>
    <n v="338.81799999999998"/>
    <n v="0"/>
    <n v="3.8202627388535033"/>
    <n v="3.6324781518181508"/>
    <n v="3.5137929058506678"/>
    <n v="3.8185281190127349"/>
    <n v="0"/>
    <m/>
  </r>
  <r>
    <x v="68"/>
    <x v="1"/>
    <n v="15.350773999999999"/>
    <n v="5.0665429999999994"/>
    <n v="4.8368909999999996"/>
    <n v="4.5576970000000001"/>
    <n v="0"/>
    <n v="0.88964300000000129"/>
    <n v="11.865342"/>
    <n v="3.8935369999999998"/>
    <n v="3.7678090000000002"/>
    <n v="3.5838109999999999"/>
    <n v="0"/>
    <n v="0.6201850000000011"/>
    <n v="11.759694"/>
    <n v="1.518292"/>
    <n v="0.94604600000000005"/>
    <n v="0.81496100000000005"/>
    <n v="0"/>
    <n v="8.4803949999999997"/>
    <n v="5326.143"/>
    <n v="901.58466666666664"/>
    <n v="736.35666666666668"/>
    <n v="677.52599999999995"/>
    <n v="0"/>
    <n v="3010.675666666667"/>
    <n v="448.8"/>
    <n v="79.650999999999996"/>
    <n v="75.528000000000006"/>
    <n v="79.36"/>
    <n v="0"/>
    <n v="1603.3"/>
    <n v="276.47699999999998"/>
    <n v="257.053"/>
    <n v="263.44499999999999"/>
    <n v="0"/>
    <n v="3.5724153297682708"/>
    <n v="3.4711051964193795"/>
    <n v="3.4034133036754577"/>
    <n v="3.319619455645161"/>
    <n v="0"/>
    <m/>
  </r>
  <r>
    <x v="69"/>
    <x v="1"/>
    <n v="15.299576"/>
    <n v="5.2098760000000004"/>
    <n v="4.566014"/>
    <n v="4.6107290000000001"/>
    <n v="0"/>
    <n v="0.91295700000000046"/>
    <n v="11.811384"/>
    <n v="3.9826969999999999"/>
    <n v="3.5790470000000001"/>
    <n v="3.5878459999999999"/>
    <n v="0"/>
    <n v="0.66179400000000044"/>
    <n v="11.952515"/>
    <n v="1.578522"/>
    <n v="0.91803000000000001"/>
    <n v="0.80960600000000005"/>
    <n v="0"/>
    <n v="8.6463570000000001"/>
    <n v="4241.677333333334"/>
    <n v="747.81966666666665"/>
    <n v="534.21066666666673"/>
    <n v="540.06599999999992"/>
    <n v="0"/>
    <n v="2419.5810000000006"/>
    <n v="444"/>
    <n v="80.454999999999998"/>
    <n v="72.218999999999994"/>
    <n v="79.760999999999996"/>
    <n v="0"/>
    <n v="1620.9"/>
    <n v="266.459"/>
    <n v="275.476"/>
    <n v="238.31200000000001"/>
    <n v="0"/>
    <n v="3.650675675675676"/>
    <n v="3.3119010627058607"/>
    <n v="3.8144532602223795"/>
    <n v="2.9878261305650633"/>
    <n v="0"/>
    <m/>
  </r>
  <r>
    <x v="70"/>
    <x v="1"/>
    <n v="14.435886"/>
    <n v="5.0714930000000003"/>
    <n v="4.1679040000000001"/>
    <n v="4.1764790000000005"/>
    <n v="0"/>
    <n v="1.0200099999999992"/>
    <n v="10.655136000000001"/>
    <n v="3.7632949999999998"/>
    <n v="3.0520679999999998"/>
    <n v="3.097728"/>
    <n v="0"/>
    <n v="0.74204500000000095"/>
    <n v="11.288311"/>
    <n v="1.584992"/>
    <n v="0.82856099999999999"/>
    <n v="0.70618400000000003"/>
    <n v="0"/>
    <n v="8.1685739999999996"/>
    <n v="4241.677333333334"/>
    <n v="747.81966666666665"/>
    <n v="534.21066666666673"/>
    <n v="540.06599999999992"/>
    <n v="0"/>
    <n v="2419.5810000000006"/>
    <n v="411.1"/>
    <n v="78.646000000000001"/>
    <n v="65.209000000000003"/>
    <n v="72.515000000000001"/>
    <n v="0"/>
    <n v="1088.5"/>
    <n v="178.57"/>
    <n v="209.745"/>
    <n v="177.01400000000001"/>
    <n v="0"/>
    <n v="2.6477742641693016"/>
    <n v="2.2705541286270119"/>
    <n v="3.2165038568295787"/>
    <n v="2.4410673653726818"/>
    <n v="0"/>
    <m/>
  </r>
  <r>
    <x v="71"/>
    <x v="1"/>
    <n v="15.474909999999999"/>
    <n v="5.3054959999999998"/>
    <n v="4.5938590000000001"/>
    <n v="4.435746"/>
    <n v="0"/>
    <n v="1.1398089999999996"/>
    <n v="11.865142000000001"/>
    <n v="4.0416749999999997"/>
    <n v="3.5306150000000001"/>
    <n v="3.4415689999999999"/>
    <n v="0"/>
    <n v="0.85128300000000046"/>
    <n v="12.499216000000001"/>
    <n v="1.717136"/>
    <n v="0.99071299999999995"/>
    <n v="0.79858399999999996"/>
    <n v="0"/>
    <n v="8.9927830000000011"/>
    <n v="4241.677333333334"/>
    <n v="747.81966666666665"/>
    <n v="534.21066666666673"/>
    <n v="540.06599999999992"/>
    <n v="0"/>
    <n v="2419.5810000000006"/>
    <n v="427.2"/>
    <n v="81.745000000000005"/>
    <n v="71.924000000000007"/>
    <n v="76.971000000000004"/>
    <n v="0"/>
    <n v="926.3"/>
    <n v="169.90100000000001"/>
    <n v="193.011"/>
    <n v="142.392"/>
    <n v="0"/>
    <n v="2.1683052434456926"/>
    <n v="2.0784268150957246"/>
    <n v="2.6835409599021185"/>
    <n v="1.8499434852087149"/>
    <n v="0"/>
    <m/>
  </r>
  <r>
    <x v="72"/>
    <x v="1"/>
    <n v="15.331415"/>
    <n v="5.370298"/>
    <n v="4.3529040000000006"/>
    <n v="4.4190129999999996"/>
    <n v="0"/>
    <n v="1.1891999999999996"/>
    <n v="11.228071"/>
    <n v="3.8751310000000001"/>
    <n v="3.1894640000000001"/>
    <n v="3.2889599999999999"/>
    <n v="0"/>
    <n v="0.87451599999999985"/>
    <n v="12.075267"/>
    <n v="1.646798"/>
    <n v="0.90812599999999999"/>
    <n v="0.75626099999999996"/>
    <n v="0"/>
    <n v="8.7640820000000001"/>
    <n v="3511.0889999999999"/>
    <n v="647.91600000000005"/>
    <n v="418.99299999999999"/>
    <n v="418.88500000000005"/>
    <n v="0"/>
    <n v="2025.2949999999998"/>
    <n v="416.7"/>
    <n v="81.483999999999995"/>
    <n v="66.396000000000001"/>
    <n v="75.956999999999994"/>
    <n v="0"/>
    <n v="713.6"/>
    <n v="155.352"/>
    <n v="188.673"/>
    <n v="120.572"/>
    <n v="0"/>
    <n v="1.7125029997600194"/>
    <n v="1.9065337980462425"/>
    <n v="2.841632026025664"/>
    <n v="1.5873718024671855"/>
    <n v="0"/>
    <m/>
  </r>
  <r>
    <x v="73"/>
    <x v="1"/>
    <n v="13.435786"/>
    <n v="4.6951859999999996"/>
    <n v="3.7848629999999996"/>
    <n v="3.8143690000000001"/>
    <n v="0"/>
    <n v="1.1413679999999999"/>
    <n v="9.0855460000000008"/>
    <n v="3.201759"/>
    <n v="2.4387099999999999"/>
    <n v="2.6011630000000001"/>
    <n v="0"/>
    <n v="0.84391400000000161"/>
    <n v="10.412675999999999"/>
    <n v="1.394746"/>
    <n v="0.72464499999999998"/>
    <n v="0.63022299999999998"/>
    <n v="0"/>
    <n v="7.6630619999999992"/>
    <n v="3511.0889999999999"/>
    <n v="647.91600000000005"/>
    <n v="418.99299999999999"/>
    <n v="418.88500000000005"/>
    <n v="0"/>
    <n v="2025.2949999999998"/>
    <n v="369.6"/>
    <n v="71.123000000000005"/>
    <n v="57.96"/>
    <n v="64.900999999999996"/>
    <n v="0"/>
    <n v="677"/>
    <n v="102.965"/>
    <n v="179.13200000000001"/>
    <n v="96.697999999999993"/>
    <n v="0"/>
    <n v="1.8317099567099566"/>
    <n v="1.4477032746087763"/>
    <n v="3.0906142167011734"/>
    <n v="1.489930817706969"/>
    <n v="0"/>
    <m/>
  </r>
  <r>
    <x v="74"/>
    <x v="1"/>
    <n v="15.250588"/>
    <n v="5.2525870000000001"/>
    <n v="4.2755179999999999"/>
    <n v="4.429983"/>
    <n v="0"/>
    <n v="1.2925000000000004"/>
    <n v="11.299920999999999"/>
    <n v="3.852017"/>
    <n v="3.1746129999999999"/>
    <n v="3.2976399999999999"/>
    <n v="0"/>
    <n v="0.97565099999999916"/>
    <n v="12.508793000000001"/>
    <n v="1.634131"/>
    <n v="0.93946399999999997"/>
    <n v="0.78911900000000001"/>
    <n v="0"/>
    <n v="9.1460790000000003"/>
    <n v="3511.0889999999999"/>
    <n v="647.91600000000005"/>
    <n v="418.99299999999999"/>
    <n v="418.88500000000005"/>
    <n v="0"/>
    <n v="2025.2949999999998"/>
    <n v="416.5"/>
    <n v="80.623000000000005"/>
    <n v="66.343000000000004"/>
    <n v="75.837999999999994"/>
    <n v="0"/>
    <n v="686.5"/>
    <n v="109.66200000000001"/>
    <n v="184.155"/>
    <n v="102.21599999999999"/>
    <n v="0"/>
    <n v="1.6482593037214885"/>
    <n v="1.3601825781724819"/>
    <n v="2.7758015163619372"/>
    <n v="1.3478203539122868"/>
    <n v="0"/>
    <m/>
  </r>
  <r>
    <x v="75"/>
    <x v="1"/>
    <n v="15.059504"/>
    <n v="5.1097580000000002"/>
    <n v="4.2097809999999996"/>
    <n v="4.533417"/>
    <n v="0"/>
    <n v="1.2065480000000015"/>
    <n v="11.483779999999999"/>
    <n v="3.9154089999999999"/>
    <n v="3.289145"/>
    <n v="3.381999"/>
    <n v="0"/>
    <n v="0.89722699999999911"/>
    <n v="12.629804999999999"/>
    <n v="1.6386799999999999"/>
    <n v="0.95823899999999995"/>
    <n v="0.793987"/>
    <n v="0"/>
    <n v="9.238899"/>
    <n v="3613.6266666666666"/>
    <n v="627.87966666666659"/>
    <n v="493.077"/>
    <n v="442.74366666666668"/>
    <n v="0"/>
    <n v="2049.9263333333333"/>
    <n v="417.3"/>
    <n v="79.016999999999996"/>
    <n v="65.096000000000004"/>
    <n v="77.713999999999999"/>
    <n v="0"/>
    <n v="727.4"/>
    <n v="119.08"/>
    <n v="169.90100000000001"/>
    <n v="109.587"/>
    <n v="0"/>
    <n v="1.7431104720824346"/>
    <n v="1.5070174772517306"/>
    <n v="2.6100067592478799"/>
    <n v="1.4101320225442007"/>
    <n v="0"/>
    <m/>
  </r>
  <r>
    <x v="76"/>
    <x v="1"/>
    <n v="15.461036999999999"/>
    <n v="5.3750730000000004"/>
    <n v="4.3990600000000004"/>
    <n v="4.6061710000000007"/>
    <n v="0"/>
    <n v="1.0807329999999968"/>
    <n v="11.649032999999999"/>
    <n v="3.952143"/>
    <n v="3.5053019999999999"/>
    <n v="3.4562390000000001"/>
    <n v="0"/>
    <n v="0.73534899999999936"/>
    <n v="11.806547999999999"/>
    <n v="1.561968"/>
    <n v="0.96471600000000002"/>
    <n v="0.77212000000000003"/>
    <n v="0"/>
    <n v="8.5077439999999989"/>
    <n v="3613.6266666666666"/>
    <n v="627.87966666666659"/>
    <n v="493.077"/>
    <n v="442.74366666666668"/>
    <n v="0"/>
    <n v="2049.9263333333333"/>
    <n v="428.2"/>
    <n v="82.974000000000004"/>
    <n v="68.594999999999999"/>
    <n v="79.88"/>
    <n v="0"/>
    <n v="734"/>
    <n v="119.629"/>
    <n v="172.459"/>
    <n v="113.68"/>
    <n v="0"/>
    <n v="1.7141522652965904"/>
    <n v="1.4417648902065707"/>
    <n v="2.5141628398571325"/>
    <n v="1.4231347020530798"/>
    <n v="0"/>
    <m/>
  </r>
  <r>
    <x v="77"/>
    <x v="1"/>
    <n v="16.139559999999999"/>
    <n v="5.2753170000000003"/>
    <n v="5.1988430000000001"/>
    <n v="4.5674350000000006"/>
    <n v="0"/>
    <n v="1.0979649999999985"/>
    <n v="13.229825999999999"/>
    <n v="4.2332049999999999"/>
    <n v="4.3410330000000004"/>
    <n v="3.8618209999999999"/>
    <n v="0"/>
    <n v="0.793766999999999"/>
    <n v="13.199636"/>
    <n v="1.723349"/>
    <n v="1.205824"/>
    <n v="0.86892199999999997"/>
    <n v="0"/>
    <n v="9.4015409999999999"/>
    <n v="3613.6266666666666"/>
    <n v="627.87966666666659"/>
    <n v="493.077"/>
    <n v="442.74366666666668"/>
    <n v="0"/>
    <n v="2049.9263333333333"/>
    <n v="470"/>
    <n v="82.116"/>
    <n v="95.316000000000003"/>
    <n v="79.599999999999994"/>
    <n v="0"/>
    <n v="855.6"/>
    <n v="141.34800000000001"/>
    <n v="191.65199999999999"/>
    <n v="134.65899999999999"/>
    <n v="0"/>
    <n v="1.8204255319148936"/>
    <n v="1.7213210580154905"/>
    <n v="2.0107012463804605"/>
    <n v="1.6916959798994975"/>
    <n v="0"/>
    <m/>
  </r>
  <r>
    <x v="78"/>
    <x v="1"/>
    <n v="17.021325000000001"/>
    <n v="5.4921139999999999"/>
    <n v="5.6152049999999996"/>
    <n v="4.7539880000000005"/>
    <n v="0"/>
    <n v="1.1600180000000009"/>
    <n v="14.530554"/>
    <n v="4.6052549999999997"/>
    <n v="4.8796720000000002"/>
    <n v="4.1041489999999996"/>
    <n v="0"/>
    <n v="0.94147800000000181"/>
    <n v="14.953614999999999"/>
    <n v="1.9227209999999999"/>
    <n v="1.3502559999999999"/>
    <n v="0.943272"/>
    <n v="0"/>
    <n v="10.737365999999998"/>
    <n v="4020.3289999999997"/>
    <n v="691.649"/>
    <n v="578.82366666666667"/>
    <n v="495.91133333333329"/>
    <n v="0"/>
    <n v="2253.9449999999997"/>
    <n v="494.7"/>
    <n v="85.185000000000002"/>
    <n v="107.29900000000001"/>
    <n v="82.382000000000005"/>
    <n v="0"/>
    <n v="930.9"/>
    <n v="155.89699999999999"/>
    <n v="212.297"/>
    <n v="150.09299999999999"/>
    <n v="0"/>
    <n v="1.8817465130382049"/>
    <n v="1.830099195867817"/>
    <n v="1.9785552521458727"/>
    <n v="1.8219149814279816"/>
    <n v="0"/>
    <m/>
  </r>
  <r>
    <x v="79"/>
    <x v="1"/>
    <n v="16.629498000000002"/>
    <n v="5.3526160000000003"/>
    <n v="5.379321"/>
    <n v="4.7406450000000007"/>
    <n v="0"/>
    <n v="1.1569160000000007"/>
    <n v="14.091275"/>
    <n v="4.4222580000000002"/>
    <n v="4.6173669999999998"/>
    <n v="4.1041980000000002"/>
    <n v="0"/>
    <n v="0.94745199999999841"/>
    <n v="14.844821"/>
    <n v="1.8451420000000001"/>
    <n v="1.2453399999999999"/>
    <n v="0.95373699999999995"/>
    <n v="0"/>
    <n v="10.800602"/>
    <n v="4020.3289999999997"/>
    <n v="691.649"/>
    <n v="578.82366666666667"/>
    <n v="495.91133333333329"/>
    <n v="0"/>
    <n v="2253.9449999999997"/>
    <n v="458.6"/>
    <n v="83.126000000000005"/>
    <n v="84.584000000000003"/>
    <n v="76.819000000000003"/>
    <n v="0"/>
    <n v="914.9"/>
    <n v="155.30000000000001"/>
    <n v="195.64699999999999"/>
    <n v="153.755"/>
    <n v="0"/>
    <n v="1.9949847361535105"/>
    <n v="1.8682482015253952"/>
    <n v="2.3130497493615811"/>
    <n v="2.0015230607011283"/>
    <n v="0"/>
    <m/>
  </r>
  <r>
    <x v="80"/>
    <x v="1"/>
    <n v="14.595348"/>
    <n v="4.6946530000000006"/>
    <n v="4.6138630000000003"/>
    <n v="4.3428590000000007"/>
    <n v="0"/>
    <n v="0.94397299999999795"/>
    <n v="11.794848999999999"/>
    <n v="3.7099630000000001"/>
    <n v="3.83786"/>
    <n v="3.5617529999999999"/>
    <n v="0"/>
    <n v="0.68527299999999869"/>
    <n v="11.659775"/>
    <n v="1.4418690000000001"/>
    <n v="0.98063599999999995"/>
    <n v="0.79082799999999998"/>
    <n v="0"/>
    <n v="8.4464419999999993"/>
    <n v="4020.3289999999997"/>
    <n v="691.649"/>
    <n v="578.82366666666667"/>
    <n v="495.91133333333329"/>
    <n v="0"/>
    <n v="2253.9449999999997"/>
    <n v="410.3"/>
    <n v="73.548000000000002"/>
    <n v="71.015000000000001"/>
    <n v="76.159000000000006"/>
    <n v="0"/>
    <n v="828.1"/>
    <n v="138.54900000000001"/>
    <n v="171.86500000000001"/>
    <n v="145.21299999999999"/>
    <n v="0"/>
    <n v="2.0182793078235437"/>
    <n v="1.8837901778430413"/>
    <n v="2.4201225093290151"/>
    <n v="1.906708333880434"/>
    <n v="0"/>
    <m/>
  </r>
  <r>
    <x v="81"/>
    <x v="1"/>
    <n v="14.42567"/>
    <n v="4.8110959999999992"/>
    <n v="4.3547979999999997"/>
    <n v="4.2830259999999996"/>
    <n v="0"/>
    <n v="0.97675000000000267"/>
    <n v="11.818554000000001"/>
    <n v="3.9220000000000002"/>
    <n v="3.6544819999999998"/>
    <n v="3.5211489999999999"/>
    <n v="0"/>
    <n v="0.72092300000000087"/>
    <n v="11.905529"/>
    <n v="1.5373699999999999"/>
    <n v="0.95088899999999998"/>
    <n v="0.77379299999999995"/>
    <n v="0"/>
    <n v="8.6434770000000007"/>
    <n v="3978.3486666666663"/>
    <n v="680.09366666666676"/>
    <n v="500.57699999999994"/>
    <n v="499.49700000000001"/>
    <n v="0"/>
    <n v="2298.1809999999996"/>
    <n v="411.4"/>
    <n v="76.215999999999994"/>
    <n v="67.545000000000002"/>
    <n v="75.852999999999994"/>
    <n v="0"/>
    <n v="798"/>
    <n v="141.679"/>
    <n v="145.54"/>
    <n v="141.392"/>
    <n v="0"/>
    <n v="1.9397180359747206"/>
    <n v="1.8589141387635144"/>
    <n v="2.1547116736990155"/>
    <n v="1.8640264722555471"/>
    <n v="0"/>
    <m/>
  </r>
  <r>
    <x v="82"/>
    <x v="1"/>
    <n v="13.502205"/>
    <n v="4.6692830000000001"/>
    <n v="3.8881260000000002"/>
    <n v="3.820738"/>
    <n v="0"/>
    <n v="1.1240579999999998"/>
    <n v="10.511678"/>
    <n v="3.6334919999999999"/>
    <n v="2.9899749999999998"/>
    <n v="3.068219"/>
    <n v="0"/>
    <n v="0.81999199999999917"/>
    <n v="11.093714"/>
    <n v="1.505763"/>
    <n v="0.82557999999999998"/>
    <n v="0.67079500000000003"/>
    <n v="0"/>
    <n v="8.0915759999999999"/>
    <n v="3978.3486666666663"/>
    <n v="680.09366666666676"/>
    <n v="500.57699999999994"/>
    <n v="499.49700000000001"/>
    <n v="0"/>
    <n v="2298.1809999999996"/>
    <n v="384.9"/>
    <n v="72.872"/>
    <n v="59.58"/>
    <n v="68.549000000000007"/>
    <n v="0"/>
    <n v="796.1"/>
    <n v="145.434"/>
    <n v="136.42699999999999"/>
    <n v="138.16800000000001"/>
    <n v="0"/>
    <n v="2.0683294362171996"/>
    <n v="1.9957459655285981"/>
    <n v="2.2898120174555219"/>
    <n v="2.0156092721994483"/>
    <n v="0"/>
    <m/>
  </r>
  <r>
    <x v="83"/>
    <x v="1"/>
    <n v="14.542393000000001"/>
    <n v="5.0086229999999992"/>
    <n v="4.2744480000000005"/>
    <n v="3.9840629999999999"/>
    <n v="0"/>
    <n v="1.2752590000000019"/>
    <n v="11.858226999999999"/>
    <n v="4.0146189999999997"/>
    <n v="3.488448"/>
    <n v="3.3889670000000001"/>
    <n v="0"/>
    <n v="0.96619300000000052"/>
    <n v="12.659153999999999"/>
    <n v="1.6788149999999999"/>
    <n v="1.0136780000000001"/>
    <n v="0.75815399999999999"/>
    <n v="0"/>
    <n v="9.2085069999999991"/>
    <n v="3978.3486666666663"/>
    <n v="680.09366666666676"/>
    <n v="500.57699999999994"/>
    <n v="499.49700000000001"/>
    <n v="0"/>
    <n v="2298.1809999999996"/>
    <n v="408.3"/>
    <n v="77.986000000000004"/>
    <n v="65.766000000000005"/>
    <n v="71.186000000000007"/>
    <n v="0"/>
    <n v="852.4"/>
    <n v="157.44800000000001"/>
    <n v="152.72999999999999"/>
    <n v="137.804"/>
    <n v="0"/>
    <n v="2.0876806269899584"/>
    <n v="2.0189264739825097"/>
    <n v="2.322324605419213"/>
    <n v="1.9358300789481075"/>
    <n v="0"/>
    <m/>
  </r>
  <r>
    <x v="84"/>
    <x v="1"/>
    <n v="16.958780999999998"/>
    <n v="5.0462850000000001"/>
    <n v="6.4652849999999997"/>
    <n v="4.1448349999999996"/>
    <n v="0"/>
    <n v="1.3023759999999989"/>
    <n v="13.248237"/>
    <n v="3.8798849999999998"/>
    <n v="5.0225010000000001"/>
    <n v="3.3616830000000002"/>
    <n v="0"/>
    <n v="0.98416800000000038"/>
    <n v="12.393439000000001"/>
    <n v="1.623904"/>
    <n v="1.432868"/>
    <n v="0.74634"/>
    <n v="0"/>
    <n v="8.5903270000000003"/>
    <n v="4038.7579999999998"/>
    <n v="674.82633333333331"/>
    <n v="745.67833333333328"/>
    <n v="502.03999999999996"/>
    <n v="0"/>
    <n v="2116.2133333333331"/>
    <n v="410"/>
    <n v="77.527000000000001"/>
    <n v="104.86199999999999"/>
    <n v="72.369"/>
    <n v="0"/>
    <n v="873.9"/>
    <n v="159.84800000000001"/>
    <n v="229.26499999999999"/>
    <n v="150.411"/>
    <n v="0"/>
    <n v="2.1314634146341462"/>
    <n v="2.0618365214699397"/>
    <n v="2.1863496786252408"/>
    <n v="2.0783899183351986"/>
    <n v="0"/>
    <m/>
  </r>
  <r>
    <x v="85"/>
    <x v="1"/>
    <n v="14.899208"/>
    <n v="4.4274129999999996"/>
    <n v="5.7656859999999996"/>
    <n v="3.4929870000000003"/>
    <n v="0"/>
    <n v="1.2131220000000003"/>
    <n v="11.101311000000001"/>
    <n v="3.2266509999999999"/>
    <n v="4.259061"/>
    <n v="2.689848"/>
    <n v="0"/>
    <n v="0.92575100000000177"/>
    <n v="10.694165"/>
    <n v="1.3684639999999999"/>
    <n v="1.270381"/>
    <n v="0.62545200000000001"/>
    <n v="0"/>
    <n v="7.4298679999999999"/>
    <n v="4038.7579999999998"/>
    <n v="674.82633333333331"/>
    <n v="745.67833333333328"/>
    <n v="502.03999999999996"/>
    <n v="0"/>
    <n v="2116.2133333333331"/>
    <n v="361.5"/>
    <n v="68.087000000000003"/>
    <n v="94.363"/>
    <n v="62.012999999999998"/>
    <n v="0"/>
    <n v="771"/>
    <n v="140.54599999999999"/>
    <n v="213.21700000000001"/>
    <n v="127.07899999999999"/>
    <n v="0"/>
    <n v="2.1327800829875518"/>
    <n v="2.0642119641047483"/>
    <n v="2.2595402859171498"/>
    <n v="2.0492316127263637"/>
    <n v="0"/>
    <m/>
  </r>
  <r>
    <x v="86"/>
    <x v="1"/>
    <n v="17.311498"/>
    <n v="5.0740039999999995"/>
    <n v="6.6698979999999999"/>
    <n v="4.1730489999999998"/>
    <n v="0"/>
    <n v="1.3945470000000029"/>
    <n v="14.035062999999999"/>
    <n v="3.9921890000000002"/>
    <n v="5.4811350000000001"/>
    <n v="3.4591560000000001"/>
    <n v="0"/>
    <n v="1.1025829999999992"/>
    <n v="13.27932"/>
    <n v="1.6766220000000001"/>
    <n v="1.629281"/>
    <n v="0.79535500000000003"/>
    <n v="0"/>
    <n v="9.1780620000000006"/>
    <n v="4038.7579999999998"/>
    <n v="674.82633333333331"/>
    <n v="745.67833333333328"/>
    <n v="502.03999999999996"/>
    <n v="0"/>
    <n v="2116.2133333333331"/>
    <n v="423.7"/>
    <n v="78.256"/>
    <n v="108.851"/>
    <n v="74.010000000000005"/>
    <n v="0"/>
    <n v="911.9"/>
    <n v="164.80600000000001"/>
    <n v="242.17699999999999"/>
    <n v="152.96700000000001"/>
    <n v="0"/>
    <n v="2.152230351663913"/>
    <n v="2.1059854835411982"/>
    <n v="2.2248486463146868"/>
    <n v="2.0668423186055938"/>
    <n v="0"/>
    <m/>
  </r>
  <r>
    <x v="87"/>
    <x v="1"/>
    <n v="16.668046"/>
    <n v="4.8239470000000004"/>
    <n v="6.2981279999999993"/>
    <n v="4.2044199999999998"/>
    <n v="0"/>
    <n v="1.3415510000000026"/>
    <n v="13.199923999999999"/>
    <n v="3.7787890000000002"/>
    <n v="5.0932599999999999"/>
    <n v="3.2849710000000001"/>
    <n v="0"/>
    <n v="1.0429039999999983"/>
    <n v="12.3987"/>
    <n v="1.589256"/>
    <n v="1.4162520000000001"/>
    <n v="0.725217"/>
    <n v="0"/>
    <n v="8.6679750000000002"/>
    <n v="4741.1516666666666"/>
    <n v="753.00333333333322"/>
    <n v="931.35733333333337"/>
    <n v="633.40166666666664"/>
    <n v="0"/>
    <n v="2423.3893333333335"/>
    <n v="410.5"/>
    <n v="74.182000000000002"/>
    <n v="102.00700000000001"/>
    <n v="73.935000000000002"/>
    <n v="0"/>
    <n v="928.4"/>
    <n v="169.15799999999999"/>
    <n v="236.11099999999999"/>
    <n v="160.18100000000001"/>
    <n v="0"/>
    <n v="2.2616321559074297"/>
    <n v="2.2803105874740499"/>
    <n v="2.3146548766261135"/>
    <n v="2.166511124636505"/>
    <n v="0"/>
    <m/>
  </r>
  <r>
    <x v="88"/>
    <x v="1"/>
    <n v="18.568307000000001"/>
    <n v="5.3649170000000002"/>
    <n v="7.1860879999999998"/>
    <n v="4.7426789999999999"/>
    <n v="0"/>
    <n v="1.2746230000000018"/>
    <n v="15.242844"/>
    <n v="4.298527"/>
    <n v="6.0624289999999998"/>
    <n v="3.9114900000000001"/>
    <n v="0"/>
    <n v="0.97039799999999943"/>
    <n v="13.380663999999999"/>
    <n v="1.7067810000000001"/>
    <n v="1.5984700000000001"/>
    <n v="0.859352"/>
    <n v="0"/>
    <n v="9.2160609999999998"/>
    <n v="4741.1516666666666"/>
    <n v="753.00333333333322"/>
    <n v="931.35733333333337"/>
    <n v="633.40166666666664"/>
    <n v="0"/>
    <n v="2423.3893333333335"/>
    <n v="453.7"/>
    <n v="87.319000000000003"/>
    <n v="118.098"/>
    <n v="85.245999999999995"/>
    <n v="0"/>
    <n v="1040.0999999999999"/>
    <n v="189.53100000000001"/>
    <n v="276.69499999999999"/>
    <n v="191.78200000000001"/>
    <n v="0"/>
    <n v="2.2924840202777164"/>
    <n v="2.1705585267811127"/>
    <n v="2.3429270605768089"/>
    <n v="2.2497477887525519"/>
    <n v="0"/>
    <m/>
  </r>
  <r>
    <x v="89"/>
    <x v="1"/>
    <n v="19.658624"/>
    <n v="5.4117120000000005"/>
    <n v="8.2969050000000006"/>
    <n v="4.7031000000000001"/>
    <n v="0"/>
    <n v="1.2469070000000002"/>
    <n v="16.945202999999999"/>
    <n v="4.51797"/>
    <n v="7.2948009999999996"/>
    <n v="4.1560499999999996"/>
    <n v="0"/>
    <n v="0.97638200000000097"/>
    <n v="14.406776000000001"/>
    <n v="1.8197410000000001"/>
    <n v="1.9261619999999999"/>
    <n v="0.90809099999999998"/>
    <n v="0"/>
    <n v="9.7527819999999998"/>
    <n v="4741.1516666666666"/>
    <n v="753.00333333333322"/>
    <n v="931.35733333333337"/>
    <n v="633.40166666666664"/>
    <n v="0"/>
    <n v="2423.3893333333335"/>
    <n v="468"/>
    <n v="84.408000000000001"/>
    <n v="134.816"/>
    <n v="83.549000000000007"/>
    <n v="0"/>
    <n v="1059.7"/>
    <n v="205.21899999999999"/>
    <n v="308.399"/>
    <n v="180.023"/>
    <n v="0"/>
    <n v="2.2643162393162393"/>
    <n v="2.4312742867974597"/>
    <n v="2.2875548896273439"/>
    <n v="2.1546996373385676"/>
    <n v="0"/>
    <m/>
  </r>
  <r>
    <x v="90"/>
    <x v="1"/>
    <n v="21.059004999999999"/>
    <n v="5.8563590000000003"/>
    <n v="8.7605210000000007"/>
    <n v="4.9565919999999997"/>
    <n v="0"/>
    <n v="1.4855329999999967"/>
    <n v="18.274279"/>
    <n v="4.9555699999999998"/>
    <n v="7.7812590000000004"/>
    <n v="4.3143440000000002"/>
    <n v="0"/>
    <n v="1.2231060000000014"/>
    <n v="16.026852000000002"/>
    <n v="2.044146"/>
    <n v="2.1171769999999999"/>
    <n v="0.95296199999999998"/>
    <n v="0"/>
    <n v="10.912567000000003"/>
    <n v="5115.1423333333332"/>
    <n v="830.63633333333325"/>
    <n v="1158.8100000000002"/>
    <n v="684.02199999999993"/>
    <n v="0"/>
    <n v="2441.674"/>
    <n v="495.9"/>
    <n v="91.201999999999998"/>
    <n v="143.131"/>
    <n v="88.08"/>
    <n v="0"/>
    <n v="1091.3"/>
    <n v="193.49600000000001"/>
    <n v="328.721"/>
    <n v="188.768"/>
    <n v="0"/>
    <n v="2.2006452913893932"/>
    <n v="2.1216201399092127"/>
    <n v="2.2966443328139956"/>
    <n v="2.1431425976385103"/>
    <n v="0"/>
    <m/>
  </r>
  <r>
    <x v="91"/>
    <x v="1"/>
    <n v="20.716608999999998"/>
    <n v="5.7293609999999999"/>
    <n v="8.6243759999999998"/>
    <n v="4.9201270000000008"/>
    <n v="0"/>
    <n v="1.4427449999999986"/>
    <n v="17.756837999999998"/>
    <n v="4.7265470000000001"/>
    <n v="7.5610780000000002"/>
    <n v="4.2660710000000002"/>
    <n v="0"/>
    <n v="1.2031419999999962"/>
    <n v="15.317926"/>
    <n v="1.954418"/>
    <n v="2.0036179999999999"/>
    <n v="0.93622099999999997"/>
    <n v="0"/>
    <n v="10.423669"/>
    <n v="5115.1423333333332"/>
    <n v="830.63633333333325"/>
    <n v="1158.8100000000002"/>
    <n v="684.02199999999993"/>
    <n v="0"/>
    <n v="2441.674"/>
    <n v="484.2"/>
    <n v="88.126999999999995"/>
    <n v="141.34700000000001"/>
    <n v="87.016000000000005"/>
    <n v="0"/>
    <n v="1069"/>
    <n v="187.59899999999999"/>
    <n v="323.24799999999999"/>
    <n v="189.16900000000001"/>
    <n v="0"/>
    <n v="2.2077653862040481"/>
    <n v="2.1287346670146494"/>
    <n v="2.2869109354991615"/>
    <n v="2.1739565137445989"/>
    <n v="0"/>
    <m/>
  </r>
  <r>
    <x v="92"/>
    <x v="1"/>
    <n v="18.413957"/>
    <n v="5.1786750000000001"/>
    <n v="7.4123469999999996"/>
    <n v="4.6343890000000005"/>
    <n v="0"/>
    <n v="1.1885459999999988"/>
    <n v="15.455242"/>
    <n v="4.1589039999999997"/>
    <n v="6.4258379999999997"/>
    <n v="3.9513720000000001"/>
    <n v="0"/>
    <n v="0.91912800000000239"/>
    <n v="12.599149000000001"/>
    <n v="1.5709379999999999"/>
    <n v="1.590182"/>
    <n v="0.83638800000000002"/>
    <n v="0"/>
    <n v="8.6016410000000008"/>
    <n v="5115.1423333333332"/>
    <n v="830.63633333333325"/>
    <n v="1158.8100000000002"/>
    <n v="684.02199999999993"/>
    <n v="0"/>
    <n v="2441.674"/>
    <n v="439.8"/>
    <n v="81.103999999999999"/>
    <n v="122.238"/>
    <n v="82.802000000000007"/>
    <n v="0"/>
    <n v="967.7"/>
    <n v="172.60300000000001"/>
    <n v="278.10300000000001"/>
    <n v="182.214"/>
    <n v="0"/>
    <n v="2.2003183265120509"/>
    <n v="2.128168770960742"/>
    <n v="2.2750944878024839"/>
    <n v="2.2005990193473584"/>
    <n v="0"/>
    <m/>
  </r>
  <r>
    <x v="93"/>
    <x v="1"/>
    <n v="18.713714"/>
    <n v="5.3379120000000002"/>
    <n v="7.4517879999999996"/>
    <n v="4.7284979999999992"/>
    <n v="0"/>
    <n v="1.1955160000000014"/>
    <n v="15.484246000000001"/>
    <n v="4.3586739999999997"/>
    <n v="6.2818180000000003"/>
    <n v="3.8965239999999999"/>
    <n v="0"/>
    <n v="0.94723000000000113"/>
    <n v="12.874707000000001"/>
    <n v="1.671953"/>
    <n v="1.5589999999999999"/>
    <n v="0.83006899999999995"/>
    <n v="0"/>
    <n v="8.8136850000000013"/>
    <n v="4639.5793333333331"/>
    <n v="771.30899999999986"/>
    <n v="935.74699999999996"/>
    <n v="623.16666666666663"/>
    <n v="0"/>
    <n v="2309.3566666666666"/>
    <n v="446.3"/>
    <n v="83.468000000000004"/>
    <n v="121.76600000000001"/>
    <n v="83.820999999999998"/>
    <n v="0"/>
    <n v="1042.7"/>
    <n v="182.95099999999999"/>
    <n v="290.35199999999998"/>
    <n v="190.41499999999999"/>
    <n v="0"/>
    <n v="2.3363208604077976"/>
    <n v="2.1918699381799009"/>
    <n v="2.38450799073633"/>
    <n v="2.2716860929838583"/>
    <n v="0"/>
    <m/>
  </r>
  <r>
    <x v="94"/>
    <x v="1"/>
    <n v="16.930493999999999"/>
    <n v="4.9755690000000001"/>
    <n v="6.6161830000000004"/>
    <n v="4.1023280000000009"/>
    <n v="0"/>
    <n v="1.2364139999999999"/>
    <n v="13.319865"/>
    <n v="3.900582"/>
    <n v="5.1798229999999998"/>
    <n v="3.289987"/>
    <n v="0"/>
    <n v="0.94947300000000112"/>
    <n v="11.651313999999999"/>
    <n v="1.5978730000000001"/>
    <n v="1.3348789999999999"/>
    <n v="0.709283"/>
    <n v="0"/>
    <n v="8.0092789999999994"/>
    <n v="4639.5793333333331"/>
    <n v="771.30899999999986"/>
    <n v="935.74699999999996"/>
    <n v="623.16666666666663"/>
    <n v="0"/>
    <n v="2309.3566666666666"/>
    <n v="411.9"/>
    <n v="77.507999999999996"/>
    <n v="108.2"/>
    <n v="74.129000000000005"/>
    <n v="0"/>
    <n v="981.6"/>
    <n v="179.84100000000001"/>
    <n v="267.226"/>
    <n v="175.82599999999999"/>
    <n v="0"/>
    <n v="2.3831026948288421"/>
    <n v="2.3202895185013164"/>
    <n v="2.4697412199630313"/>
    <n v="2.3718922419026289"/>
    <n v="0"/>
    <m/>
  </r>
  <r>
    <x v="95"/>
    <x v="1"/>
    <n v="18.088449000000001"/>
    <n v="5.2115809999999998"/>
    <n v="7.0247359999999999"/>
    <n v="4.4043260000000002"/>
    <n v="0"/>
    <n v="1.4478059999999999"/>
    <n v="14.617675"/>
    <n v="4.1662520000000001"/>
    <n v="5.6653880000000001"/>
    <n v="3.6550250000000002"/>
    <n v="0"/>
    <n v="1.1310099999999998"/>
    <n v="12.917451"/>
    <n v="1.7506429999999999"/>
    <n v="1.4998339999999999"/>
    <n v="0.80061000000000004"/>
    <n v="0"/>
    <n v="8.8663640000000008"/>
    <n v="4639.5793333333331"/>
    <n v="771.30899999999986"/>
    <n v="935.74699999999996"/>
    <n v="623.16666666666663"/>
    <n v="0"/>
    <n v="2309.3566666666666"/>
    <n v="441.1"/>
    <n v="80.739000000000004"/>
    <n v="116.801"/>
    <n v="78.680000000000007"/>
    <n v="0"/>
    <n v="1090.7"/>
    <n v="196.68600000000001"/>
    <n v="293.959"/>
    <n v="195.36099999999999"/>
    <n v="0"/>
    <n v="2.4726819315347992"/>
    <n v="2.4360717868687995"/>
    <n v="2.5167507127507469"/>
    <n v="2.482981698017285"/>
    <n v="0"/>
    <m/>
  </r>
  <r>
    <x v="96"/>
    <x v="1"/>
    <n v="18.608740999999998"/>
    <n v="5.4134950000000002"/>
    <n v="7.2044449999999998"/>
    <n v="4.4257669999999996"/>
    <n v="0"/>
    <n v="1.5650339999999971"/>
    <n v="14.275600000000001"/>
    <n v="4.1122649999999998"/>
    <n v="5.438987"/>
    <n v="3.5285060000000001"/>
    <n v="0"/>
    <n v="1.1958420000000007"/>
    <n v="12.668763"/>
    <n v="1.7219450000000001"/>
    <n v="1.4659519999999999"/>
    <n v="0.77094399999999996"/>
    <n v="0"/>
    <n v="8.7099220000000006"/>
    <n v="4451.4380000000001"/>
    <n v="782.02333333333343"/>
    <n v="891.41699999999992"/>
    <n v="576.96799999999996"/>
    <n v="0"/>
    <n v="2201.0296666666668"/>
    <n v="448.2"/>
    <n v="82.537000000000006"/>
    <n v="124.223"/>
    <n v="78.41"/>
    <n v="0"/>
    <n v="1169.8"/>
    <n v="210.88800000000001"/>
    <n v="330.44900000000001"/>
    <n v="205.26599999999999"/>
    <n v="0"/>
    <n v="2.6099955377063813"/>
    <n v="2.5550722706180258"/>
    <n v="2.6601273516176556"/>
    <n v="2.6178548654508353"/>
    <n v="0"/>
    <m/>
  </r>
  <r>
    <x v="97"/>
    <x v="1"/>
    <n v="16.666217"/>
    <n v="4.7919970000000003"/>
    <n v="6.5272920000000001"/>
    <n v="3.8699319999999999"/>
    <n v="0"/>
    <n v="1.476995999999998"/>
    <n v="11.800302"/>
    <n v="3.4094959999999999"/>
    <n v="4.4412279999999997"/>
    <n v="2.8079999999999998"/>
    <n v="0"/>
    <n v="1.1415780000000009"/>
    <n v="10.944610000000001"/>
    <n v="1.4507890000000001"/>
    <n v="1.2603500000000001"/>
    <n v="0.63871900000000004"/>
    <n v="0"/>
    <n v="7.5947520000000006"/>
    <n v="4451.4380000000001"/>
    <n v="782.02333333333343"/>
    <n v="891.41699999999992"/>
    <n v="576.96799999999996"/>
    <n v="0"/>
    <n v="2201.0296666666668"/>
    <n v="395.1"/>
    <n v="72.769000000000005"/>
    <n v="111.369"/>
    <n v="68.221999999999994"/>
    <n v="0"/>
    <n v="1098.9000000000001"/>
    <n v="199.11600000000001"/>
    <n v="318.57600000000002"/>
    <n v="181.65600000000001"/>
    <n v="0"/>
    <n v="2.7813211845102508"/>
    <n v="2.7362750621830725"/>
    <n v="2.8605446758074513"/>
    <n v="2.6627187710709159"/>
    <n v="0"/>
    <m/>
  </r>
  <r>
    <x v="98"/>
    <x v="1"/>
    <n v="19.128513999999999"/>
    <n v="5.4279480000000007"/>
    <n v="7.5235029999999998"/>
    <n v="4.4643860000000002"/>
    <n v="0"/>
    <n v="1.7126769999999993"/>
    <n v="14.604870999999999"/>
    <n v="4.18954"/>
    <n v="5.6019810000000003"/>
    <n v="3.4596429999999998"/>
    <n v="0"/>
    <n v="1.353707"/>
    <n v="13.473705000000001"/>
    <n v="1.7493609999999999"/>
    <n v="1.6064050000000001"/>
    <n v="0.81104600000000004"/>
    <n v="0"/>
    <n v="9.3068930000000005"/>
    <n v="4451.4380000000001"/>
    <n v="782.02333333333343"/>
    <n v="891.41699999999992"/>
    <n v="576.96799999999996"/>
    <n v="0"/>
    <n v="2201.0296666666668"/>
    <n v="466.6"/>
    <n v="82.715000000000003"/>
    <n v="129.804"/>
    <n v="77.778000000000006"/>
    <n v="0"/>
    <n v="1396"/>
    <n v="245.63"/>
    <n v="379.07499999999999"/>
    <n v="234.935"/>
    <n v="0"/>
    <n v="2.9918559794256323"/>
    <n v="2.969594390376594"/>
    <n v="2.9203645496286708"/>
    <n v="3.0205842269022085"/>
    <n v="0"/>
    <m/>
  </r>
  <r>
    <x v="99"/>
    <x v="1"/>
    <n v="18.921548999999999"/>
    <n v="5.3595860000000002"/>
    <n v="7.2427280000000005"/>
    <n v="4.6656679999999993"/>
    <n v="0"/>
    <n v="1.6535669999999989"/>
    <n v="14.694232"/>
    <n v="4.1716100000000003"/>
    <n v="5.6531440000000002"/>
    <n v="3.6028509999999998"/>
    <n v="0"/>
    <n v="1.2666269999999997"/>
    <n v="13.537152000000001"/>
    <n v="1.677494"/>
    <n v="1.5478209999999999"/>
    <n v="0.828484"/>
    <n v="0"/>
    <n v="9.483353000000001"/>
    <n v="5156.9883333333337"/>
    <n v="844.50633333333326"/>
    <n v="1071.0153333333335"/>
    <n v="710.83866666666665"/>
    <n v="0"/>
    <n v="2530.6280000000002"/>
    <n v="460.6"/>
    <n v="82.201999999999998"/>
    <n v="126.194"/>
    <n v="81.393000000000001"/>
    <n v="0"/>
    <n v="1485.8"/>
    <n v="270.50599999999997"/>
    <n v="406.09100000000001"/>
    <n v="259.39100000000002"/>
    <n v="0"/>
    <n v="3.2257924446374293"/>
    <n v="3.2907471837668179"/>
    <n v="3.217989761795331"/>
    <n v="3.1868956789895937"/>
    <n v="0"/>
    <m/>
  </r>
  <r>
    <x v="100"/>
    <x v="1"/>
    <n v="19.448442"/>
    <n v="5.6735919999999993"/>
    <n v="7.4782849999999996"/>
    <n v="4.8415029999999994"/>
    <n v="0"/>
    <n v="1.4550620000000016"/>
    <n v="15.862444"/>
    <n v="4.4991409999999998"/>
    <n v="6.189622"/>
    <n v="4.0171260000000002"/>
    <n v="0"/>
    <n v="1.1565550000000009"/>
    <n v="13.935131999999999"/>
    <n v="1.7385189999999999"/>
    <n v="1.6250610000000001"/>
    <n v="0.89494399999999996"/>
    <n v="0"/>
    <n v="9.6766079999999999"/>
    <n v="5156.9883333333337"/>
    <n v="844.50633333333326"/>
    <n v="1071.0153333333335"/>
    <n v="710.83866666666665"/>
    <n v="0"/>
    <n v="2530.6280000000002"/>
    <n v="476.1"/>
    <n v="87.084999999999994"/>
    <n v="130.453"/>
    <n v="84.814999999999998"/>
    <n v="0"/>
    <n v="1548.3"/>
    <n v="277.92399999999998"/>
    <n v="425.19499999999999"/>
    <n v="276.32499999999999"/>
    <n v="0"/>
    <n v="3.2520478890989284"/>
    <n v="3.1914106907044841"/>
    <n v="3.259373107555978"/>
    <n v="3.2579732358662974"/>
    <n v="0"/>
    <m/>
  </r>
  <r>
    <x v="101"/>
    <x v="1"/>
    <n v="20.375259"/>
    <n v="5.6012230000000001"/>
    <n v="8.4484320000000004"/>
    <n v="4.8083810000000007"/>
    <n v="0"/>
    <n v="1.5172229999999978"/>
    <n v="17.361657000000001"/>
    <n v="4.713533"/>
    <n v="7.286429"/>
    <n v="4.1773699999999998"/>
    <n v="0"/>
    <n v="1.1843250000000012"/>
    <n v="14.814672"/>
    <n v="1.8554889999999999"/>
    <n v="1.918498"/>
    <n v="0.93207099999999998"/>
    <n v="0"/>
    <n v="10.108613999999999"/>
    <n v="5156.9883333333337"/>
    <n v="844.50633333333326"/>
    <n v="1071.0153333333335"/>
    <n v="710.83866666666665"/>
    <n v="0"/>
    <n v="2530.6280000000002"/>
    <n v="494.9"/>
    <n v="86.254999999999995"/>
    <n v="146.63200000000001"/>
    <n v="84.192999999999998"/>
    <n v="0"/>
    <n v="1524.7"/>
    <n v="263.65600000000001"/>
    <n v="450.99"/>
    <n v="250.35599999999999"/>
    <n v="0"/>
    <n v="3.0808244089715098"/>
    <n v="3.0567039591907719"/>
    <n v="3.0756587920781273"/>
    <n v="2.9735963797465348"/>
    <n v="0"/>
    <m/>
  </r>
  <r>
    <x v="102"/>
    <x v="1"/>
    <n v="22.001640999999999"/>
    <n v="6.0170950000000003"/>
    <n v="9.0979939999999999"/>
    <n v="5.0905469999999999"/>
    <n v="0"/>
    <n v="1.7960049999999974"/>
    <n v="19.048234000000001"/>
    <n v="5.204726"/>
    <n v="7.9374200000000004"/>
    <n v="4.4131070000000001"/>
    <n v="0"/>
    <n v="1.4929810000000003"/>
    <n v="16.623674000000001"/>
    <n v="2.108152"/>
    <n v="2.1390180000000001"/>
    <n v="0.99991600000000003"/>
    <n v="0"/>
    <n v="11.376588000000002"/>
    <n v="5616.7743333333337"/>
    <n v="928.84000000000015"/>
    <n v="1295.329"/>
    <n v="759.38366666666661"/>
    <n v="0"/>
    <n v="2633.2216666666673"/>
    <n v="528.29999999999995"/>
    <n v="92.742000000000004"/>
    <n v="159.31200000000001"/>
    <n v="91.034000000000006"/>
    <n v="0"/>
    <n v="1642.5"/>
    <n v="283.596"/>
    <n v="489.34199999999998"/>
    <n v="286.09199999999998"/>
    <n v="0"/>
    <n v="3.1090289608177173"/>
    <n v="3.0579025684156043"/>
    <n v="3.0715953600482071"/>
    <n v="3.1426939385284616"/>
    <n v="0"/>
    <m/>
  </r>
  <r>
    <x v="103"/>
    <x v="1"/>
    <n v="21.326174000000002"/>
    <n v="5.7744309999999999"/>
    <n v="8.7892329999999994"/>
    <n v="5.0488100000000005"/>
    <n v="0"/>
    <n v="1.7137000000000029"/>
    <n v="18.320181000000002"/>
    <n v="4.8508740000000001"/>
    <n v="7.7197579999999997"/>
    <n v="4.3076239999999997"/>
    <n v="0"/>
    <n v="1.4419250000000012"/>
    <n v="15.753437999999999"/>
    <n v="1.9283110000000001"/>
    <n v="2.0195959999999999"/>
    <n v="0.959619"/>
    <n v="0"/>
    <n v="10.845911999999998"/>
    <n v="5616.7743333333337"/>
    <n v="928.84000000000015"/>
    <n v="1295.329"/>
    <n v="759.38366666666661"/>
    <n v="0"/>
    <n v="2633.2216666666673"/>
    <n v="508.1"/>
    <n v="88.551000000000002"/>
    <n v="152.99199999999999"/>
    <n v="88.391000000000005"/>
    <n v="0"/>
    <n v="1574.4"/>
    <n v="267.45100000000002"/>
    <n v="465.47899999999998"/>
    <n v="277.35500000000002"/>
    <n v="0"/>
    <n v="3.0986026372761266"/>
    <n v="3.0203046831769265"/>
    <n v="3.0425054904831628"/>
    <n v="3.1378194612573678"/>
    <n v="0"/>
    <m/>
  </r>
  <r>
    <x v="104"/>
    <x v="1"/>
    <n v="18.858971"/>
    <n v="5.3085659999999999"/>
    <n v="7.3352269999999997"/>
    <n v="4.7409509999999999"/>
    <n v="0"/>
    <n v="1.4742270000000026"/>
    <n v="15.548764"/>
    <n v="4.2580799999999996"/>
    <n v="6.2368300000000003"/>
    <n v="3.9355220000000002"/>
    <n v="0"/>
    <n v="1.1183319999999988"/>
    <n v="13.220884"/>
    <n v="1.5730580000000001"/>
    <n v="1.5762670000000001"/>
    <n v="0.85795500000000002"/>
    <n v="0"/>
    <n v="9.2136040000000001"/>
    <n v="5616.7743333333337"/>
    <n v="928.84000000000015"/>
    <n v="1295.329"/>
    <n v="759.38366666666661"/>
    <n v="0"/>
    <n v="2633.2216666666673"/>
    <n v="453.1"/>
    <n v="81.680000000000007"/>
    <n v="127.042"/>
    <n v="80.018000000000001"/>
    <n v="0"/>
    <n v="1394.3"/>
    <n v="246.38300000000001"/>
    <n v="385.12099999999998"/>
    <n v="250.303"/>
    <n v="0"/>
    <n v="3.0772456411388212"/>
    <n v="3.0164422135161604"/>
    <n v="3.0314462933518049"/>
    <n v="3.1280836811717365"/>
    <n v="0"/>
    <m/>
  </r>
  <r>
    <x v="105"/>
    <x v="1"/>
    <n v="18.854600000000001"/>
    <n v="5.4144069999999997"/>
    <n v="7.1669790000000004"/>
    <n v="4.799817"/>
    <n v="0"/>
    <n v="1.4733970000000021"/>
    <n v="15.173747000000001"/>
    <n v="4.3546480000000001"/>
    <n v="5.8072280000000003"/>
    <n v="3.8589069999999999"/>
    <n v="0"/>
    <n v="1.1529640000000008"/>
    <n v="13.199913"/>
    <n v="1.6362509999999999"/>
    <n v="1.4646809999999999"/>
    <n v="0.83261399999999997"/>
    <n v="0"/>
    <n v="9.2663670000000007"/>
    <n v="4847.6676666666672"/>
    <n v="836.19066666666674"/>
    <n v="966.0723333333334"/>
    <n v="655.14166666666665"/>
    <n v="0"/>
    <n v="2390.2630000000004"/>
    <n v="443.7"/>
    <n v="83.426000000000002"/>
    <n v="113.923"/>
    <n v="83.965000000000003"/>
    <n v="0"/>
    <n v="1330.2"/>
    <n v="244.97800000000001"/>
    <n v="340.26"/>
    <n v="256.21699999999998"/>
    <n v="0"/>
    <n v="2.9979716024340775"/>
    <n v="2.936470644643157"/>
    <n v="2.986754211177725"/>
    <n v="3.0514738283808729"/>
    <n v="0"/>
    <m/>
  </r>
  <r>
    <x v="106"/>
    <x v="1"/>
    <n v="16.631475999999999"/>
    <n v="4.8683389999999997"/>
    <n v="6.0562800000000001"/>
    <n v="4.1675900000000006"/>
    <n v="0"/>
    <n v="1.5392669999999988"/>
    <n v="13.058064"/>
    <n v="3.8338209999999999"/>
    <n v="4.7358500000000001"/>
    <n v="3.2904559999999998"/>
    <n v="0"/>
    <n v="1.1979370000000014"/>
    <n v="12.156133000000001"/>
    <n v="1.571807"/>
    <n v="1.2312620000000001"/>
    <n v="0.73746100000000003"/>
    <n v="0"/>
    <n v="8.6156030000000001"/>
    <n v="4847.6676666666672"/>
    <n v="836.19066666666674"/>
    <n v="966.0723333333334"/>
    <n v="655.14166666666665"/>
    <n v="0"/>
    <n v="2390.2630000000004"/>
    <n v="409.7"/>
    <n v="74.147999999999996"/>
    <n v="105.018"/>
    <n v="72.58"/>
    <n v="0"/>
    <n v="1233.0999999999999"/>
    <n v="222.45400000000001"/>
    <n v="297.80200000000002"/>
    <n v="223.70099999999999"/>
    <n v="0"/>
    <n v="3.0097632413961435"/>
    <n v="3.0001348654043269"/>
    <n v="2.8357233997981299"/>
    <n v="3.0821300633783411"/>
    <n v="0"/>
    <m/>
  </r>
  <r>
    <x v="107"/>
    <x v="1"/>
    <n v="18.122706999999998"/>
    <n v="5.3834099999999996"/>
    <n v="6.5933580000000003"/>
    <n v="4.4054530000000005"/>
    <n v="0"/>
    <n v="1.7404859999999971"/>
    <n v="14.603908000000001"/>
    <n v="4.3053819999999998"/>
    <n v="5.3749330000000004"/>
    <n v="3.5928520000000002"/>
    <n v="0"/>
    <n v="1.3307409999999997"/>
    <n v="13.559049999999999"/>
    <n v="1.791107"/>
    <n v="1.450399"/>
    <n v="0.82677699999999998"/>
    <n v="0"/>
    <n v="9.4907669999999982"/>
    <n v="4847.6676666666672"/>
    <n v="836.19066666666674"/>
    <n v="966.0723333333334"/>
    <n v="655.14166666666665"/>
    <n v="0"/>
    <n v="2390.2630000000004"/>
    <n v="436.5"/>
    <n v="81.328000000000003"/>
    <n v="114.92"/>
    <n v="75.224999999999994"/>
    <n v="0"/>
    <n v="1318.8"/>
    <n v="239.62200000000001"/>
    <n v="335.56799999999998"/>
    <n v="234.61600000000001"/>
    <n v="0"/>
    <n v="3.0213058419243985"/>
    <n v="2.9463653354318318"/>
    <n v="2.9200139227288546"/>
    <n v="3.1188567630442012"/>
    <n v="0"/>
    <m/>
  </r>
  <r>
    <x v="108"/>
    <x v="1"/>
    <n v="22.571224000000001"/>
    <n v="5.4810249999999998"/>
    <n v="6.6685169999999996"/>
    <n v="8.69712"/>
    <n v="0"/>
    <n v="1.7245619999999988"/>
    <n v="17.463706999999999"/>
    <n v="4.3170270000000004"/>
    <n v="5.1891230000000004"/>
    <n v="6.6215440000000001"/>
    <n v="0"/>
    <n v="1.3360129999999977"/>
    <n v="13.206801"/>
    <n v="1.772562"/>
    <n v="1.408755"/>
    <n v="1.901259"/>
    <n v="0"/>
    <n v="8.1242250000000009"/>
    <n v="4715.5650000000005"/>
    <n v="847.44066666666674"/>
    <n v="965.9"/>
    <n v="1217.8113333333333"/>
    <n v="0"/>
    <n v="1684.4130000000005"/>
    <n v="444.2"/>
    <n v="82.358999999999995"/>
    <n v="115.884"/>
    <n v="141.08500000000001"/>
    <n v="0"/>
    <n v="1371.9"/>
    <n v="248.73500000000001"/>
    <n v="368.35"/>
    <n v="434.43200000000002"/>
    <n v="0"/>
    <n v="3.0884736605132828"/>
    <n v="3.0201313760487625"/>
    <n v="3.1786096441268858"/>
    <n v="3.0792217457561044"/>
    <n v="0"/>
    <m/>
  </r>
  <r>
    <x v="109"/>
    <x v="1"/>
    <n v="21.252616"/>
    <n v="5.1310799999999999"/>
    <n v="6.1871090000000004"/>
    <n v="8.2275930000000006"/>
    <n v="0"/>
    <n v="1.7068339999999971"/>
    <n v="15.279888"/>
    <n v="3.7073290000000001"/>
    <n v="4.4916489999999998"/>
    <n v="5.7450900000000003"/>
    <n v="0"/>
    <n v="1.3358199999999982"/>
    <n v="11.732944"/>
    <n v="1.547404"/>
    <n v="1.2745070000000001"/>
    <n v="1.6763030000000001"/>
    <n v="0"/>
    <n v="7.2347299999999999"/>
    <n v="4715.5650000000005"/>
    <n v="847.44066666666674"/>
    <n v="965.9"/>
    <n v="1217.8113333333333"/>
    <n v="0"/>
    <n v="1684.4130000000005"/>
    <n v="419.6"/>
    <n v="76.599999999999994"/>
    <n v="108.291"/>
    <n v="131.512"/>
    <n v="0"/>
    <n v="1323"/>
    <n v="232.506"/>
    <n v="351.66899999999998"/>
    <n v="414.87099999999998"/>
    <n v="0"/>
    <n v="3.1530028598665396"/>
    <n v="3.0353263707571805"/>
    <n v="3.2474443859600521"/>
    <n v="3.1546246730336396"/>
    <n v="0"/>
    <m/>
  </r>
  <r>
    <x v="110"/>
    <x v="1"/>
    <n v="23.652363000000001"/>
    <n v="5.4550150000000004"/>
    <n v="7.1471689999999999"/>
    <n v="9.1287380000000002"/>
    <n v="0"/>
    <n v="1.9214410000000015"/>
    <n v="18.921938999999998"/>
    <n v="4.3425450000000003"/>
    <n v="5.8067419999999998"/>
    <n v="7.2128860000000001"/>
    <n v="0"/>
    <n v="1.5597659999999962"/>
    <n v="14.387677"/>
    <n v="1.805382"/>
    <n v="1.681341"/>
    <n v="2.1193209999999998"/>
    <n v="0"/>
    <n v="8.7816329999999994"/>
    <n v="4715.5650000000005"/>
    <n v="847.44066666666674"/>
    <n v="965.9"/>
    <n v="1217.8113333333333"/>
    <n v="0"/>
    <n v="1684.4130000000005"/>
    <n v="473.6"/>
    <n v="82.379000000000005"/>
    <n v="125.447"/>
    <n v="147.11000000000001"/>
    <n v="0"/>
    <n v="1563"/>
    <n v="266.53699999999998"/>
    <n v="418.024"/>
    <n v="490.28100000000001"/>
    <n v="0"/>
    <n v="3.3002533783783781"/>
    <n v="3.2354969106204248"/>
    <n v="3.3322757818042681"/>
    <n v="3.3327510026510772"/>
    <n v="0"/>
    <m/>
  </r>
  <r>
    <x v="111"/>
    <x v="1"/>
    <n v="22.904824000000001"/>
    <n v="5.22715"/>
    <n v="7.0876640000000002"/>
    <n v="8.7972180000000009"/>
    <n v="0"/>
    <n v="1.7927920000000022"/>
    <n v="18.390018000000001"/>
    <n v="4.2540800000000001"/>
    <n v="5.609877"/>
    <n v="7.0992810000000004"/>
    <n v="0"/>
    <n v="1.4267800000000008"/>
    <n v="13.995377"/>
    <n v="1.7206129999999999"/>
    <n v="1.5189079999999999"/>
    <n v="2.034449"/>
    <n v="0"/>
    <n v="8.7214069999999992"/>
    <n v="5229.6559999999999"/>
    <n v="883.7786666666666"/>
    <n v="1140.0096666666666"/>
    <n v="1399.3413333333331"/>
    <n v="13.424333333333335"/>
    <n v="1793.1020000000003"/>
    <n v="456.5"/>
    <n v="79.197999999999993"/>
    <n v="124.11"/>
    <n v="142.101"/>
    <n v="0.75"/>
    <n v="1522.3"/>
    <n v="257.05399999999997"/>
    <n v="425.09199999999998"/>
    <n v="476.41800000000001"/>
    <n v="2.5950000000000002"/>
    <n v="3.3347207009857613"/>
    <n v="3.2457132755877671"/>
    <n v="3.4251228748690679"/>
    <n v="3.3526716912618491"/>
    <n v="3.4600000000000004"/>
    <m/>
  </r>
  <r>
    <x v="112"/>
    <x v="1"/>
    <n v="24.119029000000001"/>
    <n v="5.4620929999999994"/>
    <n v="7.5974620000000002"/>
    <n v="9.3946439999999996"/>
    <n v="0"/>
    <n v="1.664830000000002"/>
    <n v="19.724898"/>
    <n v="4.4567779999999999"/>
    <n v="6.2776059999999996"/>
    <n v="7.6823880000000004"/>
    <n v="0"/>
    <n v="1.3081260000000015"/>
    <n v="14.291285"/>
    <n v="1.752991"/>
    <n v="1.637348"/>
    <n v="2.0878749999999999"/>
    <n v="0"/>
    <n v="8.8130710000000008"/>
    <n v="5229.6559999999999"/>
    <n v="883.7786666666666"/>
    <n v="1140.0096666666666"/>
    <n v="1399.3413333333331"/>
    <n v="13.424333333333335"/>
    <n v="1793.1020000000003"/>
    <n v="487.3"/>
    <n v="82.975999999999999"/>
    <n v="133.39099999999999"/>
    <n v="152.55699999999999"/>
    <n v="0.69499999999999995"/>
    <n v="1577"/>
    <n v="255.29400000000001"/>
    <n v="453.43599999999998"/>
    <n v="493.096"/>
    <n v="2.4649999999999999"/>
    <n v="3.2361994664477733"/>
    <n v="3.076720979560355"/>
    <n v="3.3992998028352739"/>
    <n v="3.232208289360698"/>
    <n v="3.5467625899280577"/>
    <m/>
  </r>
  <r>
    <x v="113"/>
    <x v="1"/>
    <n v="24.696576"/>
    <n v="5.4997359999999995"/>
    <n v="8.1976449999999996"/>
    <n v="9.2631049999999995"/>
    <n v="0"/>
    <n v="1.7360900000000008"/>
    <n v="21.433364000000001"/>
    <n v="4.7191479999999997"/>
    <n v="7.2718870000000004"/>
    <n v="8.0261399999999998"/>
    <n v="0"/>
    <n v="1.4161889999999993"/>
    <n v="15.582335"/>
    <n v="1.8773"/>
    <n v="1.9393339999999999"/>
    <n v="2.25779"/>
    <n v="0"/>
    <n v="9.507911"/>
    <n v="5229.6559999999999"/>
    <n v="883.7786666666666"/>
    <n v="1140.0096666666666"/>
    <n v="1399.3413333333331"/>
    <n v="13.424333333333335"/>
    <n v="1793.1020000000003"/>
    <n v="498.2"/>
    <n v="84.325999999999993"/>
    <n v="143.16399999999999"/>
    <n v="150.74600000000001"/>
    <n v="0.93300000000000005"/>
    <n v="1525"/>
    <n v="240.637"/>
    <n v="485.05900000000003"/>
    <n v="450.84699999999998"/>
    <n v="2.8730000000000002"/>
    <n v="3.0610196708149338"/>
    <n v="2.8536513056471318"/>
    <n v="3.3881352854069462"/>
    <n v="2.9907725578124791"/>
    <n v="3.079314040728832"/>
    <m/>
  </r>
  <r>
    <x v="114"/>
    <x v="1"/>
    <n v="26.186935999999999"/>
    <n v="5.9248410000000007"/>
    <n v="8.6048379999999991"/>
    <n v="9.7366159999999997"/>
    <n v="0"/>
    <n v="1.9206409999999998"/>
    <n v="22.665103999999999"/>
    <n v="5.134163"/>
    <n v="7.5740819999999998"/>
    <n v="8.3699659999999998"/>
    <n v="0"/>
    <n v="1.5868929999999999"/>
    <n v="16.96959"/>
    <n v="2.1183540000000001"/>
    <n v="2.0648430000000002"/>
    <n v="2.4396529999999998"/>
    <n v="0"/>
    <n v="10.34674"/>
    <n v="5461.8090000000002"/>
    <n v="951.60199999999998"/>
    <n v="1287.9666666666667"/>
    <n v="1448.3516666666667"/>
    <n v="14.091333333333333"/>
    <n v="1759.7973333333334"/>
    <n v="523.5"/>
    <n v="90.465000000000003"/>
    <n v="151.328"/>
    <n v="158.303"/>
    <n v="0.93300000000000005"/>
    <n v="1531"/>
    <n v="251.69399999999999"/>
    <n v="482.447"/>
    <n v="447.88600000000002"/>
    <n v="2.9380000000000002"/>
    <n v="2.9245463228271249"/>
    <n v="2.7822251699552312"/>
    <n v="3.1880881264537955"/>
    <n v="2.8292957177059188"/>
    <n v="3.1489817792068595"/>
    <m/>
  </r>
  <r>
    <x v="115"/>
    <x v="1"/>
    <n v="25.584492999999998"/>
    <n v="5.7132009999999998"/>
    <n v="8.5155349999999999"/>
    <n v="9.4719189999999998"/>
    <n v="0"/>
    <n v="1.8838380000000008"/>
    <n v="22.176124999999999"/>
    <n v="4.8884100000000004"/>
    <n v="7.5721930000000004"/>
    <n v="8.1527840000000005"/>
    <n v="0"/>
    <n v="1.562737999999996"/>
    <n v="16.616643"/>
    <n v="1.9628479999999999"/>
    <n v="2.014284"/>
    <n v="2.276932"/>
    <n v="0"/>
    <n v="10.362579"/>
    <n v="5461.8090000000002"/>
    <n v="951.60199999999998"/>
    <n v="1287.9666666666667"/>
    <n v="1448.3516666666667"/>
    <n v="14.091333333333333"/>
    <n v="1759.7973333333334"/>
    <n v="516.20000000000005"/>
    <n v="87.927000000000007"/>
    <n v="149.17099999999999"/>
    <n v="155.114"/>
    <n v="0.98899999999999999"/>
    <n v="1574.1"/>
    <n v="259.46899999999999"/>
    <n v="471.28699999999998"/>
    <n v="472.22500000000002"/>
    <n v="3.3519999999999999"/>
    <n v="3.0493994575745829"/>
    <n v="2.9509593185255949"/>
    <n v="3.159374141086404"/>
    <n v="3.0443738153873925"/>
    <n v="3.3892821031344793"/>
    <m/>
  </r>
  <r>
    <x v="116"/>
    <x v="1"/>
    <n v="22.782115000000001"/>
    <n v="5.295312"/>
    <n v="7.3074339999999998"/>
    <n v="8.5826969999999996"/>
    <n v="0"/>
    <n v="1.5966720000000016"/>
    <n v="19.140235000000001"/>
    <n v="4.3825979999999998"/>
    <n v="6.4121360000000003"/>
    <n v="7.1369809999999996"/>
    <n v="0"/>
    <n v="1.20852"/>
    <n v="13.791714000000001"/>
    <n v="1.632458"/>
    <n v="1.6310150000000001"/>
    <n v="1.8383590000000001"/>
    <n v="0"/>
    <n v="8.6898820000000008"/>
    <n v="5461.8090000000002"/>
    <n v="951.60199999999998"/>
    <n v="1287.9666666666667"/>
    <n v="1448.3516666666667"/>
    <n v="14.091333333333333"/>
    <n v="1759.7973333333334"/>
    <n v="462.3"/>
    <n v="81.787999999999997"/>
    <n v="127.337"/>
    <n v="141.685"/>
    <n v="0.78100000000000003"/>
    <n v="1450.2"/>
    <n v="255.90600000000001"/>
    <n v="377.20499999999998"/>
    <n v="462.26900000000001"/>
    <n v="2.7930000000000001"/>
    <n v="3.136924075275795"/>
    <n v="3.1288942143101681"/>
    <n v="2.9622576313247522"/>
    <n v="3.262653068426439"/>
    <n v="3.5761843790012806"/>
    <m/>
  </r>
  <r>
    <x v="117"/>
    <x v="1"/>
    <n v="22.249113999999999"/>
    <n v="5.3664550000000002"/>
    <n v="6.9563810000000004"/>
    <n v="8.3378610000000002"/>
    <n v="0"/>
    <n v="1.5884169999999997"/>
    <n v="18.204625"/>
    <n v="4.3272069999999996"/>
    <n v="5.9119140000000003"/>
    <n v="6.7207489999999996"/>
    <n v="0"/>
    <n v="1.2447549999999978"/>
    <n v="13.397785000000001"/>
    <n v="1.638952"/>
    <n v="1.510788"/>
    <n v="1.7492239999999999"/>
    <n v="0"/>
    <n v="8.4988210000000013"/>
    <n v="4684.6493333333337"/>
    <n v="840.03533333333337"/>
    <n v="963.34266666666679"/>
    <n v="1213.7593333333332"/>
    <n v="13.303666666666667"/>
    <n v="1654.2083333333339"/>
    <n v="459.3"/>
    <n v="83.387"/>
    <n v="124.459"/>
    <n v="138.578"/>
    <n v="0.874"/>
    <n v="1490.3"/>
    <n v="262.077"/>
    <n v="417.65"/>
    <n v="451.46199999999999"/>
    <n v="3.0840000000000001"/>
    <n v="3.244720226431526"/>
    <n v="3.1428999724177631"/>
    <n v="3.3557235716179621"/>
    <n v="3.2578187013811712"/>
    <n v="3.528604118993135"/>
    <m/>
  </r>
  <r>
    <x v="118"/>
    <x v="1"/>
    <n v="20.541215999999999"/>
    <n v="5.1188029999999998"/>
    <n v="6.0120259999999996"/>
    <n v="7.6410919999999996"/>
    <n v="0"/>
    <n v="1.7692949999999996"/>
    <n v="16.396142000000001"/>
    <n v="4.0138449999999999"/>
    <n v="4.9336089999999997"/>
    <n v="6.0882040000000002"/>
    <n v="0"/>
    <n v="1.3604839999999996"/>
    <n v="12.763847"/>
    <n v="1.6633849999999999"/>
    <n v="1.315337"/>
    <n v="1.676868"/>
    <n v="0"/>
    <n v="8.108257"/>
    <n v="4684.6493333333337"/>
    <n v="840.03533333333337"/>
    <n v="963.34266666666679"/>
    <n v="1213.7593333333332"/>
    <n v="13.303666666666667"/>
    <n v="1654.2083333333339"/>
    <n v="433.7"/>
    <n v="89.256"/>
    <n v="107.73399999999999"/>
    <n v="125.477"/>
    <n v="0.82499999999999996"/>
    <n v="1319.5"/>
    <n v="241.55"/>
    <n v="339.39800000000002"/>
    <n v="397.16"/>
    <n v="2.7"/>
    <n v="3.0424256398432097"/>
    <n v="2.706260643542171"/>
    <n v="3.1503332281359651"/>
    <n v="3.1652015907297755"/>
    <n v="3.2727272727272729"/>
    <m/>
  </r>
  <r>
    <x v="119"/>
    <x v="1"/>
    <n v="22.176818000000001"/>
    <n v="5.5662030000000007"/>
    <n v="6.4628459999999999"/>
    <n v="8.1488320000000005"/>
    <n v="0"/>
    <n v="1.9989370000000015"/>
    <n v="18.079613999999999"/>
    <n v="4.4039010000000003"/>
    <n v="5.4803430000000004"/>
    <n v="6.6943250000000001"/>
    <n v="0"/>
    <n v="1.5010449999999977"/>
    <n v="14.097885"/>
    <n v="1.8289839999999999"/>
    <n v="1.5227809999999999"/>
    <n v="1.9021269999999999"/>
    <n v="0"/>
    <n v="8.8439930000000011"/>
    <n v="4684.6493333333337"/>
    <n v="840.03533333333337"/>
    <n v="963.34266666666679"/>
    <n v="1213.7593333333332"/>
    <n v="13.303666666666667"/>
    <n v="1654.2083333333339"/>
    <n v="446.9"/>
    <n v="85.263999999999996"/>
    <n v="116.34099999999999"/>
    <n v="132.905"/>
    <n v="1.1719999999999999"/>
    <n v="1383.6"/>
    <n v="255.059"/>
    <n v="374.28199999999998"/>
    <n v="412.39600000000002"/>
    <n v="3.8540000000000001"/>
    <n v="3.0959946296710674"/>
    <n v="2.9914031713267031"/>
    <n v="3.2171117662732827"/>
    <n v="3.1029381889319438"/>
    <n v="3.2883959044368605"/>
    <m/>
  </r>
  <r>
    <x v="120"/>
    <x v="1"/>
    <n v="22.388133"/>
    <n v="5.4709040000000009"/>
    <n v="6.4178410000000001"/>
    <n v="8.4889519999999994"/>
    <n v="0"/>
    <n v="2.0104360000000021"/>
    <n v="17.74015"/>
    <n v="4.3312889999999999"/>
    <n v="5.1993210000000003"/>
    <n v="6.6724129999999997"/>
    <n v="0"/>
    <n v="1.5371270000000017"/>
    <n v="13.768819000000001"/>
    <n v="1.7817799999999999"/>
    <n v="1.4360029999999999"/>
    <n v="1.890855"/>
    <n v="0"/>
    <n v="8.6601810000000015"/>
    <n v="4696.9090000000006"/>
    <n v="862.81966666666676"/>
    <n v="946.40066666666678"/>
    <n v="1233.6043333333334"/>
    <n v="16.756333333333334"/>
    <n v="1637.328"/>
    <n v="450.1"/>
    <n v="83.055999999999997"/>
    <n v="115.532"/>
    <n v="136.846"/>
    <n v="1.246"/>
    <n v="1394"/>
    <n v="253.46100000000001"/>
    <n v="368.428"/>
    <n v="428.339"/>
    <n v="4.2359999999999998"/>
    <n v="3.0970895356587422"/>
    <n v="3.0516880177229821"/>
    <n v="3.1889692898937092"/>
    <n v="3.1300805284772664"/>
    <n v="3.3996789727126804"/>
    <m/>
  </r>
  <r>
    <x v="121"/>
    <x v="1"/>
    <n v="20.178160999999999"/>
    <n v="4.9272460000000002"/>
    <n v="5.9207179999999999"/>
    <n v="7.4779260000000001"/>
    <n v="0"/>
    <n v="1.8522709999999982"/>
    <n v="15.228350000000001"/>
    <n v="3.678439"/>
    <n v="4.5505769999999997"/>
    <n v="5.5487979999999997"/>
    <n v="0"/>
    <n v="1.4505360000000014"/>
    <n v="12.037584000000001"/>
    <n v="1.537307"/>
    <n v="1.297777"/>
    <n v="1.604832"/>
    <n v="0"/>
    <n v="7.5976680000000005"/>
    <n v="4696.9090000000006"/>
    <n v="862.81966666666676"/>
    <n v="946.40066666666678"/>
    <n v="1233.6043333333334"/>
    <n v="16.756333333333334"/>
    <n v="1637.328"/>
    <n v="403.6"/>
    <n v="75.221000000000004"/>
    <n v="106.355"/>
    <n v="119.932"/>
    <n v="1.339"/>
    <n v="1298.5"/>
    <n v="241.96100000000001"/>
    <n v="340.47199999999998"/>
    <n v="389.84300000000002"/>
    <n v="4.766"/>
    <n v="3.2172943508424181"/>
    <n v="3.2166682176519856"/>
    <n v="3.2012787363076485"/>
    <n v="3.2505336357269119"/>
    <n v="3.5593726661687826"/>
    <m/>
  </r>
  <r>
    <x v="122"/>
    <x v="1"/>
    <n v="23.345963999999999"/>
    <n v="5.6246200000000002"/>
    <n v="6.8937110000000006"/>
    <n v="8.6557279999999999"/>
    <n v="0"/>
    <n v="2.1719049999999989"/>
    <n v="19.289781000000001"/>
    <n v="4.5260420000000003"/>
    <n v="5.8397410000000001"/>
    <n v="7.1792559999999996"/>
    <n v="0"/>
    <n v="1.7447420000000022"/>
    <n v="15.188333"/>
    <n v="1.872393"/>
    <n v="1.715641"/>
    <n v="2.127732"/>
    <n v="0"/>
    <n v="9.4725669999999997"/>
    <n v="4696.9090000000006"/>
    <n v="862.81966666666676"/>
    <n v="946.40066666666678"/>
    <n v="1233.6043333333334"/>
    <n v="16.756333333333334"/>
    <n v="1637.328"/>
    <n v="469.1"/>
    <n v="86.435000000000002"/>
    <n v="122.684"/>
    <n v="140.46"/>
    <n v="1.58"/>
    <n v="1505.3"/>
    <n v="268.37700000000001"/>
    <n v="401.738"/>
    <n v="456.73500000000001"/>
    <n v="5.3849999999999998"/>
    <n v="3.2089106800255807"/>
    <n v="3.1049574825013018"/>
    <n v="3.2745753317466009"/>
    <n v="3.2517086715079024"/>
    <n v="3.4082278481012653"/>
    <m/>
  </r>
  <r>
    <x v="123"/>
    <x v="1"/>
    <n v="23.231887"/>
    <n v="5.401491"/>
    <n v="7.044473"/>
    <n v="8.7335210000000014"/>
    <n v="0"/>
    <n v="2.0524020000000007"/>
    <n v="18.320724999999999"/>
    <n v="4.2285640000000004"/>
    <n v="5.640924"/>
    <n v="6.8811710000000001"/>
    <n v="0"/>
    <n v="1.5700660000000006"/>
    <n v="14.301619000000001"/>
    <n v="1.686536"/>
    <n v="1.5249459999999999"/>
    <n v="1.978337"/>
    <n v="0"/>
    <n v="9.1118000000000006"/>
    <n v="5200.1366666666663"/>
    <n v="912.99099999999999"/>
    <n v="1121.6126666666667"/>
    <n v="1412.7003333333334"/>
    <n v="18.964000000000002"/>
    <n v="1733.8686666666663"/>
    <n v="466"/>
    <n v="83.043000000000006"/>
    <n v="124.455"/>
    <n v="140.68199999999999"/>
    <n v="1.3049999999999999"/>
    <n v="1416.4"/>
    <n v="249.05"/>
    <n v="390.24599999999998"/>
    <n v="423.87700000000001"/>
    <n v="4.2240000000000002"/>
    <n v="3.0394849785407727"/>
    <n v="2.9990486856207026"/>
    <n v="3.1356393877305049"/>
    <n v="3.0130151689626254"/>
    <n v="3.2367816091954027"/>
    <m/>
  </r>
  <r>
    <x v="124"/>
    <x v="1"/>
    <n v="24.471397"/>
    <n v="5.6971999999999996"/>
    <n v="7.5938370000000006"/>
    <n v="9.2655460000000005"/>
    <n v="0"/>
    <n v="1.9148139999999998"/>
    <n v="20.322475000000001"/>
    <n v="4.6834660000000001"/>
    <n v="6.4700360000000003"/>
    <n v="7.6741669999999997"/>
    <n v="0"/>
    <n v="1.4948060000000005"/>
    <n v="15.353664999999999"/>
    <n v="1.7963439999999999"/>
    <n v="1.715015"/>
    <n v="2.0916610000000002"/>
    <n v="0"/>
    <n v="9.7506449999999987"/>
    <n v="5200.1366666666663"/>
    <n v="912.99099999999999"/>
    <n v="1121.6126666666667"/>
    <n v="1412.7003333333334"/>
    <n v="18.964000000000002"/>
    <n v="1733.8686666666663"/>
    <n v="493.1"/>
    <n v="88.254999999999995"/>
    <n v="133.65600000000001"/>
    <n v="149.208"/>
    <n v="1.3260000000000001"/>
    <n v="1416.3"/>
    <n v="247.37799999999999"/>
    <n v="395.36599999999999"/>
    <n v="427.49599999999998"/>
    <n v="4.1349999999999998"/>
    <n v="2.8722368687892921"/>
    <n v="2.8029913319358677"/>
    <n v="2.9580864308373731"/>
    <n v="2.8651010669669184"/>
    <n v="3.1184012066365003"/>
    <m/>
  </r>
  <r>
    <x v="125"/>
    <x v="1"/>
    <n v="25.530301999999999"/>
    <n v="5.846368"/>
    <n v="8.3810099999999998"/>
    <n v="9.3137129999999999"/>
    <n v="0"/>
    <n v="1.9892109999999974"/>
    <n v="22.231164"/>
    <n v="4.982259"/>
    <n v="7.4822360000000003"/>
    <n v="8.1679530000000007"/>
    <n v="0"/>
    <n v="1.5987159999999996"/>
    <n v="16.403199000000001"/>
    <n v="1.9534800000000001"/>
    <n v="2.0295619999999999"/>
    <n v="2.296608"/>
    <n v="0"/>
    <n v="10.123549000000001"/>
    <n v="5200.1366666666663"/>
    <n v="912.99099999999999"/>
    <n v="1121.6126666666667"/>
    <n v="1412.7003333333334"/>
    <n v="18.964000000000002"/>
    <n v="1733.8686666666663"/>
    <n v="508.8"/>
    <n v="91.228999999999999"/>
    <n v="145.541"/>
    <n v="150.041"/>
    <n v="1.466"/>
    <n v="1469.6"/>
    <n v="252.095"/>
    <n v="442.92200000000003"/>
    <n v="427.43900000000002"/>
    <n v="4.6050000000000004"/>
    <n v="2.8883647798742138"/>
    <n v="2.7633208738449397"/>
    <n v="3.0432799005091353"/>
    <n v="2.8488146573269977"/>
    <n v="3.1412005457025924"/>
    <m/>
  </r>
  <r>
    <x v="126"/>
    <x v="1"/>
    <n v="27.090187"/>
    <n v="6.2639719999999999"/>
    <n v="8.9352800000000006"/>
    <n v="9.6848860000000005"/>
    <n v="0"/>
    <n v="2.2060490000000001"/>
    <n v="23.608833000000001"/>
    <n v="5.4050240000000001"/>
    <n v="7.9154970000000002"/>
    <n v="8.4595559999999992"/>
    <n v="0"/>
    <n v="1.828756000000002"/>
    <n v="17.748868999999999"/>
    <n v="2.168377"/>
    <n v="2.2089479999999999"/>
    <n v="2.4539300000000002"/>
    <n v="0"/>
    <n v="10.917613999999999"/>
    <n v="5593.6349999999993"/>
    <n v="1027.2819999999999"/>
    <n v="1313.3896666666667"/>
    <n v="1479.0753333333334"/>
    <n v="18.795999999999999"/>
    <n v="1755.0919999999992"/>
    <n v="539.29999999999995"/>
    <n v="97.430999999999997"/>
    <n v="156.71100000000001"/>
    <n v="156.077"/>
    <n v="1.496"/>
    <n v="1565"/>
    <n v="274.46800000000002"/>
    <n v="459.84399999999999"/>
    <n v="457.166"/>
    <n v="4.8049999999999997"/>
    <n v="2.9019098831819026"/>
    <n v="2.8170500148823274"/>
    <n v="2.9343441111345085"/>
    <n v="2.929105505615818"/>
    <n v="3.2118983957219251"/>
    <m/>
  </r>
  <r>
    <x v="127"/>
    <x v="1"/>
    <n v="26.739162"/>
    <n v="6.1501989999999997"/>
    <n v="8.8761770000000002"/>
    <n v="9.5789279999999994"/>
    <n v="0"/>
    <n v="2.1338580000000036"/>
    <n v="23.375399000000002"/>
    <n v="5.2150679999999996"/>
    <n v="8.0133159999999997"/>
    <n v="8.3722580000000004"/>
    <n v="0"/>
    <n v="1.774757000000001"/>
    <n v="17.666442"/>
    <n v="2.0689839999999999"/>
    <n v="2.2025579999999998"/>
    <n v="2.332039"/>
    <n v="0"/>
    <n v="11.062861"/>
    <n v="5593.6349999999993"/>
    <n v="1027.2819999999999"/>
    <n v="1313.3896666666667"/>
    <n v="1479.0753333333334"/>
    <n v="18.795999999999999"/>
    <n v="1755.0919999999992"/>
    <n v="545.5"/>
    <n v="108.78400000000001"/>
    <n v="154.20699999999999"/>
    <n v="154.77099999999999"/>
    <n v="1.3360000000000001"/>
    <n v="1576.5"/>
    <n v="277.27300000000002"/>
    <n v="453.60700000000003"/>
    <n v="464.541"/>
    <n v="4.391"/>
    <n v="2.8900091659028413"/>
    <n v="2.5488399029269009"/>
    <n v="2.9415461036139736"/>
    <n v="3.0014731441936799"/>
    <n v="3.2866766467065864"/>
    <m/>
  </r>
  <r>
    <x v="128"/>
    <x v="1"/>
    <n v="23.503679999999999"/>
    <n v="5.4382700000000002"/>
    <n v="7.5850469999999994"/>
    <n v="8.7536330000000007"/>
    <n v="0"/>
    <n v="1.7267299999999999"/>
    <n v="19.637566"/>
    <n v="4.4729239999999999"/>
    <n v="6.6255090000000001"/>
    <n v="7.2358770000000003"/>
    <n v="0"/>
    <n v="1.3032559999999975"/>
    <n v="14.368204"/>
    <n v="1.634307"/>
    <n v="1.7501880000000001"/>
    <n v="1.870468"/>
    <n v="0"/>
    <n v="9.1132410000000004"/>
    <n v="5593.6349999999993"/>
    <n v="1027.2819999999999"/>
    <n v="1313.3896666666667"/>
    <n v="1479.0753333333334"/>
    <n v="18.795999999999999"/>
    <n v="1755.0919999999992"/>
    <n v="471.9"/>
    <n v="84.914000000000001"/>
    <n v="132.733"/>
    <n v="141.648"/>
    <n v="0.91400000000000003"/>
    <n v="1410.3"/>
    <n v="239.84299999999999"/>
    <n v="389.67"/>
    <n v="437.803"/>
    <n v="3.036"/>
    <n v="2.9885568976478067"/>
    <n v="2.8245401229479237"/>
    <n v="2.9357431836845396"/>
    <n v="3.0907813735456906"/>
    <n v="3.3216630196936543"/>
    <m/>
  </r>
  <r>
    <x v="129"/>
    <x v="1"/>
    <n v="23.389925000000002"/>
    <n v="5.5695139999999999"/>
    <n v="7.3174510000000001"/>
    <n v="8.7146309999999989"/>
    <n v="0"/>
    <n v="1.7883290000000009"/>
    <n v="19.012799999999999"/>
    <n v="4.5376479999999999"/>
    <n v="6.1597400000000002"/>
    <n v="6.9350769999999997"/>
    <n v="0"/>
    <n v="1.3803349999999988"/>
    <n v="14.341721"/>
    <n v="1.687648"/>
    <n v="1.619129"/>
    <n v="1.827429"/>
    <n v="0"/>
    <n v="9.207514999999999"/>
    <n v="4876.0150000000003"/>
    <n v="948.37266666666653"/>
    <n v="984.375"/>
    <n v="1270.3403333333333"/>
    <n v="16.088666666666665"/>
    <n v="1656.838333333334"/>
    <n v="486.2"/>
    <n v="99.438999999999993"/>
    <n v="129.40899999999999"/>
    <n v="141.27600000000001"/>
    <n v="0.90400000000000003"/>
    <n v="1410.8"/>
    <n v="252.608"/>
    <n v="386.30399999999997"/>
    <n v="427.428"/>
    <n v="2.8919999999999999"/>
    <n v="2.9016865487453725"/>
    <n v="2.5403312583593962"/>
    <n v="2.985140137084747"/>
    <n v="3.0254820351652083"/>
    <n v="3.1991150442477876"/>
    <m/>
  </r>
  <r>
    <x v="130"/>
    <x v="1"/>
    <n v="21.443909000000001"/>
    <n v="5.3390490000000002"/>
    <n v="6.3137229999999995"/>
    <n v="7.9084329999999996"/>
    <n v="0"/>
    <n v="1.8827040000000039"/>
    <n v="16.695636"/>
    <n v="4.082535"/>
    <n v="5.0746310000000001"/>
    <n v="6.0860640000000004"/>
    <n v="0"/>
    <n v="1.4524059999999999"/>
    <n v="13.260465999999999"/>
    <n v="1.63063"/>
    <n v="1.4069590000000001"/>
    <n v="1.7188220000000001"/>
    <n v="0"/>
    <n v="8.5040549999999993"/>
    <n v="4876.0150000000003"/>
    <n v="948.37266666666653"/>
    <n v="984.375"/>
    <n v="1270.3403333333333"/>
    <n v="16.088666666666665"/>
    <n v="1656.838333333334"/>
    <n v="450.9"/>
    <n v="94.197999999999993"/>
    <n v="113.021"/>
    <n v="129.24199999999999"/>
    <n v="1.006"/>
    <n v="1309.5999999999999"/>
    <n v="237.215"/>
    <n v="346.94299999999998"/>
    <n v="387.53199999999998"/>
    <n v="3.1659999999999999"/>
    <n v="2.9044133954313596"/>
    <n v="2.5182594110278353"/>
    <n v="3.0697215561709768"/>
    <n v="2.9984989399730737"/>
    <n v="3.1471172962226639"/>
    <m/>
  </r>
  <r>
    <x v="131"/>
    <x v="1"/>
    <n v="22.964821000000001"/>
    <n v="5.8598810000000006"/>
    <n v="6.7738839999999998"/>
    <n v="8.1742629999999998"/>
    <n v="0"/>
    <n v="2.1567930000000004"/>
    <n v="19.104336"/>
    <n v="4.8145210000000001"/>
    <n v="5.8249060000000004"/>
    <n v="6.7822480000000001"/>
    <n v="0"/>
    <n v="1.6826609999999995"/>
    <n v="15.205588000000001"/>
    <n v="1.9505539999999999"/>
    <n v="1.654873"/>
    <n v="1.971843"/>
    <n v="0"/>
    <n v="9.6283180000000002"/>
    <n v="4876.0150000000003"/>
    <n v="948.37266666666653"/>
    <n v="984.375"/>
    <n v="1270.3403333333333"/>
    <n v="16.088666666666665"/>
    <n v="1656.838333333334"/>
    <n v="464.1"/>
    <n v="90.234999999999999"/>
    <n v="122.85"/>
    <n v="132.982"/>
    <n v="1.3140000000000001"/>
    <n v="1391.5"/>
    <n v="263.02999999999997"/>
    <n v="374.79399999999998"/>
    <n v="401.87400000000002"/>
    <n v="4.3"/>
    <n v="2.9982762335703512"/>
    <n v="2.9149443120740286"/>
    <n v="3.050826210826211"/>
    <n v="3.0220180174760496"/>
    <n v="3.272450532724505"/>
    <m/>
  </r>
  <r>
    <x v="132"/>
    <x v="1"/>
    <n v="23.090789999999998"/>
    <n v="5.8720889999999999"/>
    <n v="6.7341600000000001"/>
    <n v="8.3445610000000006"/>
    <n v="0"/>
    <n v="2.1399799999999978"/>
    <n v="18.498297000000001"/>
    <n v="4.6838170000000003"/>
    <n v="5.5735710000000003"/>
    <n v="6.5752090000000001"/>
    <n v="0"/>
    <n v="1.6657000000000011"/>
    <n v="14.692606"/>
    <n v="1.881402"/>
    <n v="1.6154740000000001"/>
    <n v="1.9060280000000001"/>
    <n v="0"/>
    <n v="9.2897019999999983"/>
    <n v="4710.415"/>
    <n v="919.51400000000001"/>
    <n v="966.62566666666669"/>
    <n v="1230.2323333333334"/>
    <n v="19.858333333333334"/>
    <n v="1574.1846666666665"/>
    <n v="470.3"/>
    <n v="101.277"/>
    <n v="120.739"/>
    <n v="132.88399999999999"/>
    <n v="1.2869999999999999"/>
    <n v="1386.3"/>
    <n v="265.565"/>
    <n v="361.27199999999999"/>
    <n v="408.27699999999999"/>
    <n v="4.2569999999999997"/>
    <n v="2.9476929619391874"/>
    <n v="2.6221649535432525"/>
    <n v="2.9921732000430681"/>
    <n v="3.0724315944733753"/>
    <n v="3.3076923076923075"/>
    <m/>
  </r>
  <r>
    <x v="133"/>
    <x v="1"/>
    <n v="20.732931000000001"/>
    <n v="5.2301169999999999"/>
    <n v="5.9421580000000001"/>
    <n v="7.5678090000000005"/>
    <n v="0"/>
    <n v="1.9928470000000011"/>
    <n v="15.595686000000001"/>
    <n v="3.7826580000000001"/>
    <n v="4.6779789999999997"/>
    <n v="5.5918049999999999"/>
    <n v="0"/>
    <n v="1.5432440000000014"/>
    <n v="12.4826"/>
    <n v="1.5583640000000001"/>
    <n v="1.4039759999999999"/>
    <n v="1.6716150000000001"/>
    <n v="0"/>
    <n v="7.8486449999999994"/>
    <n v="4710.415"/>
    <n v="919.51400000000001"/>
    <n v="966.62566666666669"/>
    <n v="1230.2323333333334"/>
    <n v="19.858333333333334"/>
    <n v="1574.1846666666665"/>
    <n v="406.6"/>
    <n v="79.55"/>
    <n v="106.235"/>
    <n v="120.736"/>
    <n v="1.33"/>
    <n v="1210.2"/>
    <n v="227.13800000000001"/>
    <n v="316.04500000000002"/>
    <n v="365.47300000000001"/>
    <n v="4.4000000000000004"/>
    <n v="2.9763895720609934"/>
    <n v="2.8552859836580771"/>
    <n v="2.9749611709888457"/>
    <n v="3.0270424728332892"/>
    <n v="3.3082706766917296"/>
    <m/>
  </r>
  <r>
    <x v="134"/>
    <x v="1"/>
    <n v="24.543655999999999"/>
    <n v="5.9150600000000004"/>
    <n v="7.2021610000000003"/>
    <n v="9.172409"/>
    <n v="0"/>
    <n v="2.2540259999999961"/>
    <n v="19.496314999999999"/>
    <n v="4.460242"/>
    <n v="6.0397610000000004"/>
    <n v="7.213514"/>
    <n v="0"/>
    <n v="1.7827979999999997"/>
    <n v="15.604456000000001"/>
    <n v="1.8072550000000001"/>
    <n v="1.8230470000000001"/>
    <n v="2.2222979999999999"/>
    <n v="0"/>
    <n v="9.7518560000000001"/>
    <n v="4710.415"/>
    <n v="919.51400000000001"/>
    <n v="966.62566666666669"/>
    <n v="1230.2323333333334"/>
    <n v="19.858333333333334"/>
    <n v="1574.1846666666665"/>
    <n v="486.5"/>
    <n v="90.503"/>
    <n v="128.45400000000001"/>
    <n v="146.29599999999999"/>
    <n v="1.756"/>
    <n v="1481.3"/>
    <n v="286.12200000000001"/>
    <n v="388.15699999999998"/>
    <n v="443.95400000000001"/>
    <n v="5.8029999999999999"/>
    <n v="3.0448098663926002"/>
    <n v="3.1614642608532315"/>
    <n v="3.0217587618914159"/>
    <n v="3.0346284245638979"/>
    <n v="3.3046697038724373"/>
    <m/>
  </r>
  <r>
    <x v="135"/>
    <x v="1"/>
    <n v="23.872343999999998"/>
    <n v="5.6974020000000003"/>
    <n v="7.1766130000000006"/>
    <n v="8.8514289999999995"/>
    <n v="0"/>
    <n v="2.1468999999999987"/>
    <n v="19.137153000000001"/>
    <n v="4.4571670000000001"/>
    <n v="5.9516359999999997"/>
    <n v="7.077305"/>
    <n v="0"/>
    <n v="1.6510450000000034"/>
    <n v="15.471266999999999"/>
    <n v="1.767296"/>
    <n v="1.688545"/>
    <n v="2.0836679999999999"/>
    <n v="0"/>
    <n v="9.9317579999999985"/>
    <n v="5391.7393333333339"/>
    <n v="1000.1163333333334"/>
    <n v="1195.7036666666668"/>
    <n v="1470.5493333333334"/>
    <n v="21.382333333333335"/>
    <n v="1703.9876666666669"/>
    <n v="474.5"/>
    <n v="87.566000000000003"/>
    <n v="125.626"/>
    <n v="139.94900000000001"/>
    <n v="1.474"/>
    <n v="1391.7"/>
    <n v="252.84200000000001"/>
    <n v="363.52100000000002"/>
    <n v="419.62400000000002"/>
    <n v="4.843"/>
    <n v="2.932982086406744"/>
    <n v="2.887444898704977"/>
    <n v="2.8936764682470191"/>
    <n v="2.9984065623905849"/>
    <n v="3.2856173677069198"/>
    <m/>
  </r>
  <r>
    <x v="136"/>
    <x v="1"/>
    <n v="25.509119999999999"/>
    <n v="5.9859059999999999"/>
    <n v="7.8287630000000004"/>
    <n v="9.5524009999999997"/>
    <n v="0"/>
    <n v="2.1420500000000011"/>
    <n v="21.150126"/>
    <n v="4.7927600000000004"/>
    <n v="6.7382970000000002"/>
    <n v="7.9700899999999999"/>
    <n v="0"/>
    <n v="1.6489790000000006"/>
    <n v="16.338377999999999"/>
    <n v="1.8209599999999999"/>
    <n v="1.844025"/>
    <n v="2.2197369999999998"/>
    <n v="0"/>
    <n v="10.453655999999999"/>
    <n v="5391.7393333333339"/>
    <n v="1000.1163333333334"/>
    <n v="1195.7036666666668"/>
    <n v="1470.5493333333334"/>
    <n v="21.382333333333335"/>
    <n v="1703.9876666666669"/>
    <n v="509.5"/>
    <n v="92.605000000000004"/>
    <n v="136.57900000000001"/>
    <n v="152.65"/>
    <n v="1.3839999999999999"/>
    <n v="1494.7"/>
    <n v="263.541"/>
    <n v="399.25299999999999"/>
    <n v="455.74700000000001"/>
    <n v="4.5090000000000003"/>
    <n v="2.9336604514229636"/>
    <n v="2.845861454565088"/>
    <n v="2.923238565225986"/>
    <n v="2.9855682934818213"/>
    <n v="3.2579479768786133"/>
    <m/>
  </r>
  <r>
    <x v="137"/>
    <x v="1"/>
    <n v="26.814537999999999"/>
    <n v="6.1577290000000007"/>
    <n v="8.7881499999999999"/>
    <n v="9.7035820000000008"/>
    <n v="0"/>
    <n v="2.1650769999999966"/>
    <n v="22.774706999999999"/>
    <n v="5.0199780000000001"/>
    <n v="7.6642099999999997"/>
    <n v="8.3789859999999994"/>
    <n v="0"/>
    <n v="1.7115330000000029"/>
    <n v="17.361716999999999"/>
    <n v="1.9185449999999999"/>
    <n v="2.1377549999999998"/>
    <n v="2.4289809999999998"/>
    <n v="0"/>
    <n v="10.876435999999998"/>
    <n v="5391.7393333333339"/>
    <n v="1000.1163333333334"/>
    <n v="1195.7036666666668"/>
    <n v="1470.5493333333334"/>
    <n v="21.382333333333335"/>
    <n v="1703.9876666666669"/>
    <n v="529.6"/>
    <n v="95.614000000000004"/>
    <n v="151.744"/>
    <n v="153.559"/>
    <n v="1.3720000000000001"/>
    <n v="1543.1"/>
    <n v="269.50599999999997"/>
    <n v="437.22300000000001"/>
    <n v="456.54399999999998"/>
    <n v="4.4400000000000004"/>
    <n v="2.9137084592145013"/>
    <n v="2.818687639885372"/>
    <n v="2.8813198544917755"/>
    <n v="2.9730852636445926"/>
    <n v="3.2361516034985423"/>
    <m/>
  </r>
  <r>
    <x v="138"/>
    <x v="1"/>
    <n v="28.276478999999998"/>
    <n v="6.5133400000000004"/>
    <n v="9.2458330000000011"/>
    <n v="10.156395"/>
    <n v="8.3468000000000001E-2"/>
    <n v="2.2774429999999981"/>
    <n v="24.049589000000001"/>
    <n v="5.3689929999999997"/>
    <n v="7.9675269999999996"/>
    <n v="8.7333099999999995"/>
    <n v="6.2864000000000003E-2"/>
    <n v="1.9168950000000002"/>
    <n v="18.784523"/>
    <n v="2.106182"/>
    <n v="2.2731249999999998"/>
    <n v="2.6009199999999999"/>
    <n v="4.7718999999999998E-2"/>
    <n v="11.756577"/>
    <n v="5663.9370000000008"/>
    <n v="1017.119"/>
    <n v="1376.0866666666668"/>
    <n v="1532.1896666666664"/>
    <n v="16.764333333333333"/>
    <n v="1721.7773333333344"/>
    <n v="570.1"/>
    <n v="114.273"/>
    <n v="158.47900000000001"/>
    <n v="160.952"/>
    <n v="1.4530000000000001"/>
    <n v="1617.1"/>
    <n v="281.24900000000002"/>
    <n v="456.03699999999998"/>
    <n v="479.30500000000001"/>
    <n v="4.657"/>
    <n v="2.8365199087879316"/>
    <n v="2.4612025587846649"/>
    <n v="2.8775863048101007"/>
    <n v="2.9779375217456137"/>
    <n v="3.205092911218169"/>
    <m/>
  </r>
  <r>
    <x v="139"/>
    <x v="1"/>
    <n v="27.78464"/>
    <n v="6.2332619999999999"/>
    <n v="9.2831479999999988"/>
    <n v="9.9210799999999999"/>
    <n v="8.8661000000000004E-2"/>
    <n v="2.2584890000000044"/>
    <n v="23.966346999999999"/>
    <n v="5.1539469999999996"/>
    <n v="8.2209959999999995"/>
    <n v="8.6066409999999998"/>
    <n v="6.9745000000000001E-2"/>
    <n v="1.9150179999999999"/>
    <n v="18.784355000000001"/>
    <n v="1.9697709999999999"/>
    <n v="2.3098610000000002"/>
    <n v="2.4459360000000001"/>
    <n v="5.8577999999999998E-2"/>
    <n v="12.000209000000002"/>
    <n v="5663.9370000000008"/>
    <n v="1017.119"/>
    <n v="1376.0866666666668"/>
    <n v="1532.1896666666664"/>
    <n v="16.764333333333333"/>
    <n v="1721.7773333333344"/>
    <n v="559"/>
    <n v="110.123"/>
    <n v="159.52600000000001"/>
    <n v="157.74700000000001"/>
    <n v="0.91500000000000004"/>
    <n v="1587.9"/>
    <n v="275.01799999999997"/>
    <n v="465.59"/>
    <n v="464.245"/>
    <n v="2.9140000000000001"/>
    <n v="2.8406082289803223"/>
    <n v="2.4973711213824537"/>
    <n v="2.9185838045208929"/>
    <n v="2.9429719741104425"/>
    <n v="3.1846994535519126"/>
    <m/>
  </r>
  <r>
    <x v="140"/>
    <x v="1"/>
    <n v="24.433327999999999"/>
    <n v="5.5842130000000001"/>
    <n v="8.1889590000000005"/>
    <n v="8.8236620000000006"/>
    <n v="8.2735000000000003E-2"/>
    <n v="1.7537589999999987"/>
    <n v="20.087907000000001"/>
    <n v="4.3505539999999998"/>
    <n v="7.0021079999999998"/>
    <n v="7.3039120000000004"/>
    <n v="4.8423000000000001E-2"/>
    <n v="1.3829100000000025"/>
    <n v="14.985203"/>
    <n v="1.549901"/>
    <n v="1.853791"/>
    <n v="1.899869"/>
    <n v="4.0846E-2"/>
    <n v="9.6407959999999999"/>
    <n v="5663.9370000000008"/>
    <n v="1017.119"/>
    <n v="1376.0866666666668"/>
    <n v="1532.1896666666664"/>
    <n v="16.764333333333333"/>
    <n v="1721.7773333333344"/>
    <n v="489.6"/>
    <n v="87.263999999999996"/>
    <n v="142.92699999999999"/>
    <n v="141.63200000000001"/>
    <n v="0.626"/>
    <n v="1376.8"/>
    <n v="235.31299999999999"/>
    <n v="403.113"/>
    <n v="402.58699999999999"/>
    <n v="1.976"/>
    <n v="2.8120915032679736"/>
    <n v="2.6965644481114777"/>
    <n v="2.8204118186206948"/>
    <n v="2.8424861613194756"/>
    <n v="3.1565495207667733"/>
    <m/>
  </r>
  <r>
    <x v="141"/>
    <x v="1"/>
    <n v="24.195359"/>
    <n v="5.714798"/>
    <n v="7.6298699999999995"/>
    <n v="8.9081929999999989"/>
    <n v="9.8281000000000007E-2"/>
    <n v="1.844217000000004"/>
    <n v="19.361256000000001"/>
    <n v="4.4805039999999998"/>
    <n v="6.2825670000000002"/>
    <n v="7.0716109999999999"/>
    <n v="7.1795999999999999E-2"/>
    <n v="1.454778000000001"/>
    <n v="14.981228"/>
    <n v="1.5993440000000001"/>
    <n v="1.6749940000000001"/>
    <n v="1.865164"/>
    <n v="5.8677E-2"/>
    <n v="9.7830489999999983"/>
    <n v="4847.8986666666669"/>
    <n v="931.66733333333332"/>
    <n v="1012.6953333333332"/>
    <n v="1293.8710000000001"/>
    <n v="17.355"/>
    <n v="1592.3100000000004"/>
    <n v="483.9"/>
    <n v="89.941999999999993"/>
    <n v="134.136"/>
    <n v="143.37700000000001"/>
    <n v="0.64900000000000002"/>
    <n v="1291.5999999999999"/>
    <n v="228.81399999999999"/>
    <n v="360.71699999999998"/>
    <n v="388.47399999999999"/>
    <n v="1.881"/>
    <n v="2.669146517875594"/>
    <n v="2.5440172555646972"/>
    <n v="2.6891885847199855"/>
    <n v="2.7094582813142969"/>
    <n v="2.8983050847457625"/>
    <m/>
  </r>
  <r>
    <x v="142"/>
    <x v="1"/>
    <n v="22.735935999999999"/>
    <n v="5.5990379999999993"/>
    <n v="6.6219160000000006"/>
    <n v="8.1924130000000002"/>
    <n v="0.25881400000000004"/>
    <n v="2.0637549999999969"/>
    <n v="17.381021"/>
    <n v="4.0954050000000004"/>
    <n v="5.1868619999999996"/>
    <n v="6.3317730000000001"/>
    <n v="0.17647499999999999"/>
    <n v="1.5905059999999995"/>
    <n v="13.730767999999999"/>
    <n v="1.591197"/>
    <n v="1.452969"/>
    <n v="1.80877"/>
    <n v="0.13386799999999999"/>
    <n v="8.7439640000000001"/>
    <n v="4847.8986666666669"/>
    <n v="931.66733333333332"/>
    <n v="1012.6953333333332"/>
    <n v="1293.8710000000001"/>
    <n v="17.355"/>
    <n v="1592.3100000000004"/>
    <n v="445.1"/>
    <n v="85.891999999999996"/>
    <n v="116.149"/>
    <n v="129.971"/>
    <n v="0.78900000000000003"/>
    <n v="1135.5999999999999"/>
    <n v="203.685"/>
    <n v="316.97699999999998"/>
    <n v="326.93099999999998"/>
    <n v="2.1259999999999999"/>
    <n v="2.5513367782520779"/>
    <n v="2.3714082801657899"/>
    <n v="2.7290549208344452"/>
    <n v="2.5154149771872185"/>
    <n v="2.6945500633713557"/>
    <m/>
  </r>
  <r>
    <x v="143"/>
    <x v="1"/>
    <n v="24.452347"/>
    <n v="6.0357790000000007"/>
    <n v="7.0999920000000003"/>
    <n v="8.6819199999999999"/>
    <n v="0.27154899999999998"/>
    <n v="2.3631069999999958"/>
    <n v="19.819351000000001"/>
    <n v="4.736618"/>
    <n v="5.938472"/>
    <n v="7.06928"/>
    <n v="0.210899"/>
    <n v="1.8640819999999998"/>
    <n v="15.805756000000001"/>
    <n v="1.8735999999999999"/>
    <n v="1.7206669999999999"/>
    <n v="2.0502859999999998"/>
    <n v="0.160079"/>
    <n v="10.001124000000001"/>
    <n v="4847.8986666666669"/>
    <n v="931.66733333333332"/>
    <n v="1012.6953333333332"/>
    <n v="1293.8710000000001"/>
    <n v="17.355"/>
    <n v="1592.3100000000004"/>
    <n v="474.8"/>
    <n v="91.796000000000006"/>
    <n v="124.218"/>
    <n v="137.501"/>
    <n v="0.995"/>
    <n v="1104.4000000000001"/>
    <n v="196.41"/>
    <n v="311.44"/>
    <n v="315.88799999999998"/>
    <n v="2.2799999999999998"/>
    <n v="2.32603201347936"/>
    <n v="2.1396357139744651"/>
    <n v="2.5072050749488799"/>
    <n v="2.2973505647231653"/>
    <n v="2.2914572864321605"/>
    <m/>
  </r>
  <r>
    <x v="144"/>
    <x v="1"/>
    <n v="24.417842"/>
    <n v="5.8339750000000006"/>
    <n v="7.2723329999999997"/>
    <n v="8.6469719999999999"/>
    <n v="0.26652999999999999"/>
    <n v="2.3980320000000006"/>
    <n v="19.298190999999999"/>
    <n v="4.5795950000000003"/>
    <n v="5.7920550000000004"/>
    <n v="6.8434730000000004"/>
    <n v="0.19433900000000001"/>
    <n v="1.8887289999999979"/>
    <n v="15.467162999999999"/>
    <n v="1.807013"/>
    <n v="1.7570520000000001"/>
    <n v="1.947047"/>
    <n v="0.144812"/>
    <n v="9.8112389999999987"/>
    <n v="4579.6786666666667"/>
    <n v="898.48466666666673"/>
    <n v="979.62166666666678"/>
    <n v="1232.1526666666668"/>
    <n v="19.863666666666667"/>
    <n v="1449.5559999999996"/>
    <n v="474.1"/>
    <n v="89.501000000000005"/>
    <n v="126.02800000000001"/>
    <n v="136.94200000000001"/>
    <n v="0.80800000000000005"/>
    <n v="964.6"/>
    <n v="155.03899999999999"/>
    <n v="315.041"/>
    <n v="257.84300000000002"/>
    <n v="1.556"/>
    <n v="2.0345918582577514"/>
    <n v="1.7322599747488852"/>
    <n v="2.4997698924048621"/>
    <n v="1.882862817835288"/>
    <n v="1.9257425742574257"/>
    <m/>
  </r>
  <r>
    <x v="145"/>
    <x v="1"/>
    <n v="21.533712000000001"/>
    <n v="5.1526450000000006"/>
    <n v="6.3315400000000004"/>
    <n v="7.6653729999999998"/>
    <n v="0.23930699999999999"/>
    <n v="2.1448470000000022"/>
    <n v="16.254615999999999"/>
    <n v="3.820805"/>
    <n v="4.8103999999999996"/>
    <n v="5.7591760000000001"/>
    <n v="0.18118899999999999"/>
    <n v="1.6830459999999992"/>
    <n v="13.325293"/>
    <n v="1.5322579999999999"/>
    <n v="1.491339"/>
    <n v="1.686887"/>
    <n v="0.13249900000000001"/>
    <n v="8.4823100000000018"/>
    <n v="4579.6786666666667"/>
    <n v="898.48466666666673"/>
    <n v="979.62166666666678"/>
    <n v="1232.1526666666668"/>
    <n v="19.863666666666667"/>
    <n v="1449.5559999999996"/>
    <n v="419.8"/>
    <n v="79.376000000000005"/>
    <n v="110.34"/>
    <n v="121.182"/>
    <n v="0.77200000000000002"/>
    <n v="1031.2"/>
    <n v="137.185"/>
    <n v="488.38600000000002"/>
    <n v="207.86699999999999"/>
    <n v="1.5640000000000001"/>
    <n v="2.456407813244402"/>
    <n v="1.7282931868574882"/>
    <n v="4.426191770889977"/>
    <n v="1.7153290092588007"/>
    <n v="2.0259067357512954"/>
    <m/>
  </r>
  <r>
    <x v="146"/>
    <x v="1"/>
    <n v="25.298161"/>
    <n v="5.8480980000000002"/>
    <n v="7.534605"/>
    <n v="9.2486640000000016"/>
    <n v="0.30347000000000002"/>
    <n v="2.3633239999999986"/>
    <n v="20.150563999999999"/>
    <n v="4.4599869999999999"/>
    <n v="6.172123"/>
    <n v="7.3726269999999996"/>
    <n v="0.238064"/>
    <n v="1.9077629999999992"/>
    <n v="16.342061000000001"/>
    <n v="1.7767930000000001"/>
    <n v="1.893216"/>
    <n v="2.2332070000000002"/>
    <n v="0.172407"/>
    <n v="10.266438000000001"/>
    <n v="4579.6786666666667"/>
    <n v="898.48466666666673"/>
    <n v="979.62166666666678"/>
    <n v="1232.1526666666668"/>
    <n v="19.863666666666667"/>
    <n v="1449.5559999999996"/>
    <n v="493"/>
    <n v="90.400999999999996"/>
    <n v="131.03700000000001"/>
    <n v="145.673"/>
    <n v="0.99299999999999999"/>
    <n v="1021.1"/>
    <n v="157.10300000000001"/>
    <n v="346.09699999999998"/>
    <n v="272.19900000000001"/>
    <n v="2.0699999999999998"/>
    <n v="2.0711967545638945"/>
    <n v="1.7378458202895988"/>
    <n v="2.6412158398009722"/>
    <n v="1.8685617787784972"/>
    <n v="2.0845921450151055"/>
    <m/>
  </r>
  <r>
    <x v="147"/>
    <x v="1"/>
    <n v="25.128233999999999"/>
    <n v="5.6560259999999998"/>
    <n v="7.7479399999999998"/>
    <n v="9.2025069999999989"/>
    <n v="0.31504300000000002"/>
    <n v="2.2067179999999986"/>
    <n v="19.438116000000001"/>
    <n v="4.2835390000000002"/>
    <n v="6.1170429999999998"/>
    <n v="7.075882"/>
    <n v="0.239785"/>
    <n v="1.7218669999999996"/>
    <n v="16.025594999999999"/>
    <n v="1.6710210000000001"/>
    <n v="1.787714"/>
    <n v="2.1242169999999998"/>
    <n v="0.17492099999999999"/>
    <n v="10.267721999999999"/>
    <n v="5070.4186666666674"/>
    <n v="956.95600000000002"/>
    <n v="1138.0253333333333"/>
    <n v="1384.9620000000002"/>
    <n v="25.130333333333336"/>
    <n v="1565.3450000000003"/>
    <n v="490.4"/>
    <n v="87.061000000000007"/>
    <n v="132.08600000000001"/>
    <n v="143.702"/>
    <n v="0.98599999999999999"/>
    <n v="968.6"/>
    <n v="146.13499999999999"/>
    <n v="327.733"/>
    <n v="255.756"/>
    <n v="1.992"/>
    <n v="1.9751223491027734"/>
    <n v="1.6785357393092197"/>
    <n v="2.4812092121799432"/>
    <n v="1.7797664611487662"/>
    <n v="2.020283975659229"/>
    <m/>
  </r>
  <r>
    <x v="148"/>
    <x v="1"/>
    <n v="26.707851999999999"/>
    <n v="6.2127179999999997"/>
    <n v="8.3861740000000005"/>
    <n v="9.6994919999999993"/>
    <n v="0.330125"/>
    <n v="2.0793430000000015"/>
    <n v="21.669004999999999"/>
    <n v="4.8559320000000001"/>
    <n v="6.9839060000000002"/>
    <n v="7.9106310000000004"/>
    <n v="0.25134499999999999"/>
    <n v="1.6671909999999954"/>
    <n v="17.115193999999999"/>
    <n v="1.777277"/>
    <n v="1.971017"/>
    <n v="2.2088480000000001"/>
    <n v="0.18532000000000001"/>
    <n v="10.972731999999999"/>
    <n v="5070.4186666666674"/>
    <n v="956.95600000000002"/>
    <n v="1138.0253333333333"/>
    <n v="1384.9620000000002"/>
    <n v="25.130333333333336"/>
    <n v="1565.3450000000003"/>
    <n v="522.70000000000005"/>
    <n v="96.748000000000005"/>
    <n v="142.85499999999999"/>
    <n v="153.08099999999999"/>
    <n v="1.099"/>
    <n v="1077.0999999999999"/>
    <n v="171.36199999999999"/>
    <n v="354.21199999999999"/>
    <n v="292.625"/>
    <n v="2.4620000000000002"/>
    <n v="2.0606466424335181"/>
    <n v="1.7712200769008144"/>
    <n v="2.4795211928178924"/>
    <n v="1.9115696918624783"/>
    <n v="2.2402183803457691"/>
    <m/>
  </r>
  <r>
    <x v="149"/>
    <x v="1"/>
    <n v="27.736986000000002"/>
    <n v="6.3440150000000006"/>
    <n v="8.9877279999999988"/>
    <n v="9.9282240000000002"/>
    <n v="0.33814100000000002"/>
    <n v="2.1388780000000018"/>
    <n v="23.441476000000002"/>
    <n v="5.1482190000000001"/>
    <n v="7.8075039999999998"/>
    <n v="8.4609749999999995"/>
    <n v="0.28642499999999999"/>
    <n v="1.7383530000000036"/>
    <n v="18.203199000000001"/>
    <n v="1.950817"/>
    <n v="2.2096070000000001"/>
    <n v="2.4282149999999998"/>
    <n v="0.21440500000000001"/>
    <n v="11.400155000000002"/>
    <n v="5070.4186666666674"/>
    <n v="956.95600000000002"/>
    <n v="1138.0253333333333"/>
    <n v="1384.9620000000002"/>
    <n v="25.130333333333336"/>
    <n v="1565.3450000000003"/>
    <n v="538.79999999999995"/>
    <n v="97.394000000000005"/>
    <n v="152.196"/>
    <n v="156.47800000000001"/>
    <n v="1.288"/>
    <n v="1115.7"/>
    <n v="172.363"/>
    <n v="374.74599999999998"/>
    <n v="302.86500000000001"/>
    <n v="2.84"/>
    <n v="2.0707126948775056"/>
    <n v="1.769749676571452"/>
    <n v="2.4622591920944044"/>
    <n v="1.9355117013254259"/>
    <n v="2.2049689440993787"/>
    <m/>
  </r>
  <r>
    <x v="150"/>
    <x v="1"/>
    <n v="31.870200000000001"/>
    <n v="8.8461110000000005"/>
    <n v="9.6522059999999996"/>
    <n v="10.608403000000001"/>
    <n v="0.355605"/>
    <n v="2.4078749999999971"/>
    <n v="27.364089"/>
    <n v="7.4913129999999999"/>
    <n v="8.4015120000000003"/>
    <n v="9.1023259999999997"/>
    <n v="0.32022"/>
    <n v="2.0487180000000009"/>
    <n v="20.215001999999998"/>
    <n v="2.955422"/>
    <n v="2.4041009999999998"/>
    <n v="2.7063649999999999"/>
    <n v="0.240868"/>
    <n v="11.908245999999998"/>
    <n v="5338.9053333333331"/>
    <n v="1331.1863333333333"/>
    <n v="1287.5989999999999"/>
    <n v="1470.5863333333334"/>
    <n v="23.495000000000001"/>
    <n v="1226.0386666666664"/>
    <n v="568.5"/>
    <n v="132.63399999999999"/>
    <n v="162.51300000000001"/>
    <n v="165.499"/>
    <n v="1.399"/>
    <n v="1047.8"/>
    <n v="226.28399999999999"/>
    <n v="315.73200000000003"/>
    <n v="301.16399999999999"/>
    <n v="2.8879999999999999"/>
    <n v="1.8430958663148636"/>
    <n v="1.7060783811089164"/>
    <n v="1.9428107289878349"/>
    <n v="1.8197330497465241"/>
    <n v="2.0643316654753394"/>
    <m/>
  </r>
  <r>
    <x v="151"/>
    <x v="1"/>
    <n v="31.313952"/>
    <n v="8.6411149999999992"/>
    <n v="9.6776890000000009"/>
    <n v="10.340656999999998"/>
    <n v="0.25748799999999999"/>
    <n v="2.3970030000000015"/>
    <n v="26.945999"/>
    <n v="7.3323910000000003"/>
    <n v="8.5116960000000006"/>
    <n v="8.8663609999999995"/>
    <n v="0.22323399999999999"/>
    <n v="2.0123169999999995"/>
    <n v="19.914263999999999"/>
    <n v="2.7789109999999999"/>
    <n v="2.413456"/>
    <n v="2.5467089999999999"/>
    <n v="0.16526199999999999"/>
    <n v="12.009926"/>
    <n v="5338.9053333333331"/>
    <n v="1331.1863333333333"/>
    <n v="1287.5989999999999"/>
    <n v="1470.5863333333334"/>
    <n v="23.495000000000001"/>
    <n v="1226.0386666666664"/>
    <n v="557"/>
    <n v="130.251"/>
    <n v="160.655"/>
    <n v="162.941"/>
    <n v="0.92700000000000005"/>
    <n v="936.5"/>
    <n v="199.80699999999999"/>
    <n v="293.81700000000001"/>
    <n v="264.12200000000001"/>
    <n v="1.7270000000000001"/>
    <n v="1.6813285457809695"/>
    <n v="1.5340150939340196"/>
    <n v="1.8288693162366563"/>
    <n v="1.6209670985203233"/>
    <n v="1.8629989212513485"/>
    <m/>
  </r>
  <r>
    <x v="152"/>
    <x v="1"/>
    <n v="27.281020999999999"/>
    <n v="7.8308800000000005"/>
    <n v="8.2914189999999994"/>
    <n v="9.0227330000000006"/>
    <n v="0.20991300000000002"/>
    <n v="1.9260759999999983"/>
    <n v="22.223642999999999"/>
    <n v="6.2045630000000003"/>
    <n v="7.0671989999999996"/>
    <n v="7.2970490000000003"/>
    <n v="0.15068000000000001"/>
    <n v="1.5041519999999977"/>
    <n v="16.111955999999999"/>
    <n v="2.153178"/>
    <n v="1.89547"/>
    <n v="1.9113279999999999"/>
    <n v="0.111647"/>
    <n v="10.040333"/>
    <n v="5338.9053333333331"/>
    <n v="1331.1863333333333"/>
    <n v="1287.5989999999999"/>
    <n v="1470.5863333333334"/>
    <n v="23.495000000000001"/>
    <n v="1226.0386666666664"/>
    <n v="502.3"/>
    <n v="118.56100000000001"/>
    <n v="141.29"/>
    <n v="143.58500000000001"/>
    <n v="0.60899999999999999"/>
    <n v="783.9"/>
    <n v="169.53899999999999"/>
    <n v="237.839"/>
    <n v="215.97"/>
    <n v="1.105"/>
    <n v="1.5606211427433803"/>
    <n v="1.4299727566400418"/>
    <n v="1.6833392313681081"/>
    <n v="1.5041264756067834"/>
    <n v="1.8144499178981939"/>
    <m/>
  </r>
  <r>
    <x v="153"/>
    <x v="1"/>
    <n v="26.421581"/>
    <n v="7.643942"/>
    <n v="7.4579579999999996"/>
    <n v="8.991734000000001"/>
    <n v="0.25741900000000001"/>
    <n v="2.0705279999999995"/>
    <n v="21.580694000000001"/>
    <n v="6.1940189999999999"/>
    <n v="6.3876489999999997"/>
    <n v="7.1585789999999996"/>
    <n v="0.200295"/>
    <n v="1.6401520000000005"/>
    <n v="16.188842999999999"/>
    <n v="2.2173799999999999"/>
    <n v="1.7547140000000001"/>
    <n v="1.896879"/>
    <n v="0.15432199999999999"/>
    <n v="10.165547999999998"/>
    <n v="4487.16"/>
    <n v="1111.8833333333334"/>
    <n v="934.99066666666658"/>
    <n v="1223.2790000000002"/>
    <n v="27.177666666666667"/>
    <n v="1189.8293333333331"/>
    <n v="491.8"/>
    <n v="116.477"/>
    <n v="127.456"/>
    <n v="143.99799999999999"/>
    <n v="0.877"/>
    <n v="820.2"/>
    <n v="171.309"/>
    <n v="261.64999999999998"/>
    <n v="216.892"/>
    <n v="1.5960000000000001"/>
    <n v="1.6677511183407889"/>
    <n v="1.4707538827407984"/>
    <n v="2.052865302535777"/>
    <n v="1.5062153641022793"/>
    <n v="1.8198403648802737"/>
    <m/>
  </r>
  <r>
    <x v="154"/>
    <x v="1"/>
    <n v="23.942945000000002"/>
    <n v="6.7618400000000003"/>
    <n v="6.3287650000000006"/>
    <n v="8.2495069999999995"/>
    <n v="0.381025"/>
    <n v="2.2218080000000029"/>
    <n v="18.692326999999999"/>
    <n v="5.083367"/>
    <n v="5.1539669999999997"/>
    <n v="6.4054330000000004"/>
    <n v="0.287385"/>
    <n v="1.7621749999999992"/>
    <n v="14.846610999999999"/>
    <n v="2.020508"/>
    <n v="1.5040020000000001"/>
    <n v="1.869335"/>
    <n v="0.22342500000000001"/>
    <n v="9.229340999999998"/>
    <n v="4487.16"/>
    <n v="1111.8833333333334"/>
    <n v="934.99066666666658"/>
    <n v="1223.2790000000002"/>
    <n v="27.177666666666667"/>
    <n v="1189.8293333333331"/>
    <n v="446.7"/>
    <n v="101.83499999999999"/>
    <n v="108.742"/>
    <n v="130.68299999999999"/>
    <n v="1.2150000000000001"/>
    <n v="704.4"/>
    <n v="143.006"/>
    <n v="199.47300000000001"/>
    <n v="186.16200000000001"/>
    <n v="2.1309999999999998"/>
    <n v="1.5768972464741438"/>
    <n v="1.4042912554622675"/>
    <n v="1.8343694248772324"/>
    <n v="1.4245311172838091"/>
    <n v="1.7539094650205758"/>
    <m/>
  </r>
  <r>
    <x v="155"/>
    <x v="1"/>
    <n v="26.470606"/>
    <n v="7.638776"/>
    <n v="6.961068"/>
    <n v="8.9271279999999997"/>
    <n v="0.39506000000000002"/>
    <n v="2.5485739999999986"/>
    <n v="21.242132999999999"/>
    <n v="5.9418670000000002"/>
    <n v="5.7987140000000004"/>
    <n v="7.1634549999999999"/>
    <n v="0.31809500000000002"/>
    <n v="2.0200019999999981"/>
    <n v="16.859826999999999"/>
    <n v="2.3700640000000002"/>
    <n v="1.7467539999999999"/>
    <n v="2.1539489999999999"/>
    <n v="0.24714"/>
    <n v="10.341919999999998"/>
    <n v="4487.16"/>
    <n v="1111.8833333333334"/>
    <n v="934.99066666666658"/>
    <n v="1223.2790000000002"/>
    <n v="27.177666666666667"/>
    <n v="1189.8293333333331"/>
    <n v="483.2"/>
    <n v="113.733"/>
    <n v="118.59699999999999"/>
    <n v="140.02099999999999"/>
    <n v="1.5329999999999999"/>
    <n v="727.1"/>
    <n v="148.16200000000001"/>
    <n v="218.57400000000001"/>
    <n v="193.738"/>
    <n v="2.4089999999999998"/>
    <n v="1.5047599337748345"/>
    <n v="1.3027177688094045"/>
    <n v="1.8429977149506314"/>
    <n v="1.3836353118460805"/>
    <n v="1.5714285714285714"/>
    <m/>
  </r>
  <r>
    <x v="156"/>
    <x v="1"/>
    <n v="26.087347999999999"/>
    <n v="7.236974"/>
    <n v="7.1851240000000001"/>
    <n v="8.6487440000000007"/>
    <n v="0.37397399999999997"/>
    <n v="2.6425319999999992"/>
    <n v="20.744292999999999"/>
    <n v="5.644933"/>
    <n v="5.86524"/>
    <n v="6.8298730000000001"/>
    <n v="0.29635800000000001"/>
    <n v="2.1078889999999966"/>
    <n v="16.492079"/>
    <n v="2.237425"/>
    <n v="1.839237"/>
    <n v="2.0195500000000002"/>
    <n v="0.22895299999999999"/>
    <n v="10.166914000000002"/>
    <n v="4387.7406666666666"/>
    <n v="1271.7250000000001"/>
    <n v="858.4319999999999"/>
    <n v="1076.5663333333332"/>
    <n v="31.370666666666665"/>
    <n v="1149.6466666666665"/>
    <n v="465.4"/>
    <n v="107.82899999999999"/>
    <n v="120.25700000000001"/>
    <n v="132.94"/>
    <n v="1.2470000000000001"/>
    <n v="570"/>
    <n v="121.34399999999999"/>
    <n v="163.559"/>
    <n v="158.76499999999999"/>
    <n v="1.772"/>
    <n v="1.2247529007305544"/>
    <n v="1.1253373396767103"/>
    <n v="1.360078831169911"/>
    <n v="1.1942605686775989"/>
    <n v="1.4210104250200479"/>
    <m/>
  </r>
  <r>
    <x v="157"/>
    <x v="1"/>
    <n v="23.976338999999999"/>
    <n v="6.7002360000000003"/>
    <n v="6.3825539999999998"/>
    <n v="8.0572689999999998"/>
    <n v="0.34905200000000003"/>
    <n v="2.4872279999999982"/>
    <n v="17.689281000000001"/>
    <n v="4.738836"/>
    <n v="4.954847"/>
    <n v="5.8041410000000004"/>
    <n v="0.27673599999999998"/>
    <n v="1.9147210000000001"/>
    <n v="14.421545"/>
    <n v="1.931654"/>
    <n v="1.605056"/>
    <n v="1.7816399999999999"/>
    <n v="0.21251600000000001"/>
    <n v="8.8906789999999987"/>
    <n v="4387.7406666666666"/>
    <n v="1271.7250000000001"/>
    <n v="858.4319999999999"/>
    <n v="1076.5663333333332"/>
    <n v="31.370666666666665"/>
    <n v="1149.6466666666665"/>
    <n v="419.3"/>
    <n v="98.777000000000001"/>
    <n v="106.661"/>
    <n v="123.108"/>
    <n v="1.163"/>
    <n v="478.9"/>
    <n v="103.22499999999999"/>
    <n v="142.93600000000001"/>
    <n v="131.68299999999999"/>
    <n v="1.6240000000000001"/>
    <n v="1.1421416646792273"/>
    <n v="1.0450307257762435"/>
    <n v="1.3400961926102324"/>
    <n v="1.0696542872924586"/>
    <n v="1.3963886500429923"/>
    <m/>
  </r>
  <r>
    <x v="158"/>
    <x v="1"/>
    <n v="27.133306000000001"/>
    <n v="7.6347670000000001"/>
    <n v="7.2847169999999997"/>
    <n v="9.1231029999999986"/>
    <n v="0.39705099999999999"/>
    <n v="2.6936680000000024"/>
    <n v="21.529156"/>
    <n v="5.8848900000000004"/>
    <n v="6.0441950000000002"/>
    <n v="7.1065630000000004"/>
    <n v="0.32425500000000002"/>
    <n v="2.1692529999999977"/>
    <n v="17.382691999999999"/>
    <n v="2.4039280000000001"/>
    <n v="1.9131469999999999"/>
    <n v="2.241984"/>
    <n v="0.250946"/>
    <n v="10.572686999999998"/>
    <n v="4387.7406666666666"/>
    <n v="1271.7250000000001"/>
    <n v="858.4319999999999"/>
    <n v="1076.5663333333332"/>
    <n v="31.370666666666665"/>
    <n v="1149.6466666666665"/>
    <n v="483.2"/>
    <n v="113.369"/>
    <n v="121.02500000000001"/>
    <n v="141.321"/>
    <n v="1.413"/>
    <n v="586.29999999999995"/>
    <n v="130.16399999999999"/>
    <n v="166.92099999999999"/>
    <n v="160.029"/>
    <n v="2.069"/>
    <n v="1.2133692052980132"/>
    <n v="1.1481445545078459"/>
    <n v="1.3792274323486882"/>
    <n v="1.1323794765109219"/>
    <n v="1.4642604387827316"/>
    <m/>
  </r>
  <r>
    <x v="159"/>
    <x v="1"/>
    <n v="27.327961999999999"/>
    <n v="7.6611360000000008"/>
    <n v="7.7533440000000002"/>
    <n v="8.9685949999999988"/>
    <n v="0.40457700000000002"/>
    <n v="2.5403100000000016"/>
    <n v="21.090358999999999"/>
    <n v="5.7332090000000004"/>
    <n v="6.2187890000000001"/>
    <n v="6.8320889999999999"/>
    <n v="0.31364500000000001"/>
    <n v="1.9926269999999988"/>
    <n v="16.596730000000001"/>
    <n v="2.2180279999999999"/>
    <n v="1.869972"/>
    <n v="2.0224850000000001"/>
    <n v="0.24015300000000001"/>
    <n v="10.246092000000001"/>
    <n v="4858.82"/>
    <n v="1174.7006666666666"/>
    <n v="1039.2360000000001"/>
    <n v="1225.5420000000001"/>
    <n v="34.637666666666668"/>
    <n v="1384.7036666666663"/>
    <n v="483.3"/>
    <n v="113.694"/>
    <n v="128.30500000000001"/>
    <n v="138.39099999999999"/>
    <n v="1.3280000000000001"/>
    <n v="639"/>
    <n v="141.572"/>
    <n v="196.75"/>
    <n v="168.744"/>
    <n v="2.04"/>
    <n v="1.3221601489757915"/>
    <n v="1.2452020335285943"/>
    <n v="1.5334554382136314"/>
    <n v="1.2193278464640043"/>
    <n v="1.536144578313253"/>
    <m/>
  </r>
  <r>
    <x v="160"/>
    <x v="1"/>
    <n v="29.307796"/>
    <n v="8.2996630000000007"/>
    <n v="8.4379439999999999"/>
    <n v="9.7866619999999998"/>
    <n v="0.413159"/>
    <n v="2.3703679999999991"/>
    <n v="23.227163999999998"/>
    <n v="6.3516370000000002"/>
    <n v="7.0106929999999998"/>
    <n v="7.6524029999999996"/>
    <n v="0.32675199999999999"/>
    <n v="1.8856789999999997"/>
    <n v="17.868001"/>
    <n v="2.3305750000000001"/>
    <n v="2.0190999999999999"/>
    <n v="2.1753149999999999"/>
    <n v="0.25213400000000002"/>
    <n v="11.090877000000001"/>
    <n v="4858.82"/>
    <n v="1174.7006666666666"/>
    <n v="1039.2360000000001"/>
    <n v="1225.5420000000001"/>
    <n v="34.637666666666668"/>
    <n v="1384.7036666666663"/>
    <n v="510.8"/>
    <n v="124.25"/>
    <n v="131.79599999999999"/>
    <n v="151.773"/>
    <n v="1.5589999999999999"/>
    <n v="708.1"/>
    <n v="166.03100000000001"/>
    <n v="198.548"/>
    <n v="201.72399999999999"/>
    <n v="2.5230000000000001"/>
    <n v="1.3862568519968677"/>
    <n v="1.3362655935613683"/>
    <n v="1.5064797110686212"/>
    <n v="1.3291165095240918"/>
    <n v="1.6183450930083387"/>
    <m/>
  </r>
  <r>
    <x v="161"/>
    <x v="1"/>
    <n v="30.591224"/>
    <n v="8.5045260000000003"/>
    <n v="9.0590609999999998"/>
    <n v="10.178927999999999"/>
    <n v="0.43509399999999998"/>
    <n v="2.4136150000000036"/>
    <n v="25.844954999999999"/>
    <n v="6.8529730000000004"/>
    <n v="7.9720899999999997"/>
    <n v="8.6509610000000006"/>
    <n v="0.38019999999999998"/>
    <n v="1.9887309999999978"/>
    <n v="19.407250999999999"/>
    <n v="2.5707399999999998"/>
    <n v="2.2954249999999998"/>
    <n v="2.4953650000000001"/>
    <n v="0.290244"/>
    <n v="11.755476999999999"/>
    <n v="4858.82"/>
    <n v="1174.7006666666666"/>
    <n v="1039.2360000000001"/>
    <n v="1225.5420000000001"/>
    <n v="34.637666666666668"/>
    <n v="1384.7036666666663"/>
    <n v="530"/>
    <n v="126.479"/>
    <n v="139.67699999999999"/>
    <n v="158.72800000000001"/>
    <n v="1.8109999999999999"/>
    <n v="1000.8"/>
    <n v="183.821"/>
    <n v="428.87799999999999"/>
    <n v="230.358"/>
    <n v="3.2280000000000002"/>
    <n v="1.8883018867924528"/>
    <n v="1.4533717059749049"/>
    <n v="3.0704983640828485"/>
    <n v="1.4512751373418677"/>
    <n v="1.7824406405300941"/>
    <m/>
  </r>
  <r>
    <x v="162"/>
    <x v="1"/>
    <n v="32.392150000000001"/>
    <n v="8.9314099999999996"/>
    <n v="9.5998929999999998"/>
    <n v="10.812517"/>
    <n v="0.46113099999999996"/>
    <n v="2.5871989999999983"/>
    <n v="27.864954000000001"/>
    <n v="7.4122630000000003"/>
    <n v="8.4398909999999994"/>
    <n v="9.3591320000000007"/>
    <n v="0.42365900000000001"/>
    <n v="2.230008999999999"/>
    <n v="21.435123000000001"/>
    <n v="2.8558979999999998"/>
    <n v="2.4660340000000001"/>
    <n v="2.7855470000000002"/>
    <n v="0.32252900000000001"/>
    <n v="13.005115"/>
    <n v="5343.8986666666669"/>
    <n v="1078.22"/>
    <n v="1134.3009999999999"/>
    <n v="1331.4913333333334"/>
    <n v="31.005666666666666"/>
    <n v="1768.8806666666674"/>
    <n v="559.4"/>
    <n v="133.053"/>
    <n v="149.334"/>
    <n v="168.983"/>
    <n v="1.9370000000000001"/>
    <n v="824.7"/>
    <n v="194.10400000000001"/>
    <n v="220.435"/>
    <n v="247.74799999999999"/>
    <n v="3.65"/>
    <n v="1.4742581337146945"/>
    <n v="1.4588472262932817"/>
    <n v="1.4761206423185611"/>
    <n v="1.4661119757608752"/>
    <n v="1.8843572534847701"/>
    <m/>
  </r>
  <r>
    <x v="163"/>
    <x v="1"/>
    <n v="31.391559000000001"/>
    <n v="8.6360480000000006"/>
    <n v="9.4448080000000001"/>
    <n v="10.373308999999999"/>
    <n v="0.34134100000000001"/>
    <n v="2.5960530000000013"/>
    <n v="26.456140000000001"/>
    <n v="7.0501519999999998"/>
    <n v="8.1240419999999993"/>
    <n v="8.8099329999999991"/>
    <n v="0.288192"/>
    <n v="2.1838210000000018"/>
    <n v="20.654207"/>
    <n v="2.6103339999999999"/>
    <n v="2.3490120000000001"/>
    <n v="2.5016289999999999"/>
    <n v="0.229768"/>
    <n v="12.963464"/>
    <n v="5343.8986666666669"/>
    <n v="1078.22"/>
    <n v="1134.3009999999999"/>
    <n v="1331.4913333333334"/>
    <n v="31.005666666666666"/>
    <n v="1768.8806666666674"/>
    <n v="546.29999999999995"/>
    <n v="129.26900000000001"/>
    <n v="145.834"/>
    <n v="161.71"/>
    <n v="1.2569999999999999"/>
    <n v="789"/>
    <n v="187.22200000000001"/>
    <n v="224.49600000000001"/>
    <n v="223.09800000000001"/>
    <n v="2.234"/>
    <n v="1.4442613948380012"/>
    <n v="1.4483132073428278"/>
    <n v="1.5393941056269458"/>
    <n v="1.3796178343949044"/>
    <n v="1.7772474144789181"/>
    <m/>
  </r>
  <r>
    <x v="164"/>
    <x v="1"/>
    <n v="27.499402"/>
    <n v="7.6550370000000001"/>
    <n v="8.1920570000000001"/>
    <n v="9.2089119999999998"/>
    <n v="0.28785700000000003"/>
    <n v="2.155539000000001"/>
    <n v="22.312139999999999"/>
    <n v="6.0054020000000001"/>
    <n v="6.8757919999999997"/>
    <n v="7.4991219999999998"/>
    <n v="0.20568500000000001"/>
    <n v="1.7261389999999999"/>
    <n v="17.161888999999999"/>
    <n v="2.0077370000000001"/>
    <n v="1.8917029999999999"/>
    <n v="1.981344"/>
    <n v="0.170649"/>
    <n v="11.110455999999999"/>
    <n v="5343.8986666666669"/>
    <n v="1078.22"/>
    <n v="1134.3009999999999"/>
    <n v="1331.4913333333334"/>
    <n v="31.005666666666666"/>
    <n v="1768.8806666666674"/>
    <n v="491.1"/>
    <n v="116.84399999999999"/>
    <n v="127.753"/>
    <n v="144.732"/>
    <n v="0.872"/>
    <n v="695.2"/>
    <n v="163.34100000000001"/>
    <n v="181.57900000000001"/>
    <n v="203.88200000000001"/>
    <n v="1.603"/>
    <n v="1.4155976379556099"/>
    <n v="1.3979408442025265"/>
    <n v="1.4213286576440476"/>
    <n v="1.4086863996904624"/>
    <n v="1.838302752293578"/>
    <m/>
  </r>
  <r>
    <x v="165"/>
    <x v="1"/>
    <n v="26.951682999999999"/>
    <n v="7.6554719999999996"/>
    <n v="7.5423789999999995"/>
    <n v="9.2188649999999992"/>
    <n v="0.29606399999999999"/>
    <n v="2.238902999999997"/>
    <n v="21.595807000000001"/>
    <n v="6.0777729999999996"/>
    <n v="6.2116530000000001"/>
    <n v="7.2420080000000002"/>
    <n v="0.232762"/>
    <n v="1.8316110000000023"/>
    <n v="16.905446000000001"/>
    <n v="2.0948340000000001"/>
    <n v="1.741881"/>
    <n v="1.9360379999999999"/>
    <n v="0.192548"/>
    <n v="10.940145000000001"/>
    <n v="4805.5430000000006"/>
    <n v="908.17433333333338"/>
    <n v="849.13766666666663"/>
    <n v="1151.1369999999999"/>
    <n v="30.623000000000001"/>
    <n v="1866.4710000000009"/>
    <n v="482.5"/>
    <n v="117.218"/>
    <n v="115.682"/>
    <n v="144.48599999999999"/>
    <n v="0.94799999999999995"/>
    <n v="739.2"/>
    <n v="172.286"/>
    <n v="197.476"/>
    <n v="213.041"/>
    <n v="1.802"/>
    <n v="1.5320207253886011"/>
    <n v="1.4697913289767783"/>
    <n v="1.707059006587023"/>
    <n v="1.4744750356435918"/>
    <n v="1.9008438818565403"/>
    <m/>
  </r>
  <r>
    <x v="166"/>
    <x v="1"/>
    <n v="23.659154999999998"/>
    <n v="6.5421710000000006"/>
    <n v="6.0469559999999998"/>
    <n v="8.3513150000000014"/>
    <n v="0.35470200000000002"/>
    <n v="2.3640109999999943"/>
    <n v="18.653535000000002"/>
    <n v="5.0662779999999996"/>
    <n v="4.907438"/>
    <n v="6.4757910000000001"/>
    <n v="0.285862"/>
    <n v="1.9181659999999994"/>
    <n v="15.653034999999999"/>
    <n v="1.941246"/>
    <n v="1.4591909999999999"/>
    <n v="1.8367709999999999"/>
    <n v="0.231216"/>
    <n v="10.184611"/>
    <n v="4805.5430000000006"/>
    <n v="908.17433333333338"/>
    <n v="849.13766666666663"/>
    <n v="1151.1369999999999"/>
    <n v="30.623000000000001"/>
    <n v="1866.4710000000009"/>
    <n v="432.3"/>
    <n v="99.100999999999999"/>
    <n v="92.108999999999995"/>
    <n v="130.16900000000001"/>
    <n v="1.1639999999999999"/>
    <n v="607"/>
    <n v="149.88499999999999"/>
    <n v="143.83199999999999"/>
    <n v="195.37200000000001"/>
    <n v="2.177"/>
    <n v="1.40411751098774"/>
    <n v="1.5124468976095093"/>
    <n v="1.5615412174706056"/>
    <n v="1.5009103550000384"/>
    <n v="1.8702749140893473"/>
    <m/>
  </r>
  <r>
    <x v="167"/>
    <x v="1"/>
    <n v="26.927716"/>
    <n v="7.5502910000000005"/>
    <n v="6.9454459999999996"/>
    <n v="9.1835339999999999"/>
    <n v="0.45464599999999999"/>
    <n v="2.7937989999999999"/>
    <n v="21.849474000000001"/>
    <n v="5.9813099999999997"/>
    <n v="5.8534569999999997"/>
    <n v="7.4290440000000002"/>
    <n v="0.36182999999999998"/>
    <n v="2.2238329999999991"/>
    <n v="18.014472999999999"/>
    <n v="2.360973"/>
    <n v="1.8387150000000001"/>
    <n v="2.21217"/>
    <n v="0.29802299999999998"/>
    <n v="11.304592"/>
    <n v="4805.5430000000006"/>
    <n v="908.17433333333338"/>
    <n v="849.13766666666663"/>
    <n v="1151.1369999999999"/>
    <n v="30.623000000000001"/>
    <n v="1866.4710000000009"/>
    <n v="473.7"/>
    <n v="113.27"/>
    <n v="105.583"/>
    <n v="143.078"/>
    <n v="1.5820000000000001"/>
    <n v="736"/>
    <n v="173.83600000000001"/>
    <n v="171.89"/>
    <n v="218.95699999999999"/>
    <n v="3.0169999999999999"/>
    <n v="1.5537259869115474"/>
    <n v="1.5347046879138344"/>
    <n v="1.6280082967902028"/>
    <n v="1.5303331050196396"/>
    <n v="1.9070796460176989"/>
    <m/>
  </r>
  <r>
    <x v="168"/>
    <x v="1"/>
    <n v="26.517102000000001"/>
    <n v="7.1371199999999995"/>
    <n v="7.0400320000000001"/>
    <n v="9.0149599999999985"/>
    <n v="0.46656200000000003"/>
    <n v="2.8584280000000035"/>
    <n v="21.015592999999999"/>
    <n v="5.5997159999999999"/>
    <n v="5.7527699999999999"/>
    <n v="7.0698460000000001"/>
    <n v="0.34573300000000001"/>
    <n v="2.2475280000000026"/>
    <n v="17.488782"/>
    <n v="2.2005710000000001"/>
    <n v="1.870711"/>
    <n v="2.1064340000000001"/>
    <n v="0.28706799999999999"/>
    <n v="11.023998000000001"/>
    <n v="4640.0643333333337"/>
    <n v="893.94233333333329"/>
    <n v="831.38166666666666"/>
    <n v="1099.1270000000002"/>
    <n v="34.341000000000001"/>
    <n v="1781.2723333333338"/>
    <n v="460.9"/>
    <n v="107.13800000000001"/>
    <n v="105.761"/>
    <n v="139.13800000000001"/>
    <n v="1.3280000000000001"/>
    <n v="753.1"/>
    <n v="173.327"/>
    <n v="176.00800000000001"/>
    <n v="228.64"/>
    <n v="2.6970000000000001"/>
    <n v="1.6339770015187678"/>
    <n v="1.6177920065709646"/>
    <n v="1.6642051417819426"/>
    <n v="1.6432606477022811"/>
    <n v="2.0308734939759034"/>
    <m/>
  </r>
  <r>
    <x v="169"/>
    <x v="1"/>
    <n v="23.613443"/>
    <n v="6.369415"/>
    <n v="6.1112910000000005"/>
    <n v="8.0872840000000004"/>
    <n v="0.43588600000000005"/>
    <n v="2.6095669999999984"/>
    <n v="17.528721999999998"/>
    <n v="4.5956200000000003"/>
    <n v="4.8380450000000002"/>
    <n v="5.7405200000000001"/>
    <n v="0.31457099999999999"/>
    <n v="2.0399659999999962"/>
    <n v="14.709987999999999"/>
    <n v="1.853828"/>
    <n v="1.6113999999999999"/>
    <n v="1.7432259999999999"/>
    <n v="0.25649499999999997"/>
    <n v="9.2450389999999985"/>
    <n v="4640.0643333333337"/>
    <n v="893.94233333333329"/>
    <n v="831.38166666666666"/>
    <n v="1099.1270000000002"/>
    <n v="34.341000000000001"/>
    <n v="1781.2723333333338"/>
    <n v="404"/>
    <n v="94.4"/>
    <n v="91.049000000000007"/>
    <n v="123.88500000000001"/>
    <n v="1.357"/>
    <n v="683.5"/>
    <n v="157.24600000000001"/>
    <n v="163.52199999999999"/>
    <n v="204.334"/>
    <n v="2.7559999999999998"/>
    <n v="1.6918316831683169"/>
    <n v="1.6657415254237289"/>
    <n v="1.7959779898735844"/>
    <n v="1.6493845098276627"/>
    <n v="2.0309506263817241"/>
    <m/>
  </r>
  <r>
    <x v="170"/>
    <x v="1"/>
    <n v="27.680741000000001"/>
    <n v="7.6044030000000005"/>
    <n v="7.2964060000000002"/>
    <n v="9.3555109999999999"/>
    <n v="0.51886699999999997"/>
    <n v="2.9055539999999986"/>
    <n v="21.767662999999999"/>
    <n v="5.7792849999999998"/>
    <n v="6.1738920000000004"/>
    <n v="7.0998549999999998"/>
    <n v="0.39552500000000002"/>
    <n v="2.3191059999999979"/>
    <n v="17.910122000000001"/>
    <n v="2.2984499999999999"/>
    <n v="2.0401750000000001"/>
    <n v="2.2091379999999998"/>
    <n v="0.32284000000000002"/>
    <n v="11.039519000000002"/>
    <n v="4640.0643333333337"/>
    <n v="893.94233333333329"/>
    <n v="831.38166666666666"/>
    <n v="1099.1270000000002"/>
    <n v="34.341000000000001"/>
    <n v="1781.2723333333338"/>
    <n v="481"/>
    <n v="112.634"/>
    <n v="108.81699999999999"/>
    <n v="142.63900000000001"/>
    <n v="1.556"/>
    <n v="792.7"/>
    <n v="183.572"/>
    <n v="182.142"/>
    <n v="233.78"/>
    <n v="3.1619999999999999"/>
    <n v="1.648024948024948"/>
    <n v="1.6298098265177479"/>
    <n v="1.6738377275609511"/>
    <n v="1.6389626960368482"/>
    <n v="2.032133676092545"/>
    <m/>
  </r>
  <r>
    <x v="171"/>
    <x v="1"/>
    <n v="28.363465999999999"/>
    <n v="7.9957020000000005"/>
    <n v="7.7858689999999999"/>
    <n v="9.3406800000000008"/>
    <n v="0.51462199999999991"/>
    <n v="2.7265930000000012"/>
    <n v="22.910550000000001"/>
    <n v="6.3563340000000004"/>
    <n v="6.5977370000000004"/>
    <n v="7.3244990000000003"/>
    <n v="0.41452600000000001"/>
    <n v="2.217454"/>
    <n v="18.686523000000001"/>
    <n v="2.4533809999999998"/>
    <n v="2.0614490000000001"/>
    <n v="2.2218659999999999"/>
    <n v="0.33868900000000002"/>
    <n v="11.611138"/>
    <n v="5298.2183333333332"/>
    <n v="1110.6463333333334"/>
    <n v="1044.1393333333333"/>
    <n v="1276.1536666666666"/>
    <n v="46.334666666666664"/>
    <n v="1820.9443333333334"/>
    <n v="488.7"/>
    <n v="118.44799999999999"/>
    <n v="116.616"/>
    <n v="142.72999999999999"/>
    <n v="1.8480000000000001"/>
    <n v="798.2"/>
    <n v="191.53100000000001"/>
    <n v="197.05199999999999"/>
    <n v="229.22399999999999"/>
    <n v="3.698"/>
    <n v="1.6333128708819318"/>
    <n v="1.617004930433608"/>
    <n v="1.6897509775674007"/>
    <n v="1.6059973376304912"/>
    <n v="2.0010822510822508"/>
    <m/>
  </r>
  <r>
    <x v="172"/>
    <x v="1"/>
    <n v="30.283626999999999"/>
    <n v="8.8675599999999992"/>
    <n v="8.3309580000000008"/>
    <n v="10.113192"/>
    <n v="0.46774300000000002"/>
    <n v="2.5041740000000026"/>
    <n v="24.261558000000001"/>
    <n v="6.992896"/>
    <n v="7.1359159999999999"/>
    <n v="7.7245419999999996"/>
    <n v="0.37836900000000001"/>
    <n v="2.0298350000000021"/>
    <n v="18.865393000000001"/>
    <n v="2.5458460000000001"/>
    <n v="2.1562519999999998"/>
    <n v="2.224936"/>
    <n v="0.32451099999999999"/>
    <n v="11.613848000000001"/>
    <n v="5298.2183333333332"/>
    <n v="1110.6463333333334"/>
    <n v="1044.1393333333333"/>
    <n v="1276.1536666666666"/>
    <n v="46.334666666666664"/>
    <n v="1820.9443333333334"/>
    <n v="523.20000000000005"/>
    <n v="131.63"/>
    <n v="125.023"/>
    <n v="153.86600000000001"/>
    <n v="1.762"/>
    <n v="839.9"/>
    <n v="207.55199999999999"/>
    <n v="211.82599999999999"/>
    <n v="241.15899999999999"/>
    <n v="3.2709999999999999"/>
    <n v="1.6053134556574922"/>
    <n v="1.5767834080376815"/>
    <n v="1.6942962494900937"/>
    <n v="1.5673313142604601"/>
    <n v="1.8564131668558457"/>
    <m/>
  </r>
  <r>
    <x v="173"/>
    <x v="1"/>
    <n v="31.721119999999999"/>
    <n v="8.9676569999999991"/>
    <n v="9.2205830000000013"/>
    <n v="10.408204"/>
    <n v="0.53519300000000003"/>
    <n v="2.5894830000000013"/>
    <n v="26.926041000000001"/>
    <n v="7.4055309999999999"/>
    <n v="8.2032310000000006"/>
    <n v="8.7001139999999992"/>
    <n v="0.45373400000000003"/>
    <n v="2.1634310000000028"/>
    <n v="20.676407000000001"/>
    <n v="2.7541530000000001"/>
    <n v="2.415035"/>
    <n v="2.586805"/>
    <n v="0.39682000000000001"/>
    <n v="12.523594000000001"/>
    <n v="5298.2183333333332"/>
    <n v="1110.6463333333334"/>
    <n v="1044.1393333333333"/>
    <n v="1276.1536666666666"/>
    <n v="46.334666666666664"/>
    <n v="1820.9443333333334"/>
    <n v="544.9"/>
    <n v="132.82499999999999"/>
    <n v="139.09899999999999"/>
    <n v="158.309"/>
    <n v="2.1869999999999998"/>
    <n v="843.1"/>
    <n v="199.99600000000001"/>
    <n v="227.46100000000001"/>
    <n v="238.715"/>
    <n v="3.992"/>
    <n v="1.547256377316939"/>
    <n v="1.5057105213626956"/>
    <n v="1.6352454007577339"/>
    <n v="1.5079054254653874"/>
    <n v="1.8253315043438501"/>
    <m/>
  </r>
  <r>
    <x v="174"/>
    <x v="1"/>
    <n v="33.485132999999998"/>
    <n v="9.4271429999999992"/>
    <n v="9.6472759999999997"/>
    <n v="10.99427"/>
    <n v="0.57338300000000009"/>
    <n v="2.8430609999999987"/>
    <n v="28.789439000000002"/>
    <n v="7.8371979999999999"/>
    <n v="8.5527180000000005"/>
    <n v="9.4078579999999992"/>
    <n v="0.51712599999999997"/>
    <n v="2.4745390000000036"/>
    <n v="22.690242999999999"/>
    <n v="2.9717180000000001"/>
    <n v="2.5592000000000001"/>
    <n v="2.8693960000000001"/>
    <n v="0.45592300000000002"/>
    <n v="13.834005999999999"/>
    <n v="5516.702666666667"/>
    <n v="1171.6789999999999"/>
    <n v="1156.4623333333334"/>
    <n v="1314.6683333333333"/>
    <n v="43.043666666666667"/>
    <n v="1830.8493333333345"/>
    <n v="573.6"/>
    <n v="140.066"/>
    <n v="144.93700000000001"/>
    <n v="167.39099999999999"/>
    <n v="3.0539999999999998"/>
    <n v="883.8"/>
    <n v="210.68199999999999"/>
    <n v="240.601"/>
    <n v="247.876"/>
    <n v="5.3840000000000003"/>
    <n v="1.5407949790794977"/>
    <n v="1.5041623234760755"/>
    <n v="1.6600384994859834"/>
    <n v="1.4808203547383074"/>
    <n v="1.7629338572364115"/>
    <m/>
  </r>
  <r>
    <x v="175"/>
    <x v="1"/>
    <n v="32.229125000000003"/>
    <n v="9.0967310000000001"/>
    <n v="9.5439179999999997"/>
    <n v="10.385325999999999"/>
    <n v="0.432363"/>
    <n v="2.7707870000000057"/>
    <n v="27.647997"/>
    <n v="7.500267"/>
    <n v="8.5204219999999999"/>
    <n v="8.8720409999999994"/>
    <n v="0.369114"/>
    <n v="2.3861530000000002"/>
    <n v="22.013119"/>
    <n v="2.7463440000000001"/>
    <n v="2.501763"/>
    <n v="2.5554100000000002"/>
    <n v="0.33998800000000001"/>
    <n v="13.869613999999999"/>
    <n v="5516.702666666667"/>
    <n v="1171.6789999999999"/>
    <n v="1156.4623333333334"/>
    <n v="1314.6683333333333"/>
    <n v="43.043666666666667"/>
    <n v="1830.8493333333345"/>
    <n v="559.1"/>
    <n v="135.136"/>
    <n v="143.88900000000001"/>
    <n v="159.005"/>
    <n v="2.0259999999999998"/>
    <n v="898.6"/>
    <n v="217.18100000000001"/>
    <n v="229.43899999999999"/>
    <n v="253.61"/>
    <n v="3.919"/>
    <n v="1.6072258987658736"/>
    <n v="1.6071291143736681"/>
    <n v="1.5945555254397485"/>
    <n v="1.5949812898965443"/>
    <n v="1.9343534057255678"/>
    <m/>
  </r>
  <r>
    <x v="176"/>
    <x v="1"/>
    <n v="28.005837"/>
    <n v="7.7494309999999995"/>
    <n v="8.2236010000000004"/>
    <n v="9.4898690000000006"/>
    <n v="0.30377300000000002"/>
    <n v="2.2391629999999978"/>
    <n v="22.552257000000001"/>
    <n v="6.0308760000000001"/>
    <n v="7.061515"/>
    <n v="7.4668900000000002"/>
    <n v="0.21027100000000001"/>
    <n v="1.7827050000000035"/>
    <n v="17.438756000000001"/>
    <n v="1.9416850000000001"/>
    <n v="1.966369"/>
    <n v="2.0073449999999999"/>
    <n v="0.19452700000000001"/>
    <n v="11.328830000000002"/>
    <n v="5516.702666666667"/>
    <n v="1171.6789999999999"/>
    <n v="1156.4623333333334"/>
    <n v="1314.6683333333333"/>
    <n v="43.043666666666667"/>
    <n v="1830.8493333333345"/>
    <n v="494.3"/>
    <n v="114.652"/>
    <n v="123.923"/>
    <n v="144.721"/>
    <n v="1.127"/>
    <n v="857.1"/>
    <n v="199.185"/>
    <n v="217.22900000000001"/>
    <n v="249.101"/>
    <n v="2.3650000000000002"/>
    <n v="1.7339672263807404"/>
    <n v="1.7373007012524857"/>
    <n v="1.7529352904626261"/>
    <n v="1.7212498531657465"/>
    <n v="2.0984915705412601"/>
    <m/>
  </r>
  <r>
    <x v="177"/>
    <x v="1"/>
    <n v="28.148178000000001"/>
    <n v="8.2005390000000009"/>
    <n v="7.7650410000000001"/>
    <n v="9.4151609999999994"/>
    <n v="0.34808300000000003"/>
    <n v="2.419354000000002"/>
    <n v="22.139119000000001"/>
    <n v="6.2719620000000003"/>
    <n v="6.5404869999999997"/>
    <n v="7.1272789999999997"/>
    <n v="0.26657999999999998"/>
    <n v="1.9328109999999974"/>
    <n v="17.604236"/>
    <n v="2.2018369999999998"/>
    <n v="1.86321"/>
    <n v="1.9389719999999999"/>
    <n v="0.25168000000000001"/>
    <n v="11.348537"/>
    <n v="5112.9236666666666"/>
    <n v="1019.6923333333333"/>
    <n v="895.69799999999998"/>
    <n v="1178.0703333333333"/>
    <n v="39.374666666666663"/>
    <n v="1980.0883333333331"/>
    <n v="495.4"/>
    <n v="121.79600000000001"/>
    <n v="118.10899999999999"/>
    <n v="141.91499999999999"/>
    <n v="1.3560000000000001"/>
    <n v="896.6"/>
    <n v="217.86600000000001"/>
    <n v="223.934"/>
    <n v="251.84899999999999"/>
    <n v="2.8140000000000001"/>
    <n v="1.8098506257569642"/>
    <n v="1.788777956583139"/>
    <n v="1.8959943780744906"/>
    <n v="1.7746467956170948"/>
    <n v="2.0752212389380529"/>
    <m/>
  </r>
  <r>
    <x v="178"/>
    <x v="1"/>
    <n v="24.885753999999999"/>
    <n v="6.8983970000000001"/>
    <n v="6.2188410000000003"/>
    <n v="8.7735339999999997"/>
    <n v="0.45561699999999999"/>
    <n v="2.5393650000000001"/>
    <n v="19.560655000000001"/>
    <n v="5.2743279999999997"/>
    <n v="5.2085030000000003"/>
    <n v="6.6830350000000003"/>
    <n v="0.352099"/>
    <n v="2.0426900000000003"/>
    <n v="16.476641999999998"/>
    <n v="2.0186099999999998"/>
    <n v="1.5774239999999999"/>
    <n v="1.927316"/>
    <n v="0.32937699999999998"/>
    <n v="10.623914999999998"/>
    <n v="5112.9236666666666"/>
    <n v="1019.6923333333333"/>
    <n v="895.69799999999998"/>
    <n v="1178.0703333333333"/>
    <n v="39.374666666666663"/>
    <n v="1980.0883333333331"/>
    <n v="448.8"/>
    <n v="103.125"/>
    <n v="93.241"/>
    <n v="130.11600000000001"/>
    <n v="1.7090000000000001"/>
    <n v="831.6"/>
    <n v="190.18199999999999"/>
    <n v="180.09899999999999"/>
    <n v="237.36"/>
    <n v="3.6720000000000002"/>
    <n v="1.8529411764705883"/>
    <n v="1.8441890909090908"/>
    <n v="1.9315429907444148"/>
    <n v="1.8242183897445357"/>
    <n v="2.1486249268578117"/>
    <m/>
  </r>
  <r>
    <x v="179"/>
    <x v="1"/>
    <n v="27.770624000000002"/>
    <n v="7.8716330000000001"/>
    <n v="7.0683729999999994"/>
    <n v="9.3646569999999993"/>
    <n v="0.50334400000000001"/>
    <n v="2.9626170000000052"/>
    <n v="22.416975999999998"/>
    <n v="6.1904539999999999"/>
    <n v="5.9540689999999996"/>
    <n v="7.5024940000000004"/>
    <n v="0.39939400000000003"/>
    <n v="2.3705649999999991"/>
    <n v="18.469636000000001"/>
    <n v="2.4036119999999999"/>
    <n v="1.869793"/>
    <n v="2.2126070000000002"/>
    <n v="0.37000699999999997"/>
    <n v="11.613617000000001"/>
    <n v="5112.9236666666666"/>
    <n v="1019.6923333333333"/>
    <n v="895.69799999999998"/>
    <n v="1178.0703333333333"/>
    <n v="39.374666666666663"/>
    <n v="1980.0883333333331"/>
    <n v="480.8"/>
    <n v="115.913"/>
    <n v="105.66500000000001"/>
    <n v="137.68299999999999"/>
    <n v="2.2269999999999999"/>
    <n v="923.4"/>
    <n v="222.833"/>
    <n v="207.33699999999999"/>
    <n v="261.72800000000001"/>
    <n v="4.9119999999999999"/>
    <n v="1.9205490848585689"/>
    <n v="1.9224159498934545"/>
    <n v="1.9622107604220884"/>
    <n v="1.9009463768221206"/>
    <n v="2.2056578356533456"/>
    <m/>
  </r>
  <r>
    <x v="180"/>
    <x v="1"/>
    <n v="27.247257999999999"/>
    <n v="7.4715789999999993"/>
    <n v="7.202871"/>
    <n v="9.234903000000001"/>
    <n v="0.47482100000000005"/>
    <n v="2.8630839999999971"/>
    <n v="21.442733"/>
    <n v="5.7575149999999997"/>
    <n v="5.8270869999999997"/>
    <n v="7.1700080000000002"/>
    <n v="0.367678"/>
    <n v="2.3204449999999994"/>
    <n v="17.897787000000001"/>
    <n v="2.2331599999999998"/>
    <n v="1.9054800000000001"/>
    <n v="2.0996540000000001"/>
    <n v="0.341918"/>
    <n v="11.317575000000001"/>
    <n v="5292.6839999999993"/>
    <n v="1069.3023333333333"/>
    <n v="948.32733333333329"/>
    <n v="1185.5039999999999"/>
    <n v="43.669333333333334"/>
    <n v="2045.8809999999994"/>
    <n v="468.6"/>
    <n v="109.532"/>
    <n v="106.82"/>
    <n v="134.65299999999999"/>
    <n v="1.835"/>
    <n v="946.5"/>
    <n v="221.679"/>
    <n v="220.179"/>
    <n v="267.964"/>
    <n v="4.2960000000000003"/>
    <n v="2.0198463508322662"/>
    <n v="2.0238743015739695"/>
    <n v="2.0612151282531364"/>
    <n v="1.9900336420280278"/>
    <n v="2.3411444141689377"/>
    <m/>
  </r>
  <r>
    <x v="181"/>
    <x v="1"/>
    <n v="24.467673999999999"/>
    <n v="6.701867"/>
    <n v="6.313771"/>
    <n v="8.3713189999999997"/>
    <n v="0.42929099999999998"/>
    <n v="2.6514260000000007"/>
    <n v="18.578878"/>
    <n v="4.8748149999999999"/>
    <n v="5.0488540000000004"/>
    <n v="6.1776359999999997"/>
    <n v="0.33325300000000002"/>
    <n v="2.1443200000000004"/>
    <n v="15.720901"/>
    <n v="1.9573290000000001"/>
    <n v="1.690663"/>
    <n v="1.8187390000000001"/>
    <n v="0.30679899999999999"/>
    <n v="9.9473710000000004"/>
    <n v="5292.6839999999993"/>
    <n v="1069.3023333333333"/>
    <n v="948.32733333333329"/>
    <n v="1185.5039999999999"/>
    <n v="43.669333333333334"/>
    <n v="2045.8809999999994"/>
    <n v="416.4"/>
    <n v="98.084999999999994"/>
    <n v="93.372"/>
    <n v="122.054"/>
    <n v="1.8420000000000001"/>
    <n v="852.6"/>
    <n v="200.22399999999999"/>
    <n v="191.11099999999999"/>
    <n v="249.511"/>
    <n v="4.3630000000000004"/>
    <n v="2.0475504322766573"/>
    <n v="2.041331498190345"/>
    <n v="2.0467699096088761"/>
    <n v="2.0442672915267011"/>
    <n v="2.3686210640608034"/>
    <m/>
  </r>
  <r>
    <x v="182"/>
    <x v="1"/>
    <n v="28.771000999999998"/>
    <n v="7.8437229999999998"/>
    <n v="7.5455709999999998"/>
    <n v="9.7454799999999988"/>
    <n v="0.53670099999999998"/>
    <n v="3.0995259999999973"/>
    <n v="23.694039"/>
    <n v="6.17361"/>
    <n v="6.6068660000000001"/>
    <n v="7.9079569999999997"/>
    <n v="0.45153199999999999"/>
    <n v="2.554074"/>
    <n v="19.716774000000001"/>
    <n v="2.4420329999999999"/>
    <n v="2.1805080000000001"/>
    <n v="2.3737400000000002"/>
    <n v="0.41818300000000003"/>
    <n v="12.302310000000002"/>
    <n v="5292.6839999999993"/>
    <n v="1069.3023333333333"/>
    <n v="948.32733333333329"/>
    <n v="1185.5039999999999"/>
    <n v="43.669333333333334"/>
    <n v="2045.8809999999994"/>
    <n v="492.7"/>
    <n v="115.48699999999999"/>
    <n v="110.46899999999999"/>
    <n v="143.56"/>
    <n v="2.5059999999999998"/>
    <n v="977.1"/>
    <n v="231.113"/>
    <n v="209.40100000000001"/>
    <n v="287.44400000000002"/>
    <n v="5.806"/>
    <n v="1.9831540491171098"/>
    <n v="2.001203598673444"/>
    <n v="1.8955634612425207"/>
    <n v="2.0022568960713292"/>
    <n v="2.3168395849960097"/>
    <m/>
  </r>
  <r>
    <x v="183"/>
    <x v="1"/>
    <n v="28.940196"/>
    <n v="8.2170360000000002"/>
    <n v="7.7865679999999999"/>
    <n v="9.5709879999999998"/>
    <n v="0.49823800000000001"/>
    <n v="2.8673660000000005"/>
    <n v="23.014268000000001"/>
    <n v="6.1627099999999997"/>
    <n v="6.6272529999999996"/>
    <n v="7.4789770000000004"/>
    <n v="0.40755599999999997"/>
    <n v="2.3377720000000011"/>
    <n v="19.111954999999998"/>
    <n v="2.3622540000000001"/>
    <n v="2.0654430000000001"/>
    <n v="2.174385"/>
    <n v="0.38445400000000002"/>
    <n v="12.125418999999997"/>
    <n v="5943.0873333333329"/>
    <n v="1256.1463333333334"/>
    <n v="1155.7223333333334"/>
    <n v="1362.4296666666667"/>
    <n v="50.725333333333332"/>
    <n v="2118.0636666666664"/>
    <n v="489.7"/>
    <n v="120.58499999999999"/>
    <n v="112.928"/>
    <n v="140.02000000000001"/>
    <n v="1.929"/>
    <n v="1024.9000000000001"/>
    <n v="249.51599999999999"/>
    <n v="245.52199999999999"/>
    <n v="287.94200000000001"/>
    <n v="4.7130000000000001"/>
    <n v="2.0929140289973454"/>
    <n v="2.0692125886304269"/>
    <n v="2.174146358741853"/>
    <n v="2.0564347950292814"/>
    <n v="2.4432348367029548"/>
    <m/>
  </r>
  <r>
    <x v="184"/>
    <x v="1"/>
    <n v="31.004923999999999"/>
    <n v="8.923273"/>
    <n v="8.6412589999999998"/>
    <n v="10.235513999999998"/>
    <n v="0.49636000000000002"/>
    <n v="2.7085180000000015"/>
    <n v="25.253717000000002"/>
    <n v="7.0581990000000001"/>
    <n v="7.3993120000000001"/>
    <n v="8.1741250000000001"/>
    <n v="0.40568500000000002"/>
    <n v="2.2163960000000031"/>
    <n v="20.126584999999999"/>
    <n v="2.5497570000000001"/>
    <n v="2.2134369999999999"/>
    <n v="2.2229030000000001"/>
    <n v="0.39180900000000002"/>
    <n v="12.748678999999997"/>
    <n v="5943.0873333333329"/>
    <n v="1256.1463333333334"/>
    <n v="1155.7223333333334"/>
    <n v="1362.4296666666667"/>
    <n v="50.725333333333332"/>
    <n v="2118.0636666666664"/>
    <n v="531.29999999999995"/>
    <n v="131.965"/>
    <n v="126.745"/>
    <n v="150.71100000000001"/>
    <n v="2.39"/>
    <n v="1163"/>
    <n v="292.21100000000001"/>
    <n v="267.637"/>
    <n v="330.57100000000003"/>
    <n v="6.2210000000000001"/>
    <n v="2.1889704498400153"/>
    <n v="2.2143068237790322"/>
    <n v="2.111617815298434"/>
    <n v="2.1934099037230195"/>
    <n v="2.602928870292887"/>
    <m/>
  </r>
  <r>
    <x v="185"/>
    <x v="1"/>
    <n v="32.355638999999996"/>
    <n v="9.0507170000000006"/>
    <n v="9.2735679999999991"/>
    <n v="10.650293"/>
    <n v="0.568527"/>
    <n v="2.8125339999999959"/>
    <n v="28.085049000000001"/>
    <n v="7.6269989999999996"/>
    <n v="8.29115"/>
    <n v="9.2781000000000002"/>
    <n v="0.49552200000000002"/>
    <n v="2.3932779999999987"/>
    <n v="22.046731999999999"/>
    <n v="2.7759930000000002"/>
    <n v="2.4747129999999999"/>
    <n v="2.6408719999999999"/>
    <n v="0.46470400000000001"/>
    <n v="13.690449999999998"/>
    <n v="5943.0873333333329"/>
    <n v="1256.1463333333334"/>
    <n v="1155.7223333333334"/>
    <n v="1362.4296666666667"/>
    <n v="50.725333333333332"/>
    <n v="2118.0636666666664"/>
    <n v="548.5"/>
    <n v="134.72200000000001"/>
    <n v="134.727"/>
    <n v="156.089"/>
    <n v="2.9660000000000002"/>
    <n v="1222.2"/>
    <n v="301.178"/>
    <n v="291.64299999999997"/>
    <n v="349.05500000000001"/>
    <n v="7.726"/>
    <n v="2.2282588878760254"/>
    <n v="2.2355517287451194"/>
    <n v="2.1646960149042136"/>
    <n v="2.2362562384280764"/>
    <n v="2.604855023600809"/>
    <m/>
  </r>
  <r>
    <x v="186"/>
    <x v="1"/>
    <n v="34.019962999999997"/>
    <n v="9.4068619999999985"/>
    <n v="9.7967829999999996"/>
    <n v="11.189572"/>
    <n v="0.59796099999999996"/>
    <n v="3.0287849999999956"/>
    <n v="29.584361000000001"/>
    <n v="7.8468429999999998"/>
    <n v="8.720402"/>
    <n v="9.8240700000000007"/>
    <n v="0.53712199999999999"/>
    <n v="2.6559240000000024"/>
    <n v="23.754573000000001"/>
    <n v="2.9383210000000002"/>
    <n v="2.622703"/>
    <n v="2.8729330000000002"/>
    <n v="0.50524899999999995"/>
    <n v="14.815367000000002"/>
    <n v="6087.7653333333328"/>
    <n v="1310.32"/>
    <n v="1249.3143333333335"/>
    <n v="1413.5889999999999"/>
    <n v="46.643000000000001"/>
    <n v="2067.8989999999994"/>
    <n v="575.79999999999995"/>
    <n v="140.136"/>
    <n v="142.36799999999999"/>
    <n v="165.14099999999999"/>
    <n v="3.0110000000000001"/>
    <n v="1277.8"/>
    <n v="309.79000000000002"/>
    <n v="320.80099999999999"/>
    <n v="361.61399999999998"/>
    <n v="7.7859999999999996"/>
    <n v="2.2191733240708582"/>
    <n v="2.2106382371410631"/>
    <n v="2.2533223758147898"/>
    <n v="2.1897287772267333"/>
    <n v="2.5858518764530056"/>
    <m/>
  </r>
  <r>
    <x v="187"/>
    <x v="1"/>
    <n v="33.112727999999997"/>
    <n v="9.1869490000000003"/>
    <n v="9.7752599999999994"/>
    <n v="10.704594999999999"/>
    <n v="0.42361700000000002"/>
    <n v="3.0223069999999979"/>
    <n v="28.529249"/>
    <n v="7.5349950000000003"/>
    <n v="8.6879170000000006"/>
    <n v="9.3274059999999999"/>
    <n v="0.36523299999999997"/>
    <n v="2.6136979999999994"/>
    <n v="22.909627"/>
    <n v="2.7192750000000001"/>
    <n v="2.553639"/>
    <n v="2.6054430000000002"/>
    <n v="0.37342399999999998"/>
    <n v="14.657845999999999"/>
    <n v="6087.7653333333328"/>
    <n v="1310.32"/>
    <n v="1249.3143333333335"/>
    <n v="1413.5889999999999"/>
    <n v="46.643000000000001"/>
    <n v="2067.8989999999994"/>
    <n v="559.5"/>
    <n v="134.34100000000001"/>
    <n v="142.54599999999999"/>
    <n v="158.25200000000001"/>
    <n v="1.93"/>
    <n v="1231.5"/>
    <n v="297.56799999999998"/>
    <n v="310.53300000000002"/>
    <n v="346.73700000000002"/>
    <n v="4.9720000000000004"/>
    <n v="2.2010723860589811"/>
    <n v="2.2150199864523858"/>
    <n v="2.1784757201184179"/>
    <n v="2.1910433991355558"/>
    <n v="2.5761658031088084"/>
    <m/>
  </r>
  <r>
    <x v="188"/>
    <x v="1"/>
    <n v="29.361727999999999"/>
    <n v="8.3305689999999988"/>
    <n v="8.4426950000000005"/>
    <n v="9.6406190000000009"/>
    <n v="0.34537899999999999"/>
    <n v="2.6024659999999997"/>
    <n v="23.507864999999999"/>
    <n v="6.3105669999999998"/>
    <n v="7.1690740000000002"/>
    <n v="7.740558"/>
    <n v="0.25695800000000002"/>
    <n v="2.0307079999999971"/>
    <n v="18.051373999999999"/>
    <n v="2.0889009999999999"/>
    <n v="2.0184329999999999"/>
    <n v="2.0004309999999998"/>
    <n v="0.26538499999999998"/>
    <n v="11.678224"/>
    <n v="6087.7653333333328"/>
    <n v="1310.32"/>
    <n v="1249.3143333333335"/>
    <n v="1413.5889999999999"/>
    <n v="46.643000000000001"/>
    <n v="2067.8989999999994"/>
    <n v="503"/>
    <n v="120.66500000000001"/>
    <n v="123.23"/>
    <n v="142.48400000000001"/>
    <n v="1.3420000000000001"/>
    <n v="1127.3"/>
    <n v="271.00599999999997"/>
    <n v="275.07299999999998"/>
    <n v="317.51"/>
    <n v="3.5910000000000002"/>
    <n v="2.2411530815109342"/>
    <n v="2.2459370985787093"/>
    <n v="2.232191836403473"/>
    <n v="2.2283905561326183"/>
    <n v="2.6758569299552906"/>
    <m/>
  </r>
  <r>
    <x v="189"/>
    <x v="1"/>
    <n v="28.966038999999999"/>
    <n v="8.2183849999999996"/>
    <n v="7.9217589999999998"/>
    <n v="9.8813770000000005"/>
    <n v="0.37875999999999999"/>
    <n v="2.5657579999999989"/>
    <n v="23.199311000000002"/>
    <n v="6.35121"/>
    <n v="6.7222189999999999"/>
    <n v="7.8111119999999996"/>
    <n v="0.30852400000000002"/>
    <n v="2.0062460000000044"/>
    <n v="18.830853999999999"/>
    <n v="2.219703"/>
    <n v="1.943902"/>
    <n v="2.0577480000000001"/>
    <n v="0.308342"/>
    <n v="12.301158999999998"/>
    <n v="5448.1533333333327"/>
    <n v="1062.3376666666666"/>
    <n v="955.60399999999993"/>
    <n v="1288.7296666666666"/>
    <n v="47.533666666666669"/>
    <n v="2093.9483333333328"/>
    <n v="501.4"/>
    <n v="118.895"/>
    <n v="114.58799999999999"/>
    <n v="145.952"/>
    <n v="1.5249999999999999"/>
    <n v="1184.8"/>
    <n v="277.62"/>
    <n v="279.39600000000002"/>
    <n v="340.27499999999998"/>
    <n v="4.2910000000000004"/>
    <n v="2.362983645791783"/>
    <n v="2.3350014718869594"/>
    <n v="2.4382657869934028"/>
    <n v="2.3314171782503834"/>
    <n v="2.8137704918032789"/>
    <m/>
  </r>
  <r>
    <x v="190"/>
    <x v="1"/>
    <n v="25.600657000000002"/>
    <n v="6.6976400000000007"/>
    <n v="6.5024809999999995"/>
    <n v="9.1624549999999996"/>
    <n v="0.49228300000000003"/>
    <n v="2.7457980000000042"/>
    <n v="20.540298"/>
    <n v="5.2413749999999997"/>
    <n v="5.4284140000000001"/>
    <n v="7.2943090000000002"/>
    <n v="0.40215699999999999"/>
    <n v="2.1740430000000011"/>
    <n v="17.552375999999999"/>
    <n v="2.0425049999999998"/>
    <n v="1.6436759999999999"/>
    <n v="2.0513150000000002"/>
    <n v="0.38605299999999998"/>
    <n v="11.428826999999998"/>
    <n v="5448.1533333333327"/>
    <n v="1062.3376666666666"/>
    <n v="955.60399999999993"/>
    <n v="1288.7296666666666"/>
    <n v="47.533666666666669"/>
    <n v="2093.9483333333328"/>
    <n v="450.6"/>
    <n v="96.316000000000003"/>
    <n v="94.105000000000004"/>
    <n v="134.666"/>
    <n v="2.0760000000000001"/>
    <n v="1037.7"/>
    <n v="216.12"/>
    <n v="231.51"/>
    <n v="309.77100000000002"/>
    <n v="5.5430000000000001"/>
    <n v="2.3029294274300933"/>
    <n v="2.2438639478383653"/>
    <n v="2.460124329206737"/>
    <n v="2.3002910905499534"/>
    <n v="2.6700385356454719"/>
    <m/>
  </r>
  <r>
    <x v="191"/>
    <x v="1"/>
    <n v="28.388705000000002"/>
    <n v="7.5232209999999995"/>
    <n v="7.2800529999999997"/>
    <n v="9.870654"/>
    <n v="0.53714899999999999"/>
    <n v="3.1776280000000057"/>
    <n v="23.138026"/>
    <n v="5.9734109999999996"/>
    <n v="6.0984100000000003"/>
    <n v="8.1079699999999999"/>
    <n v="0.43883699999999998"/>
    <n v="2.5193979999999989"/>
    <n v="19.520178999999999"/>
    <n v="2.3789530000000001"/>
    <n v="1.9048339999999999"/>
    <n v="2.3403580000000002"/>
    <n v="0.41431000000000001"/>
    <n v="12.481723999999998"/>
    <n v="5448.1533333333327"/>
    <n v="1062.3376666666666"/>
    <n v="955.60399999999993"/>
    <n v="1288.7296666666666"/>
    <n v="47.533666666666669"/>
    <n v="2093.9483333333328"/>
    <n v="482.6"/>
    <n v="107.797"/>
    <n v="104.149"/>
    <n v="144.58699999999999"/>
    <n v="2.4409999999999998"/>
    <n v="1014.7"/>
    <n v="213.80799999999999"/>
    <n v="254.941"/>
    <n v="291.47800000000001"/>
    <n v="5.73"/>
    <n v="2.1025694156651471"/>
    <n v="1.9834318209226602"/>
    <n v="2.4478487551488732"/>
    <n v="2.0159350425695259"/>
    <n v="2.3473986071282265"/>
    <m/>
  </r>
  <r>
    <x v="192"/>
    <x v="1"/>
    <n v="28.064717000000002"/>
    <n v="7.2950759999999999"/>
    <n v="7.4052199999999999"/>
    <n v="9.645290000000001"/>
    <n v="0.48252400000000001"/>
    <n v="3.2366069999999993"/>
    <n v="22.437975999999999"/>
    <n v="5.8686090000000002"/>
    <n v="5.9767029999999997"/>
    <n v="7.6406210000000003"/>
    <n v="0.39143499999999998"/>
    <n v="2.5606079999999984"/>
    <n v="18.690816999999999"/>
    <n v="2.3222909999999999"/>
    <n v="1.931311"/>
    <n v="2.1826569999999998"/>
    <n v="0.379326"/>
    <n v="11.875232"/>
    <n v="5280.9203333333335"/>
    <n v="1038.1066666666666"/>
    <n v="933.16300000000001"/>
    <n v="1238.060666666667"/>
    <n v="53.723333333333329"/>
    <n v="2017.8666666666668"/>
    <n v="475.8"/>
    <n v="104.10299999999999"/>
    <n v="105.642"/>
    <n v="141.249"/>
    <n v="1.79"/>
    <n v="908.2"/>
    <n v="195.76499999999999"/>
    <n v="216.596"/>
    <n v="263.63099999999997"/>
    <n v="4.0709999999999997"/>
    <n v="1.9087852038671711"/>
    <n v="1.8804933575401286"/>
    <n v="2.0502830313700993"/>
    <n v="1.8664273729371534"/>
    <n v="2.2743016759776533"/>
    <m/>
  </r>
  <r>
    <x v="193"/>
    <x v="1"/>
    <n v="24.95805"/>
    <n v="6.514132"/>
    <n v="6.5255860000000006"/>
    <n v="8.5318839999999998"/>
    <n v="0.42397500000000005"/>
    <n v="2.9624730000000028"/>
    <n v="19.228764000000002"/>
    <n v="4.9923109999999999"/>
    <n v="5.1628470000000002"/>
    <n v="6.447387"/>
    <n v="0.34500399999999998"/>
    <n v="2.2812150000000031"/>
    <n v="16.280536000000001"/>
    <n v="2.0335459999999999"/>
    <n v="1.711387"/>
    <n v="1.89331"/>
    <n v="0.33093"/>
    <n v="10.311363000000002"/>
    <n v="5280.9203333333335"/>
    <n v="1038.1066666666666"/>
    <n v="933.16300000000001"/>
    <n v="1238.060666666667"/>
    <n v="53.723333333333329"/>
    <n v="2017.8666666666668"/>
    <n v="415.9"/>
    <n v="92.316000000000003"/>
    <n v="93.274000000000001"/>
    <n v="124.309"/>
    <n v="1.76"/>
    <n v="819.8"/>
    <n v="178.852"/>
    <n v="192.25299999999999"/>
    <n v="240.94300000000001"/>
    <n v="4.2229999999999999"/>
    <n v="1.9711469103149795"/>
    <n v="1.937388968326184"/>
    <n v="2.0611638827540362"/>
    <n v="1.938258694060768"/>
    <n v="2.3994318181818182"/>
    <m/>
  </r>
  <r>
    <x v="194"/>
    <x v="1"/>
    <n v="29.419851000000001"/>
    <n v="7.5802960000000006"/>
    <n v="7.7596660000000002"/>
    <n v="10.045768000000001"/>
    <n v="0.56162400000000001"/>
    <n v="3.4724970000000006"/>
    <n v="24.420168"/>
    <n v="6.2718740000000004"/>
    <n v="6.7087649999999996"/>
    <n v="8.1440490000000008"/>
    <n v="0.48341699999999999"/>
    <n v="2.812063000000002"/>
    <n v="20.295947000000002"/>
    <n v="2.5031659999999998"/>
    <n v="2.2022599999999999"/>
    <n v="2.4214340000000001"/>
    <n v="0.44848500000000002"/>
    <n v="12.720602000000003"/>
    <n v="5280.9203333333335"/>
    <n v="1038.1066666666666"/>
    <n v="933.16300000000001"/>
    <n v="1238.060666666667"/>
    <n v="53.723333333333329"/>
    <n v="2017.8666666666668"/>
    <n v="494.4"/>
    <n v="107.873"/>
    <n v="109.874"/>
    <n v="149.12200000000001"/>
    <n v="2.488"/>
    <n v="1003.5"/>
    <n v="216.86"/>
    <n v="222.67400000000001"/>
    <n v="302.02699999999999"/>
    <n v="6.0739999999999998"/>
    <n v="2.029733009708738"/>
    <n v="2.0103269585531134"/>
    <n v="2.0266305040318913"/>
    <n v="2.0253684902294764"/>
    <n v="2.4413183279742765"/>
    <m/>
  </r>
  <r>
    <x v="195"/>
    <x v="1"/>
    <n v="29.353960000000001"/>
    <n v="7.6897650000000004"/>
    <n v="8.1454319999999996"/>
    <n v="9.8525010000000002"/>
    <n v="0.47647"/>
    <n v="3.1897920000000006"/>
    <n v="24.1144"/>
    <n v="6.280278"/>
    <n v="6.8574989999999998"/>
    <n v="7.9989160000000004"/>
    <n v="0.39887400000000001"/>
    <n v="2.5788329999999995"/>
    <n v="20.019304000000002"/>
    <n v="2.3858679999999999"/>
    <n v="2.1412589999999998"/>
    <n v="2.3220149999999999"/>
    <n v="0.37873299999999999"/>
    <n v="12.791429000000001"/>
    <n v="5978.7216666666673"/>
    <n v="1254.9133333333332"/>
    <n v="1198.4073333333333"/>
    <n v="1438.0780000000002"/>
    <n v="56.731333333333332"/>
    <n v="2030.5916666666672"/>
    <n v="493.8"/>
    <n v="110.327"/>
    <n v="115.758"/>
    <n v="143.56100000000001"/>
    <n v="1.9319999999999999"/>
    <n v="1013"/>
    <n v="226.40700000000001"/>
    <n v="233.55699999999999"/>
    <n v="295.37200000000001"/>
    <n v="4.7869999999999999"/>
    <n v="2.0514378290805992"/>
    <n v="2.0521449871744903"/>
    <n v="2.0176316107742012"/>
    <n v="2.0574668607769517"/>
    <n v="2.4777432712215322"/>
    <m/>
  </r>
  <r>
    <x v="196"/>
    <x v="1"/>
    <n v="31.865680000000001"/>
    <n v="8.6102410000000003"/>
    <n v="9.0820589999999992"/>
    <n v="10.711234000000001"/>
    <n v="0.47139600000000004"/>
    <n v="2.990750000000002"/>
    <n v="26.590751999999998"/>
    <n v="7.1095959999999998"/>
    <n v="7.7556310000000002"/>
    <n v="8.8886029999999998"/>
    <n v="0.41086400000000001"/>
    <n v="2.4260579999999976"/>
    <n v="20.995113"/>
    <n v="2.5988720000000001"/>
    <n v="2.3267370000000001"/>
    <n v="2.438428"/>
    <n v="0.39463100000000001"/>
    <n v="13.236445"/>
    <n v="5978.7216666666673"/>
    <n v="1254.9133333333332"/>
    <n v="1198.4073333333333"/>
    <n v="1438.0780000000002"/>
    <n v="56.731333333333332"/>
    <n v="2030.5916666666672"/>
    <n v="536.5"/>
    <n v="123.95399999999999"/>
    <n v="129.75299999999999"/>
    <n v="155.25299999999999"/>
    <n v="2.4729999999999999"/>
    <n v="1127.8"/>
    <n v="259.03199999999998"/>
    <n v="266.548"/>
    <n v="329.053"/>
    <n v="6.31"/>
    <n v="2.102143522833178"/>
    <n v="2.089742969165981"/>
    <n v="2.0542723482308696"/>
    <n v="2.1194630699567805"/>
    <n v="2.5515568135867368"/>
    <m/>
  </r>
  <r>
    <x v="197"/>
    <x v="1"/>
    <n v="33.299917999999998"/>
    <n v="9.0805620000000005"/>
    <n v="9.5847770000000008"/>
    <n v="11.019971"/>
    <n v="0.477215"/>
    <n v="3.1373929999999959"/>
    <n v="29.242902999999998"/>
    <n v="7.9421220000000003"/>
    <n v="8.5747040000000005"/>
    <n v="9.691058"/>
    <n v="0.426593"/>
    <n v="2.6084259999999979"/>
    <n v="22.747453"/>
    <n v="2.9111950000000002"/>
    <n v="2.5427040000000001"/>
    <n v="2.800297"/>
    <n v="0.408771"/>
    <n v="14.084486"/>
    <n v="5978.7216666666673"/>
    <n v="1254.9133333333332"/>
    <n v="1198.4073333333333"/>
    <n v="1438.0780000000002"/>
    <n v="56.731333333333332"/>
    <n v="2030.5916666666672"/>
    <n v="555.20000000000005"/>
    <n v="131.352"/>
    <n v="138.10900000000001"/>
    <n v="160.602"/>
    <n v="2.714"/>
    <n v="1129.4000000000001"/>
    <n v="262.00200000000001"/>
    <n v="292.42"/>
    <n v="320.17399999999998"/>
    <n v="6.3760000000000003"/>
    <n v="2.0342219020172911"/>
    <n v="1.9946555819477434"/>
    <n v="2.1173131367253402"/>
    <n v="1.993586630303483"/>
    <n v="2.3492999263080327"/>
    <m/>
  </r>
  <r>
    <x v="198"/>
    <x v="1"/>
    <n v="34.654581"/>
    <n v="9.4952659999999991"/>
    <n v="10.016281000000001"/>
    <n v="11.306718999999999"/>
    <n v="0.47979700000000003"/>
    <n v="3.3565179999999977"/>
    <n v="30.361650999999998"/>
    <n v="8.2328790000000005"/>
    <n v="8.9011700000000005"/>
    <n v="9.9102960000000007"/>
    <n v="0.42165799999999998"/>
    <n v="2.8956479999999978"/>
    <n v="23.907858999999998"/>
    <n v="3.084972"/>
    <n v="2.634252"/>
    <n v="2.920064"/>
    <n v="0.41214200000000001"/>
    <n v="14.856428999999999"/>
    <n v="6071.6586666666672"/>
    <n v="1313.7296666666668"/>
    <n v="1251.6270000000002"/>
    <n v="1428.8036666666667"/>
    <n v="44.554333333333339"/>
    <n v="2032.944"/>
    <n v="576.1"/>
    <n v="137.59100000000001"/>
    <n v="143.71899999999999"/>
    <n v="164.50399999999999"/>
    <n v="2.4590000000000001"/>
    <n v="1138.3"/>
    <n v="271.87099999999998"/>
    <n v="281.27999999999997"/>
    <n v="324.46300000000002"/>
    <n v="5.7969999999999997"/>
    <n v="1.9758722444020134"/>
    <n v="1.975935926041674"/>
    <n v="1.9571524989736917"/>
    <n v="1.9723714924865052"/>
    <n v="2.3574623830825536"/>
    <m/>
  </r>
  <r>
    <x v="199"/>
    <x v="1"/>
    <n v="33.960096"/>
    <n v="9.2989660000000001"/>
    <n v="10.020192"/>
    <n v="10.994061"/>
    <n v="0.33507700000000001"/>
    <n v="3.3117999999999981"/>
    <n v="29.719196"/>
    <n v="7.9828140000000003"/>
    <n v="8.9811250000000005"/>
    <n v="9.6530819999999995"/>
    <n v="0.28623199999999999"/>
    <n v="2.8159430000000008"/>
    <n v="23.239180000000001"/>
    <n v="2.8820790000000001"/>
    <n v="2.6273879999999998"/>
    <n v="2.7446009999999998"/>
    <n v="0.29638300000000001"/>
    <n v="14.688729"/>
    <n v="6071.6586666666672"/>
    <n v="1313.7296666666668"/>
    <n v="1251.6270000000002"/>
    <n v="1428.8036666666667"/>
    <n v="44.554333333333339"/>
    <n v="2032.944"/>
    <n v="563.9"/>
    <n v="134.78100000000001"/>
    <n v="144.20699999999999"/>
    <n v="160.93100000000001"/>
    <n v="1.702"/>
    <n v="1101.5999999999999"/>
    <n v="264.34699999999998"/>
    <n v="274.34199999999998"/>
    <n v="315.34800000000001"/>
    <n v="3.9119999999999999"/>
    <n v="1.9535378613229295"/>
    <n v="1.9613076027036449"/>
    <n v="1.9024180518282745"/>
    <n v="1.959523025395977"/>
    <n v="2.2984723854289073"/>
    <m/>
  </r>
  <r>
    <x v="200"/>
    <x v="1"/>
    <n v="30.281534000000001"/>
    <n v="8.3194169999999996"/>
    <n v="8.8499029999999994"/>
    <n v="10.209027000000001"/>
    <n v="0.24757799999999999"/>
    <n v="2.6556090000000019"/>
    <n v="25.00713"/>
    <n v="6.8636939999999997"/>
    <n v="7.5338419999999999"/>
    <n v="8.3251080000000002"/>
    <n v="0.19536500000000001"/>
    <n v="2.0891210000000022"/>
    <n v="18.842310000000001"/>
    <n v="2.2390249999999998"/>
    <n v="2.1379239999999999"/>
    <n v="2.1896680000000002"/>
    <n v="0.20353199999999999"/>
    <n v="12.072161000000001"/>
    <n v="6071.6586666666672"/>
    <n v="1313.7296666666668"/>
    <n v="1251.6270000000002"/>
    <n v="1428.8036666666667"/>
    <n v="44.554333333333339"/>
    <n v="2032.944"/>
    <n v="514"/>
    <n v="121.423"/>
    <n v="127.479"/>
    <n v="149.61199999999999"/>
    <n v="1.036"/>
    <n v="1002.1"/>
    <n v="235.119"/>
    <n v="252.256"/>
    <n v="288.49900000000002"/>
    <n v="2.343"/>
    <n v="1.9496108949416342"/>
    <n v="1.936362962535928"/>
    <n v="1.9788043520893637"/>
    <n v="1.9283145736972973"/>
    <n v="2.2615830115830113"/>
    <m/>
  </r>
  <r>
    <x v="201"/>
    <x v="1"/>
    <n v="29.379342999999999"/>
    <n v="7.9779070000000001"/>
    <n v="8.2811599999999999"/>
    <n v="10.139085999999999"/>
    <n v="0.30757999999999996"/>
    <n v="2.6736099999999965"/>
    <n v="24.206432"/>
    <n v="6.6750150000000001"/>
    <n v="7.0180069999999999"/>
    <n v="8.1401059999999994"/>
    <n v="0.25137999999999999"/>
    <n v="2.1219239999999999"/>
    <n v="18.982654"/>
    <n v="2.2924660000000001"/>
    <n v="2.0550519999999999"/>
    <n v="2.1851950000000002"/>
    <n v="0.25568999999999997"/>
    <n v="12.194251"/>
    <n v="5555.277000000001"/>
    <n v="1075.1980000000001"/>
    <n v="977.97299999999996"/>
    <n v="1327.8026666666667"/>
    <n v="49.844666666666662"/>
    <n v="2124.4586666666673"/>
    <n v="508.8"/>
    <n v="116.66200000000001"/>
    <n v="118.492"/>
    <n v="149.16800000000001"/>
    <n v="1.9610000000000001"/>
    <n v="1001.2"/>
    <n v="230.316"/>
    <n v="225.95599999999999"/>
    <n v="296.76400000000001"/>
    <n v="4.359"/>
    <n v="1.9677672955974843"/>
    <n v="1.9742161115016028"/>
    <n v="1.9069304256827464"/>
    <n v="1.9894615467124317"/>
    <n v="2.2228454869964303"/>
    <m/>
  </r>
  <r>
    <x v="202"/>
    <x v="1"/>
    <n v="26.26718"/>
    <n v="6.6415690000000005"/>
    <n v="6.7471319999999997"/>
    <n v="9.6095889999999997"/>
    <n v="0.46425900000000003"/>
    <n v="2.8046310000000005"/>
    <n v="21.263321999999999"/>
    <n v="5.4232659999999999"/>
    <n v="5.6274600000000001"/>
    <n v="7.5676480000000002"/>
    <n v="0.36844300000000002"/>
    <n v="2.2765049999999967"/>
    <n v="17.575113000000002"/>
    <n v="2.0573739999999998"/>
    <n v="1.7241439999999999"/>
    <n v="2.15787"/>
    <n v="0.35518899999999998"/>
    <n v="11.280536000000001"/>
    <n v="5555.277000000001"/>
    <n v="1075.1980000000001"/>
    <n v="977.97299999999996"/>
    <n v="1327.8026666666667"/>
    <n v="49.844666666666662"/>
    <n v="2124.4586666666673"/>
    <n v="457.7"/>
    <n v="96.834000000000003"/>
    <n v="95.114000000000004"/>
    <n v="141.38499999999999"/>
    <n v="1.92"/>
    <n v="904.1"/>
    <n v="189.68600000000001"/>
    <n v="189.565"/>
    <n v="280.48399999999998"/>
    <n v="4.4160000000000004"/>
    <n v="1.975311339305222"/>
    <n v="1.9588780800132186"/>
    <n v="1.9930294173307819"/>
    <n v="1.9838313823955864"/>
    <n v="2.3000000000000003"/>
    <m/>
  </r>
  <r>
    <x v="203"/>
    <x v="1"/>
    <n v="29.068822000000001"/>
    <n v="7.5328119999999998"/>
    <n v="7.4043049999999999"/>
    <n v="10.341766"/>
    <n v="0.49370299999999995"/>
    <n v="3.2962360000000004"/>
    <n v="24.576301999999998"/>
    <n v="6.3862519999999998"/>
    <n v="6.3976699999999997"/>
    <n v="8.6674009999999999"/>
    <n v="0.41773900000000003"/>
    <n v="2.7072399999999952"/>
    <n v="19.859635000000001"/>
    <n v="2.4408470000000002"/>
    <n v="2.0121030000000002"/>
    <n v="2.4844689999999998"/>
    <n v="0.39867000000000002"/>
    <n v="12.523546"/>
    <n v="5555.277000000001"/>
    <n v="1075.1980000000001"/>
    <n v="977.97299999999996"/>
    <n v="1327.8026666666667"/>
    <n v="49.844666666666662"/>
    <n v="2124.4586666666673"/>
    <n v="493"/>
    <n v="109.501"/>
    <n v="103.779"/>
    <n v="152.99299999999999"/>
    <n v="2.4279999999999999"/>
    <n v="979.5"/>
    <n v="217.369"/>
    <n v="211.143"/>
    <n v="303.17"/>
    <n v="5.6849999999999996"/>
    <n v="1.986815415821501"/>
    <n v="1.9850868941836146"/>
    <n v="2.0345445610383606"/>
    <n v="1.9815939291340128"/>
    <n v="2.3414332784184513"/>
    <m/>
  </r>
  <r>
    <x v="204"/>
    <x v="1"/>
    <n v="28.654852999999999"/>
    <n v="7.3059019999999997"/>
    <n v="7.7625760000000001"/>
    <n v="9.9751550000000009"/>
    <n v="0.35597699999999999"/>
    <n v="3.2552430000000001"/>
    <n v="23.322355999999999"/>
    <n v="5.9317330000000004"/>
    <n v="6.3658029999999997"/>
    <n v="8.0523019999999992"/>
    <n v="0.30025499999999999"/>
    <n v="2.6722630000000009"/>
    <n v="18.955397999999999"/>
    <n v="2.3525689999999999"/>
    <n v="2.0598960000000002"/>
    <n v="2.2843339999999999"/>
    <n v="0.30151600000000001"/>
    <n v="11.957082999999997"/>
    <n v="4540.407666666667"/>
    <n v="822.13733333333323"/>
    <n v="740.94433333333336"/>
    <n v="967.04100000000005"/>
    <n v="40.504666666666665"/>
    <n v="1969.7803333333336"/>
    <n v="478.5"/>
    <n v="104.812"/>
    <n v="108.35"/>
    <n v="147.27600000000001"/>
    <n v="1.401"/>
    <n v="944.9"/>
    <n v="206.41300000000001"/>
    <n v="207.43600000000001"/>
    <n v="295.45299999999997"/>
    <n v="3.3090000000000002"/>
    <n v="1.9747126436781608"/>
    <n v="1.9693641949395109"/>
    <n v="1.9144993077988004"/>
    <n v="2.0061177652842281"/>
    <n v="2.3618843683083512"/>
    <m/>
  </r>
  <r>
    <x v="205"/>
    <x v="1"/>
    <n v="24.250243999999999"/>
    <n v="6.1996919999999998"/>
    <n v="6.4634960000000001"/>
    <n v="8.2468269999999997"/>
    <n v="0.32685399999999998"/>
    <n v="3.0133749999999964"/>
    <n v="18.473969"/>
    <n v="4.773015"/>
    <n v="5.0463789999999999"/>
    <n v="5.9616249999999997"/>
    <n v="0.27946700000000002"/>
    <n v="2.4134830000000029"/>
    <n v="15.829198"/>
    <n v="2.099377"/>
    <n v="1.7543169999999999"/>
    <n v="1.8631759999999999"/>
    <n v="0.27762500000000001"/>
    <n v="9.8347029999999993"/>
    <n v="4540.407666666667"/>
    <n v="822.13733333333323"/>
    <n v="740.94433333333336"/>
    <n v="967.04100000000005"/>
    <n v="40.504666666666665"/>
    <n v="1969.7803333333336"/>
    <n v="402.1"/>
    <n v="89.180999999999997"/>
    <n v="89.97"/>
    <n v="119.68"/>
    <n v="1.4450000000000001"/>
    <n v="739.5"/>
    <n v="159.327"/>
    <n v="172.85900000000001"/>
    <n v="218.40700000000001"/>
    <n v="3.0379999999999998"/>
    <n v="1.839094752549117"/>
    <n v="1.7865576748410537"/>
    <n v="1.9212959875514062"/>
    <n v="1.8249247994652407"/>
    <n v="2.1024221453287195"/>
    <m/>
  </r>
  <r>
    <x v="206"/>
    <x v="1"/>
    <n v="17.473772"/>
    <n v="4.2111080000000003"/>
    <n v="4.362762"/>
    <n v="6.0912700000000006"/>
    <n v="0.31363099999999999"/>
    <n v="2.4950009999999985"/>
    <n v="10.199191000000001"/>
    <n v="2.5433379999999999"/>
    <n v="2.633775"/>
    <n v="3.3107989999999998"/>
    <n v="0.20825199999999999"/>
    <n v="1.5030270000000012"/>
    <n v="8.9569449999999993"/>
    <n v="1.1844129999999999"/>
    <n v="0.97720899999999999"/>
    <n v="1.063399"/>
    <n v="0.20067199999999999"/>
    <n v="5.5312519999999994"/>
    <n v="4540.407666666667"/>
    <n v="822.13733333333323"/>
    <n v="740.94433333333336"/>
    <n v="967.04100000000005"/>
    <n v="40.504666666666665"/>
    <n v="1969.7803333333336"/>
    <n v="320.2"/>
    <n v="58.826999999999998"/>
    <n v="57.412999999999997"/>
    <n v="89.432000000000002"/>
    <n v="1.0109999999999999"/>
    <n v="485.3"/>
    <n v="82.103999999999999"/>
    <n v="92.617999999999995"/>
    <n v="139.416"/>
    <n v="1.8620000000000001"/>
    <n v="1.5156152404747034"/>
    <n v="1.3956856545463818"/>
    <n v="1.6131886506540332"/>
    <n v="1.5589050899007066"/>
    <n v="1.841740850642928"/>
    <m/>
  </r>
  <r>
    <x v="207"/>
    <x v="1"/>
    <n v="1.538478"/>
    <n v="0.41785300000000003"/>
    <n v="0.38176399999999999"/>
    <n v="0.56690700000000005"/>
    <n v="0"/>
    <n v="0.17195399999999994"/>
    <n v="0.356402"/>
    <n v="5.2682E-2"/>
    <n v="0.138493"/>
    <n v="0.12149600000000001"/>
    <n v="0"/>
    <n v="4.3730999999999964E-2"/>
    <n v="0.40132899999999999"/>
    <n v="2.5465999999999999E-2"/>
    <n v="3.4556999999999997E-2"/>
    <n v="3.5528999999999998E-2"/>
    <m/>
    <n v="0.30577699999999997"/>
    <n v="2213.5920000000001"/>
    <n v="69.200333333333333"/>
    <n v="88.080666666666673"/>
    <n v="183.21100000000001"/>
    <n v="0.13433333333333333"/>
    <n v="1872.9656666666667"/>
    <n v="133.80000000000001"/>
    <n v="4.7960000000000003"/>
    <n v="4.266"/>
    <n v="25.407"/>
    <n v="1.2999999999999999E-2"/>
    <n v="162.4"/>
    <n v="4.6619999999999999"/>
    <n v="19.681000000000001"/>
    <n v="28.503"/>
    <n v="2.8000000000000001E-2"/>
    <n v="1.2137518684603885"/>
    <n v="0.97206005004170137"/>
    <n v="4.6134552273792782"/>
    <n v="1.1218561813673398"/>
    <n v="2.1538461538461542"/>
    <m/>
  </r>
  <r>
    <x v="208"/>
    <x v="1"/>
    <n v="1.7446159999999999"/>
    <n v="0.42919600000000002"/>
    <n v="0.382772"/>
    <n v="0.765795"/>
    <n v="0"/>
    <n v="0.16685299999999992"/>
    <n v="0.47853699999999999"/>
    <n v="0.104035"/>
    <n v="0.118574"/>
    <n v="0.19356000000000001"/>
    <n v="0"/>
    <n v="6.2367999999999979E-2"/>
    <n v="0.372915"/>
    <n v="4.5678999999999997E-2"/>
    <n v="2.8310999999999999E-2"/>
    <n v="5.4538000000000003E-2"/>
    <m/>
    <n v="0.24438699999999999"/>
    <n v="2213.5920000000001"/>
    <n v="69.200333333333333"/>
    <n v="88.080666666666673"/>
    <n v="183.21100000000001"/>
    <n v="0.13433333333333333"/>
    <n v="1872.9656666666667"/>
    <n v="156.4"/>
    <n v="5.1239999999999997"/>
    <n v="4.7839999999999998"/>
    <n v="38.877000000000002"/>
    <n v="0"/>
    <n v="149.69999999999999"/>
    <n v="4.4969999999999999"/>
    <n v="7.1970000000000001"/>
    <n v="34.414999999999999"/>
    <n v="0"/>
    <n v="0.957161125319693"/>
    <n v="0.8776346604215457"/>
    <n v="1.5043896321070236"/>
    <n v="0.88522776963243044"/>
    <n v="0"/>
    <m/>
  </r>
  <r>
    <x v="209"/>
    <x v="1"/>
    <n v="2.5718510000000001"/>
    <n v="0.77815599999999996"/>
    <n v="0.63922999999999996"/>
    <n v="0.912165"/>
    <n v="0"/>
    <n v="0.24230000000000018"/>
    <n v="0.893571"/>
    <n v="0.24936800000000001"/>
    <n v="0.21871499999999999"/>
    <n v="0.31091099999999999"/>
    <n v="0"/>
    <n v="0.11457700000000004"/>
    <n v="0.803948"/>
    <n v="0.13594000000000001"/>
    <n v="5.9655E-2"/>
    <n v="9.6671000000000007E-2"/>
    <m/>
    <n v="0.51168199999999997"/>
    <n v="2213.5920000000001"/>
    <n v="69.200333333333333"/>
    <n v="88.080666666666673"/>
    <n v="183.21100000000001"/>
    <n v="0.13433333333333333"/>
    <n v="1872.9656666666667"/>
    <n v="164.4"/>
    <n v="9.7070000000000007"/>
    <n v="8.3160000000000007"/>
    <n v="37.409999999999997"/>
    <n v="0"/>
    <n v="161"/>
    <n v="9.4410000000000007"/>
    <n v="11.298999999999999"/>
    <n v="37.569000000000003"/>
    <n v="0"/>
    <n v="0.97931873479318732"/>
    <n v="0.97259709487998347"/>
    <n v="1.3587061087061085"/>
    <n v="1.0042502004811549"/>
    <n v="0"/>
    <m/>
  </r>
  <r>
    <x v="210"/>
    <x v="1"/>
    <n v="5.4744739999999998"/>
    <n v="1.347955"/>
    <n v="1.3289230000000001"/>
    <n v="1.6595869999999999"/>
    <n v="0.105256"/>
    <n v="1.0327529999999996"/>
    <n v="1.980785"/>
    <n v="0.47891499999999998"/>
    <n v="0.424508"/>
    <n v="0.55842400000000003"/>
    <n v="4.5768999999999997E-2"/>
    <n v="0.47316899999999995"/>
    <n v="1.8621220000000001"/>
    <n v="0.330341"/>
    <n v="0.151924"/>
    <n v="0.186585"/>
    <n v="4.1048000000000001E-2"/>
    <n v="1.1522240000000001"/>
    <n v="2668.2870000000003"/>
    <n v="155.33566666666667"/>
    <n v="155.071"/>
    <n v="272.38333333333333"/>
    <n v="6.6020000000000003"/>
    <n v="2078.8950000000004"/>
    <n v="197.4"/>
    <n v="16.940999999999999"/>
    <n v="15.817"/>
    <n v="44.323999999999998"/>
    <n v="0.112"/>
    <n v="228.8"/>
    <n v="19.135999999999999"/>
    <n v="18.759"/>
    <n v="51.359000000000002"/>
    <n v="0.158"/>
    <n v="1.1590678824721379"/>
    <n v="1.1295673218818252"/>
    <n v="1.186002402478346"/>
    <n v="1.1587176247631081"/>
    <n v="1.4107142857142858"/>
    <m/>
  </r>
  <r>
    <x v="211"/>
    <x v="1"/>
    <n v="7.0970890000000004"/>
    <n v="1.5404680000000002"/>
    <n v="1.90862"/>
    <n v="2.4871329999999996"/>
    <n v="9.7581000000000001E-2"/>
    <n v="1.0632870000000008"/>
    <n v="2.6252279999999999"/>
    <n v="0.52322900000000006"/>
    <n v="0.608433"/>
    <n v="0.91367100000000001"/>
    <n v="5.1833999999999998E-2"/>
    <n v="0.52806100000000011"/>
    <n v="2.2980930000000002"/>
    <n v="0.34985100000000002"/>
    <n v="0.225165"/>
    <n v="0.30599599999999999"/>
    <n v="4.6434000000000003E-2"/>
    <n v="1.3706470000000004"/>
    <n v="2668.2870000000003"/>
    <n v="155.33566666666667"/>
    <n v="155.071"/>
    <n v="272.38333333333333"/>
    <n v="6.6020000000000003"/>
    <n v="2078.8950000000004"/>
    <n v="212.5"/>
    <n v="19.523"/>
    <n v="19.93"/>
    <n v="53.78"/>
    <n v="0.17899999999999999"/>
    <n v="254.6"/>
    <n v="22.481000000000002"/>
    <n v="25.914999999999999"/>
    <n v="63.353000000000002"/>
    <n v="0.25800000000000001"/>
    <n v="1.1981176470588235"/>
    <n v="1.1515135993443633"/>
    <n v="1.3003010536879076"/>
    <n v="1.1780029750836742"/>
    <n v="1.4413407821229052"/>
    <m/>
  </r>
  <r>
    <x v="212"/>
    <x v="1"/>
    <n v="7.2798189999999998"/>
    <n v="1.4864649999999999"/>
    <n v="2.0139549999999997"/>
    <n v="2.727023"/>
    <n v="9.6321000000000004E-2"/>
    <n v="0.95605500000000099"/>
    <n v="2.5870609999999998"/>
    <n v="0.52315299999999998"/>
    <n v="0.60372199999999998"/>
    <n v="0.88884600000000002"/>
    <n v="5.0313999999999998E-2"/>
    <n v="0.52102599999999955"/>
    <n v="2.2805979999999999"/>
    <n v="0.35659999999999997"/>
    <n v="0.23863899999999999"/>
    <n v="0.31044300000000002"/>
    <n v="4.5171000000000003E-2"/>
    <n v="1.329745"/>
    <n v="2668.2870000000003"/>
    <n v="155.33566666666667"/>
    <n v="155.071"/>
    <n v="272.38333333333333"/>
    <n v="6.6020000000000003"/>
    <n v="2078.8950000000004"/>
    <n v="219.4"/>
    <n v="19.965"/>
    <n v="24.533999999999999"/>
    <n v="58.81"/>
    <n v="0.12"/>
    <n v="253.3"/>
    <n v="22.193000000000001"/>
    <n v="31.492000000000001"/>
    <n v="66.933000000000007"/>
    <n v="0.16200000000000001"/>
    <n v="1.1545123062898814"/>
    <n v="1.1115952917605811"/>
    <n v="1.2836064237384854"/>
    <n v="1.1381227682366946"/>
    <n v="1.35"/>
    <m/>
  </r>
  <r>
    <x v="213"/>
    <x v="1"/>
    <n v="8.8809070000000006"/>
    <n v="1.834678"/>
    <n v="2.5024160000000002"/>
    <n v="3.0797109999999996"/>
    <n v="0.14227799999999999"/>
    <n v="1.3218240000000003"/>
    <n v="3.432572"/>
    <n v="0.77366100000000004"/>
    <n v="0.76460600000000001"/>
    <n v="1.075326"/>
    <n v="6.9098000000000007E-2"/>
    <n v="0.74988100000000024"/>
    <n v="2.9696509999999998"/>
    <n v="0.53626200000000002"/>
    <n v="0.33131899999999997"/>
    <n v="0.40484100000000001"/>
    <n v="6.4498E-2"/>
    <n v="1.6327309999999999"/>
    <n v="3271.7959999999998"/>
    <n v="293.96266666666662"/>
    <n v="233.54333333333329"/>
    <n v="392.19733333333335"/>
    <n v="14.097999999999999"/>
    <n v="2337.9946666666665"/>
    <n v="238.5"/>
    <n v="24.533000000000001"/>
    <n v="30.259"/>
    <n v="62.573"/>
    <n v="0.11"/>
    <n v="267"/>
    <n v="27.547000000000001"/>
    <n v="36.777999999999999"/>
    <n v="68.534999999999997"/>
    <n v="0.14699999999999999"/>
    <n v="1.1194968553459119"/>
    <n v="1.1228549300941588"/>
    <n v="1.2154400343699394"/>
    <n v="1.0952807121282342"/>
    <n v="1.3363636363636362"/>
    <m/>
  </r>
  <r>
    <x v="214"/>
    <x v="1"/>
    <n v="10.197569"/>
    <n v="2.2460500000000003"/>
    <n v="2.6735900000000004"/>
    <n v="3.5327169999999999"/>
    <n v="0.22295599999999999"/>
    <n v="1.5222559999999987"/>
    <n v="4.2370559999999999"/>
    <n v="1.066163"/>
    <n v="0.86044299999999996"/>
    <n v="1.3646480000000001"/>
    <n v="9.9085999999999994E-2"/>
    <n v="0.8467159999999998"/>
    <n v="3.5531389999999998"/>
    <n v="0.73647799999999997"/>
    <n v="0.38035000000000002"/>
    <n v="0.54148700000000005"/>
    <n v="8.8231000000000004E-2"/>
    <n v="1.8065929999999999"/>
    <n v="3271.7959999999998"/>
    <n v="293.96266666666662"/>
    <n v="233.54333333333329"/>
    <n v="392.19733333333335"/>
    <n v="14.097999999999999"/>
    <n v="2337.9946666666665"/>
    <n v="251.6"/>
    <n v="29.216999999999999"/>
    <n v="31.507000000000001"/>
    <n v="69.956999999999994"/>
    <n v="0.23499999999999999"/>
    <n v="295"/>
    <n v="34.435000000000002"/>
    <n v="38.402000000000001"/>
    <n v="81.484999999999999"/>
    <n v="0.33500000000000002"/>
    <n v="1.1724960254372019"/>
    <n v="1.1785946537974468"/>
    <n v="1.2188402577205066"/>
    <n v="1.1647869405491946"/>
    <n v="1.4255319148936172"/>
    <m/>
  </r>
  <r>
    <x v="215"/>
    <x v="1"/>
    <n v="12.306346"/>
    <n v="2.4635289999999999"/>
    <n v="3.2571309999999998"/>
    <n v="4.1452169999999997"/>
    <n v="0.209285"/>
    <n v="2.2311840000000007"/>
    <n v="5.7486769999999998"/>
    <n v="1.366395"/>
    <n v="1.2087129999999999"/>
    <n v="1.85277"/>
    <n v="0.131941"/>
    <n v="1.1888579999999997"/>
    <n v="4.7638150000000001"/>
    <n v="0.92306200000000005"/>
    <n v="0.52250799999999997"/>
    <n v="0.71689999999999998"/>
    <n v="0.12015099999999999"/>
    <n v="2.4811940000000003"/>
    <n v="3271.7959999999998"/>
    <n v="293.96266666666662"/>
    <n v="233.54333333333329"/>
    <n v="392.19733333333335"/>
    <n v="14.097999999999999"/>
    <n v="2337.9946666666665"/>
    <n v="271.8"/>
    <n v="31.184000000000001"/>
    <n v="37.484999999999999"/>
    <n v="77.802999999999997"/>
    <n v="0.54500000000000004"/>
    <n v="379.3"/>
    <n v="42.103999999999999"/>
    <n v="71.778999999999996"/>
    <n v="101.376"/>
    <n v="0.90600000000000003"/>
    <n v="1.3955114054451803"/>
    <n v="1.3501795792714211"/>
    <n v="1.9148726157129519"/>
    <n v="1.3029831754559593"/>
    <n v="1.6623853211009174"/>
    <m/>
  </r>
  <r>
    <x v="216"/>
    <x v="1"/>
    <n v="12.92005"/>
    <n v="2.997814"/>
    <n v="3.5866700000000002"/>
    <n v="3.867213"/>
    <n v="0.20283099999999998"/>
    <n v="2.2655220000000007"/>
    <n v="5.4326350000000003"/>
    <n v="1.282727"/>
    <n v="1.227352"/>
    <n v="1.685171"/>
    <n v="0.112678"/>
    <n v="1.1247070000000008"/>
    <n v="4.5057960000000001"/>
    <n v="0.82516199999999995"/>
    <n v="0.53015900000000005"/>
    <n v="0.62844299999999997"/>
    <n v="0.100464"/>
    <n v="2.4215680000000002"/>
    <n v="3215.8666666666663"/>
    <n v="302.25266666666664"/>
    <n v="234.76199999999997"/>
    <n v="369.7526666666667"/>
    <n v="16.228666666666665"/>
    <n v="2292.8706666666667"/>
    <n v="265.2"/>
    <n v="36.823999999999998"/>
    <n v="40.485999999999997"/>
    <n v="67.403999999999996"/>
    <n v="0.34699999999999998"/>
    <n v="394.4"/>
    <n v="53.53"/>
    <n v="66.251999999999995"/>
    <n v="96.852999999999994"/>
    <n v="0.59399999999999997"/>
    <n v="1.4871794871794872"/>
    <n v="1.4536715185748426"/>
    <n v="1.6364175270463863"/>
    <n v="1.4369028544300042"/>
    <n v="1.7118155619596542"/>
    <m/>
  </r>
  <r>
    <x v="217"/>
    <x v="1"/>
    <n v="10.963317"/>
    <n v="2.8354470000000003"/>
    <n v="3.0319729999999998"/>
    <n v="3.0379549999999997"/>
    <n v="0.173762"/>
    <n v="1.8841800000000006"/>
    <n v="3.8397060000000001"/>
    <n v="0.93059999999999998"/>
    <n v="0.87230200000000002"/>
    <n v="1.1431640000000001"/>
    <n v="8.3126000000000005E-2"/>
    <n v="0.81051399999999996"/>
    <n v="2.9944510000000002"/>
    <n v="0.60012600000000005"/>
    <n v="0.39402500000000001"/>
    <n v="0.42255199999999998"/>
    <n v="7.2249999999999995E-2"/>
    <n v="1.5054980000000002"/>
    <n v="3215.8666666666663"/>
    <n v="302.25266666666664"/>
    <n v="234.76199999999997"/>
    <n v="369.7526666666667"/>
    <n v="16.228666666666665"/>
    <n v="2292.8706666666667"/>
    <n v="230.7"/>
    <n v="34.067"/>
    <n v="34.753999999999998"/>
    <n v="59.124000000000002"/>
    <n v="0.32300000000000001"/>
    <n v="359.5"/>
    <n v="54.62"/>
    <n v="55.9"/>
    <n v="91.081999999999994"/>
    <n v="0.60699999999999998"/>
    <n v="1.5583008235804074"/>
    <n v="1.6033111222003698"/>
    <n v="1.60844794843759"/>
    <n v="1.5405249983086393"/>
    <n v="1.8792569659442724"/>
    <m/>
  </r>
  <r>
    <x v="218"/>
    <x v="1"/>
    <n v="13.508817000000001"/>
    <n v="3.7272430000000001"/>
    <n v="3.541077"/>
    <n v="3.8852829999999998"/>
    <n v="0.28495600000000004"/>
    <n v="2.0702580000000008"/>
    <n v="5.8664050000000003"/>
    <n v="1.552786"/>
    <n v="1.217098"/>
    <n v="1.7241420000000001"/>
    <n v="0.19192500000000001"/>
    <n v="1.1804540000000001"/>
    <n v="4.613016"/>
    <n v="1.085844"/>
    <n v="0.55370299999999995"/>
    <n v="0.71412600000000004"/>
    <n v="0.16258400000000001"/>
    <n v="2.0967590000000005"/>
    <n v="3215.8666666666663"/>
    <n v="302.25266666666664"/>
    <n v="234.76199999999997"/>
    <n v="369.7526666666667"/>
    <n v="16.228666666666665"/>
    <n v="2292.8706666666667"/>
    <n v="289.7"/>
    <n v="45.738999999999997"/>
    <n v="43.106999999999999"/>
    <n v="74.12"/>
    <n v="1.0569999999999999"/>
    <n v="520.4"/>
    <n v="78.558999999999997"/>
    <n v="107.02"/>
    <n v="125.92"/>
    <n v="2.1429999999999998"/>
    <n v="1.7963410424577149"/>
    <n v="1.7175495747611449"/>
    <n v="2.4826594288630615"/>
    <n v="1.6988667026443605"/>
    <n v="2.0274361400189216"/>
    <m/>
  </r>
  <r>
    <x v="219"/>
    <x v="1"/>
    <n v="14.128079"/>
    <n v="4.291417"/>
    <n v="3.5773069999999998"/>
    <n v="4.0057070000000001"/>
    <n v="0.32023399999999996"/>
    <n v="1.9334139999999991"/>
    <n v="6.6664870000000001"/>
    <n v="1.8539159999999999"/>
    <n v="1.3270770000000001"/>
    <n v="1.917632"/>
    <n v="0.24088999999999999"/>
    <n v="1.3269719999999996"/>
    <n v="5.4907550000000001"/>
    <n v="1.3041450000000001"/>
    <n v="0.59937200000000002"/>
    <n v="0.83995799999999998"/>
    <n v="0.202039"/>
    <n v="2.5452409999999999"/>
    <n v="4042.1039999999998"/>
    <n v="502.03199999999998"/>
    <n v="377.8296666666667"/>
    <n v="568.31533333333334"/>
    <n v="42.20066666666667"/>
    <n v="2551.7263333333331"/>
    <n v="300.2"/>
    <n v="53.494999999999997"/>
    <n v="44.872"/>
    <n v="72.89"/>
    <n v="1.246"/>
    <n v="519.79999999999995"/>
    <n v="92.99"/>
    <n v="79.159000000000006"/>
    <n v="126.66800000000001"/>
    <n v="2.4609999999999999"/>
    <n v="1.7315123251165889"/>
    <n v="1.7382932984391064"/>
    <n v="1.7641067926546623"/>
    <n v="1.7377966799286597"/>
    <n v="1.9751203852327446"/>
    <m/>
  </r>
  <r>
    <x v="220"/>
    <x v="1"/>
    <n v="15.384570999999999"/>
    <n v="4.3238120000000002"/>
    <n v="3.8380909999999999"/>
    <n v="4.4900789999999997"/>
    <n v="0.34292500000000004"/>
    <n v="2.3896639999999998"/>
    <n v="8.1652170000000002"/>
    <n v="2.2355200000000002"/>
    <n v="1.8827449999999999"/>
    <n v="2.061957"/>
    <n v="0.29092899999999999"/>
    <n v="1.6940659999999994"/>
    <n v="7.0057499999999999"/>
    <n v="1.5073129999999999"/>
    <n v="0.86452700000000005"/>
    <n v="0.96409500000000004"/>
    <n v="0.24637400000000001"/>
    <n v="3.4234410000000004"/>
    <n v="4042.1039999999998"/>
    <n v="502.03199999999998"/>
    <n v="377.8296666666667"/>
    <n v="568.31533333333334"/>
    <n v="42.20066666666667"/>
    <n v="2551.7263333333331"/>
    <n v="318.60000000000002"/>
    <n v="55.265000000000001"/>
    <n v="49.325000000000003"/>
    <n v="77.852999999999994"/>
    <n v="1.7749999999999999"/>
    <n v="618.29999999999995"/>
    <n v="98.998999999999995"/>
    <n v="137.34200000000001"/>
    <n v="139.571"/>
    <n v="3.6970000000000001"/>
    <n v="1.9406779661016946"/>
    <n v="1.7913507644983262"/>
    <n v="2.7844298023314749"/>
    <n v="1.7927504399316663"/>
    <n v="2.0828169014084508"/>
    <m/>
  </r>
  <r>
    <x v="221"/>
    <x v="1"/>
    <n v="17.096551000000002"/>
    <n v="4.720256"/>
    <n v="3.9917539999999998"/>
    <n v="5.2403639999999996"/>
    <n v="0.37222899999999998"/>
    <n v="2.7719480000000019"/>
    <n v="10.814518"/>
    <n v="2.8811599999999999"/>
    <n v="2.3578730000000001"/>
    <n v="3.148555"/>
    <n v="0.33368999999999999"/>
    <n v="2.093239999999998"/>
    <n v="8.9668089999999996"/>
    <n v="1.729887"/>
    <n v="0.99502699999999999"/>
    <n v="1.3488720000000001"/>
    <n v="0.27666099999999999"/>
    <n v="4.6163619999999996"/>
    <n v="4042.1039999999998"/>
    <n v="502.03199999999998"/>
    <n v="377.8296666666667"/>
    <n v="568.31533333333334"/>
    <n v="42.20066666666667"/>
    <n v="2551.7263333333331"/>
    <n v="332"/>
    <n v="61.811"/>
    <n v="49.325000000000003"/>
    <n v="84.926000000000002"/>
    <n v="2.2410000000000001"/>
    <n v="655.8"/>
    <n v="116.333"/>
    <n v="137.34200000000001"/>
    <n v="160.22900000000001"/>
    <n v="4.84"/>
    <n v="1.9753012048192771"/>
    <n v="1.8820760058889194"/>
    <n v="2.7844298023314749"/>
    <n v="1.8866895885830017"/>
    <n v="2.1597501115573401"/>
    <m/>
  </r>
  <r>
    <x v="222"/>
    <x v="1"/>
    <n v="19.143062"/>
    <n v="5.1156819999999996"/>
    <n v="4.4863169999999997"/>
    <n v="6.1187230000000001"/>
    <n v="0.41306799999999999"/>
    <n v="3.0092720000000028"/>
    <n v="13.494018000000001"/>
    <n v="3.4187949999999998"/>
    <n v="3.0512320000000002"/>
    <n v="4.1943339999999996"/>
    <n v="0.366261"/>
    <n v="2.4633960000000013"/>
    <n v="10.807669000000001"/>
    <n v="1.9210780000000001"/>
    <n v="1.1915359999999999"/>
    <n v="1.6551880000000001"/>
    <n v="0.29984499999999997"/>
    <n v="5.7400220000000006"/>
    <n v="4669.958333333333"/>
    <n v="616.55533333333335"/>
    <n v="584.3696666666666"/>
    <n v="779.41733333333332"/>
    <n v="50.925333333333334"/>
    <n v="2638.6906666666664"/>
    <n v="354.5"/>
    <n v="68.465999999999994"/>
    <n v="57.13"/>
    <n v="88.087999999999994"/>
    <n v="2.476"/>
    <n v="704.1"/>
    <n v="134.666"/>
    <n v="114.706"/>
    <n v="173.435"/>
    <n v="5.5990000000000002"/>
    <n v="1.9861777150916784"/>
    <n v="1.9669032804603745"/>
    <n v="2.0078067565202171"/>
    <n v="1.9688833893379349"/>
    <n v="2.2613085621970921"/>
    <m/>
  </r>
  <r>
    <x v="223"/>
    <x v="1"/>
    <n v="19.299779999999998"/>
    <n v="4.7830630000000003"/>
    <n v="4.8381499999999997"/>
    <n v="6.4072619999999993"/>
    <n v="0.405831"/>
    <n v="2.865473999999999"/>
    <n v="13.311741"/>
    <n v="3.1332110000000002"/>
    <n v="3.4053629999999999"/>
    <n v="4.300084"/>
    <n v="0.32388099999999997"/>
    <n v="2.1492019999999989"/>
    <n v="10.508190000000001"/>
    <n v="1.586292"/>
    <n v="1.236062"/>
    <n v="1.5690519999999999"/>
    <n v="0.262795"/>
    <n v="5.8539890000000012"/>
    <n v="4669.958333333333"/>
    <n v="616.55533333333335"/>
    <n v="584.3696666666666"/>
    <n v="779.41733333333332"/>
    <n v="50.925333333333334"/>
    <n v="2638.6906666666664"/>
    <n v="357.7"/>
    <n v="64.516999999999996"/>
    <n v="62.225999999999999"/>
    <n v="91.986000000000004"/>
    <n v="1.9019999999999999"/>
    <n v="701.9"/>
    <n v="125.637"/>
    <n v="121.434"/>
    <n v="181.60499999999999"/>
    <n v="4.2089999999999996"/>
    <n v="1.9622588761532009"/>
    <n v="1.9473472108126542"/>
    <n v="1.9514993732523382"/>
    <n v="1.9742678233644249"/>
    <n v="2.2129337539432177"/>
    <m/>
  </r>
  <r>
    <x v="224"/>
    <x v="1"/>
    <n v="17.668275999999999"/>
    <n v="4.3688860000000007"/>
    <n v="4.5707619999999993"/>
    <n v="5.8954139999999997"/>
    <n v="0.29113799999999995"/>
    <n v="2.542075999999998"/>
    <n v="10.421032"/>
    <n v="2.452572"/>
    <n v="2.7809149999999998"/>
    <n v="3.3553000000000002"/>
    <n v="0.21226900000000001"/>
    <n v="1.6199760000000012"/>
    <n v="8.2474880000000006"/>
    <n v="1.185759"/>
    <n v="0.97902500000000003"/>
    <n v="1.1651670000000001"/>
    <n v="0.17799599999999999"/>
    <n v="4.7395410000000009"/>
    <n v="4669.958333333333"/>
    <n v="616.55533333333335"/>
    <n v="584.3696666666666"/>
    <n v="779.41733333333332"/>
    <n v="50.925333333333334"/>
    <n v="2638.6906666666664"/>
    <n v="338.8"/>
    <n v="58.290999999999997"/>
    <n v="61.015999999999998"/>
    <n v="83.597999999999999"/>
    <n v="1.2350000000000001"/>
    <n v="659.3"/>
    <n v="115.681"/>
    <n v="109.178"/>
    <n v="166.14699999999999"/>
    <n v="2.8279999999999998"/>
    <n v="1.9459858323494685"/>
    <n v="1.984543068398209"/>
    <n v="1.789333945194703"/>
    <n v="1.9874518529151415"/>
    <n v="2.2898785425101211"/>
    <m/>
  </r>
  <r>
    <x v="225"/>
    <x v="1"/>
    <n v="18.105231"/>
    <n v="4.6846969999999999"/>
    <n v="4.507403"/>
    <n v="5.9478970000000002"/>
    <n v="0.31515399999999999"/>
    <n v="2.6500799999999991"/>
    <n v="10.983903"/>
    <n v="2.835556"/>
    <n v="2.7178179999999998"/>
    <n v="3.4346559999999999"/>
    <n v="0.25015799999999999"/>
    <n v="1.7457149999999988"/>
    <n v="8.7575050000000001"/>
    <n v="1.4321630000000001"/>
    <n v="0.987236"/>
    <n v="1.248675"/>
    <n v="0.21833900000000001"/>
    <n v="4.871092"/>
    <n v="4166.4577500000005"/>
    <n v="340.99376178234797"/>
    <n v="402.34326870642644"/>
    <n v="470.22495367298751"/>
    <n v="49.844666666666662"/>
    <n v="2903.0510991715719"/>
    <n v="348.9"/>
    <m/>
    <m/>
    <m/>
    <m/>
    <n v="771.8"/>
    <m/>
    <m/>
    <m/>
    <m/>
    <n v="2.2120951562052165"/>
    <m/>
    <m/>
    <m/>
    <m/>
    <m/>
  </r>
  <r>
    <x v="226"/>
    <x v="1"/>
    <n v="0"/>
    <n v="0"/>
    <n v="0"/>
    <n v="0"/>
    <n v="0"/>
    <n v="0"/>
    <n v="0"/>
    <n v="0"/>
    <n v="0"/>
    <n v="0"/>
    <n v="0"/>
    <n v="0"/>
    <n v="10.161681"/>
    <m/>
    <m/>
    <m/>
    <m/>
    <n v="10.161681"/>
    <n v="4166.4577500000005"/>
    <n v="340.99376178234797"/>
    <n v="402.34326870642644"/>
    <n v="470.22495367298751"/>
    <n v="49.844666666666662"/>
    <n v="2903.0510991715719"/>
    <n v="339.6"/>
    <m/>
    <m/>
    <m/>
    <m/>
    <n v="789.7"/>
    <m/>
    <m/>
    <m/>
    <m/>
    <n v="2.3253828032979977"/>
    <m/>
    <m/>
    <m/>
    <m/>
    <m/>
  </r>
  <r>
    <x v="227"/>
    <x v="1"/>
    <n v="0"/>
    <n v="0"/>
    <n v="0"/>
    <n v="0"/>
    <n v="0"/>
    <n v="0"/>
    <n v="0"/>
    <n v="0"/>
    <n v="0"/>
    <n v="0"/>
    <n v="0"/>
    <n v="0"/>
    <n v="12.117732999999999"/>
    <m/>
    <m/>
    <m/>
    <m/>
    <n v="12.117732999999999"/>
    <n v="4166.4577500000005"/>
    <n v="340.99376178234797"/>
    <n v="402.34326870642644"/>
    <n v="470.22495367298751"/>
    <n v="49.844666666666662"/>
    <n v="2903.0510991715719"/>
    <n v="371.6"/>
    <m/>
    <m/>
    <m/>
    <m/>
    <n v="793.2"/>
    <m/>
    <m/>
    <m/>
    <m/>
    <n v="2.1345532831001077"/>
    <m/>
    <m/>
    <m/>
    <m/>
    <m/>
  </r>
  <r>
    <x v="228"/>
    <x v="1"/>
    <n v="0"/>
    <n v="0"/>
    <n v="0"/>
    <n v="0"/>
    <n v="0"/>
    <n v="0"/>
    <n v="0"/>
    <n v="0"/>
    <n v="0"/>
    <n v="0"/>
    <n v="0"/>
    <n v="0"/>
    <n v="9.8731390000000001"/>
    <m/>
    <m/>
    <m/>
    <m/>
    <n v="9.8731390000000001"/>
    <n v="0"/>
    <n v="0"/>
    <n v="0"/>
    <n v="0"/>
    <n v="0"/>
    <n v="0"/>
    <n v="359.6"/>
    <m/>
    <m/>
    <m/>
    <m/>
    <n v="844.4"/>
    <m/>
    <m/>
    <m/>
    <m/>
    <n v="2.348164627363737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6DF30B4-060E-40A4-8DF8-BB95B1916B76}" name="Load Factor"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3">
  <location ref="I13:N33" firstHeaderRow="0" firstDataRow="1" firstDataCol="1"/>
  <pivotFields count="91">
    <pivotField numFmtId="207" showAll="0">
      <items count="15">
        <item x="0"/>
        <item x="1"/>
        <item x="2"/>
        <item x="3"/>
        <item x="4"/>
        <item x="5"/>
        <item x="6"/>
        <item x="7"/>
        <item x="8"/>
        <item x="9"/>
        <item x="10"/>
        <item x="11"/>
        <item x="12"/>
        <item x="13"/>
        <item t="default"/>
      </items>
    </pivotField>
    <pivotField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3"/>
    <field x="42"/>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LF" fld="75" baseField="0" baseItem="0" numFmtId="180"/>
    <dataField name="Sum of DAL LF" fld="76" baseField="0" baseItem="0" numFmtId="174"/>
    <dataField name="Sum of UAL LF" fld="77" baseField="0" baseItem="0" numFmtId="174"/>
    <dataField name="Sum of LUV LF" fld="78" baseField="0" baseItem="0" numFmtId="174"/>
    <dataField name="Sum of Industry LF" fld="79" baseField="0" baseItem="0" numFmtId="174"/>
  </dataFields>
  <formats count="2">
    <format dxfId="74">
      <pivotArea outline="0" collapsedLevelsAreSubtotals="1" fieldPosition="0"/>
    </format>
    <format dxfId="73">
      <pivotArea dataOnly="0" labelOnly="1" outline="0" axis="axisValues" fieldPosition="0"/>
    </format>
  </formats>
  <chartFormats count="5">
    <chartFormat chart="10" format="5"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1"/>
          </reference>
        </references>
      </pivotArea>
    </chartFormat>
    <chartFormat chart="10" format="7" series="1">
      <pivotArea type="data" outline="0" fieldPosition="0">
        <references count="1">
          <reference field="4294967294" count="1" selected="0">
            <x v="2"/>
          </reference>
        </references>
      </pivotArea>
    </chartFormat>
    <chartFormat chart="10" format="8" series="1">
      <pivotArea type="data" outline="0" fieldPosition="0">
        <references count="1">
          <reference field="4294967294" count="1" selected="0">
            <x v="3"/>
          </reference>
        </references>
      </pivotArea>
    </chartFormat>
    <chartFormat chart="10" format="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ECB450-EF3C-476C-A5E6-BA0F6CE137E8}" name="Fuel Cost/ Revenue" cacheId="0" applyNumberFormats="0" applyBorderFormats="0" applyFontFormats="0" applyPatternFormats="0" applyAlignmentFormats="0" applyWidthHeightFormats="1" dataCaption="Values" updatedVersion="7" minRefreshableVersion="5" useAutoFormatting="1" rowGrandTotals="0" colGrandTotals="0" itemPrintTitles="1" createdVersion="7" indent="0" outline="1" outlineData="1" multipleFieldFilters="0" chartFormat="13">
  <location ref="AN13:AS32"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19">
    <i>
      <x v="1"/>
    </i>
    <i>
      <x v="2"/>
    </i>
    <i>
      <x v="3"/>
    </i>
    <i>
      <x v="4"/>
    </i>
    <i>
      <x v="5"/>
    </i>
    <i>
      <x v="6"/>
    </i>
    <i>
      <x v="7"/>
    </i>
    <i>
      <x v="8"/>
    </i>
    <i>
      <x v="9"/>
    </i>
    <i>
      <x v="10"/>
    </i>
    <i>
      <x v="11"/>
    </i>
    <i>
      <x v="12"/>
    </i>
    <i>
      <x v="13"/>
    </i>
    <i>
      <x v="14"/>
    </i>
    <i>
      <x v="15"/>
    </i>
    <i>
      <x v="16"/>
    </i>
    <i>
      <x v="17"/>
    </i>
    <i>
      <x v="18"/>
    </i>
    <i>
      <x v="19"/>
    </i>
  </rowItems>
  <colFields count="1">
    <field x="-2"/>
  </colFields>
  <colItems count="5">
    <i>
      <x/>
    </i>
    <i i="1">
      <x v="1"/>
    </i>
    <i i="2">
      <x v="2"/>
    </i>
    <i i="3">
      <x v="3"/>
    </i>
    <i i="4">
      <x v="4"/>
    </i>
  </colItems>
  <dataFields count="5">
    <dataField name="Sum of AAL FCR" fld="60" baseField="0" baseItem="0" numFmtId="180"/>
    <dataField name="Sum of DAL FCR" fld="61" baseField="0" baseItem="0" numFmtId="174"/>
    <dataField name="Sum of UAL FCR" fld="62" baseField="0" baseItem="0" numFmtId="174"/>
    <dataField name="Sum of LUV FCR" fld="63" baseField="0" baseItem="0" numFmtId="174"/>
    <dataField name="Sum of Industry FCR" fld="64" baseField="0" baseItem="0" numFmtId="174"/>
  </dataFields>
  <formats count="1">
    <format dxfId="75">
      <pivotArea outline="0" collapsedLevelsAreSubtotals="1" fieldPosition="0"/>
    </format>
  </formats>
  <chartFormats count="15">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8" format="3" series="1">
      <pivotArea type="data" outline="0" fieldPosition="0">
        <references count="1">
          <reference field="4294967294" count="1" selected="0">
            <x v="3"/>
          </reference>
        </references>
      </pivotArea>
    </chartFormat>
    <chartFormat chart="8" format="4" series="1">
      <pivotArea type="data" outline="0" fieldPosition="0">
        <references count="1">
          <reference field="4294967294" count="1" selected="0">
            <x v="4"/>
          </reference>
        </references>
      </pivotArea>
    </chartFormat>
    <chartFormat chart="9" format="5"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1"/>
          </reference>
        </references>
      </pivotArea>
    </chartFormat>
    <chartFormat chart="9" format="7" series="1">
      <pivotArea type="data" outline="0" fieldPosition="0">
        <references count="1">
          <reference field="4294967294" count="1" selected="0">
            <x v="2"/>
          </reference>
        </references>
      </pivotArea>
    </chartFormat>
    <chartFormat chart="9" format="8" series="1">
      <pivotArea type="data" outline="0" fieldPosition="0">
        <references count="1">
          <reference field="4294967294" count="1" selected="0">
            <x v="3"/>
          </reference>
        </references>
      </pivotArea>
    </chartFormat>
    <chartFormat chart="9" format="9" series="1">
      <pivotArea type="data" outline="0" fieldPosition="0">
        <references count="1">
          <reference field="4294967294" count="1" selected="0">
            <x v="4"/>
          </reference>
        </references>
      </pivotArea>
    </chartFormat>
    <chartFormat chart="12" format="27" series="1">
      <pivotArea type="data" outline="0" fieldPosition="0">
        <references count="1">
          <reference field="4294967294" count="1" selected="0">
            <x v="0"/>
          </reference>
        </references>
      </pivotArea>
    </chartFormat>
    <chartFormat chart="12" format="28" series="1">
      <pivotArea type="data" outline="0" fieldPosition="0">
        <references count="1">
          <reference field="4294967294" count="1" selected="0">
            <x v="1"/>
          </reference>
        </references>
      </pivotArea>
    </chartFormat>
    <chartFormat chart="12" format="29" series="1">
      <pivotArea type="data" outline="0" fieldPosition="0">
        <references count="1">
          <reference field="4294967294" count="1" selected="0">
            <x v="2"/>
          </reference>
        </references>
      </pivotArea>
    </chartFormat>
    <chartFormat chart="12" format="30" series="1">
      <pivotArea type="data" outline="0" fieldPosition="0">
        <references count="1">
          <reference field="4294967294" count="1" selected="0">
            <x v="3"/>
          </reference>
        </references>
      </pivotArea>
    </chartFormat>
    <chartFormat chart="12" format="3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4766262-9F1D-4437-8434-5D5EB72DB480}" name="Passenger Yield"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1">
  <location ref="Q13:V33"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PY" fld="50" baseField="0" baseItem="0" numFmtId="224"/>
    <dataField name="Sum of DAL PY" fld="51" baseField="0" baseItem="0" numFmtId="224"/>
    <dataField name="Sum of UAL PY" fld="52" baseField="0" baseItem="0" numFmtId="224"/>
    <dataField name="Sum of LUV PY" fld="53" baseField="0" baseItem="0" numFmtId="224"/>
    <dataField name="Sum of Industry PY" fld="54" baseField="0" baseItem="0" numFmtId="224"/>
  </dataFields>
  <formats count="3">
    <format dxfId="78">
      <pivotArea outline="0" collapsedLevelsAreSubtotals="1" fieldPosition="0"/>
    </format>
    <format dxfId="77">
      <pivotArea outline="0" fieldPosition="0">
        <references count="1">
          <reference field="4294967294" count="1">
            <x v="0"/>
          </reference>
        </references>
      </pivotArea>
    </format>
    <format dxfId="76">
      <pivotArea outline="0" collapsedLevelsAreSubtotals="1" fieldPosition="0">
        <references count="1">
          <reference field="4294967294" count="4" selected="0">
            <x v="1"/>
            <x v="2"/>
            <x v="3"/>
            <x v="4"/>
          </reference>
        </references>
      </pivotArea>
    </format>
  </formats>
  <chartFormats count="10">
    <chartFormat chart="7" format="5"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1"/>
          </reference>
        </references>
      </pivotArea>
    </chartFormat>
    <chartFormat chart="7" format="7" series="1">
      <pivotArea type="data" outline="0" fieldPosition="0">
        <references count="1">
          <reference field="4294967294" count="1" selected="0">
            <x v="2"/>
          </reference>
        </references>
      </pivotArea>
    </chartFormat>
    <chartFormat chart="7" format="8" series="1">
      <pivotArea type="data" outline="0" fieldPosition="0">
        <references count="1">
          <reference field="4294967294" count="1" selected="0">
            <x v="3"/>
          </reference>
        </references>
      </pivotArea>
    </chartFormat>
    <chartFormat chart="7" format="9" series="1">
      <pivotArea type="data" outline="0" fieldPosition="0">
        <references count="1">
          <reference field="4294967294" count="1" selected="0">
            <x v="4"/>
          </reference>
        </references>
      </pivotArea>
    </chartFormat>
    <chartFormat chart="10" format="25" series="1">
      <pivotArea type="data" outline="0" fieldPosition="0">
        <references count="1">
          <reference field="4294967294" count="1" selected="0">
            <x v="0"/>
          </reference>
        </references>
      </pivotArea>
    </chartFormat>
    <chartFormat chart="10" format="26" series="1">
      <pivotArea type="data" outline="0" fieldPosition="0">
        <references count="1">
          <reference field="4294967294" count="1" selected="0">
            <x v="1"/>
          </reference>
        </references>
      </pivotArea>
    </chartFormat>
    <chartFormat chart="10" format="27" series="1">
      <pivotArea type="data" outline="0" fieldPosition="0">
        <references count="1">
          <reference field="4294967294" count="1" selected="0">
            <x v="2"/>
          </reference>
        </references>
      </pivotArea>
    </chartFormat>
    <chartFormat chart="10" format="28" series="1">
      <pivotArea type="data" outline="0" fieldPosition="0">
        <references count="1">
          <reference field="4294967294" count="1" selected="0">
            <x v="3"/>
          </reference>
        </references>
      </pivotArea>
    </chartFormat>
    <chartFormat chart="10" format="2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841A806-D88D-4884-B61A-F3626475D348}" name="RASM"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8">
  <location ref="Y13:AD33"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RASM" fld="70" baseField="0" baseItem="0" numFmtId="174"/>
    <dataField name="Sum of DAL RASM" fld="71" baseField="0" baseItem="0" numFmtId="174"/>
    <dataField name="Sum of UAL RASM" fld="72" baseField="0" baseItem="0" numFmtId="174"/>
    <dataField name="Sum of LUV RASM" fld="73" baseField="0" baseItem="0" numFmtId="174"/>
    <dataField name="Sum of Industry RASM" fld="74" baseField="0" baseItem="0" numFmtId="174"/>
  </dataFields>
  <formats count="1">
    <format dxfId="79">
      <pivotArea outline="0" collapsedLevelsAreSubtotals="1" fieldPosition="0"/>
    </format>
  </formats>
  <chartFormats count="20">
    <chartFormat chart="10" format="5" series="1">
      <pivotArea type="data" outline="0" fieldPosition="0">
        <references count="1">
          <reference field="4294967294" count="1" selected="0">
            <x v="0"/>
          </reference>
        </references>
      </pivotArea>
    </chartFormat>
    <chartFormat chart="10" format="6" series="1">
      <pivotArea type="data" outline="0" fieldPosition="0">
        <references count="1">
          <reference field="4294967294" count="1" selected="0">
            <x v="1"/>
          </reference>
        </references>
      </pivotArea>
    </chartFormat>
    <chartFormat chart="10" format="7" series="1">
      <pivotArea type="data" outline="0" fieldPosition="0">
        <references count="1">
          <reference field="4294967294" count="1" selected="0">
            <x v="2"/>
          </reference>
        </references>
      </pivotArea>
    </chartFormat>
    <chartFormat chart="10" format="8" series="1">
      <pivotArea type="data" outline="0" fieldPosition="0">
        <references count="1">
          <reference field="4294967294" count="1" selected="0">
            <x v="3"/>
          </reference>
        </references>
      </pivotArea>
    </chartFormat>
    <chartFormat chart="10" format="9" series="1">
      <pivotArea type="data" outline="0" fieldPosition="0">
        <references count="1">
          <reference field="4294967294" count="1" selected="0">
            <x v="4"/>
          </reference>
        </references>
      </pivotArea>
    </chartFormat>
    <chartFormat chart="12" format="15" series="1">
      <pivotArea type="data" outline="0" fieldPosition="0">
        <references count="1">
          <reference field="4294967294" count="1" selected="0">
            <x v="0"/>
          </reference>
        </references>
      </pivotArea>
    </chartFormat>
    <chartFormat chart="12" format="16" series="1">
      <pivotArea type="data" outline="0" fieldPosition="0">
        <references count="1">
          <reference field="4294967294" count="1" selected="0">
            <x v="1"/>
          </reference>
        </references>
      </pivotArea>
    </chartFormat>
    <chartFormat chart="12" format="17" series="1">
      <pivotArea type="data" outline="0" fieldPosition="0">
        <references count="1">
          <reference field="4294967294" count="1" selected="0">
            <x v="2"/>
          </reference>
        </references>
      </pivotArea>
    </chartFormat>
    <chartFormat chart="12" format="18" series="1">
      <pivotArea type="data" outline="0" fieldPosition="0">
        <references count="1">
          <reference field="4294967294" count="1" selected="0">
            <x v="3"/>
          </reference>
        </references>
      </pivotArea>
    </chartFormat>
    <chartFormat chart="12" format="19" series="1">
      <pivotArea type="data" outline="0" fieldPosition="0">
        <references count="1">
          <reference field="4294967294" count="1" selected="0">
            <x v="4"/>
          </reference>
        </references>
      </pivotArea>
    </chartFormat>
    <chartFormat chart="13" format="15" series="1">
      <pivotArea type="data" outline="0" fieldPosition="0">
        <references count="1">
          <reference field="4294967294" count="1" selected="0">
            <x v="0"/>
          </reference>
        </references>
      </pivotArea>
    </chartFormat>
    <chartFormat chart="13" format="16" series="1">
      <pivotArea type="data" outline="0" fieldPosition="0">
        <references count="1">
          <reference field="4294967294" count="1" selected="0">
            <x v="1"/>
          </reference>
        </references>
      </pivotArea>
    </chartFormat>
    <chartFormat chart="13" format="17" series="1">
      <pivotArea type="data" outline="0" fieldPosition="0">
        <references count="1">
          <reference field="4294967294" count="1" selected="0">
            <x v="2"/>
          </reference>
        </references>
      </pivotArea>
    </chartFormat>
    <chartFormat chart="13" format="18" series="1">
      <pivotArea type="data" outline="0" fieldPosition="0">
        <references count="1">
          <reference field="4294967294" count="1" selected="0">
            <x v="3"/>
          </reference>
        </references>
      </pivotArea>
    </chartFormat>
    <chartFormat chart="13" format="19" series="1">
      <pivotArea type="data" outline="0" fieldPosition="0">
        <references count="1">
          <reference field="4294967294" count="1" selected="0">
            <x v="4"/>
          </reference>
        </references>
      </pivotArea>
    </chartFormat>
    <chartFormat chart="15" format="25" series="1">
      <pivotArea type="data" outline="0" fieldPosition="0">
        <references count="1">
          <reference field="4294967294" count="1" selected="0">
            <x v="0"/>
          </reference>
        </references>
      </pivotArea>
    </chartFormat>
    <chartFormat chart="15" format="26" series="1">
      <pivotArea type="data" outline="0" fieldPosition="0">
        <references count="1">
          <reference field="4294967294" count="1" selected="0">
            <x v="1"/>
          </reference>
        </references>
      </pivotArea>
    </chartFormat>
    <chartFormat chart="15" format="27" series="1">
      <pivotArea type="data" outline="0" fieldPosition="0">
        <references count="1">
          <reference field="4294967294" count="1" selected="0">
            <x v="2"/>
          </reference>
        </references>
      </pivotArea>
    </chartFormat>
    <chartFormat chart="15" format="28" series="1">
      <pivotArea type="data" outline="0" fieldPosition="0">
        <references count="1">
          <reference field="4294967294" count="1" selected="0">
            <x v="3"/>
          </reference>
        </references>
      </pivotArea>
    </chartFormat>
    <chartFormat chart="15" format="2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3AA8F4B-D8F4-460C-AFE6-367A1E4D60B6}" name="Effeciency"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9">
  <location ref="AV13:BA33"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E" fld="65" baseField="0" baseItem="0" numFmtId="174"/>
    <dataField name="Sum of DAL E" fld="66" baseField="0" baseItem="0" numFmtId="174"/>
    <dataField name="Sum of UAL E" fld="67" baseField="0" baseItem="0" numFmtId="174"/>
    <dataField name="Sum of LUV E" fld="68" baseField="0" baseItem="0" numFmtId="174"/>
    <dataField name="Sum of Industry E" fld="69" baseField="0" baseItem="0" numFmtId="174"/>
  </dataFields>
  <formats count="1">
    <format dxfId="80">
      <pivotArea outline="0" collapsedLevelsAreSubtotals="1" fieldPosition="0"/>
    </format>
  </formats>
  <chartFormats count="20">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3" format="2" series="1">
      <pivotArea type="data" outline="0" fieldPosition="0">
        <references count="1">
          <reference field="4294967294" count="1" selected="0">
            <x v="2"/>
          </reference>
        </references>
      </pivotArea>
    </chartFormat>
    <chartFormat chart="13" format="3" series="1">
      <pivotArea type="data" outline="0" fieldPosition="0">
        <references count="1">
          <reference field="4294967294" count="1" selected="0">
            <x v="3"/>
          </reference>
        </references>
      </pivotArea>
    </chartFormat>
    <chartFormat chart="13" format="4" series="1">
      <pivotArea type="data" outline="0" fieldPosition="0">
        <references count="1">
          <reference field="4294967294" count="1" selected="0">
            <x v="4"/>
          </reference>
        </references>
      </pivotArea>
    </chartFormat>
    <chartFormat chart="14" format="5" series="1">
      <pivotArea type="data" outline="0" fieldPosition="0">
        <references count="1">
          <reference field="4294967294" count="1" selected="0">
            <x v="0"/>
          </reference>
        </references>
      </pivotArea>
    </chartFormat>
    <chartFormat chart="14" format="6"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2"/>
          </reference>
        </references>
      </pivotArea>
    </chartFormat>
    <chartFormat chart="14" format="8" series="1">
      <pivotArea type="data" outline="0" fieldPosition="0">
        <references count="1">
          <reference field="4294967294" count="1" selected="0">
            <x v="3"/>
          </reference>
        </references>
      </pivotArea>
    </chartFormat>
    <chartFormat chart="14" format="9" series="1">
      <pivotArea type="data" outline="0" fieldPosition="0">
        <references count="1">
          <reference field="4294967294" count="1" selected="0">
            <x v="4"/>
          </reference>
        </references>
      </pivotArea>
    </chartFormat>
    <chartFormat chart="15" format="5"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1"/>
          </reference>
        </references>
      </pivotArea>
    </chartFormat>
    <chartFormat chart="15" format="7" series="1">
      <pivotArea type="data" outline="0" fieldPosition="0">
        <references count="1">
          <reference field="4294967294" count="1" selected="0">
            <x v="2"/>
          </reference>
        </references>
      </pivotArea>
    </chartFormat>
    <chartFormat chart="15" format="8" series="1">
      <pivotArea type="data" outline="0" fieldPosition="0">
        <references count="1">
          <reference field="4294967294" count="1" selected="0">
            <x v="3"/>
          </reference>
        </references>
      </pivotArea>
    </chartFormat>
    <chartFormat chart="15" format="9" series="1">
      <pivotArea type="data" outline="0" fieldPosition="0">
        <references count="1">
          <reference field="4294967294" count="1" selected="0">
            <x v="4"/>
          </reference>
        </references>
      </pivotArea>
    </chartFormat>
    <chartFormat chart="18" format="25" series="1">
      <pivotArea type="data" outline="0" fieldPosition="0">
        <references count="1">
          <reference field="4294967294" count="1" selected="0">
            <x v="0"/>
          </reference>
        </references>
      </pivotArea>
    </chartFormat>
    <chartFormat chart="18" format="26" series="1">
      <pivotArea type="data" outline="0" fieldPosition="0">
        <references count="1">
          <reference field="4294967294" count="1" selected="0">
            <x v="1"/>
          </reference>
        </references>
      </pivotArea>
    </chartFormat>
    <chartFormat chart="18" format="27" series="1">
      <pivotArea type="data" outline="0" fieldPosition="0">
        <references count="1">
          <reference field="4294967294" count="1" selected="0">
            <x v="2"/>
          </reference>
        </references>
      </pivotArea>
    </chartFormat>
    <chartFormat chart="18" format="28" series="1">
      <pivotArea type="data" outline="0" fieldPosition="0">
        <references count="1">
          <reference field="4294967294" count="1" selected="0">
            <x v="3"/>
          </reference>
        </references>
      </pivotArea>
    </chartFormat>
    <chartFormat chart="18" format="2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BC9FF69-9540-4527-932C-1653C520BF3A}" name="Cost/USG"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9">
  <location ref="AF13:AK33"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CG" fld="55" baseField="0" baseItem="0"/>
    <dataField name="Sum of DAL CG" fld="56" baseField="0" baseItem="0"/>
    <dataField name="Sum of UAL CG" fld="57" baseField="0" baseItem="0"/>
    <dataField name="Sum of LUV CG" fld="58" baseField="0" baseItem="0"/>
    <dataField name="Sum of Industry CG" fld="59" baseField="0" baseItem="0" numFmtId="174"/>
  </dataFields>
  <formats count="1">
    <format dxfId="81">
      <pivotArea outline="0" collapsedLevelsAreSubtotals="1" fieldPosition="0"/>
    </format>
  </formats>
  <chartFormats count="5">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8" format="3" series="1">
      <pivotArea type="data" outline="0" fieldPosition="0">
        <references count="1">
          <reference field="4294967294" count="1" selected="0">
            <x v="3"/>
          </reference>
        </references>
      </pivotArea>
    </chartFormat>
    <chartFormat chart="8" format="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B841570-B4AD-4063-9984-AD709BF20A9E}" name="Benchmark Differential"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8">
  <location ref="A36:F56"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Diff" fld="85" baseField="43" baseItem="7" numFmtId="180"/>
    <dataField name="Sum of DAL Diff" fld="86" baseField="0" baseItem="0"/>
    <dataField name="Sum of UAL Diff" fld="87" baseField="0" baseItem="0"/>
    <dataField name="Sum of LUV Diff" fld="88" baseField="0" baseItem="0"/>
    <dataField name="Sum of Industry Diff" fld="89" baseField="0" baseItem="0" numFmtId="223"/>
  </dataFields>
  <formats count="2">
    <format dxfId="83">
      <pivotArea dataOnly="0" labelOnly="1" outline="0" axis="axisValues" fieldPosition="0"/>
    </format>
    <format dxfId="82">
      <pivotArea outline="0" collapsedLevelsAreSubtotals="1" fieldPosition="0"/>
    </format>
  </formats>
  <chartFormats count="10">
    <chartFormat chart="14" format="5" series="1">
      <pivotArea type="data" outline="0" fieldPosition="0">
        <references count="1">
          <reference field="4294967294" count="1" selected="0">
            <x v="0"/>
          </reference>
        </references>
      </pivotArea>
    </chartFormat>
    <chartFormat chart="14" format="6"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2"/>
          </reference>
        </references>
      </pivotArea>
    </chartFormat>
    <chartFormat chart="14" format="8" series="1">
      <pivotArea type="data" outline="0" fieldPosition="0">
        <references count="1">
          <reference field="4294967294" count="1" selected="0">
            <x v="3"/>
          </reference>
        </references>
      </pivotArea>
    </chartFormat>
    <chartFormat chart="14" format="9" series="1">
      <pivotArea type="data" outline="0" fieldPosition="0">
        <references count="1">
          <reference field="4294967294" count="1" selected="0">
            <x v="4"/>
          </reference>
        </references>
      </pivotArea>
    </chartFormat>
    <chartFormat chart="17" format="20" series="1">
      <pivotArea type="data" outline="0" fieldPosition="0">
        <references count="1">
          <reference field="4294967294" count="1" selected="0">
            <x v="0"/>
          </reference>
        </references>
      </pivotArea>
    </chartFormat>
    <chartFormat chart="17" format="21" series="1">
      <pivotArea type="data" outline="0" fieldPosition="0">
        <references count="1">
          <reference field="4294967294" count="1" selected="0">
            <x v="1"/>
          </reference>
        </references>
      </pivotArea>
    </chartFormat>
    <chartFormat chart="17" format="22" series="1">
      <pivotArea type="data" outline="0" fieldPosition="0">
        <references count="1">
          <reference field="4294967294" count="1" selected="0">
            <x v="2"/>
          </reference>
        </references>
      </pivotArea>
    </chartFormat>
    <chartFormat chart="17" format="23" series="1">
      <pivotArea type="data" outline="0" fieldPosition="0">
        <references count="1">
          <reference field="4294967294" count="1" selected="0">
            <x v="3"/>
          </reference>
        </references>
      </pivotArea>
    </chartFormat>
    <chartFormat chart="17" format="2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7A15B03-7DF6-4618-B22B-E0C9B43616BD}" name="Fuel Expense/ ASM"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9">
  <location ref="BD13:BI33" firstHeaderRow="0" firstDataRow="1" firstDataCol="1"/>
  <pivotFields count="91">
    <pivotField axis="axisRow" numFmtId="207" showAll="0">
      <items count="15">
        <item x="0"/>
        <item x="1"/>
        <item x="2"/>
        <item x="3"/>
        <item x="4"/>
        <item x="5"/>
        <item x="6"/>
        <item x="7"/>
        <item x="8"/>
        <item x="9"/>
        <item x="10"/>
        <item x="11"/>
        <item x="12"/>
        <item x="13"/>
        <item t="default"/>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FA" fld="80" baseField="0" baseItem="0" numFmtId="189"/>
    <dataField name="Sum of DAL FA" fld="81" baseField="0" baseItem="0" numFmtId="174"/>
    <dataField name="Sum of UAL FA" fld="82" baseField="0" baseItem="0" numFmtId="174"/>
    <dataField name="Sum of LUV FA" fld="83" baseField="0" baseItem="0" numFmtId="174"/>
    <dataField name="Sum of Industry FA" fld="84" baseField="0" baseItem="0" numFmtId="174"/>
  </dataFields>
  <formats count="2">
    <format dxfId="85">
      <pivotArea dataOnly="0" labelOnly="1" outline="0" axis="axisValues" fieldPosition="0"/>
    </format>
    <format dxfId="84">
      <pivotArea outline="0" collapsedLevelsAreSubtotals="1" fieldPosition="0"/>
    </format>
  </formats>
  <chartFormats count="20">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1" format="5" series="1">
      <pivotArea type="data" outline="0" fieldPosition="0">
        <references count="1">
          <reference field="4294967294" count="1" selected="0">
            <x v="0"/>
          </reference>
        </references>
      </pivotArea>
    </chartFormat>
    <chartFormat chart="11" format="6" series="1">
      <pivotArea type="data" outline="0" fieldPosition="0">
        <references count="1">
          <reference field="4294967294" count="1" selected="0">
            <x v="1"/>
          </reference>
        </references>
      </pivotArea>
    </chartFormat>
    <chartFormat chart="11" format="7" series="1">
      <pivotArea type="data" outline="0" fieldPosition="0">
        <references count="1">
          <reference field="4294967294" count="1" selected="0">
            <x v="2"/>
          </reference>
        </references>
      </pivotArea>
    </chartFormat>
    <chartFormat chart="11" format="8" series="1">
      <pivotArea type="data" outline="0" fieldPosition="0">
        <references count="1">
          <reference field="4294967294" count="1" selected="0">
            <x v="3"/>
          </reference>
        </references>
      </pivotArea>
    </chartFormat>
    <chartFormat chart="11" format="9" series="1">
      <pivotArea type="data" outline="0" fieldPosition="0">
        <references count="1">
          <reference field="4294967294" count="1" selected="0">
            <x v="4"/>
          </reference>
        </references>
      </pivotArea>
    </chartFormat>
    <chartFormat chart="15" format="5"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1"/>
          </reference>
        </references>
      </pivotArea>
    </chartFormat>
    <chartFormat chart="15" format="7" series="1">
      <pivotArea type="data" outline="0" fieldPosition="0">
        <references count="1">
          <reference field="4294967294" count="1" selected="0">
            <x v="2"/>
          </reference>
        </references>
      </pivotArea>
    </chartFormat>
    <chartFormat chart="15" format="8" series="1">
      <pivotArea type="data" outline="0" fieldPosition="0">
        <references count="1">
          <reference field="4294967294" count="1" selected="0">
            <x v="3"/>
          </reference>
        </references>
      </pivotArea>
    </chartFormat>
    <chartFormat chart="15" format="9" series="1">
      <pivotArea type="data" outline="0" fieldPosition="0">
        <references count="1">
          <reference field="4294967294" count="1" selected="0">
            <x v="4"/>
          </reference>
        </references>
      </pivotArea>
    </chartFormat>
    <chartFormat chart="18" format="20" series="1">
      <pivotArea type="data" outline="0" fieldPosition="0">
        <references count="1">
          <reference field="4294967294" count="1" selected="0">
            <x v="0"/>
          </reference>
        </references>
      </pivotArea>
    </chartFormat>
    <chartFormat chart="18" format="21" series="1">
      <pivotArea type="data" outline="0" fieldPosition="0">
        <references count="1">
          <reference field="4294967294" count="1" selected="0">
            <x v="1"/>
          </reference>
        </references>
      </pivotArea>
    </chartFormat>
    <chartFormat chart="18" format="22" series="1">
      <pivotArea type="data" outline="0" fieldPosition="0">
        <references count="1">
          <reference field="4294967294" count="1" selected="0">
            <x v="2"/>
          </reference>
        </references>
      </pivotArea>
    </chartFormat>
    <chartFormat chart="18" format="23" series="1">
      <pivotArea type="data" outline="0" fieldPosition="0">
        <references count="1">
          <reference field="4294967294" count="1" selected="0">
            <x v="3"/>
          </reference>
        </references>
      </pivotArea>
    </chartFormat>
    <chartFormat chart="18" format="2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0"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F3229AD-BFA9-47D1-A5AD-2C7E4BC720E6}" name="ASM Market Share" cacheId="0"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chartFormat="17">
  <location ref="A13:F33" firstHeaderRow="0" firstDataRow="1" firstDataCol="1"/>
  <pivotFields count="91">
    <pivotField axis="axisRow" numFmtId="207" showAll="0">
      <items count="15">
        <item sd="0" x="0"/>
        <item sd="0" x="1"/>
        <item sd="0" x="2"/>
        <item sd="0" x="3"/>
        <item sd="0" x="4"/>
        <item sd="0" x="5"/>
        <item sd="0" x="6"/>
        <item sd="0" x="7"/>
        <item sd="0" x="8"/>
        <item sd="0" x="9"/>
        <item sd="0" x="10"/>
        <item sd="0" x="11"/>
        <item sd="0" x="12"/>
        <item sd="0" x="13"/>
        <item t="default" sd="0"/>
      </items>
    </pivotField>
    <pivotField axis="axisRow" showAll="0">
      <items count="3">
        <item x="0"/>
        <item h="1" x="1"/>
        <item t="default"/>
      </items>
    </pivotField>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numFmtId="174" showAll="0"/>
    <pivotField numFmtId="174" showAll="0"/>
    <pivotField numFmtId="174" showAll="0"/>
    <pivotField numFmtId="174" showAll="0"/>
    <pivotField numFmtId="174" showAll="0"/>
    <pivotField numFmtId="174" showAll="0"/>
    <pivotField numFmtId="174" showAll="0"/>
    <pivotField showAll="0"/>
    <pivotField showAll="0"/>
    <pivotField showAll="0"/>
    <pivotField showAll="0"/>
    <pivotField numFmtId="174" showAll="0"/>
    <pivotField showAll="0"/>
    <pivotField showAll="0"/>
    <pivotField showAll="0"/>
    <pivotField showAll="0"/>
    <pivotField numFmtId="223"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items>
    </pivotField>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4">
    <field x="43"/>
    <field x="42"/>
    <field x="0"/>
    <field x="1"/>
  </rowFields>
  <rowItems count="20">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AAL ASM MS" fld="46" baseField="0" baseItem="0" numFmtId="174"/>
    <dataField name="Sum of DAL ASM MS" fld="45" baseField="0" baseItem="0" numFmtId="174"/>
    <dataField name="Sum of UAL ASM MS" fld="47" baseField="0" baseItem="0" numFmtId="174"/>
    <dataField name="Sum of LUV ASM MS" fld="48" baseField="0" baseItem="0" numFmtId="174"/>
    <dataField name="Sum of Other ASM MS" fld="49" baseField="0" baseItem="0" numFmtId="174"/>
  </dataFields>
  <formats count="1">
    <format dxfId="86">
      <pivotArea outline="0" collapsedLevelsAreSubtotals="1" fieldPosition="0"/>
    </format>
  </formats>
  <chartFormats count="15">
    <chartFormat chart="6"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7"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3"/>
          </reference>
        </references>
      </pivotArea>
    </chartFormat>
    <chartFormat chart="6" format="9" series="1">
      <pivotArea type="data" outline="0" fieldPosition="0">
        <references count="1">
          <reference field="4294967294" count="1" selected="0">
            <x v="4"/>
          </reference>
        </references>
      </pivotArea>
    </chartFormat>
    <chartFormat chart="11" format="20" series="1">
      <pivotArea type="data" outline="0" fieldPosition="0">
        <references count="1">
          <reference field="4294967294" count="1" selected="0">
            <x v="0"/>
          </reference>
        </references>
      </pivotArea>
    </chartFormat>
    <chartFormat chart="11" format="21" series="1">
      <pivotArea type="data" outline="0" fieldPosition="0">
        <references count="1">
          <reference field="4294967294" count="1" selected="0">
            <x v="1"/>
          </reference>
        </references>
      </pivotArea>
    </chartFormat>
    <chartFormat chart="11" format="22" series="1">
      <pivotArea type="data" outline="0" fieldPosition="0">
        <references count="1">
          <reference field="4294967294" count="1" selected="0">
            <x v="2"/>
          </reference>
        </references>
      </pivotArea>
    </chartFormat>
    <chartFormat chart="11" format="23" series="1">
      <pivotArea type="data" outline="0" fieldPosition="0">
        <references count="1">
          <reference field="4294967294" count="1" selected="0">
            <x v="3"/>
          </reference>
        </references>
      </pivotArea>
    </chartFormat>
    <chartFormat chart="11" format="24" series="1">
      <pivotArea type="data" outline="0" fieldPosition="0">
        <references count="1">
          <reference field="4294967294" count="1" selected="0">
            <x v="4"/>
          </reference>
        </references>
      </pivotArea>
    </chartFormat>
    <chartFormat chart="16" format="10" series="1">
      <pivotArea type="data" outline="0" fieldPosition="0">
        <references count="1">
          <reference field="4294967294" count="1" selected="0">
            <x v="0"/>
          </reference>
        </references>
      </pivotArea>
    </chartFormat>
    <chartFormat chart="16" format="11" series="1">
      <pivotArea type="data" outline="0" fieldPosition="0">
        <references count="1">
          <reference field="4294967294" count="1" selected="0">
            <x v="1"/>
          </reference>
        </references>
      </pivotArea>
    </chartFormat>
    <chartFormat chart="16" format="12" series="1">
      <pivotArea type="data" outline="0" fieldPosition="0">
        <references count="1">
          <reference field="4294967294" count="1" selected="0">
            <x v="2"/>
          </reference>
        </references>
      </pivotArea>
    </chartFormat>
    <chartFormat chart="16" format="13" series="1">
      <pivotArea type="data" outline="0" fieldPosition="0">
        <references count="1">
          <reference field="4294967294" count="1" selected="0">
            <x v="3"/>
          </reference>
        </references>
      </pivotArea>
    </chartFormat>
    <chartFormat chart="16" format="1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1">
    <filter fld="0" type="dateBetween" evalOrder="-1" id="326" name="Period">
      <autoFilter ref="A1">
        <filterColumn colId="0">
          <customFilters and="1">
            <customFilter operator="greaterThanOrEqual" val="37622"/>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s" xr10:uid="{9A0D14AC-ADEB-470E-9772-7EE88E323D5E}" sourceName="Regions">
  <pivotTables>
    <pivotTable tabId="73" name="ASM Market Share"/>
    <pivotTable tabId="73" name="Cost/USG"/>
    <pivotTable tabId="73" name="Effeciency"/>
    <pivotTable tabId="73" name="Fuel Cost/ Revenue"/>
    <pivotTable tabId="73" name="Load Factor"/>
    <pivotTable tabId="73" name="Passenger Yield"/>
    <pivotTable tabId="73" name="Fuel Expense/ ASM"/>
    <pivotTable tabId="73" name="RASM"/>
    <pivotTable tabId="73" name="Benchmark Differential"/>
  </pivotTables>
  <data>
    <tabular pivotCacheId="1390276830">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s" xr10:uid="{68F91FA4-E47D-45FA-A9FD-A6AD9B1B8950}" cache="Slicer_Regions" caption="Regions" style="SlicerStyleLight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49937B-475B-40D4-9FCB-BDE60BB6C20C}" name="Data" displayName="Data" ref="A1:AQ462" totalsRowCount="1" headerRowDxfId="174" dataDxfId="173">
  <autoFilter ref="A1:AQ461" xr:uid="{7449937B-475B-40D4-9FCB-BDE60BB6C20C}"/>
  <tableColumns count="43">
    <tableColumn id="1" xr3:uid="{74231CF1-54C0-4E4C-BB60-7B295012BE64}" name="Period" dataDxfId="172" totalsRowDxfId="171">
      <calculatedColumnFormula>EOMONTH(A1,1)</calculatedColumnFormula>
    </tableColumn>
    <tableColumn id="107" xr3:uid="{ED17DA81-6A97-429E-9FDF-98637A659BCF}" name="Regions" dataDxfId="170" totalsRowDxfId="169"/>
    <tableColumn id="2" xr3:uid="{FA475FC1-DB55-40D9-8243-42BAFF9A39D8}" name="Industry ASM" dataDxfId="168" totalsRowDxfId="167"/>
    <tableColumn id="5" xr3:uid="{00EE8346-5FAD-406B-A881-5BCA4AF1E981}" name="AAL ASM" dataDxfId="166" totalsRowDxfId="165"/>
    <tableColumn id="8" xr3:uid="{15E3A8A0-FF9D-4FFB-B334-70AFE6DEBAC0}" name="DAL ASM" dataDxfId="164" totalsRowDxfId="163"/>
    <tableColumn id="11" xr3:uid="{E8EB8306-64B3-487A-8D01-AC4C44982878}" name="UAL ASM" dataDxfId="162" totalsRowDxfId="161"/>
    <tableColumn id="14" xr3:uid="{55D7ECD2-24D0-47F0-8AC4-4BC95EBADD97}" name="LUV ASM" dataDxfId="160" totalsRowDxfId="159"/>
    <tableColumn id="17" xr3:uid="{5FCCEFB1-8C7A-4EC1-AAB6-CB4FC4B6A0BA}" name="Others ASM" dataDxfId="158" totalsRowDxfId="157">
      <calculatedColumnFormula>+C2-SUM(D2,E2,F2,G2)</calculatedColumnFormula>
    </tableColumn>
    <tableColumn id="20" xr3:uid="{60E20630-407A-4265-8A9F-4D9722CE7AEA}" name="Industry RPM" dataDxfId="156" totalsRowDxfId="155"/>
    <tableColumn id="23" xr3:uid="{CD682375-A652-44B0-9FE7-AF47A3481E76}" name="AAL RPM" dataDxfId="154" totalsRowDxfId="153"/>
    <tableColumn id="26" xr3:uid="{9352F0A2-8A6A-4A64-8A2F-548D2713CD75}" name="DAL RPM" dataDxfId="152" totalsRowDxfId="151"/>
    <tableColumn id="29" xr3:uid="{D5D28B55-765C-48BE-A354-37D0A01F44D3}" name="UAL RPM" dataDxfId="150" totalsRowDxfId="149"/>
    <tableColumn id="32" xr3:uid="{8AAB4AA8-8893-4DD9-BED1-93378783B9C7}" name="LUV RPM" dataDxfId="148" totalsRowDxfId="147"/>
    <tableColumn id="3" xr3:uid="{864C436C-F600-4C79-8192-79224C733370}" name="Others RPM" dataDxfId="146" totalsRowDxfId="145">
      <calculatedColumnFormula>+I2-SUM(J2,K2,L2,M2)</calculatedColumnFormula>
    </tableColumn>
    <tableColumn id="50" xr3:uid="{B016790E-F7B6-4FCE-A099-F8CB4B9F3C4B}" name="Industry Passengers" dataDxfId="144" totalsRowDxfId="143"/>
    <tableColumn id="53" xr3:uid="{F4D90979-C271-46BC-96C6-E9FD9DC9F8AA}" name="AAL Passengers" dataDxfId="142" totalsRowDxfId="141"/>
    <tableColumn id="56" xr3:uid="{3EB141F3-654B-4762-B680-7C1917F3ACFB}" name="DAL Passengers" dataDxfId="140" totalsRowDxfId="139"/>
    <tableColumn id="59" xr3:uid="{3635D9C7-317C-4618-A871-EBCCB87DE4AA}" name="UAL Passengers" dataDxfId="138" totalsRowDxfId="137"/>
    <tableColumn id="62" xr3:uid="{94B87B30-5CD5-4A41-89FA-D49AEA63F3E1}" name="LUV Passengers" dataDxfId="136" totalsRowDxfId="135"/>
    <tableColumn id="6" xr3:uid="{712D480A-7086-42A2-BDF8-5E3F72C5E187}" name="Others Passengers" dataDxfId="134" totalsRowDxfId="133">
      <calculatedColumnFormula>+O2-SUM(P2,Q2,R2,S2)</calculatedColumnFormula>
    </tableColumn>
    <tableColumn id="10" xr3:uid="{9E05FF66-1D40-4203-B8CA-5725A7A6B0AC}" name="Industry Revenue" dataDxfId="132" totalsRowDxfId="131">
      <calculatedColumnFormula>+#REF!+#REF!+#REF!</calculatedColumnFormula>
    </tableColumn>
    <tableColumn id="9" xr3:uid="{4B279144-C31E-46D8-A33F-FDB1C5565E3C}" name="AAL Revenue" dataDxfId="130" totalsRowDxfId="129">
      <calculatedColumnFormula>+#REF!+#REF!+#REF!</calculatedColumnFormula>
    </tableColumn>
    <tableColumn id="79" xr3:uid="{AD7A73D4-9F31-405F-BB81-521FA45C9A25}" name="DAL Revenue" dataDxfId="128" totalsRowDxfId="127">
      <calculatedColumnFormula>SUMIF('Rev and Net Income'!$B:$B,Data[[#This Row],[Period]],'Rev and Net Income'!Q:Q)/3</calculatedColumnFormula>
    </tableColumn>
    <tableColumn id="86" xr3:uid="{536728CE-B051-4AC9-B7CD-A40D8F7710E9}" name="UAL Revenue" dataDxfId="126" totalsRowDxfId="125">
      <calculatedColumnFormula>SUMIF('Rev and Net Income'!$B:$B,Data[[#This Row],[Period]],'Rev and Net Income'!X:X)/3</calculatedColumnFormula>
    </tableColumn>
    <tableColumn id="93" xr3:uid="{68B8B628-4CC2-4493-9208-AA9DE13C98BA}" name="LUV Revenue" dataDxfId="124" totalsRowDxfId="123">
      <calculatedColumnFormula>SUMIF('Rev and Net Income'!$B:$B,Data[[#This Row],[Period]],'Rev and Net Income'!AE:AE)/3</calculatedColumnFormula>
    </tableColumn>
    <tableColumn id="105" xr3:uid="{BC708144-6DAA-4F88-9F92-C4AE47B24DF3}" name="Others Revenue" dataDxfId="122" totalsRowDxfId="121">
      <calculatedColumnFormula>+U2-SUM(V2,W2,X2,Y2)</calculatedColumnFormula>
    </tableColumn>
    <tableColumn id="12" xr3:uid="{F260E20E-F92B-4127-BF26-55C5B332CA7A}" name="Industry Consumption" dataDxfId="120" totalsRowDxfId="119"/>
    <tableColumn id="16" xr3:uid="{DA991C4E-EFAC-4B42-ABB1-1DA3437C359D}" name="AAL Consumption" dataDxfId="118" totalsRowDxfId="117"/>
    <tableColumn id="21" xr3:uid="{3BB2091A-7807-4D50-A396-9DCC38ECD7C3}" name="DAL Consumption" dataDxfId="116" totalsRowDxfId="115"/>
    <tableColumn id="34" xr3:uid="{6C87047B-1E97-43B5-8A83-EC0A5109EDC6}" name="UALConsumption" dataDxfId="114" totalsRowDxfId="113"/>
    <tableColumn id="30" xr3:uid="{EBAB8C20-87AC-4957-8FD3-2A3B456A606E}" name="LUV Consumption" dataDxfId="112" totalsRowDxfId="111"/>
    <tableColumn id="13" xr3:uid="{DC647974-A0A9-4FEA-A63F-D86D7E55C35D}" name="Industry Cost ($m)" dataDxfId="110" totalsRowDxfId="109"/>
    <tableColumn id="18" xr3:uid="{47A53423-DC95-46FC-AEC9-65C3688C5E1D}" name="AAL Fuel Cost" dataDxfId="108" totalsRowDxfId="107"/>
    <tableColumn id="22" xr3:uid="{1B8FC8E4-7C54-4C21-9B54-AD733FBCC38B}" name="DAL Fuel Cost" dataDxfId="106" totalsRowDxfId="105"/>
    <tableColumn id="27" xr3:uid="{0690BC2A-EBA4-4D47-B9B1-3683FFEDA840}" name="UAL Fuel Cost" dataDxfId="104" totalsRowDxfId="103"/>
    <tableColumn id="31" xr3:uid="{4651D7AB-A2AF-47ED-AA85-71956E6F9DC3}" name="LUV Fuel Cost" dataDxfId="102" totalsRowDxfId="101"/>
    <tableColumn id="15" xr3:uid="{B4B334FA-582F-4A49-AF31-FCA948B7BF6E}" name="Industry Cost per Gallon" dataDxfId="100" totalsRowDxfId="99"/>
    <tableColumn id="19" xr3:uid="{EA698DD6-FBE2-42DA-9EC4-BED261674065}" name="AAL Cost per Gallon" dataDxfId="98" totalsRowDxfId="97"/>
    <tableColumn id="24" xr3:uid="{04D8C03B-1743-472A-82B1-87FC72C41ED6}" name="DAL Cost per Gallon" dataDxfId="96" totalsRowDxfId="95"/>
    <tableColumn id="28" xr3:uid="{4BE6149D-289A-46D5-8212-EAC6486B92F4}" name="UAL Cost per Gallon" dataDxfId="94" totalsRowDxfId="93"/>
    <tableColumn id="33" xr3:uid="{683B1E54-0509-46AE-9A25-B2DF8300E60A}" name="LUV Cost per Gallon" dataDxfId="92" totalsRowDxfId="91"/>
    <tableColumn id="4" xr3:uid="{7EEED8BF-C645-49FF-B499-38E668ABB9D8}" name="U.S. Gulf Coast Kerosene-Type Jet Fuel Spot Price" dataDxfId="90" totalsRowDxfId="89"/>
    <tableColumn id="7" xr3:uid="{DA889B70-14E5-43ED-B317-58FEC1BCA922}" name="Column1" dataDxfId="88" totalsRowDxfId="87"/>
  </tableColumns>
  <tableStyleInfo name="TableStyleMedium18" showFirstColumn="0" showLastColumn="0" showRowStripes="1" showColumnStripes="0"/>
  <extLst>
    <ext xmlns:x14="http://schemas.microsoft.com/office/spreadsheetml/2009/9/main" uri="{504A1905-F514-4f6f-8877-14C23A59335A}">
      <x14:table altText="TresVistaTabl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C9D76E-2E09-449B-BFAE-1EC946C95CDA}" name="Air_Routes" displayName="Air_Routes" ref="B7:L1139" totalsRowShown="0" headerRowDxfId="72">
  <autoFilter ref="B7:L1139" xr:uid="{7C21CD71-4FB6-4FF3-8B1B-9A29C8CD1C54}"/>
  <tableColumns count="11">
    <tableColumn id="1" xr3:uid="{FD03EC36-356B-402C-AD76-83C151FE79C6}" name="Origin"/>
    <tableColumn id="2" xr3:uid="{77DD9D72-6C9E-4126-8B05-C81F6F2B8A75}" name="Destination"/>
    <tableColumn id="3" xr3:uid="{3EF270BD-DB5D-406D-851A-BAA15FADAA12}" name="Nonstop Distance" dataDxfId="71"/>
    <tableColumn id="4" xr3:uid="{084AF882-3B2F-444D-8549-2C629ACAA0C7}" name="Psgrs Per Day"/>
    <tableColumn id="5" xr3:uid="{484AE1F8-9935-486C-B148-3BE24CA7D045}" name="Average Each Way Fare" dataDxfId="70"/>
    <tableColumn id="6" xr3:uid="{61CF55E2-E334-466B-B86F-D5E72663F3A2}" name="Carrier"/>
    <tableColumn id="7" xr3:uid="{9C6E1AB1-0A6A-48F9-B501-58877FD9BF2F}" name="Percent Market Share" dataDxfId="69"/>
    <tableColumn id="8" xr3:uid="{5DAB3487-82AC-4B3E-A901-871C8AADDCA7}" name="Average Each Way Fare 2/" dataDxfId="68"/>
    <tableColumn id="9" xr3:uid="{15F9CA7A-4D6E-4A89-86C7-ED4F436502C0}" name="Carrier2"/>
    <tableColumn id="10" xr3:uid="{979DD468-599C-403C-ACE5-FA8FDBDF1E97}" name="Percent_x000a_Market_x000a_Share" dataDxfId="67"/>
    <tableColumn id="11" xr3:uid="{CC61B145-F018-4EF8-A840-A17DBD292830}" name="Average _x000a_Each Way Fare 2/" dataDxfId="66"/>
  </tableColumns>
  <tableStyleInfo name="TableStyleMedium2" showFirstColumn="0" showLastColumn="0" showRowStripes="1" showColumnStripes="0"/>
  <extLst>
    <ext xmlns:x14="http://schemas.microsoft.com/office/spreadsheetml/2009/9/main" uri="{504A1905-F514-4f6f-8877-14C23A59335A}">
      <x14:table altText="TresVistaTable"/>
    </ext>
  </extLst>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Period" xr10:uid="{CE976DB7-2D99-479B-B5FF-EF1A458EA991}" sourceName="Period">
  <pivotTables>
    <pivotTable tabId="73" name="Cost/USG"/>
    <pivotTable tabId="73" name="Passenger Yield"/>
    <pivotTable tabId="73" name="Fuel Cost/ Revenue"/>
    <pivotTable tabId="73" name="Effeciency"/>
    <pivotTable tabId="73" name="RASM"/>
    <pivotTable tabId="73" name="Load Factor"/>
    <pivotTable tabId="73" name="Fuel Expense/ ASM"/>
    <pivotTable tabId="73" name="Benchmark Differential"/>
    <pivotTable tabId="73" name="ASM Market Share"/>
  </pivotTables>
  <state minimalRefreshVersion="6" lastRefreshVersion="6" pivotCacheId="1390276830" filterType="dateBetween">
    <selection startDate="2003-01-01T00:00:00" endDate="2021-12-31T00:00:00"/>
    <bounds startDate="2003-01-01T00:00:00" endDate="2023-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Period" xr10:uid="{4D899840-8CE6-412F-BE75-329A9AC8A3D0}" cache="NativeTimeline_Period" caption="Period" level="0" selectionLevel="0" scrollPosition="2003-01-01T00:00:00" style="TimeSlicerStyleLight2"/>
</timeline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hyperlink" Target="javascript:void(0);" TargetMode="External"/><Relationship Id="rId7" Type="http://schemas.openxmlformats.org/officeDocument/2006/relationships/comments" Target="../comments2.xml"/><Relationship Id="rId2" Type="http://schemas.openxmlformats.org/officeDocument/2006/relationships/hyperlink" Target="javascript:void(0);" TargetMode="External"/><Relationship Id="rId1" Type="http://schemas.openxmlformats.org/officeDocument/2006/relationships/hyperlink" Target="javascript:void(0);" TargetMode="External"/><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megroup.com/markets/energy/refined-products/gulf-coast-jet-fuel-platts-calendar-swap.html" TargetMode="External"/><Relationship Id="rId2" Type="http://schemas.openxmlformats.org/officeDocument/2006/relationships/hyperlink" Target="https://www.eia.gov/dnav/pet/hist/LeafHandler.ashx?n=PET&amp;s=EER_EPJK_PF4_RGC_DPG&amp;f=M" TargetMode="External"/><Relationship Id="rId1" Type="http://schemas.openxmlformats.org/officeDocument/2006/relationships/hyperlink" Target="https://www.transtats.bts.gov/TRAFFIC/"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11/relationships/timeline" Target="../timelines/timelin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4.bin"/><Relationship Id="rId1" Type="http://schemas.openxmlformats.org/officeDocument/2006/relationships/hyperlink" Target="https://www.transportation.gov/sites/dot.gov/files/2022-01/Domestic%20Airline%20Fares%20Consumer%20Report%202021_Q3.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transtats.bts.gov/Data_Elements_Financial.aspx?Qn6n=K" TargetMode="External"/><Relationship Id="rId3" Type="http://schemas.openxmlformats.org/officeDocument/2006/relationships/hyperlink" Target="https://www.transtats.bts.gov/Data_Elements_Financial.aspx?Qn6n=K" TargetMode="External"/><Relationship Id="rId7" Type="http://schemas.openxmlformats.org/officeDocument/2006/relationships/hyperlink" Target="https://www.transtats.bts.gov/Data_Elements_Financial.aspx?Qn6n=K" TargetMode="External"/><Relationship Id="rId12" Type="http://schemas.openxmlformats.org/officeDocument/2006/relationships/hyperlink" Target="https://www.transtats.bts.gov/Data_Elements_Financial.aspx?Qn6n=K" TargetMode="External"/><Relationship Id="rId2" Type="http://schemas.openxmlformats.org/officeDocument/2006/relationships/hyperlink" Target="https://www.transtats.bts.gov/Data_Elements_Financial.aspx?Qn6n=K" TargetMode="External"/><Relationship Id="rId1" Type="http://schemas.openxmlformats.org/officeDocument/2006/relationships/hyperlink" Target="https://www.transtats.bts.gov/Data_Elements_Financial.aspx?Qn6n=K" TargetMode="External"/><Relationship Id="rId6" Type="http://schemas.openxmlformats.org/officeDocument/2006/relationships/hyperlink" Target="https://www.transtats.bts.gov/Data_Elements_Financial.aspx?Qn6n=K" TargetMode="External"/><Relationship Id="rId11" Type="http://schemas.openxmlformats.org/officeDocument/2006/relationships/hyperlink" Target="https://www.transtats.bts.gov/Data_Elements_Financial.aspx?Qn6n=K" TargetMode="External"/><Relationship Id="rId5" Type="http://schemas.openxmlformats.org/officeDocument/2006/relationships/hyperlink" Target="https://www.transtats.bts.gov/Data_Elements_Financial.aspx?Qn6n=K" TargetMode="External"/><Relationship Id="rId10" Type="http://schemas.openxmlformats.org/officeDocument/2006/relationships/hyperlink" Target="https://www.transtats.bts.gov/Data_Elements_Financial.aspx?Qn6n=K" TargetMode="External"/><Relationship Id="rId4" Type="http://schemas.openxmlformats.org/officeDocument/2006/relationships/hyperlink" Target="https://www.transtats.bts.gov/Data_Elements_Financial.aspx?Qn6n=K" TargetMode="External"/><Relationship Id="rId9" Type="http://schemas.openxmlformats.org/officeDocument/2006/relationships/hyperlink" Target="https://www.transtats.bts.gov/Data_Elements_Financial.aspx?Qn6n=K"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24FC-F535-4A58-BE96-1EEFC219147D}">
  <sheetPr>
    <tabColor theme="3"/>
  </sheetPr>
  <dimension ref="A1"/>
  <sheetViews>
    <sheetView workbookViewId="0"/>
  </sheetViews>
  <sheetFormatPr defaultRowHeight="14.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1544D-4915-4739-B4FA-5484C020F8A8}">
  <sheetPr>
    <tabColor theme="3"/>
  </sheetPr>
  <dimension ref="A1:AY228"/>
  <sheetViews>
    <sheetView showGridLines="0" workbookViewId="0">
      <pane xSplit="4" ySplit="6" topLeftCell="E7" activePane="bottomRight" state="frozen"/>
      <selection pane="topRight" activeCell="E1" sqref="E1"/>
      <selection pane="bottomLeft" activeCell="A7" sqref="A7"/>
      <selection pane="bottomRight" activeCell="R15" sqref="R15"/>
    </sheetView>
  </sheetViews>
  <sheetFormatPr defaultColWidth="8.796875" defaultRowHeight="10.5" outlineLevelCol="1"/>
  <cols>
    <col min="1" max="2" width="1.796875" style="253" customWidth="1"/>
    <col min="3" max="3" width="32.19921875" style="253" customWidth="1"/>
    <col min="4" max="4" width="8.796875" style="253" hidden="1" customWidth="1" outlineLevel="1"/>
    <col min="5" max="5" width="10.19921875" style="253" bestFit="1" customWidth="1" collapsed="1"/>
    <col min="6" max="17" width="8.796875" style="253"/>
    <col min="18" max="20" width="8.796875" style="253" outlineLevel="1"/>
    <col min="21" max="26" width="8.796875" style="253"/>
    <col min="27" max="30" width="8.796875" style="253" outlineLevel="1"/>
    <col min="31" max="33" width="8.796875" style="253"/>
    <col min="34" max="34" width="2.53125" style="253" customWidth="1"/>
    <col min="35" max="35" width="20.796875" style="253" customWidth="1"/>
    <col min="36" max="38" width="8.796875" style="253"/>
    <col min="39" max="39" width="2.53125" style="253" customWidth="1"/>
    <col min="40" max="42" width="8.796875" style="253"/>
    <col min="43" max="43" width="2.53125" style="253" customWidth="1"/>
    <col min="44" max="46" width="8.796875" style="253"/>
    <col min="47" max="47" width="2.53125" style="253" customWidth="1"/>
    <col min="48" max="16384" width="8.796875" style="253"/>
  </cols>
  <sheetData>
    <row r="1" spans="1:50">
      <c r="A1" s="378" t="s">
        <v>1716</v>
      </c>
    </row>
    <row r="2" spans="1:50">
      <c r="A2" s="278" t="str">
        <f>'UAL Financials'!$A$2</f>
        <v>(All Values in US$ millions)</v>
      </c>
    </row>
    <row r="3" spans="1:50">
      <c r="A3" s="278"/>
    </row>
    <row r="4" spans="1:50">
      <c r="A4" s="278"/>
    </row>
    <row r="5" spans="1:50">
      <c r="B5" s="276"/>
      <c r="C5" s="276" t="s">
        <v>65</v>
      </c>
      <c r="D5" s="276"/>
      <c r="E5" s="275">
        <f t="shared" ref="E5:T5" si="0">YEAR(E6)</f>
        <v>2019</v>
      </c>
      <c r="F5" s="274">
        <f t="shared" si="0"/>
        <v>2019</v>
      </c>
      <c r="G5" s="273">
        <f t="shared" si="0"/>
        <v>2019</v>
      </c>
      <c r="H5" s="272">
        <f t="shared" si="0"/>
        <v>2019</v>
      </c>
      <c r="I5" s="275">
        <f t="shared" si="0"/>
        <v>2020</v>
      </c>
      <c r="J5" s="274">
        <f t="shared" si="0"/>
        <v>2020</v>
      </c>
      <c r="K5" s="273">
        <f t="shared" si="0"/>
        <v>2020</v>
      </c>
      <c r="L5" s="272">
        <f t="shared" si="0"/>
        <v>2020</v>
      </c>
      <c r="M5" s="275">
        <f t="shared" si="0"/>
        <v>2021</v>
      </c>
      <c r="N5" s="274">
        <f t="shared" si="0"/>
        <v>2021</v>
      </c>
      <c r="O5" s="273">
        <f t="shared" si="0"/>
        <v>2021</v>
      </c>
      <c r="P5" s="272">
        <f t="shared" si="0"/>
        <v>2021</v>
      </c>
      <c r="Q5" s="275">
        <f t="shared" si="0"/>
        <v>2022</v>
      </c>
      <c r="R5" s="364">
        <f t="shared" si="0"/>
        <v>2022</v>
      </c>
      <c r="S5" s="365">
        <f t="shared" si="0"/>
        <v>2022</v>
      </c>
      <c r="T5" s="366">
        <f t="shared" si="0"/>
        <v>2022</v>
      </c>
      <c r="U5" s="265"/>
      <c r="V5" s="271">
        <f t="shared" ref="V5:AD5" si="1">YEAR(V6)</f>
        <v>2017</v>
      </c>
      <c r="W5" s="271">
        <f t="shared" si="1"/>
        <v>2018</v>
      </c>
      <c r="X5" s="271">
        <f t="shared" si="1"/>
        <v>2019</v>
      </c>
      <c r="Y5" s="271">
        <f t="shared" si="1"/>
        <v>2020</v>
      </c>
      <c r="Z5" s="271">
        <f t="shared" si="1"/>
        <v>2021</v>
      </c>
      <c r="AA5" s="270">
        <f t="shared" si="1"/>
        <v>2022</v>
      </c>
      <c r="AB5" s="270">
        <f t="shared" si="1"/>
        <v>2023</v>
      </c>
      <c r="AC5" s="270">
        <f t="shared" si="1"/>
        <v>2024</v>
      </c>
      <c r="AD5" s="270">
        <f t="shared" si="1"/>
        <v>2025</v>
      </c>
      <c r="AE5" s="269"/>
      <c r="AI5" s="276" t="s">
        <v>232</v>
      </c>
      <c r="AJ5" s="963">
        <v>2019</v>
      </c>
      <c r="AK5" s="963"/>
      <c r="AL5" s="963"/>
      <c r="AM5" s="964"/>
      <c r="AN5" s="963" t="s">
        <v>141</v>
      </c>
      <c r="AO5" s="963"/>
      <c r="AP5" s="963"/>
      <c r="AQ5" s="964"/>
      <c r="AR5" s="965">
        <f>AJ5+3</f>
        <v>2022</v>
      </c>
      <c r="AS5" s="963"/>
      <c r="AT5" s="963"/>
      <c r="AU5" s="964"/>
      <c r="AV5" s="965">
        <f>AR5+1</f>
        <v>2023</v>
      </c>
      <c r="AW5" s="963"/>
      <c r="AX5" s="963"/>
    </row>
    <row r="6" spans="1:50" s="260" customFormat="1" ht="12.75" customHeight="1">
      <c r="A6" s="253"/>
      <c r="B6" s="262"/>
      <c r="C6" s="262" t="s">
        <v>232</v>
      </c>
      <c r="D6" s="262"/>
      <c r="E6" s="262">
        <v>43555</v>
      </c>
      <c r="F6" s="262">
        <f t="shared" ref="F6:T6" si="2">+EOMONTH(E6,3)</f>
        <v>43646</v>
      </c>
      <c r="G6" s="262">
        <f t="shared" si="2"/>
        <v>43738</v>
      </c>
      <c r="H6" s="262">
        <f t="shared" si="2"/>
        <v>43830</v>
      </c>
      <c r="I6" s="262">
        <f t="shared" si="2"/>
        <v>43921</v>
      </c>
      <c r="J6" s="262">
        <f t="shared" si="2"/>
        <v>44012</v>
      </c>
      <c r="K6" s="262">
        <f t="shared" si="2"/>
        <v>44104</v>
      </c>
      <c r="L6" s="266">
        <f t="shared" si="2"/>
        <v>44196</v>
      </c>
      <c r="M6" s="266">
        <f t="shared" si="2"/>
        <v>44286</v>
      </c>
      <c r="N6" s="266">
        <f t="shared" si="2"/>
        <v>44377</v>
      </c>
      <c r="O6" s="266">
        <f t="shared" si="2"/>
        <v>44469</v>
      </c>
      <c r="P6" s="266">
        <f t="shared" si="2"/>
        <v>44561</v>
      </c>
      <c r="Q6" s="266">
        <f t="shared" si="2"/>
        <v>44651</v>
      </c>
      <c r="R6" s="266">
        <f t="shared" si="2"/>
        <v>44742</v>
      </c>
      <c r="S6" s="266">
        <f t="shared" si="2"/>
        <v>44834</v>
      </c>
      <c r="T6" s="266">
        <f t="shared" si="2"/>
        <v>44926</v>
      </c>
      <c r="U6" s="265"/>
      <c r="V6" s="623">
        <v>43100</v>
      </c>
      <c r="W6" s="261">
        <f t="shared" ref="W6:AD6" si="3">EOMONTH(V6,12)</f>
        <v>43465</v>
      </c>
      <c r="X6" s="261">
        <f t="shared" si="3"/>
        <v>43830</v>
      </c>
      <c r="Y6" s="261">
        <f t="shared" si="3"/>
        <v>44196</v>
      </c>
      <c r="Z6" s="261">
        <f t="shared" si="3"/>
        <v>44561</v>
      </c>
      <c r="AA6" s="261">
        <f t="shared" si="3"/>
        <v>44926</v>
      </c>
      <c r="AB6" s="264">
        <f t="shared" si="3"/>
        <v>45291</v>
      </c>
      <c r="AC6" s="264">
        <f t="shared" si="3"/>
        <v>45657</v>
      </c>
      <c r="AD6" s="264">
        <f t="shared" si="3"/>
        <v>46022</v>
      </c>
      <c r="AE6" s="263"/>
      <c r="AF6" s="253"/>
      <c r="AG6" s="253"/>
      <c r="AI6" s="262" t="s">
        <v>1715</v>
      </c>
      <c r="AJ6" s="264" t="s">
        <v>1314</v>
      </c>
      <c r="AK6" s="264" t="s">
        <v>1315</v>
      </c>
      <c r="AL6" s="264" t="s">
        <v>1316</v>
      </c>
      <c r="AM6" s="964"/>
      <c r="AN6" s="264" t="s">
        <v>1314</v>
      </c>
      <c r="AO6" s="264" t="s">
        <v>1315</v>
      </c>
      <c r="AP6" s="264" t="s">
        <v>1316</v>
      </c>
      <c r="AQ6" s="964"/>
      <c r="AR6" s="264" t="s">
        <v>1314</v>
      </c>
      <c r="AS6" s="264" t="s">
        <v>1315</v>
      </c>
      <c r="AT6" s="264" t="s">
        <v>1316</v>
      </c>
      <c r="AU6" s="964"/>
      <c r="AV6" s="264" t="s">
        <v>1314</v>
      </c>
      <c r="AW6" s="264" t="s">
        <v>1315</v>
      </c>
      <c r="AX6" s="264" t="s">
        <v>1316</v>
      </c>
    </row>
    <row r="8" spans="1:50" s="255" customFormat="1">
      <c r="B8" s="258" t="s">
        <v>133</v>
      </c>
      <c r="C8" s="259" t="s">
        <v>1431</v>
      </c>
      <c r="D8" s="259"/>
      <c r="E8" s="258"/>
      <c r="F8" s="258"/>
      <c r="G8" s="258"/>
      <c r="H8" s="258"/>
      <c r="I8" s="258"/>
      <c r="J8" s="258"/>
      <c r="K8" s="258"/>
      <c r="L8" s="258"/>
      <c r="M8" s="258"/>
      <c r="N8" s="258"/>
      <c r="O8" s="258"/>
      <c r="P8" s="258"/>
      <c r="Q8" s="258"/>
      <c r="R8" s="258"/>
      <c r="S8" s="258"/>
      <c r="T8" s="258"/>
      <c r="U8" s="280"/>
      <c r="V8" s="258"/>
      <c r="W8" s="258"/>
      <c r="X8" s="258"/>
      <c r="Y8" s="258"/>
      <c r="Z8" s="258"/>
      <c r="AA8" s="258"/>
      <c r="AB8" s="258"/>
      <c r="AC8" s="258"/>
      <c r="AD8" s="258"/>
      <c r="AH8" s="259" t="s">
        <v>133</v>
      </c>
      <c r="AI8" s="259" t="s">
        <v>1431</v>
      </c>
      <c r="AJ8" s="259"/>
      <c r="AK8" s="259"/>
      <c r="AL8" s="259"/>
      <c r="AM8" s="259"/>
      <c r="AN8" s="259"/>
      <c r="AO8" s="259"/>
      <c r="AP8" s="259"/>
      <c r="AQ8" s="259"/>
      <c r="AR8" s="259"/>
      <c r="AS8" s="259"/>
      <c r="AT8" s="259"/>
      <c r="AU8" s="259"/>
      <c r="AV8" s="259"/>
      <c r="AW8" s="259"/>
      <c r="AX8" s="259"/>
    </row>
    <row r="10" spans="1:50">
      <c r="B10" s="253" t="s">
        <v>133</v>
      </c>
      <c r="C10" s="279" t="s">
        <v>284</v>
      </c>
    </row>
    <row r="11" spans="1:50">
      <c r="C11" s="253" t="s">
        <v>1305</v>
      </c>
      <c r="E11" s="287">
        <f>'AAL KPI'!E10</f>
        <v>9658</v>
      </c>
      <c r="F11" s="287">
        <f>'AAL KPI'!F10</f>
        <v>11011</v>
      </c>
      <c r="G11" s="287">
        <f>'AAL KPI'!G10</f>
        <v>10995</v>
      </c>
      <c r="H11" s="287">
        <f>'AAL KPI'!H10</f>
        <v>10347</v>
      </c>
      <c r="I11" s="287">
        <f>'AAL KPI'!I10</f>
        <v>7681</v>
      </c>
      <c r="J11" s="287">
        <f>'AAL KPI'!J10</f>
        <v>1108</v>
      </c>
      <c r="K11" s="287">
        <f>'AAL KPI'!K10</f>
        <v>2540</v>
      </c>
      <c r="L11" s="287">
        <f>'AAL KPI'!L10</f>
        <v>3190</v>
      </c>
      <c r="M11" s="287">
        <f>'AAL KPI'!M10</f>
        <v>3179</v>
      </c>
      <c r="N11" s="287">
        <f>'AAL KPI'!N10</f>
        <v>6545</v>
      </c>
      <c r="O11" s="287">
        <f>'AAL KPI'!O10</f>
        <v>7957</v>
      </c>
      <c r="P11" s="287">
        <f>'AAL KPI'!P10</f>
        <v>8382</v>
      </c>
      <c r="Q11" s="287">
        <f>'AAL KPI'!Q10</f>
        <v>7818</v>
      </c>
      <c r="R11" s="287">
        <f>'AAL KPI'!R10</f>
        <v>11285.026002582352</v>
      </c>
      <c r="S11" s="287">
        <f>'AAL KPI'!S10</f>
        <v>11382.912619821385</v>
      </c>
      <c r="T11" s="287">
        <f>'AAL KPI'!T10</f>
        <v>10496.174214792838</v>
      </c>
      <c r="U11" s="287"/>
      <c r="V11" s="287">
        <f>'AAL KPI'!V10</f>
        <v>39131</v>
      </c>
      <c r="W11" s="287">
        <f>'AAL KPI'!W10</f>
        <v>40676</v>
      </c>
      <c r="X11" s="254">
        <f t="shared" ref="X11:AA13" si="4">+SUMIF($E$5:$T$5,X$5,$E11:$T11)</f>
        <v>42011</v>
      </c>
      <c r="Y11" s="254">
        <f t="shared" si="4"/>
        <v>14519</v>
      </c>
      <c r="Z11" s="254">
        <f t="shared" si="4"/>
        <v>26063</v>
      </c>
      <c r="AA11" s="254">
        <f t="shared" si="4"/>
        <v>40982.112837196575</v>
      </c>
      <c r="AB11" s="287">
        <f>'AAL KPI'!AB10</f>
        <v>44721.565900572816</v>
      </c>
      <c r="AC11" s="287">
        <f>'AAL KPI'!AC10</f>
        <v>47707.320635023789</v>
      </c>
      <c r="AD11" s="287">
        <f>'AAL KPI'!AD10</f>
        <v>48700.309107129862</v>
      </c>
    </row>
    <row r="12" spans="1:50">
      <c r="C12" s="253" t="s">
        <v>1306</v>
      </c>
      <c r="E12" s="287">
        <f>'DAL KPI'!E92</f>
        <v>9254</v>
      </c>
      <c r="F12" s="287">
        <f>'DAL KPI'!F92</f>
        <v>11368</v>
      </c>
      <c r="G12" s="287">
        <f>'DAL KPI'!G92</f>
        <v>11410</v>
      </c>
      <c r="H12" s="287">
        <f>'DAL KPI'!H92</f>
        <v>10245</v>
      </c>
      <c r="I12" s="287">
        <f>'DAL KPI'!I92</f>
        <v>7569</v>
      </c>
      <c r="J12" s="287">
        <f>'DAL KPI'!J92</f>
        <v>678</v>
      </c>
      <c r="K12" s="287">
        <f>'DAL KPI'!K92</f>
        <v>1938</v>
      </c>
      <c r="L12" s="287">
        <f>'DAL KPI'!L92</f>
        <v>2698</v>
      </c>
      <c r="M12" s="287">
        <f>'DAL KPI'!M92</f>
        <v>2748</v>
      </c>
      <c r="N12" s="287">
        <f>'DAL KPI'!N92</f>
        <v>5339</v>
      </c>
      <c r="O12" s="287">
        <f>'DAL KPI'!O92</f>
        <v>7191</v>
      </c>
      <c r="P12" s="287">
        <f>'DAL KPI'!P92</f>
        <v>7241</v>
      </c>
      <c r="Q12" s="287">
        <f>'DAL KPI'!Q92</f>
        <v>6907</v>
      </c>
      <c r="R12" s="287">
        <f>'DAL KPI'!R92</f>
        <v>10958</v>
      </c>
      <c r="S12" s="287">
        <f>'DAL KPI'!S92</f>
        <v>11409.805962942415</v>
      </c>
      <c r="T12" s="287">
        <f>'DAL KPI'!T92</f>
        <v>10486.61240538028</v>
      </c>
      <c r="U12" s="287"/>
      <c r="V12" s="287">
        <f>'DAL KPI'!V92</f>
        <v>36947</v>
      </c>
      <c r="W12" s="287">
        <f>'DAL KPI'!W92</f>
        <v>39755</v>
      </c>
      <c r="X12" s="254">
        <f t="shared" si="4"/>
        <v>42277</v>
      </c>
      <c r="Y12" s="254">
        <f t="shared" si="4"/>
        <v>12883</v>
      </c>
      <c r="Z12" s="254">
        <f t="shared" si="4"/>
        <v>22519</v>
      </c>
      <c r="AA12" s="254">
        <f t="shared" si="4"/>
        <v>39761.418368322695</v>
      </c>
      <c r="AB12" s="287">
        <f>'DAL KPI'!AB92</f>
        <v>44582.036686942083</v>
      </c>
      <c r="AC12" s="287">
        <f>'DAL KPI'!AC92</f>
        <v>48258.562758525135</v>
      </c>
      <c r="AD12" s="287">
        <f>'DAL KPI'!AD92</f>
        <v>49616.92340903735</v>
      </c>
    </row>
    <row r="13" spans="1:50">
      <c r="C13" s="253" t="s">
        <v>1307</v>
      </c>
      <c r="E13" s="287">
        <f>'UAL KPI'!E10</f>
        <v>8725</v>
      </c>
      <c r="F13" s="287">
        <f>'UAL KPI'!F10</f>
        <v>10486</v>
      </c>
      <c r="G13" s="287">
        <f>'UAL KPI'!G10</f>
        <v>10481</v>
      </c>
      <c r="H13" s="287">
        <f>'UAL KPI'!H10</f>
        <v>9933</v>
      </c>
      <c r="I13" s="287">
        <f>'UAL KPI'!I10</f>
        <v>7065</v>
      </c>
      <c r="J13" s="287">
        <f>'UAL KPI'!J10</f>
        <v>681</v>
      </c>
      <c r="K13" s="287">
        <f>'UAL KPI'!K10</f>
        <v>1649</v>
      </c>
      <c r="L13" s="287">
        <f>'UAL KPI'!L10</f>
        <v>2410</v>
      </c>
      <c r="M13" s="287">
        <f>'UAL KPI'!M10</f>
        <v>2316</v>
      </c>
      <c r="N13" s="287">
        <f>'UAL KPI'!N10</f>
        <v>4366</v>
      </c>
      <c r="O13" s="287">
        <f>'UAL KPI'!O10</f>
        <v>6637</v>
      </c>
      <c r="P13" s="287">
        <f>'UAL KPI'!P10</f>
        <v>6878</v>
      </c>
      <c r="Q13" s="287">
        <f>'UAL KPI'!Q10</f>
        <v>6348</v>
      </c>
      <c r="R13" s="287">
        <f>'UAL KPI'!R10</f>
        <v>10088.515773701803</v>
      </c>
      <c r="S13" s="287">
        <f>'UAL KPI'!S10</f>
        <v>10637.838600000001</v>
      </c>
      <c r="T13" s="287">
        <f>'UAL KPI'!T10</f>
        <v>10316.181500000002</v>
      </c>
      <c r="V13" s="287">
        <f>'UAL KPI'!V10</f>
        <v>34460</v>
      </c>
      <c r="W13" s="287">
        <f>'UAL KPI'!W10</f>
        <v>37706</v>
      </c>
      <c r="X13" s="254">
        <f t="shared" si="4"/>
        <v>39625</v>
      </c>
      <c r="Y13" s="254">
        <f t="shared" si="4"/>
        <v>11805</v>
      </c>
      <c r="Z13" s="254">
        <f t="shared" si="4"/>
        <v>20197</v>
      </c>
      <c r="AA13" s="254">
        <f t="shared" si="4"/>
        <v>37390.53587370181</v>
      </c>
      <c r="AB13" s="287">
        <f>'UAL KPI'!AB10</f>
        <v>43279.233455173897</v>
      </c>
      <c r="AC13" s="287">
        <f>'UAL KPI'!AC10</f>
        <v>46011.713891739513</v>
      </c>
      <c r="AD13" s="287">
        <f>'UAL KPI'!AD10</f>
        <v>46500.886315926742</v>
      </c>
    </row>
    <row r="14" spans="1:50" ht="3" customHeight="1">
      <c r="E14" s="287"/>
      <c r="F14" s="287"/>
      <c r="G14" s="287"/>
      <c r="H14" s="287"/>
      <c r="I14" s="287"/>
      <c r="J14" s="287"/>
      <c r="K14" s="287"/>
      <c r="L14" s="287"/>
      <c r="M14" s="287"/>
      <c r="N14" s="287"/>
      <c r="O14" s="287"/>
      <c r="P14" s="287"/>
      <c r="Q14" s="287"/>
      <c r="R14" s="287"/>
      <c r="S14" s="287"/>
      <c r="T14" s="287"/>
      <c r="U14" s="287"/>
      <c r="V14" s="287"/>
      <c r="W14" s="287"/>
      <c r="X14" s="254"/>
      <c r="Y14" s="254"/>
      <c r="Z14" s="254"/>
      <c r="AA14" s="254"/>
      <c r="AB14" s="287"/>
      <c r="AC14" s="287"/>
      <c r="AD14" s="287"/>
    </row>
    <row r="15" spans="1:50">
      <c r="C15" s="279" t="s">
        <v>285</v>
      </c>
      <c r="E15" s="287"/>
      <c r="F15" s="287"/>
      <c r="G15" s="287"/>
      <c r="H15" s="287"/>
      <c r="I15" s="287"/>
      <c r="J15" s="287"/>
      <c r="K15" s="287"/>
      <c r="L15" s="287"/>
      <c r="M15" s="287"/>
      <c r="N15" s="287"/>
      <c r="O15" s="287"/>
      <c r="P15" s="287"/>
      <c r="Q15" s="287"/>
      <c r="R15" s="287"/>
      <c r="S15" s="287"/>
      <c r="T15" s="287"/>
      <c r="U15" s="287"/>
      <c r="V15" s="287"/>
      <c r="W15" s="287"/>
      <c r="X15" s="254"/>
      <c r="Y15" s="254"/>
      <c r="Z15" s="254"/>
      <c r="AA15" s="254"/>
      <c r="AB15" s="287"/>
      <c r="AC15" s="287"/>
      <c r="AD15" s="287"/>
    </row>
    <row r="16" spans="1:50">
      <c r="C16" s="253" t="s">
        <v>1305</v>
      </c>
      <c r="E16" s="287">
        <f>'AAL KPI'!E11</f>
        <v>218</v>
      </c>
      <c r="F16" s="287">
        <f>'AAL KPI'!F11</f>
        <v>221</v>
      </c>
      <c r="G16" s="287">
        <f>'AAL KPI'!G11</f>
        <v>208</v>
      </c>
      <c r="H16" s="287">
        <f>'AAL KPI'!H11</f>
        <v>216</v>
      </c>
      <c r="I16" s="287">
        <f>'AAL KPI'!I11</f>
        <v>147</v>
      </c>
      <c r="J16" s="287">
        <f>'AAL KPI'!J11</f>
        <v>130</v>
      </c>
      <c r="K16" s="287">
        <f>'AAL KPI'!K11</f>
        <v>207</v>
      </c>
      <c r="L16" s="287">
        <f>'AAL KPI'!L11</f>
        <v>285</v>
      </c>
      <c r="M16" s="287">
        <f>'AAL KPI'!M11</f>
        <v>315</v>
      </c>
      <c r="N16" s="287">
        <f>'AAL KPI'!N11</f>
        <v>326</v>
      </c>
      <c r="O16" s="287">
        <f>'AAL KPI'!O11</f>
        <v>332</v>
      </c>
      <c r="P16" s="287">
        <f>'AAL KPI'!P11</f>
        <v>341</v>
      </c>
      <c r="Q16" s="287">
        <f>'AAL KPI'!Q11</f>
        <v>364</v>
      </c>
      <c r="R16" s="287">
        <f>'AAL KPI'!R11</f>
        <v>382.39799999999997</v>
      </c>
      <c r="S16" s="287">
        <f>'AAL KPI'!S11</f>
        <v>376.15600000000001</v>
      </c>
      <c r="T16" s="287">
        <f>'AAL KPI'!T11</f>
        <v>329.91750000000002</v>
      </c>
      <c r="U16" s="287"/>
      <c r="V16" s="287">
        <f>'AAL KPI'!V11</f>
        <v>890</v>
      </c>
      <c r="W16" s="287">
        <f>'AAL KPI'!W11</f>
        <v>1013</v>
      </c>
      <c r="X16" s="254">
        <f t="shared" ref="X16:AA18" si="5">+SUMIF($E$5:$T$5,X$5,$E16:$T16)</f>
        <v>863</v>
      </c>
      <c r="Y16" s="254">
        <f t="shared" si="5"/>
        <v>769</v>
      </c>
      <c r="Z16" s="254">
        <f t="shared" si="5"/>
        <v>1314</v>
      </c>
      <c r="AA16" s="254">
        <f t="shared" si="5"/>
        <v>1452.4714999999999</v>
      </c>
      <c r="AB16" s="287">
        <f>'AAL KPI'!AB11</f>
        <v>1283.9848060000002</v>
      </c>
      <c r="AC16" s="287">
        <f>'AAL KPI'!AC11</f>
        <v>1124.128697653</v>
      </c>
      <c r="AD16" s="287">
        <f>'AAL KPI'!AD11</f>
        <v>974.61958086515097</v>
      </c>
    </row>
    <row r="17" spans="2:30">
      <c r="C17" s="253" t="s">
        <v>1306</v>
      </c>
      <c r="E17" s="287">
        <f>'DAL KPI'!E100</f>
        <v>192</v>
      </c>
      <c r="F17" s="287">
        <f>'DAL KPI'!F100</f>
        <v>186</v>
      </c>
      <c r="G17" s="287">
        <f>'DAL KPI'!G100</f>
        <v>189</v>
      </c>
      <c r="H17" s="287">
        <f>'DAL KPI'!H100</f>
        <v>187</v>
      </c>
      <c r="I17" s="287">
        <f>'DAL KPI'!I100</f>
        <v>152</v>
      </c>
      <c r="J17" s="287">
        <f>'DAL KPI'!J100</f>
        <v>108</v>
      </c>
      <c r="K17" s="287">
        <f>'DAL KPI'!K100</f>
        <v>142</v>
      </c>
      <c r="L17" s="287">
        <f>'DAL KPI'!L100</f>
        <v>204</v>
      </c>
      <c r="M17" s="287">
        <f>'DAL KPI'!M100</f>
        <v>215</v>
      </c>
      <c r="N17" s="287">
        <f>'DAL KPI'!N100</f>
        <v>251</v>
      </c>
      <c r="O17" s="287">
        <f>'DAL KPI'!O100</f>
        <v>262</v>
      </c>
      <c r="P17" s="287">
        <f>'DAL KPI'!P100</f>
        <v>304</v>
      </c>
      <c r="Q17" s="287">
        <f>'DAL KPI'!Q100</f>
        <v>289</v>
      </c>
      <c r="R17" s="287">
        <f>'DAL KPI'!R100</f>
        <v>272</v>
      </c>
      <c r="S17" s="287">
        <f>'DAL KPI'!S100</f>
        <v>292.33205320500002</v>
      </c>
      <c r="T17" s="287">
        <f>'DAL KPI'!T100</f>
        <v>309.37331377880002</v>
      </c>
      <c r="U17" s="287"/>
      <c r="V17" s="287">
        <f>'DAL KPI'!V100</f>
        <v>744</v>
      </c>
      <c r="W17" s="287">
        <f>'DAL KPI'!W100</f>
        <v>865</v>
      </c>
      <c r="X17" s="254">
        <f t="shared" si="5"/>
        <v>754</v>
      </c>
      <c r="Y17" s="254">
        <f t="shared" si="5"/>
        <v>606</v>
      </c>
      <c r="Z17" s="254">
        <f t="shared" si="5"/>
        <v>1032</v>
      </c>
      <c r="AA17" s="254">
        <f t="shared" si="5"/>
        <v>1162.7053669838001</v>
      </c>
      <c r="AB17" s="287">
        <f>'DAL KPI'!AB100</f>
        <v>1253.7590074047</v>
      </c>
      <c r="AC17" s="287">
        <f>'DAL KPI'!AC100</f>
        <v>1187.5061113395202</v>
      </c>
      <c r="AD17" s="287">
        <f>'DAL KPI'!AD100</f>
        <v>1056.1482698390403</v>
      </c>
    </row>
    <row r="18" spans="2:30">
      <c r="C18" s="253" t="s">
        <v>1307</v>
      </c>
      <c r="E18" s="287">
        <f>'UAL KPI'!E11</f>
        <v>286</v>
      </c>
      <c r="F18" s="287">
        <f>'UAL KPI'!F11</f>
        <v>295</v>
      </c>
      <c r="G18" s="287">
        <f>'UAL KPI'!G11</f>
        <v>282</v>
      </c>
      <c r="H18" s="287">
        <f>'UAL KPI'!H11</f>
        <v>316</v>
      </c>
      <c r="I18" s="287">
        <f>'UAL KPI'!I11</f>
        <v>264</v>
      </c>
      <c r="J18" s="287">
        <f>'UAL KPI'!J11</f>
        <v>402</v>
      </c>
      <c r="K18" s="287">
        <f>'UAL KPI'!K11</f>
        <v>422</v>
      </c>
      <c r="L18" s="287">
        <f>'UAL KPI'!L11</f>
        <v>560</v>
      </c>
      <c r="M18" s="287">
        <f>'UAL KPI'!M11</f>
        <v>497</v>
      </c>
      <c r="N18" s="287">
        <f>'UAL KPI'!N11</f>
        <v>606</v>
      </c>
      <c r="O18" s="287">
        <f>'UAL KPI'!O11</f>
        <v>519</v>
      </c>
      <c r="P18" s="287">
        <f>'UAL KPI'!P11</f>
        <v>727</v>
      </c>
      <c r="Q18" s="287">
        <f>'UAL KPI'!Q11</f>
        <v>627</v>
      </c>
      <c r="R18" s="287">
        <f>'UAL KPI'!R11</f>
        <v>587.21400000000006</v>
      </c>
      <c r="S18" s="287">
        <f>'UAL KPI'!S11</f>
        <v>554.68124999999998</v>
      </c>
      <c r="T18" s="287">
        <f>'UAL KPI'!T11</f>
        <v>539.7974999999999</v>
      </c>
      <c r="U18" s="287"/>
      <c r="V18" s="287">
        <f>'UAL KPI'!V11</f>
        <v>1114</v>
      </c>
      <c r="W18" s="287">
        <f>'UAL KPI'!W11</f>
        <v>1237</v>
      </c>
      <c r="X18" s="254">
        <f t="shared" si="5"/>
        <v>1179</v>
      </c>
      <c r="Y18" s="254">
        <f t="shared" si="5"/>
        <v>1648</v>
      </c>
      <c r="Z18" s="254">
        <f t="shared" si="5"/>
        <v>2349</v>
      </c>
      <c r="AA18" s="254">
        <f t="shared" si="5"/>
        <v>2308.6927500000002</v>
      </c>
      <c r="AB18" s="287">
        <f>'UAL KPI'!AB11</f>
        <v>1864.2693956250002</v>
      </c>
      <c r="AC18" s="287">
        <f>'UAL KPI'!AC11</f>
        <v>1505.3975369671875</v>
      </c>
      <c r="AD18" s="287">
        <f>'UAL KPI'!AD11</f>
        <v>1215.6085111010041</v>
      </c>
    </row>
    <row r="19" spans="2:30" ht="3" customHeight="1">
      <c r="E19" s="287"/>
      <c r="F19" s="287"/>
      <c r="G19" s="287"/>
      <c r="H19" s="287"/>
      <c r="I19" s="287"/>
      <c r="J19" s="287"/>
      <c r="K19" s="287"/>
      <c r="L19" s="287"/>
      <c r="M19" s="287"/>
      <c r="N19" s="287"/>
      <c r="O19" s="287"/>
      <c r="P19" s="287"/>
      <c r="Q19" s="287"/>
      <c r="R19" s="287"/>
      <c r="S19" s="287"/>
      <c r="T19" s="287"/>
      <c r="U19" s="287"/>
      <c r="V19" s="287"/>
      <c r="W19" s="287"/>
      <c r="X19" s="254"/>
      <c r="Y19" s="254"/>
      <c r="Z19" s="254"/>
      <c r="AA19" s="254"/>
      <c r="AB19" s="287"/>
      <c r="AC19" s="287"/>
      <c r="AD19" s="287"/>
    </row>
    <row r="20" spans="2:30">
      <c r="C20" s="279" t="s">
        <v>286</v>
      </c>
      <c r="E20" s="287"/>
      <c r="F20" s="287"/>
      <c r="G20" s="287"/>
      <c r="H20" s="287"/>
      <c r="I20" s="287"/>
      <c r="J20" s="287"/>
      <c r="K20" s="287"/>
      <c r="L20" s="287"/>
      <c r="M20" s="287"/>
      <c r="N20" s="287"/>
      <c r="O20" s="287"/>
      <c r="P20" s="287"/>
      <c r="Q20" s="287"/>
      <c r="R20" s="287"/>
      <c r="S20" s="287"/>
      <c r="T20" s="287"/>
      <c r="U20" s="287"/>
      <c r="V20" s="287"/>
      <c r="W20" s="287"/>
      <c r="X20" s="254"/>
      <c r="Y20" s="254"/>
      <c r="Z20" s="254"/>
      <c r="AA20" s="254"/>
      <c r="AB20" s="287"/>
      <c r="AC20" s="287"/>
      <c r="AD20" s="287"/>
    </row>
    <row r="21" spans="2:30">
      <c r="C21" s="253" t="s">
        <v>1305</v>
      </c>
      <c r="E21" s="287">
        <f>'AAL KPI'!E12</f>
        <v>708</v>
      </c>
      <c r="F21" s="287">
        <f>'AAL KPI'!F12</f>
        <v>728</v>
      </c>
      <c r="G21" s="287">
        <f>'AAL KPI'!G12</f>
        <v>708</v>
      </c>
      <c r="H21" s="287">
        <f>'AAL KPI'!H12</f>
        <v>750</v>
      </c>
      <c r="I21" s="287">
        <f>'AAL KPI'!I12</f>
        <v>687</v>
      </c>
      <c r="J21" s="287">
        <f>'AAL KPI'!J12</f>
        <v>384</v>
      </c>
      <c r="K21" s="287">
        <f>'AAL KPI'!K12</f>
        <v>426</v>
      </c>
      <c r="L21" s="287">
        <f>'AAL KPI'!L12</f>
        <v>552</v>
      </c>
      <c r="M21" s="287">
        <f>'AAL KPI'!M12</f>
        <v>514</v>
      </c>
      <c r="N21" s="287">
        <f>'AAL KPI'!N12</f>
        <v>607</v>
      </c>
      <c r="O21" s="287">
        <f>'AAL KPI'!O12</f>
        <v>680</v>
      </c>
      <c r="P21" s="287">
        <f>'AAL KPI'!P12</f>
        <v>704</v>
      </c>
      <c r="Q21" s="287">
        <f>'AAL KPI'!Q12</f>
        <v>717</v>
      </c>
      <c r="R21" s="287">
        <f>'AAL KPI'!R12</f>
        <v>1128.5026002582351</v>
      </c>
      <c r="S21" s="287">
        <f>'AAL KPI'!S12</f>
        <v>1138.2912619821386</v>
      </c>
      <c r="T21" s="287">
        <f>'AAL KPI'!T12</f>
        <v>1049.6174214792838</v>
      </c>
      <c r="U21" s="287"/>
      <c r="V21" s="287">
        <f>'AAL KPI'!V12</f>
        <v>2601</v>
      </c>
      <c r="W21" s="287">
        <f>'AAL KPI'!W12</f>
        <v>2852</v>
      </c>
      <c r="X21" s="254">
        <f t="shared" ref="X21:AA23" si="6">+SUMIF($E$5:$T$5,X$5,$E21:$T21)</f>
        <v>2894</v>
      </c>
      <c r="Y21" s="254">
        <f t="shared" si="6"/>
        <v>2049</v>
      </c>
      <c r="Z21" s="254">
        <f t="shared" si="6"/>
        <v>2505</v>
      </c>
      <c r="AA21" s="254">
        <f t="shared" si="6"/>
        <v>4033.4112837196571</v>
      </c>
      <c r="AB21" s="287">
        <f>'AAL KPI'!AB12</f>
        <v>3973.3152365328988</v>
      </c>
      <c r="AC21" s="287">
        <f>'AAL KPI'!AC12</f>
        <v>3785.366920164166</v>
      </c>
      <c r="AD21" s="287">
        <f>'AAL KPI'!AD12</f>
        <v>3401.5032693238009</v>
      </c>
    </row>
    <row r="22" spans="2:30">
      <c r="C22" s="253" t="s">
        <v>1306</v>
      </c>
      <c r="E22" s="287">
        <f>SUM('DAL KPI'!E95:E97)</f>
        <v>978</v>
      </c>
      <c r="F22" s="287">
        <f>SUM('DAL KPI'!F95:F97)</f>
        <v>942</v>
      </c>
      <c r="G22" s="287">
        <f>SUM('DAL KPI'!G95:G97)</f>
        <v>955</v>
      </c>
      <c r="H22" s="287">
        <f>SUM('DAL KPI'!H95:H97)</f>
        <v>1005</v>
      </c>
      <c r="I22" s="287">
        <f>SUM('DAL KPI'!I95:I97)</f>
        <v>871</v>
      </c>
      <c r="J22" s="287">
        <f>SUM('DAL KPI'!J95:J97)</f>
        <v>390</v>
      </c>
      <c r="K22" s="287">
        <f>SUM('DAL KPI'!K95:K97)</f>
        <v>565</v>
      </c>
      <c r="L22" s="287">
        <f>SUM('DAL KPI'!L95:L97)</f>
        <v>630</v>
      </c>
      <c r="M22" s="287">
        <f>SUM('DAL KPI'!M95:M97)</f>
        <v>647</v>
      </c>
      <c r="N22" s="287">
        <f>SUM('DAL KPI'!N95:N97)</f>
        <v>759</v>
      </c>
      <c r="O22" s="287">
        <f>SUM('DAL KPI'!O95:O97)</f>
        <v>829</v>
      </c>
      <c r="P22" s="287">
        <f>SUM('DAL KPI'!P95:P97)</f>
        <v>885</v>
      </c>
      <c r="Q22" s="287">
        <f>SUM('DAL KPI'!Q95:Q97)</f>
        <v>965</v>
      </c>
      <c r="R22" s="287">
        <f>SUM('DAL KPI'!R95:R97)</f>
        <v>1080</v>
      </c>
      <c r="S22" s="287">
        <f>SUM('DAL KPI'!S95:S97)</f>
        <v>1234.29089131</v>
      </c>
      <c r="T22" s="287">
        <f>SUM('DAL KPI'!T95:T97)</f>
        <v>1082.8065982258001</v>
      </c>
      <c r="U22" s="287"/>
      <c r="V22" s="287">
        <f>SUM('DAL KPI'!V95:V97)</f>
        <v>3447</v>
      </c>
      <c r="W22" s="287">
        <f>SUM('DAL KPI'!W95:W97)</f>
        <v>3818</v>
      </c>
      <c r="X22" s="254">
        <f t="shared" si="6"/>
        <v>3880</v>
      </c>
      <c r="Y22" s="254">
        <f t="shared" si="6"/>
        <v>2456</v>
      </c>
      <c r="Z22" s="254">
        <f t="shared" si="6"/>
        <v>3120</v>
      </c>
      <c r="AA22" s="254">
        <f t="shared" si="6"/>
        <v>4362.0974895358004</v>
      </c>
      <c r="AB22" s="287">
        <f>SUM('DAL KPI'!AB95:AB97)</f>
        <v>5154.3425859970994</v>
      </c>
      <c r="AC22" s="287">
        <f>SUM('DAL KPI'!AC95:AC97)</f>
        <v>5640.6540288627211</v>
      </c>
      <c r="AD22" s="287">
        <f>SUM('DAL KPI'!AD95:AD97)</f>
        <v>5733.3763219833609</v>
      </c>
    </row>
    <row r="23" spans="2:30">
      <c r="C23" s="253" t="s">
        <v>1307</v>
      </c>
      <c r="E23" s="287">
        <f>'UAL KPI'!E12</f>
        <v>578</v>
      </c>
      <c r="F23" s="287">
        <f>'UAL KPI'!F12</f>
        <v>621</v>
      </c>
      <c r="G23" s="287">
        <f>'UAL KPI'!G12</f>
        <v>617</v>
      </c>
      <c r="H23" s="287">
        <f>'UAL KPI'!H12</f>
        <v>639</v>
      </c>
      <c r="I23" s="287">
        <f>'UAL KPI'!I12</f>
        <v>650</v>
      </c>
      <c r="J23" s="287">
        <f>'UAL KPI'!J12</f>
        <v>392</v>
      </c>
      <c r="K23" s="287">
        <f>'UAL KPI'!K12</f>
        <v>418</v>
      </c>
      <c r="L23" s="287">
        <f>'UAL KPI'!L12</f>
        <v>442</v>
      </c>
      <c r="M23" s="287">
        <f>'UAL KPI'!M12</f>
        <v>408</v>
      </c>
      <c r="N23" s="287">
        <f>'UAL KPI'!N12</f>
        <v>499</v>
      </c>
      <c r="O23" s="287">
        <f>'UAL KPI'!O12</f>
        <v>594</v>
      </c>
      <c r="P23" s="287">
        <f>'UAL KPI'!P12</f>
        <v>587</v>
      </c>
      <c r="Q23" s="287">
        <f>'UAL KPI'!Q12</f>
        <v>591</v>
      </c>
      <c r="R23" s="287">
        <f>'UAL KPI'!R12</f>
        <v>907.96641963316233</v>
      </c>
      <c r="S23" s="287">
        <f>'UAL KPI'!S12</f>
        <v>957.40547400000003</v>
      </c>
      <c r="T23" s="287">
        <f>'UAL KPI'!T12</f>
        <v>928.45633500000019</v>
      </c>
      <c r="U23" s="287"/>
      <c r="V23" s="287">
        <f>'UAL KPI'!V12</f>
        <v>2210</v>
      </c>
      <c r="W23" s="287">
        <f>'UAL KPI'!W12</f>
        <v>2360</v>
      </c>
      <c r="X23" s="254">
        <f t="shared" si="6"/>
        <v>2455</v>
      </c>
      <c r="Y23" s="254">
        <f t="shared" si="6"/>
        <v>1902</v>
      </c>
      <c r="Z23" s="254">
        <f t="shared" si="6"/>
        <v>2088</v>
      </c>
      <c r="AA23" s="254">
        <f t="shared" si="6"/>
        <v>3384.8282286331628</v>
      </c>
      <c r="AB23" s="287">
        <f>'UAL KPI'!AB12</f>
        <v>3678.7348436897814</v>
      </c>
      <c r="AC23" s="287">
        <f>'UAL KPI'!AC12</f>
        <v>3910.9956807978588</v>
      </c>
      <c r="AD23" s="287">
        <f>'UAL KPI'!AD12</f>
        <v>3952.5753368537735</v>
      </c>
    </row>
    <row r="24" spans="2:30">
      <c r="E24" s="287"/>
      <c r="F24" s="287"/>
      <c r="G24" s="287"/>
      <c r="H24" s="287"/>
      <c r="I24" s="287"/>
      <c r="J24" s="287"/>
      <c r="K24" s="287"/>
      <c r="L24" s="287"/>
      <c r="M24" s="287"/>
      <c r="N24" s="287"/>
      <c r="O24" s="287"/>
      <c r="P24" s="287"/>
      <c r="Q24" s="287"/>
      <c r="R24" s="287"/>
      <c r="S24" s="287"/>
      <c r="T24" s="287"/>
      <c r="U24" s="287"/>
      <c r="V24" s="287"/>
      <c r="W24" s="287"/>
      <c r="X24" s="254"/>
      <c r="Y24" s="254"/>
      <c r="Z24" s="254"/>
      <c r="AA24" s="254"/>
      <c r="AB24" s="287"/>
      <c r="AC24" s="287"/>
      <c r="AD24" s="287"/>
    </row>
    <row r="25" spans="2:30">
      <c r="C25" s="644" t="s">
        <v>575</v>
      </c>
    </row>
    <row r="26" spans="2:30">
      <c r="C26" s="253" t="s">
        <v>1305</v>
      </c>
      <c r="E26" s="255">
        <f t="shared" ref="E26:T26" si="7">+E11+E16+E21</f>
        <v>10584</v>
      </c>
      <c r="F26" s="255">
        <f t="shared" si="7"/>
        <v>11960</v>
      </c>
      <c r="G26" s="255">
        <f t="shared" si="7"/>
        <v>11911</v>
      </c>
      <c r="H26" s="255">
        <f t="shared" si="7"/>
        <v>11313</v>
      </c>
      <c r="I26" s="255">
        <f t="shared" si="7"/>
        <v>8515</v>
      </c>
      <c r="J26" s="255">
        <f t="shared" si="7"/>
        <v>1622</v>
      </c>
      <c r="K26" s="255">
        <f t="shared" si="7"/>
        <v>3173</v>
      </c>
      <c r="L26" s="255">
        <f t="shared" si="7"/>
        <v>4027</v>
      </c>
      <c r="M26" s="255">
        <f t="shared" si="7"/>
        <v>4008</v>
      </c>
      <c r="N26" s="255">
        <f t="shared" si="7"/>
        <v>7478</v>
      </c>
      <c r="O26" s="255">
        <f t="shared" si="7"/>
        <v>8969</v>
      </c>
      <c r="P26" s="255">
        <f t="shared" si="7"/>
        <v>9427</v>
      </c>
      <c r="Q26" s="255">
        <f t="shared" si="7"/>
        <v>8899</v>
      </c>
      <c r="R26" s="255">
        <f t="shared" si="7"/>
        <v>12795.926602840585</v>
      </c>
      <c r="S26" s="255">
        <f t="shared" si="7"/>
        <v>12897.359881803524</v>
      </c>
      <c r="T26" s="255">
        <f t="shared" si="7"/>
        <v>11875.709136272122</v>
      </c>
      <c r="U26" s="255"/>
      <c r="V26" s="255">
        <f t="shared" ref="V26:AD26" si="8">+V11+V16+V21</f>
        <v>42622</v>
      </c>
      <c r="W26" s="255">
        <f t="shared" si="8"/>
        <v>44541</v>
      </c>
      <c r="X26" s="255">
        <f t="shared" si="8"/>
        <v>45768</v>
      </c>
      <c r="Y26" s="255">
        <f t="shared" si="8"/>
        <v>17337</v>
      </c>
      <c r="Z26" s="255">
        <f t="shared" si="8"/>
        <v>29882</v>
      </c>
      <c r="AA26" s="255">
        <f t="shared" si="8"/>
        <v>46467.995620916234</v>
      </c>
      <c r="AB26" s="255">
        <f t="shared" si="8"/>
        <v>49978.865943105717</v>
      </c>
      <c r="AC26" s="255">
        <f t="shared" si="8"/>
        <v>52616.816252840959</v>
      </c>
      <c r="AD26" s="255">
        <f t="shared" si="8"/>
        <v>53076.431957318819</v>
      </c>
    </row>
    <row r="27" spans="2:30">
      <c r="C27" s="253" t="s">
        <v>1306</v>
      </c>
      <c r="E27" s="255">
        <f t="shared" ref="E27:T27" si="9">+E12+E17+E22</f>
        <v>10424</v>
      </c>
      <c r="F27" s="255">
        <f t="shared" si="9"/>
        <v>12496</v>
      </c>
      <c r="G27" s="255">
        <f t="shared" si="9"/>
        <v>12554</v>
      </c>
      <c r="H27" s="255">
        <f t="shared" si="9"/>
        <v>11437</v>
      </c>
      <c r="I27" s="255">
        <f t="shared" si="9"/>
        <v>8592</v>
      </c>
      <c r="J27" s="255">
        <f t="shared" si="9"/>
        <v>1176</v>
      </c>
      <c r="K27" s="255">
        <f t="shared" si="9"/>
        <v>2645</v>
      </c>
      <c r="L27" s="255">
        <f t="shared" si="9"/>
        <v>3532</v>
      </c>
      <c r="M27" s="255">
        <f t="shared" si="9"/>
        <v>3610</v>
      </c>
      <c r="N27" s="255">
        <f t="shared" si="9"/>
        <v>6349</v>
      </c>
      <c r="O27" s="255">
        <f t="shared" si="9"/>
        <v>8282</v>
      </c>
      <c r="P27" s="255">
        <f t="shared" si="9"/>
        <v>8430</v>
      </c>
      <c r="Q27" s="255">
        <f t="shared" si="9"/>
        <v>8161</v>
      </c>
      <c r="R27" s="255">
        <f t="shared" si="9"/>
        <v>12310</v>
      </c>
      <c r="S27" s="255">
        <f t="shared" si="9"/>
        <v>12936.428907457415</v>
      </c>
      <c r="T27" s="255">
        <f t="shared" si="9"/>
        <v>11878.792317384879</v>
      </c>
      <c r="U27" s="255"/>
      <c r="V27" s="255">
        <f t="shared" ref="V27:AD27" si="10">+V12+V17+V22</f>
        <v>41138</v>
      </c>
      <c r="W27" s="255">
        <f t="shared" si="10"/>
        <v>44438</v>
      </c>
      <c r="X27" s="255">
        <f t="shared" si="10"/>
        <v>46911</v>
      </c>
      <c r="Y27" s="255">
        <f t="shared" si="10"/>
        <v>15945</v>
      </c>
      <c r="Z27" s="255">
        <f>+Z12+Z17+Z22</f>
        <v>26671</v>
      </c>
      <c r="AA27" s="255">
        <f t="shared" si="10"/>
        <v>45286.221224842295</v>
      </c>
      <c r="AB27" s="255">
        <f t="shared" si="10"/>
        <v>50990.138280343876</v>
      </c>
      <c r="AC27" s="255">
        <f t="shared" si="10"/>
        <v>55086.722898727377</v>
      </c>
      <c r="AD27" s="255">
        <f t="shared" si="10"/>
        <v>56406.448000859753</v>
      </c>
    </row>
    <row r="28" spans="2:30">
      <c r="C28" s="253" t="s">
        <v>1307</v>
      </c>
      <c r="E28" s="255">
        <f t="shared" ref="E28:T28" si="11">+E13+E18+E23</f>
        <v>9589</v>
      </c>
      <c r="F28" s="255">
        <f t="shared" si="11"/>
        <v>11402</v>
      </c>
      <c r="G28" s="255">
        <f t="shared" si="11"/>
        <v>11380</v>
      </c>
      <c r="H28" s="255">
        <f t="shared" si="11"/>
        <v>10888</v>
      </c>
      <c r="I28" s="255">
        <f t="shared" si="11"/>
        <v>7979</v>
      </c>
      <c r="J28" s="255">
        <f t="shared" si="11"/>
        <v>1475</v>
      </c>
      <c r="K28" s="255">
        <f t="shared" si="11"/>
        <v>2489</v>
      </c>
      <c r="L28" s="255">
        <f t="shared" si="11"/>
        <v>3412</v>
      </c>
      <c r="M28" s="255">
        <f t="shared" si="11"/>
        <v>3221</v>
      </c>
      <c r="N28" s="255">
        <f t="shared" si="11"/>
        <v>5471</v>
      </c>
      <c r="O28" s="255">
        <f t="shared" si="11"/>
        <v>7750</v>
      </c>
      <c r="P28" s="255">
        <f t="shared" si="11"/>
        <v>8192</v>
      </c>
      <c r="Q28" s="255">
        <f t="shared" si="11"/>
        <v>7566</v>
      </c>
      <c r="R28" s="255">
        <f t="shared" si="11"/>
        <v>11583.696193334967</v>
      </c>
      <c r="S28" s="255">
        <f t="shared" si="11"/>
        <v>12149.925324</v>
      </c>
      <c r="T28" s="255">
        <f t="shared" si="11"/>
        <v>11784.435335000004</v>
      </c>
      <c r="U28" s="255"/>
      <c r="V28" s="255">
        <f t="shared" ref="V28:AD28" si="12">+V13+V18+V23</f>
        <v>37784</v>
      </c>
      <c r="W28" s="255">
        <f t="shared" si="12"/>
        <v>41303</v>
      </c>
      <c r="X28" s="255">
        <f t="shared" si="12"/>
        <v>43259</v>
      </c>
      <c r="Y28" s="255">
        <f t="shared" si="12"/>
        <v>15355</v>
      </c>
      <c r="Z28" s="255">
        <f t="shared" si="12"/>
        <v>24634</v>
      </c>
      <c r="AA28" s="255">
        <f t="shared" si="12"/>
        <v>43084.056852334972</v>
      </c>
      <c r="AB28" s="255">
        <f t="shared" si="12"/>
        <v>48822.237694488678</v>
      </c>
      <c r="AC28" s="255">
        <f t="shared" si="12"/>
        <v>51428.107109504563</v>
      </c>
      <c r="AD28" s="255">
        <f t="shared" si="12"/>
        <v>51669.070163881523</v>
      </c>
    </row>
    <row r="29" spans="2:30">
      <c r="C29" s="253" t="s">
        <v>1309</v>
      </c>
      <c r="E29" s="255">
        <f t="shared" ref="E29:O29" si="13">E30-SUM(E26:E28)</f>
        <v>26621.752</v>
      </c>
      <c r="F29" s="255">
        <f t="shared" si="13"/>
        <v>28658.512999999999</v>
      </c>
      <c r="G29" s="255">
        <f t="shared" si="13"/>
        <v>28118.61</v>
      </c>
      <c r="H29" s="255">
        <f t="shared" si="13"/>
        <v>28664.663</v>
      </c>
      <c r="I29" s="255">
        <f t="shared" si="13"/>
        <v>24457.634999999995</v>
      </c>
      <c r="J29" s="255">
        <f t="shared" si="13"/>
        <v>16181.907999999999</v>
      </c>
      <c r="K29" s="255">
        <f t="shared" si="13"/>
        <v>19324.012000000002</v>
      </c>
      <c r="L29" s="255">
        <f t="shared" si="13"/>
        <v>22254.413</v>
      </c>
      <c r="M29" s="255">
        <f t="shared" si="13"/>
        <v>21743.879999999997</v>
      </c>
      <c r="N29" s="255">
        <f t="shared" si="13"/>
        <v>27856.864000000001</v>
      </c>
      <c r="O29" s="255">
        <f t="shared" si="13"/>
        <v>30053.406999999999</v>
      </c>
      <c r="P29" s="255"/>
      <c r="Q29" s="255"/>
      <c r="R29" s="255"/>
      <c r="S29" s="255"/>
      <c r="T29" s="255"/>
      <c r="U29" s="255"/>
      <c r="V29" s="255">
        <f>V30-SUM(V26:V28)</f>
        <v>100698.73200000002</v>
      </c>
      <c r="W29" s="255">
        <f>W30-SUM(W26:W28)</f>
        <v>109719.024</v>
      </c>
      <c r="X29" s="255">
        <f>X30-SUM(X26:X28)</f>
        <v>112063.538</v>
      </c>
      <c r="Y29" s="255">
        <f>Y30-SUM(Y26:Y28)</f>
        <v>82217.967999999993</v>
      </c>
      <c r="Z29" s="255">
        <f>Z30-SUM(Z26:Z28)</f>
        <v>53605.151000000013</v>
      </c>
      <c r="AA29" s="255"/>
      <c r="AB29" s="255"/>
      <c r="AC29" s="255"/>
      <c r="AD29" s="255"/>
    </row>
    <row r="30" spans="2:30" s="279" customFormat="1">
      <c r="C30" s="289" t="s">
        <v>1317</v>
      </c>
      <c r="E30" s="794">
        <f>+SUMIF('Rev and Net Income'!$B$3:$B$77,E$6,'Rev and Net Income'!$I$3:$I$77)</f>
        <v>57218.752</v>
      </c>
      <c r="F30" s="794">
        <f>+SUMIF('Rev and Net Income'!$B$3:$B$77,F$6,'Rev and Net Income'!$I$3:$I$77)</f>
        <v>64516.512999999999</v>
      </c>
      <c r="G30" s="794">
        <f>+SUMIF('Rev and Net Income'!$B$3:$B$77,G$6,'Rev and Net Income'!$I$3:$I$77)</f>
        <v>63963.61</v>
      </c>
      <c r="H30" s="794">
        <f>+SUMIF('Rev and Net Income'!$B$3:$B$77,H$6,'Rev and Net Income'!$I$3:$I$77)</f>
        <v>62302.663</v>
      </c>
      <c r="I30" s="794">
        <f>+SUMIF('Rev and Net Income'!$B$3:$B$77,I$6,'Rev and Net Income'!$I$3:$I$77)</f>
        <v>49543.634999999995</v>
      </c>
      <c r="J30" s="794">
        <f>+SUMIF('Rev and Net Income'!$B$3:$B$77,J$6,'Rev and Net Income'!$I$3:$I$77)</f>
        <v>20454.907999999999</v>
      </c>
      <c r="K30" s="794">
        <f>+SUMIF('Rev and Net Income'!$B$3:$B$77,K$6,'Rev and Net Income'!$I$3:$I$77)</f>
        <v>27631.012000000002</v>
      </c>
      <c r="L30" s="794">
        <f>+SUMIF('Rev and Net Income'!$B$3:$B$77,L$6,'Rev and Net Income'!$I$3:$I$77)</f>
        <v>33225.413</v>
      </c>
      <c r="M30" s="794">
        <f>+SUMIF('Rev and Net Income'!$B$3:$B$77,M$6,'Rev and Net Income'!$I$3:$I$77)</f>
        <v>32582.879999999997</v>
      </c>
      <c r="N30" s="794">
        <f>+SUMIF('Rev and Net Income'!$B$3:$B$77,N$6,'Rev and Net Income'!$I$3:$I$77)</f>
        <v>47154.864000000001</v>
      </c>
      <c r="O30" s="794">
        <f>+SUMIF('Rev and Net Income'!$B$3:$B$77,O$6,'Rev and Net Income'!$I$3:$I$77)</f>
        <v>55054.406999999999</v>
      </c>
      <c r="P30" s="794">
        <f>+SUMIF('Rev and Net Income'!$B$3:$B$77,P$6,'Rev and Net Income'!$I$3:$I$77)</f>
        <v>0</v>
      </c>
      <c r="Q30" s="794">
        <f>+SUMIF('Rev and Net Income'!$B$3:$B$77,Q$6,'Rev and Net Income'!$I$3:$I$77)</f>
        <v>0</v>
      </c>
      <c r="R30" s="794">
        <f>+SUMIF('Rev and Net Income'!$B$3:$B$77,R$6,'Rev and Net Income'!$I$3:$I$77)</f>
        <v>0</v>
      </c>
      <c r="S30" s="794">
        <f>+SUMIF('Rev and Net Income'!$B$3:$B$77,S$6,'Rev and Net Income'!$I$3:$I$77)</f>
        <v>0</v>
      </c>
      <c r="T30" s="794">
        <f>+SUMIF('Rev and Net Income'!$B$3:$B$77,T$6,'Rev and Net Income'!$I$3:$I$77)</f>
        <v>0</v>
      </c>
      <c r="U30" s="255"/>
      <c r="V30" s="794">
        <f>+SUMIF('Rev and Net Income'!$A$3:$A$77,V$5,'Rev and Net Income'!$I$3:$I$77)</f>
        <v>222242.73200000002</v>
      </c>
      <c r="W30" s="794">
        <f>+SUMIF('Rev and Net Income'!$A$3:$A$77,W$5,'Rev and Net Income'!$I$3:$I$77)</f>
        <v>240001.024</v>
      </c>
      <c r="X30" s="795">
        <f>+SUMIF($E$5:$T$5,X$5,$E30:$T30)</f>
        <v>248001.538</v>
      </c>
      <c r="Y30" s="795">
        <f>+SUMIF($E$5:$T$5,Y$5,$E30:$T30)</f>
        <v>130854.96799999999</v>
      </c>
      <c r="Z30" s="795">
        <f>+SUMIF($E$5:$T$5,Z$5,$E30:$T30)</f>
        <v>134792.15100000001</v>
      </c>
      <c r="AA30" s="795">
        <f>+SUMIF($E$5:$T$5,AA$5,$E30:$T30)</f>
        <v>0</v>
      </c>
      <c r="AB30" s="794">
        <f>+SUMIF('Rev and Net Income'!$A$3:$A$77,AB$5,'Rev and Net Income'!$I$3:$I$77)</f>
        <v>0</v>
      </c>
      <c r="AC30" s="794">
        <f>+SUMIF('Rev and Net Income'!$A$3:$A$77,AC$5,'Rev and Net Income'!$I$3:$I$77)</f>
        <v>0</v>
      </c>
      <c r="AD30" s="794">
        <f>+SUMIF('Rev and Net Income'!$A$3:$A$77,AD$5,'Rev and Net Income'!$I$3:$I$77)</f>
        <v>0</v>
      </c>
    </row>
    <row r="31" spans="2:30">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row>
    <row r="32" spans="2:30" s="278" customFormat="1">
      <c r="B32" s="751"/>
      <c r="C32" s="773" t="s">
        <v>1338</v>
      </c>
      <c r="D32" s="751"/>
      <c r="E32" s="751"/>
      <c r="F32" s="751"/>
      <c r="G32" s="751"/>
      <c r="H32" s="751"/>
      <c r="I32" s="751"/>
      <c r="J32" s="751"/>
      <c r="K32" s="751"/>
      <c r="L32" s="751"/>
      <c r="M32" s="751"/>
      <c r="N32" s="751"/>
      <c r="O32" s="751"/>
      <c r="P32" s="751"/>
      <c r="Q32" s="751"/>
      <c r="R32" s="751"/>
      <c r="S32" s="751"/>
      <c r="T32" s="751"/>
      <c r="U32" s="255"/>
      <c r="V32" s="751"/>
      <c r="W32" s="751"/>
      <c r="X32" s="751"/>
      <c r="Y32" s="751"/>
      <c r="Z32" s="751"/>
      <c r="AA32" s="751"/>
      <c r="AB32" s="751"/>
      <c r="AC32" s="751"/>
      <c r="AD32" s="751"/>
    </row>
    <row r="33" spans="2:30" s="278" customFormat="1">
      <c r="B33" s="751"/>
      <c r="C33" s="751" t="s">
        <v>1305</v>
      </c>
      <c r="D33" s="751"/>
      <c r="E33" s="756"/>
      <c r="F33" s="756"/>
      <c r="G33" s="756"/>
      <c r="H33" s="756"/>
      <c r="I33" s="756">
        <f t="shared" ref="I33:L35" si="14">I26/E26-1</f>
        <v>-0.19548374905517762</v>
      </c>
      <c r="J33" s="756">
        <f t="shared" si="14"/>
        <v>-0.86438127090301009</v>
      </c>
      <c r="K33" s="756">
        <f t="shared" si="14"/>
        <v>-0.73360758962303751</v>
      </c>
      <c r="L33" s="756">
        <f t="shared" si="14"/>
        <v>-0.64403783258198533</v>
      </c>
      <c r="M33" s="756">
        <f t="shared" ref="M33:P35" si="15">M26/E26-1</f>
        <v>-0.62131519274376412</v>
      </c>
      <c r="N33" s="756">
        <f t="shared" si="15"/>
        <v>-0.37474916387959867</v>
      </c>
      <c r="O33" s="756">
        <f t="shared" si="15"/>
        <v>-0.24699857274788006</v>
      </c>
      <c r="P33" s="756">
        <f t="shared" si="15"/>
        <v>-0.16671086360823828</v>
      </c>
      <c r="Q33" s="756">
        <f t="shared" ref="Q33:T35" si="16">Q26/E26-1</f>
        <v>-0.15920256991685566</v>
      </c>
      <c r="R33" s="756">
        <f t="shared" si="16"/>
        <v>6.9893528665600835E-2</v>
      </c>
      <c r="S33" s="756">
        <f t="shared" si="16"/>
        <v>8.2810837192806908E-2</v>
      </c>
      <c r="T33" s="756">
        <f t="shared" si="16"/>
        <v>4.9740045635297658E-2</v>
      </c>
      <c r="U33" s="255"/>
      <c r="V33" s="756"/>
      <c r="W33" s="756"/>
      <c r="X33" s="756"/>
      <c r="Y33" s="756">
        <f t="shared" ref="Y33:AD35" si="17">Y26/$X26-1</f>
        <v>-0.62119821709491352</v>
      </c>
      <c r="Z33" s="756">
        <f t="shared" si="17"/>
        <v>-0.34709840936899139</v>
      </c>
      <c r="AA33" s="756">
        <f t="shared" si="17"/>
        <v>1.5294433248475681E-2</v>
      </c>
      <c r="AB33" s="756">
        <f t="shared" si="17"/>
        <v>9.2004587115576797E-2</v>
      </c>
      <c r="AC33" s="756">
        <f t="shared" si="17"/>
        <v>0.14964202615016964</v>
      </c>
      <c r="AD33" s="756">
        <f t="shared" si="17"/>
        <v>0.15968431999036059</v>
      </c>
    </row>
    <row r="34" spans="2:30" s="278" customFormat="1">
      <c r="B34" s="751"/>
      <c r="C34" s="751" t="s">
        <v>1306</v>
      </c>
      <c r="D34" s="751"/>
      <c r="E34" s="756"/>
      <c r="F34" s="756"/>
      <c r="G34" s="756"/>
      <c r="H34" s="756"/>
      <c r="I34" s="756">
        <f t="shared" si="14"/>
        <v>-0.17574827321565623</v>
      </c>
      <c r="J34" s="756">
        <f t="shared" si="14"/>
        <v>-0.90588988476312415</v>
      </c>
      <c r="K34" s="756">
        <f t="shared" si="14"/>
        <v>-0.78931018002230369</v>
      </c>
      <c r="L34" s="756">
        <f t="shared" si="14"/>
        <v>-0.69117775640465151</v>
      </c>
      <c r="M34" s="756">
        <f t="shared" si="15"/>
        <v>-0.65368380660015357</v>
      </c>
      <c r="N34" s="756">
        <f t="shared" si="15"/>
        <v>-0.4919174135723432</v>
      </c>
      <c r="O34" s="756">
        <f t="shared" si="15"/>
        <v>-0.34028994742711483</v>
      </c>
      <c r="P34" s="756">
        <f t="shared" si="15"/>
        <v>-0.26291859753431845</v>
      </c>
      <c r="Q34" s="756">
        <f t="shared" si="16"/>
        <v>-0.2170951650038373</v>
      </c>
      <c r="R34" s="756">
        <f t="shared" si="16"/>
        <v>-1.4884763124199729E-2</v>
      </c>
      <c r="S34" s="756">
        <f t="shared" si="16"/>
        <v>3.04627136735236E-2</v>
      </c>
      <c r="T34" s="756">
        <f t="shared" si="16"/>
        <v>3.862833937089083E-2</v>
      </c>
      <c r="V34" s="756"/>
      <c r="W34" s="756"/>
      <c r="X34" s="756"/>
      <c r="Y34" s="756">
        <f t="shared" si="17"/>
        <v>-0.66010104239943723</v>
      </c>
      <c r="Z34" s="756">
        <f t="shared" si="17"/>
        <v>-0.4314553089893628</v>
      </c>
      <c r="AA34" s="756">
        <f t="shared" si="17"/>
        <v>-3.4635347256671278E-2</v>
      </c>
      <c r="AB34" s="756">
        <f t="shared" si="17"/>
        <v>8.6954835333799663E-2</v>
      </c>
      <c r="AC34" s="756">
        <f t="shared" si="17"/>
        <v>0.17428157359099949</v>
      </c>
      <c r="AD34" s="756">
        <f t="shared" si="17"/>
        <v>0.20241410332032461</v>
      </c>
    </row>
    <row r="35" spans="2:30" s="278" customFormat="1">
      <c r="B35" s="751"/>
      <c r="C35" s="751" t="s">
        <v>1307</v>
      </c>
      <c r="D35" s="751"/>
      <c r="E35" s="756"/>
      <c r="F35" s="756"/>
      <c r="G35" s="756"/>
      <c r="H35" s="756"/>
      <c r="I35" s="756">
        <f t="shared" si="14"/>
        <v>-0.16790071957451247</v>
      </c>
      <c r="J35" s="756">
        <f t="shared" si="14"/>
        <v>-0.8706367303981758</v>
      </c>
      <c r="K35" s="756">
        <f t="shared" si="14"/>
        <v>-0.78128295254833047</v>
      </c>
      <c r="L35" s="756">
        <f t="shared" si="14"/>
        <v>-0.68662747979426886</v>
      </c>
      <c r="M35" s="756">
        <f t="shared" si="15"/>
        <v>-0.66409427468974869</v>
      </c>
      <c r="N35" s="756">
        <f t="shared" si="15"/>
        <v>-0.52017189966672506</v>
      </c>
      <c r="O35" s="756">
        <f t="shared" si="15"/>
        <v>-0.3189806678383128</v>
      </c>
      <c r="P35" s="756">
        <f t="shared" si="15"/>
        <v>-0.24761204996326236</v>
      </c>
      <c r="Q35" s="756">
        <f t="shared" si="16"/>
        <v>-0.21097090416101782</v>
      </c>
      <c r="R35" s="756">
        <f t="shared" si="16"/>
        <v>1.5935466877299298E-2</v>
      </c>
      <c r="S35" s="756">
        <f t="shared" si="16"/>
        <v>6.7656003866432224E-2</v>
      </c>
      <c r="T35" s="756">
        <f t="shared" si="16"/>
        <v>8.2332415044085616E-2</v>
      </c>
      <c r="V35" s="756"/>
      <c r="W35" s="756"/>
      <c r="X35" s="756"/>
      <c r="Y35" s="756">
        <f t="shared" si="17"/>
        <v>-0.64504496174206527</v>
      </c>
      <c r="Z35" s="756">
        <f t="shared" si="17"/>
        <v>-0.43054624471208303</v>
      </c>
      <c r="AA35" s="756">
        <f t="shared" si="17"/>
        <v>-4.044086725653151E-3</v>
      </c>
      <c r="AB35" s="756">
        <f t="shared" si="17"/>
        <v>0.12860301196256674</v>
      </c>
      <c r="AC35" s="756">
        <f t="shared" si="17"/>
        <v>0.18884179267908552</v>
      </c>
      <c r="AD35" s="756">
        <f t="shared" si="17"/>
        <v>0.19441203365499726</v>
      </c>
    </row>
    <row r="36" spans="2:30" s="278" customFormat="1" ht="3" customHeight="1"/>
    <row r="37" spans="2:30" s="278" customFormat="1">
      <c r="B37" s="751"/>
      <c r="C37" s="773" t="s">
        <v>550</v>
      </c>
      <c r="D37" s="751"/>
      <c r="E37" s="751"/>
      <c r="F37" s="751"/>
      <c r="G37" s="751"/>
      <c r="H37" s="751"/>
      <c r="I37" s="751"/>
      <c r="J37" s="751"/>
      <c r="K37" s="751"/>
      <c r="L37" s="751"/>
      <c r="M37" s="751"/>
      <c r="N37" s="751"/>
      <c r="O37" s="751"/>
      <c r="P37" s="751"/>
      <c r="Q37" s="751"/>
      <c r="R37" s="751"/>
      <c r="S37" s="751"/>
      <c r="T37" s="751"/>
      <c r="V37" s="751"/>
      <c r="W37" s="751"/>
      <c r="X37" s="751"/>
      <c r="Y37" s="751"/>
      <c r="Z37" s="751"/>
      <c r="AA37" s="751"/>
      <c r="AB37" s="751"/>
      <c r="AC37" s="751"/>
      <c r="AD37" s="751"/>
    </row>
    <row r="38" spans="2:30" s="278" customFormat="1">
      <c r="B38" s="751"/>
      <c r="C38" s="751" t="s">
        <v>1305</v>
      </c>
      <c r="D38" s="751"/>
      <c r="E38" s="756">
        <f t="shared" ref="E38:T38" si="18">IFERROR(E26/E$30,"na  ")</f>
        <v>0.18497432450117052</v>
      </c>
      <c r="F38" s="756">
        <f t="shared" si="18"/>
        <v>0.18537889671749619</v>
      </c>
      <c r="G38" s="756">
        <f t="shared" si="18"/>
        <v>0.18621525583061993</v>
      </c>
      <c r="H38" s="756">
        <f t="shared" si="18"/>
        <v>0.18158132341790911</v>
      </c>
      <c r="I38" s="756">
        <f t="shared" si="18"/>
        <v>0.17186869715958469</v>
      </c>
      <c r="J38" s="756">
        <f t="shared" si="18"/>
        <v>7.9296372293632414E-2</v>
      </c>
      <c r="K38" s="756">
        <f t="shared" si="18"/>
        <v>0.11483473714245428</v>
      </c>
      <c r="L38" s="756">
        <f t="shared" si="18"/>
        <v>0.12120240612208492</v>
      </c>
      <c r="M38" s="756">
        <f t="shared" si="18"/>
        <v>0.1230093840691799</v>
      </c>
      <c r="N38" s="756">
        <f t="shared" si="18"/>
        <v>0.15858385255866711</v>
      </c>
      <c r="O38" s="756">
        <f t="shared" si="18"/>
        <v>0.16291157218349478</v>
      </c>
      <c r="P38" s="756" t="str">
        <f t="shared" si="18"/>
        <v xml:space="preserve">na  </v>
      </c>
      <c r="Q38" s="756" t="str">
        <f t="shared" si="18"/>
        <v xml:space="preserve">na  </v>
      </c>
      <c r="R38" s="756" t="str">
        <f t="shared" si="18"/>
        <v xml:space="preserve">na  </v>
      </c>
      <c r="S38" s="756" t="str">
        <f t="shared" si="18"/>
        <v xml:space="preserve">na  </v>
      </c>
      <c r="T38" s="756" t="str">
        <f t="shared" si="18"/>
        <v xml:space="preserve">na  </v>
      </c>
      <c r="V38" s="756">
        <f t="shared" ref="V38:AD38" si="19">IFERROR(V26/V$30,"na  ")</f>
        <v>0.19178129973672209</v>
      </c>
      <c r="W38" s="756">
        <f t="shared" si="19"/>
        <v>0.18558670816337849</v>
      </c>
      <c r="X38" s="756">
        <f t="shared" si="19"/>
        <v>0.18454724260621319</v>
      </c>
      <c r="Y38" s="756">
        <f t="shared" si="19"/>
        <v>0.13249019326495881</v>
      </c>
      <c r="Z38" s="756">
        <f t="shared" si="19"/>
        <v>0.22168946617670637</v>
      </c>
      <c r="AA38" s="756" t="str">
        <f t="shared" si="19"/>
        <v xml:space="preserve">na  </v>
      </c>
      <c r="AB38" s="756" t="str">
        <f t="shared" si="19"/>
        <v xml:space="preserve">na  </v>
      </c>
      <c r="AC38" s="756" t="str">
        <f t="shared" si="19"/>
        <v xml:space="preserve">na  </v>
      </c>
      <c r="AD38" s="756" t="str">
        <f t="shared" si="19"/>
        <v xml:space="preserve">na  </v>
      </c>
    </row>
    <row r="39" spans="2:30" s="278" customFormat="1">
      <c r="B39" s="751"/>
      <c r="C39" s="751" t="s">
        <v>1306</v>
      </c>
      <c r="D39" s="751"/>
      <c r="E39" s="756">
        <f t="shared" ref="E39:T39" si="20">IFERROR(E27/E$30,"na  ")</f>
        <v>0.18217803841649674</v>
      </c>
      <c r="F39" s="756">
        <f t="shared" si="20"/>
        <v>0.19368684727272845</v>
      </c>
      <c r="G39" s="756">
        <f t="shared" si="20"/>
        <v>0.19626784667094305</v>
      </c>
      <c r="H39" s="756">
        <f t="shared" si="20"/>
        <v>0.18357160752502666</v>
      </c>
      <c r="I39" s="756">
        <f t="shared" si="20"/>
        <v>0.17342288267705833</v>
      </c>
      <c r="J39" s="756">
        <f t="shared" si="20"/>
        <v>5.7492314314002292E-2</v>
      </c>
      <c r="K39" s="756">
        <f t="shared" si="20"/>
        <v>9.5725773634349684E-2</v>
      </c>
      <c r="L39" s="756">
        <f t="shared" si="20"/>
        <v>0.10630417144852346</v>
      </c>
      <c r="M39" s="756">
        <f t="shared" si="20"/>
        <v>0.11079438036171144</v>
      </c>
      <c r="N39" s="756">
        <f t="shared" si="20"/>
        <v>0.13464146561847787</v>
      </c>
      <c r="O39" s="756">
        <f t="shared" si="20"/>
        <v>0.15043300711603341</v>
      </c>
      <c r="P39" s="756" t="str">
        <f t="shared" si="20"/>
        <v xml:space="preserve">na  </v>
      </c>
      <c r="Q39" s="756" t="str">
        <f t="shared" si="20"/>
        <v xml:space="preserve">na  </v>
      </c>
      <c r="R39" s="756" t="str">
        <f t="shared" si="20"/>
        <v xml:space="preserve">na  </v>
      </c>
      <c r="S39" s="756" t="str">
        <f t="shared" si="20"/>
        <v xml:space="preserve">na  </v>
      </c>
      <c r="T39" s="756" t="str">
        <f t="shared" si="20"/>
        <v xml:space="preserve">na  </v>
      </c>
      <c r="V39" s="756">
        <f t="shared" ref="V39:AD39" si="21">IFERROR(V27/V$30,"na  ")</f>
        <v>0.18510391601917492</v>
      </c>
      <c r="W39" s="756">
        <f t="shared" si="21"/>
        <v>0.18515754332781514</v>
      </c>
      <c r="X39" s="756">
        <f t="shared" si="21"/>
        <v>0.18915608499169873</v>
      </c>
      <c r="Y39" s="756">
        <f t="shared" si="21"/>
        <v>0.1218524618797813</v>
      </c>
      <c r="Z39" s="756">
        <f t="shared" si="21"/>
        <v>0.19786760432363748</v>
      </c>
      <c r="AA39" s="756" t="str">
        <f t="shared" si="21"/>
        <v xml:space="preserve">na  </v>
      </c>
      <c r="AB39" s="756" t="str">
        <f t="shared" si="21"/>
        <v xml:space="preserve">na  </v>
      </c>
      <c r="AC39" s="756" t="str">
        <f t="shared" si="21"/>
        <v xml:space="preserve">na  </v>
      </c>
      <c r="AD39" s="756" t="str">
        <f t="shared" si="21"/>
        <v xml:space="preserve">na  </v>
      </c>
    </row>
    <row r="40" spans="2:30" s="278" customFormat="1">
      <c r="B40" s="751"/>
      <c r="C40" s="751" t="s">
        <v>1307</v>
      </c>
      <c r="D40" s="751"/>
      <c r="E40" s="756">
        <f t="shared" ref="E40:T40" si="22">IFERROR(E28/E$30,"na  ")</f>
        <v>0.16758492041210546</v>
      </c>
      <c r="F40" s="756">
        <f t="shared" si="22"/>
        <v>0.17672994819171334</v>
      </c>
      <c r="G40" s="756">
        <f t="shared" si="22"/>
        <v>0.17791366059545419</v>
      </c>
      <c r="H40" s="756">
        <f t="shared" si="22"/>
        <v>0.17475978514754659</v>
      </c>
      <c r="I40" s="756">
        <f t="shared" si="22"/>
        <v>0.1610499512197682</v>
      </c>
      <c r="J40" s="756">
        <f t="shared" si="22"/>
        <v>7.2109833004382132E-2</v>
      </c>
      <c r="K40" s="756">
        <f t="shared" si="22"/>
        <v>9.0079943506955154E-2</v>
      </c>
      <c r="L40" s="756">
        <f t="shared" si="22"/>
        <v>0.10269247819432674</v>
      </c>
      <c r="M40" s="756">
        <f t="shared" si="22"/>
        <v>9.8855595331045029E-2</v>
      </c>
      <c r="N40" s="756">
        <f t="shared" si="22"/>
        <v>0.11602196541166994</v>
      </c>
      <c r="O40" s="756">
        <f t="shared" si="22"/>
        <v>0.14076983882507355</v>
      </c>
      <c r="P40" s="756" t="str">
        <f t="shared" si="22"/>
        <v xml:space="preserve">na  </v>
      </c>
      <c r="Q40" s="756" t="str">
        <f t="shared" si="22"/>
        <v xml:space="preserve">na  </v>
      </c>
      <c r="R40" s="756" t="str">
        <f t="shared" si="22"/>
        <v xml:space="preserve">na  </v>
      </c>
      <c r="S40" s="756" t="str">
        <f t="shared" si="22"/>
        <v xml:space="preserve">na  </v>
      </c>
      <c r="T40" s="756" t="str">
        <f t="shared" si="22"/>
        <v xml:space="preserve">na  </v>
      </c>
      <c r="V40" s="756">
        <f t="shared" ref="V40:AD40" si="23">IFERROR(V28/V$30,"na  ")</f>
        <v>0.17001230888396385</v>
      </c>
      <c r="W40" s="756">
        <f t="shared" si="23"/>
        <v>0.17209509906091067</v>
      </c>
      <c r="X40" s="756">
        <f t="shared" si="23"/>
        <v>0.17443036986327076</v>
      </c>
      <c r="Y40" s="756">
        <f t="shared" si="23"/>
        <v>0.11734365331853508</v>
      </c>
      <c r="Z40" s="756">
        <f t="shared" si="23"/>
        <v>0.18275544842369937</v>
      </c>
      <c r="AA40" s="756" t="str">
        <f t="shared" si="23"/>
        <v xml:space="preserve">na  </v>
      </c>
      <c r="AB40" s="756" t="str">
        <f t="shared" si="23"/>
        <v xml:space="preserve">na  </v>
      </c>
      <c r="AC40" s="756" t="str">
        <f t="shared" si="23"/>
        <v xml:space="preserve">na  </v>
      </c>
      <c r="AD40" s="756" t="str">
        <f t="shared" si="23"/>
        <v xml:space="preserve">na  </v>
      </c>
    </row>
    <row r="41" spans="2:30" s="278" customFormat="1">
      <c r="B41" s="751"/>
      <c r="C41" s="751" t="s">
        <v>1309</v>
      </c>
      <c r="D41" s="751"/>
      <c r="E41" s="756">
        <f>IFERROR(1-E38-E39-E40,"na  ")</f>
        <v>0.46526271667022723</v>
      </c>
      <c r="F41" s="756">
        <f>IFERROR(1-F38-F39-F40,"na  ")</f>
        <v>0.44420430781806203</v>
      </c>
      <c r="G41" s="756">
        <f>IFERROR(1-G38-G39-G40,"na  ")</f>
        <v>0.43960323690298286</v>
      </c>
      <c r="H41" s="756">
        <f>IFERROR(1-H38-H39-H40,"na  ")</f>
        <v>0.46008728390951764</v>
      </c>
      <c r="I41" s="756">
        <f>IFERROR(1-I38-I39-I40,"na  ")</f>
        <v>0.49365846894358889</v>
      </c>
      <c r="J41" s="756">
        <f t="shared" ref="J41:O41" si="24">IFERROR(1-J38-J39-J40,"na  ")</f>
        <v>0.79110148038798322</v>
      </c>
      <c r="K41" s="756">
        <f t="shared" si="24"/>
        <v>0.69935954571624093</v>
      </c>
      <c r="L41" s="756">
        <f t="shared" si="24"/>
        <v>0.66980094423506498</v>
      </c>
      <c r="M41" s="756">
        <f t="shared" si="24"/>
        <v>0.66734064023806361</v>
      </c>
      <c r="N41" s="756">
        <f t="shared" si="24"/>
        <v>0.59075271641118499</v>
      </c>
      <c r="O41" s="756">
        <f t="shared" si="24"/>
        <v>0.54588558187539826</v>
      </c>
      <c r="P41" s="756" t="str">
        <f>IFERROR(1-P38-P39-P40,"na  ")</f>
        <v xml:space="preserve">na  </v>
      </c>
      <c r="Q41" s="756" t="str">
        <f>IFERROR(1-Q38-Q39-Q40,"na  ")</f>
        <v xml:space="preserve">na  </v>
      </c>
      <c r="R41" s="756" t="str">
        <f>IFERROR(1-R38-R39-R40,"na  ")</f>
        <v xml:space="preserve">na  </v>
      </c>
      <c r="S41" s="756" t="str">
        <f>IFERROR(1-S38-S39-S40,"na  ")</f>
        <v xml:space="preserve">na  </v>
      </c>
      <c r="T41" s="756" t="str">
        <f>IFERROR(1-T38-T39-T40,"na  ")</f>
        <v xml:space="preserve">na  </v>
      </c>
      <c r="V41" s="756">
        <f t="shared" ref="V41:AD41" si="25">IFERROR(1-V38-V39-V40,"na  ")</f>
        <v>0.45310247536013909</v>
      </c>
      <c r="W41" s="756">
        <f t="shared" si="25"/>
        <v>0.4571606494478957</v>
      </c>
      <c r="X41" s="756">
        <f t="shared" si="25"/>
        <v>0.45186630253881743</v>
      </c>
      <c r="Y41" s="756">
        <f t="shared" si="25"/>
        <v>0.62831369153672489</v>
      </c>
      <c r="Z41" s="756">
        <f t="shared" si="25"/>
        <v>0.39768748107595675</v>
      </c>
      <c r="AA41" s="756" t="str">
        <f t="shared" si="25"/>
        <v xml:space="preserve">na  </v>
      </c>
      <c r="AB41" s="756" t="str">
        <f t="shared" si="25"/>
        <v xml:space="preserve">na  </v>
      </c>
      <c r="AC41" s="756" t="str">
        <f t="shared" si="25"/>
        <v xml:space="preserve">na  </v>
      </c>
      <c r="AD41" s="756" t="str">
        <f t="shared" si="25"/>
        <v xml:space="preserve">na  </v>
      </c>
    </row>
    <row r="42" spans="2:30" s="278" customFormat="1">
      <c r="E42" s="815"/>
      <c r="F42" s="815"/>
      <c r="G42" s="815"/>
      <c r="H42" s="815"/>
      <c r="I42" s="815"/>
      <c r="J42" s="815"/>
      <c r="K42" s="815"/>
      <c r="L42" s="815"/>
      <c r="M42" s="815"/>
      <c r="N42" s="815"/>
      <c r="O42" s="815"/>
      <c r="P42" s="815"/>
      <c r="Q42" s="815"/>
      <c r="R42" s="815"/>
      <c r="S42" s="815"/>
      <c r="T42" s="815"/>
      <c r="V42" s="815"/>
      <c r="W42" s="815"/>
      <c r="X42" s="815"/>
      <c r="Y42" s="815"/>
      <c r="Z42" s="815"/>
      <c r="AA42" s="815"/>
      <c r="AB42" s="815"/>
      <c r="AC42" s="815"/>
      <c r="AD42" s="815"/>
    </row>
    <row r="43" spans="2:30" s="278" customFormat="1">
      <c r="B43" s="540"/>
      <c r="C43" s="896" t="s">
        <v>1463</v>
      </c>
      <c r="D43" s="540"/>
      <c r="E43" s="893"/>
      <c r="F43" s="893"/>
      <c r="G43" s="893"/>
      <c r="H43" s="893"/>
      <c r="I43" s="893"/>
      <c r="J43" s="893"/>
      <c r="K43" s="893"/>
      <c r="L43" s="893"/>
      <c r="M43" s="893"/>
      <c r="N43" s="893"/>
      <c r="O43" s="893"/>
      <c r="P43" s="893"/>
      <c r="Q43" s="893"/>
      <c r="R43" s="893"/>
      <c r="S43" s="893"/>
      <c r="T43" s="893"/>
      <c r="V43" s="893"/>
      <c r="W43" s="893"/>
      <c r="X43" s="893"/>
      <c r="Y43" s="893"/>
      <c r="Z43" s="893"/>
      <c r="AA43" s="893"/>
      <c r="AB43" s="893"/>
      <c r="AC43" s="893"/>
      <c r="AD43" s="893"/>
    </row>
    <row r="44" spans="2:30" s="278" customFormat="1" ht="3" customHeight="1">
      <c r="B44" s="540"/>
      <c r="C44" s="620"/>
      <c r="D44" s="540"/>
      <c r="E44" s="893"/>
      <c r="F44" s="893"/>
      <c r="G44" s="893"/>
      <c r="H44" s="893"/>
      <c r="I44" s="893"/>
      <c r="J44" s="893"/>
      <c r="K44" s="893"/>
      <c r="L44" s="893"/>
      <c r="M44" s="893"/>
      <c r="N44" s="893"/>
      <c r="O44" s="893"/>
      <c r="P44" s="893"/>
      <c r="Q44" s="893"/>
      <c r="R44" s="893"/>
      <c r="S44" s="893"/>
      <c r="T44" s="893"/>
      <c r="V44" s="893"/>
      <c r="W44" s="893"/>
      <c r="X44" s="893"/>
      <c r="Y44" s="893"/>
      <c r="Z44" s="893"/>
      <c r="AA44" s="893"/>
      <c r="AB44" s="893"/>
      <c r="AC44" s="893"/>
      <c r="AD44" s="893"/>
    </row>
    <row r="45" spans="2:30" s="278" customFormat="1">
      <c r="B45" s="540"/>
      <c r="C45" s="894" t="s">
        <v>1314</v>
      </c>
      <c r="D45" s="540"/>
      <c r="E45" s="893"/>
      <c r="F45" s="893"/>
      <c r="G45" s="893"/>
      <c r="H45" s="893"/>
      <c r="I45" s="893"/>
      <c r="J45" s="893"/>
      <c r="K45" s="893"/>
      <c r="L45" s="893"/>
      <c r="M45" s="893"/>
      <c r="N45" s="893"/>
      <c r="O45" s="893"/>
      <c r="P45" s="893"/>
      <c r="Q45" s="893"/>
      <c r="R45" s="893"/>
      <c r="S45" s="893"/>
      <c r="T45" s="893"/>
      <c r="V45" s="893"/>
      <c r="W45" s="893"/>
      <c r="X45" s="893"/>
      <c r="Y45" s="893"/>
      <c r="Z45" s="893"/>
      <c r="AA45" s="893"/>
      <c r="AB45" s="893"/>
      <c r="AC45" s="893"/>
      <c r="AD45" s="893"/>
    </row>
    <row r="46" spans="2:30" s="278" customFormat="1">
      <c r="B46" s="540"/>
      <c r="C46" s="895" t="s">
        <v>396</v>
      </c>
      <c r="D46" s="540"/>
      <c r="E46" s="893">
        <f>'AAL KPI'!E110</f>
        <v>0.7481880306481673</v>
      </c>
      <c r="F46" s="893">
        <f>'AAL KPI'!F110</f>
        <v>0.72736354554536375</v>
      </c>
      <c r="G46" s="893">
        <f>'AAL KPI'!G110</f>
        <v>0.71068667576170985</v>
      </c>
      <c r="H46" s="893">
        <f>'AAL KPI'!H110</f>
        <v>0.75700753914556351</v>
      </c>
      <c r="I46" s="893">
        <f>'AAL KPI'!I110</f>
        <v>0.75250618409061321</v>
      </c>
      <c r="J46" s="893">
        <f>'AAL KPI'!J110</f>
        <v>0.92599277978339345</v>
      </c>
      <c r="K46" s="893">
        <f>'AAL KPI'!K110</f>
        <v>0.90393700787401576</v>
      </c>
      <c r="L46" s="893">
        <f>'AAL KPI'!L110</f>
        <v>0.83505801191596107</v>
      </c>
      <c r="M46" s="893">
        <f>'AAL KPI'!M110</f>
        <v>0.83516829191569675</v>
      </c>
      <c r="N46" s="893">
        <f>'AAL KPI'!N110</f>
        <v>0.83177998472116121</v>
      </c>
      <c r="O46" s="893">
        <f>'AAL KPI'!O110</f>
        <v>0.82279753676008549</v>
      </c>
      <c r="P46" s="893">
        <f>'AAL KPI'!P110</f>
        <v>0.81209735146743023</v>
      </c>
      <c r="Q46" s="893">
        <f>'AAL KPI'!Q110</f>
        <v>0.77513430544896389</v>
      </c>
      <c r="R46" s="893">
        <f>'AAL KPI'!R110</f>
        <v>0.7534728686464891</v>
      </c>
      <c r="S46" s="893">
        <f>'AAL KPI'!S110</f>
        <v>0.73113970540311357</v>
      </c>
      <c r="T46" s="893">
        <f>'AAL KPI'!T110</f>
        <v>0.75626646200181513</v>
      </c>
      <c r="U46" s="815"/>
      <c r="V46" s="893">
        <f>'AAL KPI'!V110</f>
        <v>0.73468605453476787</v>
      </c>
      <c r="W46" s="893">
        <f>'AAL KPI'!W110</f>
        <v>0.72703805683941392</v>
      </c>
      <c r="X46" s="893">
        <f>'AAL KPI'!X110</f>
        <v>0.73508688407522016</v>
      </c>
      <c r="Y46" s="893">
        <f>'AAL KPI'!Y110</f>
        <v>0.81037332965973274</v>
      </c>
      <c r="Z46" s="893">
        <f>'AAL KPI'!Z110</f>
        <v>0.82312089935924493</v>
      </c>
      <c r="AA46" s="893">
        <f>'AAL KPI'!AA110</f>
        <v>0.75211751416587291</v>
      </c>
      <c r="AB46" s="893">
        <f>'AAL KPI'!AB110</f>
        <v>0.73770946855674002</v>
      </c>
      <c r="AC46" s="893">
        <f>'AAL KPI'!AC110</f>
        <v>0.72361941908932326</v>
      </c>
      <c r="AD46" s="893">
        <f>'AAL KPI'!AD110</f>
        <v>0.71561607510990188</v>
      </c>
    </row>
    <row r="47" spans="2:30" s="278" customFormat="1">
      <c r="B47" s="540"/>
      <c r="C47" s="895" t="s">
        <v>398</v>
      </c>
      <c r="D47" s="540"/>
      <c r="E47" s="893">
        <f>'AAL KPI'!E112</f>
        <v>6.9683164216193832E-2</v>
      </c>
      <c r="F47" s="893">
        <f>'AAL KPI'!F112</f>
        <v>0.12778130959949141</v>
      </c>
      <c r="G47" s="893">
        <f>'AAL KPI'!G112</f>
        <v>0.14515688949522509</v>
      </c>
      <c r="H47" s="893">
        <f>'AAL KPI'!H112</f>
        <v>9.1629615310264839E-2</v>
      </c>
      <c r="I47" s="893">
        <f>'AAL KPI'!I112</f>
        <v>6.8090092435880739E-2</v>
      </c>
      <c r="J47" s="893">
        <f>'AAL KPI'!J112</f>
        <v>3.7906137184115521E-2</v>
      </c>
      <c r="K47" s="893">
        <f>'AAL KPI'!K112</f>
        <v>2.2047244094488189E-2</v>
      </c>
      <c r="L47" s="893">
        <f>'AAL KPI'!L112</f>
        <v>1.0348071495766699E-2</v>
      </c>
      <c r="M47" s="893">
        <f>'AAL KPI'!M112</f>
        <v>6.920415224913495E-3</v>
      </c>
      <c r="N47" s="893">
        <f>'AAL KPI'!N112</f>
        <v>1.9098548510313215E-2</v>
      </c>
      <c r="O47" s="893">
        <f>'AAL KPI'!O112</f>
        <v>5.1275606384315699E-2</v>
      </c>
      <c r="P47" s="893">
        <f>'AAL KPI'!P112</f>
        <v>4.8914340252922933E-2</v>
      </c>
      <c r="Q47" s="893">
        <f>'AAL KPI'!Q112</f>
        <v>5.9606037349705807E-2</v>
      </c>
      <c r="R47" s="893">
        <f>'AAL KPI'!R112</f>
        <v>8.4936432636147835E-2</v>
      </c>
      <c r="S47" s="893">
        <f>'AAL KPI'!S112</f>
        <v>0.1031184011534044</v>
      </c>
      <c r="T47" s="893">
        <f>'AAL KPI'!T112</f>
        <v>8.5537070418264444E-2</v>
      </c>
      <c r="U47" s="815"/>
      <c r="V47" s="893">
        <f>'AAL KPI'!V112</f>
        <v>0.10293629092024226</v>
      </c>
      <c r="W47" s="893">
        <f>'AAL KPI'!W112</f>
        <v>0.10758186645687876</v>
      </c>
      <c r="X47" s="893">
        <f>'AAL KPI'!X112</f>
        <v>0.11006903118305165</v>
      </c>
      <c r="Y47" s="893">
        <f>'AAL KPI'!Y112</f>
        <v>4.5047527207604354E-2</v>
      </c>
      <c r="Z47" s="893">
        <f>'AAL KPI'!Z112</f>
        <v>3.7025668572305569E-2</v>
      </c>
      <c r="AA47" s="893">
        <f>'AAL KPI'!AA112</f>
        <v>8.5308183292354262E-2</v>
      </c>
      <c r="AB47" s="893">
        <f>'AAL KPI'!AB112</f>
        <v>9.7882443225343285E-2</v>
      </c>
      <c r="AC47" s="893">
        <f>'AAL KPI'!AC112</f>
        <v>0.10714858974819695</v>
      </c>
      <c r="AD47" s="893">
        <f>'AAL KPI'!AD112</f>
        <v>0.10740487368884932</v>
      </c>
    </row>
    <row r="48" spans="2:30" s="278" customFormat="1">
      <c r="B48" s="540"/>
      <c r="C48" s="895" t="s">
        <v>397</v>
      </c>
      <c r="D48" s="540"/>
      <c r="E48" s="893">
        <f>'AAL KPI'!E111</f>
        <v>0.1419548560778629</v>
      </c>
      <c r="F48" s="893">
        <f>'AAL KPI'!F111</f>
        <v>0.11270547634183997</v>
      </c>
      <c r="G48" s="893">
        <f>'AAL KPI'!G111</f>
        <v>0.11077762619372442</v>
      </c>
      <c r="H48" s="893">
        <f>'AAL KPI'!H111</f>
        <v>0.11763000193311425</v>
      </c>
      <c r="I48" s="893">
        <f>'AAL KPI'!I111</f>
        <v>0.15362582997005597</v>
      </c>
      <c r="J48" s="893">
        <f>'AAL KPI'!J111</f>
        <v>3.0685920577617327E-2</v>
      </c>
      <c r="K48" s="893">
        <f>'AAL KPI'!K111</f>
        <v>6.7716535433070865E-2</v>
      </c>
      <c r="L48" s="893">
        <f>'AAL KPI'!L111</f>
        <v>0.14612731263719034</v>
      </c>
      <c r="M48" s="893">
        <f>'AAL KPI'!M111</f>
        <v>0.15162000629128658</v>
      </c>
      <c r="N48" s="893">
        <f>'AAL KPI'!N111</f>
        <v>0.14300993124522537</v>
      </c>
      <c r="O48" s="893">
        <f>'AAL KPI'!O111</f>
        <v>0.12027145909262285</v>
      </c>
      <c r="P48" s="893">
        <f>'AAL KPI'!P111</f>
        <v>0.13493199713672155</v>
      </c>
      <c r="Q48" s="893">
        <f>'AAL KPI'!Q111</f>
        <v>0.15694551036070606</v>
      </c>
      <c r="R48" s="893">
        <f>'AAL KPI'!R111</f>
        <v>0.15036746162418643</v>
      </c>
      <c r="S48" s="893">
        <f>'AAL KPI'!S111</f>
        <v>0.14566113609406384</v>
      </c>
      <c r="T48" s="893">
        <f>'AAL KPI'!T111</f>
        <v>0.13862106306505093</v>
      </c>
      <c r="U48" s="815"/>
      <c r="V48" s="893">
        <f>'AAL KPI'!V111</f>
        <v>0.12368710229741126</v>
      </c>
      <c r="W48" s="893">
        <f>'AAL KPI'!W111</f>
        <v>0.12599567312420101</v>
      </c>
      <c r="X48" s="893">
        <f>'AAL KPI'!X111</f>
        <v>0.1201380623661033</v>
      </c>
      <c r="Y48" s="893">
        <f>'AAL KPI'!Y111</f>
        <v>0.12756578041052485</v>
      </c>
      <c r="Z48" s="893">
        <f>'AAL KPI'!Z111</f>
        <v>0.13452020105129878</v>
      </c>
      <c r="AA48" s="893">
        <f>'AAL KPI'!AA111</f>
        <v>0.14730669329779264</v>
      </c>
      <c r="AB48" s="893">
        <f>'AAL KPI'!AB111</f>
        <v>0.13974934284720153</v>
      </c>
      <c r="AC48" s="893">
        <f>'AAL KPI'!AC111</f>
        <v>0.1387500370228551</v>
      </c>
      <c r="AD48" s="893">
        <f>'AAL KPI'!AD111</f>
        <v>0.13592095462494039</v>
      </c>
    </row>
    <row r="49" spans="2:31" s="278" customFormat="1">
      <c r="B49" s="540"/>
      <c r="C49" s="895" t="s">
        <v>399</v>
      </c>
      <c r="D49" s="540"/>
      <c r="E49" s="893">
        <f>'AAL KPI'!E113</f>
        <v>4.0173949057775937E-2</v>
      </c>
      <c r="F49" s="893">
        <f>'AAL KPI'!F113</f>
        <v>3.2149668513304877E-2</v>
      </c>
      <c r="G49" s="893">
        <f>'AAL KPI'!G113</f>
        <v>3.3378808549340611E-2</v>
      </c>
      <c r="H49" s="893">
        <f>'AAL KPI'!H113</f>
        <v>3.3732843611057411E-2</v>
      </c>
      <c r="I49" s="893">
        <f>'AAL KPI'!I113</f>
        <v>2.5777893503450073E-2</v>
      </c>
      <c r="J49" s="893">
        <f>'AAL KPI'!J113</f>
        <v>5.415162454873646E-3</v>
      </c>
      <c r="K49" s="893">
        <f>'AAL KPI'!K113</f>
        <v>6.2992125984251968E-3</v>
      </c>
      <c r="L49" s="893">
        <f>'AAL KPI'!L113</f>
        <v>8.4666039510818431E-3</v>
      </c>
      <c r="M49" s="893">
        <f>'AAL KPI'!M113</f>
        <v>6.2912865681031774E-3</v>
      </c>
      <c r="N49" s="893">
        <f>'AAL KPI'!N113</f>
        <v>6.1115355233002291E-3</v>
      </c>
      <c r="O49" s="893">
        <f>'AAL KPI'!O113</f>
        <v>5.6553977629759961E-3</v>
      </c>
      <c r="P49" s="893">
        <f>'AAL KPI'!P113</f>
        <v>4.0563111429253165E-3</v>
      </c>
      <c r="Q49" s="893">
        <f>'AAL KPI'!Q113</f>
        <v>8.3141468406242001E-3</v>
      </c>
      <c r="R49" s="893">
        <f>'AAL KPI'!R113</f>
        <v>1.1223237093176726E-2</v>
      </c>
      <c r="S49" s="893">
        <f>'AAL KPI'!S113</f>
        <v>2.008075734941828E-2</v>
      </c>
      <c r="T49" s="893">
        <f>'AAL KPI'!T113</f>
        <v>1.9575404514869582E-2</v>
      </c>
      <c r="U49" s="815"/>
      <c r="V49" s="893">
        <f>'AAL KPI'!V113</f>
        <v>3.8690552247578648E-2</v>
      </c>
      <c r="W49" s="893">
        <f>'AAL KPI'!W113</f>
        <v>3.9384403579506344E-2</v>
      </c>
      <c r="X49" s="893">
        <f>'AAL KPI'!X113</f>
        <v>3.4706022375624854E-2</v>
      </c>
      <c r="Y49" s="893">
        <f>'AAL KPI'!Y113</f>
        <v>1.7013362722138034E-2</v>
      </c>
      <c r="Z49" s="893">
        <f>'AAL KPI'!Z113</f>
        <v>5.3332310171507503E-3</v>
      </c>
      <c r="AA49" s="893">
        <f>'AAL KPI'!AA113</f>
        <v>1.5267609243980245E-2</v>
      </c>
      <c r="AB49" s="893">
        <f>'AAL KPI'!AB113</f>
        <v>2.4658745370715215E-2</v>
      </c>
      <c r="AC49" s="893">
        <f>'AAL KPI'!AC113</f>
        <v>3.0481954139624727E-2</v>
      </c>
      <c r="AD49" s="893">
        <f>'AAL KPI'!AD113</f>
        <v>4.1058096576308323E-2</v>
      </c>
    </row>
    <row r="50" spans="2:31" s="278" customFormat="1">
      <c r="B50" s="540"/>
      <c r="C50" s="620"/>
      <c r="D50" s="540"/>
      <c r="E50" s="893"/>
      <c r="F50" s="893"/>
      <c r="G50" s="893"/>
      <c r="H50" s="893"/>
      <c r="I50" s="893"/>
      <c r="J50" s="893"/>
      <c r="K50" s="893"/>
      <c r="L50" s="893"/>
      <c r="M50" s="893"/>
      <c r="N50" s="893"/>
      <c r="O50" s="893"/>
      <c r="P50" s="893"/>
      <c r="Q50" s="893"/>
      <c r="R50" s="893"/>
      <c r="S50" s="893"/>
      <c r="T50" s="893"/>
      <c r="V50" s="893"/>
      <c r="W50" s="893"/>
      <c r="X50" s="893"/>
      <c r="Y50" s="893"/>
      <c r="Z50" s="893"/>
      <c r="AA50" s="893"/>
      <c r="AB50" s="893"/>
      <c r="AC50" s="893"/>
      <c r="AD50" s="893"/>
    </row>
    <row r="51" spans="2:31" s="278" customFormat="1">
      <c r="B51" s="540"/>
      <c r="C51" s="894" t="s">
        <v>1315</v>
      </c>
      <c r="D51" s="540"/>
      <c r="E51" s="893"/>
      <c r="F51" s="893"/>
      <c r="G51" s="893"/>
      <c r="H51" s="893"/>
      <c r="I51" s="893"/>
      <c r="J51" s="893"/>
      <c r="K51" s="893"/>
      <c r="L51" s="893"/>
      <c r="M51" s="893"/>
      <c r="N51" s="893"/>
      <c r="O51" s="893"/>
      <c r="P51" s="893"/>
      <c r="Q51" s="893"/>
      <c r="R51" s="893"/>
      <c r="S51" s="893"/>
      <c r="T51" s="893"/>
      <c r="V51" s="893"/>
      <c r="W51" s="893"/>
      <c r="X51" s="893"/>
      <c r="Y51" s="893"/>
      <c r="Z51" s="893"/>
      <c r="AA51" s="893"/>
      <c r="AB51" s="893"/>
      <c r="AC51" s="893"/>
      <c r="AD51" s="893"/>
    </row>
    <row r="52" spans="2:31" s="278" customFormat="1">
      <c r="B52" s="540"/>
      <c r="C52" s="895" t="s">
        <v>396</v>
      </c>
      <c r="D52" s="540"/>
      <c r="E52" s="893">
        <f>'DAL KPI'!E154</f>
        <v>0.72541603630862328</v>
      </c>
      <c r="F52" s="893">
        <f>'DAL KPI'!F154</f>
        <v>0.70997536945812811</v>
      </c>
      <c r="G52" s="893">
        <f>'DAL KPI'!G154</f>
        <v>0.69859772129710784</v>
      </c>
      <c r="H52" s="893">
        <f>'DAL KPI'!H154</f>
        <v>0.74306911362748929</v>
      </c>
      <c r="I52" s="893">
        <f>'DAL KPI'!I154</f>
        <v>0.73999207292905267</v>
      </c>
      <c r="J52" s="893">
        <f>'DAL KPI'!J154</f>
        <v>0.83185840707964598</v>
      </c>
      <c r="K52" s="893">
        <f>'DAL KPI'!K154</f>
        <v>0.84984520123839014</v>
      </c>
      <c r="L52" s="893">
        <f>'DAL KPI'!L154</f>
        <v>0.82616753150481836</v>
      </c>
      <c r="M52" s="893">
        <f>'DAL KPI'!M154</f>
        <v>0.82969432314410485</v>
      </c>
      <c r="N52" s="893">
        <f>'DAL KPI'!N154</f>
        <v>0.83873384528938</v>
      </c>
      <c r="O52" s="893">
        <f>'DAL KPI'!O154</f>
        <v>0.80086218884717009</v>
      </c>
      <c r="P52" s="893">
        <f>'DAL KPI'!P154</f>
        <v>0.82184781107581828</v>
      </c>
      <c r="Q52" s="893">
        <f>'DAL KPI'!Q154</f>
        <v>0.8054147965831765</v>
      </c>
      <c r="R52" s="893">
        <f>'DAL KPI'!R154</f>
        <v>0.75908012411023906</v>
      </c>
      <c r="S52" s="893">
        <f>'DAL KPI'!S154</f>
        <v>0.74284729195840993</v>
      </c>
      <c r="T52" s="893">
        <f>'DAL KPI'!T154</f>
        <v>0.77320388264989093</v>
      </c>
      <c r="U52" s="815"/>
      <c r="V52" s="893">
        <f>'DAL KPI'!V154</f>
        <v>0.70584891872141176</v>
      </c>
      <c r="W52" s="893">
        <f>'DAL KPI'!W154</f>
        <v>0.70831341969563577</v>
      </c>
      <c r="X52" s="893">
        <f>'DAL KPI'!X154</f>
        <v>0.71830352918913809</v>
      </c>
      <c r="Y52" s="893">
        <f>'DAL KPI'!Y154</f>
        <v>0.77939920825894593</v>
      </c>
      <c r="Z52" s="893">
        <f>'DAL KPI'!Z154</f>
        <v>0.82010746480749586</v>
      </c>
      <c r="AA52" s="893">
        <f>'DAL KPI'!AA154</f>
        <v>0.76619582849937407</v>
      </c>
      <c r="AB52" s="893">
        <f>'DAL KPI'!AB154</f>
        <v>0.73752068143123473</v>
      </c>
      <c r="AC52" s="893">
        <f>'DAL KPI'!AC154</f>
        <v>0.72070780489587039</v>
      </c>
      <c r="AD52" s="893">
        <f>'DAL KPI'!AD154</f>
        <v>0.72192575272289172</v>
      </c>
    </row>
    <row r="53" spans="2:31" s="278" customFormat="1">
      <c r="B53" s="540"/>
      <c r="C53" s="895" t="s">
        <v>398</v>
      </c>
      <c r="D53" s="540"/>
      <c r="E53" s="893">
        <f>'DAL KPI'!E156</f>
        <v>0.11919170088610331</v>
      </c>
      <c r="F53" s="893">
        <f>'DAL KPI'!F156</f>
        <v>0.1653764954257565</v>
      </c>
      <c r="G53" s="893">
        <f>'DAL KPI'!G156</f>
        <v>0.18054338299737072</v>
      </c>
      <c r="H53" s="893">
        <f>'DAL KPI'!H156</f>
        <v>0.13061304178055447</v>
      </c>
      <c r="I53" s="893">
        <f>'DAL KPI'!I156</f>
        <v>0.10807240058131853</v>
      </c>
      <c r="J53" s="893">
        <f>'DAL KPI'!J156</f>
        <v>9.4395280235988199E-2</v>
      </c>
      <c r="K53" s="893">
        <f>'DAL KPI'!K156</f>
        <v>6.8111455108359129E-2</v>
      </c>
      <c r="L53" s="893">
        <f>'DAL KPI'!L156</f>
        <v>5.8191252779836916E-2</v>
      </c>
      <c r="M53" s="893">
        <f>'DAL KPI'!M156</f>
        <v>5.1673944687045122E-2</v>
      </c>
      <c r="N53" s="893">
        <f>'DAL KPI'!N156</f>
        <v>5.394268589623525E-2</v>
      </c>
      <c r="O53" s="893">
        <f>'DAL KPI'!O156</f>
        <v>0.1015157836184119</v>
      </c>
      <c r="P53" s="893">
        <f>'DAL KPI'!P156</f>
        <v>8.5209225245131887E-2</v>
      </c>
      <c r="Q53" s="893">
        <f>'DAL KPI'!Q156</f>
        <v>7.8036774286955268E-2</v>
      </c>
      <c r="R53" s="893">
        <f>'DAL KPI'!R156</f>
        <v>0.15522905639715276</v>
      </c>
      <c r="S53" s="893">
        <f>'DAL KPI'!S156</f>
        <v>0.17516384860559431</v>
      </c>
      <c r="T53" s="893">
        <f>'DAL KPI'!T156</f>
        <v>0.13209976435938431</v>
      </c>
      <c r="U53" s="815"/>
      <c r="V53" s="893">
        <f>'DAL KPI'!V156</f>
        <v>7.7462310877743801E-2</v>
      </c>
      <c r="W53" s="893">
        <f>'DAL KPI'!W156</f>
        <v>7.2644950320714372E-2</v>
      </c>
      <c r="X53" s="893">
        <f>'DAL KPI'!X156</f>
        <v>0.15093670167470905</v>
      </c>
      <c r="Y53" s="893">
        <f>'DAL KPI'!Y156</f>
        <v>9.0894977877823482E-2</v>
      </c>
      <c r="Z53" s="893">
        <f>'DAL KPI'!Z156</f>
        <v>7.8911141702562276E-2</v>
      </c>
      <c r="AA53" s="893">
        <f>'DAL KPI'!AA156</f>
        <v>0.14144023988016055</v>
      </c>
      <c r="AB53" s="893">
        <f>'DAL KPI'!AB156</f>
        <v>0.15493354577959251</v>
      </c>
      <c r="AC53" s="893">
        <f>'DAL KPI'!AC156</f>
        <v>0.14146579873378712</v>
      </c>
      <c r="AD53" s="893">
        <f>'DAL KPI'!AD156</f>
        <v>0.13759289486973464</v>
      </c>
    </row>
    <row r="54" spans="2:31" s="278" customFormat="1">
      <c r="B54" s="540"/>
      <c r="C54" s="895" t="s">
        <v>397</v>
      </c>
      <c r="D54" s="540"/>
      <c r="E54" s="893">
        <f>'DAL KPI'!E155</f>
        <v>9.2392478928031124E-2</v>
      </c>
      <c r="F54" s="893">
        <f>'DAL KPI'!F155</f>
        <v>6.6854327938071778E-2</v>
      </c>
      <c r="G54" s="893">
        <f>'DAL KPI'!G155</f>
        <v>5.9859772129710782E-2</v>
      </c>
      <c r="H54" s="893">
        <f>'DAL KPI'!H155</f>
        <v>6.8625536899648579E-2</v>
      </c>
      <c r="I54" s="893">
        <f>'DAL KPI'!I155</f>
        <v>0.10107015457788347</v>
      </c>
      <c r="J54" s="893">
        <f>'DAL KPI'!J155</f>
        <v>2.6548672566371681E-2</v>
      </c>
      <c r="K54" s="893">
        <f>'DAL KPI'!K155</f>
        <v>5.0051599587203302E-2</v>
      </c>
      <c r="L54" s="893">
        <f>'DAL KPI'!L155</f>
        <v>8.6730911786508519E-2</v>
      </c>
      <c r="M54" s="893">
        <f>'DAL KPI'!M155</f>
        <v>9.606986899563319E-2</v>
      </c>
      <c r="N54" s="893">
        <f>'DAL KPI'!N155</f>
        <v>9.0840981457201722E-2</v>
      </c>
      <c r="O54" s="893">
        <f>'DAL KPI'!O155</f>
        <v>7.8431372549019607E-2</v>
      </c>
      <c r="P54" s="893">
        <f>'DAL KPI'!P155</f>
        <v>7.7337384339179666E-2</v>
      </c>
      <c r="Q54" s="893">
        <f>'DAL KPI'!Q155</f>
        <v>9.8450846966845224E-2</v>
      </c>
      <c r="R54" s="893">
        <f>'DAL KPI'!R155</f>
        <v>6.7986858915860565E-2</v>
      </c>
      <c r="S54" s="893">
        <f>'DAL KPI'!S155</f>
        <v>6.1656267780291457E-2</v>
      </c>
      <c r="T54" s="893">
        <f>'DAL KPI'!T155</f>
        <v>6.8499894677900741E-2</v>
      </c>
      <c r="U54" s="815"/>
      <c r="V54" s="893">
        <f>'DAL KPI'!V155</f>
        <v>0.14986331772539041</v>
      </c>
      <c r="W54" s="893">
        <f>'DAL KPI'!W155</f>
        <v>0.15507483335429506</v>
      </c>
      <c r="X54" s="893">
        <f>'DAL KPI'!X155</f>
        <v>7.0985902166713979E-2</v>
      </c>
      <c r="Y54" s="893">
        <f>'DAL KPI'!Y155</f>
        <v>8.6470542575487072E-2</v>
      </c>
      <c r="Z54" s="893">
        <f>'DAL KPI'!Z155</f>
        <v>8.3174208446200992E-2</v>
      </c>
      <c r="AA54" s="893">
        <f>'DAL KPI'!AA155</f>
        <v>7.1597493597886239E-2</v>
      </c>
      <c r="AB54" s="893">
        <f>'DAL KPI'!AB155</f>
        <v>7.1126843434421425E-2</v>
      </c>
      <c r="AC54" s="893">
        <f>'DAL KPI'!AC155</f>
        <v>6.9072774000727491E-2</v>
      </c>
      <c r="AD54" s="893">
        <f>'DAL KPI'!AD155</f>
        <v>7.1020729616193976E-2</v>
      </c>
    </row>
    <row r="55" spans="2:31" s="278" customFormat="1">
      <c r="B55" s="540"/>
      <c r="C55" s="895" t="s">
        <v>399</v>
      </c>
      <c r="D55" s="540"/>
      <c r="E55" s="893">
        <f>'DAL KPI'!E157</f>
        <v>6.2999783877242269E-2</v>
      </c>
      <c r="F55" s="893">
        <f>'DAL KPI'!F157</f>
        <v>5.7793807178043631E-2</v>
      </c>
      <c r="G55" s="893">
        <f>'DAL KPI'!G157</f>
        <v>6.0999123575810693E-2</v>
      </c>
      <c r="H55" s="893">
        <f>'DAL KPI'!H157</f>
        <v>5.7692307692307696E-2</v>
      </c>
      <c r="I55" s="893">
        <f>'DAL KPI'!I157</f>
        <v>5.0865371911745276E-2</v>
      </c>
      <c r="J55" s="893">
        <f>'DAL KPI'!J157</f>
        <v>4.71976401179941E-2</v>
      </c>
      <c r="K55" s="893">
        <f>'DAL KPI'!K157</f>
        <v>3.1991744066047469E-2</v>
      </c>
      <c r="L55" s="893">
        <f>'DAL KPI'!L157</f>
        <v>2.8910303928836176E-2</v>
      </c>
      <c r="M55" s="893">
        <f>'DAL KPI'!M157</f>
        <v>2.2561863173216887E-2</v>
      </c>
      <c r="N55" s="893">
        <f>'DAL KPI'!N157</f>
        <v>1.6482487357182992E-2</v>
      </c>
      <c r="O55" s="893">
        <f>'DAL KPI'!O157</f>
        <v>1.9190654985398414E-2</v>
      </c>
      <c r="P55" s="893">
        <f>'DAL KPI'!P157</f>
        <v>1.5605579339870184E-2</v>
      </c>
      <c r="Q55" s="893">
        <f>'DAL KPI'!Q157</f>
        <v>1.809758216302302E-2</v>
      </c>
      <c r="R55" s="893">
        <f>'DAL KPI'!R157</f>
        <v>1.7703960576747581E-2</v>
      </c>
      <c r="S55" s="893">
        <f>'DAL KPI'!S157</f>
        <v>2.0332591655704224E-2</v>
      </c>
      <c r="T55" s="893">
        <f>'DAL KPI'!T157</f>
        <v>2.619645831282404E-2</v>
      </c>
      <c r="U55" s="815"/>
      <c r="V55" s="893">
        <f>'DAL KPI'!V157</f>
        <v>6.6825452675454033E-2</v>
      </c>
      <c r="W55" s="893">
        <f>'DAL KPI'!W157</f>
        <v>6.3966796629354797E-2</v>
      </c>
      <c r="X55" s="893">
        <f>'DAL KPI'!X157</f>
        <v>5.9773866969438927E-2</v>
      </c>
      <c r="Y55" s="893">
        <f>'DAL KPI'!Y157</f>
        <v>4.3235271287743536E-2</v>
      </c>
      <c r="Z55" s="893">
        <f>'DAL KPI'!Z157</f>
        <v>1.780718504374084E-2</v>
      </c>
      <c r="AA55" s="893">
        <f>'DAL KPI'!AA157</f>
        <v>2.0766438022579197E-2</v>
      </c>
      <c r="AB55" s="893">
        <f>'DAL KPI'!AB157</f>
        <v>3.6418929354751391E-2</v>
      </c>
      <c r="AC55" s="893">
        <f>'DAL KPI'!AC157</f>
        <v>6.8753622369614936E-2</v>
      </c>
      <c r="AD55" s="893">
        <f>'DAL KPI'!AD157</f>
        <v>6.9460622791179594E-2</v>
      </c>
    </row>
    <row r="56" spans="2:31" s="278" customFormat="1">
      <c r="B56" s="540"/>
      <c r="C56" s="895"/>
      <c r="D56" s="540"/>
      <c r="E56" s="893"/>
      <c r="F56" s="893"/>
      <c r="G56" s="893"/>
      <c r="H56" s="893"/>
      <c r="I56" s="893"/>
      <c r="J56" s="893"/>
      <c r="K56" s="893"/>
      <c r="L56" s="893"/>
      <c r="M56" s="893"/>
      <c r="N56" s="893"/>
      <c r="O56" s="893"/>
      <c r="P56" s="893"/>
      <c r="Q56" s="893"/>
      <c r="R56" s="893"/>
      <c r="S56" s="893"/>
      <c r="T56" s="893"/>
      <c r="U56" s="815"/>
      <c r="V56" s="893"/>
      <c r="W56" s="893"/>
      <c r="X56" s="893"/>
      <c r="Y56" s="893"/>
      <c r="Z56" s="893"/>
      <c r="AA56" s="893"/>
      <c r="AB56" s="893"/>
      <c r="AC56" s="893"/>
      <c r="AD56" s="893"/>
    </row>
    <row r="57" spans="2:31" s="278" customFormat="1">
      <c r="B57" s="540"/>
      <c r="C57" s="894" t="s">
        <v>1316</v>
      </c>
      <c r="D57" s="540"/>
      <c r="E57" s="893"/>
      <c r="F57" s="893"/>
      <c r="G57" s="893"/>
      <c r="H57" s="893"/>
      <c r="I57" s="893"/>
      <c r="J57" s="893"/>
      <c r="K57" s="893"/>
      <c r="L57" s="893"/>
      <c r="M57" s="893"/>
      <c r="N57" s="893"/>
      <c r="O57" s="893"/>
      <c r="P57" s="893"/>
      <c r="Q57" s="893"/>
      <c r="R57" s="893"/>
      <c r="S57" s="893"/>
      <c r="T57" s="893"/>
      <c r="U57" s="815"/>
      <c r="V57" s="893"/>
      <c r="W57" s="893"/>
      <c r="X57" s="893"/>
      <c r="Y57" s="893"/>
      <c r="Z57" s="893"/>
      <c r="AA57" s="893"/>
      <c r="AB57" s="893"/>
      <c r="AC57" s="893"/>
      <c r="AD57" s="893"/>
    </row>
    <row r="58" spans="2:31" s="278" customFormat="1">
      <c r="B58" s="540"/>
      <c r="C58" s="895" t="s">
        <v>396</v>
      </c>
      <c r="D58" s="540"/>
      <c r="E58" s="893">
        <f>'UAL KPI'!E101</f>
        <v>0.61512893982808026</v>
      </c>
      <c r="F58" s="893">
        <f>'UAL KPI'!F101</f>
        <v>0.62435628456990278</v>
      </c>
      <c r="G58" s="893">
        <f>'UAL KPI'!G101</f>
        <v>0.62532201125846776</v>
      </c>
      <c r="H58" s="893">
        <f>'UAL KPI'!H101</f>
        <v>0.63807510319138228</v>
      </c>
      <c r="I58" s="893">
        <f>'UAL KPI'!I101</f>
        <v>0.63750884642604388</v>
      </c>
      <c r="J58" s="893">
        <f>'UAL KPI'!J101</f>
        <v>0.79588839941262846</v>
      </c>
      <c r="K58" s="893">
        <f>'UAL KPI'!K101</f>
        <v>0.75560946027895692</v>
      </c>
      <c r="L58" s="893">
        <f>'UAL KPI'!L101</f>
        <v>0.74564315352697097</v>
      </c>
      <c r="M58" s="893">
        <f>'UAL KPI'!M101</f>
        <v>0.73920552677029361</v>
      </c>
      <c r="N58" s="893">
        <f>'UAL KPI'!N101</f>
        <v>0.75309207512597343</v>
      </c>
      <c r="O58" s="893">
        <f>'UAL KPI'!O101</f>
        <v>0.72999849329516353</v>
      </c>
      <c r="P58" s="893">
        <f>'UAL KPI'!P101</f>
        <v>0.7227391683628962</v>
      </c>
      <c r="Q58" s="893">
        <f>'UAL KPI'!Q101</f>
        <v>0.71045998739760552</v>
      </c>
      <c r="R58" s="893">
        <f>'UAL KPI'!R101</f>
        <v>0.7213324510006619</v>
      </c>
      <c r="S58" s="893">
        <f>'UAL KPI'!S101</f>
        <v>0.67826735028673957</v>
      </c>
      <c r="T58" s="893">
        <f>'UAL KPI'!T101</f>
        <v>0.68257019324446744</v>
      </c>
      <c r="U58" s="815"/>
      <c r="V58" s="893">
        <f>'UAL KPI'!V101</f>
        <v>0.67074869413813121</v>
      </c>
      <c r="W58" s="893">
        <f>'UAL KPI'!W101</f>
        <v>0.67766403224950933</v>
      </c>
      <c r="X58" s="893">
        <f>'UAL KPI'!X101</f>
        <v>0.62601892744479493</v>
      </c>
      <c r="Y58" s="893">
        <f>'UAL KPI'!Y101</f>
        <v>0.68521812791190173</v>
      </c>
      <c r="Z58" s="893">
        <f>'UAL KPI'!Z101</f>
        <v>0.73357429321186318</v>
      </c>
      <c r="AA58" s="893">
        <f>'UAL KPI'!AA101</f>
        <v>0.69653964035110005</v>
      </c>
      <c r="AB58" s="893">
        <f>'UAL KPI'!AB101</f>
        <v>0.66368899112491431</v>
      </c>
      <c r="AC58" s="893">
        <f>'UAL KPI'!AC101</f>
        <v>0.66073476191321412</v>
      </c>
      <c r="AD58" s="893">
        <f>'UAL KPI'!AD101</f>
        <v>0.66423006051690459</v>
      </c>
      <c r="AE58" s="815"/>
    </row>
    <row r="59" spans="2:31" s="278" customFormat="1">
      <c r="B59" s="540"/>
      <c r="C59" s="895" t="s">
        <v>398</v>
      </c>
      <c r="D59" s="540"/>
      <c r="E59" s="893">
        <f>'UAL KPI'!E103</f>
        <v>0.15255014326647565</v>
      </c>
      <c r="F59" s="893">
        <f>'UAL KPI'!F103</f>
        <v>0.18376883463665841</v>
      </c>
      <c r="G59" s="893">
        <f>'UAL KPI'!G103</f>
        <v>0.1872912889991413</v>
      </c>
      <c r="H59" s="893">
        <f>'UAL KPI'!H103</f>
        <v>0.16269002315513945</v>
      </c>
      <c r="I59" s="893">
        <f>'UAL KPI'!I103</f>
        <v>0.15187544232130221</v>
      </c>
      <c r="J59" s="893">
        <f>'UAL KPI'!J103</f>
        <v>8.3700440528634359E-2</v>
      </c>
      <c r="K59" s="893">
        <f>'UAL KPI'!K103</f>
        <v>0.11036992116434202</v>
      </c>
      <c r="L59" s="893">
        <f>'UAL KPI'!L103</f>
        <v>8.2572614107883816E-2</v>
      </c>
      <c r="M59" s="893">
        <f>'UAL KPI'!M103</f>
        <v>8.8946459412780662E-2</v>
      </c>
      <c r="N59" s="893">
        <f>'UAL KPI'!N103</f>
        <v>7.3980760421438391E-2</v>
      </c>
      <c r="O59" s="893">
        <f>'UAL KPI'!O103</f>
        <v>0.12656320626789211</v>
      </c>
      <c r="P59" s="893">
        <f>'UAL KPI'!P103</f>
        <v>0.13623146263448677</v>
      </c>
      <c r="Q59" s="893">
        <f>'UAL KPI'!Q103</f>
        <v>0.12775677378701952</v>
      </c>
      <c r="R59" s="893">
        <f>'UAL KPI'!R103</f>
        <v>0.13044584426760994</v>
      </c>
      <c r="S59" s="893">
        <f>'UAL KPI'!S103</f>
        <v>0.14900794791152405</v>
      </c>
      <c r="T59" s="893">
        <f>'UAL KPI'!T103</f>
        <v>0.13393327754072565</v>
      </c>
      <c r="U59" s="815"/>
      <c r="V59" s="893">
        <f>'UAL KPI'!V103</f>
        <v>0.18398142774230991</v>
      </c>
      <c r="W59" s="893">
        <f>'UAL KPI'!W103</f>
        <v>0.18837850739935288</v>
      </c>
      <c r="X59" s="893">
        <f>'UAL KPI'!X103</f>
        <v>0.17254258675078865</v>
      </c>
      <c r="Y59" s="893">
        <f>'UAL KPI'!Y103</f>
        <v>0.12799661160525203</v>
      </c>
      <c r="Z59" s="893">
        <f>'UAL KPI'!Z103</f>
        <v>0.11417537258008616</v>
      </c>
      <c r="AA59" s="893">
        <f>'UAL KPI'!AA103</f>
        <v>0.13623253420901893</v>
      </c>
      <c r="AB59" s="893">
        <f>'UAL KPI'!AB103</f>
        <v>0.14915288171481275</v>
      </c>
      <c r="AC59" s="893">
        <f>'UAL KPI'!AC103</f>
        <v>0.14704602364237357</v>
      </c>
      <c r="AD59" s="893">
        <f>'UAL KPI'!AD103</f>
        <v>0.15012625637474147</v>
      </c>
      <c r="AE59" s="815"/>
    </row>
    <row r="60" spans="2:31" s="278" customFormat="1">
      <c r="B60" s="540"/>
      <c r="C60" s="895" t="s">
        <v>397</v>
      </c>
      <c r="D60" s="540"/>
      <c r="E60" s="893">
        <f>'UAL KPI'!E102</f>
        <v>0.10383954154727794</v>
      </c>
      <c r="F60" s="893">
        <f>'UAL KPI'!F102</f>
        <v>8.3635323288193786E-2</v>
      </c>
      <c r="G60" s="893">
        <f>'UAL KPI'!G102</f>
        <v>8.0431256559488601E-2</v>
      </c>
      <c r="H60" s="893">
        <f>'UAL KPI'!H102</f>
        <v>8.9700996677740868E-2</v>
      </c>
      <c r="I60" s="893">
        <f>'UAL KPI'!I102</f>
        <v>0.11323425336164189</v>
      </c>
      <c r="J60" s="893">
        <f>'UAL KPI'!J102</f>
        <v>7.0484581497797363E-2</v>
      </c>
      <c r="K60" s="893">
        <f>'UAL KPI'!K102</f>
        <v>7.5197089144936322E-2</v>
      </c>
      <c r="L60" s="893">
        <f>'UAL KPI'!L102</f>
        <v>0.13029045643153528</v>
      </c>
      <c r="M60" s="893">
        <f>'UAL KPI'!M102</f>
        <v>0.13341968911917099</v>
      </c>
      <c r="N60" s="893">
        <f>'UAL KPI'!N102</f>
        <v>0.14269354099862575</v>
      </c>
      <c r="O60" s="893">
        <f>'UAL KPI'!O102</f>
        <v>0.11194816935362363</v>
      </c>
      <c r="P60" s="893">
        <f>'UAL KPI'!P102</f>
        <v>0.11456818842686828</v>
      </c>
      <c r="Q60" s="893">
        <f>'UAL KPI'!Q102</f>
        <v>0.12602394454946439</v>
      </c>
      <c r="R60" s="893">
        <f>'UAL KPI'!R102</f>
        <v>9.5430658455724807E-2</v>
      </c>
      <c r="S60" s="893">
        <f>'UAL KPI'!S102</f>
        <v>8.7368076819665241E-2</v>
      </c>
      <c r="T60" s="893">
        <f>'UAL KPI'!T102</f>
        <v>9.52220063208465E-2</v>
      </c>
      <c r="U60" s="815"/>
      <c r="V60" s="893">
        <f>'UAL KPI'!V102</f>
        <v>9.9129425420777711E-2</v>
      </c>
      <c r="W60" s="893">
        <f>'UAL KPI'!W102</f>
        <v>9.1762584204105449E-2</v>
      </c>
      <c r="X60" s="893">
        <f>'UAL KPI'!X102</f>
        <v>8.8757097791798106E-2</v>
      </c>
      <c r="Y60" s="893">
        <f>'UAL KPI'!Y102</f>
        <v>0.10893689114781872</v>
      </c>
      <c r="Z60" s="893">
        <f>'UAL KPI'!Z102</f>
        <v>0.12194880427786305</v>
      </c>
      <c r="AA60" s="893">
        <f>'UAL KPI'!AA102</f>
        <v>9.8273229234720261E-2</v>
      </c>
      <c r="AB60" s="893">
        <f>'UAL KPI'!AB102</f>
        <v>9.1095193838018201E-2</v>
      </c>
      <c r="AC60" s="893">
        <f>'UAL KPI'!AC102</f>
        <v>8.8721826577894486E-2</v>
      </c>
      <c r="AD60" s="893">
        <f>'UAL KPI'!AD102</f>
        <v>8.379811860624585E-2</v>
      </c>
      <c r="AE60" s="815"/>
    </row>
    <row r="61" spans="2:31" s="278" customFormat="1">
      <c r="B61" s="540"/>
      <c r="C61" s="895" t="s">
        <v>399</v>
      </c>
      <c r="D61" s="540"/>
      <c r="E61" s="893">
        <f>'UAL KPI'!E104</f>
        <v>0.1284813753581662</v>
      </c>
      <c r="F61" s="893">
        <f>'UAL KPI'!F104</f>
        <v>0.10823955750524508</v>
      </c>
      <c r="G61" s="893">
        <f>'UAL KPI'!G104</f>
        <v>0.1069554431829024</v>
      </c>
      <c r="H61" s="893">
        <f>'UAL KPI'!H104</f>
        <v>0.10953387697573744</v>
      </c>
      <c r="I61" s="893">
        <f>'UAL KPI'!I104</f>
        <v>9.7381457891012033E-2</v>
      </c>
      <c r="J61" s="893">
        <f>'UAL KPI'!J104</f>
        <v>4.9926578560939794E-2</v>
      </c>
      <c r="K61" s="893">
        <f>'UAL KPI'!K104</f>
        <v>5.8823529411764705E-2</v>
      </c>
      <c r="L61" s="893">
        <f>'UAL KPI'!L104</f>
        <v>4.1493775933609957E-2</v>
      </c>
      <c r="M61" s="893">
        <f>'UAL KPI'!M104</f>
        <v>3.842832469775475E-2</v>
      </c>
      <c r="N61" s="893">
        <f>'UAL KPI'!N104</f>
        <v>3.0233623453962438E-2</v>
      </c>
      <c r="O61" s="893">
        <f>'UAL KPI'!O104</f>
        <v>3.1490131083320778E-2</v>
      </c>
      <c r="P61" s="893">
        <f>'UAL KPI'!P104</f>
        <v>2.6461180575748765E-2</v>
      </c>
      <c r="Q61" s="893">
        <f>'UAL KPI'!Q104</f>
        <v>3.575929426591052E-2</v>
      </c>
      <c r="R61" s="893">
        <f>'UAL KPI'!R104</f>
        <v>5.2791046276003263E-2</v>
      </c>
      <c r="S61" s="893">
        <f>'UAL KPI'!S104</f>
        <v>8.5356624982071042E-2</v>
      </c>
      <c r="T61" s="893">
        <f>'UAL KPI'!T104</f>
        <v>8.8274522893960317E-2</v>
      </c>
      <c r="U61" s="815"/>
      <c r="V61" s="893">
        <f>'UAL KPI'!V104</f>
        <v>0.14260011607661055</v>
      </c>
      <c r="W61" s="893">
        <f>'UAL KPI'!W104</f>
        <v>0.13759083434997083</v>
      </c>
      <c r="X61" s="893">
        <f>'UAL KPI'!X104</f>
        <v>0.1126813880126183</v>
      </c>
      <c r="Y61" s="893">
        <f>'UAL KPI'!Y104</f>
        <v>7.7848369335027534E-2</v>
      </c>
      <c r="Z61" s="893">
        <f>'UAL KPI'!Z104</f>
        <v>3.0301529930187653E-2</v>
      </c>
      <c r="AA61" s="893">
        <f>'UAL KPI'!AA104</f>
        <v>6.8954596205160618E-2</v>
      </c>
      <c r="AB61" s="893">
        <f>'UAL KPI'!AB104</f>
        <v>9.6062933322254657E-2</v>
      </c>
      <c r="AC61" s="893">
        <f>'UAL KPI'!AC104</f>
        <v>0.10349738786651767</v>
      </c>
      <c r="AD61" s="893">
        <f>'UAL KPI'!AD104</f>
        <v>0.10184556450210816</v>
      </c>
      <c r="AE61" s="815"/>
    </row>
    <row r="62" spans="2:31" s="278" customFormat="1"/>
    <row r="63" spans="2:31" s="278" customFormat="1" ht="3" customHeight="1">
      <c r="B63" s="867"/>
      <c r="C63" s="867"/>
      <c r="D63" s="867"/>
      <c r="E63" s="867"/>
      <c r="F63" s="867"/>
      <c r="G63" s="867"/>
      <c r="H63" s="867"/>
      <c r="I63" s="867"/>
      <c r="J63" s="867"/>
      <c r="K63" s="867"/>
      <c r="L63" s="867"/>
      <c r="M63" s="867"/>
      <c r="N63" s="867"/>
      <c r="O63" s="867"/>
      <c r="P63" s="867"/>
      <c r="Q63" s="867"/>
      <c r="R63" s="867"/>
      <c r="S63" s="867"/>
      <c r="T63" s="867"/>
      <c r="U63" s="867"/>
      <c r="V63" s="867"/>
      <c r="W63" s="867"/>
      <c r="X63" s="867"/>
      <c r="Y63" s="867"/>
      <c r="Z63" s="867"/>
      <c r="AA63" s="867"/>
      <c r="AB63" s="867"/>
      <c r="AC63" s="867"/>
      <c r="AD63" s="867"/>
    </row>
    <row r="64" spans="2:31" s="278" customFormat="1" ht="10.9" thickBot="1"/>
    <row r="65" spans="2:30">
      <c r="B65" s="816" t="s">
        <v>133</v>
      </c>
      <c r="C65" s="817" t="s">
        <v>576</v>
      </c>
      <c r="D65" s="818"/>
      <c r="E65" s="819"/>
      <c r="F65" s="819"/>
      <c r="G65" s="819"/>
      <c r="H65" s="819"/>
      <c r="I65" s="819"/>
      <c r="J65" s="819"/>
      <c r="K65" s="819"/>
      <c r="L65" s="819"/>
      <c r="M65" s="819"/>
      <c r="N65" s="819"/>
      <c r="O65" s="819"/>
      <c r="P65" s="819"/>
      <c r="Q65" s="819"/>
      <c r="R65" s="819"/>
      <c r="S65" s="819"/>
      <c r="T65" s="819"/>
      <c r="U65" s="561"/>
      <c r="V65" s="820"/>
      <c r="W65" s="820"/>
      <c r="X65" s="820"/>
      <c r="Y65" s="820"/>
      <c r="Z65" s="820"/>
      <c r="AA65" s="820"/>
      <c r="AB65" s="820"/>
      <c r="AC65" s="820"/>
      <c r="AD65" s="821"/>
    </row>
    <row r="66" spans="2:30">
      <c r="B66" s="822"/>
      <c r="C66" s="716" t="s">
        <v>1305</v>
      </c>
      <c r="D66" s="716"/>
      <c r="E66" s="823">
        <f>'AAL KPI'!E121</f>
        <v>66.673999999999992</v>
      </c>
      <c r="F66" s="823">
        <f>'AAL KPI'!F121</f>
        <v>72.321999999999989</v>
      </c>
      <c r="G66" s="823">
        <f>'AAL KPI'!G121</f>
        <v>75.820000000000007</v>
      </c>
      <c r="H66" s="823">
        <f>'AAL KPI'!H121</f>
        <v>70.271999999999991</v>
      </c>
      <c r="I66" s="823">
        <f>'AAL KPI'!I121</f>
        <v>62.098999999999997</v>
      </c>
      <c r="J66" s="823">
        <f>'AAL KPI'!J121</f>
        <v>17.081</v>
      </c>
      <c r="K66" s="823">
        <f>'AAL KPI'!K121</f>
        <v>30.768000000000001</v>
      </c>
      <c r="L66" s="823">
        <f>'AAL KPI'!L121</f>
        <v>33.218999999999994</v>
      </c>
      <c r="M66" s="823">
        <f>'AAL KPI'!M121</f>
        <v>37.764000000000003</v>
      </c>
      <c r="N66" s="823">
        <f>'AAL KPI'!N121</f>
        <v>54.555</v>
      </c>
      <c r="O66" s="823">
        <f>'AAL KPI'!O121</f>
        <v>61.110999999999997</v>
      </c>
      <c r="P66" s="823">
        <f>'AAL KPI'!P121</f>
        <v>61.10499999999999</v>
      </c>
      <c r="Q66" s="823">
        <f>'AAL KPI'!Q121</f>
        <v>59.533000000000001</v>
      </c>
      <c r="R66" s="823">
        <f>'AAL KPI'!R121</f>
        <v>67.259799999999998</v>
      </c>
      <c r="S66" s="823">
        <f>'AAL KPI'!S121</f>
        <v>72.153700000000001</v>
      </c>
      <c r="T66" s="823">
        <f>'AAL KPI'!T121</f>
        <v>67.279399999999995</v>
      </c>
      <c r="U66" s="254"/>
      <c r="V66" s="823">
        <f>'AAL KPI'!V121</f>
        <v>276.49299999999999</v>
      </c>
      <c r="W66" s="823">
        <f>'AAL KPI'!W121</f>
        <v>282.05399999999997</v>
      </c>
      <c r="X66" s="823">
        <f t="shared" ref="X66:AA68" si="26">+SUMIF($E$5:$T$5,X$5,$E66:$T66)</f>
        <v>285.08799999999997</v>
      </c>
      <c r="Y66" s="823">
        <f t="shared" si="26"/>
        <v>143.16699999999997</v>
      </c>
      <c r="Z66" s="823">
        <f t="shared" si="26"/>
        <v>214.535</v>
      </c>
      <c r="AA66" s="823">
        <f t="shared" si="26"/>
        <v>266.22590000000002</v>
      </c>
      <c r="AB66" s="823">
        <f>'AAL KPI'!AB121</f>
        <v>287.03114499999998</v>
      </c>
      <c r="AC66" s="823">
        <f>'AAL KPI'!AC121</f>
        <v>303.42242499999998</v>
      </c>
      <c r="AD66" s="824">
        <f>'AAL KPI'!AD121</f>
        <v>311.52606000000003</v>
      </c>
    </row>
    <row r="67" spans="2:30">
      <c r="B67" s="822"/>
      <c r="C67" s="716" t="s">
        <v>1306</v>
      </c>
      <c r="D67" s="716"/>
      <c r="E67" s="823">
        <f>'DAL KPI'!E164</f>
        <v>62.415999999999997</v>
      </c>
      <c r="F67" s="823">
        <f>'DAL KPI'!F164</f>
        <v>71.754000000000005</v>
      </c>
      <c r="G67" s="823">
        <f>'DAL KPI'!G164</f>
        <v>75.742000000000004</v>
      </c>
      <c r="H67" s="823">
        <f>'DAL KPI'!H164</f>
        <v>65.468000000000004</v>
      </c>
      <c r="I67" s="823">
        <f>'DAL KPI'!I164</f>
        <v>58.884999999999998</v>
      </c>
      <c r="J67" s="823">
        <f>'DAL KPI'!J164</f>
        <v>10.596</v>
      </c>
      <c r="K67" s="823">
        <f>'DAL KPI'!K164</f>
        <v>28.29</v>
      </c>
      <c r="L67" s="823">
        <f>'DAL KPI'!L164</f>
        <v>36.569000000000003</v>
      </c>
      <c r="M67" s="823">
        <f>'DAL KPI'!M164</f>
        <v>40.118000000000002</v>
      </c>
      <c r="N67" s="823">
        <f>'DAL KPI'!N164</f>
        <v>48.529000000000003</v>
      </c>
      <c r="O67" s="823">
        <f>'DAL KPI'!O164</f>
        <v>54.082999999999998</v>
      </c>
      <c r="P67" s="823">
        <f>'DAL KPI'!P164</f>
        <v>51.744</v>
      </c>
      <c r="Q67" s="823">
        <f>'DAL KPI'!Q164</f>
        <v>51.81</v>
      </c>
      <c r="R67" s="823">
        <f>'DAL KPI'!R164</f>
        <v>58.902999999999999</v>
      </c>
      <c r="S67" s="823">
        <f>'DAL KPI'!S164</f>
        <v>64.962678490000002</v>
      </c>
      <c r="T67" s="823">
        <f>'DAL KPI'!T164</f>
        <v>61.874662755760006</v>
      </c>
      <c r="U67" s="254"/>
      <c r="V67" s="823">
        <f>'DAL KPI'!V164</f>
        <v>254.32511400000001</v>
      </c>
      <c r="W67" s="823">
        <f>'DAL KPI'!W164</f>
        <v>263.36542900000001</v>
      </c>
      <c r="X67" s="823">
        <f t="shared" si="26"/>
        <v>275.38000000000005</v>
      </c>
      <c r="Y67" s="823">
        <f t="shared" si="26"/>
        <v>134.33999999999997</v>
      </c>
      <c r="Z67" s="823">
        <f t="shared" si="26"/>
        <v>194.47400000000002</v>
      </c>
      <c r="AA67" s="823">
        <f t="shared" si="26"/>
        <v>237.55034124575999</v>
      </c>
      <c r="AB67" s="823">
        <f>'DAL KPI'!AB164</f>
        <v>278.6131127566</v>
      </c>
      <c r="AC67" s="823">
        <f>'DAL KPI'!AC164</f>
        <v>296.87652783488005</v>
      </c>
      <c r="AD67" s="824">
        <f>'DAL KPI'!AD164</f>
        <v>301.75664852544003</v>
      </c>
    </row>
    <row r="68" spans="2:30">
      <c r="B68" s="822"/>
      <c r="C68" s="716" t="s">
        <v>1307</v>
      </c>
      <c r="D68" s="716"/>
      <c r="E68" s="823">
        <f>'UAL KPI'!E111</f>
        <v>65.644999999999996</v>
      </c>
      <c r="F68" s="823">
        <f>'UAL KPI'!F111</f>
        <v>73.240000000000009</v>
      </c>
      <c r="G68" s="823">
        <f>'UAL KPI'!G111</f>
        <v>75.076000000000008</v>
      </c>
      <c r="H68" s="823">
        <f>'UAL KPI'!H111</f>
        <v>71.038000000000011</v>
      </c>
      <c r="I68" s="823">
        <f>'UAL KPI'!I111</f>
        <v>60.938000000000002</v>
      </c>
      <c r="J68" s="823">
        <f>'UAL KPI'!J111</f>
        <v>8.963000000000001</v>
      </c>
      <c r="K68" s="823">
        <f>'UAL KPI'!K111</f>
        <v>22.212</v>
      </c>
      <c r="L68" s="823">
        <f>'UAL KPI'!L111</f>
        <v>30.690999999999999</v>
      </c>
      <c r="M68" s="823">
        <f>'UAL KPI'!M111</f>
        <v>30.369999999999997</v>
      </c>
      <c r="N68" s="823">
        <f>'UAL KPI'!N111</f>
        <v>39.613</v>
      </c>
      <c r="O68" s="823">
        <f>'UAL KPI'!O111</f>
        <v>53.88600000000001</v>
      </c>
      <c r="P68" s="823">
        <f>'UAL KPI'!P111</f>
        <v>54.814999999999998</v>
      </c>
      <c r="Q68" s="823">
        <f>'UAL KPI'!Q111</f>
        <v>53.263999999999996</v>
      </c>
      <c r="R68" s="823">
        <f>'UAL KPI'!R111</f>
        <v>63.756900000000009</v>
      </c>
      <c r="S68" s="823">
        <f>'UAL KPI'!S111</f>
        <v>69.193100000000001</v>
      </c>
      <c r="T68" s="823">
        <f>'UAL KPI'!T111</f>
        <v>66.295929999999998</v>
      </c>
      <c r="U68" s="254"/>
      <c r="V68" s="823">
        <f>'UAL KPI'!V111</f>
        <v>275.26169699999997</v>
      </c>
      <c r="W68" s="823">
        <f>'UAL KPI'!W111</f>
        <v>262.38592699999998</v>
      </c>
      <c r="X68" s="823">
        <f t="shared" si="26"/>
        <v>284.99900000000002</v>
      </c>
      <c r="Y68" s="823">
        <f t="shared" si="26"/>
        <v>122.80400000000002</v>
      </c>
      <c r="Z68" s="823">
        <f t="shared" si="26"/>
        <v>178.68400000000003</v>
      </c>
      <c r="AA68" s="823">
        <f t="shared" si="26"/>
        <v>252.50993</v>
      </c>
      <c r="AB68" s="823">
        <f>'UAL KPI'!AB111</f>
        <v>294.01802500000002</v>
      </c>
      <c r="AC68" s="823">
        <f>'UAL KPI'!AC111</f>
        <v>303.32460000000003</v>
      </c>
      <c r="AD68" s="824">
        <f>'UAL KPI'!AD111</f>
        <v>303.55979000000008</v>
      </c>
    </row>
    <row r="69" spans="2:30">
      <c r="B69" s="425"/>
      <c r="AD69" s="426"/>
    </row>
    <row r="70" spans="2:30" s="278" customFormat="1">
      <c r="B70" s="825"/>
      <c r="C70" s="773" t="s">
        <v>1338</v>
      </c>
      <c r="D70" s="751"/>
      <c r="E70" s="751"/>
      <c r="F70" s="751"/>
      <c r="G70" s="751"/>
      <c r="H70" s="751"/>
      <c r="I70" s="751"/>
      <c r="J70" s="751"/>
      <c r="K70" s="751"/>
      <c r="L70" s="751"/>
      <c r="M70" s="751"/>
      <c r="N70" s="751"/>
      <c r="O70" s="751"/>
      <c r="P70" s="751"/>
      <c r="Q70" s="751"/>
      <c r="R70" s="751"/>
      <c r="S70" s="751"/>
      <c r="T70" s="751"/>
      <c r="U70" s="253"/>
      <c r="V70" s="751"/>
      <c r="W70" s="751"/>
      <c r="X70" s="751"/>
      <c r="Y70" s="751"/>
      <c r="Z70" s="751"/>
      <c r="AA70" s="751"/>
      <c r="AB70" s="751"/>
      <c r="AC70" s="751"/>
      <c r="AD70" s="826"/>
    </row>
    <row r="71" spans="2:30" s="278" customFormat="1">
      <c r="B71" s="825"/>
      <c r="C71" s="751" t="s">
        <v>1305</v>
      </c>
      <c r="D71" s="751"/>
      <c r="E71" s="756"/>
      <c r="F71" s="756"/>
      <c r="G71" s="756"/>
      <c r="H71" s="756"/>
      <c r="I71" s="756">
        <f t="shared" ref="I71:L73" si="27">I66/E66-1</f>
        <v>-6.8617452080271146E-2</v>
      </c>
      <c r="J71" s="756">
        <f t="shared" si="27"/>
        <v>-0.76382013771743029</v>
      </c>
      <c r="K71" s="756">
        <f t="shared" si="27"/>
        <v>-0.59419678185175417</v>
      </c>
      <c r="L71" s="756">
        <f t="shared" si="27"/>
        <v>-0.52727971311475419</v>
      </c>
      <c r="M71" s="756">
        <f t="shared" ref="M71:P73" si="28">M66/E66-1</f>
        <v>-0.43360230374658781</v>
      </c>
      <c r="N71" s="756">
        <f t="shared" si="28"/>
        <v>-0.24566521943530306</v>
      </c>
      <c r="O71" s="756">
        <f t="shared" si="28"/>
        <v>-0.1939989448694277</v>
      </c>
      <c r="P71" s="756">
        <f t="shared" si="28"/>
        <v>-0.1304502504553734</v>
      </c>
      <c r="Q71" s="756">
        <f t="shared" ref="Q71:T73" si="29">Q66/E66-1</f>
        <v>-0.10710321864594885</v>
      </c>
      <c r="R71" s="756">
        <f t="shared" si="29"/>
        <v>-6.9995298802577266E-2</v>
      </c>
      <c r="S71" s="756">
        <f t="shared" si="29"/>
        <v>-4.8355315220258599E-2</v>
      </c>
      <c r="T71" s="756">
        <f t="shared" si="29"/>
        <v>-4.2585951730418903E-2</v>
      </c>
      <c r="U71" s="253"/>
      <c r="V71" s="756"/>
      <c r="W71" s="756"/>
      <c r="X71" s="756"/>
      <c r="Y71" s="756">
        <f t="shared" ref="Y71:AD71" si="30">Y66/$X66-1</f>
        <v>-0.49781470984397802</v>
      </c>
      <c r="Z71" s="756">
        <f t="shared" si="30"/>
        <v>-0.24747797171399699</v>
      </c>
      <c r="AA71" s="756">
        <f t="shared" si="30"/>
        <v>-6.616237793242763E-2</v>
      </c>
      <c r="AB71" s="756">
        <f t="shared" si="30"/>
        <v>6.8159480581435616E-3</v>
      </c>
      <c r="AC71" s="756">
        <f t="shared" si="30"/>
        <v>6.4311458216410378E-2</v>
      </c>
      <c r="AD71" s="827">
        <f t="shared" si="30"/>
        <v>9.2736488382534787E-2</v>
      </c>
    </row>
    <row r="72" spans="2:30" s="278" customFormat="1">
      <c r="B72" s="825"/>
      <c r="C72" s="751" t="s">
        <v>1306</v>
      </c>
      <c r="D72" s="751"/>
      <c r="E72" s="756"/>
      <c r="F72" s="756"/>
      <c r="G72" s="756"/>
      <c r="H72" s="756"/>
      <c r="I72" s="756">
        <f t="shared" si="27"/>
        <v>-5.6572032812099438E-2</v>
      </c>
      <c r="J72" s="756">
        <f t="shared" si="27"/>
        <v>-0.85232879003261142</v>
      </c>
      <c r="K72" s="756">
        <f t="shared" si="27"/>
        <v>-0.62649520741464448</v>
      </c>
      <c r="L72" s="756">
        <f t="shared" si="27"/>
        <v>-0.44142176330420968</v>
      </c>
      <c r="M72" s="756">
        <f t="shared" si="28"/>
        <v>-0.35724814150217887</v>
      </c>
      <c r="N72" s="756">
        <f t="shared" si="28"/>
        <v>-0.32367533517295199</v>
      </c>
      <c r="O72" s="756">
        <f t="shared" si="28"/>
        <v>-0.28595759288109646</v>
      </c>
      <c r="P72" s="756">
        <f t="shared" si="28"/>
        <v>-0.20962913178957665</v>
      </c>
      <c r="Q72" s="756">
        <f t="shared" si="29"/>
        <v>-0.16992437836452179</v>
      </c>
      <c r="R72" s="756">
        <f t="shared" si="29"/>
        <v>-0.17909802937815322</v>
      </c>
      <c r="S72" s="756">
        <f t="shared" si="29"/>
        <v>-0.14231630416413621</v>
      </c>
      <c r="T72" s="756">
        <f t="shared" si="29"/>
        <v>-5.4886925585629576E-2</v>
      </c>
      <c r="U72" s="253"/>
      <c r="V72" s="756"/>
      <c r="W72" s="756"/>
      <c r="X72" s="756"/>
      <c r="Y72" s="756">
        <f t="shared" ref="Y72:AD73" si="31">Y67/$X67-1</f>
        <v>-0.51216500835209544</v>
      </c>
      <c r="Z72" s="756">
        <f t="shared" si="31"/>
        <v>-0.29379766141331987</v>
      </c>
      <c r="AA72" s="756">
        <f t="shared" si="31"/>
        <v>-0.13737257155290894</v>
      </c>
      <c r="AB72" s="756">
        <f t="shared" si="31"/>
        <v>1.1740550354419232E-2</v>
      </c>
      <c r="AC72" s="756">
        <f t="shared" si="31"/>
        <v>7.8061325567869932E-2</v>
      </c>
      <c r="AD72" s="827">
        <f t="shared" si="31"/>
        <v>9.5782731227540108E-2</v>
      </c>
    </row>
    <row r="73" spans="2:30" s="278" customFormat="1">
      <c r="B73" s="825"/>
      <c r="C73" s="751" t="s">
        <v>1307</v>
      </c>
      <c r="D73" s="751"/>
      <c r="E73" s="756"/>
      <c r="F73" s="756"/>
      <c r="G73" s="756"/>
      <c r="H73" s="756"/>
      <c r="I73" s="756">
        <f t="shared" si="27"/>
        <v>-7.1703861680249781E-2</v>
      </c>
      <c r="J73" s="756">
        <f t="shared" si="27"/>
        <v>-0.87762151829601309</v>
      </c>
      <c r="K73" s="756">
        <f t="shared" si="27"/>
        <v>-0.70413980499760243</v>
      </c>
      <c r="L73" s="756">
        <f t="shared" si="27"/>
        <v>-0.56796362510205811</v>
      </c>
      <c r="M73" s="756">
        <f t="shared" si="28"/>
        <v>-0.53736004265366755</v>
      </c>
      <c r="N73" s="756">
        <f t="shared" si="28"/>
        <v>-0.45913435281267079</v>
      </c>
      <c r="O73" s="756">
        <f t="shared" si="28"/>
        <v>-0.28224732271298414</v>
      </c>
      <c r="P73" s="756">
        <f t="shared" si="28"/>
        <v>-0.22837073115797191</v>
      </c>
      <c r="Q73" s="756">
        <f t="shared" si="29"/>
        <v>-0.18860537740878969</v>
      </c>
      <c r="R73" s="756">
        <f t="shared" si="29"/>
        <v>-0.1294797924631349</v>
      </c>
      <c r="S73" s="756">
        <f t="shared" si="29"/>
        <v>-7.8359262613884706E-2</v>
      </c>
      <c r="T73" s="756">
        <f t="shared" si="29"/>
        <v>-6.675399082181388E-2</v>
      </c>
      <c r="U73" s="253"/>
      <c r="V73" s="756"/>
      <c r="W73" s="756"/>
      <c r="X73" s="756"/>
      <c r="Y73" s="756">
        <f t="shared" si="31"/>
        <v>-0.56910726002547374</v>
      </c>
      <c r="Z73" s="756">
        <f t="shared" si="31"/>
        <v>-0.37303639661893551</v>
      </c>
      <c r="AA73" s="756">
        <f t="shared" si="31"/>
        <v>-0.11399713683205914</v>
      </c>
      <c r="AB73" s="756">
        <f t="shared" si="31"/>
        <v>3.1645812792325589E-2</v>
      </c>
      <c r="AC73" s="756">
        <f t="shared" si="31"/>
        <v>6.4300576493250938E-2</v>
      </c>
      <c r="AD73" s="827">
        <f t="shared" si="31"/>
        <v>6.5125807458973783E-2</v>
      </c>
    </row>
    <row r="74" spans="2:30" s="278" customFormat="1" ht="3" customHeight="1">
      <c r="B74" s="573"/>
      <c r="E74" s="815"/>
      <c r="F74" s="815"/>
      <c r="G74" s="815"/>
      <c r="H74" s="815"/>
      <c r="I74" s="815"/>
      <c r="J74" s="815"/>
      <c r="K74" s="815"/>
      <c r="L74" s="815"/>
      <c r="M74" s="815"/>
      <c r="N74" s="815"/>
      <c r="O74" s="815"/>
      <c r="P74" s="815"/>
      <c r="Q74" s="815"/>
      <c r="R74" s="815"/>
      <c r="S74" s="815"/>
      <c r="T74" s="815"/>
      <c r="U74" s="253"/>
      <c r="V74" s="815"/>
      <c r="W74" s="815"/>
      <c r="X74" s="815"/>
      <c r="Y74" s="815"/>
      <c r="Z74" s="815"/>
      <c r="AA74" s="815"/>
      <c r="AB74" s="815"/>
      <c r="AC74" s="815"/>
      <c r="AD74" s="828"/>
    </row>
    <row r="75" spans="2:30" s="278" customFormat="1">
      <c r="B75" s="825"/>
      <c r="C75" s="773" t="s">
        <v>1337</v>
      </c>
      <c r="D75" s="751"/>
      <c r="E75" s="751"/>
      <c r="F75" s="751"/>
      <c r="G75" s="751"/>
      <c r="H75" s="751"/>
      <c r="I75" s="751"/>
      <c r="J75" s="751"/>
      <c r="K75" s="751"/>
      <c r="L75" s="751"/>
      <c r="M75" s="751"/>
      <c r="N75" s="751"/>
      <c r="O75" s="751"/>
      <c r="P75" s="751"/>
      <c r="Q75" s="751"/>
      <c r="R75" s="751"/>
      <c r="S75" s="751"/>
      <c r="T75" s="751"/>
      <c r="V75" s="751"/>
      <c r="W75" s="751"/>
      <c r="X75" s="751"/>
      <c r="Y75" s="751"/>
      <c r="Z75" s="751"/>
      <c r="AA75" s="751"/>
      <c r="AB75" s="751"/>
      <c r="AC75" s="751"/>
      <c r="AD75" s="826"/>
    </row>
    <row r="76" spans="2:30" s="278" customFormat="1">
      <c r="B76" s="825"/>
      <c r="C76" s="751" t="s">
        <v>1305</v>
      </c>
      <c r="D76" s="751"/>
      <c r="E76" s="756"/>
      <c r="F76" s="756"/>
      <c r="G76" s="756"/>
      <c r="H76" s="756"/>
      <c r="I76" s="756">
        <f t="shared" ref="I76:L78" si="32">I66/E66</f>
        <v>0.93138254791972885</v>
      </c>
      <c r="J76" s="756">
        <f t="shared" si="32"/>
        <v>0.23617986228256965</v>
      </c>
      <c r="K76" s="756">
        <f t="shared" si="32"/>
        <v>0.40580321814824583</v>
      </c>
      <c r="L76" s="756">
        <f t="shared" si="32"/>
        <v>0.47272028688524587</v>
      </c>
      <c r="M76" s="756">
        <f t="shared" ref="M76:P78" si="33">M66/E66</f>
        <v>0.56639769625341219</v>
      </c>
      <c r="N76" s="756">
        <f t="shared" si="33"/>
        <v>0.75433478056469694</v>
      </c>
      <c r="O76" s="756">
        <f t="shared" si="33"/>
        <v>0.8060010551305723</v>
      </c>
      <c r="P76" s="756">
        <f t="shared" si="33"/>
        <v>0.8695497495446266</v>
      </c>
      <c r="Q76" s="756">
        <f t="shared" ref="Q76:T78" si="34">Q66/E66</f>
        <v>0.89289678135405115</v>
      </c>
      <c r="R76" s="756">
        <f t="shared" si="34"/>
        <v>0.93000470119742273</v>
      </c>
      <c r="S76" s="756">
        <f t="shared" si="34"/>
        <v>0.9516446847797414</v>
      </c>
      <c r="T76" s="756">
        <f t="shared" si="34"/>
        <v>0.9574140482695811</v>
      </c>
      <c r="V76" s="756"/>
      <c r="W76" s="756"/>
      <c r="X76" s="756"/>
      <c r="Y76" s="756">
        <f t="shared" ref="Y76:AD76" si="35">Y66/$X66</f>
        <v>0.50218529015602198</v>
      </c>
      <c r="Z76" s="756">
        <f t="shared" si="35"/>
        <v>0.75252202828600301</v>
      </c>
      <c r="AA76" s="756">
        <f t="shared" si="35"/>
        <v>0.93383762206757237</v>
      </c>
      <c r="AB76" s="756">
        <f t="shared" si="35"/>
        <v>1.0068159480581436</v>
      </c>
      <c r="AC76" s="756">
        <f t="shared" si="35"/>
        <v>1.0643114582164104</v>
      </c>
      <c r="AD76" s="827">
        <f t="shared" si="35"/>
        <v>1.0927364883825348</v>
      </c>
    </row>
    <row r="77" spans="2:30" s="278" customFormat="1">
      <c r="B77" s="825"/>
      <c r="C77" s="751" t="s">
        <v>1306</v>
      </c>
      <c r="D77" s="751"/>
      <c r="E77" s="756"/>
      <c r="F77" s="756"/>
      <c r="G77" s="756"/>
      <c r="H77" s="756"/>
      <c r="I77" s="756">
        <f t="shared" si="32"/>
        <v>0.94342796718790056</v>
      </c>
      <c r="J77" s="756">
        <f t="shared" si="32"/>
        <v>0.14767120996738856</v>
      </c>
      <c r="K77" s="756">
        <f t="shared" si="32"/>
        <v>0.37350479258535552</v>
      </c>
      <c r="L77" s="756">
        <f t="shared" si="32"/>
        <v>0.55857823669579032</v>
      </c>
      <c r="M77" s="756">
        <f t="shared" si="33"/>
        <v>0.64275185849782113</v>
      </c>
      <c r="N77" s="756">
        <f t="shared" si="33"/>
        <v>0.67632466482704801</v>
      </c>
      <c r="O77" s="756">
        <f t="shared" si="33"/>
        <v>0.71404240711890354</v>
      </c>
      <c r="P77" s="756">
        <f t="shared" si="33"/>
        <v>0.79037086821042335</v>
      </c>
      <c r="Q77" s="756">
        <f t="shared" si="34"/>
        <v>0.83007562163547821</v>
      </c>
      <c r="R77" s="756">
        <f t="shared" si="34"/>
        <v>0.82090197062184678</v>
      </c>
      <c r="S77" s="756">
        <f t="shared" si="34"/>
        <v>0.85768369583586379</v>
      </c>
      <c r="T77" s="756">
        <f t="shared" si="34"/>
        <v>0.94511307441437042</v>
      </c>
      <c r="V77" s="756"/>
      <c r="W77" s="756"/>
      <c r="X77" s="756"/>
      <c r="Y77" s="756">
        <f t="shared" ref="Y77:AD78" si="36">Y67/$X67</f>
        <v>0.4878349916479045</v>
      </c>
      <c r="Z77" s="756">
        <f t="shared" si="36"/>
        <v>0.70620233858668013</v>
      </c>
      <c r="AA77" s="756">
        <f t="shared" si="36"/>
        <v>0.86262742844709106</v>
      </c>
      <c r="AB77" s="756">
        <f t="shared" si="36"/>
        <v>1.0117405503544192</v>
      </c>
      <c r="AC77" s="756">
        <f t="shared" si="36"/>
        <v>1.0780613255678699</v>
      </c>
      <c r="AD77" s="827">
        <f t="shared" si="36"/>
        <v>1.0957827312275401</v>
      </c>
    </row>
    <row r="78" spans="2:30" s="278" customFormat="1" ht="10.9" thickBot="1">
      <c r="B78" s="829"/>
      <c r="C78" s="830" t="s">
        <v>1307</v>
      </c>
      <c r="D78" s="830"/>
      <c r="E78" s="831"/>
      <c r="F78" s="831"/>
      <c r="G78" s="831"/>
      <c r="H78" s="831"/>
      <c r="I78" s="831">
        <f t="shared" si="32"/>
        <v>0.92829613831975022</v>
      </c>
      <c r="J78" s="831">
        <f t="shared" si="32"/>
        <v>0.12237848170398689</v>
      </c>
      <c r="K78" s="831">
        <f t="shared" si="32"/>
        <v>0.29586019500239752</v>
      </c>
      <c r="L78" s="831">
        <f t="shared" si="32"/>
        <v>0.43203637489794189</v>
      </c>
      <c r="M78" s="831">
        <f t="shared" si="33"/>
        <v>0.46263995734633251</v>
      </c>
      <c r="N78" s="831">
        <f t="shared" si="33"/>
        <v>0.54086564718732921</v>
      </c>
      <c r="O78" s="831">
        <f t="shared" si="33"/>
        <v>0.71775267728701586</v>
      </c>
      <c r="P78" s="831">
        <f t="shared" si="33"/>
        <v>0.77162926884202809</v>
      </c>
      <c r="Q78" s="831">
        <f t="shared" si="34"/>
        <v>0.81139462259121031</v>
      </c>
      <c r="R78" s="831">
        <f t="shared" si="34"/>
        <v>0.8705202075368651</v>
      </c>
      <c r="S78" s="831">
        <f t="shared" si="34"/>
        <v>0.92164073738611529</v>
      </c>
      <c r="T78" s="831">
        <f t="shared" si="34"/>
        <v>0.93324600917818612</v>
      </c>
      <c r="U78" s="774"/>
      <c r="V78" s="831"/>
      <c r="W78" s="831"/>
      <c r="X78" s="831"/>
      <c r="Y78" s="831">
        <f t="shared" si="36"/>
        <v>0.43089273997452626</v>
      </c>
      <c r="Z78" s="831">
        <f t="shared" si="36"/>
        <v>0.62696360338106449</v>
      </c>
      <c r="AA78" s="831">
        <f t="shared" si="36"/>
        <v>0.88600286316794086</v>
      </c>
      <c r="AB78" s="831">
        <f t="shared" si="36"/>
        <v>1.0316458127923256</v>
      </c>
      <c r="AC78" s="831">
        <f t="shared" si="36"/>
        <v>1.0643005764932509</v>
      </c>
      <c r="AD78" s="832">
        <f t="shared" si="36"/>
        <v>1.0651258074589738</v>
      </c>
    </row>
    <row r="79" spans="2:30" ht="10.9" thickBot="1">
      <c r="U79" s="255"/>
    </row>
    <row r="80" spans="2:30">
      <c r="B80" s="816"/>
      <c r="C80" s="817" t="s">
        <v>577</v>
      </c>
      <c r="D80" s="818"/>
      <c r="E80" s="820"/>
      <c r="F80" s="820"/>
      <c r="G80" s="820"/>
      <c r="H80" s="820"/>
      <c r="I80" s="820"/>
      <c r="J80" s="820"/>
      <c r="K80" s="820"/>
      <c r="L80" s="820"/>
      <c r="M80" s="820"/>
      <c r="N80" s="820"/>
      <c r="O80" s="820"/>
      <c r="P80" s="820"/>
      <c r="Q80" s="820"/>
      <c r="R80" s="820"/>
      <c r="S80" s="820"/>
      <c r="T80" s="820"/>
      <c r="U80" s="561"/>
      <c r="V80" s="820"/>
      <c r="W80" s="820"/>
      <c r="X80" s="820"/>
      <c r="Y80" s="820"/>
      <c r="Z80" s="820"/>
      <c r="AA80" s="820"/>
      <c r="AB80" s="820"/>
      <c r="AC80" s="820"/>
      <c r="AD80" s="821"/>
    </row>
    <row r="81" spans="2:30">
      <c r="B81" s="822"/>
      <c r="C81" s="716" t="s">
        <v>1305</v>
      </c>
      <c r="D81" s="716"/>
      <c r="E81" s="823">
        <f>'AAL KPI'!E186</f>
        <v>624</v>
      </c>
      <c r="F81" s="823">
        <f>'AAL KPI'!F186</f>
        <v>644</v>
      </c>
      <c r="G81" s="823">
        <f>'AAL KPI'!G186</f>
        <v>621</v>
      </c>
      <c r="H81" s="823">
        <f>'AAL KPI'!H186</f>
        <v>599</v>
      </c>
      <c r="I81" s="823">
        <f>'AAL KPI'!I186</f>
        <v>436</v>
      </c>
      <c r="J81" s="823">
        <f>'AAL KPI'!J186</f>
        <v>176</v>
      </c>
      <c r="K81" s="823">
        <f>'AAL KPI'!K186</f>
        <v>337</v>
      </c>
      <c r="L81" s="823">
        <f>'AAL KPI'!L186</f>
        <v>434</v>
      </c>
      <c r="M81" s="823">
        <f>'AAL KPI'!M186</f>
        <v>532</v>
      </c>
      <c r="N81" s="823">
        <f>'AAL KPI'!N186</f>
        <v>555</v>
      </c>
      <c r="O81" s="823">
        <f>'AAL KPI'!O186</f>
        <v>510</v>
      </c>
      <c r="P81" s="823">
        <f>'AAL KPI'!P186</f>
        <v>485</v>
      </c>
      <c r="Q81" s="823">
        <f>'AAL KPI'!Q186</f>
        <v>536</v>
      </c>
      <c r="R81" s="823">
        <f>'AAL KPI'!R186</f>
        <v>566.1</v>
      </c>
      <c r="S81" s="823">
        <f>'AAL KPI'!S186</f>
        <v>561</v>
      </c>
      <c r="T81" s="823">
        <f>'AAL KPI'!T186</f>
        <v>521.375</v>
      </c>
      <c r="U81" s="254"/>
      <c r="V81" s="823">
        <f>'AAL KPI'!V186</f>
        <v>2788</v>
      </c>
      <c r="W81" s="823">
        <f>'AAL KPI'!W186</f>
        <v>2908</v>
      </c>
      <c r="X81" s="823">
        <f>'AAL KPI'!X186</f>
        <v>2488</v>
      </c>
      <c r="Y81" s="823">
        <f>'AAL KPI'!Y186</f>
        <v>1383</v>
      </c>
      <c r="Z81" s="823">
        <f>'AAL KPI'!Z186</f>
        <v>2082</v>
      </c>
      <c r="AA81" s="823">
        <f>'AAL KPI'!AA186</f>
        <v>2184.4749999999999</v>
      </c>
      <c r="AB81" s="823">
        <f>'AAL KPI'!AB186</f>
        <v>2271.8539999999998</v>
      </c>
      <c r="AC81" s="823">
        <f>'AAL KPI'!AC186</f>
        <v>2340.0096199999998</v>
      </c>
      <c r="AD81" s="824">
        <f>'AAL KPI'!AD186</f>
        <v>2386.8098123999998</v>
      </c>
    </row>
    <row r="82" spans="2:30">
      <c r="B82" s="822"/>
      <c r="C82" s="716" t="s">
        <v>1307</v>
      </c>
      <c r="D82" s="716"/>
      <c r="E82" s="823">
        <f>'UAL KPI'!E173</f>
        <v>805</v>
      </c>
      <c r="F82" s="823">
        <f>'UAL KPI'!F173</f>
        <v>831</v>
      </c>
      <c r="G82" s="823">
        <f>'UAL KPI'!G173</f>
        <v>804</v>
      </c>
      <c r="H82" s="823">
        <f>'UAL KPI'!H173</f>
        <v>889</v>
      </c>
      <c r="I82" s="823">
        <f>'UAL KPI'!I173</f>
        <v>695</v>
      </c>
      <c r="J82" s="823">
        <f>'UAL KPI'!J173</f>
        <v>496</v>
      </c>
      <c r="K82" s="823">
        <f>'UAL KPI'!K173</f>
        <v>685</v>
      </c>
      <c r="L82" s="823">
        <f>'UAL KPI'!L173</f>
        <v>835</v>
      </c>
      <c r="M82" s="823">
        <f>'UAL KPI'!M173</f>
        <v>765</v>
      </c>
      <c r="N82" s="823">
        <f>'UAL KPI'!N173</f>
        <v>892</v>
      </c>
      <c r="O82" s="823">
        <f>'UAL KPI'!O173</f>
        <v>758</v>
      </c>
      <c r="P82" s="823">
        <f>'UAL KPI'!P173</f>
        <v>870</v>
      </c>
      <c r="Q82" s="823">
        <f>'UAL KPI'!Q173</f>
        <v>791</v>
      </c>
      <c r="R82" s="823">
        <f>'UAL KPI'!R173</f>
        <v>847.4</v>
      </c>
      <c r="S82" s="823">
        <f>'UAL KPI'!S173</f>
        <v>852.75</v>
      </c>
      <c r="T82" s="823">
        <f>'UAL KPI'!T173</f>
        <v>861.3</v>
      </c>
      <c r="U82" s="254"/>
      <c r="V82" s="823">
        <f>'UAL KPI'!V173</f>
        <v>3316</v>
      </c>
      <c r="W82" s="823">
        <f>'UAL KPI'!W173</f>
        <v>3425</v>
      </c>
      <c r="X82" s="823">
        <f>+SUMIF($E$5:$T$5,X$5,$E82:$T82)</f>
        <v>3329</v>
      </c>
      <c r="Y82" s="823">
        <f>+SUMIF($E$5:$T$5,Y$5,$E82:$T82)</f>
        <v>2711</v>
      </c>
      <c r="Z82" s="823">
        <f>+SUMIF($E$5:$T$5,Z$5,$E82:$T82)</f>
        <v>3285</v>
      </c>
      <c r="AA82" s="823">
        <f>+SUMIF($E$5:$T$5,AA$5,$E82:$T82)</f>
        <v>3352.45</v>
      </c>
      <c r="AB82" s="823">
        <f>'UAL KPI'!AB173</f>
        <v>3184.8274999999999</v>
      </c>
      <c r="AC82" s="823">
        <f>'UAL KPI'!AC173</f>
        <v>3025.5861249999998</v>
      </c>
      <c r="AD82" s="824">
        <f>'UAL KPI'!AD173</f>
        <v>2874.3068187499998</v>
      </c>
    </row>
    <row r="83" spans="2:30">
      <c r="B83" s="425"/>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505"/>
    </row>
    <row r="84" spans="2:30" s="278" customFormat="1">
      <c r="B84" s="825"/>
      <c r="C84" s="773" t="s">
        <v>1338</v>
      </c>
      <c r="D84" s="751"/>
      <c r="E84" s="751"/>
      <c r="F84" s="751"/>
      <c r="G84" s="751"/>
      <c r="H84" s="751"/>
      <c r="I84" s="751"/>
      <c r="J84" s="751"/>
      <c r="K84" s="751"/>
      <c r="L84" s="751"/>
      <c r="M84" s="751"/>
      <c r="N84" s="751"/>
      <c r="O84" s="751"/>
      <c r="P84" s="751"/>
      <c r="Q84" s="751"/>
      <c r="R84" s="751"/>
      <c r="S84" s="751"/>
      <c r="T84" s="751"/>
      <c r="U84" s="253"/>
      <c r="V84" s="751"/>
      <c r="W84" s="751"/>
      <c r="X84" s="751"/>
      <c r="Y84" s="751"/>
      <c r="Z84" s="751"/>
      <c r="AA84" s="751"/>
      <c r="AB84" s="751"/>
      <c r="AC84" s="751"/>
      <c r="AD84" s="826"/>
    </row>
    <row r="85" spans="2:30" s="278" customFormat="1">
      <c r="B85" s="825"/>
      <c r="C85" s="751" t="s">
        <v>1305</v>
      </c>
      <c r="D85" s="751"/>
      <c r="E85" s="756"/>
      <c r="F85" s="756"/>
      <c r="G85" s="756"/>
      <c r="H85" s="756"/>
      <c r="I85" s="756">
        <f t="shared" ref="I85:L86" si="37">I81/E81-1</f>
        <v>-0.30128205128205132</v>
      </c>
      <c r="J85" s="756">
        <f t="shared" si="37"/>
        <v>-0.72670807453416142</v>
      </c>
      <c r="K85" s="756">
        <f t="shared" si="37"/>
        <v>-0.45732689210950084</v>
      </c>
      <c r="L85" s="756">
        <f t="shared" si="37"/>
        <v>-0.27545909849749584</v>
      </c>
      <c r="M85" s="756">
        <f t="shared" ref="M85:P86" si="38">M81/E81-1</f>
        <v>-0.14743589743589747</v>
      </c>
      <c r="N85" s="756">
        <f t="shared" si="38"/>
        <v>-0.13819875776397517</v>
      </c>
      <c r="O85" s="756">
        <f t="shared" si="38"/>
        <v>-0.17874396135265702</v>
      </c>
      <c r="P85" s="756">
        <f t="shared" si="38"/>
        <v>-0.19031719532554259</v>
      </c>
      <c r="Q85" s="756">
        <f t="shared" ref="Q85:T86" si="39">Q81/E81-1</f>
        <v>-0.14102564102564108</v>
      </c>
      <c r="R85" s="756">
        <f t="shared" si="39"/>
        <v>-0.12096273291925463</v>
      </c>
      <c r="S85" s="756">
        <f t="shared" si="39"/>
        <v>-9.661835748792269E-2</v>
      </c>
      <c r="T85" s="756">
        <f t="shared" si="39"/>
        <v>-0.12959098497495825</v>
      </c>
      <c r="U85" s="253"/>
      <c r="V85" s="756"/>
      <c r="W85" s="756"/>
      <c r="X85" s="756"/>
      <c r="Y85" s="756">
        <f t="shared" ref="Y85:AD86" si="40">Y81/$X81-1</f>
        <v>-0.44413183279742763</v>
      </c>
      <c r="Z85" s="756">
        <f t="shared" si="40"/>
        <v>-0.16318327974276525</v>
      </c>
      <c r="AA85" s="756">
        <f t="shared" si="40"/>
        <v>-0.12199557877813505</v>
      </c>
      <c r="AB85" s="756">
        <f t="shared" si="40"/>
        <v>-8.6875401929260576E-2</v>
      </c>
      <c r="AC85" s="756">
        <f t="shared" si="40"/>
        <v>-5.9481663987138389E-2</v>
      </c>
      <c r="AD85" s="827">
        <f t="shared" si="40"/>
        <v>-4.0671297266881123E-2</v>
      </c>
    </row>
    <row r="86" spans="2:30" s="278" customFormat="1">
      <c r="B86" s="825"/>
      <c r="C86" s="751" t="s">
        <v>1306</v>
      </c>
      <c r="D86" s="751"/>
      <c r="E86" s="756"/>
      <c r="F86" s="756"/>
      <c r="G86" s="756"/>
      <c r="H86" s="756"/>
      <c r="I86" s="756">
        <f t="shared" si="37"/>
        <v>-0.13664596273291929</v>
      </c>
      <c r="J86" s="756">
        <f t="shared" si="37"/>
        <v>-0.40312876052948254</v>
      </c>
      <c r="K86" s="756">
        <f t="shared" si="37"/>
        <v>-0.14800995024875618</v>
      </c>
      <c r="L86" s="756">
        <f t="shared" si="37"/>
        <v>-6.0742407199100068E-2</v>
      </c>
      <c r="M86" s="756">
        <f t="shared" si="38"/>
        <v>-4.9689440993788803E-2</v>
      </c>
      <c r="N86" s="756">
        <f t="shared" si="38"/>
        <v>7.3405535499398322E-2</v>
      </c>
      <c r="O86" s="756">
        <f t="shared" si="38"/>
        <v>-5.7213930348258724E-2</v>
      </c>
      <c r="P86" s="756">
        <f t="shared" si="38"/>
        <v>-2.1372328458942658E-2</v>
      </c>
      <c r="Q86" s="756">
        <f t="shared" si="39"/>
        <v>-1.7391304347826098E-2</v>
      </c>
      <c r="R86" s="756">
        <f t="shared" si="39"/>
        <v>1.9735258724428384E-2</v>
      </c>
      <c r="S86" s="756">
        <f t="shared" si="39"/>
        <v>6.0634328358208922E-2</v>
      </c>
      <c r="T86" s="756">
        <f t="shared" si="39"/>
        <v>-3.1158605174353204E-2</v>
      </c>
      <c r="U86" s="253"/>
      <c r="V86" s="756"/>
      <c r="W86" s="756"/>
      <c r="X86" s="756"/>
      <c r="Y86" s="756">
        <f t="shared" si="40"/>
        <v>-0.18564133373385405</v>
      </c>
      <c r="Z86" s="756">
        <f t="shared" si="40"/>
        <v>-1.3217182337038169E-2</v>
      </c>
      <c r="AA86" s="756">
        <f t="shared" si="40"/>
        <v>7.0441574046260502E-3</v>
      </c>
      <c r="AB86" s="756">
        <f t="shared" si="40"/>
        <v>-4.3308050465605374E-2</v>
      </c>
      <c r="AC86" s="756">
        <f t="shared" si="40"/>
        <v>-9.1142647942325072E-2</v>
      </c>
      <c r="AD86" s="827">
        <f t="shared" si="40"/>
        <v>-0.13658551554520881</v>
      </c>
    </row>
    <row r="87" spans="2:30" s="278" customFormat="1" ht="3" customHeight="1">
      <c r="B87" s="573"/>
      <c r="E87" s="815"/>
      <c r="F87" s="815"/>
      <c r="G87" s="815"/>
      <c r="H87" s="815"/>
      <c r="I87" s="815"/>
      <c r="J87" s="815"/>
      <c r="K87" s="815"/>
      <c r="L87" s="815"/>
      <c r="M87" s="815"/>
      <c r="N87" s="815"/>
      <c r="O87" s="815"/>
      <c r="P87" s="815"/>
      <c r="Q87" s="815"/>
      <c r="R87" s="815"/>
      <c r="S87" s="815"/>
      <c r="T87" s="815"/>
      <c r="U87" s="253"/>
      <c r="V87" s="815"/>
      <c r="W87" s="815"/>
      <c r="X87" s="815"/>
      <c r="Y87" s="815"/>
      <c r="Z87" s="815"/>
      <c r="AA87" s="815"/>
      <c r="AB87" s="815"/>
      <c r="AC87" s="815"/>
      <c r="AD87" s="828"/>
    </row>
    <row r="88" spans="2:30" s="278" customFormat="1">
      <c r="B88" s="825"/>
      <c r="C88" s="773" t="s">
        <v>1337</v>
      </c>
      <c r="D88" s="751"/>
      <c r="E88" s="751"/>
      <c r="F88" s="751"/>
      <c r="G88" s="751"/>
      <c r="H88" s="751"/>
      <c r="I88" s="751"/>
      <c r="J88" s="751"/>
      <c r="K88" s="751"/>
      <c r="L88" s="751"/>
      <c r="M88" s="751"/>
      <c r="N88" s="751"/>
      <c r="O88" s="751"/>
      <c r="P88" s="751"/>
      <c r="Q88" s="751"/>
      <c r="R88" s="751"/>
      <c r="S88" s="751"/>
      <c r="T88" s="751"/>
      <c r="V88" s="751"/>
      <c r="W88" s="751"/>
      <c r="X88" s="751"/>
      <c r="Y88" s="751"/>
      <c r="Z88" s="751"/>
      <c r="AA88" s="751"/>
      <c r="AB88" s="751"/>
      <c r="AC88" s="751"/>
      <c r="AD88" s="826"/>
    </row>
    <row r="89" spans="2:30" s="278" customFormat="1">
      <c r="B89" s="825"/>
      <c r="C89" s="751" t="s">
        <v>1306</v>
      </c>
      <c r="D89" s="751"/>
      <c r="E89" s="756"/>
      <c r="F89" s="756"/>
      <c r="G89" s="756"/>
      <c r="H89" s="756"/>
      <c r="I89" s="756">
        <f t="shared" ref="I89:L90" si="41">I81/E81</f>
        <v>0.69871794871794868</v>
      </c>
      <c r="J89" s="756">
        <f t="shared" si="41"/>
        <v>0.27329192546583853</v>
      </c>
      <c r="K89" s="756">
        <f t="shared" si="41"/>
        <v>0.54267310789049916</v>
      </c>
      <c r="L89" s="756">
        <f t="shared" si="41"/>
        <v>0.72454090150250416</v>
      </c>
      <c r="M89" s="756">
        <f t="shared" ref="M89:P90" si="42">M81/E81</f>
        <v>0.85256410256410253</v>
      </c>
      <c r="N89" s="756">
        <f t="shared" si="42"/>
        <v>0.86180124223602483</v>
      </c>
      <c r="O89" s="756">
        <f t="shared" si="42"/>
        <v>0.82125603864734298</v>
      </c>
      <c r="P89" s="756">
        <f t="shared" si="42"/>
        <v>0.80968280467445741</v>
      </c>
      <c r="Q89" s="756">
        <f t="shared" ref="Q89:T90" si="43">Q81/E81</f>
        <v>0.85897435897435892</v>
      </c>
      <c r="R89" s="756">
        <f t="shared" si="43"/>
        <v>0.87903726708074537</v>
      </c>
      <c r="S89" s="756">
        <f t="shared" si="43"/>
        <v>0.90338164251207731</v>
      </c>
      <c r="T89" s="756">
        <f t="shared" si="43"/>
        <v>0.87040901502504175</v>
      </c>
      <c r="V89" s="756"/>
      <c r="W89" s="756"/>
      <c r="X89" s="756"/>
      <c r="Y89" s="756">
        <f t="shared" ref="Y89:AD89" si="44">Y81/$X81</f>
        <v>0.55586816720257237</v>
      </c>
      <c r="Z89" s="756">
        <f t="shared" si="44"/>
        <v>0.83681672025723475</v>
      </c>
      <c r="AA89" s="756">
        <f t="shared" si="44"/>
        <v>0.87800442122186495</v>
      </c>
      <c r="AB89" s="756">
        <f t="shared" si="44"/>
        <v>0.91312459807073942</v>
      </c>
      <c r="AC89" s="756">
        <f t="shared" si="44"/>
        <v>0.94051833601286161</v>
      </c>
      <c r="AD89" s="827">
        <f t="shared" si="44"/>
        <v>0.95932870273311888</v>
      </c>
    </row>
    <row r="90" spans="2:30" s="278" customFormat="1" ht="10.9" thickBot="1">
      <c r="B90" s="829"/>
      <c r="C90" s="830" t="s">
        <v>1307</v>
      </c>
      <c r="D90" s="830"/>
      <c r="E90" s="831"/>
      <c r="F90" s="831"/>
      <c r="G90" s="831"/>
      <c r="H90" s="831"/>
      <c r="I90" s="831">
        <f t="shared" si="41"/>
        <v>0.86335403726708071</v>
      </c>
      <c r="J90" s="831">
        <f t="shared" si="41"/>
        <v>0.59687123947051746</v>
      </c>
      <c r="K90" s="831">
        <f t="shared" si="41"/>
        <v>0.85199004975124382</v>
      </c>
      <c r="L90" s="831">
        <f t="shared" si="41"/>
        <v>0.93925759280089993</v>
      </c>
      <c r="M90" s="831">
        <f t="shared" si="42"/>
        <v>0.9503105590062112</v>
      </c>
      <c r="N90" s="831">
        <f t="shared" si="42"/>
        <v>1.0734055354993983</v>
      </c>
      <c r="O90" s="831">
        <f t="shared" si="42"/>
        <v>0.94278606965174128</v>
      </c>
      <c r="P90" s="831">
        <f t="shared" si="42"/>
        <v>0.97862767154105734</v>
      </c>
      <c r="Q90" s="831">
        <f t="shared" si="43"/>
        <v>0.9826086956521739</v>
      </c>
      <c r="R90" s="831">
        <f t="shared" si="43"/>
        <v>1.0197352587244284</v>
      </c>
      <c r="S90" s="831">
        <f t="shared" si="43"/>
        <v>1.0606343283582089</v>
      </c>
      <c r="T90" s="831">
        <f t="shared" si="43"/>
        <v>0.9688413948256468</v>
      </c>
      <c r="U90" s="774"/>
      <c r="V90" s="831"/>
      <c r="W90" s="831"/>
      <c r="X90" s="831"/>
      <c r="Y90" s="831">
        <f t="shared" ref="Y90:AD90" si="45">Y82/$X82</f>
        <v>0.81435866626614595</v>
      </c>
      <c r="Z90" s="831">
        <f t="shared" si="45"/>
        <v>0.98678281766296183</v>
      </c>
      <c r="AA90" s="831">
        <f t="shared" si="45"/>
        <v>1.0070441574046261</v>
      </c>
      <c r="AB90" s="831">
        <f t="shared" si="45"/>
        <v>0.95669194953439463</v>
      </c>
      <c r="AC90" s="831">
        <f t="shared" si="45"/>
        <v>0.90885735205767493</v>
      </c>
      <c r="AD90" s="832">
        <f t="shared" si="45"/>
        <v>0.86341448445479119</v>
      </c>
    </row>
    <row r="91" spans="2:30" s="278" customFormat="1" ht="10.9" thickBot="1">
      <c r="E91" s="815"/>
      <c r="F91" s="815"/>
      <c r="G91" s="815"/>
      <c r="H91" s="815"/>
      <c r="I91" s="815"/>
      <c r="J91" s="815"/>
      <c r="K91" s="815"/>
      <c r="L91" s="815"/>
      <c r="M91" s="815"/>
      <c r="N91" s="815"/>
      <c r="O91" s="815"/>
      <c r="P91" s="815"/>
      <c r="Q91" s="815"/>
      <c r="R91" s="815"/>
      <c r="S91" s="815"/>
      <c r="T91" s="815"/>
      <c r="V91" s="815"/>
      <c r="W91" s="815"/>
      <c r="X91" s="815"/>
      <c r="Y91" s="815"/>
      <c r="Z91" s="815"/>
      <c r="AA91" s="815"/>
      <c r="AB91" s="815"/>
      <c r="AC91" s="815"/>
      <c r="AD91" s="815"/>
    </row>
    <row r="92" spans="2:30">
      <c r="B92" s="816"/>
      <c r="C92" s="817" t="s">
        <v>1339</v>
      </c>
      <c r="D92" s="818"/>
      <c r="E92" s="833"/>
      <c r="F92" s="833"/>
      <c r="G92" s="833"/>
      <c r="H92" s="833"/>
      <c r="I92" s="833"/>
      <c r="J92" s="833"/>
      <c r="K92" s="833"/>
      <c r="L92" s="833"/>
      <c r="M92" s="833"/>
      <c r="N92" s="833"/>
      <c r="O92" s="833"/>
      <c r="P92" s="833"/>
      <c r="Q92" s="833"/>
      <c r="R92" s="833"/>
      <c r="S92" s="833"/>
      <c r="T92" s="833"/>
      <c r="U92" s="562"/>
      <c r="V92" s="833"/>
      <c r="W92" s="833"/>
      <c r="X92" s="833"/>
      <c r="Y92" s="833"/>
      <c r="Z92" s="833"/>
      <c r="AA92" s="833"/>
      <c r="AB92" s="833"/>
      <c r="AC92" s="833"/>
      <c r="AD92" s="834"/>
    </row>
    <row r="93" spans="2:30">
      <c r="B93" s="822"/>
      <c r="C93" s="716" t="s">
        <v>1305</v>
      </c>
      <c r="D93" s="716"/>
      <c r="E93" s="835">
        <f t="shared" ref="E93:T93" si="46">E11/E$66/10</f>
        <v>14.485406605273422</v>
      </c>
      <c r="F93" s="835">
        <f t="shared" si="46"/>
        <v>15.224966123724457</v>
      </c>
      <c r="G93" s="835">
        <f t="shared" si="46"/>
        <v>14.501450804537061</v>
      </c>
      <c r="H93" s="835">
        <f t="shared" si="46"/>
        <v>14.724214480874318</v>
      </c>
      <c r="I93" s="835">
        <f t="shared" si="46"/>
        <v>12.36895924249988</v>
      </c>
      <c r="J93" s="835">
        <f t="shared" si="46"/>
        <v>6.4867396522451859</v>
      </c>
      <c r="K93" s="835">
        <f t="shared" si="46"/>
        <v>8.2553302132085271</v>
      </c>
      <c r="L93" s="835">
        <f t="shared" si="46"/>
        <v>9.6029380776061917</v>
      </c>
      <c r="M93" s="835">
        <f t="shared" si="46"/>
        <v>8.4180701196907091</v>
      </c>
      <c r="N93" s="835">
        <f t="shared" si="46"/>
        <v>11.997067179910182</v>
      </c>
      <c r="O93" s="835">
        <f t="shared" si="46"/>
        <v>13.020569128307505</v>
      </c>
      <c r="P93" s="835">
        <f t="shared" si="46"/>
        <v>13.717371737173718</v>
      </c>
      <c r="Q93" s="835">
        <f t="shared" si="46"/>
        <v>13.13221238640754</v>
      </c>
      <c r="R93" s="835">
        <f t="shared" si="46"/>
        <v>16.778262799744205</v>
      </c>
      <c r="S93" s="835">
        <f t="shared" si="46"/>
        <v>15.775923646079667</v>
      </c>
      <c r="T93" s="835">
        <f t="shared" si="46"/>
        <v>15.600873692085301</v>
      </c>
      <c r="U93" s="255"/>
      <c r="V93" s="835">
        <f t="shared" ref="V93:AD93" si="47">V11/V$66/10</f>
        <v>14.152618691974117</v>
      </c>
      <c r="W93" s="835">
        <f t="shared" si="47"/>
        <v>14.421351939699491</v>
      </c>
      <c r="X93" s="835">
        <f t="shared" si="47"/>
        <v>14.736151644404538</v>
      </c>
      <c r="Y93" s="835">
        <f t="shared" si="47"/>
        <v>10.141303512680997</v>
      </c>
      <c r="Z93" s="835">
        <f t="shared" si="47"/>
        <v>12.148600461463165</v>
      </c>
      <c r="AA93" s="835">
        <f t="shared" si="47"/>
        <v>15.393736235729346</v>
      </c>
      <c r="AB93" s="835">
        <f t="shared" si="47"/>
        <v>15.580736334578891</v>
      </c>
      <c r="AC93" s="835">
        <f t="shared" si="47"/>
        <v>15.723070117518109</v>
      </c>
      <c r="AD93" s="836">
        <f t="shared" si="47"/>
        <v>15.632820287050739</v>
      </c>
    </row>
    <row r="94" spans="2:30">
      <c r="B94" s="822"/>
      <c r="C94" s="716" t="s">
        <v>1306</v>
      </c>
      <c r="D94" s="716"/>
      <c r="E94" s="835">
        <f t="shared" ref="E94:T94" si="48">E12/E$67/10</f>
        <v>14.826326582927456</v>
      </c>
      <c r="F94" s="835">
        <f t="shared" si="48"/>
        <v>15.843019204504278</v>
      </c>
      <c r="G94" s="835">
        <f t="shared" si="48"/>
        <v>15.06429721950833</v>
      </c>
      <c r="H94" s="835">
        <f t="shared" si="48"/>
        <v>15.64886662186106</v>
      </c>
      <c r="I94" s="835">
        <f t="shared" si="48"/>
        <v>12.853867708244886</v>
      </c>
      <c r="J94" s="835">
        <f t="shared" si="48"/>
        <v>6.3986409966024915</v>
      </c>
      <c r="K94" s="835">
        <f t="shared" si="48"/>
        <v>6.8504772004241783</v>
      </c>
      <c r="L94" s="835">
        <f t="shared" si="48"/>
        <v>7.3778336842680954</v>
      </c>
      <c r="M94" s="835">
        <f t="shared" si="48"/>
        <v>6.8497931103245424</v>
      </c>
      <c r="N94" s="835">
        <f t="shared" si="48"/>
        <v>11.001669105071194</v>
      </c>
      <c r="O94" s="835">
        <f t="shared" si="48"/>
        <v>13.296229868905201</v>
      </c>
      <c r="P94" s="835">
        <f t="shared" si="48"/>
        <v>13.993893011750155</v>
      </c>
      <c r="Q94" s="835">
        <f t="shared" si="48"/>
        <v>13.331403204014668</v>
      </c>
      <c r="R94" s="835">
        <f t="shared" si="48"/>
        <v>18.603466716466055</v>
      </c>
      <c r="S94" s="835">
        <f t="shared" si="48"/>
        <v>17.563632270333155</v>
      </c>
      <c r="T94" s="835">
        <f t="shared" si="48"/>
        <v>16.948152827554708</v>
      </c>
      <c r="U94" s="255"/>
      <c r="V94" s="835">
        <f t="shared" ref="V94:AD94" si="49">V12/V$67/10</f>
        <v>14.527468176029206</v>
      </c>
      <c r="W94" s="835">
        <f t="shared" si="49"/>
        <v>15.094995630576857</v>
      </c>
      <c r="X94" s="835">
        <f t="shared" si="49"/>
        <v>15.352240540344249</v>
      </c>
      <c r="Y94" s="835">
        <f t="shared" si="49"/>
        <v>9.5898466577341104</v>
      </c>
      <c r="Z94" s="835">
        <f t="shared" si="49"/>
        <v>11.579439925131378</v>
      </c>
      <c r="AA94" s="835">
        <f t="shared" si="49"/>
        <v>16.738101978640028</v>
      </c>
      <c r="AB94" s="835">
        <f t="shared" si="49"/>
        <v>16.001413661348209</v>
      </c>
      <c r="AC94" s="835">
        <f t="shared" si="49"/>
        <v>16.255432219742914</v>
      </c>
      <c r="AD94" s="836">
        <f t="shared" si="49"/>
        <v>16.442694353710099</v>
      </c>
    </row>
    <row r="95" spans="2:30">
      <c r="B95" s="822"/>
      <c r="C95" s="716" t="s">
        <v>1307</v>
      </c>
      <c r="D95" s="716"/>
      <c r="E95" s="835">
        <f t="shared" ref="E95:T95" si="50">E13/E$68/10</f>
        <v>13.291187447635007</v>
      </c>
      <c r="F95" s="835">
        <f t="shared" si="50"/>
        <v>14.317312943746586</v>
      </c>
      <c r="G95" s="835">
        <f t="shared" si="50"/>
        <v>13.960520006393519</v>
      </c>
      <c r="H95" s="835">
        <f t="shared" si="50"/>
        <v>13.982657169402291</v>
      </c>
      <c r="I95" s="835">
        <f t="shared" si="50"/>
        <v>11.59375102563261</v>
      </c>
      <c r="J95" s="835">
        <f t="shared" si="50"/>
        <v>7.5979024880062465</v>
      </c>
      <c r="K95" s="835">
        <f t="shared" si="50"/>
        <v>7.4239150009004149</v>
      </c>
      <c r="L95" s="835">
        <f t="shared" si="50"/>
        <v>7.8524648919878803</v>
      </c>
      <c r="M95" s="835">
        <f t="shared" si="50"/>
        <v>7.6259466578860726</v>
      </c>
      <c r="N95" s="835">
        <f t="shared" si="50"/>
        <v>11.021634311968294</v>
      </c>
      <c r="O95" s="835">
        <f t="shared" si="50"/>
        <v>12.316742753219758</v>
      </c>
      <c r="P95" s="835">
        <f t="shared" si="50"/>
        <v>12.547660311958406</v>
      </c>
      <c r="Q95" s="835">
        <f t="shared" si="50"/>
        <v>11.917993391408832</v>
      </c>
      <c r="R95" s="835">
        <f t="shared" si="50"/>
        <v>15.823410130827881</v>
      </c>
      <c r="S95" s="835">
        <f t="shared" si="50"/>
        <v>15.374132102767472</v>
      </c>
      <c r="T95" s="835">
        <f t="shared" si="50"/>
        <v>15.560806673954199</v>
      </c>
      <c r="U95" s="255"/>
      <c r="V95" s="835">
        <f t="shared" ref="V95:AD95" si="51">V13/V$68/10</f>
        <v>12.518995695939491</v>
      </c>
      <c r="W95" s="835">
        <f t="shared" si="51"/>
        <v>14.370435347319523</v>
      </c>
      <c r="X95" s="835">
        <f t="shared" si="51"/>
        <v>13.903557556342301</v>
      </c>
      <c r="Y95" s="835">
        <f t="shared" si="51"/>
        <v>9.6128790593140288</v>
      </c>
      <c r="Z95" s="835">
        <f t="shared" si="51"/>
        <v>11.303194466208501</v>
      </c>
      <c r="AA95" s="835">
        <f t="shared" si="51"/>
        <v>14.807550686700443</v>
      </c>
      <c r="AB95" s="835">
        <f t="shared" si="51"/>
        <v>14.719925234234839</v>
      </c>
      <c r="AC95" s="835">
        <f t="shared" si="51"/>
        <v>15.169133625080033</v>
      </c>
      <c r="AD95" s="836">
        <f t="shared" si="51"/>
        <v>15.3185263159942</v>
      </c>
    </row>
    <row r="96" spans="2:30">
      <c r="B96" s="425"/>
      <c r="E96" s="494"/>
      <c r="F96" s="494"/>
      <c r="G96" s="494"/>
      <c r="H96" s="494"/>
      <c r="I96" s="494"/>
      <c r="J96" s="494"/>
      <c r="K96" s="494"/>
      <c r="L96" s="494"/>
      <c r="M96" s="494"/>
      <c r="N96" s="494"/>
      <c r="O96" s="494"/>
      <c r="P96" s="494"/>
      <c r="Q96" s="494"/>
      <c r="R96" s="494"/>
      <c r="S96" s="494"/>
      <c r="T96" s="494"/>
      <c r="U96" s="255"/>
      <c r="V96" s="494"/>
      <c r="W96" s="494"/>
      <c r="X96" s="494"/>
      <c r="Y96" s="494"/>
      <c r="Z96" s="494"/>
      <c r="AA96" s="494"/>
      <c r="AB96" s="494"/>
      <c r="AC96" s="494"/>
      <c r="AD96" s="837"/>
    </row>
    <row r="97" spans="2:30" s="278" customFormat="1">
      <c r="B97" s="825"/>
      <c r="C97" s="773" t="s">
        <v>1338</v>
      </c>
      <c r="D97" s="751"/>
      <c r="E97" s="751"/>
      <c r="F97" s="751"/>
      <c r="G97" s="751"/>
      <c r="H97" s="751"/>
      <c r="I97" s="751"/>
      <c r="J97" s="751"/>
      <c r="K97" s="751"/>
      <c r="L97" s="751"/>
      <c r="M97" s="751"/>
      <c r="N97" s="751"/>
      <c r="O97" s="751"/>
      <c r="P97" s="751"/>
      <c r="Q97" s="751"/>
      <c r="R97" s="751"/>
      <c r="S97" s="751"/>
      <c r="T97" s="751"/>
      <c r="U97" s="253"/>
      <c r="V97" s="751"/>
      <c r="W97" s="751"/>
      <c r="X97" s="751"/>
      <c r="Y97" s="751"/>
      <c r="Z97" s="751"/>
      <c r="AA97" s="751"/>
      <c r="AB97" s="751"/>
      <c r="AC97" s="751"/>
      <c r="AD97" s="826"/>
    </row>
    <row r="98" spans="2:30" s="278" customFormat="1">
      <c r="B98" s="825"/>
      <c r="C98" s="751" t="s">
        <v>1305</v>
      </c>
      <c r="D98" s="751"/>
      <c r="E98" s="756"/>
      <c r="F98" s="756"/>
      <c r="G98" s="756"/>
      <c r="H98" s="756"/>
      <c r="I98" s="756">
        <f t="shared" ref="I98:L100" si="52">I93/E93-1</f>
        <v>-0.14610893711489248</v>
      </c>
      <c r="J98" s="756">
        <f t="shared" si="52"/>
        <v>-0.57394061835466692</v>
      </c>
      <c r="K98" s="756">
        <f t="shared" si="52"/>
        <v>-0.43072384105004957</v>
      </c>
      <c r="L98" s="756">
        <f t="shared" si="52"/>
        <v>-0.34781321678791699</v>
      </c>
      <c r="M98" s="756">
        <f t="shared" ref="M98:P100" si="53">M93/E93-1</f>
        <v>-0.41885855543564066</v>
      </c>
      <c r="N98" s="756">
        <f t="shared" si="53"/>
        <v>-0.21201353865637629</v>
      </c>
      <c r="O98" s="756">
        <f t="shared" si="53"/>
        <v>-0.10211955315300136</v>
      </c>
      <c r="P98" s="756">
        <f t="shared" si="53"/>
        <v>-6.8380065028828207E-2</v>
      </c>
      <c r="Q98" s="756">
        <f t="shared" ref="Q98:T100" si="54">Q93/E93-1</f>
        <v>-9.3417758696069386E-2</v>
      </c>
      <c r="R98" s="756">
        <f t="shared" si="54"/>
        <v>0.10202299718744912</v>
      </c>
      <c r="S98" s="756">
        <f t="shared" si="54"/>
        <v>8.7885885262174002E-2</v>
      </c>
      <c r="T98" s="756">
        <f t="shared" si="54"/>
        <v>5.9538606446523756E-2</v>
      </c>
      <c r="U98" s="253"/>
      <c r="V98" s="756"/>
      <c r="W98" s="756"/>
      <c r="X98" s="756"/>
      <c r="Y98" s="756">
        <f t="shared" ref="Y98:AD98" si="55">Y93/$X93-1</f>
        <v>-0.31180787512242047</v>
      </c>
      <c r="Z98" s="756">
        <f t="shared" si="55"/>
        <v>-0.17559205723319848</v>
      </c>
      <c r="AA98" s="756">
        <f t="shared" si="55"/>
        <v>4.4623902304540941E-2</v>
      </c>
      <c r="AB98" s="756">
        <f t="shared" si="55"/>
        <v>5.7313789281956184E-2</v>
      </c>
      <c r="AC98" s="756">
        <f t="shared" si="55"/>
        <v>6.6972605665897467E-2</v>
      </c>
      <c r="AD98" s="827">
        <f t="shared" si="55"/>
        <v>6.0848223083173503E-2</v>
      </c>
    </row>
    <row r="99" spans="2:30" s="278" customFormat="1">
      <c r="B99" s="825"/>
      <c r="C99" s="751" t="s">
        <v>1306</v>
      </c>
      <c r="D99" s="751"/>
      <c r="E99" s="756"/>
      <c r="F99" s="756"/>
      <c r="G99" s="756"/>
      <c r="H99" s="756"/>
      <c r="I99" s="756">
        <f t="shared" si="52"/>
        <v>-0.13303759792758507</v>
      </c>
      <c r="J99" s="756">
        <f t="shared" si="52"/>
        <v>-0.59612237326687612</v>
      </c>
      <c r="K99" s="756">
        <f t="shared" si="52"/>
        <v>-0.54525079393994025</v>
      </c>
      <c r="L99" s="756">
        <f t="shared" si="52"/>
        <v>-0.52853878414674105</v>
      </c>
      <c r="M99" s="756">
        <f t="shared" si="53"/>
        <v>-0.53799796112598164</v>
      </c>
      <c r="N99" s="756">
        <f t="shared" si="53"/>
        <v>-0.30558254313399147</v>
      </c>
      <c r="O99" s="756">
        <f t="shared" si="53"/>
        <v>-0.11736806070936212</v>
      </c>
      <c r="P99" s="756">
        <f t="shared" si="53"/>
        <v>-0.10575677140726281</v>
      </c>
      <c r="Q99" s="756">
        <f t="shared" si="54"/>
        <v>-0.10082897948802738</v>
      </c>
      <c r="R99" s="756">
        <f t="shared" si="54"/>
        <v>0.17423746549375907</v>
      </c>
      <c r="S99" s="756">
        <f t="shared" si="54"/>
        <v>0.16591116162977571</v>
      </c>
      <c r="T99" s="756">
        <f t="shared" si="54"/>
        <v>8.3027495670426221E-2</v>
      </c>
      <c r="U99" s="253"/>
      <c r="V99" s="756"/>
      <c r="W99" s="756"/>
      <c r="X99" s="756"/>
      <c r="Y99" s="756">
        <f t="shared" ref="Y99:AD99" si="56">Y94/$X94-1</f>
        <v>-0.37534546618567555</v>
      </c>
      <c r="Z99" s="756">
        <f t="shared" si="56"/>
        <v>-0.24574918594444273</v>
      </c>
      <c r="AA99" s="756">
        <f t="shared" si="56"/>
        <v>9.0270956519594936E-2</v>
      </c>
      <c r="AB99" s="756">
        <f t="shared" si="56"/>
        <v>4.2285236431646167E-2</v>
      </c>
      <c r="AC99" s="756">
        <f t="shared" si="56"/>
        <v>5.8831261601533846E-2</v>
      </c>
      <c r="AD99" s="827">
        <f t="shared" si="56"/>
        <v>7.1028968735881826E-2</v>
      </c>
    </row>
    <row r="100" spans="2:30" s="278" customFormat="1">
      <c r="B100" s="825"/>
      <c r="C100" s="751" t="s">
        <v>1307</v>
      </c>
      <c r="D100" s="751"/>
      <c r="E100" s="756"/>
      <c r="F100" s="756"/>
      <c r="G100" s="756"/>
      <c r="H100" s="756"/>
      <c r="I100" s="756">
        <f t="shared" si="52"/>
        <v>-0.12771141996830637</v>
      </c>
      <c r="J100" s="756">
        <f t="shared" si="52"/>
        <v>-0.46932063873585972</v>
      </c>
      <c r="K100" s="756">
        <f t="shared" si="52"/>
        <v>-0.46822073980765233</v>
      </c>
      <c r="L100" s="756">
        <f t="shared" si="52"/>
        <v>-0.43841397261951565</v>
      </c>
      <c r="M100" s="756">
        <f t="shared" si="53"/>
        <v>-0.42624038010666909</v>
      </c>
      <c r="N100" s="756">
        <f t="shared" si="53"/>
        <v>-0.23018834921938025</v>
      </c>
      <c r="O100" s="756">
        <f t="shared" si="53"/>
        <v>-0.11774470094387302</v>
      </c>
      <c r="P100" s="756">
        <f t="shared" si="53"/>
        <v>-0.10262690703624155</v>
      </c>
      <c r="Q100" s="756">
        <f t="shared" si="54"/>
        <v>-0.1033161304538307</v>
      </c>
      <c r="R100" s="756">
        <f t="shared" si="54"/>
        <v>0.10519412357603852</v>
      </c>
      <c r="S100" s="756">
        <f t="shared" si="54"/>
        <v>0.10125783965973745</v>
      </c>
      <c r="T100" s="756">
        <f t="shared" si="54"/>
        <v>0.1128647785204453</v>
      </c>
      <c r="U100" s="253"/>
      <c r="V100" s="756"/>
      <c r="W100" s="756"/>
      <c r="X100" s="756"/>
      <c r="Y100" s="756">
        <f t="shared" ref="Y100:AD100" si="57">Y95/$X95-1</f>
        <v>-0.30860292264342226</v>
      </c>
      <c r="Z100" s="756">
        <f t="shared" si="57"/>
        <v>-0.18702861333124121</v>
      </c>
      <c r="AA100" s="756">
        <f t="shared" si="57"/>
        <v>6.5018836128439172E-2</v>
      </c>
      <c r="AB100" s="756">
        <f t="shared" si="57"/>
        <v>5.8716459768251239E-2</v>
      </c>
      <c r="AC100" s="756">
        <f t="shared" si="57"/>
        <v>9.1025341076135025E-2</v>
      </c>
      <c r="AD100" s="827">
        <f t="shared" si="57"/>
        <v>0.1017702666326894</v>
      </c>
    </row>
    <row r="101" spans="2:30" s="278" customFormat="1" ht="3" customHeight="1">
      <c r="B101" s="573"/>
      <c r="E101" s="815"/>
      <c r="F101" s="815"/>
      <c r="G101" s="815"/>
      <c r="H101" s="815"/>
      <c r="I101" s="815"/>
      <c r="J101" s="815"/>
      <c r="K101" s="815"/>
      <c r="L101" s="815"/>
      <c r="M101" s="815"/>
      <c r="N101" s="815"/>
      <c r="O101" s="815"/>
      <c r="P101" s="815"/>
      <c r="Q101" s="815"/>
      <c r="R101" s="815"/>
      <c r="S101" s="815"/>
      <c r="T101" s="815"/>
      <c r="U101" s="253"/>
      <c r="V101" s="815"/>
      <c r="W101" s="815"/>
      <c r="X101" s="815"/>
      <c r="Y101" s="815"/>
      <c r="Z101" s="815"/>
      <c r="AA101" s="815"/>
      <c r="AB101" s="815"/>
      <c r="AC101" s="815"/>
      <c r="AD101" s="828"/>
    </row>
    <row r="102" spans="2:30" s="278" customFormat="1">
      <c r="B102" s="825"/>
      <c r="C102" s="773" t="s">
        <v>1337</v>
      </c>
      <c r="D102" s="751"/>
      <c r="E102" s="751"/>
      <c r="F102" s="751"/>
      <c r="G102" s="751"/>
      <c r="H102" s="751"/>
      <c r="I102" s="751"/>
      <c r="J102" s="751"/>
      <c r="K102" s="751"/>
      <c r="L102" s="751"/>
      <c r="M102" s="751"/>
      <c r="N102" s="751"/>
      <c r="O102" s="751"/>
      <c r="P102" s="751"/>
      <c r="Q102" s="751"/>
      <c r="R102" s="751"/>
      <c r="S102" s="751"/>
      <c r="T102" s="751"/>
      <c r="V102" s="751"/>
      <c r="W102" s="751"/>
      <c r="X102" s="751"/>
      <c r="Y102" s="751"/>
      <c r="Z102" s="751"/>
      <c r="AA102" s="751"/>
      <c r="AB102" s="751"/>
      <c r="AC102" s="751"/>
      <c r="AD102" s="826"/>
    </row>
    <row r="103" spans="2:30" s="278" customFormat="1">
      <c r="B103" s="825"/>
      <c r="C103" s="751" t="s">
        <v>1305</v>
      </c>
      <c r="D103" s="751"/>
      <c r="E103" s="756"/>
      <c r="F103" s="756"/>
      <c r="G103" s="756"/>
      <c r="H103" s="756"/>
      <c r="I103" s="756">
        <f t="shared" ref="I103:L105" si="58">I93/E93</f>
        <v>0.85389106288510752</v>
      </c>
      <c r="J103" s="756">
        <f t="shared" si="58"/>
        <v>0.42605938164533308</v>
      </c>
      <c r="K103" s="756">
        <f t="shared" si="58"/>
        <v>0.56927615894995043</v>
      </c>
      <c r="L103" s="756">
        <f t="shared" si="58"/>
        <v>0.65218678321208301</v>
      </c>
      <c r="M103" s="756">
        <f t="shared" ref="M103:P105" si="59">M93/E93</f>
        <v>0.58114144456435934</v>
      </c>
      <c r="N103" s="756">
        <f t="shared" si="59"/>
        <v>0.78798646134362371</v>
      </c>
      <c r="O103" s="756">
        <f t="shared" si="59"/>
        <v>0.89788044684699864</v>
      </c>
      <c r="P103" s="756">
        <f t="shared" si="59"/>
        <v>0.93161993497117179</v>
      </c>
      <c r="Q103" s="756">
        <f t="shared" ref="Q103:T105" si="60">Q93/E93</f>
        <v>0.90658224130393061</v>
      </c>
      <c r="R103" s="756">
        <f t="shared" si="60"/>
        <v>1.1020229971874491</v>
      </c>
      <c r="S103" s="756">
        <f t="shared" si="60"/>
        <v>1.087885885262174</v>
      </c>
      <c r="T103" s="756">
        <f t="shared" si="60"/>
        <v>1.0595386064465238</v>
      </c>
      <c r="V103" s="756"/>
      <c r="W103" s="756"/>
      <c r="X103" s="756"/>
      <c r="Y103" s="756">
        <f t="shared" ref="Y103:AD103" si="61">Y93/$X93</f>
        <v>0.68819212487757953</v>
      </c>
      <c r="Z103" s="756">
        <f t="shared" si="61"/>
        <v>0.82440794276680152</v>
      </c>
      <c r="AA103" s="756">
        <f t="shared" si="61"/>
        <v>1.0446239023045409</v>
      </c>
      <c r="AB103" s="756">
        <f t="shared" si="61"/>
        <v>1.0573137892819562</v>
      </c>
      <c r="AC103" s="756">
        <f t="shared" si="61"/>
        <v>1.0669726056658975</v>
      </c>
      <c r="AD103" s="827">
        <f t="shared" si="61"/>
        <v>1.0608482230831735</v>
      </c>
    </row>
    <row r="104" spans="2:30" s="278" customFormat="1">
      <c r="B104" s="825"/>
      <c r="C104" s="751" t="s">
        <v>1306</v>
      </c>
      <c r="D104" s="751"/>
      <c r="E104" s="756"/>
      <c r="F104" s="756"/>
      <c r="G104" s="756"/>
      <c r="H104" s="756"/>
      <c r="I104" s="756">
        <f t="shared" si="58"/>
        <v>0.86696240207241493</v>
      </c>
      <c r="J104" s="756">
        <f t="shared" si="58"/>
        <v>0.40387762673312383</v>
      </c>
      <c r="K104" s="756">
        <f t="shared" si="58"/>
        <v>0.45474920606005975</v>
      </c>
      <c r="L104" s="756">
        <f t="shared" si="58"/>
        <v>0.4714612158532589</v>
      </c>
      <c r="M104" s="756">
        <f t="shared" si="59"/>
        <v>0.46200203887401836</v>
      </c>
      <c r="N104" s="756">
        <f t="shared" si="59"/>
        <v>0.69441745686600853</v>
      </c>
      <c r="O104" s="756">
        <f t="shared" si="59"/>
        <v>0.88263193929063788</v>
      </c>
      <c r="P104" s="756">
        <f t="shared" si="59"/>
        <v>0.89424322859273719</v>
      </c>
      <c r="Q104" s="756">
        <f t="shared" si="60"/>
        <v>0.89917102051197262</v>
      </c>
      <c r="R104" s="756">
        <f t="shared" si="60"/>
        <v>1.1742374654937591</v>
      </c>
      <c r="S104" s="756">
        <f t="shared" si="60"/>
        <v>1.1659111616297757</v>
      </c>
      <c r="T104" s="756">
        <f t="shared" si="60"/>
        <v>1.0830274956704262</v>
      </c>
      <c r="V104" s="756"/>
      <c r="W104" s="756"/>
      <c r="X104" s="756"/>
      <c r="Y104" s="756">
        <f t="shared" ref="Y104:AD104" si="62">Y94/$X94</f>
        <v>0.62465453381432445</v>
      </c>
      <c r="Z104" s="756">
        <f t="shared" si="62"/>
        <v>0.75425081405555727</v>
      </c>
      <c r="AA104" s="756">
        <f t="shared" si="62"/>
        <v>1.0902709565195949</v>
      </c>
      <c r="AB104" s="756">
        <f t="shared" si="62"/>
        <v>1.0422852364316462</v>
      </c>
      <c r="AC104" s="756">
        <f t="shared" si="62"/>
        <v>1.0588312616015338</v>
      </c>
      <c r="AD104" s="827">
        <f t="shared" si="62"/>
        <v>1.0710289687358818</v>
      </c>
    </row>
    <row r="105" spans="2:30" s="278" customFormat="1" ht="10.9" thickBot="1">
      <c r="B105" s="829"/>
      <c r="C105" s="830" t="s">
        <v>1307</v>
      </c>
      <c r="D105" s="830"/>
      <c r="E105" s="831"/>
      <c r="F105" s="831"/>
      <c r="G105" s="831"/>
      <c r="H105" s="831"/>
      <c r="I105" s="831">
        <f t="shared" si="58"/>
        <v>0.87228858003169363</v>
      </c>
      <c r="J105" s="831">
        <f t="shared" si="58"/>
        <v>0.53067936126414028</v>
      </c>
      <c r="K105" s="831">
        <f t="shared" si="58"/>
        <v>0.53177926019234767</v>
      </c>
      <c r="L105" s="831">
        <f t="shared" si="58"/>
        <v>0.56158602738048435</v>
      </c>
      <c r="M105" s="831">
        <f t="shared" si="59"/>
        <v>0.57375961989333091</v>
      </c>
      <c r="N105" s="831">
        <f t="shared" si="59"/>
        <v>0.76981165078061975</v>
      </c>
      <c r="O105" s="831">
        <f t="shared" si="59"/>
        <v>0.88225529905612698</v>
      </c>
      <c r="P105" s="831">
        <f t="shared" si="59"/>
        <v>0.89737309296375845</v>
      </c>
      <c r="Q105" s="831">
        <f t="shared" si="60"/>
        <v>0.8966838695461693</v>
      </c>
      <c r="R105" s="831">
        <f t="shared" si="60"/>
        <v>1.1051941235760385</v>
      </c>
      <c r="S105" s="831">
        <f t="shared" si="60"/>
        <v>1.1012578396597374</v>
      </c>
      <c r="T105" s="831">
        <f t="shared" si="60"/>
        <v>1.1128647785204453</v>
      </c>
      <c r="U105" s="774"/>
      <c r="V105" s="831"/>
      <c r="W105" s="831"/>
      <c r="X105" s="831"/>
      <c r="Y105" s="831">
        <f t="shared" ref="Y105:AD105" si="63">Y95/$X95</f>
        <v>0.69139707735657774</v>
      </c>
      <c r="Z105" s="831">
        <f t="shared" si="63"/>
        <v>0.81297138666875879</v>
      </c>
      <c r="AA105" s="831">
        <f t="shared" si="63"/>
        <v>1.0650188361284392</v>
      </c>
      <c r="AB105" s="831">
        <f t="shared" si="63"/>
        <v>1.0587164597682512</v>
      </c>
      <c r="AC105" s="831">
        <f t="shared" si="63"/>
        <v>1.091025341076135</v>
      </c>
      <c r="AD105" s="832">
        <f t="shared" si="63"/>
        <v>1.1017702666326894</v>
      </c>
    </row>
    <row r="106" spans="2:30" ht="10.9" thickBot="1">
      <c r="E106" s="494"/>
      <c r="F106" s="494"/>
      <c r="G106" s="494"/>
      <c r="H106" s="494"/>
      <c r="I106" s="494"/>
      <c r="J106" s="494"/>
      <c r="K106" s="494"/>
      <c r="L106" s="494"/>
      <c r="M106" s="494"/>
      <c r="N106" s="494"/>
      <c r="O106" s="494"/>
      <c r="P106" s="494"/>
      <c r="Q106" s="494"/>
      <c r="R106" s="494"/>
      <c r="S106" s="494"/>
      <c r="T106" s="494"/>
      <c r="U106" s="255"/>
      <c r="V106" s="494"/>
      <c r="W106" s="494"/>
      <c r="X106" s="494"/>
      <c r="Y106" s="494"/>
      <c r="Z106" s="494"/>
      <c r="AA106" s="494"/>
      <c r="AB106" s="494"/>
      <c r="AC106" s="494"/>
      <c r="AD106" s="494"/>
    </row>
    <row r="107" spans="2:30">
      <c r="B107" s="858" t="s">
        <v>133</v>
      </c>
      <c r="C107" s="859" t="s">
        <v>1340</v>
      </c>
      <c r="D107" s="860"/>
      <c r="E107" s="861"/>
      <c r="F107" s="861"/>
      <c r="G107" s="861"/>
      <c r="H107" s="861"/>
      <c r="I107" s="861"/>
      <c r="J107" s="861"/>
      <c r="K107" s="861"/>
      <c r="L107" s="861"/>
      <c r="M107" s="861"/>
      <c r="N107" s="861"/>
      <c r="O107" s="861"/>
      <c r="P107" s="861"/>
      <c r="Q107" s="861"/>
      <c r="R107" s="861"/>
      <c r="S107" s="861"/>
      <c r="T107" s="861"/>
      <c r="U107" s="562"/>
      <c r="V107" s="861"/>
      <c r="W107" s="861"/>
      <c r="X107" s="861"/>
      <c r="Y107" s="861"/>
      <c r="Z107" s="861"/>
      <c r="AA107" s="861"/>
      <c r="AB107" s="861"/>
      <c r="AC107" s="861"/>
      <c r="AD107" s="862"/>
    </row>
    <row r="108" spans="2:30">
      <c r="B108" s="863"/>
      <c r="C108" s="864" t="s">
        <v>1305</v>
      </c>
      <c r="D108" s="864"/>
      <c r="E108" s="865">
        <f t="shared" ref="E108:T108" si="64">E26/E66/10</f>
        <v>15.874253832078475</v>
      </c>
      <c r="F108" s="865">
        <f t="shared" si="64"/>
        <v>16.537153286690081</v>
      </c>
      <c r="G108" s="865">
        <f t="shared" si="64"/>
        <v>15.709575309944602</v>
      </c>
      <c r="H108" s="865">
        <f t="shared" si="64"/>
        <v>16.098872950819676</v>
      </c>
      <c r="I108" s="865">
        <f t="shared" si="64"/>
        <v>13.711976038261486</v>
      </c>
      <c r="J108" s="865">
        <f t="shared" si="64"/>
        <v>9.4959311515719218</v>
      </c>
      <c r="K108" s="865">
        <f t="shared" si="64"/>
        <v>10.31266250650026</v>
      </c>
      <c r="L108" s="865">
        <f t="shared" si="64"/>
        <v>12.122580450946749</v>
      </c>
      <c r="M108" s="865">
        <f t="shared" si="64"/>
        <v>10.613282491261518</v>
      </c>
      <c r="N108" s="865">
        <f t="shared" si="64"/>
        <v>13.70726789478508</v>
      </c>
      <c r="O108" s="865">
        <f t="shared" si="64"/>
        <v>14.67657213922207</v>
      </c>
      <c r="P108" s="865">
        <f t="shared" si="64"/>
        <v>15.42754275427543</v>
      </c>
      <c r="Q108" s="865">
        <f t="shared" si="64"/>
        <v>14.948012026943038</v>
      </c>
      <c r="R108" s="865">
        <f t="shared" si="64"/>
        <v>19.024627790806075</v>
      </c>
      <c r="S108" s="865">
        <f t="shared" si="64"/>
        <v>17.87484201337357</v>
      </c>
      <c r="T108" s="865">
        <f t="shared" si="64"/>
        <v>17.651330327369333</v>
      </c>
      <c r="U108" s="255"/>
      <c r="V108" s="865">
        <f t="shared" ref="V108:AD108" si="65">V26/V66/10</f>
        <v>15.415218468460324</v>
      </c>
      <c r="W108" s="865">
        <f t="shared" si="65"/>
        <v>15.791656916760621</v>
      </c>
      <c r="X108" s="865">
        <f t="shared" si="65"/>
        <v>16.053990346840276</v>
      </c>
      <c r="Y108" s="865">
        <f t="shared" si="65"/>
        <v>12.109634203412799</v>
      </c>
      <c r="Z108" s="865">
        <f t="shared" si="65"/>
        <v>13.928729577924349</v>
      </c>
      <c r="AA108" s="865">
        <f t="shared" si="65"/>
        <v>17.454348213647219</v>
      </c>
      <c r="AB108" s="865">
        <f t="shared" si="65"/>
        <v>17.412349430967055</v>
      </c>
      <c r="AC108" s="865">
        <f t="shared" si="65"/>
        <v>17.341109923843291</v>
      </c>
      <c r="AD108" s="866">
        <f t="shared" si="65"/>
        <v>17.037557614704468</v>
      </c>
    </row>
    <row r="109" spans="2:30">
      <c r="B109" s="863"/>
      <c r="C109" s="864" t="s">
        <v>1306</v>
      </c>
      <c r="D109" s="864"/>
      <c r="E109" s="865">
        <f t="shared" ref="E109:T109" si="66">E27/E67/10</f>
        <v>16.700845936939249</v>
      </c>
      <c r="F109" s="865">
        <f t="shared" si="66"/>
        <v>17.4150570003066</v>
      </c>
      <c r="G109" s="865">
        <f t="shared" si="66"/>
        <v>16.574687755802593</v>
      </c>
      <c r="H109" s="865">
        <f t="shared" si="66"/>
        <v>17.46960347039775</v>
      </c>
      <c r="I109" s="865">
        <f t="shared" si="66"/>
        <v>14.591152245903032</v>
      </c>
      <c r="J109" s="865">
        <f t="shared" si="66"/>
        <v>11.098527746319366</v>
      </c>
      <c r="K109" s="865">
        <f t="shared" si="66"/>
        <v>9.3495934959349594</v>
      </c>
      <c r="L109" s="865">
        <f t="shared" si="66"/>
        <v>9.6584538817030818</v>
      </c>
      <c r="M109" s="865">
        <f t="shared" si="66"/>
        <v>8.9984545590507992</v>
      </c>
      <c r="N109" s="865">
        <f t="shared" si="66"/>
        <v>13.082898885202662</v>
      </c>
      <c r="O109" s="865">
        <f t="shared" si="66"/>
        <v>15.313499620952978</v>
      </c>
      <c r="P109" s="865">
        <f t="shared" si="66"/>
        <v>16.291743970315402</v>
      </c>
      <c r="Q109" s="865">
        <f t="shared" si="66"/>
        <v>15.751785369619764</v>
      </c>
      <c r="R109" s="865">
        <f t="shared" si="66"/>
        <v>20.898765767448175</v>
      </c>
      <c r="S109" s="865">
        <f t="shared" si="66"/>
        <v>19.913632270333157</v>
      </c>
      <c r="T109" s="865">
        <f t="shared" si="66"/>
        <v>19.198152827554708</v>
      </c>
      <c r="U109" s="255"/>
      <c r="V109" s="865">
        <f t="shared" ref="V109:AD109" si="67">V27/V67/10</f>
        <v>16.175358914810118</v>
      </c>
      <c r="W109" s="865">
        <f t="shared" si="67"/>
        <v>16.873133337481434</v>
      </c>
      <c r="X109" s="865">
        <f t="shared" si="67"/>
        <v>17.035006173287819</v>
      </c>
      <c r="Y109" s="865">
        <f t="shared" si="67"/>
        <v>11.869138008039306</v>
      </c>
      <c r="Z109" s="865">
        <f t="shared" si="67"/>
        <v>13.71442969240104</v>
      </c>
      <c r="AA109" s="865">
        <f t="shared" si="67"/>
        <v>19.063841789219321</v>
      </c>
      <c r="AB109" s="865">
        <f t="shared" si="67"/>
        <v>18.301413661348207</v>
      </c>
      <c r="AC109" s="865">
        <f t="shared" si="67"/>
        <v>18.555432219742915</v>
      </c>
      <c r="AD109" s="866">
        <f t="shared" si="67"/>
        <v>18.692694353710099</v>
      </c>
    </row>
    <row r="110" spans="2:30">
      <c r="B110" s="863"/>
      <c r="C110" s="864" t="s">
        <v>1307</v>
      </c>
      <c r="D110" s="864"/>
      <c r="E110" s="865">
        <f t="shared" ref="E110:T110" si="68">E28/E68/10</f>
        <v>14.607357757635768</v>
      </c>
      <c r="F110" s="865">
        <f t="shared" si="68"/>
        <v>15.567995630802837</v>
      </c>
      <c r="G110" s="865">
        <f t="shared" si="68"/>
        <v>15.157973253769512</v>
      </c>
      <c r="H110" s="865">
        <f t="shared" si="68"/>
        <v>15.327008080182434</v>
      </c>
      <c r="I110" s="865">
        <f t="shared" si="68"/>
        <v>13.093636154780267</v>
      </c>
      <c r="J110" s="865">
        <f t="shared" si="68"/>
        <v>16.456543568001784</v>
      </c>
      <c r="K110" s="865">
        <f t="shared" si="68"/>
        <v>11.205654601116514</v>
      </c>
      <c r="L110" s="865">
        <f t="shared" si="68"/>
        <v>11.117265647909811</v>
      </c>
      <c r="M110" s="865">
        <f t="shared" si="68"/>
        <v>10.605861047085941</v>
      </c>
      <c r="N110" s="865">
        <f t="shared" si="68"/>
        <v>13.811122611263979</v>
      </c>
      <c r="O110" s="865">
        <f t="shared" si="68"/>
        <v>14.382214304271979</v>
      </c>
      <c r="P110" s="865">
        <f t="shared" si="68"/>
        <v>14.944814375627109</v>
      </c>
      <c r="Q110" s="865">
        <f t="shared" si="68"/>
        <v>14.204716130970263</v>
      </c>
      <c r="R110" s="865">
        <f t="shared" si="68"/>
        <v>18.168537355697914</v>
      </c>
      <c r="S110" s="865">
        <f t="shared" si="68"/>
        <v>17.559446424571235</v>
      </c>
      <c r="T110" s="865">
        <f t="shared" si="68"/>
        <v>17.775503466049884</v>
      </c>
      <c r="U110" s="255"/>
      <c r="V110" s="865">
        <f t="shared" ref="V110:AD110" si="69">V28/V68/10</f>
        <v>13.72657380659831</v>
      </c>
      <c r="W110" s="865">
        <f t="shared" si="69"/>
        <v>15.741316797070448</v>
      </c>
      <c r="X110" s="865">
        <f t="shared" si="69"/>
        <v>15.178649749648244</v>
      </c>
      <c r="Y110" s="865">
        <f t="shared" si="69"/>
        <v>12.503664375753232</v>
      </c>
      <c r="Z110" s="865">
        <f t="shared" si="69"/>
        <v>13.786349085536475</v>
      </c>
      <c r="AA110" s="865">
        <f t="shared" si="69"/>
        <v>17.062321807437421</v>
      </c>
      <c r="AB110" s="865">
        <f t="shared" si="69"/>
        <v>16.605185241445206</v>
      </c>
      <c r="AC110" s="865">
        <f t="shared" si="69"/>
        <v>16.954809174562353</v>
      </c>
      <c r="AD110" s="866">
        <f t="shared" si="69"/>
        <v>17.021052150510947</v>
      </c>
    </row>
    <row r="111" spans="2:30">
      <c r="B111" s="425"/>
      <c r="E111" s="494"/>
      <c r="F111" s="494"/>
      <c r="G111" s="494"/>
      <c r="H111" s="494"/>
      <c r="I111" s="494"/>
      <c r="J111" s="494"/>
      <c r="K111" s="494"/>
      <c r="L111" s="494"/>
      <c r="M111" s="494"/>
      <c r="N111" s="494"/>
      <c r="O111" s="494"/>
      <c r="P111" s="494"/>
      <c r="Q111" s="494"/>
      <c r="R111" s="494"/>
      <c r="S111" s="494"/>
      <c r="T111" s="494"/>
      <c r="U111" s="255"/>
      <c r="V111" s="494"/>
      <c r="W111" s="494"/>
      <c r="X111" s="494"/>
      <c r="Y111" s="494"/>
      <c r="Z111" s="494"/>
      <c r="AA111" s="494"/>
      <c r="AB111" s="494"/>
      <c r="AC111" s="494"/>
      <c r="AD111" s="837"/>
    </row>
    <row r="112" spans="2:30" s="278" customFormat="1">
      <c r="B112" s="825"/>
      <c r="C112" s="773" t="s">
        <v>1338</v>
      </c>
      <c r="D112" s="751"/>
      <c r="E112" s="751"/>
      <c r="F112" s="751"/>
      <c r="G112" s="751"/>
      <c r="H112" s="751"/>
      <c r="I112" s="751"/>
      <c r="J112" s="751"/>
      <c r="K112" s="751"/>
      <c r="L112" s="751"/>
      <c r="M112" s="751"/>
      <c r="N112" s="751"/>
      <c r="O112" s="751"/>
      <c r="P112" s="751"/>
      <c r="Q112" s="751"/>
      <c r="R112" s="751"/>
      <c r="S112" s="751"/>
      <c r="T112" s="751"/>
      <c r="U112" s="253"/>
      <c r="V112" s="751"/>
      <c r="W112" s="751"/>
      <c r="X112" s="751"/>
      <c r="Y112" s="751"/>
      <c r="Z112" s="751"/>
      <c r="AA112" s="751"/>
      <c r="AB112" s="751"/>
      <c r="AC112" s="751"/>
      <c r="AD112" s="826"/>
    </row>
    <row r="113" spans="2:51" s="278" customFormat="1">
      <c r="B113" s="825"/>
      <c r="C113" s="751" t="s">
        <v>1305</v>
      </c>
      <c r="D113" s="751"/>
      <c r="E113" s="756"/>
      <c r="F113" s="756"/>
      <c r="G113" s="756"/>
      <c r="H113" s="756"/>
      <c r="I113" s="756">
        <f t="shared" ref="I113:L115" si="70">I108/E108-1</f>
        <v>-0.13621287757459732</v>
      </c>
      <c r="J113" s="756">
        <f t="shared" si="70"/>
        <v>-0.42578199603345779</v>
      </c>
      <c r="K113" s="756">
        <f t="shared" si="70"/>
        <v>-0.34354288368495522</v>
      </c>
      <c r="L113" s="756">
        <f t="shared" si="70"/>
        <v>-0.24699197962615593</v>
      </c>
      <c r="M113" s="756">
        <f t="shared" ref="M113:P115" si="71">M108/E108-1</f>
        <v>-0.33141534691763952</v>
      </c>
      <c r="N113" s="756">
        <f t="shared" si="71"/>
        <v>-0.17112288571350631</v>
      </c>
      <c r="O113" s="756">
        <f t="shared" si="71"/>
        <v>-6.5756276050862539E-2</v>
      </c>
      <c r="P113" s="756">
        <f t="shared" si="71"/>
        <v>-4.17004468943315E-2</v>
      </c>
      <c r="Q113" s="756">
        <f t="shared" ref="Q113:T115" si="72">Q108/E108-1</f>
        <v>-5.8348683026833048E-2</v>
      </c>
      <c r="R113" s="756">
        <f t="shared" si="72"/>
        <v>0.15041733368451249</v>
      </c>
      <c r="S113" s="756">
        <f t="shared" si="72"/>
        <v>0.13783101456971236</v>
      </c>
      <c r="T113" s="756">
        <f t="shared" si="72"/>
        <v>9.643267459108773E-2</v>
      </c>
      <c r="U113" s="253"/>
      <c r="V113" s="756"/>
      <c r="W113" s="756"/>
      <c r="X113" s="756"/>
      <c r="Y113" s="756">
        <f t="shared" ref="Y113:AD113" si="73">Y108/$X108-1</f>
        <v>-0.24569319267117906</v>
      </c>
      <c r="Z113" s="756">
        <f t="shared" si="73"/>
        <v>-0.13238208837805976</v>
      </c>
      <c r="AA113" s="756">
        <f t="shared" si="73"/>
        <v>8.7228024718636998E-2</v>
      </c>
      <c r="AB113" s="756">
        <f t="shared" si="73"/>
        <v>8.461192854735522E-2</v>
      </c>
      <c r="AC113" s="756">
        <f t="shared" si="73"/>
        <v>8.0174433221603669E-2</v>
      </c>
      <c r="AD113" s="827">
        <f t="shared" si="73"/>
        <v>6.1266217719993632E-2</v>
      </c>
    </row>
    <row r="114" spans="2:51" s="278" customFormat="1">
      <c r="B114" s="825"/>
      <c r="C114" s="751" t="s">
        <v>1306</v>
      </c>
      <c r="D114" s="751"/>
      <c r="E114" s="756"/>
      <c r="F114" s="756"/>
      <c r="G114" s="756"/>
      <c r="H114" s="756"/>
      <c r="I114" s="756">
        <f t="shared" si="70"/>
        <v>-0.12632256467739489</v>
      </c>
      <c r="J114" s="756">
        <f t="shared" si="70"/>
        <v>-0.36270505769094119</v>
      </c>
      <c r="K114" s="756">
        <f t="shared" si="70"/>
        <v>-0.43591133457933273</v>
      </c>
      <c r="L114" s="756">
        <f t="shared" si="70"/>
        <v>-0.44712804168283871</v>
      </c>
      <c r="M114" s="756">
        <f t="shared" si="71"/>
        <v>-0.4611976786668126</v>
      </c>
      <c r="N114" s="756">
        <f t="shared" si="71"/>
        <v>-0.2487593417022792</v>
      </c>
      <c r="O114" s="756">
        <f t="shared" si="71"/>
        <v>-7.6091215317651395E-2</v>
      </c>
      <c r="P114" s="756">
        <f t="shared" si="71"/>
        <v>-6.7423367798715717E-2</v>
      </c>
      <c r="Q114" s="756">
        <f t="shared" si="72"/>
        <v>-5.6827095519774495E-2</v>
      </c>
      <c r="R114" s="756">
        <f t="shared" si="72"/>
        <v>0.20004004391603436</v>
      </c>
      <c r="S114" s="756">
        <f t="shared" si="72"/>
        <v>0.20144841119927825</v>
      </c>
      <c r="T114" s="756">
        <f t="shared" si="72"/>
        <v>9.8946112891800109E-2</v>
      </c>
      <c r="U114" s="253"/>
      <c r="V114" s="756"/>
      <c r="W114" s="756"/>
      <c r="X114" s="756"/>
      <c r="Y114" s="756">
        <f t="shared" ref="Y114:AD114" si="74">Y109/$X109-1</f>
        <v>-0.30325014929251892</v>
      </c>
      <c r="Z114" s="756">
        <f t="shared" si="74"/>
        <v>-0.19492663795412613</v>
      </c>
      <c r="AA114" s="756">
        <f t="shared" si="74"/>
        <v>0.1190980264575936</v>
      </c>
      <c r="AB114" s="756">
        <f t="shared" si="74"/>
        <v>7.4341475146995295E-2</v>
      </c>
      <c r="AC114" s="756">
        <f t="shared" si="74"/>
        <v>8.9253037597323504E-2</v>
      </c>
      <c r="AD114" s="827">
        <f t="shared" si="74"/>
        <v>9.7310688564449244E-2</v>
      </c>
    </row>
    <row r="115" spans="2:51" s="278" customFormat="1">
      <c r="B115" s="825"/>
      <c r="C115" s="751" t="s">
        <v>1307</v>
      </c>
      <c r="D115" s="751"/>
      <c r="E115" s="756"/>
      <c r="F115" s="756"/>
      <c r="G115" s="756"/>
      <c r="H115" s="756"/>
      <c r="I115" s="756">
        <f t="shared" si="70"/>
        <v>-0.1036273382203039</v>
      </c>
      <c r="J115" s="756">
        <f t="shared" si="70"/>
        <v>5.7075294615375194E-2</v>
      </c>
      <c r="K115" s="756">
        <f t="shared" si="70"/>
        <v>-0.26074189381948731</v>
      </c>
      <c r="L115" s="756">
        <f t="shared" si="70"/>
        <v>-0.27466172199098338</v>
      </c>
      <c r="M115" s="756">
        <f t="shared" si="71"/>
        <v>-0.27393706493278069</v>
      </c>
      <c r="N115" s="756">
        <f t="shared" si="71"/>
        <v>-0.11285158739784773</v>
      </c>
      <c r="O115" s="756">
        <f t="shared" si="71"/>
        <v>-5.1178276706921544E-2</v>
      </c>
      <c r="P115" s="756">
        <f t="shared" si="71"/>
        <v>-2.4935962880419882E-2</v>
      </c>
      <c r="Q115" s="756">
        <f t="shared" si="72"/>
        <v>-2.7564302411572705E-2</v>
      </c>
      <c r="R115" s="756">
        <f t="shared" si="72"/>
        <v>0.16704409395835418</v>
      </c>
      <c r="S115" s="756">
        <f t="shared" si="72"/>
        <v>0.15842970102909493</v>
      </c>
      <c r="T115" s="756">
        <f t="shared" si="72"/>
        <v>0.15975038135677067</v>
      </c>
      <c r="U115" s="253"/>
      <c r="V115" s="756"/>
      <c r="W115" s="756"/>
      <c r="X115" s="756"/>
      <c r="Y115" s="756">
        <f t="shared" ref="Y115:AD115" si="75">Y110/$X110-1</f>
        <v>-0.17623342115506702</v>
      </c>
      <c r="Z115" s="756">
        <f t="shared" si="75"/>
        <v>-9.1727570441108242E-2</v>
      </c>
      <c r="AA115" s="756">
        <f t="shared" si="75"/>
        <v>0.12410010698302254</v>
      </c>
      <c r="AB115" s="756">
        <f t="shared" si="75"/>
        <v>9.3983029803426321E-2</v>
      </c>
      <c r="AC115" s="756">
        <f t="shared" si="75"/>
        <v>0.11701695830719538</v>
      </c>
      <c r="AD115" s="827">
        <f t="shared" si="75"/>
        <v>0.12138117890923716</v>
      </c>
    </row>
    <row r="116" spans="2:51" s="278" customFormat="1" ht="3" customHeight="1">
      <c r="B116" s="573"/>
      <c r="E116" s="815"/>
      <c r="F116" s="815"/>
      <c r="G116" s="815"/>
      <c r="H116" s="815"/>
      <c r="I116" s="815"/>
      <c r="J116" s="815"/>
      <c r="K116" s="815"/>
      <c r="L116" s="815"/>
      <c r="M116" s="815"/>
      <c r="N116" s="815"/>
      <c r="O116" s="815"/>
      <c r="P116" s="815"/>
      <c r="Q116" s="815"/>
      <c r="R116" s="815"/>
      <c r="S116" s="815"/>
      <c r="T116" s="815"/>
      <c r="U116" s="253"/>
      <c r="V116" s="815"/>
      <c r="W116" s="815"/>
      <c r="X116" s="815"/>
      <c r="Y116" s="815"/>
      <c r="Z116" s="815"/>
      <c r="AA116" s="815"/>
      <c r="AB116" s="815"/>
      <c r="AC116" s="815"/>
      <c r="AD116" s="828"/>
    </row>
    <row r="117" spans="2:51" s="278" customFormat="1">
      <c r="B117" s="825"/>
      <c r="C117" s="773" t="s">
        <v>1337</v>
      </c>
      <c r="D117" s="751"/>
      <c r="E117" s="751"/>
      <c r="F117" s="751"/>
      <c r="G117" s="751"/>
      <c r="H117" s="751"/>
      <c r="I117" s="751"/>
      <c r="J117" s="751"/>
      <c r="K117" s="751"/>
      <c r="L117" s="751"/>
      <c r="M117" s="751"/>
      <c r="N117" s="751"/>
      <c r="O117" s="751"/>
      <c r="P117" s="751"/>
      <c r="Q117" s="751"/>
      <c r="R117" s="751"/>
      <c r="S117" s="751"/>
      <c r="T117" s="751"/>
      <c r="V117" s="751"/>
      <c r="W117" s="751"/>
      <c r="X117" s="751"/>
      <c r="Y117" s="751"/>
      <c r="Z117" s="751"/>
      <c r="AA117" s="751"/>
      <c r="AB117" s="751"/>
      <c r="AC117" s="751"/>
      <c r="AD117" s="826"/>
    </row>
    <row r="118" spans="2:51" s="278" customFormat="1">
      <c r="B118" s="825"/>
      <c r="C118" s="751" t="s">
        <v>1305</v>
      </c>
      <c r="D118" s="751"/>
      <c r="E118" s="756"/>
      <c r="F118" s="756"/>
      <c r="G118" s="756"/>
      <c r="H118" s="756"/>
      <c r="I118" s="756">
        <f t="shared" ref="I118:L120" si="76">I108/E108</f>
        <v>0.86378712242540268</v>
      </c>
      <c r="J118" s="756">
        <f t="shared" si="76"/>
        <v>0.57421800396654221</v>
      </c>
      <c r="K118" s="756">
        <f t="shared" si="76"/>
        <v>0.65645711631504478</v>
      </c>
      <c r="L118" s="756">
        <f t="shared" si="76"/>
        <v>0.75300802037384407</v>
      </c>
      <c r="M118" s="756">
        <f t="shared" ref="M118:P120" si="77">M108/E108</f>
        <v>0.66858465308236048</v>
      </c>
      <c r="N118" s="756">
        <f t="shared" si="77"/>
        <v>0.82887711428649369</v>
      </c>
      <c r="O118" s="756">
        <f t="shared" si="77"/>
        <v>0.93424372394913746</v>
      </c>
      <c r="P118" s="756">
        <f t="shared" si="77"/>
        <v>0.9582995531056685</v>
      </c>
      <c r="Q118" s="756">
        <f t="shared" ref="Q118:T120" si="78">Q108/E108</f>
        <v>0.94165131697316695</v>
      </c>
      <c r="R118" s="756">
        <f t="shared" si="78"/>
        <v>1.1504173336845125</v>
      </c>
      <c r="S118" s="756">
        <f t="shared" si="78"/>
        <v>1.1378310145697124</v>
      </c>
      <c r="T118" s="756">
        <f t="shared" si="78"/>
        <v>1.0964326745910877</v>
      </c>
      <c r="V118" s="756"/>
      <c r="W118" s="756"/>
      <c r="X118" s="756"/>
      <c r="Y118" s="756">
        <f t="shared" ref="Y118:AD118" si="79">Y108/$X108</f>
        <v>0.75430680732882094</v>
      </c>
      <c r="Z118" s="756">
        <f t="shared" si="79"/>
        <v>0.86761791162194024</v>
      </c>
      <c r="AA118" s="756">
        <f t="shared" si="79"/>
        <v>1.087228024718637</v>
      </c>
      <c r="AB118" s="756">
        <f t="shared" si="79"/>
        <v>1.0846119285473552</v>
      </c>
      <c r="AC118" s="756">
        <f t="shared" si="79"/>
        <v>1.0801744332216037</v>
      </c>
      <c r="AD118" s="827">
        <f t="shared" si="79"/>
        <v>1.0612662177199936</v>
      </c>
    </row>
    <row r="119" spans="2:51" s="278" customFormat="1">
      <c r="B119" s="825"/>
      <c r="C119" s="751" t="s">
        <v>1306</v>
      </c>
      <c r="D119" s="751"/>
      <c r="E119" s="756"/>
      <c r="F119" s="756"/>
      <c r="G119" s="756"/>
      <c r="H119" s="756"/>
      <c r="I119" s="756">
        <f t="shared" si="76"/>
        <v>0.87367743532260511</v>
      </c>
      <c r="J119" s="756">
        <f t="shared" si="76"/>
        <v>0.63729494230905881</v>
      </c>
      <c r="K119" s="756">
        <f t="shared" si="76"/>
        <v>0.56408866542066727</v>
      </c>
      <c r="L119" s="756">
        <f t="shared" si="76"/>
        <v>0.55287195831716129</v>
      </c>
      <c r="M119" s="756">
        <f t="shared" si="77"/>
        <v>0.5388023213331874</v>
      </c>
      <c r="N119" s="756">
        <f t="shared" si="77"/>
        <v>0.7512406582977208</v>
      </c>
      <c r="O119" s="756">
        <f t="shared" si="77"/>
        <v>0.9239087846823486</v>
      </c>
      <c r="P119" s="756">
        <f t="shared" si="77"/>
        <v>0.93257663220128428</v>
      </c>
      <c r="Q119" s="756">
        <f t="shared" si="78"/>
        <v>0.9431729044802255</v>
      </c>
      <c r="R119" s="756">
        <f t="shared" si="78"/>
        <v>1.2000400439160344</v>
      </c>
      <c r="S119" s="756">
        <f t="shared" si="78"/>
        <v>1.2014484111992783</v>
      </c>
      <c r="T119" s="756">
        <f t="shared" si="78"/>
        <v>1.0989461128918001</v>
      </c>
      <c r="V119" s="756"/>
      <c r="W119" s="756"/>
      <c r="X119" s="756"/>
      <c r="Y119" s="756">
        <f t="shared" ref="Y119:AD119" si="80">Y109/$X109</f>
        <v>0.69674985070748108</v>
      </c>
      <c r="Z119" s="756">
        <f t="shared" si="80"/>
        <v>0.80507336204587387</v>
      </c>
      <c r="AA119" s="756">
        <f t="shared" si="80"/>
        <v>1.1190980264575936</v>
      </c>
      <c r="AB119" s="756">
        <f t="shared" si="80"/>
        <v>1.0743414751469953</v>
      </c>
      <c r="AC119" s="756">
        <f t="shared" si="80"/>
        <v>1.0892530375973235</v>
      </c>
      <c r="AD119" s="827">
        <f t="shared" si="80"/>
        <v>1.0973106885644492</v>
      </c>
    </row>
    <row r="120" spans="2:51" s="278" customFormat="1" ht="10.9" thickBot="1">
      <c r="B120" s="829"/>
      <c r="C120" s="830" t="s">
        <v>1307</v>
      </c>
      <c r="D120" s="830"/>
      <c r="E120" s="831"/>
      <c r="F120" s="831"/>
      <c r="G120" s="831"/>
      <c r="H120" s="831"/>
      <c r="I120" s="831">
        <f t="shared" si="76"/>
        <v>0.8963726617796961</v>
      </c>
      <c r="J120" s="831">
        <f t="shared" si="76"/>
        <v>1.0570752946153752</v>
      </c>
      <c r="K120" s="831">
        <f t="shared" si="76"/>
        <v>0.73925810618051269</v>
      </c>
      <c r="L120" s="831">
        <f t="shared" si="76"/>
        <v>0.72533827800901662</v>
      </c>
      <c r="M120" s="831">
        <f t="shared" si="77"/>
        <v>0.72606293506721931</v>
      </c>
      <c r="N120" s="831">
        <f t="shared" si="77"/>
        <v>0.88714841260215227</v>
      </c>
      <c r="O120" s="831">
        <f t="shared" si="77"/>
        <v>0.94882172329307846</v>
      </c>
      <c r="P120" s="831">
        <f t="shared" si="77"/>
        <v>0.97506403711958012</v>
      </c>
      <c r="Q120" s="831">
        <f t="shared" si="78"/>
        <v>0.97243569758842729</v>
      </c>
      <c r="R120" s="831">
        <f t="shared" si="78"/>
        <v>1.1670440939583542</v>
      </c>
      <c r="S120" s="831">
        <f t="shared" si="78"/>
        <v>1.1584297010290949</v>
      </c>
      <c r="T120" s="831">
        <f t="shared" si="78"/>
        <v>1.1597503813567707</v>
      </c>
      <c r="U120" s="774"/>
      <c r="V120" s="831"/>
      <c r="W120" s="831"/>
      <c r="X120" s="831"/>
      <c r="Y120" s="831">
        <f t="shared" ref="Y120:AD120" si="81">Y110/$X110</f>
        <v>0.82376657884493298</v>
      </c>
      <c r="Z120" s="831">
        <f t="shared" si="81"/>
        <v>0.90827242955889176</v>
      </c>
      <c r="AA120" s="831">
        <f t="shared" si="81"/>
        <v>1.1241001069830225</v>
      </c>
      <c r="AB120" s="831">
        <f t="shared" si="81"/>
        <v>1.0939830298034263</v>
      </c>
      <c r="AC120" s="831">
        <f t="shared" si="81"/>
        <v>1.1170169583071954</v>
      </c>
      <c r="AD120" s="832">
        <f t="shared" si="81"/>
        <v>1.1213811789092372</v>
      </c>
    </row>
    <row r="121" spans="2:51" s="278" customFormat="1"/>
    <row r="122" spans="2:51" s="278" customFormat="1" ht="3" customHeight="1">
      <c r="B122" s="867"/>
      <c r="C122" s="867"/>
      <c r="D122" s="867"/>
      <c r="E122" s="867"/>
      <c r="F122" s="867"/>
      <c r="G122" s="867"/>
      <c r="H122" s="867"/>
      <c r="I122" s="867"/>
      <c r="J122" s="867"/>
      <c r="K122" s="867"/>
      <c r="L122" s="867"/>
      <c r="M122" s="867"/>
      <c r="N122" s="867"/>
      <c r="O122" s="867"/>
      <c r="P122" s="867"/>
      <c r="Q122" s="867"/>
      <c r="R122" s="867"/>
      <c r="S122" s="867"/>
      <c r="T122" s="867"/>
      <c r="U122" s="867"/>
      <c r="V122" s="867"/>
      <c r="W122" s="867"/>
      <c r="X122" s="867"/>
      <c r="Y122" s="867"/>
      <c r="Z122" s="867"/>
      <c r="AA122" s="867"/>
      <c r="AB122" s="867"/>
      <c r="AC122" s="867"/>
      <c r="AD122" s="867"/>
    </row>
    <row r="123" spans="2:51" s="278" customFormat="1" ht="10.9" thickBot="1"/>
    <row r="124" spans="2:51" s="278" customFormat="1">
      <c r="B124" s="816"/>
      <c r="C124" s="817" t="s">
        <v>569</v>
      </c>
      <c r="D124" s="818"/>
      <c r="E124" s="833"/>
      <c r="F124" s="833"/>
      <c r="G124" s="833"/>
      <c r="H124" s="833"/>
      <c r="I124" s="833"/>
      <c r="J124" s="833"/>
      <c r="K124" s="833"/>
      <c r="L124" s="833"/>
      <c r="M124" s="833"/>
      <c r="N124" s="833"/>
      <c r="O124" s="833"/>
      <c r="P124" s="833"/>
      <c r="Q124" s="833"/>
      <c r="R124" s="833"/>
      <c r="S124" s="833"/>
      <c r="T124" s="833"/>
      <c r="U124" s="562"/>
      <c r="V124" s="833"/>
      <c r="W124" s="833"/>
      <c r="X124" s="833"/>
      <c r="Y124" s="833"/>
      <c r="Z124" s="833"/>
      <c r="AA124" s="833"/>
      <c r="AB124" s="833"/>
      <c r="AC124" s="833"/>
      <c r="AD124" s="834"/>
    </row>
    <row r="125" spans="2:51" s="279" customFormat="1">
      <c r="B125" s="822"/>
      <c r="C125" s="716" t="s">
        <v>1305</v>
      </c>
      <c r="D125" s="716"/>
      <c r="E125" s="717">
        <f>'AAL KPI'!E220</f>
        <v>2.040835707502374</v>
      </c>
      <c r="F125" s="717">
        <f>'AAL KPI'!F220</f>
        <v>2.1433506044905011</v>
      </c>
      <c r="G125" s="717">
        <f>'AAL KPI'!G220</f>
        <v>2.0463192721257237</v>
      </c>
      <c r="H125" s="717">
        <f>'AAL KPI'!H220</f>
        <v>2.0501342882721576</v>
      </c>
      <c r="I125" s="717">
        <f>'AAL KPI'!I220</f>
        <v>1.8353909465020577</v>
      </c>
      <c r="J125" s="717">
        <f>'AAL KPI'!J220</f>
        <v>1.1236363636363635</v>
      </c>
      <c r="K125" s="717">
        <f>'AAL KPI'!K220</f>
        <v>1.2244488977955912</v>
      </c>
      <c r="L125" s="717">
        <f>'AAL KPI'!L220</f>
        <v>1.2644927536231885</v>
      </c>
      <c r="M125" s="717">
        <f>'AAL KPI'!M220</f>
        <v>1.700657894736842</v>
      </c>
      <c r="N125" s="717">
        <f>'AAL KPI'!N220</f>
        <v>1.9087677725118484</v>
      </c>
      <c r="O125" s="717">
        <f>'AAL KPI'!O220</f>
        <v>2.0743889479277366</v>
      </c>
      <c r="P125" s="717">
        <f>'AAL KPI'!P220</f>
        <v>2.3587540279269601</v>
      </c>
      <c r="Q125" s="717">
        <f>'AAL KPI'!Q220</f>
        <v>2.7986577181208054</v>
      </c>
      <c r="R125" s="717">
        <f>'AAL KPI'!R220</f>
        <v>4.5754666666666663</v>
      </c>
      <c r="S125" s="717">
        <f>'AAL KPI'!S220</f>
        <v>3.8571680000000002</v>
      </c>
      <c r="T125" s="717">
        <f>'AAL KPI'!T220</f>
        <v>3.4961386666666665</v>
      </c>
      <c r="U125" s="387"/>
      <c r="V125" s="717">
        <f>'AAL KPI'!V220</f>
        <v>1.7256433823529411</v>
      </c>
      <c r="W125" s="717">
        <f>'AAL KPI'!W220</f>
        <v>2.2253204407465708</v>
      </c>
      <c r="X125" s="717">
        <f>'AAL KPI'!X220</f>
        <v>2.0707515979722282</v>
      </c>
      <c r="Y125" s="717">
        <f>'AAL KPI'!Y220</f>
        <v>1.4804177545691906</v>
      </c>
      <c r="Z125" s="717">
        <f>'AAL KPI'!Z220</f>
        <v>2.0436221419975933</v>
      </c>
      <c r="AA125" s="717">
        <f>'AAL KPI'!AA220</f>
        <v>3.7123235109288464</v>
      </c>
      <c r="AB125" s="717">
        <f>'AAL KPI'!AB220</f>
        <v>3.1412982500000006</v>
      </c>
      <c r="AC125" s="717">
        <f>'AAL KPI'!AC220</f>
        <v>2.7843777500000004</v>
      </c>
      <c r="AD125" s="841">
        <f>'AAL KPI'!AD220</f>
        <v>2.7843777500000004</v>
      </c>
    </row>
    <row r="126" spans="2:51" s="279" customFormat="1">
      <c r="B126" s="822"/>
      <c r="C126" s="716" t="s">
        <v>1306</v>
      </c>
      <c r="D126" s="716"/>
      <c r="E126" s="717">
        <f>'DAL KPI'!E302</f>
        <v>2.0405405405405403</v>
      </c>
      <c r="F126" s="717">
        <f>'DAL KPI'!F302</f>
        <v>2.0682438580527753</v>
      </c>
      <c r="G126" s="717">
        <f>'DAL KPI'!G302</f>
        <v>1.9558058925476602</v>
      </c>
      <c r="H126" s="717">
        <f>'DAL KPI'!H302</f>
        <v>1.9859859859859861</v>
      </c>
      <c r="I126" s="717">
        <f>'DAL KPI'!I302</f>
        <v>1.8204545454545455</v>
      </c>
      <c r="J126" s="717">
        <f>'DAL KPI'!J302</f>
        <v>2.1696969696969699</v>
      </c>
      <c r="K126" s="717">
        <f>'DAL KPI'!K302</f>
        <v>1.2506393861892584</v>
      </c>
      <c r="L126" s="717">
        <f>'DAL KPI'!L302</f>
        <v>1.4397590361445782</v>
      </c>
      <c r="M126" s="717">
        <f>'DAL KPI'!M302</f>
        <v>1.9082568807339451</v>
      </c>
      <c r="N126" s="717">
        <f>'DAL KPI'!N302</f>
        <v>2.1202898550724636</v>
      </c>
      <c r="O126" s="717">
        <f>'DAL KPI'!O302</f>
        <v>1.9429657794676807</v>
      </c>
      <c r="P126" s="717">
        <f>'DAL KPI'!P302</f>
        <v>2.1033112582781457</v>
      </c>
      <c r="Q126" s="717">
        <f>'DAL KPI'!Q302</f>
        <v>2.7909454061251666</v>
      </c>
      <c r="R126" s="717">
        <f ca="1">'DAL KPI'!R302</f>
        <v>3.8192352259559676</v>
      </c>
      <c r="S126" s="717">
        <f ca="1">'DAL KPI'!S302</f>
        <v>3.515676672585121</v>
      </c>
      <c r="T126" s="717">
        <f ca="1">'DAL KPI'!T302</f>
        <v>3.4008849679268094</v>
      </c>
      <c r="U126" s="387"/>
      <c r="V126" s="717">
        <f>'DAL KPI'!V302</f>
        <v>1.7398313492063493</v>
      </c>
      <c r="W126" s="717">
        <f>'DAL KPI'!W302</f>
        <v>2.2059324094335033</v>
      </c>
      <c r="X126" s="717">
        <f>'DAL KPI'!X302</f>
        <v>2.0116279069767442</v>
      </c>
      <c r="Y126" s="717">
        <f>'DAL KPI'!Y302</f>
        <v>1.6370217166494312</v>
      </c>
      <c r="Z126" s="717">
        <f>'DAL KPI'!Z302</f>
        <v>2.023749550197913</v>
      </c>
      <c r="AA126" s="717">
        <f ca="1">'DAL KPI'!AA302</f>
        <v>3.4041115233789472</v>
      </c>
      <c r="AB126" s="717">
        <f>'DAL KPI'!AB302</f>
        <v>3.2054173460937196</v>
      </c>
      <c r="AC126" s="717">
        <f>'DAL KPI'!AC302</f>
        <v>2.843204835448029</v>
      </c>
      <c r="AD126" s="841">
        <f>'DAL KPI'!AD302</f>
        <v>2.8426665811472747</v>
      </c>
    </row>
    <row r="127" spans="2:51" s="279" customFormat="1">
      <c r="B127" s="822"/>
      <c r="C127" s="716" t="s">
        <v>1307</v>
      </c>
      <c r="D127" s="716"/>
      <c r="E127" s="717">
        <f>'UAL KPI'!E205</f>
        <v>2.0538071065989847</v>
      </c>
      <c r="F127" s="717">
        <f>'UAL KPI'!F205</f>
        <v>2.164246823956443</v>
      </c>
      <c r="G127" s="717">
        <f>'UAL KPI'!G205</f>
        <v>2.0246913580246915</v>
      </c>
      <c r="H127" s="717">
        <f>'UAL KPI'!H205</f>
        <v>2.0999066293183941</v>
      </c>
      <c r="I127" s="717">
        <f>'UAL KPI'!I205</f>
        <v>1.8967032967032966</v>
      </c>
      <c r="J127" s="717">
        <f>'UAL KPI'!J205</f>
        <v>1.1764705882352942</v>
      </c>
      <c r="K127" s="717">
        <f>'UAL KPI'!K205</f>
        <v>1.3126614987080103</v>
      </c>
      <c r="L127" s="717">
        <f>'UAL KPI'!L205</f>
        <v>1.3499005964214712</v>
      </c>
      <c r="M127" s="717">
        <f>'UAL KPI'!M205</f>
        <v>1.736734693877551</v>
      </c>
      <c r="N127" s="717">
        <f>'UAL KPI'!N205</f>
        <v>1.9712000000000001</v>
      </c>
      <c r="O127" s="717">
        <f>'UAL KPI'!O205</f>
        <v>2.1375000000000002</v>
      </c>
      <c r="P127" s="717">
        <f>'UAL KPI'!P205</f>
        <v>2.4103194103194103</v>
      </c>
      <c r="Q127" s="717">
        <f>'UAL KPI'!Q205</f>
        <v>2.8774193548387097</v>
      </c>
      <c r="R127" s="717">
        <f>'UAL KPI'!R205</f>
        <v>4.3367466666666674</v>
      </c>
      <c r="S127" s="717">
        <f>'UAL KPI'!S205</f>
        <v>3.8743874999999997</v>
      </c>
      <c r="T127" s="717">
        <f>'UAL KPI'!T205</f>
        <v>3.5282133333333334</v>
      </c>
      <c r="U127" s="387"/>
      <c r="V127" s="717">
        <f>'UAL KPI'!V205</f>
        <v>1.7378079436902967</v>
      </c>
      <c r="W127" s="717">
        <f>'UAL KPI'!W205</f>
        <v>2.2496978486826205</v>
      </c>
      <c r="X127" s="717">
        <f>'UAL KPI'!X205</f>
        <v>2.0859739049394221</v>
      </c>
      <c r="Y127" s="717">
        <f>'UAL KPI'!Y205</f>
        <v>1.5733532934131738</v>
      </c>
      <c r="Z127" s="717">
        <f>'UAL KPI'!Z205</f>
        <v>2.1088310736533531</v>
      </c>
      <c r="AA127" s="717">
        <f>'UAL KPI'!AA205</f>
        <v>3.6907731107319646</v>
      </c>
      <c r="AB127" s="717">
        <f>'UAL KPI'!AB205</f>
        <v>3.1701175000000004</v>
      </c>
      <c r="AC127" s="717">
        <f>'UAL KPI'!AC205</f>
        <v>2.8099225000000003</v>
      </c>
      <c r="AD127" s="841">
        <f>'UAL KPI'!AD205</f>
        <v>2.8099225000000003</v>
      </c>
      <c r="AR127" s="253"/>
      <c r="AS127" s="253"/>
      <c r="AT127" s="253"/>
      <c r="AV127" s="253"/>
      <c r="AW127" s="253"/>
      <c r="AX127" s="253"/>
      <c r="AY127" s="253"/>
    </row>
    <row r="128" spans="2:51" s="279" customFormat="1" ht="4.05" customHeight="1">
      <c r="B128" s="576"/>
      <c r="C128" s="680"/>
      <c r="E128" s="840"/>
      <c r="F128" s="840"/>
      <c r="G128" s="840"/>
      <c r="H128" s="840"/>
      <c r="I128" s="840"/>
      <c r="J128" s="840"/>
      <c r="K128" s="840"/>
      <c r="L128" s="840"/>
      <c r="M128" s="840"/>
      <c r="N128" s="840"/>
      <c r="O128" s="840"/>
      <c r="P128" s="840"/>
      <c r="Q128" s="840"/>
      <c r="R128" s="840"/>
      <c r="S128" s="840"/>
      <c r="T128" s="840"/>
      <c r="U128" s="255"/>
      <c r="V128" s="840"/>
      <c r="W128" s="840"/>
      <c r="X128" s="840"/>
      <c r="Y128" s="840"/>
      <c r="Z128" s="840"/>
      <c r="AA128" s="840"/>
      <c r="AB128" s="840"/>
      <c r="AC128" s="840"/>
      <c r="AD128" s="854"/>
      <c r="AR128" s="253"/>
      <c r="AS128" s="253"/>
      <c r="AT128" s="253"/>
      <c r="AV128" s="253"/>
      <c r="AW128" s="253"/>
      <c r="AX128" s="253"/>
      <c r="AY128" s="253"/>
    </row>
    <row r="129" spans="2:51" s="279" customFormat="1">
      <c r="B129" s="842"/>
      <c r="C129" s="843" t="s">
        <v>570</v>
      </c>
      <c r="D129" s="844"/>
      <c r="E129" s="845">
        <f>SUMIF(Info!$C$6:$C$101,E$6,Info!$E$6:$E$101)</f>
        <v>1.8666666666666665</v>
      </c>
      <c r="F129" s="845">
        <f>SUMIF(Info!$C$6:$C$101,F$6,Info!$E$6:$E$101)</f>
        <v>1.9219999999999999</v>
      </c>
      <c r="G129" s="845">
        <f>SUMIF(Info!$C$6:$C$101,G$6,Info!$E$6:$E$101)</f>
        <v>1.8623333333333332</v>
      </c>
      <c r="H129" s="845">
        <f>SUMIF(Info!$C$6:$C$101,H$6,Info!$E$6:$E$101)</f>
        <v>1.8593333333333335</v>
      </c>
      <c r="I129" s="845">
        <f>SUMIF(Info!$C$6:$C$101,I$6,Info!$E$6:$E$101)</f>
        <v>1.4106666666666667</v>
      </c>
      <c r="J129" s="845">
        <f>SUMIF(Info!$C$6:$C$101,J$6,Info!$E$6:$E$101)</f>
        <v>0.7583333333333333</v>
      </c>
      <c r="K129" s="845">
        <f>SUMIF(Info!$C$6:$C$101,K$6,Info!$E$6:$E$101)</f>
        <v>1.0673333333333332</v>
      </c>
      <c r="L129" s="845">
        <f>SUMIF(Info!$C$6:$C$101,L$6,Info!$E$6:$E$101)</f>
        <v>1.1679999999999999</v>
      </c>
      <c r="M129" s="845">
        <f>SUMIF(Info!$C$6:$C$101,M$6,Info!$E$6:$E$101)</f>
        <v>1.5606666666666669</v>
      </c>
      <c r="N129" s="845">
        <f>SUMIF(Info!$C$6:$C$101,N$6,Info!$E$6:$E$101)</f>
        <v>1.7593333333333334</v>
      </c>
      <c r="O129" s="845">
        <f>SUMIF(Info!$C$6:$C$101,O$6,Info!$E$6:$E$101)</f>
        <v>1.9023333333333332</v>
      </c>
      <c r="P129" s="845">
        <f>SUMIF(Info!$C$6:$C$101,P$6,Info!$E$6:$E$101)</f>
        <v>2.1946666666666665</v>
      </c>
      <c r="Q129" s="845">
        <f>SUMIF(Info!$C$6:$C$101,Q$6,Info!$E$6:$E$101)</f>
        <v>2.8743333333333339</v>
      </c>
      <c r="R129" s="845">
        <f>SUMIF(Info!$C$6:$C$101,R$6,Info!$E$6:$E$101)</f>
        <v>3.9786666666666668</v>
      </c>
      <c r="S129" s="845">
        <f>SUMIF(Info!$C$6:$C$101,S$6,Info!$E$6:$E$101)</f>
        <v>3.4438999999999997</v>
      </c>
      <c r="T129" s="845">
        <f>SUMIF(Info!$C$6:$C$101,T$6,Info!$E$6:$E$101)</f>
        <v>3.2074666666666665</v>
      </c>
      <c r="U129" s="846"/>
      <c r="V129" s="845">
        <f>SUMIF(Info!$C$6:$C$101,V$6,Info!$F$6:$F$101)</f>
        <v>1.5614166666666665</v>
      </c>
      <c r="W129" s="845">
        <f>SUMIF(Info!$C$6:$C$101,W$6,Info!$F$6:$F$101)</f>
        <v>2.0314583333333331</v>
      </c>
      <c r="X129" s="845">
        <f>SUMIF(Info!$C$6:$C$101,X$6,Info!$F$6:$F$101)</f>
        <v>1.8775833333333334</v>
      </c>
      <c r="Y129" s="845">
        <f>SUMIF(Info!$C$6:$C$101,Y$6,Info!$F$6:$F$101)</f>
        <v>1.1010833333333334</v>
      </c>
      <c r="Z129" s="845">
        <f>SUMIF(Info!$C$6:$C$101,Z$6,Info!$F$6:$F$101)</f>
        <v>1.85425</v>
      </c>
      <c r="AA129" s="845">
        <f>SUMIF(Info!$C$6:$C$101,AA$6,Info!$F$6:$F$101)</f>
        <v>3.3760916666666669</v>
      </c>
      <c r="AB129" s="845">
        <f>SUMIF(Info!$C$6:$C$101,AB$6,Info!$F$6:$F$101)</f>
        <v>2.8819250000000003</v>
      </c>
      <c r="AC129" s="845">
        <f>SUMIF(Info!$C$6:$C$101,AC$6,Info!$F$6:$F$101)</f>
        <v>2.5544750000000001</v>
      </c>
      <c r="AD129" s="847">
        <f>AC129</f>
        <v>2.5544750000000001</v>
      </c>
      <c r="AR129" s="253"/>
      <c r="AS129" s="253"/>
      <c r="AT129" s="253"/>
      <c r="AV129" s="253"/>
      <c r="AW129" s="253"/>
      <c r="AX129" s="253"/>
      <c r="AY129" s="253"/>
    </row>
    <row r="130" spans="2:51" s="279" customFormat="1">
      <c r="B130" s="848"/>
      <c r="C130" s="849" t="s">
        <v>579</v>
      </c>
      <c r="D130" s="850"/>
      <c r="E130" s="851">
        <f>SUMIF(Info!$H$8:$H$69,E$6,Info!$S$8:$S$69)</f>
        <v>1.97</v>
      </c>
      <c r="F130" s="851">
        <f>SUMIF(Info!$H$8:$H$69,F$6,Info!$S$8:$S$69)</f>
        <v>2.06</v>
      </c>
      <c r="G130" s="851">
        <f>SUMIF(Info!$H$8:$H$69,G$6,Info!$S$8:$S$69)</f>
        <v>1.96</v>
      </c>
      <c r="H130" s="851">
        <f>SUMIF(Info!$H$8:$H$69,H$6,Info!$S$8:$S$69)</f>
        <v>1.9866666666666666</v>
      </c>
      <c r="I130" s="851">
        <f>SUMIF(Info!$H$8:$H$69,I$6,Info!$S$8:$S$69)</f>
        <v>1.7566666666666666</v>
      </c>
      <c r="J130" s="851">
        <f>SUMIF(Info!$H$8:$H$69,J$6,Info!$S$8:$S$69)</f>
        <v>1.1633333333333333</v>
      </c>
      <c r="K130" s="851">
        <f>SUMIF(Info!$H$8:$H$69,K$6,Info!$S$8:$S$69)</f>
        <v>1.1833333333333333</v>
      </c>
      <c r="L130" s="851">
        <f>SUMIF(Info!$H$8:$H$69,L$6,Info!$S$8:$S$69)</f>
        <v>1.2633333333333334</v>
      </c>
      <c r="M130" s="851">
        <f>SUMIF(Info!$H$8:$H$69,M$6,Info!$S$8:$S$69)</f>
        <v>1.6533333333333335</v>
      </c>
      <c r="N130" s="851">
        <f>SUMIF(Info!$H$8:$H$69,N$6,Info!$S$8:$S$69)</f>
        <v>1.9166666666666667</v>
      </c>
      <c r="O130" s="851">
        <f>SUMIF(Info!$H$8:$H$69,O$6,Info!$S$8:$S$69)</f>
        <v>1.9833333333333334</v>
      </c>
      <c r="P130" s="851">
        <f>SUMIF(Info!$H$8:$H$69,P$6,Info!$S$8:$S$69)</f>
        <v>2.2266666666666666</v>
      </c>
      <c r="Q130" s="851"/>
      <c r="R130" s="851"/>
      <c r="S130" s="851"/>
      <c r="T130" s="851"/>
      <c r="U130" s="852"/>
      <c r="V130" s="851">
        <f>SUMIF(Info!$H$8:$H$69,V$6,Info!$T$8:$T$69)</f>
        <v>1.6950000000000001</v>
      </c>
      <c r="W130" s="851">
        <f>SUMIF(Info!$H$8:$H$69,W$6,Info!$T$8:$T$69)</f>
        <v>2.1491666666666664</v>
      </c>
      <c r="X130" s="851">
        <f>SUMIF(Info!$H$8:$H$69,X$6,Info!$T$8:$T$69)</f>
        <v>1.9941666666666666</v>
      </c>
      <c r="Y130" s="851">
        <f>SUMIF(Info!$H$8:$H$69,Y$6,Info!$T$8:$T$69)</f>
        <v>1.3416666666666668</v>
      </c>
      <c r="Z130" s="851">
        <f>SUMIF(Info!$H$8:$H$69,Z$6,Info!$T$8:$T$69)</f>
        <v>1.9450000000000001</v>
      </c>
      <c r="AA130" s="851"/>
      <c r="AB130" s="851"/>
      <c r="AC130" s="851"/>
      <c r="AD130" s="853"/>
      <c r="AR130" s="253"/>
      <c r="AS130" s="253"/>
      <c r="AT130" s="253"/>
      <c r="AV130" s="253"/>
      <c r="AW130" s="253"/>
      <c r="AX130" s="253"/>
      <c r="AY130" s="253"/>
    </row>
    <row r="131" spans="2:51" s="380" customFormat="1" ht="11.25" customHeight="1">
      <c r="B131" s="662"/>
      <c r="C131" s="253"/>
      <c r="E131" s="564"/>
      <c r="F131" s="564"/>
      <c r="G131" s="564"/>
      <c r="H131" s="564"/>
      <c r="I131" s="564"/>
      <c r="J131" s="564"/>
      <c r="K131" s="564"/>
      <c r="L131" s="564"/>
      <c r="M131" s="564"/>
      <c r="N131" s="564"/>
      <c r="O131" s="564"/>
      <c r="P131" s="564"/>
      <c r="Q131" s="387"/>
      <c r="R131" s="387"/>
      <c r="S131" s="387"/>
      <c r="T131" s="387"/>
      <c r="U131" s="387"/>
      <c r="V131" s="564"/>
      <c r="W131" s="564"/>
      <c r="X131" s="564"/>
      <c r="Y131" s="564"/>
      <c r="Z131" s="564"/>
      <c r="AA131" s="387"/>
      <c r="AB131" s="387"/>
      <c r="AC131" s="387"/>
      <c r="AD131" s="445"/>
    </row>
    <row r="132" spans="2:51" s="278" customFormat="1">
      <c r="B132" s="825"/>
      <c r="C132" s="773" t="s">
        <v>1426</v>
      </c>
      <c r="D132" s="751"/>
      <c r="E132" s="751"/>
      <c r="F132" s="751"/>
      <c r="G132" s="751"/>
      <c r="H132" s="751"/>
      <c r="I132" s="751"/>
      <c r="J132" s="751"/>
      <c r="K132" s="751"/>
      <c r="L132" s="751"/>
      <c r="M132" s="751"/>
      <c r="N132" s="751"/>
      <c r="O132" s="751"/>
      <c r="P132" s="751"/>
      <c r="Q132" s="751"/>
      <c r="R132" s="751"/>
      <c r="S132" s="751"/>
      <c r="T132" s="751"/>
      <c r="U132" s="253"/>
      <c r="V132" s="751"/>
      <c r="W132" s="751"/>
      <c r="X132" s="751"/>
      <c r="Y132" s="751"/>
      <c r="Z132" s="751"/>
      <c r="AA132" s="751"/>
      <c r="AB132" s="751"/>
      <c r="AC132" s="751"/>
      <c r="AD132" s="826"/>
    </row>
    <row r="133" spans="2:51" s="278" customFormat="1">
      <c r="B133" s="825"/>
      <c r="C133" s="751" t="s">
        <v>1305</v>
      </c>
      <c r="D133" s="751"/>
      <c r="E133" s="756">
        <f t="shared" ref="E133:T133" si="82">E125/E$129-1</f>
        <v>9.3304843304843343E-2</v>
      </c>
      <c r="F133" s="756">
        <f t="shared" si="82"/>
        <v>0.11516680774739907</v>
      </c>
      <c r="G133" s="756">
        <f t="shared" si="82"/>
        <v>9.8793237225196284E-2</v>
      </c>
      <c r="H133" s="756">
        <f t="shared" si="82"/>
        <v>0.10261793919262674</v>
      </c>
      <c r="I133" s="756">
        <f t="shared" si="82"/>
        <v>0.30108053863567408</v>
      </c>
      <c r="J133" s="756">
        <f t="shared" si="82"/>
        <v>0.48171828171828168</v>
      </c>
      <c r="K133" s="756">
        <f t="shared" si="82"/>
        <v>0.14720383928381442</v>
      </c>
      <c r="L133" s="756">
        <f t="shared" si="82"/>
        <v>8.2613658923962774E-2</v>
      </c>
      <c r="M133" s="756">
        <f t="shared" si="82"/>
        <v>8.9699633534926493E-2</v>
      </c>
      <c r="N133" s="756">
        <f t="shared" si="82"/>
        <v>8.4938104876003173E-2</v>
      </c>
      <c r="O133" s="756">
        <f t="shared" si="82"/>
        <v>9.0444514417944655E-2</v>
      </c>
      <c r="P133" s="756">
        <f t="shared" si="82"/>
        <v>7.4766416127108215E-2</v>
      </c>
      <c r="Q133" s="756">
        <f t="shared" si="82"/>
        <v>-2.6328058174369118E-2</v>
      </c>
      <c r="R133" s="756">
        <f t="shared" si="82"/>
        <v>0.14999999999999991</v>
      </c>
      <c r="S133" s="756">
        <f t="shared" si="82"/>
        <v>0.12000000000000011</v>
      </c>
      <c r="T133" s="756">
        <f t="shared" si="82"/>
        <v>9.000000000000008E-2</v>
      </c>
      <c r="U133" s="253"/>
      <c r="V133" s="756">
        <f t="shared" ref="V133:AD133" si="83">V125/V$129-1</f>
        <v>0.10517802146743316</v>
      </c>
      <c r="W133" s="756">
        <f t="shared" si="83"/>
        <v>9.5430019032257229E-2</v>
      </c>
      <c r="X133" s="756">
        <f t="shared" si="83"/>
        <v>0.10288132686816986</v>
      </c>
      <c r="Y133" s="756">
        <f t="shared" si="83"/>
        <v>0.34451018351852603</v>
      </c>
      <c r="Z133" s="756">
        <f t="shared" si="83"/>
        <v>0.10212870001218466</v>
      </c>
      <c r="AA133" s="756">
        <f t="shared" si="83"/>
        <v>9.9592036431330966E-2</v>
      </c>
      <c r="AB133" s="756">
        <f t="shared" si="83"/>
        <v>9.000000000000008E-2</v>
      </c>
      <c r="AC133" s="756">
        <f t="shared" si="83"/>
        <v>9.000000000000008E-2</v>
      </c>
      <c r="AD133" s="827">
        <f t="shared" si="83"/>
        <v>9.000000000000008E-2</v>
      </c>
    </row>
    <row r="134" spans="2:51" s="278" customFormat="1">
      <c r="B134" s="825"/>
      <c r="C134" s="751" t="s">
        <v>1306</v>
      </c>
      <c r="D134" s="751"/>
      <c r="E134" s="756">
        <f t="shared" ref="E134:T134" si="84">E126/E$129-1</f>
        <v>9.3146718146718266E-2</v>
      </c>
      <c r="F134" s="756">
        <f t="shared" si="84"/>
        <v>7.6089416260549214E-2</v>
      </c>
      <c r="G134" s="756">
        <f t="shared" si="84"/>
        <v>5.0191100347768192E-2</v>
      </c>
      <c r="H134" s="756">
        <f t="shared" si="84"/>
        <v>6.8117238787730017E-2</v>
      </c>
      <c r="I134" s="756">
        <f t="shared" si="84"/>
        <v>0.2904923526379104</v>
      </c>
      <c r="J134" s="756">
        <f t="shared" si="84"/>
        <v>1.8611388611388615</v>
      </c>
      <c r="K134" s="756">
        <f t="shared" si="84"/>
        <v>0.17174208574883676</v>
      </c>
      <c r="L134" s="756">
        <f t="shared" si="84"/>
        <v>0.23267040765802949</v>
      </c>
      <c r="M134" s="756">
        <f t="shared" si="84"/>
        <v>0.22271906070094705</v>
      </c>
      <c r="N134" s="756">
        <f t="shared" si="84"/>
        <v>0.20516664744550783</v>
      </c>
      <c r="O134" s="756">
        <f t="shared" si="84"/>
        <v>2.1359267286322536E-2</v>
      </c>
      <c r="P134" s="756">
        <f t="shared" si="84"/>
        <v>-4.1626097382375882E-2</v>
      </c>
      <c r="Q134" s="756">
        <f t="shared" si="84"/>
        <v>-2.9011223660501129E-2</v>
      </c>
      <c r="R134" s="756">
        <f t="shared" ca="1" si="84"/>
        <v>-4.0071575245651636E-2</v>
      </c>
      <c r="S134" s="756">
        <f t="shared" ca="1" si="84"/>
        <v>2.0841683145596868E-2</v>
      </c>
      <c r="T134" s="756">
        <f t="shared" ca="1" si="84"/>
        <v>6.0302513279475889E-2</v>
      </c>
      <c r="U134" s="253"/>
      <c r="V134" s="756">
        <f t="shared" ref="V134:AD134" si="85">V126/V$129-1</f>
        <v>0.11426462029546847</v>
      </c>
      <c r="W134" s="756">
        <f t="shared" si="85"/>
        <v>8.5886120939474564E-2</v>
      </c>
      <c r="X134" s="756">
        <f t="shared" si="85"/>
        <v>7.1392076859479348E-2</v>
      </c>
      <c r="Y134" s="756">
        <f t="shared" si="85"/>
        <v>0.48673734956430592</v>
      </c>
      <c r="Z134" s="756">
        <f t="shared" si="85"/>
        <v>9.1411379370588186E-2</v>
      </c>
      <c r="AA134" s="756">
        <f t="shared" ca="1" si="85"/>
        <v>8.2994952385120335E-3</v>
      </c>
      <c r="AB134" s="756">
        <f t="shared" si="85"/>
        <v>0.1122487039370279</v>
      </c>
      <c r="AC134" s="756">
        <f t="shared" si="85"/>
        <v>0.11302903158106026</v>
      </c>
      <c r="AD134" s="827">
        <f t="shared" si="85"/>
        <v>0.11281832123910962</v>
      </c>
    </row>
    <row r="135" spans="2:51" s="278" customFormat="1">
      <c r="B135" s="825"/>
      <c r="C135" s="751" t="s">
        <v>1307</v>
      </c>
      <c r="D135" s="751"/>
      <c r="E135" s="756">
        <f t="shared" ref="E135:T135" si="86">E127/E$129-1</f>
        <v>0.10025380710659904</v>
      </c>
      <c r="F135" s="756">
        <f t="shared" si="86"/>
        <v>0.12603893025829493</v>
      </c>
      <c r="G135" s="756">
        <f t="shared" si="86"/>
        <v>8.7179895126915152E-2</v>
      </c>
      <c r="H135" s="756">
        <f t="shared" si="86"/>
        <v>0.12938685692993568</v>
      </c>
      <c r="I135" s="756">
        <f t="shared" si="86"/>
        <v>0.3445439248841895</v>
      </c>
      <c r="J135" s="756">
        <f t="shared" si="86"/>
        <v>0.55138978668390437</v>
      </c>
      <c r="K135" s="756">
        <f t="shared" si="86"/>
        <v>0.22985149785260184</v>
      </c>
      <c r="L135" s="756">
        <f t="shared" si="86"/>
        <v>0.15573681200468426</v>
      </c>
      <c r="M135" s="756">
        <f t="shared" si="86"/>
        <v>0.11281590808044695</v>
      </c>
      <c r="N135" s="756">
        <f t="shared" si="86"/>
        <v>0.12042440318302394</v>
      </c>
      <c r="O135" s="756">
        <f t="shared" si="86"/>
        <v>0.12362011564745057</v>
      </c>
      <c r="P135" s="756">
        <f t="shared" si="86"/>
        <v>9.826218574699741E-2</v>
      </c>
      <c r="Q135" s="756">
        <f t="shared" si="86"/>
        <v>1.0736477462747196E-3</v>
      </c>
      <c r="R135" s="756">
        <f t="shared" si="86"/>
        <v>9.000000000000008E-2</v>
      </c>
      <c r="S135" s="756">
        <f t="shared" si="86"/>
        <v>0.125</v>
      </c>
      <c r="T135" s="756">
        <f t="shared" si="86"/>
        <v>0.10000000000000009</v>
      </c>
      <c r="U135" s="253"/>
      <c r="V135" s="756">
        <f t="shared" ref="V135:AD135" si="87">V127/V$129-1</f>
        <v>0.1129687422897776</v>
      </c>
      <c r="W135" s="756">
        <f t="shared" si="87"/>
        <v>0.10742997371311458</v>
      </c>
      <c r="X135" s="756">
        <f t="shared" si="87"/>
        <v>0.11098872039736651</v>
      </c>
      <c r="Y135" s="756">
        <f t="shared" si="87"/>
        <v>0.4289139121288188</v>
      </c>
      <c r="Z135" s="756">
        <f t="shared" si="87"/>
        <v>0.13729598147679822</v>
      </c>
      <c r="AA135" s="756">
        <f t="shared" si="87"/>
        <v>9.3208797371308716E-2</v>
      </c>
      <c r="AB135" s="756">
        <f t="shared" si="87"/>
        <v>0.10000000000000009</v>
      </c>
      <c r="AC135" s="756">
        <f t="shared" si="87"/>
        <v>0.10000000000000009</v>
      </c>
      <c r="AD135" s="827">
        <f t="shared" si="87"/>
        <v>0.10000000000000009</v>
      </c>
    </row>
    <row r="136" spans="2:51" s="499" customFormat="1" ht="4.05" customHeight="1">
      <c r="B136" s="584"/>
      <c r="C136" s="253"/>
      <c r="E136" s="571"/>
      <c r="F136" s="571"/>
      <c r="G136" s="571"/>
      <c r="H136" s="571"/>
      <c r="I136" s="571"/>
      <c r="J136" s="571"/>
      <c r="K136" s="571"/>
      <c r="L136" s="571"/>
      <c r="M136" s="571"/>
      <c r="N136" s="571"/>
      <c r="O136" s="571"/>
      <c r="P136" s="571"/>
      <c r="Q136" s="571"/>
      <c r="R136" s="571"/>
      <c r="S136" s="571"/>
      <c r="T136" s="571"/>
      <c r="U136" s="287"/>
      <c r="V136" s="571"/>
      <c r="W136" s="571"/>
      <c r="X136" s="571"/>
      <c r="Y136" s="571"/>
      <c r="Z136" s="571"/>
      <c r="AA136" s="571"/>
      <c r="AB136" s="571"/>
      <c r="AC136" s="571"/>
      <c r="AD136" s="855"/>
    </row>
    <row r="137" spans="2:51" s="278" customFormat="1">
      <c r="B137" s="825"/>
      <c r="C137" s="773" t="s">
        <v>1427</v>
      </c>
      <c r="D137" s="751"/>
      <c r="E137" s="751"/>
      <c r="F137" s="751"/>
      <c r="G137" s="751"/>
      <c r="H137" s="751"/>
      <c r="I137" s="751"/>
      <c r="J137" s="751"/>
      <c r="K137" s="751"/>
      <c r="L137" s="751"/>
      <c r="M137" s="751"/>
      <c r="N137" s="751"/>
      <c r="O137" s="751"/>
      <c r="P137" s="751"/>
      <c r="Q137" s="751"/>
      <c r="R137" s="751"/>
      <c r="S137" s="751"/>
      <c r="T137" s="751"/>
      <c r="U137" s="253"/>
      <c r="V137" s="751"/>
      <c r="W137" s="751"/>
      <c r="X137" s="751"/>
      <c r="Y137" s="751"/>
      <c r="Z137" s="751"/>
      <c r="AA137" s="751"/>
      <c r="AB137" s="751"/>
      <c r="AC137" s="751"/>
      <c r="AD137" s="826"/>
    </row>
    <row r="138" spans="2:51" s="278" customFormat="1">
      <c r="B138" s="825"/>
      <c r="C138" s="751" t="s">
        <v>1305</v>
      </c>
      <c r="D138" s="751"/>
      <c r="E138" s="756">
        <f t="shared" ref="E138:P138" si="88">E125/E$130-1</f>
        <v>3.595721193013901E-2</v>
      </c>
      <c r="F138" s="756">
        <f t="shared" si="88"/>
        <v>4.0461458490534508E-2</v>
      </c>
      <c r="G138" s="756">
        <f t="shared" si="88"/>
        <v>4.4040444962103908E-2</v>
      </c>
      <c r="H138" s="756">
        <f t="shared" si="88"/>
        <v>3.1946789398737074E-2</v>
      </c>
      <c r="I138" s="756">
        <f t="shared" si="88"/>
        <v>4.4814580551455929E-2</v>
      </c>
      <c r="J138" s="756">
        <f t="shared" si="88"/>
        <v>-3.4123469653555727E-2</v>
      </c>
      <c r="K138" s="756">
        <f t="shared" si="88"/>
        <v>3.4745547432893931E-2</v>
      </c>
      <c r="L138" s="756">
        <f t="shared" si="88"/>
        <v>9.1774693128376938E-4</v>
      </c>
      <c r="M138" s="756">
        <f t="shared" si="88"/>
        <v>2.8623726655347959E-2</v>
      </c>
      <c r="N138" s="756">
        <f t="shared" si="88"/>
        <v>-4.1211621677312849E-3</v>
      </c>
      <c r="O138" s="756">
        <f t="shared" si="88"/>
        <v>4.5910393913144443E-2</v>
      </c>
      <c r="P138" s="756">
        <f t="shared" si="88"/>
        <v>5.9320671224682764E-2</v>
      </c>
      <c r="Q138" s="756"/>
      <c r="R138" s="756"/>
      <c r="S138" s="756"/>
      <c r="T138" s="756"/>
      <c r="U138" s="253"/>
      <c r="V138" s="756">
        <f t="shared" ref="V138:Z140" si="89">V125/V$130-1</f>
        <v>1.8078691653652612E-2</v>
      </c>
      <c r="W138" s="756">
        <f t="shared" si="89"/>
        <v>3.5434094182196674E-2</v>
      </c>
      <c r="X138" s="756">
        <f t="shared" si="89"/>
        <v>3.8404478715701629E-2</v>
      </c>
      <c r="Y138" s="756">
        <f t="shared" si="89"/>
        <v>0.1034169599273469</v>
      </c>
      <c r="Z138" s="756">
        <f t="shared" si="89"/>
        <v>5.0705471464058238E-2</v>
      </c>
      <c r="AA138" s="756"/>
      <c r="AB138" s="756"/>
      <c r="AC138" s="756"/>
      <c r="AD138" s="827"/>
    </row>
    <row r="139" spans="2:51" s="278" customFormat="1">
      <c r="B139" s="825"/>
      <c r="C139" s="751" t="s">
        <v>1306</v>
      </c>
      <c r="D139" s="751"/>
      <c r="E139" s="756">
        <f t="shared" ref="E139:P139" si="90">E126/E$130-1</f>
        <v>3.5807380985045878E-2</v>
      </c>
      <c r="F139" s="756">
        <f t="shared" si="90"/>
        <v>4.0018728411530535E-3</v>
      </c>
      <c r="G139" s="756">
        <f t="shared" si="90"/>
        <v>-2.1398507409896572E-3</v>
      </c>
      <c r="H139" s="756">
        <f t="shared" si="90"/>
        <v>-3.4262450369826336E-4</v>
      </c>
      <c r="I139" s="756">
        <f t="shared" si="90"/>
        <v>3.6311885457995574E-2</v>
      </c>
      <c r="J139" s="756">
        <f t="shared" si="90"/>
        <v>0.86506902839281086</v>
      </c>
      <c r="K139" s="756">
        <f t="shared" si="90"/>
        <v>5.6878354526133768E-2</v>
      </c>
      <c r="L139" s="756">
        <f t="shared" si="90"/>
        <v>0.13965095209333356</v>
      </c>
      <c r="M139" s="756">
        <f t="shared" si="90"/>
        <v>0.15418762947617637</v>
      </c>
      <c r="N139" s="756">
        <f t="shared" si="90"/>
        <v>0.10623818525519835</v>
      </c>
      <c r="O139" s="756">
        <f t="shared" si="90"/>
        <v>-2.0353388503690395E-2</v>
      </c>
      <c r="P139" s="756">
        <f t="shared" si="90"/>
        <v>-5.5399135503826691E-2</v>
      </c>
      <c r="Q139" s="756"/>
      <c r="R139" s="756"/>
      <c r="S139" s="756"/>
      <c r="T139" s="756"/>
      <c r="U139" s="253"/>
      <c r="V139" s="756">
        <f t="shared" si="89"/>
        <v>2.6449173573067419E-2</v>
      </c>
      <c r="W139" s="756">
        <f t="shared" si="89"/>
        <v>2.6412908615821795E-2</v>
      </c>
      <c r="X139" s="756">
        <f t="shared" si="89"/>
        <v>8.7561589519820071E-3</v>
      </c>
      <c r="Y139" s="756">
        <f t="shared" si="89"/>
        <v>0.22014040992504169</v>
      </c>
      <c r="Z139" s="756">
        <f t="shared" si="89"/>
        <v>4.0488200615893533E-2</v>
      </c>
      <c r="AA139" s="756"/>
      <c r="AB139" s="756"/>
      <c r="AC139" s="756"/>
      <c r="AD139" s="827"/>
    </row>
    <row r="140" spans="2:51" s="278" customFormat="1" ht="10.9" thickBot="1">
      <c r="B140" s="829"/>
      <c r="C140" s="830" t="s">
        <v>1307</v>
      </c>
      <c r="D140" s="830"/>
      <c r="E140" s="831">
        <f t="shared" ref="E140:P140" si="91">E127/E$130-1</f>
        <v>4.254167847664192E-2</v>
      </c>
      <c r="F140" s="831">
        <f t="shared" si="91"/>
        <v>5.0605254347787731E-2</v>
      </c>
      <c r="G140" s="831">
        <f t="shared" si="91"/>
        <v>3.3005794910556885E-2</v>
      </c>
      <c r="H140" s="831">
        <f t="shared" si="91"/>
        <v>5.6999981200533956E-2</v>
      </c>
      <c r="I140" s="831">
        <f t="shared" si="91"/>
        <v>7.9717246700168998E-2</v>
      </c>
      <c r="J140" s="831">
        <f t="shared" si="91"/>
        <v>1.1292769256699753E-2</v>
      </c>
      <c r="K140" s="831">
        <f t="shared" si="91"/>
        <v>0.10929140735888199</v>
      </c>
      <c r="L140" s="831">
        <f t="shared" si="91"/>
        <v>6.8522899542061477E-2</v>
      </c>
      <c r="M140" s="831">
        <f t="shared" si="91"/>
        <v>5.0444371296905599E-2</v>
      </c>
      <c r="N140" s="831">
        <f t="shared" si="91"/>
        <v>2.8452173913043444E-2</v>
      </c>
      <c r="O140" s="831">
        <f t="shared" si="91"/>
        <v>7.7731092436974958E-2</v>
      </c>
      <c r="P140" s="831">
        <f t="shared" si="91"/>
        <v>8.2478777089555644E-2</v>
      </c>
      <c r="Q140" s="831"/>
      <c r="R140" s="831"/>
      <c r="S140" s="831"/>
      <c r="T140" s="831"/>
      <c r="U140" s="430"/>
      <c r="V140" s="831">
        <f t="shared" si="89"/>
        <v>2.5255424006074723E-2</v>
      </c>
      <c r="W140" s="831">
        <f t="shared" si="89"/>
        <v>4.6776819860079311E-2</v>
      </c>
      <c r="X140" s="831">
        <f t="shared" si="89"/>
        <v>4.6037896334018669E-2</v>
      </c>
      <c r="Y140" s="831">
        <f t="shared" si="89"/>
        <v>0.17268568453155808</v>
      </c>
      <c r="Z140" s="831">
        <f t="shared" si="89"/>
        <v>8.4231914474731662E-2</v>
      </c>
      <c r="AA140" s="831"/>
      <c r="AB140" s="831"/>
      <c r="AC140" s="831"/>
      <c r="AD140" s="832"/>
    </row>
    <row r="141" spans="2:51" s="499" customFormat="1" ht="10.9" thickBot="1">
      <c r="C141" s="253"/>
      <c r="E141" s="571"/>
      <c r="F141" s="571"/>
      <c r="G141" s="571"/>
      <c r="H141" s="571"/>
      <c r="I141" s="571"/>
      <c r="J141" s="571"/>
      <c r="K141" s="571"/>
      <c r="L141" s="571"/>
      <c r="M141" s="571"/>
      <c r="N141" s="571"/>
      <c r="O141" s="571"/>
      <c r="P141" s="571"/>
      <c r="Q141" s="571"/>
      <c r="R141" s="571"/>
      <c r="S141" s="571"/>
      <c r="T141" s="571"/>
      <c r="U141" s="287"/>
      <c r="V141" s="571"/>
      <c r="W141" s="571"/>
      <c r="X141" s="571"/>
      <c r="Y141" s="571"/>
      <c r="Z141" s="571"/>
      <c r="AA141" s="571"/>
      <c r="AB141" s="571"/>
      <c r="AC141" s="571"/>
      <c r="AD141" s="571"/>
    </row>
    <row r="142" spans="2:51">
      <c r="B142" s="816" t="s">
        <v>133</v>
      </c>
      <c r="C142" s="817" t="s">
        <v>1430</v>
      </c>
      <c r="D142" s="818"/>
      <c r="E142" s="833"/>
      <c r="F142" s="833"/>
      <c r="G142" s="833"/>
      <c r="H142" s="833"/>
      <c r="I142" s="833"/>
      <c r="J142" s="833"/>
      <c r="K142" s="833"/>
      <c r="L142" s="833"/>
      <c r="M142" s="833"/>
      <c r="N142" s="833"/>
      <c r="O142" s="833"/>
      <c r="P142" s="833"/>
      <c r="Q142" s="833"/>
      <c r="R142" s="833"/>
      <c r="S142" s="833"/>
      <c r="T142" s="833"/>
      <c r="U142" s="562"/>
      <c r="V142" s="833"/>
      <c r="W142" s="833"/>
      <c r="X142" s="833"/>
      <c r="Y142" s="833"/>
      <c r="Z142" s="833"/>
      <c r="AA142" s="833"/>
      <c r="AB142" s="833"/>
      <c r="AC142" s="833"/>
      <c r="AD142" s="834"/>
    </row>
    <row r="143" spans="2:51">
      <c r="B143" s="822"/>
      <c r="C143" s="716" t="s">
        <v>1305</v>
      </c>
      <c r="D143" s="716"/>
      <c r="E143" s="838">
        <f>'AAL KPI'!E222</f>
        <v>1053</v>
      </c>
      <c r="F143" s="838">
        <f>'AAL KPI'!F222</f>
        <v>1158</v>
      </c>
      <c r="G143" s="838">
        <f>'AAL KPI'!G222</f>
        <v>1209</v>
      </c>
      <c r="H143" s="838">
        <f>'AAL KPI'!H222</f>
        <v>1117</v>
      </c>
      <c r="I143" s="838">
        <f>'AAL KPI'!I222</f>
        <v>972</v>
      </c>
      <c r="J143" s="838">
        <f>'AAL KPI'!J222</f>
        <v>275</v>
      </c>
      <c r="K143" s="838">
        <f>'AAL KPI'!K222</f>
        <v>499</v>
      </c>
      <c r="L143" s="838">
        <f>'AAL KPI'!L222</f>
        <v>552</v>
      </c>
      <c r="M143" s="838">
        <f>'AAL KPI'!M222</f>
        <v>608</v>
      </c>
      <c r="N143" s="838">
        <f>'AAL KPI'!N222</f>
        <v>844</v>
      </c>
      <c r="O143" s="838">
        <f>'AAL KPI'!O222</f>
        <v>941</v>
      </c>
      <c r="P143" s="838">
        <f>'AAL KPI'!P222</f>
        <v>931</v>
      </c>
      <c r="Q143" s="838">
        <f>'AAL KPI'!Q222</f>
        <v>894</v>
      </c>
      <c r="R143" s="838">
        <f>'AAL KPI'!R222</f>
        <v>1014.0729227745908</v>
      </c>
      <c r="S143" s="838">
        <f>'AAL KPI'!S222</f>
        <v>1095.7508799035306</v>
      </c>
      <c r="T143" s="838">
        <f>'AAL KPI'!T222</f>
        <v>1004.6326838112938</v>
      </c>
      <c r="U143" s="255"/>
      <c r="V143" s="838">
        <f>'AAL KPI'!V222</f>
        <v>4352</v>
      </c>
      <c r="W143" s="838">
        <f>'AAL KPI'!W222</f>
        <v>4447</v>
      </c>
      <c r="X143" s="838">
        <f>'AAL KPI'!X222</f>
        <v>4537</v>
      </c>
      <c r="Y143" s="838">
        <f>'AAL KPI'!Y222</f>
        <v>2298</v>
      </c>
      <c r="Z143" s="838">
        <f>'AAL KPI'!Z222</f>
        <v>3324</v>
      </c>
      <c r="AA143" s="838">
        <f>'AAL KPI'!AA222</f>
        <v>4008.4564864894151</v>
      </c>
      <c r="AB143" s="838">
        <f>'AAL KPI'!AB222</f>
        <v>4309.3622229620723</v>
      </c>
      <c r="AC143" s="838">
        <f>'AAL KPI'!AC222</f>
        <v>4534.0667473500962</v>
      </c>
      <c r="AD143" s="839">
        <f>'AAL KPI'!AD222</f>
        <v>4633.4069605528584</v>
      </c>
    </row>
    <row r="144" spans="2:51">
      <c r="B144" s="822"/>
      <c r="C144" s="716" t="s">
        <v>1306</v>
      </c>
      <c r="D144" s="716"/>
      <c r="E144" s="838">
        <f>'DAL KPI'!E304</f>
        <v>962</v>
      </c>
      <c r="F144" s="838">
        <f>'DAL KPI'!F304</f>
        <v>1099</v>
      </c>
      <c r="G144" s="838">
        <f>'DAL KPI'!G304</f>
        <v>1154</v>
      </c>
      <c r="H144" s="838">
        <f>'DAL KPI'!H304</f>
        <v>999</v>
      </c>
      <c r="I144" s="838">
        <f>'DAL KPI'!I304</f>
        <v>880</v>
      </c>
      <c r="J144" s="838">
        <f>'DAL KPI'!J304</f>
        <v>165</v>
      </c>
      <c r="K144" s="838">
        <f>'DAL KPI'!K304</f>
        <v>391</v>
      </c>
      <c r="L144" s="838">
        <f>'DAL KPI'!L304</f>
        <v>498</v>
      </c>
      <c r="M144" s="838">
        <f>'DAL KPI'!M304</f>
        <v>545</v>
      </c>
      <c r="N144" s="838">
        <f>'DAL KPI'!N304</f>
        <v>690</v>
      </c>
      <c r="O144" s="838">
        <f>'DAL KPI'!O304</f>
        <v>789</v>
      </c>
      <c r="P144" s="838">
        <f>'DAL KPI'!P304</f>
        <v>755</v>
      </c>
      <c r="Q144" s="838">
        <f>'DAL KPI'!Q304</f>
        <v>751</v>
      </c>
      <c r="R144" s="838">
        <f>'DAL KPI'!R304</f>
        <v>863</v>
      </c>
      <c r="S144" s="838">
        <f>'DAL KPI'!S304</f>
        <v>942.63522380436837</v>
      </c>
      <c r="T144" s="838">
        <f>'DAL KPI'!T304</f>
        <v>907.85380898072674</v>
      </c>
      <c r="U144" s="255"/>
      <c r="V144" s="838">
        <f>'DAL KPI'!V304</f>
        <v>4032</v>
      </c>
      <c r="W144" s="838">
        <f>'DAL KPI'!W304</f>
        <v>4113</v>
      </c>
      <c r="X144" s="838">
        <f>'DAL KPI'!X304</f>
        <v>4214</v>
      </c>
      <c r="Y144" s="838">
        <f>'DAL KPI'!Y304</f>
        <v>1934</v>
      </c>
      <c r="Z144" s="838">
        <f>'DAL KPI'!Z304</f>
        <v>2779</v>
      </c>
      <c r="AA144" s="838">
        <f>'DAL KPI'!AA304</f>
        <v>3464.4890327850949</v>
      </c>
      <c r="AB144" s="838">
        <f>'DAL KPI'!AB304</f>
        <v>3966.0229573893248</v>
      </c>
      <c r="AC144" s="838">
        <f>'DAL KPI'!AC304</f>
        <v>4206.4355795768561</v>
      </c>
      <c r="AD144" s="839">
        <f>'DAL KPI'!AD304</f>
        <v>4275.5818790674575</v>
      </c>
    </row>
    <row r="145" spans="2:30">
      <c r="B145" s="822"/>
      <c r="C145" s="716" t="s">
        <v>1307</v>
      </c>
      <c r="D145" s="716"/>
      <c r="E145" s="838">
        <f>'UAL KPI'!E207</f>
        <v>985</v>
      </c>
      <c r="F145" s="838">
        <f>'UAL KPI'!F207</f>
        <v>1102</v>
      </c>
      <c r="G145" s="838">
        <f>'UAL KPI'!G207</f>
        <v>1134</v>
      </c>
      <c r="H145" s="838">
        <f>'UAL KPI'!H207</f>
        <v>1071</v>
      </c>
      <c r="I145" s="838">
        <f>'UAL KPI'!I207</f>
        <v>910</v>
      </c>
      <c r="J145" s="838">
        <f>'UAL KPI'!J207</f>
        <v>204</v>
      </c>
      <c r="K145" s="838">
        <f>'UAL KPI'!K207</f>
        <v>387</v>
      </c>
      <c r="L145" s="838">
        <f>'UAL KPI'!L207</f>
        <v>503</v>
      </c>
      <c r="M145" s="838">
        <f>'UAL KPI'!M207</f>
        <v>490</v>
      </c>
      <c r="N145" s="838">
        <f>'UAL KPI'!N207</f>
        <v>625</v>
      </c>
      <c r="O145" s="838">
        <f>'UAL KPI'!O207</f>
        <v>800</v>
      </c>
      <c r="P145" s="838">
        <f>'UAL KPI'!P207</f>
        <v>814</v>
      </c>
      <c r="Q145" s="838">
        <f>'UAL KPI'!Q207</f>
        <v>775</v>
      </c>
      <c r="R145" s="838">
        <f>'UAL KPI'!R207</f>
        <v>933.18411352687292</v>
      </c>
      <c r="S145" s="838">
        <f>'UAL KPI'!S207</f>
        <v>1004.9428809575527</v>
      </c>
      <c r="T145" s="838">
        <f>'UAL KPI'!T207</f>
        <v>965.70673993220998</v>
      </c>
      <c r="U145" s="255"/>
      <c r="V145" s="838">
        <f>'UAL KPI'!V207</f>
        <v>3978</v>
      </c>
      <c r="W145" s="838">
        <f>'UAL KPI'!W207</f>
        <v>4137</v>
      </c>
      <c r="X145" s="838">
        <f>+SUMIF($E$5:$T$5,X$5,$E145:$T145)</f>
        <v>4292</v>
      </c>
      <c r="Y145" s="838">
        <f>+SUMIF($E$5:$T$5,Y$5,$E145:$T145)</f>
        <v>2004</v>
      </c>
      <c r="Z145" s="838">
        <f>+SUMIF($E$5:$T$5,Z$5,$E145:$T145)</f>
        <v>2729</v>
      </c>
      <c r="AA145" s="838">
        <f>+SUMIF($E$5:$T$5,AA$5,$E145:$T145)</f>
        <v>3678.8337344166353</v>
      </c>
      <c r="AB145" s="838">
        <f>'UAL KPI'!AB207</f>
        <v>4278.0906555600604</v>
      </c>
      <c r="AC145" s="838">
        <f>'UAL KPI'!AC207</f>
        <v>4409.2452454720396</v>
      </c>
      <c r="AD145" s="839">
        <f>'UAL KPI'!AD207</f>
        <v>4412.6640594728906</v>
      </c>
    </row>
    <row r="146" spans="2:30" ht="4.05" customHeight="1">
      <c r="B146" s="425"/>
      <c r="AD146" s="426"/>
    </row>
    <row r="147" spans="2:30">
      <c r="B147" s="822"/>
      <c r="C147" s="716" t="s">
        <v>1429</v>
      </c>
      <c r="D147" s="716"/>
      <c r="E147" s="838">
        <f>SUMIF(Info!$H$8:$H$69,E$6,Info!$U$8:$U$69)</f>
        <v>4240.3</v>
      </c>
      <c r="F147" s="838">
        <f>SUMIF(Info!$H$8:$H$69,F$6,Info!$U$8:$U$69)</f>
        <v>4685</v>
      </c>
      <c r="G147" s="838">
        <f>SUMIF(Info!$H$8:$H$69,G$6,Info!$U$8:$U$69)</f>
        <v>4805.7</v>
      </c>
      <c r="H147" s="838">
        <f>SUMIF(Info!$H$8:$H$69,H$6,Info!$U$8:$U$69)</f>
        <v>4538.1000000000004</v>
      </c>
      <c r="I147" s="838">
        <f>SUMIF(Info!$H$8:$H$69,I$6,Info!$U$8:$U$69)</f>
        <v>3958.3</v>
      </c>
      <c r="J147" s="838">
        <f>SUMIF(Info!$H$8:$H$69,J$6,Info!$U$8:$U$69)</f>
        <v>1458.3</v>
      </c>
      <c r="K147" s="838">
        <f>SUMIF(Info!$H$8:$H$69,K$6,Info!$U$8:$U$69)</f>
        <v>2292.6</v>
      </c>
      <c r="L147" s="838">
        <f>SUMIF(Info!$H$8:$H$69,L$6,Info!$U$8:$U$69)</f>
        <v>2570.4</v>
      </c>
      <c r="M147" s="838">
        <f>SUMIF(Info!$H$8:$H$69,M$6,Info!$U$8:$U$69)</f>
        <v>2604</v>
      </c>
      <c r="N147" s="838">
        <f>SUMIF(Info!$H$8:$H$69,N$6,Info!$U$8:$U$69)</f>
        <v>3407.7</v>
      </c>
      <c r="O147" s="838">
        <f>SUMIF(Info!$H$8:$H$69,O$6,Info!$U$8:$U$69)</f>
        <v>3894.2000000000003</v>
      </c>
      <c r="P147" s="838">
        <f>SUMIF(Info!$H$8:$H$69,P$6,Info!$U$8:$U$69)</f>
        <v>3879.5</v>
      </c>
      <c r="Q147" s="838"/>
      <c r="R147" s="838"/>
      <c r="S147" s="838"/>
      <c r="T147" s="838"/>
      <c r="U147" s="255"/>
      <c r="V147" s="838">
        <f>SUMIF(Info!$H$8:$H$69,V$6,Info!$V$8:$V$69)</f>
        <v>17295.3</v>
      </c>
      <c r="W147" s="838">
        <f>SUMIF(Info!$H$8:$H$69,W$6,Info!$V$8:$V$69)</f>
        <v>17868.600000000002</v>
      </c>
      <c r="X147" s="838">
        <f>SUMIF(Info!$H$8:$H$69,X$6,Info!$V$8:$V$69)</f>
        <v>18269.099999999995</v>
      </c>
      <c r="Y147" s="838">
        <f>SUMIF(Info!$H$8:$H$69,Y$6,Info!$V$8:$V$69)</f>
        <v>10279.6</v>
      </c>
      <c r="Z147" s="838">
        <f>SUMIF(Info!$H$8:$H$69,Z$6,Info!$V$8:$V$69)</f>
        <v>13785.400000000001</v>
      </c>
      <c r="AA147" s="838"/>
      <c r="AB147" s="838"/>
      <c r="AC147" s="838"/>
      <c r="AD147" s="839"/>
    </row>
    <row r="148" spans="2:30">
      <c r="B148" s="425"/>
      <c r="AD148" s="426"/>
    </row>
    <row r="149" spans="2:30" s="278" customFormat="1">
      <c r="B149" s="825"/>
      <c r="C149" s="773" t="s">
        <v>1338</v>
      </c>
      <c r="D149" s="751"/>
      <c r="E149" s="751"/>
      <c r="F149" s="751"/>
      <c r="G149" s="751"/>
      <c r="H149" s="751"/>
      <c r="I149" s="751"/>
      <c r="J149" s="751"/>
      <c r="K149" s="751"/>
      <c r="L149" s="751"/>
      <c r="M149" s="751"/>
      <c r="N149" s="751"/>
      <c r="O149" s="751"/>
      <c r="P149" s="751"/>
      <c r="Q149" s="751"/>
      <c r="R149" s="751"/>
      <c r="S149" s="751"/>
      <c r="T149" s="751"/>
      <c r="U149" s="253"/>
      <c r="V149" s="751"/>
      <c r="W149" s="751"/>
      <c r="X149" s="751"/>
      <c r="Y149" s="751"/>
      <c r="Z149" s="751"/>
      <c r="AA149" s="751"/>
      <c r="AB149" s="751"/>
      <c r="AC149" s="751"/>
      <c r="AD149" s="826"/>
    </row>
    <row r="150" spans="2:30" s="278" customFormat="1">
      <c r="B150" s="825"/>
      <c r="C150" s="751" t="s">
        <v>1305</v>
      </c>
      <c r="D150" s="751"/>
      <c r="E150" s="756"/>
      <c r="F150" s="756"/>
      <c r="G150" s="756"/>
      <c r="H150" s="756"/>
      <c r="I150" s="756">
        <f t="shared" ref="I150:L152" si="92">I143/E143-1</f>
        <v>-7.6923076923076872E-2</v>
      </c>
      <c r="J150" s="756">
        <f t="shared" si="92"/>
        <v>-0.76252158894645938</v>
      </c>
      <c r="K150" s="756">
        <f t="shared" si="92"/>
        <v>-0.58726220016542596</v>
      </c>
      <c r="L150" s="756">
        <f t="shared" si="92"/>
        <v>-0.50581915846016112</v>
      </c>
      <c r="M150" s="756">
        <f t="shared" ref="M150:P152" si="93">M143/E143-1</f>
        <v>-0.42260208926875598</v>
      </c>
      <c r="N150" s="756">
        <f t="shared" si="93"/>
        <v>-0.27115716753022456</v>
      </c>
      <c r="O150" s="756">
        <f t="shared" si="93"/>
        <v>-0.22167080231596359</v>
      </c>
      <c r="P150" s="756">
        <f t="shared" si="93"/>
        <v>-0.16651745747538049</v>
      </c>
      <c r="Q150" s="756">
        <f t="shared" ref="Q150:T152" si="94">Q143/E143-1</f>
        <v>-0.15099715099715094</v>
      </c>
      <c r="R150" s="756">
        <f t="shared" si="94"/>
        <v>-0.12428935857116508</v>
      </c>
      <c r="S150" s="756">
        <f t="shared" si="94"/>
        <v>-9.3671728781198782E-2</v>
      </c>
      <c r="T150" s="756">
        <f t="shared" si="94"/>
        <v>-0.10059741825309421</v>
      </c>
      <c r="U150" s="253"/>
      <c r="V150" s="756"/>
      <c r="W150" s="756"/>
      <c r="X150" s="756"/>
      <c r="Y150" s="756">
        <f t="shared" ref="Y150:AD152" si="95">Y143/$X143-1</f>
        <v>-0.49349790610535593</v>
      </c>
      <c r="Z150" s="756">
        <f t="shared" si="95"/>
        <v>-0.26735728454926166</v>
      </c>
      <c r="AA150" s="756">
        <f t="shared" si="95"/>
        <v>-0.11649625600850455</v>
      </c>
      <c r="AB150" s="756">
        <f t="shared" si="95"/>
        <v>-5.0173633907411919E-2</v>
      </c>
      <c r="AC150" s="756">
        <f t="shared" si="95"/>
        <v>-6.4651810665716791E-4</v>
      </c>
      <c r="AD150" s="827">
        <f t="shared" si="95"/>
        <v>2.1249054563116321E-2</v>
      </c>
    </row>
    <row r="151" spans="2:30" s="278" customFormat="1">
      <c r="B151" s="825"/>
      <c r="C151" s="751" t="s">
        <v>1306</v>
      </c>
      <c r="D151" s="751"/>
      <c r="E151" s="756"/>
      <c r="F151" s="756"/>
      <c r="G151" s="756"/>
      <c r="H151" s="756"/>
      <c r="I151" s="756">
        <f t="shared" si="92"/>
        <v>-8.5239085239085188E-2</v>
      </c>
      <c r="J151" s="756">
        <f t="shared" si="92"/>
        <v>-0.84986351228389445</v>
      </c>
      <c r="K151" s="756">
        <f t="shared" si="92"/>
        <v>-0.66117850953206236</v>
      </c>
      <c r="L151" s="756">
        <f t="shared" si="92"/>
        <v>-0.50150150150150152</v>
      </c>
      <c r="M151" s="756">
        <f t="shared" si="93"/>
        <v>-0.43347193347193347</v>
      </c>
      <c r="N151" s="756">
        <f t="shared" si="93"/>
        <v>-0.37215650591446769</v>
      </c>
      <c r="O151" s="756">
        <f t="shared" si="93"/>
        <v>-0.31629116117850953</v>
      </c>
      <c r="P151" s="756">
        <f t="shared" si="93"/>
        <v>-0.24424424424424429</v>
      </c>
      <c r="Q151" s="756">
        <f t="shared" si="94"/>
        <v>-0.21933471933471937</v>
      </c>
      <c r="R151" s="756">
        <f t="shared" si="94"/>
        <v>-0.2147406733393995</v>
      </c>
      <c r="S151" s="756">
        <f t="shared" si="94"/>
        <v>-0.183158384918225</v>
      </c>
      <c r="T151" s="756">
        <f t="shared" si="94"/>
        <v>-9.1237428447720981E-2</v>
      </c>
      <c r="U151" s="253"/>
      <c r="V151" s="756"/>
      <c r="W151" s="756"/>
      <c r="X151" s="756"/>
      <c r="Y151" s="756">
        <f t="shared" si="95"/>
        <v>-0.54105363075462742</v>
      </c>
      <c r="Z151" s="756">
        <f t="shared" si="95"/>
        <v>-0.34053156146179397</v>
      </c>
      <c r="AA151" s="756">
        <f t="shared" si="95"/>
        <v>-0.17786211846580569</v>
      </c>
      <c r="AB151" s="756">
        <f t="shared" si="95"/>
        <v>-5.8845999670307347E-2</v>
      </c>
      <c r="AC151" s="756">
        <f t="shared" si="95"/>
        <v>-1.7950689186387869E-3</v>
      </c>
      <c r="AD151" s="827">
        <f t="shared" si="95"/>
        <v>1.4613640025500141E-2</v>
      </c>
    </row>
    <row r="152" spans="2:30" s="278" customFormat="1">
      <c r="B152" s="825"/>
      <c r="C152" s="751" t="s">
        <v>1307</v>
      </c>
      <c r="D152" s="751"/>
      <c r="E152" s="756"/>
      <c r="F152" s="756"/>
      <c r="G152" s="756"/>
      <c r="H152" s="756"/>
      <c r="I152" s="756">
        <f t="shared" si="92"/>
        <v>-7.6142131979695438E-2</v>
      </c>
      <c r="J152" s="756">
        <f t="shared" si="92"/>
        <v>-0.81488203266787662</v>
      </c>
      <c r="K152" s="756">
        <f t="shared" si="92"/>
        <v>-0.65873015873015872</v>
      </c>
      <c r="L152" s="756">
        <f t="shared" si="92"/>
        <v>-0.53034547152194211</v>
      </c>
      <c r="M152" s="756">
        <f t="shared" si="93"/>
        <v>-0.50253807106598991</v>
      </c>
      <c r="N152" s="756">
        <f t="shared" si="93"/>
        <v>-0.43284936479128855</v>
      </c>
      <c r="O152" s="756">
        <f t="shared" si="93"/>
        <v>-0.29453262786596124</v>
      </c>
      <c r="P152" s="756">
        <f t="shared" si="93"/>
        <v>-0.23996265172735765</v>
      </c>
      <c r="Q152" s="756">
        <f t="shared" si="94"/>
        <v>-0.21319796954314718</v>
      </c>
      <c r="R152" s="756">
        <f t="shared" si="94"/>
        <v>-0.15319045959448918</v>
      </c>
      <c r="S152" s="756">
        <f t="shared" si="94"/>
        <v>-0.11380698328258143</v>
      </c>
      <c r="T152" s="756">
        <f t="shared" si="94"/>
        <v>-9.8313034610448158E-2</v>
      </c>
      <c r="U152" s="253"/>
      <c r="V152" s="756"/>
      <c r="W152" s="756"/>
      <c r="X152" s="756"/>
      <c r="Y152" s="756">
        <f t="shared" si="95"/>
        <v>-0.53308480894687793</v>
      </c>
      <c r="Z152" s="756">
        <f t="shared" si="95"/>
        <v>-0.36416589002795896</v>
      </c>
      <c r="AA152" s="756">
        <f t="shared" si="95"/>
        <v>-0.14286259682743818</v>
      </c>
      <c r="AB152" s="756">
        <f t="shared" si="95"/>
        <v>-3.2407605871247469E-3</v>
      </c>
      <c r="AC152" s="756">
        <f t="shared" si="95"/>
        <v>2.7317158777269146E-2</v>
      </c>
      <c r="AD152" s="827">
        <f t="shared" si="95"/>
        <v>2.8113713763487924E-2</v>
      </c>
    </row>
    <row r="153" spans="2:30" s="278" customFormat="1" ht="3" customHeight="1">
      <c r="B153" s="573"/>
      <c r="E153" s="815"/>
      <c r="F153" s="815"/>
      <c r="G153" s="815"/>
      <c r="H153" s="815"/>
      <c r="I153" s="815"/>
      <c r="J153" s="815"/>
      <c r="K153" s="815"/>
      <c r="L153" s="815"/>
      <c r="M153" s="815"/>
      <c r="N153" s="815"/>
      <c r="O153" s="815"/>
      <c r="P153" s="815"/>
      <c r="Q153" s="815"/>
      <c r="R153" s="815"/>
      <c r="S153" s="815"/>
      <c r="T153" s="815"/>
      <c r="U153" s="253"/>
      <c r="V153" s="815"/>
      <c r="W153" s="815"/>
      <c r="X153" s="815"/>
      <c r="Y153" s="815"/>
      <c r="Z153" s="815"/>
      <c r="AA153" s="815"/>
      <c r="AB153" s="815"/>
      <c r="AC153" s="815"/>
      <c r="AD153" s="828"/>
    </row>
    <row r="154" spans="2:30" s="278" customFormat="1">
      <c r="B154" s="825"/>
      <c r="C154" s="773" t="s">
        <v>1337</v>
      </c>
      <c r="D154" s="751"/>
      <c r="E154" s="751"/>
      <c r="F154" s="751"/>
      <c r="G154" s="751"/>
      <c r="H154" s="751"/>
      <c r="I154" s="751"/>
      <c r="J154" s="751"/>
      <c r="K154" s="751"/>
      <c r="L154" s="751"/>
      <c r="M154" s="751"/>
      <c r="N154" s="751"/>
      <c r="O154" s="751"/>
      <c r="P154" s="751"/>
      <c r="Q154" s="751"/>
      <c r="R154" s="751"/>
      <c r="S154" s="751"/>
      <c r="T154" s="751"/>
      <c r="V154" s="751"/>
      <c r="W154" s="751"/>
      <c r="X154" s="751"/>
      <c r="Y154" s="751"/>
      <c r="Z154" s="751"/>
      <c r="AA154" s="751"/>
      <c r="AB154" s="751"/>
      <c r="AC154" s="751"/>
      <c r="AD154" s="826"/>
    </row>
    <row r="155" spans="2:30" s="278" customFormat="1">
      <c r="B155" s="825"/>
      <c r="C155" s="751" t="s">
        <v>1305</v>
      </c>
      <c r="D155" s="751"/>
      <c r="E155" s="756"/>
      <c r="F155" s="756"/>
      <c r="G155" s="756"/>
      <c r="H155" s="756"/>
      <c r="I155" s="756">
        <f t="shared" ref="I155:L157" si="96">I143/E143</f>
        <v>0.92307692307692313</v>
      </c>
      <c r="J155" s="756">
        <f t="shared" si="96"/>
        <v>0.23747841105354059</v>
      </c>
      <c r="K155" s="756">
        <f t="shared" si="96"/>
        <v>0.41273779983457404</v>
      </c>
      <c r="L155" s="756">
        <f t="shared" si="96"/>
        <v>0.49418084153983888</v>
      </c>
      <c r="M155" s="756">
        <f t="shared" ref="M155:P157" si="97">M143/E143</f>
        <v>0.57739791073124402</v>
      </c>
      <c r="N155" s="756">
        <f t="shared" si="97"/>
        <v>0.72884283246977544</v>
      </c>
      <c r="O155" s="756">
        <f t="shared" si="97"/>
        <v>0.77832919768403641</v>
      </c>
      <c r="P155" s="756">
        <f t="shared" si="97"/>
        <v>0.83348254252461951</v>
      </c>
      <c r="Q155" s="756">
        <f t="shared" ref="Q155:T157" si="98">Q143/E143</f>
        <v>0.84900284900284906</v>
      </c>
      <c r="R155" s="756">
        <f t="shared" si="98"/>
        <v>0.87571064142883492</v>
      </c>
      <c r="S155" s="756">
        <f t="shared" si="98"/>
        <v>0.90632827121880122</v>
      </c>
      <c r="T155" s="756">
        <f t="shared" si="98"/>
        <v>0.89940258174690579</v>
      </c>
      <c r="V155" s="756"/>
      <c r="W155" s="756"/>
      <c r="X155" s="756"/>
      <c r="Y155" s="756">
        <f t="shared" ref="Y155:AD157" si="99">Y143/$X143</f>
        <v>0.50650209389464407</v>
      </c>
      <c r="Z155" s="756">
        <f t="shared" si="99"/>
        <v>0.73264271545073834</v>
      </c>
      <c r="AA155" s="756">
        <f t="shared" si="99"/>
        <v>0.88350374399149545</v>
      </c>
      <c r="AB155" s="756">
        <f t="shared" si="99"/>
        <v>0.94982636609258808</v>
      </c>
      <c r="AC155" s="756">
        <f t="shared" si="99"/>
        <v>0.99935348189334283</v>
      </c>
      <c r="AD155" s="827">
        <f t="shared" si="99"/>
        <v>1.0212490545631163</v>
      </c>
    </row>
    <row r="156" spans="2:30" s="278" customFormat="1">
      <c r="B156" s="825"/>
      <c r="C156" s="751" t="s">
        <v>1306</v>
      </c>
      <c r="D156" s="751"/>
      <c r="E156" s="756"/>
      <c r="F156" s="756"/>
      <c r="G156" s="756"/>
      <c r="H156" s="756"/>
      <c r="I156" s="756">
        <f t="shared" si="96"/>
        <v>0.91476091476091481</v>
      </c>
      <c r="J156" s="756">
        <f t="shared" si="96"/>
        <v>0.15013648771610555</v>
      </c>
      <c r="K156" s="756">
        <f t="shared" si="96"/>
        <v>0.33882149046793764</v>
      </c>
      <c r="L156" s="756">
        <f t="shared" si="96"/>
        <v>0.49849849849849848</v>
      </c>
      <c r="M156" s="756">
        <f t="shared" si="97"/>
        <v>0.56652806652806653</v>
      </c>
      <c r="N156" s="756">
        <f t="shared" si="97"/>
        <v>0.62784349408553231</v>
      </c>
      <c r="O156" s="756">
        <f t="shared" si="97"/>
        <v>0.68370883882149047</v>
      </c>
      <c r="P156" s="756">
        <f t="shared" si="97"/>
        <v>0.75575575575575571</v>
      </c>
      <c r="Q156" s="756">
        <f t="shared" si="98"/>
        <v>0.78066528066528063</v>
      </c>
      <c r="R156" s="756">
        <f t="shared" si="98"/>
        <v>0.7852593266606005</v>
      </c>
      <c r="S156" s="756">
        <f t="shared" si="98"/>
        <v>0.816841615081775</v>
      </c>
      <c r="T156" s="756">
        <f t="shared" si="98"/>
        <v>0.90876257155227902</v>
      </c>
      <c r="V156" s="756"/>
      <c r="W156" s="756"/>
      <c r="X156" s="756"/>
      <c r="Y156" s="756">
        <f t="shared" si="99"/>
        <v>0.45894636924537258</v>
      </c>
      <c r="Z156" s="756">
        <f t="shared" si="99"/>
        <v>0.65946843853820603</v>
      </c>
      <c r="AA156" s="756">
        <f t="shared" si="99"/>
        <v>0.82213788153419431</v>
      </c>
      <c r="AB156" s="756">
        <f t="shared" si="99"/>
        <v>0.94115400032969265</v>
      </c>
      <c r="AC156" s="756">
        <f t="shared" si="99"/>
        <v>0.99820493108136121</v>
      </c>
      <c r="AD156" s="827">
        <f t="shared" si="99"/>
        <v>1.0146136400255001</v>
      </c>
    </row>
    <row r="157" spans="2:30" s="278" customFormat="1" ht="10.9" thickBot="1">
      <c r="B157" s="829"/>
      <c r="C157" s="830" t="s">
        <v>1307</v>
      </c>
      <c r="D157" s="830"/>
      <c r="E157" s="831"/>
      <c r="F157" s="831"/>
      <c r="G157" s="831"/>
      <c r="H157" s="831"/>
      <c r="I157" s="831">
        <f t="shared" si="96"/>
        <v>0.92385786802030456</v>
      </c>
      <c r="J157" s="831">
        <f t="shared" si="96"/>
        <v>0.18511796733212341</v>
      </c>
      <c r="K157" s="831">
        <f t="shared" si="96"/>
        <v>0.34126984126984128</v>
      </c>
      <c r="L157" s="831">
        <f t="shared" si="96"/>
        <v>0.46965452847805789</v>
      </c>
      <c r="M157" s="831">
        <f t="shared" si="97"/>
        <v>0.49746192893401014</v>
      </c>
      <c r="N157" s="831">
        <f t="shared" si="97"/>
        <v>0.56715063520871145</v>
      </c>
      <c r="O157" s="831">
        <f t="shared" si="97"/>
        <v>0.70546737213403876</v>
      </c>
      <c r="P157" s="831">
        <f t="shared" si="97"/>
        <v>0.76003734827264235</v>
      </c>
      <c r="Q157" s="831">
        <f t="shared" si="98"/>
        <v>0.78680203045685282</v>
      </c>
      <c r="R157" s="831">
        <f t="shared" si="98"/>
        <v>0.84680954040551082</v>
      </c>
      <c r="S157" s="831">
        <f t="shared" si="98"/>
        <v>0.88619301671741857</v>
      </c>
      <c r="T157" s="831">
        <f t="shared" si="98"/>
        <v>0.90168696538955184</v>
      </c>
      <c r="U157" s="774"/>
      <c r="V157" s="831"/>
      <c r="W157" s="831"/>
      <c r="X157" s="831"/>
      <c r="Y157" s="831">
        <f t="shared" si="99"/>
        <v>0.46691519105312207</v>
      </c>
      <c r="Z157" s="831">
        <f t="shared" si="99"/>
        <v>0.63583410997204104</v>
      </c>
      <c r="AA157" s="831">
        <f t="shared" si="99"/>
        <v>0.85713740317256182</v>
      </c>
      <c r="AB157" s="831">
        <f t="shared" si="99"/>
        <v>0.99675923941287525</v>
      </c>
      <c r="AC157" s="831">
        <f t="shared" si="99"/>
        <v>1.0273171587772691</v>
      </c>
      <c r="AD157" s="832">
        <f t="shared" si="99"/>
        <v>1.0281137137634879</v>
      </c>
    </row>
    <row r="158" spans="2:30" s="278" customFormat="1" ht="10.9" thickBot="1"/>
    <row r="159" spans="2:30">
      <c r="B159" s="816"/>
      <c r="C159" s="817" t="s">
        <v>568</v>
      </c>
      <c r="D159" s="818"/>
      <c r="E159" s="833"/>
      <c r="F159" s="833"/>
      <c r="G159" s="833"/>
      <c r="H159" s="833"/>
      <c r="I159" s="833"/>
      <c r="J159" s="833"/>
      <c r="K159" s="833"/>
      <c r="L159" s="833"/>
      <c r="M159" s="833"/>
      <c r="N159" s="833"/>
      <c r="O159" s="833"/>
      <c r="P159" s="833"/>
      <c r="Q159" s="833"/>
      <c r="R159" s="833"/>
      <c r="S159" s="833"/>
      <c r="T159" s="833"/>
      <c r="U159" s="562"/>
      <c r="V159" s="833"/>
      <c r="W159" s="833"/>
      <c r="X159" s="833"/>
      <c r="Y159" s="833"/>
      <c r="Z159" s="833"/>
      <c r="AA159" s="833"/>
      <c r="AB159" s="833"/>
      <c r="AC159" s="833"/>
      <c r="AD159" s="834"/>
    </row>
    <row r="160" spans="2:30">
      <c r="B160" s="822"/>
      <c r="C160" s="716" t="s">
        <v>1305</v>
      </c>
      <c r="D160" s="716"/>
      <c r="E160" s="838">
        <f>'AAL KPI'!E211</f>
        <v>2149</v>
      </c>
      <c r="F160" s="838">
        <f>'AAL KPI'!F211</f>
        <v>2482</v>
      </c>
      <c r="G160" s="838">
        <f>'AAL KPI'!G211</f>
        <v>2474</v>
      </c>
      <c r="H160" s="838">
        <f>'AAL KPI'!H211</f>
        <v>2290</v>
      </c>
      <c r="I160" s="838">
        <f>'AAL KPI'!I211</f>
        <v>1784</v>
      </c>
      <c r="J160" s="838">
        <f>'AAL KPI'!J211</f>
        <v>309</v>
      </c>
      <c r="K160" s="838">
        <f>'AAL KPI'!K211</f>
        <v>611</v>
      </c>
      <c r="L160" s="838">
        <f>'AAL KPI'!L211</f>
        <v>698</v>
      </c>
      <c r="M160" s="838">
        <f>'AAL KPI'!M211</f>
        <v>1034</v>
      </c>
      <c r="N160" s="838">
        <f>'AAL KPI'!N211</f>
        <v>1611</v>
      </c>
      <c r="O160" s="838">
        <f>'AAL KPI'!O211</f>
        <v>1952</v>
      </c>
      <c r="P160" s="838">
        <f>'AAL KPI'!P211</f>
        <v>2196</v>
      </c>
      <c r="Q160" s="838">
        <f>'AAL KPI'!Q211</f>
        <v>2502</v>
      </c>
      <c r="R160" s="838">
        <f>'AAL KPI'!R211</f>
        <v>4639.8568557243807</v>
      </c>
      <c r="S160" s="838">
        <f>'AAL KPI'!S211</f>
        <v>4226.4952299357419</v>
      </c>
      <c r="T160" s="838">
        <f>'AAL KPI'!T211</f>
        <v>3512.3351716697712</v>
      </c>
      <c r="U160" s="255"/>
      <c r="V160" s="838">
        <f>'AAL KPI'!V211</f>
        <v>7510</v>
      </c>
      <c r="W160" s="838">
        <f>'AAL KPI'!W211</f>
        <v>9896</v>
      </c>
      <c r="X160" s="838">
        <f>'AAL KPI'!X211</f>
        <v>9395</v>
      </c>
      <c r="Y160" s="838">
        <f>'AAL KPI'!Y211</f>
        <v>3402</v>
      </c>
      <c r="Z160" s="838">
        <f>'AAL KPI'!Z211</f>
        <v>6793</v>
      </c>
      <c r="AA160" s="838">
        <f>'AAL KPI'!AA211</f>
        <v>14880.687257329893</v>
      </c>
      <c r="AB160" s="838">
        <f>'AAL KPI'!AB211</f>
        <v>13536.992009606871</v>
      </c>
      <c r="AC160" s="838">
        <f>'AAL KPI'!AC211</f>
        <v>12624.554568336482</v>
      </c>
      <c r="AD160" s="839">
        <f>'AAL KPI'!AD211</f>
        <v>12901.155247658509</v>
      </c>
    </row>
    <row r="161" spans="2:30">
      <c r="B161" s="822"/>
      <c r="C161" s="716" t="s">
        <v>1306</v>
      </c>
      <c r="D161" s="716"/>
      <c r="E161" s="838">
        <f>'DAL KPI'!E277</f>
        <v>1936</v>
      </c>
      <c r="F161" s="838">
        <f>'DAL KPI'!F277</f>
        <v>2318</v>
      </c>
      <c r="G161" s="838">
        <f>'DAL KPI'!G277</f>
        <v>2313</v>
      </c>
      <c r="H161" s="838">
        <f>'DAL KPI'!H277</f>
        <v>2014</v>
      </c>
      <c r="I161" s="838">
        <f>'DAL KPI'!I277</f>
        <v>1631</v>
      </c>
      <c r="J161" s="838">
        <f>'DAL KPI'!J277</f>
        <v>244</v>
      </c>
      <c r="K161" s="838">
        <f>'DAL KPI'!K277</f>
        <v>449</v>
      </c>
      <c r="L161" s="838">
        <f>'DAL KPI'!L277</f>
        <v>614</v>
      </c>
      <c r="M161" s="838">
        <f>'DAL KPI'!M277</f>
        <v>895</v>
      </c>
      <c r="N161" s="838">
        <f>'DAL KPI'!N277</f>
        <v>1286</v>
      </c>
      <c r="O161" s="838">
        <f>'DAL KPI'!O277</f>
        <v>1601</v>
      </c>
      <c r="P161" s="838">
        <f>'DAL KPI'!P277</f>
        <v>1745</v>
      </c>
      <c r="Q161" s="838">
        <f>'DAL KPI'!Q277</f>
        <v>2102</v>
      </c>
      <c r="R161" s="838">
        <f>'DAL KPI'!R277</f>
        <v>3540</v>
      </c>
      <c r="S161" s="838">
        <f>'DAL KPI'!S277</f>
        <v>3538.512177513252</v>
      </c>
      <c r="T161" s="838">
        <f>'DAL KPI'!T277</f>
        <v>3057.5063720376506</v>
      </c>
      <c r="U161" s="255"/>
      <c r="V161" s="838">
        <f>'DAL KPI'!V277</f>
        <v>6833</v>
      </c>
      <c r="W161" s="838">
        <f>'DAL KPI'!W277</f>
        <v>9131</v>
      </c>
      <c r="X161" s="838">
        <f>'DAL KPI'!X277</f>
        <v>8581</v>
      </c>
      <c r="Y161" s="838">
        <f>'DAL KPI'!Y277</f>
        <v>2938</v>
      </c>
      <c r="Z161" s="838">
        <f>'DAL KPI'!Z277</f>
        <v>5527</v>
      </c>
      <c r="AA161" s="838">
        <f>'DAL KPI'!AA277</f>
        <v>12238.018549550903</v>
      </c>
      <c r="AB161" s="838">
        <f>'DAL KPI'!AB277</f>
        <v>12572.758782621655</v>
      </c>
      <c r="AC161" s="838">
        <f>'DAL KPI'!AC277</f>
        <v>11819.75797985355</v>
      </c>
      <c r="AD161" s="839">
        <f>'DAL KPI'!AD277</f>
        <v>12014.053722583929</v>
      </c>
    </row>
    <row r="162" spans="2:30">
      <c r="B162" s="822"/>
      <c r="C162" s="716" t="s">
        <v>1307</v>
      </c>
      <c r="D162" s="716"/>
      <c r="E162" s="838">
        <f>'UAL KPI'!E196</f>
        <v>2023</v>
      </c>
      <c r="F162" s="838">
        <f>'UAL KPI'!F196</f>
        <v>2385</v>
      </c>
      <c r="G162" s="838">
        <f>'UAL KPI'!G196</f>
        <v>2296</v>
      </c>
      <c r="H162" s="838">
        <f>'UAL KPI'!H196</f>
        <v>2249</v>
      </c>
      <c r="I162" s="838">
        <f>'UAL KPI'!I196</f>
        <v>1726</v>
      </c>
      <c r="J162" s="838">
        <f>'UAL KPI'!J196</f>
        <v>240</v>
      </c>
      <c r="K162" s="838">
        <f>'UAL KPI'!K196</f>
        <v>508</v>
      </c>
      <c r="L162" s="838">
        <f>'UAL KPI'!L196</f>
        <v>679</v>
      </c>
      <c r="M162" s="838">
        <f>'UAL KPI'!M196</f>
        <v>851</v>
      </c>
      <c r="N162" s="838">
        <f>'UAL KPI'!N196</f>
        <v>1232</v>
      </c>
      <c r="O162" s="838">
        <f>'UAL KPI'!O196</f>
        <v>1710</v>
      </c>
      <c r="P162" s="838">
        <f>'UAL KPI'!P196</f>
        <v>1962</v>
      </c>
      <c r="Q162" s="838">
        <f>'UAL KPI'!Q196</f>
        <v>2230</v>
      </c>
      <c r="R162" s="838">
        <f>'UAL KPI'!R196</f>
        <v>4046.9830937239549</v>
      </c>
      <c r="S162" s="838">
        <f>'UAL KPI'!S196</f>
        <v>3893.5381361959298</v>
      </c>
      <c r="T162" s="838">
        <f>'UAL KPI'!T196</f>
        <v>3407.2193959186893</v>
      </c>
      <c r="U162" s="255"/>
      <c r="V162" s="838">
        <f>'UAL KPI'!V196</f>
        <v>6913</v>
      </c>
      <c r="W162" s="838">
        <f>'UAL KPI'!W196</f>
        <v>9307</v>
      </c>
      <c r="X162" s="838">
        <f>+SUMIF($E$5:$T$5,X$5,$E162:$T162)</f>
        <v>8953</v>
      </c>
      <c r="Y162" s="838">
        <f>+SUMIF($E$5:$T$5,Y$5,$E162:$T162)</f>
        <v>3153</v>
      </c>
      <c r="Z162" s="838">
        <f>+SUMIF($E$5:$T$5,Z$5,$E162:$T162)</f>
        <v>5755</v>
      </c>
      <c r="AA162" s="838">
        <f>+SUMIF($E$5:$T$5,AA$5,$E162:$T162)</f>
        <v>13577.740625838574</v>
      </c>
      <c r="AB162" s="838">
        <f>'UAL KPI'!AB196</f>
        <v>13562.050053777422</v>
      </c>
      <c r="AC162" s="838">
        <f>'UAL KPI'!AC196</f>
        <v>12389.637423269909</v>
      </c>
      <c r="AD162" s="839">
        <f>'UAL KPI'!AD196</f>
        <v>12399.244025654214</v>
      </c>
    </row>
    <row r="163" spans="2:30">
      <c r="B163" s="425"/>
      <c r="E163" s="494"/>
      <c r="F163" s="494"/>
      <c r="G163" s="494"/>
      <c r="H163" s="494"/>
      <c r="I163" s="494"/>
      <c r="J163" s="494"/>
      <c r="K163" s="494"/>
      <c r="L163" s="494"/>
      <c r="M163" s="494"/>
      <c r="N163" s="494"/>
      <c r="O163" s="494"/>
      <c r="P163" s="494"/>
      <c r="Q163" s="494"/>
      <c r="R163" s="494"/>
      <c r="S163" s="494"/>
      <c r="T163" s="494"/>
      <c r="U163" s="255"/>
      <c r="V163" s="494"/>
      <c r="W163" s="494"/>
      <c r="X163" s="494"/>
      <c r="Y163" s="494"/>
      <c r="Z163" s="494"/>
      <c r="AA163" s="494"/>
      <c r="AB163" s="494"/>
      <c r="AC163" s="494"/>
      <c r="AD163" s="837"/>
    </row>
    <row r="164" spans="2:30" s="278" customFormat="1">
      <c r="B164" s="825"/>
      <c r="C164" s="773" t="s">
        <v>1338</v>
      </c>
      <c r="D164" s="751"/>
      <c r="E164" s="751"/>
      <c r="F164" s="751"/>
      <c r="G164" s="751"/>
      <c r="H164" s="751"/>
      <c r="I164" s="751"/>
      <c r="J164" s="751"/>
      <c r="K164" s="751"/>
      <c r="L164" s="751"/>
      <c r="M164" s="751"/>
      <c r="N164" s="751"/>
      <c r="O164" s="751"/>
      <c r="P164" s="751"/>
      <c r="Q164" s="751"/>
      <c r="R164" s="751"/>
      <c r="S164" s="751"/>
      <c r="T164" s="751"/>
      <c r="U164" s="253"/>
      <c r="V164" s="751"/>
      <c r="W164" s="751"/>
      <c r="X164" s="751"/>
      <c r="Y164" s="751"/>
      <c r="Z164" s="751"/>
      <c r="AA164" s="751"/>
      <c r="AB164" s="751"/>
      <c r="AC164" s="751"/>
      <c r="AD164" s="826"/>
    </row>
    <row r="165" spans="2:30" s="278" customFormat="1">
      <c r="B165" s="825"/>
      <c r="C165" s="751" t="s">
        <v>1305</v>
      </c>
      <c r="D165" s="751"/>
      <c r="E165" s="756"/>
      <c r="F165" s="756"/>
      <c r="G165" s="756"/>
      <c r="H165" s="756"/>
      <c r="I165" s="756">
        <f t="shared" ref="I165:L167" si="100">I160/E160-1</f>
        <v>-0.16984644020474637</v>
      </c>
      <c r="J165" s="756">
        <f t="shared" si="100"/>
        <v>-0.87550362610797738</v>
      </c>
      <c r="K165" s="756">
        <f t="shared" si="100"/>
        <v>-0.75303152789005656</v>
      </c>
      <c r="L165" s="756">
        <f t="shared" si="100"/>
        <v>-0.69519650655021836</v>
      </c>
      <c r="M165" s="756">
        <f t="shared" ref="M165:P167" si="101">M160/E160-1</f>
        <v>-0.51884597487203354</v>
      </c>
      <c r="N165" s="756">
        <f t="shared" si="101"/>
        <v>-0.35092667203867844</v>
      </c>
      <c r="O165" s="756">
        <f t="shared" si="101"/>
        <v>-0.21099434114793858</v>
      </c>
      <c r="P165" s="756">
        <f t="shared" si="101"/>
        <v>-4.1048034934497823E-2</v>
      </c>
      <c r="Q165" s="756">
        <f t="shared" ref="Q165:T167" si="102">Q160/E160-1</f>
        <v>0.16426244765006981</v>
      </c>
      <c r="R165" s="756">
        <f t="shared" si="102"/>
        <v>0.86940243985672061</v>
      </c>
      <c r="S165" s="756">
        <f t="shared" si="102"/>
        <v>0.70836508889884486</v>
      </c>
      <c r="T165" s="756">
        <f t="shared" si="102"/>
        <v>0.53377081732304421</v>
      </c>
      <c r="U165" s="253"/>
      <c r="V165" s="756"/>
      <c r="W165" s="756"/>
      <c r="X165" s="756"/>
      <c r="Y165" s="756">
        <f t="shared" ref="Y165:AD167" si="103">Y160/$X160-1</f>
        <v>-0.63789249600851516</v>
      </c>
      <c r="Z165" s="756">
        <f t="shared" si="103"/>
        <v>-0.2769558275678552</v>
      </c>
      <c r="AA165" s="756">
        <f t="shared" si="103"/>
        <v>0.58389433287172898</v>
      </c>
      <c r="AB165" s="756">
        <f t="shared" si="103"/>
        <v>0.4408719541891295</v>
      </c>
      <c r="AC165" s="756">
        <f t="shared" si="103"/>
        <v>0.34375248199430364</v>
      </c>
      <c r="AD165" s="827">
        <f t="shared" si="103"/>
        <v>0.3731937464245354</v>
      </c>
    </row>
    <row r="166" spans="2:30" s="278" customFormat="1">
      <c r="B166" s="825"/>
      <c r="C166" s="751" t="s">
        <v>1306</v>
      </c>
      <c r="D166" s="751"/>
      <c r="E166" s="756"/>
      <c r="F166" s="756"/>
      <c r="G166" s="756"/>
      <c r="H166" s="756"/>
      <c r="I166" s="756">
        <f t="shared" si="100"/>
        <v>-0.1575413223140496</v>
      </c>
      <c r="J166" s="756">
        <f t="shared" si="100"/>
        <v>-0.89473684210526316</v>
      </c>
      <c r="K166" s="756">
        <f t="shared" si="100"/>
        <v>-0.80587980977086038</v>
      </c>
      <c r="L166" s="756">
        <f t="shared" si="100"/>
        <v>-0.69513406156901691</v>
      </c>
      <c r="M166" s="756">
        <f t="shared" si="101"/>
        <v>-0.53770661157024802</v>
      </c>
      <c r="N166" s="756">
        <f t="shared" si="101"/>
        <v>-0.44521138912855907</v>
      </c>
      <c r="O166" s="756">
        <f t="shared" si="101"/>
        <v>-0.30782533506268916</v>
      </c>
      <c r="P166" s="756">
        <f t="shared" si="101"/>
        <v>-0.13356504468718966</v>
      </c>
      <c r="Q166" s="756">
        <f t="shared" si="102"/>
        <v>8.5743801652892637E-2</v>
      </c>
      <c r="R166" s="756">
        <f t="shared" si="102"/>
        <v>0.52717860224331314</v>
      </c>
      <c r="S166" s="756">
        <f t="shared" si="102"/>
        <v>0.52983665262138002</v>
      </c>
      <c r="T166" s="756">
        <f t="shared" si="102"/>
        <v>0.51812630190548692</v>
      </c>
      <c r="U166" s="253"/>
      <c r="V166" s="756"/>
      <c r="W166" s="756"/>
      <c r="X166" s="756"/>
      <c r="Y166" s="756">
        <f t="shared" si="103"/>
        <v>-0.65761566251019699</v>
      </c>
      <c r="Z166" s="756">
        <f t="shared" si="103"/>
        <v>-0.35590257545740589</v>
      </c>
      <c r="AA166" s="756">
        <f t="shared" si="103"/>
        <v>0.42617626728247338</v>
      </c>
      <c r="AB166" s="756">
        <f t="shared" si="103"/>
        <v>0.46518573390300144</v>
      </c>
      <c r="AC166" s="756">
        <f t="shared" si="103"/>
        <v>0.37743363009597375</v>
      </c>
      <c r="AD166" s="827">
        <f t="shared" si="103"/>
        <v>0.40007618256426158</v>
      </c>
    </row>
    <row r="167" spans="2:30" s="278" customFormat="1">
      <c r="B167" s="825"/>
      <c r="C167" s="751" t="s">
        <v>1307</v>
      </c>
      <c r="D167" s="751"/>
      <c r="E167" s="756"/>
      <c r="F167" s="756"/>
      <c r="G167" s="756"/>
      <c r="H167" s="756"/>
      <c r="I167" s="756">
        <f t="shared" si="100"/>
        <v>-0.14681166584280769</v>
      </c>
      <c r="J167" s="756">
        <f t="shared" si="100"/>
        <v>-0.89937106918238996</v>
      </c>
      <c r="K167" s="756">
        <f t="shared" si="100"/>
        <v>-0.77874564459930318</v>
      </c>
      <c r="L167" s="756">
        <f t="shared" si="100"/>
        <v>-0.69808803912850159</v>
      </c>
      <c r="M167" s="756">
        <f t="shared" si="101"/>
        <v>-0.57933761739990119</v>
      </c>
      <c r="N167" s="756">
        <f t="shared" si="101"/>
        <v>-0.48343815513626831</v>
      </c>
      <c r="O167" s="756">
        <f t="shared" si="101"/>
        <v>-0.25522648083623689</v>
      </c>
      <c r="P167" s="756">
        <f t="shared" si="101"/>
        <v>-0.12761227212094262</v>
      </c>
      <c r="Q167" s="756">
        <f t="shared" si="102"/>
        <v>0.10232328225407805</v>
      </c>
      <c r="R167" s="756">
        <f t="shared" si="102"/>
        <v>0.69684825732660571</v>
      </c>
      <c r="S167" s="756">
        <f t="shared" si="102"/>
        <v>0.6957918711654747</v>
      </c>
      <c r="T167" s="756">
        <f t="shared" si="102"/>
        <v>0.51499306176909254</v>
      </c>
      <c r="U167" s="253"/>
      <c r="V167" s="756"/>
      <c r="W167" s="756"/>
      <c r="X167" s="756"/>
      <c r="Y167" s="756">
        <f t="shared" si="103"/>
        <v>-0.64782754384005359</v>
      </c>
      <c r="Z167" s="756">
        <f t="shared" si="103"/>
        <v>-0.3571987043449123</v>
      </c>
      <c r="AA167" s="756">
        <f t="shared" si="103"/>
        <v>0.51655764836798546</v>
      </c>
      <c r="AB167" s="756">
        <f t="shared" si="103"/>
        <v>0.51480509927146456</v>
      </c>
      <c r="AC167" s="756">
        <f t="shared" si="103"/>
        <v>0.38385316913547518</v>
      </c>
      <c r="AD167" s="827">
        <f t="shared" si="103"/>
        <v>0.38492617286431519</v>
      </c>
    </row>
    <row r="168" spans="2:30" s="278" customFormat="1" ht="3" customHeight="1">
      <c r="B168" s="573"/>
      <c r="E168" s="815"/>
      <c r="F168" s="815"/>
      <c r="G168" s="815"/>
      <c r="H168" s="815"/>
      <c r="I168" s="815"/>
      <c r="J168" s="815"/>
      <c r="K168" s="815"/>
      <c r="L168" s="815"/>
      <c r="M168" s="815"/>
      <c r="N168" s="815"/>
      <c r="O168" s="815"/>
      <c r="P168" s="815"/>
      <c r="Q168" s="815"/>
      <c r="R168" s="815"/>
      <c r="S168" s="815"/>
      <c r="T168" s="815"/>
      <c r="U168" s="253"/>
      <c r="V168" s="815"/>
      <c r="W168" s="815"/>
      <c r="X168" s="815"/>
      <c r="Y168" s="815"/>
      <c r="Z168" s="815"/>
      <c r="AA168" s="815"/>
      <c r="AB168" s="815"/>
      <c r="AC168" s="815"/>
      <c r="AD168" s="828"/>
    </row>
    <row r="169" spans="2:30" s="278" customFormat="1">
      <c r="B169" s="825"/>
      <c r="C169" s="773" t="s">
        <v>1337</v>
      </c>
      <c r="D169" s="751"/>
      <c r="E169" s="751"/>
      <c r="F169" s="751"/>
      <c r="G169" s="751"/>
      <c r="H169" s="751"/>
      <c r="I169" s="751"/>
      <c r="J169" s="751"/>
      <c r="K169" s="751"/>
      <c r="L169" s="751"/>
      <c r="M169" s="751"/>
      <c r="N169" s="751"/>
      <c r="O169" s="751"/>
      <c r="P169" s="751"/>
      <c r="Q169" s="751"/>
      <c r="R169" s="751"/>
      <c r="S169" s="751"/>
      <c r="T169" s="751"/>
      <c r="V169" s="751"/>
      <c r="W169" s="751"/>
      <c r="X169" s="751"/>
      <c r="Y169" s="751"/>
      <c r="Z169" s="751"/>
      <c r="AA169" s="751"/>
      <c r="AB169" s="751"/>
      <c r="AC169" s="751"/>
      <c r="AD169" s="826"/>
    </row>
    <row r="170" spans="2:30" s="278" customFormat="1">
      <c r="B170" s="825"/>
      <c r="C170" s="751" t="s">
        <v>1305</v>
      </c>
      <c r="D170" s="751"/>
      <c r="E170" s="756"/>
      <c r="F170" s="756"/>
      <c r="G170" s="756"/>
      <c r="H170" s="756"/>
      <c r="I170" s="756">
        <f t="shared" ref="I170:L172" si="104">I160/E160</f>
        <v>0.83015355979525363</v>
      </c>
      <c r="J170" s="756">
        <f t="shared" si="104"/>
        <v>0.12449637389202256</v>
      </c>
      <c r="K170" s="756">
        <f t="shared" si="104"/>
        <v>0.24696847210994341</v>
      </c>
      <c r="L170" s="756">
        <f t="shared" si="104"/>
        <v>0.30480349344978164</v>
      </c>
      <c r="M170" s="756">
        <f t="shared" ref="M170:P172" si="105">M160/E160</f>
        <v>0.48115402512796651</v>
      </c>
      <c r="N170" s="756">
        <f t="shared" si="105"/>
        <v>0.64907332796132156</v>
      </c>
      <c r="O170" s="756">
        <f t="shared" si="105"/>
        <v>0.78900565885206142</v>
      </c>
      <c r="P170" s="756">
        <f t="shared" si="105"/>
        <v>0.95895196506550218</v>
      </c>
      <c r="Q170" s="756">
        <f t="shared" ref="Q170:T172" si="106">Q160/E160</f>
        <v>1.1642624476500698</v>
      </c>
      <c r="R170" s="756">
        <f t="shared" si="106"/>
        <v>1.8694024398567206</v>
      </c>
      <c r="S170" s="756">
        <f t="shared" si="106"/>
        <v>1.7083650888988449</v>
      </c>
      <c r="T170" s="756">
        <f t="shared" si="106"/>
        <v>1.5337708173230442</v>
      </c>
      <c r="V170" s="756"/>
      <c r="W170" s="756"/>
      <c r="X170" s="756"/>
      <c r="Y170" s="756">
        <f t="shared" ref="Y170:AD172" si="107">Y160/$X160</f>
        <v>0.36210750399148484</v>
      </c>
      <c r="Z170" s="756">
        <f t="shared" si="107"/>
        <v>0.7230441724321448</v>
      </c>
      <c r="AA170" s="756">
        <f t="shared" si="107"/>
        <v>1.583894332871729</v>
      </c>
      <c r="AB170" s="756">
        <f t="shared" si="107"/>
        <v>1.4408719541891295</v>
      </c>
      <c r="AC170" s="756">
        <f t="shared" si="107"/>
        <v>1.3437524819943036</v>
      </c>
      <c r="AD170" s="827">
        <f t="shared" si="107"/>
        <v>1.3731937464245354</v>
      </c>
    </row>
    <row r="171" spans="2:30" s="278" customFormat="1">
      <c r="B171" s="825"/>
      <c r="C171" s="751" t="s">
        <v>1306</v>
      </c>
      <c r="D171" s="751"/>
      <c r="E171" s="756"/>
      <c r="F171" s="756"/>
      <c r="G171" s="756"/>
      <c r="H171" s="756"/>
      <c r="I171" s="756">
        <f t="shared" si="104"/>
        <v>0.8424586776859504</v>
      </c>
      <c r="J171" s="756">
        <f t="shared" si="104"/>
        <v>0.10526315789473684</v>
      </c>
      <c r="K171" s="756">
        <f t="shared" si="104"/>
        <v>0.19412019022913965</v>
      </c>
      <c r="L171" s="756">
        <f t="shared" si="104"/>
        <v>0.30486593843098314</v>
      </c>
      <c r="M171" s="756">
        <f t="shared" si="105"/>
        <v>0.46229338842975204</v>
      </c>
      <c r="N171" s="756">
        <f t="shared" si="105"/>
        <v>0.55478861087144093</v>
      </c>
      <c r="O171" s="756">
        <f t="shared" si="105"/>
        <v>0.69217466493731084</v>
      </c>
      <c r="P171" s="756">
        <f t="shared" si="105"/>
        <v>0.86643495531281034</v>
      </c>
      <c r="Q171" s="756">
        <f t="shared" si="106"/>
        <v>1.0857438016528926</v>
      </c>
      <c r="R171" s="756">
        <f t="shared" si="106"/>
        <v>1.5271786022433131</v>
      </c>
      <c r="S171" s="756">
        <f t="shared" si="106"/>
        <v>1.52983665262138</v>
      </c>
      <c r="T171" s="756">
        <f t="shared" si="106"/>
        <v>1.5181263019054869</v>
      </c>
      <c r="V171" s="756"/>
      <c r="W171" s="756"/>
      <c r="X171" s="756"/>
      <c r="Y171" s="756">
        <f t="shared" si="107"/>
        <v>0.34238433748980307</v>
      </c>
      <c r="Z171" s="756">
        <f t="shared" si="107"/>
        <v>0.64409742454259411</v>
      </c>
      <c r="AA171" s="756">
        <f t="shared" si="107"/>
        <v>1.4261762672824734</v>
      </c>
      <c r="AB171" s="756">
        <f t="shared" si="107"/>
        <v>1.4651857339030014</v>
      </c>
      <c r="AC171" s="756">
        <f t="shared" si="107"/>
        <v>1.3774336300959737</v>
      </c>
      <c r="AD171" s="827">
        <f t="shared" si="107"/>
        <v>1.4000761825642616</v>
      </c>
    </row>
    <row r="172" spans="2:30" s="278" customFormat="1" ht="10.9" thickBot="1">
      <c r="B172" s="829"/>
      <c r="C172" s="830" t="s">
        <v>1307</v>
      </c>
      <c r="D172" s="830"/>
      <c r="E172" s="831"/>
      <c r="F172" s="831"/>
      <c r="G172" s="831"/>
      <c r="H172" s="831"/>
      <c r="I172" s="831">
        <f t="shared" si="104"/>
        <v>0.85318833415719231</v>
      </c>
      <c r="J172" s="831">
        <f t="shared" si="104"/>
        <v>0.10062893081761007</v>
      </c>
      <c r="K172" s="831">
        <f t="shared" si="104"/>
        <v>0.22125435540069685</v>
      </c>
      <c r="L172" s="831">
        <f t="shared" si="104"/>
        <v>0.30191196087149846</v>
      </c>
      <c r="M172" s="831">
        <f t="shared" si="105"/>
        <v>0.42066238260009886</v>
      </c>
      <c r="N172" s="831">
        <f t="shared" si="105"/>
        <v>0.51656184486373169</v>
      </c>
      <c r="O172" s="831">
        <f t="shared" si="105"/>
        <v>0.74477351916376311</v>
      </c>
      <c r="P172" s="831">
        <f t="shared" si="105"/>
        <v>0.87238772787905738</v>
      </c>
      <c r="Q172" s="831">
        <f t="shared" si="106"/>
        <v>1.1023232822540781</v>
      </c>
      <c r="R172" s="831">
        <f t="shared" si="106"/>
        <v>1.6968482573266057</v>
      </c>
      <c r="S172" s="831">
        <f t="shared" si="106"/>
        <v>1.6957918711654747</v>
      </c>
      <c r="T172" s="831">
        <f t="shared" si="106"/>
        <v>1.5149930617690925</v>
      </c>
      <c r="U172" s="774"/>
      <c r="V172" s="831"/>
      <c r="W172" s="831"/>
      <c r="X172" s="831"/>
      <c r="Y172" s="831">
        <f t="shared" si="107"/>
        <v>0.35217245615994641</v>
      </c>
      <c r="Z172" s="831">
        <f t="shared" si="107"/>
        <v>0.6428012956550877</v>
      </c>
      <c r="AA172" s="831">
        <f t="shared" si="107"/>
        <v>1.5165576483679855</v>
      </c>
      <c r="AB172" s="831">
        <f t="shared" si="107"/>
        <v>1.5148050992714646</v>
      </c>
      <c r="AC172" s="831">
        <f t="shared" si="107"/>
        <v>1.3838531691354752</v>
      </c>
      <c r="AD172" s="832">
        <f t="shared" si="107"/>
        <v>1.3849261728643152</v>
      </c>
    </row>
    <row r="173" spans="2:30" s="278" customFormat="1" ht="10.9" thickBot="1"/>
    <row r="174" spans="2:30" s="278" customFormat="1">
      <c r="B174" s="858" t="s">
        <v>133</v>
      </c>
      <c r="C174" s="859" t="s">
        <v>1341</v>
      </c>
      <c r="D174" s="860"/>
      <c r="E174" s="861"/>
      <c r="F174" s="861"/>
      <c r="G174" s="861"/>
      <c r="H174" s="861"/>
      <c r="I174" s="861"/>
      <c r="J174" s="861"/>
      <c r="K174" s="861"/>
      <c r="L174" s="861"/>
      <c r="M174" s="861"/>
      <c r="N174" s="861"/>
      <c r="O174" s="861"/>
      <c r="P174" s="861"/>
      <c r="Q174" s="861"/>
      <c r="R174" s="861"/>
      <c r="S174" s="861"/>
      <c r="T174" s="861"/>
      <c r="U174" s="562"/>
      <c r="V174" s="861"/>
      <c r="W174" s="861"/>
      <c r="X174" s="861"/>
      <c r="Y174" s="861"/>
      <c r="Z174" s="861"/>
      <c r="AA174" s="861"/>
      <c r="AB174" s="861"/>
      <c r="AC174" s="861"/>
      <c r="AD174" s="862"/>
    </row>
    <row r="175" spans="2:30" s="279" customFormat="1">
      <c r="B175" s="863"/>
      <c r="C175" s="864" t="s">
        <v>1305</v>
      </c>
      <c r="D175" s="864"/>
      <c r="E175" s="865">
        <f t="shared" ref="E175:T175" si="108">E160/E66/10</f>
        <v>3.2231454540000604</v>
      </c>
      <c r="F175" s="865">
        <f t="shared" si="108"/>
        <v>3.4318741185254837</v>
      </c>
      <c r="G175" s="865">
        <f t="shared" si="108"/>
        <v>3.2629912951727773</v>
      </c>
      <c r="H175" s="865">
        <f t="shared" si="108"/>
        <v>3.2587659380692173</v>
      </c>
      <c r="I175" s="865">
        <f t="shared" si="108"/>
        <v>2.8728320906938922</v>
      </c>
      <c r="J175" s="865">
        <f t="shared" si="108"/>
        <v>1.8090275744979802</v>
      </c>
      <c r="K175" s="865">
        <f t="shared" si="108"/>
        <v>1.985829433177327</v>
      </c>
      <c r="L175" s="865">
        <f t="shared" si="108"/>
        <v>2.1012071404918875</v>
      </c>
      <c r="M175" s="865">
        <f t="shared" si="108"/>
        <v>2.738057409172757</v>
      </c>
      <c r="N175" s="865">
        <f t="shared" si="108"/>
        <v>2.9529832279351114</v>
      </c>
      <c r="O175" s="865">
        <f t="shared" si="108"/>
        <v>3.1941876257956836</v>
      </c>
      <c r="P175" s="865">
        <f t="shared" si="108"/>
        <v>3.5938139268472304</v>
      </c>
      <c r="Q175" s="865">
        <f t="shared" si="108"/>
        <v>4.2027111014059431</v>
      </c>
      <c r="R175" s="865">
        <f t="shared" si="108"/>
        <v>6.8984101286717792</v>
      </c>
      <c r="S175" s="865">
        <f t="shared" si="108"/>
        <v>5.8576278554471113</v>
      </c>
      <c r="T175" s="865">
        <f t="shared" si="108"/>
        <v>5.2205209494581872</v>
      </c>
      <c r="U175" s="255"/>
      <c r="V175" s="865">
        <f t="shared" ref="V175:AD175" si="109">V160/V66/10</f>
        <v>2.7161627961648214</v>
      </c>
      <c r="W175" s="865">
        <f t="shared" si="109"/>
        <v>3.5085480085373724</v>
      </c>
      <c r="X175" s="865">
        <f t="shared" si="109"/>
        <v>3.29547367830284</v>
      </c>
      <c r="Y175" s="865">
        <f t="shared" si="109"/>
        <v>2.3762459225938946</v>
      </c>
      <c r="Z175" s="865">
        <f t="shared" si="109"/>
        <v>3.1663831076514324</v>
      </c>
      <c r="AA175" s="865">
        <f t="shared" si="109"/>
        <v>5.5894964604607935</v>
      </c>
      <c r="AB175" s="865">
        <f t="shared" si="109"/>
        <v>4.7162101553846609</v>
      </c>
      <c r="AC175" s="865">
        <f t="shared" si="109"/>
        <v>4.1607190267286551</v>
      </c>
      <c r="AD175" s="866">
        <f t="shared" si="109"/>
        <v>4.1412764144542225</v>
      </c>
    </row>
    <row r="176" spans="2:30" s="279" customFormat="1">
      <c r="B176" s="863"/>
      <c r="C176" s="864" t="s">
        <v>1306</v>
      </c>
      <c r="D176" s="864"/>
      <c r="E176" s="865">
        <f t="shared" ref="E176:T176" si="110">E161/E67/10</f>
        <v>3.1017687772366065</v>
      </c>
      <c r="F176" s="865">
        <f t="shared" si="110"/>
        <v>3.2304819243526488</v>
      </c>
      <c r="G176" s="865">
        <f t="shared" si="110"/>
        <v>3.0537878587837657</v>
      </c>
      <c r="H176" s="865">
        <f t="shared" si="110"/>
        <v>3.0763120914034334</v>
      </c>
      <c r="I176" s="865">
        <f t="shared" si="110"/>
        <v>2.7698055531969095</v>
      </c>
      <c r="J176" s="865">
        <f t="shared" si="110"/>
        <v>2.3027557568893924</v>
      </c>
      <c r="K176" s="865">
        <f t="shared" si="110"/>
        <v>1.5871332626369743</v>
      </c>
      <c r="L176" s="865">
        <f t="shared" si="110"/>
        <v>1.6790177472722796</v>
      </c>
      <c r="M176" s="865">
        <f t="shared" si="110"/>
        <v>2.2309187895707661</v>
      </c>
      <c r="N176" s="865">
        <f t="shared" si="110"/>
        <v>2.6499618784644232</v>
      </c>
      <c r="O176" s="865">
        <f t="shared" si="110"/>
        <v>2.9602647782112679</v>
      </c>
      <c r="P176" s="865">
        <f t="shared" si="110"/>
        <v>3.3723716759431044</v>
      </c>
      <c r="Q176" s="865">
        <f t="shared" si="110"/>
        <v>4.0571318278324648</v>
      </c>
      <c r="R176" s="865">
        <f t="shared" si="110"/>
        <v>6.0098806512401746</v>
      </c>
      <c r="S176" s="865">
        <f t="shared" si="110"/>
        <v>5.4469924266714944</v>
      </c>
      <c r="T176" s="865">
        <f t="shared" si="110"/>
        <v>4.9414513726024669</v>
      </c>
      <c r="U176" s="255"/>
      <c r="V176" s="865">
        <f t="shared" ref="V176:AD176" si="111">V161/V67/10</f>
        <v>2.6867185440443757</v>
      </c>
      <c r="W176" s="865">
        <f t="shared" si="111"/>
        <v>3.4670457829907506</v>
      </c>
      <c r="X176" s="865">
        <f t="shared" si="111"/>
        <v>3.1160578110247652</v>
      </c>
      <c r="Y176" s="865">
        <f t="shared" si="111"/>
        <v>2.1869882387970825</v>
      </c>
      <c r="Z176" s="865">
        <f t="shared" si="111"/>
        <v>2.8420251550335776</v>
      </c>
      <c r="AA176" s="865">
        <f t="shared" si="111"/>
        <v>5.1517579328122043</v>
      </c>
      <c r="AB176" s="865">
        <f t="shared" si="111"/>
        <v>4.5126227758007129</v>
      </c>
      <c r="AC176" s="865">
        <f t="shared" si="111"/>
        <v>3.9813716719388439</v>
      </c>
      <c r="AD176" s="866">
        <f t="shared" si="111"/>
        <v>3.981371671938843</v>
      </c>
    </row>
    <row r="177" spans="2:51" s="279" customFormat="1">
      <c r="B177" s="863"/>
      <c r="C177" s="864" t="s">
        <v>1307</v>
      </c>
      <c r="D177" s="864"/>
      <c r="E177" s="865">
        <f t="shared" ref="E177:T177" si="112">E162/E68/10</f>
        <v>3.0817274735318763</v>
      </c>
      <c r="F177" s="865">
        <f t="shared" si="112"/>
        <v>3.2564172583287814</v>
      </c>
      <c r="G177" s="865">
        <f t="shared" si="112"/>
        <v>3.0582343225531461</v>
      </c>
      <c r="H177" s="865">
        <f t="shared" si="112"/>
        <v>3.1659112024550238</v>
      </c>
      <c r="I177" s="865">
        <f t="shared" si="112"/>
        <v>2.8323870163116611</v>
      </c>
      <c r="J177" s="865">
        <f t="shared" si="112"/>
        <v>2.6776748856409682</v>
      </c>
      <c r="K177" s="865">
        <f t="shared" si="112"/>
        <v>2.2870520439402124</v>
      </c>
      <c r="L177" s="865">
        <f t="shared" si="112"/>
        <v>2.2123749633443031</v>
      </c>
      <c r="M177" s="865">
        <f t="shared" si="112"/>
        <v>2.802107342772473</v>
      </c>
      <c r="N177" s="865">
        <f t="shared" si="112"/>
        <v>3.1100901219296695</v>
      </c>
      <c r="O177" s="865">
        <f t="shared" si="112"/>
        <v>3.1733659948780755</v>
      </c>
      <c r="P177" s="865">
        <f t="shared" si="112"/>
        <v>3.5793122320532702</v>
      </c>
      <c r="Q177" s="865">
        <f t="shared" si="112"/>
        <v>4.1866927005106636</v>
      </c>
      <c r="R177" s="865">
        <f t="shared" si="112"/>
        <v>6.3475217485855717</v>
      </c>
      <c r="S177" s="865">
        <f t="shared" si="112"/>
        <v>5.6270612766243016</v>
      </c>
      <c r="T177" s="865">
        <f t="shared" si="112"/>
        <v>5.1394096076768054</v>
      </c>
      <c r="U177" s="255"/>
      <c r="V177" s="865">
        <f t="shared" ref="V177:AD177" si="113">V162/V68/10</f>
        <v>2.5114282427750929</v>
      </c>
      <c r="W177" s="865">
        <f t="shared" si="113"/>
        <v>3.5470652357052672</v>
      </c>
      <c r="X177" s="865">
        <f t="shared" si="113"/>
        <v>3.1414145312790569</v>
      </c>
      <c r="Y177" s="865">
        <f t="shared" si="113"/>
        <v>2.5675059444317769</v>
      </c>
      <c r="Z177" s="865">
        <f t="shared" si="113"/>
        <v>3.2207696268272477</v>
      </c>
      <c r="AA177" s="865">
        <f t="shared" si="113"/>
        <v>5.3771115559053753</v>
      </c>
      <c r="AB177" s="865">
        <f t="shared" si="113"/>
        <v>4.6126593952113719</v>
      </c>
      <c r="AC177" s="865">
        <f t="shared" si="113"/>
        <v>4.0846134547840522</v>
      </c>
      <c r="AD177" s="866">
        <f t="shared" si="113"/>
        <v>4.0846134547840514</v>
      </c>
      <c r="AR177" s="253"/>
      <c r="AS177" s="253"/>
      <c r="AT177" s="253"/>
      <c r="AV177" s="253"/>
      <c r="AW177" s="253"/>
      <c r="AX177" s="253"/>
      <c r="AY177" s="253"/>
    </row>
    <row r="178" spans="2:51" s="279" customFormat="1">
      <c r="B178" s="425"/>
      <c r="C178" s="253"/>
      <c r="D178" s="253"/>
      <c r="E178" s="494"/>
      <c r="F178" s="494"/>
      <c r="G178" s="494"/>
      <c r="H178" s="494"/>
      <c r="I178" s="494"/>
      <c r="J178" s="494"/>
      <c r="K178" s="494"/>
      <c r="L178" s="494"/>
      <c r="M178" s="494"/>
      <c r="N178" s="494"/>
      <c r="O178" s="494"/>
      <c r="P178" s="494"/>
      <c r="Q178" s="494"/>
      <c r="R178" s="494"/>
      <c r="S178" s="494"/>
      <c r="T178" s="494"/>
      <c r="U178" s="255"/>
      <c r="V178" s="494"/>
      <c r="W178" s="494"/>
      <c r="X178" s="494"/>
      <c r="Y178" s="494"/>
      <c r="Z178" s="494"/>
      <c r="AA178" s="494"/>
      <c r="AB178" s="494"/>
      <c r="AC178" s="494"/>
      <c r="AD178" s="837"/>
      <c r="AR178" s="253"/>
      <c r="AS178" s="253"/>
      <c r="AT178" s="253"/>
      <c r="AV178" s="253"/>
      <c r="AW178" s="253"/>
      <c r="AX178" s="253"/>
      <c r="AY178" s="253"/>
    </row>
    <row r="179" spans="2:51" s="278" customFormat="1">
      <c r="B179" s="825"/>
      <c r="C179" s="773" t="s">
        <v>1338</v>
      </c>
      <c r="D179" s="751"/>
      <c r="E179" s="751"/>
      <c r="F179" s="751"/>
      <c r="G179" s="751"/>
      <c r="H179" s="751"/>
      <c r="I179" s="751"/>
      <c r="J179" s="751"/>
      <c r="K179" s="751"/>
      <c r="L179" s="751"/>
      <c r="M179" s="751"/>
      <c r="N179" s="751"/>
      <c r="O179" s="751"/>
      <c r="P179" s="751"/>
      <c r="Q179" s="751"/>
      <c r="R179" s="751"/>
      <c r="S179" s="751"/>
      <c r="T179" s="751"/>
      <c r="U179" s="253"/>
      <c r="V179" s="751"/>
      <c r="W179" s="751"/>
      <c r="X179" s="751"/>
      <c r="Y179" s="751"/>
      <c r="Z179" s="751"/>
      <c r="AA179" s="751"/>
      <c r="AB179" s="751"/>
      <c r="AC179" s="751"/>
      <c r="AD179" s="826"/>
    </row>
    <row r="180" spans="2:51" s="278" customFormat="1">
      <c r="B180" s="825"/>
      <c r="C180" s="751" t="s">
        <v>1305</v>
      </c>
      <c r="D180" s="751"/>
      <c r="E180" s="756"/>
      <c r="F180" s="756"/>
      <c r="G180" s="756"/>
      <c r="H180" s="756"/>
      <c r="I180" s="756">
        <f t="shared" ref="I180:L182" si="114">I175/E175-1</f>
        <v>-0.10868679937215198</v>
      </c>
      <c r="J180" s="756">
        <f t="shared" si="114"/>
        <v>-0.47287472907798989</v>
      </c>
      <c r="K180" s="756">
        <f t="shared" si="114"/>
        <v>-0.39140829578211422</v>
      </c>
      <c r="L180" s="756">
        <f t="shared" si="114"/>
        <v>-0.35521385075700485</v>
      </c>
      <c r="M180" s="756">
        <f t="shared" ref="M180:P182" si="115">M175/E175-1</f>
        <v>-0.15050144393120346</v>
      </c>
      <c r="N180" s="756">
        <f t="shared" si="115"/>
        <v>-0.1395420910123969</v>
      </c>
      <c r="O180" s="756">
        <f t="shared" si="115"/>
        <v>-2.10860719974586E-2</v>
      </c>
      <c r="P180" s="756">
        <f t="shared" si="115"/>
        <v>0.1028143767135743</v>
      </c>
      <c r="Q180" s="756">
        <f t="shared" ref="Q180:T182" si="116">Q175/E175-1</f>
        <v>0.30391605386291221</v>
      </c>
      <c r="R180" s="756">
        <f t="shared" si="116"/>
        <v>1.0100999892256257</v>
      </c>
      <c r="S180" s="756">
        <f t="shared" si="116"/>
        <v>0.79517115602263555</v>
      </c>
      <c r="T180" s="756">
        <f t="shared" si="116"/>
        <v>0.60199322340753558</v>
      </c>
      <c r="U180" s="253"/>
      <c r="V180" s="756"/>
      <c r="W180" s="756"/>
      <c r="X180" s="756"/>
      <c r="Y180" s="756">
        <f t="shared" ref="Y180:AD180" si="117">Y175/$X175-1</f>
        <v>-0.27893645813682999</v>
      </c>
      <c r="Z180" s="756">
        <f t="shared" si="117"/>
        <v>-3.9172083667768476E-2</v>
      </c>
      <c r="AA180" s="756">
        <f t="shared" si="117"/>
        <v>0.69611321651926206</v>
      </c>
      <c r="AB180" s="756">
        <f t="shared" si="117"/>
        <v>0.43111753142980547</v>
      </c>
      <c r="AC180" s="756">
        <f t="shared" si="117"/>
        <v>0.26255568482386238</v>
      </c>
      <c r="AD180" s="827">
        <f t="shared" si="117"/>
        <v>0.25665589190412486</v>
      </c>
    </row>
    <row r="181" spans="2:51" s="278" customFormat="1">
      <c r="B181" s="825"/>
      <c r="C181" s="751" t="s">
        <v>1306</v>
      </c>
      <c r="D181" s="751"/>
      <c r="E181" s="756"/>
      <c r="F181" s="756"/>
      <c r="G181" s="756"/>
      <c r="H181" s="756"/>
      <c r="I181" s="756">
        <f t="shared" si="114"/>
        <v>-0.10702384603131054</v>
      </c>
      <c r="J181" s="756">
        <f t="shared" si="114"/>
        <v>-0.28717887584192625</v>
      </c>
      <c r="K181" s="756">
        <f t="shared" si="114"/>
        <v>-0.48027389719563462</v>
      </c>
      <c r="L181" s="756">
        <f t="shared" si="114"/>
        <v>-0.45421085462551336</v>
      </c>
      <c r="M181" s="756">
        <f t="shared" si="115"/>
        <v>-0.28075915718053246</v>
      </c>
      <c r="N181" s="756">
        <f t="shared" si="115"/>
        <v>-0.17970075656886864</v>
      </c>
      <c r="O181" s="756">
        <f t="shared" si="115"/>
        <v>-3.0625270941297522E-2</v>
      </c>
      <c r="P181" s="756">
        <f t="shared" si="115"/>
        <v>9.6238475077672136E-2</v>
      </c>
      <c r="Q181" s="756">
        <f t="shared" si="116"/>
        <v>0.30800588928714401</v>
      </c>
      <c r="R181" s="756">
        <f t="shared" si="116"/>
        <v>0.86036659296413953</v>
      </c>
      <c r="S181" s="756">
        <f t="shared" si="116"/>
        <v>0.78368396187182165</v>
      </c>
      <c r="T181" s="756">
        <f t="shared" si="116"/>
        <v>0.60629065770376522</v>
      </c>
      <c r="U181" s="253"/>
      <c r="V181" s="756"/>
      <c r="W181" s="756"/>
      <c r="X181" s="756"/>
      <c r="Y181" s="756">
        <f t="shared" ref="Y181:AD181" si="118">Y176/$X176-1</f>
        <v>-0.29815543503095132</v>
      </c>
      <c r="Z181" s="756">
        <f t="shared" si="118"/>
        <v>-8.7942096267163761E-2</v>
      </c>
      <c r="AA181" s="756">
        <f t="shared" si="118"/>
        <v>0.6532934384545217</v>
      </c>
      <c r="AB181" s="756">
        <f t="shared" si="118"/>
        <v>0.44818326535368902</v>
      </c>
      <c r="AC181" s="756">
        <f t="shared" si="118"/>
        <v>0.27769506003789646</v>
      </c>
      <c r="AD181" s="827">
        <f t="shared" si="118"/>
        <v>0.27769506003789624</v>
      </c>
    </row>
    <row r="182" spans="2:51" s="278" customFormat="1" ht="10.9" thickBot="1">
      <c r="B182" s="829"/>
      <c r="C182" s="830" t="s">
        <v>1307</v>
      </c>
      <c r="D182" s="830"/>
      <c r="E182" s="831"/>
      <c r="F182" s="831"/>
      <c r="G182" s="831"/>
      <c r="H182" s="831"/>
      <c r="I182" s="831">
        <f t="shared" si="114"/>
        <v>-8.0909314454874037E-2</v>
      </c>
      <c r="J182" s="831">
        <f t="shared" si="114"/>
        <v>-0.17772365356668951</v>
      </c>
      <c r="K182" s="831">
        <f t="shared" si="114"/>
        <v>-0.25216585692136151</v>
      </c>
      <c r="L182" s="831">
        <f t="shared" si="114"/>
        <v>-0.30118856093351443</v>
      </c>
      <c r="M182" s="831">
        <f t="shared" si="115"/>
        <v>-9.073486645428086E-2</v>
      </c>
      <c r="N182" s="831">
        <f t="shared" si="115"/>
        <v>-4.4935008259416986E-2</v>
      </c>
      <c r="O182" s="831">
        <f t="shared" si="115"/>
        <v>3.7646452227641181E-2</v>
      </c>
      <c r="P182" s="831">
        <f t="shared" si="115"/>
        <v>0.1305788454450878</v>
      </c>
      <c r="Q182" s="831">
        <f t="shared" si="116"/>
        <v>0.35855384243708599</v>
      </c>
      <c r="R182" s="831">
        <f t="shared" si="116"/>
        <v>0.94923477092833286</v>
      </c>
      <c r="S182" s="831">
        <f t="shared" si="116"/>
        <v>0.83997061151500896</v>
      </c>
      <c r="T182" s="831">
        <f t="shared" si="116"/>
        <v>0.62335873592772306</v>
      </c>
      <c r="U182" s="430"/>
      <c r="V182" s="831"/>
      <c r="W182" s="831"/>
      <c r="X182" s="831"/>
      <c r="Y182" s="831">
        <f t="shared" ref="Y182:AD182" si="119">Y177/$X177-1</f>
        <v>-0.1826911351981324</v>
      </c>
      <c r="Z182" s="831">
        <f t="shared" si="119"/>
        <v>2.5260943679368708E-2</v>
      </c>
      <c r="AA182" s="831">
        <f t="shared" si="119"/>
        <v>0.71168481662177618</v>
      </c>
      <c r="AB182" s="831">
        <f t="shared" si="119"/>
        <v>0.46833833907723199</v>
      </c>
      <c r="AC182" s="831">
        <f t="shared" si="119"/>
        <v>0.30024656539707384</v>
      </c>
      <c r="AD182" s="832">
        <f t="shared" si="119"/>
        <v>0.30024656539707362</v>
      </c>
    </row>
    <row r="183" spans="2:51" s="279" customFormat="1">
      <c r="C183" s="680"/>
      <c r="E183" s="840"/>
      <c r="F183" s="840"/>
      <c r="G183" s="840"/>
      <c r="H183" s="840"/>
      <c r="I183" s="840"/>
      <c r="J183" s="840"/>
      <c r="K183" s="840"/>
      <c r="L183" s="840"/>
      <c r="M183" s="840"/>
      <c r="N183" s="840"/>
      <c r="O183" s="840"/>
      <c r="P183" s="840"/>
      <c r="Q183" s="840"/>
      <c r="R183" s="840"/>
      <c r="S183" s="840"/>
      <c r="T183" s="840"/>
      <c r="U183" s="255"/>
      <c r="V183" s="840"/>
      <c r="W183" s="840"/>
      <c r="X183" s="840"/>
      <c r="Y183" s="840"/>
      <c r="Z183" s="840"/>
      <c r="AA183" s="840"/>
      <c r="AB183" s="840"/>
      <c r="AC183" s="840"/>
      <c r="AD183" s="840"/>
      <c r="AR183" s="253"/>
      <c r="AS183" s="253"/>
      <c r="AT183" s="253"/>
      <c r="AV183" s="253"/>
      <c r="AW183" s="253"/>
      <c r="AX183" s="253"/>
      <c r="AY183" s="253"/>
    </row>
    <row r="184" spans="2:51" s="278" customFormat="1" ht="3" customHeight="1">
      <c r="B184" s="857"/>
      <c r="C184" s="857"/>
      <c r="D184" s="857"/>
      <c r="E184" s="857"/>
      <c r="F184" s="857"/>
      <c r="G184" s="857"/>
      <c r="H184" s="857"/>
      <c r="I184" s="857"/>
      <c r="J184" s="857"/>
      <c r="K184" s="857"/>
      <c r="L184" s="857"/>
      <c r="M184" s="857"/>
      <c r="N184" s="857"/>
      <c r="O184" s="857"/>
      <c r="P184" s="857"/>
      <c r="Q184" s="857"/>
      <c r="R184" s="857"/>
      <c r="S184" s="857"/>
      <c r="T184" s="857"/>
      <c r="U184" s="857"/>
      <c r="V184" s="857"/>
      <c r="W184" s="857"/>
      <c r="X184" s="857"/>
      <c r="Y184" s="857"/>
      <c r="Z184" s="857"/>
      <c r="AA184" s="857"/>
      <c r="AB184" s="857"/>
      <c r="AC184" s="857"/>
      <c r="AD184" s="857"/>
    </row>
    <row r="185" spans="2:51" s="278" customFormat="1" ht="10.9" thickBot="1"/>
    <row r="186" spans="2:51" s="278" customFormat="1">
      <c r="B186" s="816"/>
      <c r="C186" s="817" t="s">
        <v>573</v>
      </c>
      <c r="D186" s="818"/>
      <c r="E186" s="833"/>
      <c r="F186" s="833"/>
      <c r="G186" s="833"/>
      <c r="H186" s="833"/>
      <c r="I186" s="833"/>
      <c r="J186" s="833"/>
      <c r="K186" s="833"/>
      <c r="L186" s="833"/>
      <c r="M186" s="833"/>
      <c r="N186" s="833"/>
      <c r="O186" s="833"/>
      <c r="P186" s="833"/>
      <c r="Q186" s="833"/>
      <c r="R186" s="833"/>
      <c r="S186" s="833"/>
      <c r="T186" s="833"/>
      <c r="U186" s="562"/>
      <c r="V186" s="833"/>
      <c r="W186" s="833"/>
      <c r="X186" s="833"/>
      <c r="Y186" s="833"/>
      <c r="Z186" s="833"/>
      <c r="AA186" s="833"/>
      <c r="AB186" s="833"/>
      <c r="AC186" s="833"/>
      <c r="AD186" s="834"/>
    </row>
    <row r="187" spans="2:51">
      <c r="B187" s="822"/>
      <c r="C187" s="716" t="s">
        <v>1305</v>
      </c>
      <c r="D187" s="716"/>
      <c r="E187" s="838">
        <f>'AAL KPI'!E252</f>
        <v>7922</v>
      </c>
      <c r="F187" s="838">
        <f>'AAL KPI'!F252</f>
        <v>8204</v>
      </c>
      <c r="G187" s="838">
        <f>'AAL KPI'!G252</f>
        <v>8395</v>
      </c>
      <c r="H187" s="838">
        <f>'AAL KPI'!H252</f>
        <v>8146</v>
      </c>
      <c r="I187" s="838">
        <f>'AAL KPI'!I252</f>
        <v>8055</v>
      </c>
      <c r="J187" s="838">
        <f>'AAL KPI'!J252</f>
        <v>5471</v>
      </c>
      <c r="K187" s="838">
        <f>'AAL KPI'!K252</f>
        <v>5952</v>
      </c>
      <c r="L187" s="838">
        <f>'AAL KPI'!L252</f>
        <v>5844</v>
      </c>
      <c r="M187" s="838">
        <f>'AAL KPI'!M252</f>
        <v>6212</v>
      </c>
      <c r="N187" s="838">
        <f>'AAL KPI'!N252</f>
        <v>6881</v>
      </c>
      <c r="O187" s="838">
        <f>'AAL KPI'!O252</f>
        <v>7479</v>
      </c>
      <c r="P187" s="838">
        <f>'AAL KPI'!P252</f>
        <v>8031</v>
      </c>
      <c r="Q187" s="838">
        <f>'AAL KPI'!Q252</f>
        <v>7963</v>
      </c>
      <c r="R187" s="838">
        <f>'AAL KPI'!R252</f>
        <v>8319.0234563251888</v>
      </c>
      <c r="S187" s="838">
        <f>'AAL KPI'!S252</f>
        <v>8601.3862835864002</v>
      </c>
      <c r="T187" s="838">
        <f>'AAL KPI'!T252</f>
        <v>8388.0426322318999</v>
      </c>
      <c r="U187" s="255"/>
      <c r="V187" s="838">
        <f>'AAL KPI'!V252</f>
        <v>30147</v>
      </c>
      <c r="W187" s="838">
        <f>'AAL KPI'!W252</f>
        <v>31196</v>
      </c>
      <c r="X187" s="838">
        <f>'AAL KPI'!X252</f>
        <v>32667</v>
      </c>
      <c r="Y187" s="838">
        <f>'AAL KPI'!Y252</f>
        <v>25322</v>
      </c>
      <c r="Z187" s="838">
        <f>'AAL KPI'!Z252</f>
        <v>28603</v>
      </c>
      <c r="AA187" s="838">
        <f>'AAL KPI'!AA252</f>
        <v>33271.452372143489</v>
      </c>
      <c r="AB187" s="838">
        <f>'AAL KPI'!AB252</f>
        <v>34123.120549889842</v>
      </c>
      <c r="AC187" s="838">
        <f>'AAL KPI'!AC252</f>
        <v>35945.506621639179</v>
      </c>
      <c r="AD187" s="839">
        <f>'AAL KPI'!AD252</f>
        <v>35666.006591824575</v>
      </c>
    </row>
    <row r="188" spans="2:51">
      <c r="B188" s="822"/>
      <c r="C188" s="716" t="s">
        <v>1306</v>
      </c>
      <c r="D188" s="716"/>
      <c r="E188" s="838">
        <f>'DAL KPI'!E242</f>
        <v>7171</v>
      </c>
      <c r="F188" s="838">
        <f>'DAL KPI'!F242</f>
        <v>7517</v>
      </c>
      <c r="G188" s="838">
        <f>'DAL KPI'!G242</f>
        <v>7685</v>
      </c>
      <c r="H188" s="838">
        <f>'DAL KPI'!H242</f>
        <v>7590</v>
      </c>
      <c r="I188" s="838">
        <f>'DAL KPI'!I242</f>
        <v>7407</v>
      </c>
      <c r="J188" s="838">
        <f>'DAL KPI'!J242</f>
        <v>4445</v>
      </c>
      <c r="K188" s="838">
        <f>'DAL KPI'!K242</f>
        <v>4515</v>
      </c>
      <c r="L188" s="838">
        <f>'DAL KPI'!L242</f>
        <v>4597</v>
      </c>
      <c r="M188" s="838">
        <f>'DAL KPI'!M242</f>
        <v>5221</v>
      </c>
      <c r="N188" s="838">
        <f>'DAL KPI'!N242</f>
        <v>5542</v>
      </c>
      <c r="O188" s="838">
        <f>'DAL KPI'!O242</f>
        <v>6314</v>
      </c>
      <c r="P188" s="838">
        <f>'DAL KPI'!P242</f>
        <v>6498</v>
      </c>
      <c r="Q188" s="838">
        <f>'DAL KPI'!Q242</f>
        <v>6857</v>
      </c>
      <c r="R188" s="838">
        <f ca="1">'DAL KPI'!R242</f>
        <v>7515</v>
      </c>
      <c r="S188" s="838">
        <f>'DAL KPI'!S242</f>
        <v>7945.547622199837</v>
      </c>
      <c r="T188" s="838">
        <f>'DAL KPI'!T242</f>
        <v>7677.0602333134793</v>
      </c>
      <c r="U188" s="255"/>
      <c r="V188" s="838">
        <f>'DAL KPI'!V242</f>
        <v>27351</v>
      </c>
      <c r="W188" s="838">
        <f>'DAL KPI'!W242</f>
        <v>28853</v>
      </c>
      <c r="X188" s="838">
        <f>'DAL KPI'!X242</f>
        <v>29963</v>
      </c>
      <c r="Y188" s="838">
        <f>'DAL KPI'!Y242</f>
        <v>20964</v>
      </c>
      <c r="Z188" s="838">
        <f>'DAL KPI'!Z242</f>
        <v>23575</v>
      </c>
      <c r="AA188" s="838">
        <f ca="1">'DAL KPI'!AA242</f>
        <v>29994.607855513314</v>
      </c>
      <c r="AB188" s="838">
        <f>'DAL KPI'!AB242</f>
        <v>32867.381263015552</v>
      </c>
      <c r="AC188" s="838">
        <f>'DAL KPI'!AC242</f>
        <v>35721.90735709494</v>
      </c>
      <c r="AD188" s="839">
        <f>'DAL KPI'!AD242</f>
        <v>36211.832813807036</v>
      </c>
    </row>
    <row r="189" spans="2:51" s="278" customFormat="1">
      <c r="B189" s="822"/>
      <c r="C189" s="716" t="s">
        <v>1307</v>
      </c>
      <c r="D189" s="716"/>
      <c r="E189" s="838">
        <f>'UAL KPI'!E235</f>
        <v>6990</v>
      </c>
      <c r="F189" s="838">
        <f>'UAL KPI'!F235</f>
        <v>7272</v>
      </c>
      <c r="G189" s="838">
        <f>'UAL KPI'!G235</f>
        <v>7361</v>
      </c>
      <c r="H189" s="838">
        <f>'UAL KPI'!H235</f>
        <v>7477</v>
      </c>
      <c r="I189" s="838">
        <f>'UAL KPI'!I235</f>
        <v>7118</v>
      </c>
      <c r="J189" s="838">
        <f>'UAL KPI'!J235</f>
        <v>4263</v>
      </c>
      <c r="K189" s="838">
        <f>'UAL KPI'!K235</f>
        <v>4664</v>
      </c>
      <c r="L189" s="838">
        <f>'UAL KPI'!L235</f>
        <v>4995</v>
      </c>
      <c r="M189" s="838">
        <f>'UAL KPI'!M235</f>
        <v>5102</v>
      </c>
      <c r="N189" s="838">
        <f>'UAL KPI'!N235</f>
        <v>5427</v>
      </c>
      <c r="O189" s="838">
        <f>'UAL KPI'!O235</f>
        <v>6068</v>
      </c>
      <c r="P189" s="838">
        <f>'UAL KPI'!P235</f>
        <v>6552</v>
      </c>
      <c r="Q189" s="838">
        <f>'UAL KPI'!Q235</f>
        <v>6686</v>
      </c>
      <c r="R189" s="838">
        <f>'UAL KPI'!R235</f>
        <v>7340.9654095701644</v>
      </c>
      <c r="S189" s="838">
        <f>'UAL KPI'!S235</f>
        <v>7733.3714405625306</v>
      </c>
      <c r="T189" s="838">
        <f>'UAL KPI'!T235</f>
        <v>8016.495186450913</v>
      </c>
      <c r="U189" s="255"/>
      <c r="V189" s="838">
        <f>'UAL KPI'!V235</f>
        <v>26583</v>
      </c>
      <c r="W189" s="838">
        <f>'UAL KPI'!W235</f>
        <v>27825</v>
      </c>
      <c r="X189" s="838">
        <f>+SUMIF($E$5:$T$5,X$5,$E189:$T189)</f>
        <v>29100</v>
      </c>
      <c r="Y189" s="838">
        <f>+SUMIF($E$5:$T$5,Y$5,$E189:$T189)</f>
        <v>21040</v>
      </c>
      <c r="Z189" s="838">
        <f>+SUMIF($E$5:$T$5,Z$5,$E189:$T189)</f>
        <v>23149</v>
      </c>
      <c r="AA189" s="838">
        <f>+SUMIF($E$5:$T$5,AA$5,$E189:$T189)</f>
        <v>29776.832036583608</v>
      </c>
      <c r="AB189" s="838">
        <f>'UAL KPI'!AB235</f>
        <v>31771.652794834015</v>
      </c>
      <c r="AC189" s="838">
        <f>'UAL KPI'!AC235</f>
        <v>33777.591308897361</v>
      </c>
      <c r="AD189" s="839">
        <f>'UAL KPI'!AD235</f>
        <v>34345.153596104719</v>
      </c>
    </row>
    <row r="190" spans="2:51">
      <c r="B190" s="425"/>
      <c r="E190" s="494"/>
      <c r="F190" s="494"/>
      <c r="G190" s="494"/>
      <c r="H190" s="494"/>
      <c r="I190" s="494"/>
      <c r="J190" s="494"/>
      <c r="K190" s="494"/>
      <c r="L190" s="494"/>
      <c r="M190" s="494"/>
      <c r="N190" s="494"/>
      <c r="O190" s="494"/>
      <c r="P190" s="494"/>
      <c r="Q190" s="494"/>
      <c r="R190" s="494"/>
      <c r="S190" s="494"/>
      <c r="T190" s="494"/>
      <c r="U190" s="255"/>
      <c r="V190" s="494"/>
      <c r="W190" s="494"/>
      <c r="X190" s="494"/>
      <c r="Y190" s="494"/>
      <c r="Z190" s="494"/>
      <c r="AA190" s="494"/>
      <c r="AB190" s="494"/>
      <c r="AC190" s="494"/>
      <c r="AD190" s="837"/>
    </row>
    <row r="191" spans="2:51" s="278" customFormat="1">
      <c r="B191" s="825"/>
      <c r="C191" s="773" t="s">
        <v>1338</v>
      </c>
      <c r="D191" s="751"/>
      <c r="E191" s="751"/>
      <c r="F191" s="751"/>
      <c r="G191" s="751"/>
      <c r="H191" s="751"/>
      <c r="I191" s="751"/>
      <c r="J191" s="751"/>
      <c r="K191" s="751"/>
      <c r="L191" s="751"/>
      <c r="M191" s="751"/>
      <c r="N191" s="751"/>
      <c r="O191" s="751"/>
      <c r="P191" s="751"/>
      <c r="Q191" s="751"/>
      <c r="R191" s="751"/>
      <c r="S191" s="751"/>
      <c r="T191" s="751"/>
      <c r="U191" s="253"/>
      <c r="V191" s="751"/>
      <c r="W191" s="751"/>
      <c r="X191" s="751"/>
      <c r="Y191" s="751"/>
      <c r="Z191" s="751"/>
      <c r="AA191" s="751"/>
      <c r="AB191" s="751"/>
      <c r="AC191" s="751"/>
      <c r="AD191" s="826"/>
    </row>
    <row r="192" spans="2:51" s="278" customFormat="1">
      <c r="B192" s="825"/>
      <c r="C192" s="751" t="s">
        <v>1305</v>
      </c>
      <c r="D192" s="751"/>
      <c r="E192" s="756"/>
      <c r="F192" s="756"/>
      <c r="G192" s="756"/>
      <c r="H192" s="756"/>
      <c r="I192" s="756">
        <f t="shared" ref="I192:L194" si="120">I187/E187-1</f>
        <v>1.6788689724817063E-2</v>
      </c>
      <c r="J192" s="756">
        <f t="shared" si="120"/>
        <v>-0.33313018039980502</v>
      </c>
      <c r="K192" s="756">
        <f t="shared" si="120"/>
        <v>-0.2910065515187612</v>
      </c>
      <c r="L192" s="756">
        <f t="shared" si="120"/>
        <v>-0.28259268352565681</v>
      </c>
      <c r="M192" s="756">
        <f t="shared" ref="M192:P194" si="121">M187/E187-1</f>
        <v>-0.21585458217621811</v>
      </c>
      <c r="N192" s="756">
        <f t="shared" si="121"/>
        <v>-0.1612627986348123</v>
      </c>
      <c r="O192" s="756">
        <f t="shared" si="121"/>
        <v>-0.10911256700416916</v>
      </c>
      <c r="P192" s="756">
        <f t="shared" si="121"/>
        <v>-1.4117358212619724E-2</v>
      </c>
      <c r="Q192" s="756">
        <f t="shared" ref="Q192:T194" si="122">Q187/E187-1</f>
        <v>5.1754607422367371E-3</v>
      </c>
      <c r="R192" s="756">
        <f t="shared" si="122"/>
        <v>1.4020411546219913E-2</v>
      </c>
      <c r="S192" s="756">
        <f t="shared" si="122"/>
        <v>2.4584429253889262E-2</v>
      </c>
      <c r="T192" s="756">
        <f t="shared" si="122"/>
        <v>2.971306558211384E-2</v>
      </c>
      <c r="U192" s="253"/>
      <c r="V192" s="756"/>
      <c r="W192" s="756"/>
      <c r="X192" s="756"/>
      <c r="Y192" s="756">
        <f t="shared" ref="Y192:AD192" si="123">Y187/$X187-1</f>
        <v>-0.2248446444424036</v>
      </c>
      <c r="Z192" s="756">
        <f t="shared" si="123"/>
        <v>-0.12440689380720604</v>
      </c>
      <c r="AA192" s="756">
        <f t="shared" si="123"/>
        <v>1.8503455234441191E-2</v>
      </c>
      <c r="AB192" s="756">
        <f t="shared" si="123"/>
        <v>4.4574664030668343E-2</v>
      </c>
      <c r="AC192" s="756">
        <f t="shared" si="123"/>
        <v>0.10036142350504118</v>
      </c>
      <c r="AD192" s="827">
        <f t="shared" si="123"/>
        <v>9.1805387449859888E-2</v>
      </c>
    </row>
    <row r="193" spans="2:51" s="278" customFormat="1">
      <c r="B193" s="825"/>
      <c r="C193" s="751" t="s">
        <v>1306</v>
      </c>
      <c r="D193" s="751"/>
      <c r="E193" s="756"/>
      <c r="F193" s="756"/>
      <c r="G193" s="756"/>
      <c r="H193" s="756"/>
      <c r="I193" s="756">
        <f t="shared" si="120"/>
        <v>3.2910333286849891E-2</v>
      </c>
      <c r="J193" s="756">
        <f t="shared" si="120"/>
        <v>-0.40867367300784885</v>
      </c>
      <c r="K193" s="756">
        <f t="shared" si="120"/>
        <v>-0.41249186727391018</v>
      </c>
      <c r="L193" s="756">
        <f t="shared" si="120"/>
        <v>-0.39433465085638997</v>
      </c>
      <c r="M193" s="756">
        <f t="shared" si="121"/>
        <v>-0.27192860131083529</v>
      </c>
      <c r="N193" s="756">
        <f t="shared" si="121"/>
        <v>-0.2627377943328455</v>
      </c>
      <c r="O193" s="756">
        <f t="shared" si="121"/>
        <v>-0.17839947950553026</v>
      </c>
      <c r="P193" s="756">
        <f t="shared" si="121"/>
        <v>-0.14387351778656121</v>
      </c>
      <c r="Q193" s="756">
        <f t="shared" si="122"/>
        <v>-4.3787477339283232E-2</v>
      </c>
      <c r="R193" s="756">
        <f t="shared" ca="1" si="122"/>
        <v>-2.6606358919778472E-4</v>
      </c>
      <c r="S193" s="756">
        <f t="shared" si="122"/>
        <v>3.3903399115138289E-2</v>
      </c>
      <c r="T193" s="756">
        <f t="shared" si="122"/>
        <v>1.1470386470814109E-2</v>
      </c>
      <c r="U193" s="253"/>
      <c r="V193" s="756"/>
      <c r="W193" s="756"/>
      <c r="X193" s="756"/>
      <c r="Y193" s="756">
        <f t="shared" ref="Y193:AD193" si="124">Y188/$X188-1</f>
        <v>-0.30033708240162871</v>
      </c>
      <c r="Z193" s="756">
        <f t="shared" si="124"/>
        <v>-0.21319627540633446</v>
      </c>
      <c r="AA193" s="756">
        <f t="shared" ca="1" si="124"/>
        <v>1.0548962224514735E-3</v>
      </c>
      <c r="AB193" s="756">
        <f t="shared" si="124"/>
        <v>9.6932258552733463E-2</v>
      </c>
      <c r="AC193" s="756">
        <f t="shared" si="124"/>
        <v>0.19220062600857535</v>
      </c>
      <c r="AD193" s="827">
        <f t="shared" si="124"/>
        <v>0.20855164081724253</v>
      </c>
    </row>
    <row r="194" spans="2:51" s="278" customFormat="1">
      <c r="B194" s="825"/>
      <c r="C194" s="751" t="s">
        <v>1307</v>
      </c>
      <c r="D194" s="751"/>
      <c r="E194" s="756"/>
      <c r="F194" s="756"/>
      <c r="G194" s="756"/>
      <c r="H194" s="756"/>
      <c r="I194" s="756">
        <f t="shared" si="120"/>
        <v>1.8311874105865433E-2</v>
      </c>
      <c r="J194" s="756">
        <f t="shared" si="120"/>
        <v>-0.41377887788778878</v>
      </c>
      <c r="K194" s="756">
        <f t="shared" si="120"/>
        <v>-0.36639043608205402</v>
      </c>
      <c r="L194" s="756">
        <f t="shared" si="120"/>
        <v>-0.3319513173732781</v>
      </c>
      <c r="M194" s="756">
        <f t="shared" si="121"/>
        <v>-0.27010014306151642</v>
      </c>
      <c r="N194" s="756">
        <f t="shared" si="121"/>
        <v>-0.25371287128712872</v>
      </c>
      <c r="O194" s="756">
        <f t="shared" si="121"/>
        <v>-0.17565548159217492</v>
      </c>
      <c r="P194" s="756">
        <f t="shared" si="121"/>
        <v>-0.12371271900494851</v>
      </c>
      <c r="Q194" s="756">
        <f t="shared" si="122"/>
        <v>-4.3490701001430598E-2</v>
      </c>
      <c r="R194" s="756">
        <f t="shared" si="122"/>
        <v>9.4836921851160216E-3</v>
      </c>
      <c r="S194" s="756">
        <f t="shared" si="122"/>
        <v>5.0587072485060558E-2</v>
      </c>
      <c r="T194" s="756">
        <f t="shared" si="122"/>
        <v>7.2153963682080047E-2</v>
      </c>
      <c r="U194" s="253"/>
      <c r="V194" s="756"/>
      <c r="W194" s="756"/>
      <c r="X194" s="756"/>
      <c r="Y194" s="756">
        <f t="shared" ref="Y194:AD194" si="125">Y189/$X189-1</f>
        <v>-0.27697594501718215</v>
      </c>
      <c r="Z194" s="756">
        <f t="shared" si="125"/>
        <v>-0.2045017182130584</v>
      </c>
      <c r="AA194" s="756">
        <f t="shared" si="125"/>
        <v>2.3258832872288915E-2</v>
      </c>
      <c r="AB194" s="756">
        <f t="shared" si="125"/>
        <v>9.1809374392921583E-2</v>
      </c>
      <c r="AC194" s="756">
        <f t="shared" si="125"/>
        <v>0.16074196937791618</v>
      </c>
      <c r="AD194" s="827">
        <f t="shared" si="125"/>
        <v>0.1802458280448358</v>
      </c>
    </row>
    <row r="195" spans="2:51" s="278" customFormat="1" ht="3" customHeight="1">
      <c r="B195" s="573"/>
      <c r="E195" s="815"/>
      <c r="F195" s="815"/>
      <c r="G195" s="815"/>
      <c r="H195" s="815"/>
      <c r="I195" s="815"/>
      <c r="J195" s="815"/>
      <c r="K195" s="815"/>
      <c r="L195" s="815"/>
      <c r="M195" s="815"/>
      <c r="N195" s="815"/>
      <c r="O195" s="815"/>
      <c r="P195" s="815"/>
      <c r="Q195" s="815"/>
      <c r="R195" s="815"/>
      <c r="S195" s="815"/>
      <c r="T195" s="815"/>
      <c r="U195" s="253"/>
      <c r="V195" s="815"/>
      <c r="W195" s="815"/>
      <c r="X195" s="815"/>
      <c r="Y195" s="815"/>
      <c r="Z195" s="815"/>
      <c r="AA195" s="815"/>
      <c r="AB195" s="815"/>
      <c r="AC195" s="815"/>
      <c r="AD195" s="828"/>
    </row>
    <row r="196" spans="2:51" s="278" customFormat="1">
      <c r="B196" s="825"/>
      <c r="C196" s="773" t="s">
        <v>1337</v>
      </c>
      <c r="D196" s="751"/>
      <c r="E196" s="751"/>
      <c r="F196" s="751"/>
      <c r="G196" s="751"/>
      <c r="H196" s="751"/>
      <c r="I196" s="751"/>
      <c r="J196" s="751"/>
      <c r="K196" s="751"/>
      <c r="L196" s="751"/>
      <c r="M196" s="751"/>
      <c r="N196" s="751"/>
      <c r="O196" s="751"/>
      <c r="P196" s="751"/>
      <c r="Q196" s="751"/>
      <c r="R196" s="751"/>
      <c r="S196" s="751"/>
      <c r="T196" s="751"/>
      <c r="V196" s="751"/>
      <c r="W196" s="751"/>
      <c r="X196" s="751"/>
      <c r="Y196" s="751"/>
      <c r="Z196" s="751"/>
      <c r="AA196" s="751"/>
      <c r="AB196" s="751"/>
      <c r="AC196" s="751"/>
      <c r="AD196" s="826"/>
    </row>
    <row r="197" spans="2:51" s="278" customFormat="1">
      <c r="B197" s="825"/>
      <c r="C197" s="751" t="s">
        <v>1305</v>
      </c>
      <c r="D197" s="751"/>
      <c r="E197" s="756"/>
      <c r="F197" s="756"/>
      <c r="G197" s="756"/>
      <c r="H197" s="756"/>
      <c r="I197" s="756">
        <f t="shared" ref="I197:L199" si="126">I187/E187</f>
        <v>1.0167886897248171</v>
      </c>
      <c r="J197" s="756">
        <f t="shared" si="126"/>
        <v>0.66686981960019498</v>
      </c>
      <c r="K197" s="756">
        <f t="shared" si="126"/>
        <v>0.7089934484812388</v>
      </c>
      <c r="L197" s="756">
        <f t="shared" si="126"/>
        <v>0.71740731647434319</v>
      </c>
      <c r="M197" s="756">
        <f t="shared" ref="M197:P199" si="127">M187/E187</f>
        <v>0.78414541782378189</v>
      </c>
      <c r="N197" s="756">
        <f t="shared" si="127"/>
        <v>0.8387372013651877</v>
      </c>
      <c r="O197" s="756">
        <f t="shared" si="127"/>
        <v>0.89088743299583084</v>
      </c>
      <c r="P197" s="756">
        <f t="shared" si="127"/>
        <v>0.98588264178738028</v>
      </c>
      <c r="Q197" s="756">
        <f t="shared" ref="Q197:T199" si="128">Q187/E187</f>
        <v>1.0051754607422367</v>
      </c>
      <c r="R197" s="756">
        <f t="shared" si="128"/>
        <v>1.0140204115462199</v>
      </c>
      <c r="S197" s="756">
        <f t="shared" si="128"/>
        <v>1.0245844292538893</v>
      </c>
      <c r="T197" s="756">
        <f t="shared" si="128"/>
        <v>1.0297130655821138</v>
      </c>
      <c r="V197" s="756"/>
      <c r="W197" s="756"/>
      <c r="X197" s="756"/>
      <c r="Y197" s="756">
        <f t="shared" ref="Y197:AD197" si="129">Y187/$X187</f>
        <v>0.7751553555575964</v>
      </c>
      <c r="Z197" s="756">
        <f t="shared" si="129"/>
        <v>0.87559310619279396</v>
      </c>
      <c r="AA197" s="756">
        <f t="shared" si="129"/>
        <v>1.0185034552344412</v>
      </c>
      <c r="AB197" s="756">
        <f t="shared" si="129"/>
        <v>1.0445746640306683</v>
      </c>
      <c r="AC197" s="756">
        <f t="shared" si="129"/>
        <v>1.1003614235050412</v>
      </c>
      <c r="AD197" s="827">
        <f t="shared" si="129"/>
        <v>1.0918053874498599</v>
      </c>
    </row>
    <row r="198" spans="2:51" s="278" customFormat="1">
      <c r="B198" s="825"/>
      <c r="C198" s="751" t="s">
        <v>1306</v>
      </c>
      <c r="D198" s="751"/>
      <c r="E198" s="756"/>
      <c r="F198" s="756"/>
      <c r="G198" s="756"/>
      <c r="H198" s="756"/>
      <c r="I198" s="756">
        <f t="shared" si="126"/>
        <v>1.0329103332868499</v>
      </c>
      <c r="J198" s="756">
        <f t="shared" si="126"/>
        <v>0.59132632699215115</v>
      </c>
      <c r="K198" s="756">
        <f t="shared" si="126"/>
        <v>0.58750813272608982</v>
      </c>
      <c r="L198" s="756">
        <f t="shared" si="126"/>
        <v>0.60566534914361003</v>
      </c>
      <c r="M198" s="756">
        <f t="shared" si="127"/>
        <v>0.72807139868916471</v>
      </c>
      <c r="N198" s="756">
        <f t="shared" si="127"/>
        <v>0.7372622056671545</v>
      </c>
      <c r="O198" s="756">
        <f t="shared" si="127"/>
        <v>0.82160052049446974</v>
      </c>
      <c r="P198" s="756">
        <f t="shared" si="127"/>
        <v>0.85612648221343879</v>
      </c>
      <c r="Q198" s="756">
        <f t="shared" si="128"/>
        <v>0.95621252266071677</v>
      </c>
      <c r="R198" s="756">
        <f t="shared" ca="1" si="128"/>
        <v>0.99973393641080222</v>
      </c>
      <c r="S198" s="756">
        <f t="shared" si="128"/>
        <v>1.0339033991151383</v>
      </c>
      <c r="T198" s="756">
        <f t="shared" si="128"/>
        <v>1.0114703864708141</v>
      </c>
      <c r="V198" s="756"/>
      <c r="W198" s="756"/>
      <c r="X198" s="756"/>
      <c r="Y198" s="756">
        <f t="shared" ref="Y198:AD198" si="130">Y188/$X188</f>
        <v>0.69966291759837129</v>
      </c>
      <c r="Z198" s="756">
        <f t="shared" si="130"/>
        <v>0.78680372459366554</v>
      </c>
      <c r="AA198" s="756">
        <f t="shared" ca="1" si="130"/>
        <v>1.0010548962224515</v>
      </c>
      <c r="AB198" s="756">
        <f t="shared" si="130"/>
        <v>1.0969322585527335</v>
      </c>
      <c r="AC198" s="756">
        <f t="shared" si="130"/>
        <v>1.1922006260085753</v>
      </c>
      <c r="AD198" s="827">
        <f t="shared" si="130"/>
        <v>1.2085516408172425</v>
      </c>
    </row>
    <row r="199" spans="2:51" s="278" customFormat="1" ht="10.9" thickBot="1">
      <c r="B199" s="829"/>
      <c r="C199" s="830" t="s">
        <v>1307</v>
      </c>
      <c r="D199" s="830"/>
      <c r="E199" s="831"/>
      <c r="F199" s="831"/>
      <c r="G199" s="831"/>
      <c r="H199" s="831"/>
      <c r="I199" s="831">
        <f t="shared" si="126"/>
        <v>1.0183118741058654</v>
      </c>
      <c r="J199" s="831">
        <f t="shared" si="126"/>
        <v>0.58622112211221122</v>
      </c>
      <c r="K199" s="831">
        <f t="shared" si="126"/>
        <v>0.63360956391794598</v>
      </c>
      <c r="L199" s="831">
        <f t="shared" si="126"/>
        <v>0.6680486826267219</v>
      </c>
      <c r="M199" s="831">
        <f t="shared" si="127"/>
        <v>0.72989985693848358</v>
      </c>
      <c r="N199" s="831">
        <f t="shared" si="127"/>
        <v>0.74628712871287128</v>
      </c>
      <c r="O199" s="831">
        <f t="shared" si="127"/>
        <v>0.82434451840782508</v>
      </c>
      <c r="P199" s="831">
        <f t="shared" si="127"/>
        <v>0.87628728099505149</v>
      </c>
      <c r="Q199" s="831">
        <f t="shared" si="128"/>
        <v>0.9565092989985694</v>
      </c>
      <c r="R199" s="831">
        <f t="shared" si="128"/>
        <v>1.009483692185116</v>
      </c>
      <c r="S199" s="831">
        <f t="shared" si="128"/>
        <v>1.0505870724850606</v>
      </c>
      <c r="T199" s="831">
        <f t="shared" si="128"/>
        <v>1.07215396368208</v>
      </c>
      <c r="U199" s="774"/>
      <c r="V199" s="831"/>
      <c r="W199" s="831"/>
      <c r="X199" s="831"/>
      <c r="Y199" s="831">
        <f t="shared" ref="Y199:AD199" si="131">Y189/$X189</f>
        <v>0.72302405498281785</v>
      </c>
      <c r="Z199" s="831">
        <f t="shared" si="131"/>
        <v>0.7954982817869416</v>
      </c>
      <c r="AA199" s="831">
        <f t="shared" si="131"/>
        <v>1.0232588328722889</v>
      </c>
      <c r="AB199" s="831">
        <f t="shared" si="131"/>
        <v>1.0918093743929216</v>
      </c>
      <c r="AC199" s="831">
        <f t="shared" si="131"/>
        <v>1.1607419693779162</v>
      </c>
      <c r="AD199" s="832">
        <f t="shared" si="131"/>
        <v>1.1802458280448358</v>
      </c>
    </row>
    <row r="200" spans="2:51" s="278" customFormat="1" ht="10.9" thickBot="1"/>
    <row r="201" spans="2:51">
      <c r="B201" s="858" t="s">
        <v>133</v>
      </c>
      <c r="C201" s="859" t="s">
        <v>535</v>
      </c>
      <c r="D201" s="860"/>
      <c r="E201" s="861"/>
      <c r="F201" s="861"/>
      <c r="G201" s="861"/>
      <c r="H201" s="861"/>
      <c r="I201" s="861"/>
      <c r="J201" s="861"/>
      <c r="K201" s="861"/>
      <c r="L201" s="861"/>
      <c r="M201" s="861"/>
      <c r="N201" s="861"/>
      <c r="O201" s="861"/>
      <c r="P201" s="861"/>
      <c r="Q201" s="861"/>
      <c r="R201" s="861"/>
      <c r="S201" s="861"/>
      <c r="T201" s="861"/>
      <c r="U201" s="562"/>
      <c r="V201" s="861"/>
      <c r="W201" s="861"/>
      <c r="X201" s="861"/>
      <c r="Y201" s="861"/>
      <c r="Z201" s="861"/>
      <c r="AA201" s="861"/>
      <c r="AB201" s="861"/>
      <c r="AC201" s="861"/>
      <c r="AD201" s="862"/>
    </row>
    <row r="202" spans="2:51">
      <c r="B202" s="863"/>
      <c r="C202" s="864" t="s">
        <v>1305</v>
      </c>
      <c r="D202" s="864"/>
      <c r="E202" s="865">
        <f t="shared" ref="E202:T202" si="132">E187/E66/10</f>
        <v>11.881693013768487</v>
      </c>
      <c r="F202" s="865">
        <f t="shared" si="132"/>
        <v>11.343712839799787</v>
      </c>
      <c r="G202" s="865">
        <f t="shared" si="132"/>
        <v>11.072276444209971</v>
      </c>
      <c r="H202" s="865">
        <f t="shared" si="132"/>
        <v>11.592099271402551</v>
      </c>
      <c r="I202" s="865">
        <f t="shared" si="132"/>
        <v>12.971223369136379</v>
      </c>
      <c r="J202" s="865">
        <f t="shared" si="132"/>
        <v>32.029740647503075</v>
      </c>
      <c r="K202" s="865">
        <f t="shared" si="132"/>
        <v>19.344773790951638</v>
      </c>
      <c r="L202" s="865">
        <f t="shared" si="132"/>
        <v>17.592341732141247</v>
      </c>
      <c r="M202" s="865">
        <f t="shared" si="132"/>
        <v>16.449528651625887</v>
      </c>
      <c r="N202" s="865">
        <f t="shared" si="132"/>
        <v>12.612959398771881</v>
      </c>
      <c r="O202" s="865">
        <f t="shared" si="132"/>
        <v>12.238385887974342</v>
      </c>
      <c r="P202" s="865">
        <f t="shared" si="132"/>
        <v>13.142950658702237</v>
      </c>
      <c r="Q202" s="865">
        <f t="shared" si="132"/>
        <v>13.375774780373911</v>
      </c>
      <c r="R202" s="865">
        <f t="shared" si="132"/>
        <v>12.368492704892356</v>
      </c>
      <c r="S202" s="865">
        <f t="shared" si="132"/>
        <v>11.92092198125169</v>
      </c>
      <c r="T202" s="865">
        <f t="shared" si="132"/>
        <v>12.467475382110869</v>
      </c>
      <c r="U202" s="255"/>
      <c r="V202" s="865">
        <f t="shared" ref="V202:AD202" si="133">V187/V66/10</f>
        <v>10.903350175230475</v>
      </c>
      <c r="W202" s="865">
        <f t="shared" si="133"/>
        <v>11.060293418990691</v>
      </c>
      <c r="X202" s="865">
        <f t="shared" si="133"/>
        <v>11.458567179256933</v>
      </c>
      <c r="Y202" s="865">
        <f t="shared" si="133"/>
        <v>17.687036817143618</v>
      </c>
      <c r="Z202" s="865">
        <f t="shared" si="133"/>
        <v>13.332556459318994</v>
      </c>
      <c r="AA202" s="865">
        <f t="shared" si="133"/>
        <v>12.497451364477868</v>
      </c>
      <c r="AB202" s="865">
        <f t="shared" si="133"/>
        <v>11.888298933514635</v>
      </c>
      <c r="AC202" s="865">
        <f t="shared" si="133"/>
        <v>11.846687541845064</v>
      </c>
      <c r="AD202" s="866">
        <f t="shared" si="133"/>
        <v>11.448803542093581</v>
      </c>
    </row>
    <row r="203" spans="2:51">
      <c r="B203" s="863"/>
      <c r="C203" s="864" t="s">
        <v>1306</v>
      </c>
      <c r="D203" s="864"/>
      <c r="E203" s="865">
        <f t="shared" ref="E203:T203" si="134">E188/E67/10</f>
        <v>11.489041271468855</v>
      </c>
      <c r="F203" s="865">
        <f t="shared" si="134"/>
        <v>10.476071020430917</v>
      </c>
      <c r="G203" s="865">
        <f t="shared" si="134"/>
        <v>10.146286076417312</v>
      </c>
      <c r="H203" s="865">
        <f t="shared" si="134"/>
        <v>11.593450235229424</v>
      </c>
      <c r="I203" s="865">
        <f t="shared" si="134"/>
        <v>12.578755200815149</v>
      </c>
      <c r="J203" s="865">
        <f t="shared" si="134"/>
        <v>41.949792374480936</v>
      </c>
      <c r="K203" s="865">
        <f t="shared" si="134"/>
        <v>15.959703075291623</v>
      </c>
      <c r="L203" s="865">
        <f t="shared" si="134"/>
        <v>12.570756651808908</v>
      </c>
      <c r="M203" s="865">
        <f t="shared" si="134"/>
        <v>13.014108380278179</v>
      </c>
      <c r="N203" s="865">
        <f t="shared" si="134"/>
        <v>11.419975684642171</v>
      </c>
      <c r="O203" s="865">
        <f t="shared" si="134"/>
        <v>11.674648225875044</v>
      </c>
      <c r="P203" s="865">
        <f t="shared" si="134"/>
        <v>12.557977736549166</v>
      </c>
      <c r="Q203" s="865">
        <f t="shared" si="134"/>
        <v>13.234896738081451</v>
      </c>
      <c r="R203" s="865">
        <f t="shared" ca="1" si="134"/>
        <v>12.758263585895456</v>
      </c>
      <c r="S203" s="865">
        <f t="shared" si="134"/>
        <v>12.230942145378027</v>
      </c>
      <c r="T203" s="865">
        <f t="shared" si="134"/>
        <v>12.407437699688812</v>
      </c>
      <c r="U203" s="255"/>
      <c r="V203" s="865">
        <f t="shared" ref="V203:AD203" si="135">V188/V67/10</f>
        <v>10.754344928751314</v>
      </c>
      <c r="W203" s="865">
        <f t="shared" si="135"/>
        <v>10.955500161716365</v>
      </c>
      <c r="X203" s="865">
        <f t="shared" si="135"/>
        <v>10.880601350860626</v>
      </c>
      <c r="Y203" s="865">
        <f t="shared" si="135"/>
        <v>15.60518088432336</v>
      </c>
      <c r="Z203" s="865">
        <f t="shared" si="135"/>
        <v>12.122443102934067</v>
      </c>
      <c r="AA203" s="865">
        <f t="shared" ca="1" si="135"/>
        <v>12.62663219013527</v>
      </c>
      <c r="AB203" s="865">
        <f t="shared" si="135"/>
        <v>11.796781902267794</v>
      </c>
      <c r="AC203" s="865">
        <f t="shared" si="135"/>
        <v>12.032580553812974</v>
      </c>
      <c r="AD203" s="866">
        <f t="shared" si="135"/>
        <v>12.000342988550306</v>
      </c>
    </row>
    <row r="204" spans="2:51" s="279" customFormat="1">
      <c r="B204" s="863"/>
      <c r="C204" s="864" t="s">
        <v>1307</v>
      </c>
      <c r="D204" s="864"/>
      <c r="E204" s="865">
        <f t="shared" ref="E204:T204" si="136">E189/E68/10</f>
        <v>10.648183410770052</v>
      </c>
      <c r="F204" s="865">
        <f t="shared" si="136"/>
        <v>9.9290005461496431</v>
      </c>
      <c r="G204" s="865">
        <f t="shared" si="136"/>
        <v>9.8047312057115441</v>
      </c>
      <c r="H204" s="865">
        <f t="shared" si="136"/>
        <v>10.525352628170836</v>
      </c>
      <c r="I204" s="865">
        <f t="shared" si="136"/>
        <v>11.680724670977058</v>
      </c>
      <c r="J204" s="865">
        <f t="shared" si="136"/>
        <v>47.562200156197697</v>
      </c>
      <c r="K204" s="865">
        <f t="shared" si="136"/>
        <v>20.99765892310463</v>
      </c>
      <c r="L204" s="865">
        <f t="shared" si="136"/>
        <v>16.275129516796454</v>
      </c>
      <c r="M204" s="865">
        <f t="shared" si="136"/>
        <v>16.799473164306882</v>
      </c>
      <c r="N204" s="865">
        <f t="shared" si="136"/>
        <v>13.700047964052207</v>
      </c>
      <c r="O204" s="865">
        <f t="shared" si="136"/>
        <v>11.260809857848049</v>
      </c>
      <c r="P204" s="865">
        <f t="shared" si="136"/>
        <v>11.952932591443949</v>
      </c>
      <c r="Q204" s="865">
        <f t="shared" si="136"/>
        <v>12.552568338840494</v>
      </c>
      <c r="R204" s="865">
        <f t="shared" si="136"/>
        <v>11.513993637661434</v>
      </c>
      <c r="S204" s="865">
        <f t="shared" si="136"/>
        <v>11.176506675611485</v>
      </c>
      <c r="T204" s="865">
        <f t="shared" si="136"/>
        <v>12.09198692355762</v>
      </c>
      <c r="U204" s="255"/>
      <c r="V204" s="865">
        <f t="shared" ref="V204:AD204" si="137">V189/V68/10</f>
        <v>9.6573552694474607</v>
      </c>
      <c r="W204" s="865">
        <f t="shared" si="137"/>
        <v>10.604608379015694</v>
      </c>
      <c r="X204" s="865">
        <f t="shared" si="137"/>
        <v>10.210562142323306</v>
      </c>
      <c r="Y204" s="865">
        <f t="shared" si="137"/>
        <v>17.13299241067066</v>
      </c>
      <c r="Z204" s="865">
        <f t="shared" si="137"/>
        <v>12.95527299590338</v>
      </c>
      <c r="AA204" s="865">
        <f t="shared" si="137"/>
        <v>11.792341012721206</v>
      </c>
      <c r="AB204" s="865">
        <f t="shared" si="137"/>
        <v>10.806022112023239</v>
      </c>
      <c r="AC204" s="865">
        <f t="shared" si="137"/>
        <v>11.135790275136721</v>
      </c>
      <c r="AD204" s="866">
        <f t="shared" si="137"/>
        <v>11.314131425675551</v>
      </c>
      <c r="AR204" s="253"/>
      <c r="AS204" s="253"/>
      <c r="AT204" s="253"/>
      <c r="AV204" s="253"/>
      <c r="AW204" s="253"/>
      <c r="AX204" s="253"/>
      <c r="AY204" s="253"/>
    </row>
    <row r="205" spans="2:51">
      <c r="B205" s="425"/>
      <c r="E205" s="494"/>
      <c r="F205" s="494"/>
      <c r="G205" s="494"/>
      <c r="H205" s="494"/>
      <c r="I205" s="494"/>
      <c r="J205" s="494"/>
      <c r="K205" s="494"/>
      <c r="L205" s="494"/>
      <c r="M205" s="494"/>
      <c r="N205" s="494"/>
      <c r="O205" s="494"/>
      <c r="P205" s="494"/>
      <c r="Q205" s="494"/>
      <c r="R205" s="494"/>
      <c r="S205" s="494"/>
      <c r="T205" s="494"/>
      <c r="U205" s="255"/>
      <c r="V205" s="494"/>
      <c r="W205" s="494"/>
      <c r="X205" s="494"/>
      <c r="Y205" s="494"/>
      <c r="Z205" s="494"/>
      <c r="AA205" s="494"/>
      <c r="AB205" s="494"/>
      <c r="AC205" s="494"/>
      <c r="AD205" s="837"/>
    </row>
    <row r="206" spans="2:51" s="278" customFormat="1">
      <c r="B206" s="825"/>
      <c r="C206" s="773" t="s">
        <v>1338</v>
      </c>
      <c r="D206" s="751"/>
      <c r="E206" s="751"/>
      <c r="F206" s="751"/>
      <c r="G206" s="751"/>
      <c r="H206" s="751"/>
      <c r="I206" s="751"/>
      <c r="J206" s="751"/>
      <c r="K206" s="751"/>
      <c r="L206" s="751"/>
      <c r="M206" s="751"/>
      <c r="N206" s="751"/>
      <c r="O206" s="751"/>
      <c r="P206" s="751"/>
      <c r="Q206" s="751"/>
      <c r="R206" s="751"/>
      <c r="S206" s="751"/>
      <c r="T206" s="751"/>
      <c r="U206" s="253"/>
      <c r="V206" s="751"/>
      <c r="W206" s="751"/>
      <c r="X206" s="751"/>
      <c r="Y206" s="751"/>
      <c r="Z206" s="751"/>
      <c r="AA206" s="751"/>
      <c r="AB206" s="751"/>
      <c r="AC206" s="751"/>
      <c r="AD206" s="826"/>
    </row>
    <row r="207" spans="2:51" s="278" customFormat="1">
      <c r="B207" s="825"/>
      <c r="C207" s="751" t="s">
        <v>1305</v>
      </c>
      <c r="D207" s="751"/>
      <c r="E207" s="756"/>
      <c r="F207" s="756"/>
      <c r="G207" s="756"/>
      <c r="H207" s="756"/>
      <c r="I207" s="756">
        <f t="shared" ref="I207:L209" si="138">I202/E202-1</f>
        <v>9.1698241496842803E-2</v>
      </c>
      <c r="J207" s="756">
        <f t="shared" si="138"/>
        <v>1.8235676537161347</v>
      </c>
      <c r="K207" s="756">
        <f t="shared" si="138"/>
        <v>0.74713609151870553</v>
      </c>
      <c r="L207" s="756">
        <f t="shared" si="138"/>
        <v>0.51761482715569551</v>
      </c>
      <c r="M207" s="756">
        <f t="shared" ref="M207:P209" si="139">M202/E202-1</f>
        <v>0.38444316248233301</v>
      </c>
      <c r="N207" s="756">
        <f t="shared" si="139"/>
        <v>0.11188987035346143</v>
      </c>
      <c r="O207" s="756">
        <f t="shared" si="139"/>
        <v>0.10531794881026157</v>
      </c>
      <c r="P207" s="756">
        <f t="shared" si="139"/>
        <v>0.13378520585357667</v>
      </c>
      <c r="Q207" s="756">
        <f t="shared" ref="Q207:T209" si="140">Q202/E202-1</f>
        <v>0.12574653838254224</v>
      </c>
      <c r="R207" s="756">
        <f t="shared" si="140"/>
        <v>9.0339016824993568E-2</v>
      </c>
      <c r="S207" s="756">
        <f t="shared" si="140"/>
        <v>7.6645985251343918E-2</v>
      </c>
      <c r="T207" s="756">
        <f t="shared" si="140"/>
        <v>7.5514890807383939E-2</v>
      </c>
      <c r="U207" s="253"/>
      <c r="V207" s="756"/>
      <c r="W207" s="756"/>
      <c r="X207" s="756"/>
      <c r="Y207" s="756">
        <f t="shared" ref="Y207:AD207" si="141">Y202/$X202-1</f>
        <v>0.54356443876873861</v>
      </c>
      <c r="Z207" s="756">
        <f t="shared" si="141"/>
        <v>0.16354481766747253</v>
      </c>
      <c r="AA207" s="756">
        <f t="shared" si="141"/>
        <v>9.0664405851858421E-2</v>
      </c>
      <c r="AB207" s="756">
        <f t="shared" si="141"/>
        <v>3.7503096812630421E-2</v>
      </c>
      <c r="AC207" s="756">
        <f t="shared" si="141"/>
        <v>3.3871631288310944E-2</v>
      </c>
      <c r="AD207" s="827">
        <f t="shared" si="141"/>
        <v>-8.5208185374407996E-4</v>
      </c>
    </row>
    <row r="208" spans="2:51" s="278" customFormat="1">
      <c r="B208" s="825"/>
      <c r="C208" s="751" t="s">
        <v>1306</v>
      </c>
      <c r="D208" s="751"/>
      <c r="E208" s="756"/>
      <c r="F208" s="756"/>
      <c r="G208" s="756"/>
      <c r="H208" s="756"/>
      <c r="I208" s="756">
        <f t="shared" si="138"/>
        <v>9.4848116879205469E-2</v>
      </c>
      <c r="J208" s="756">
        <f t="shared" si="138"/>
        <v>3.0043440229326928</v>
      </c>
      <c r="K208" s="756">
        <f t="shared" si="138"/>
        <v>0.57296009151429805</v>
      </c>
      <c r="L208" s="756">
        <f t="shared" si="138"/>
        <v>8.4298150830863783E-2</v>
      </c>
      <c r="M208" s="756">
        <f t="shared" si="139"/>
        <v>0.13274102449232017</v>
      </c>
      <c r="N208" s="756">
        <f t="shared" si="139"/>
        <v>9.0101018060149585E-2</v>
      </c>
      <c r="O208" s="756">
        <f t="shared" si="139"/>
        <v>0.15063266873679582</v>
      </c>
      <c r="P208" s="756">
        <f t="shared" si="139"/>
        <v>8.3195897834520194E-2</v>
      </c>
      <c r="Q208" s="756">
        <f t="shared" si="140"/>
        <v>0.15195832492552186</v>
      </c>
      <c r="R208" s="756">
        <f t="shared" ca="1" si="140"/>
        <v>0.21784813801030012</v>
      </c>
      <c r="S208" s="756">
        <f t="shared" si="140"/>
        <v>0.20546001298012029</v>
      </c>
      <c r="T208" s="756">
        <f t="shared" si="140"/>
        <v>7.0210976710444184E-2</v>
      </c>
      <c r="U208" s="253"/>
      <c r="V208" s="756"/>
      <c r="W208" s="756"/>
      <c r="X208" s="756"/>
      <c r="Y208" s="756">
        <f t="shared" ref="Y208:AD208" si="142">Y203/$X203-1</f>
        <v>0.43422044252076497</v>
      </c>
      <c r="Z208" s="756">
        <f t="shared" si="142"/>
        <v>0.11413355861762309</v>
      </c>
      <c r="AA208" s="756">
        <f t="shared" ca="1" si="142"/>
        <v>0.16047190619078577</v>
      </c>
      <c r="AB208" s="756">
        <f t="shared" si="142"/>
        <v>8.4203117260122751E-2</v>
      </c>
      <c r="AC208" s="756">
        <f t="shared" si="142"/>
        <v>0.10587458963021645</v>
      </c>
      <c r="AD208" s="827">
        <f t="shared" si="142"/>
        <v>0.10291174187731</v>
      </c>
    </row>
    <row r="209" spans="2:51" s="278" customFormat="1" ht="10.9" thickBot="1">
      <c r="B209" s="829"/>
      <c r="C209" s="830" t="s">
        <v>1307</v>
      </c>
      <c r="D209" s="830"/>
      <c r="E209" s="831"/>
      <c r="F209" s="831"/>
      <c r="G209" s="831"/>
      <c r="H209" s="831"/>
      <c r="I209" s="831">
        <f t="shared" si="138"/>
        <v>9.6968771139183119E-2</v>
      </c>
      <c r="J209" s="831">
        <f t="shared" si="138"/>
        <v>3.7902303897688672</v>
      </c>
      <c r="K209" s="831">
        <f t="shared" si="138"/>
        <v>1.141584351733465</v>
      </c>
      <c r="L209" s="831">
        <f t="shared" si="138"/>
        <v>0.54627878910550587</v>
      </c>
      <c r="M209" s="831">
        <f t="shared" si="139"/>
        <v>0.57768442899989281</v>
      </c>
      <c r="N209" s="831">
        <f t="shared" si="139"/>
        <v>0.3798013103509128</v>
      </c>
      <c r="O209" s="831">
        <f t="shared" si="139"/>
        <v>0.14850775830430685</v>
      </c>
      <c r="P209" s="831">
        <f t="shared" si="139"/>
        <v>0.13563250692924345</v>
      </c>
      <c r="Q209" s="831">
        <f t="shared" si="140"/>
        <v>0.17884599227923337</v>
      </c>
      <c r="R209" s="831">
        <f t="shared" si="140"/>
        <v>0.15963269254994983</v>
      </c>
      <c r="S209" s="831">
        <f t="shared" si="140"/>
        <v>0.13990954378237741</v>
      </c>
      <c r="T209" s="831">
        <f t="shared" si="140"/>
        <v>0.14884387732471094</v>
      </c>
      <c r="U209" s="430"/>
      <c r="V209" s="831"/>
      <c r="W209" s="831"/>
      <c r="X209" s="831"/>
      <c r="Y209" s="831">
        <f t="shared" ref="Y209:AD209" si="143">Y204/$X204-1</f>
        <v>0.67796759589303357</v>
      </c>
      <c r="Z209" s="831">
        <f t="shared" si="143"/>
        <v>0.26881094452215382</v>
      </c>
      <c r="AA209" s="831">
        <f t="shared" si="143"/>
        <v>0.15491594374038864</v>
      </c>
      <c r="AB209" s="831">
        <f t="shared" si="143"/>
        <v>5.831803982972894E-2</v>
      </c>
      <c r="AC209" s="831">
        <f t="shared" si="143"/>
        <v>9.0614808461749297E-2</v>
      </c>
      <c r="AD209" s="832">
        <f t="shared" si="143"/>
        <v>0.10808114851756234</v>
      </c>
    </row>
    <row r="210" spans="2:51">
      <c r="E210" s="255"/>
      <c r="U210" s="255"/>
    </row>
    <row r="211" spans="2:51" s="278" customFormat="1" ht="3" customHeight="1">
      <c r="B211" s="857"/>
      <c r="C211" s="857"/>
      <c r="D211" s="857"/>
      <c r="E211" s="857"/>
      <c r="F211" s="857"/>
      <c r="G211" s="857"/>
      <c r="H211" s="857"/>
      <c r="I211" s="857"/>
      <c r="J211" s="857"/>
      <c r="K211" s="857"/>
      <c r="L211" s="857"/>
      <c r="M211" s="857"/>
      <c r="N211" s="857"/>
      <c r="O211" s="857"/>
      <c r="P211" s="857"/>
      <c r="Q211" s="857"/>
      <c r="R211" s="857"/>
      <c r="S211" s="857"/>
      <c r="T211" s="857"/>
      <c r="U211" s="857"/>
      <c r="V211" s="857"/>
      <c r="W211" s="857"/>
      <c r="X211" s="857"/>
      <c r="Y211" s="857"/>
      <c r="Z211" s="857"/>
      <c r="AA211" s="857"/>
      <c r="AB211" s="857"/>
      <c r="AC211" s="857"/>
      <c r="AD211" s="857"/>
    </row>
    <row r="212" spans="2:51" ht="10.9" thickBot="1">
      <c r="E212" s="255"/>
      <c r="U212" s="255"/>
    </row>
    <row r="213" spans="2:51">
      <c r="B213" s="816"/>
      <c r="C213" s="817" t="s">
        <v>571</v>
      </c>
      <c r="D213" s="818"/>
      <c r="E213" s="833"/>
      <c r="F213" s="833"/>
      <c r="G213" s="833"/>
      <c r="H213" s="833"/>
      <c r="I213" s="833"/>
      <c r="J213" s="833"/>
      <c r="K213" s="833"/>
      <c r="L213" s="833"/>
      <c r="M213" s="833"/>
      <c r="N213" s="833"/>
      <c r="O213" s="833"/>
      <c r="P213" s="833"/>
      <c r="Q213" s="833"/>
      <c r="R213" s="833"/>
      <c r="S213" s="833"/>
      <c r="T213" s="833"/>
      <c r="U213" s="562"/>
      <c r="V213" s="833"/>
      <c r="W213" s="833"/>
      <c r="X213" s="833"/>
      <c r="Y213" s="833"/>
      <c r="Z213" s="833"/>
      <c r="AA213" s="833"/>
      <c r="AB213" s="833"/>
      <c r="AC213" s="833"/>
      <c r="AD213" s="834"/>
    </row>
    <row r="214" spans="2:51">
      <c r="B214" s="822"/>
      <c r="C214" s="716" t="s">
        <v>1305</v>
      </c>
      <c r="D214" s="716"/>
      <c r="E214" s="838">
        <f t="shared" ref="E214:T214" si="144">E26-E160-E187</f>
        <v>513</v>
      </c>
      <c r="F214" s="838">
        <f t="shared" si="144"/>
        <v>1274</v>
      </c>
      <c r="G214" s="838">
        <f t="shared" si="144"/>
        <v>1042</v>
      </c>
      <c r="H214" s="838">
        <f t="shared" si="144"/>
        <v>877</v>
      </c>
      <c r="I214" s="838">
        <f t="shared" si="144"/>
        <v>-1324</v>
      </c>
      <c r="J214" s="838">
        <f t="shared" si="144"/>
        <v>-4158</v>
      </c>
      <c r="K214" s="838">
        <f t="shared" si="144"/>
        <v>-3390</v>
      </c>
      <c r="L214" s="838">
        <f t="shared" si="144"/>
        <v>-2515</v>
      </c>
      <c r="M214" s="838">
        <f t="shared" si="144"/>
        <v>-3238</v>
      </c>
      <c r="N214" s="838">
        <f t="shared" si="144"/>
        <v>-1014</v>
      </c>
      <c r="O214" s="838">
        <f t="shared" si="144"/>
        <v>-462</v>
      </c>
      <c r="P214" s="838">
        <f t="shared" si="144"/>
        <v>-800</v>
      </c>
      <c r="Q214" s="838">
        <f t="shared" si="144"/>
        <v>-1566</v>
      </c>
      <c r="R214" s="838">
        <f t="shared" si="144"/>
        <v>-162.95370920898404</v>
      </c>
      <c r="S214" s="838">
        <f t="shared" si="144"/>
        <v>69.478368281381336</v>
      </c>
      <c r="T214" s="838">
        <f t="shared" si="144"/>
        <v>-24.668667629548509</v>
      </c>
      <c r="U214" s="255"/>
      <c r="V214" s="838">
        <f t="shared" ref="V214:AD214" si="145">V26-V160-V187</f>
        <v>4965</v>
      </c>
      <c r="W214" s="838">
        <f t="shared" si="145"/>
        <v>3449</v>
      </c>
      <c r="X214" s="838">
        <f t="shared" si="145"/>
        <v>3706</v>
      </c>
      <c r="Y214" s="838">
        <f t="shared" si="145"/>
        <v>-11387</v>
      </c>
      <c r="Z214" s="838">
        <f t="shared" si="145"/>
        <v>-5514</v>
      </c>
      <c r="AA214" s="838">
        <f t="shared" si="145"/>
        <v>-1684.1440085571485</v>
      </c>
      <c r="AB214" s="838">
        <f t="shared" si="145"/>
        <v>2318.7533836090079</v>
      </c>
      <c r="AC214" s="838">
        <f t="shared" si="145"/>
        <v>4046.7550628652971</v>
      </c>
      <c r="AD214" s="839">
        <f t="shared" si="145"/>
        <v>4509.2701178357311</v>
      </c>
    </row>
    <row r="215" spans="2:51">
      <c r="B215" s="822"/>
      <c r="C215" s="716" t="s">
        <v>1306</v>
      </c>
      <c r="D215" s="716"/>
      <c r="E215" s="838">
        <f t="shared" ref="E215:T215" si="146">E27-E161-E188</f>
        <v>1317</v>
      </c>
      <c r="F215" s="838">
        <f t="shared" si="146"/>
        <v>2661</v>
      </c>
      <c r="G215" s="838">
        <f t="shared" si="146"/>
        <v>2556</v>
      </c>
      <c r="H215" s="838">
        <f t="shared" si="146"/>
        <v>1833</v>
      </c>
      <c r="I215" s="838">
        <f t="shared" si="146"/>
        <v>-446</v>
      </c>
      <c r="J215" s="838">
        <f t="shared" si="146"/>
        <v>-3513</v>
      </c>
      <c r="K215" s="838">
        <f t="shared" si="146"/>
        <v>-2319</v>
      </c>
      <c r="L215" s="838">
        <f t="shared" si="146"/>
        <v>-1679</v>
      </c>
      <c r="M215" s="838">
        <f t="shared" si="146"/>
        <v>-2506</v>
      </c>
      <c r="N215" s="838">
        <f t="shared" si="146"/>
        <v>-479</v>
      </c>
      <c r="O215" s="838">
        <f t="shared" si="146"/>
        <v>367</v>
      </c>
      <c r="P215" s="838">
        <f t="shared" si="146"/>
        <v>187</v>
      </c>
      <c r="Q215" s="838">
        <f t="shared" si="146"/>
        <v>-798</v>
      </c>
      <c r="R215" s="838">
        <f t="shared" ca="1" si="146"/>
        <v>1255</v>
      </c>
      <c r="S215" s="838">
        <f t="shared" si="146"/>
        <v>1452.3691077443264</v>
      </c>
      <c r="T215" s="838">
        <f t="shared" si="146"/>
        <v>1144.225712033749</v>
      </c>
      <c r="U215" s="255"/>
      <c r="V215" s="838">
        <f t="shared" ref="V215:AD215" si="147">V27-V161-V188</f>
        <v>6954</v>
      </c>
      <c r="W215" s="838">
        <f t="shared" si="147"/>
        <v>6454</v>
      </c>
      <c r="X215" s="838">
        <f t="shared" si="147"/>
        <v>8367</v>
      </c>
      <c r="Y215" s="838">
        <f t="shared" si="147"/>
        <v>-7957</v>
      </c>
      <c r="Z215" s="838">
        <f t="shared" si="147"/>
        <v>-2431</v>
      </c>
      <c r="AA215" s="838">
        <f t="shared" ca="1" si="147"/>
        <v>3053.5948197780817</v>
      </c>
      <c r="AB215" s="838">
        <f t="shared" si="147"/>
        <v>5549.9982347066689</v>
      </c>
      <c r="AC215" s="838">
        <f t="shared" si="147"/>
        <v>7545.0575617788854</v>
      </c>
      <c r="AD215" s="839">
        <f t="shared" si="147"/>
        <v>8180.5614644687885</v>
      </c>
    </row>
    <row r="216" spans="2:51" s="279" customFormat="1">
      <c r="B216" s="822"/>
      <c r="C216" s="716" t="s">
        <v>1307</v>
      </c>
      <c r="D216" s="716"/>
      <c r="E216" s="838">
        <f t="shared" ref="E216:T216" si="148">E28-E162-E189</f>
        <v>576</v>
      </c>
      <c r="F216" s="838">
        <f t="shared" si="148"/>
        <v>1745</v>
      </c>
      <c r="G216" s="838">
        <f t="shared" si="148"/>
        <v>1723</v>
      </c>
      <c r="H216" s="838">
        <f t="shared" si="148"/>
        <v>1162</v>
      </c>
      <c r="I216" s="838">
        <f t="shared" si="148"/>
        <v>-865</v>
      </c>
      <c r="J216" s="838">
        <f t="shared" si="148"/>
        <v>-3028</v>
      </c>
      <c r="K216" s="838">
        <f t="shared" si="148"/>
        <v>-2683</v>
      </c>
      <c r="L216" s="838">
        <f t="shared" si="148"/>
        <v>-2262</v>
      </c>
      <c r="M216" s="838">
        <f t="shared" si="148"/>
        <v>-2732</v>
      </c>
      <c r="N216" s="838">
        <f t="shared" si="148"/>
        <v>-1188</v>
      </c>
      <c r="O216" s="838">
        <f t="shared" si="148"/>
        <v>-28</v>
      </c>
      <c r="P216" s="838">
        <f t="shared" si="148"/>
        <v>-322</v>
      </c>
      <c r="Q216" s="838">
        <f t="shared" si="148"/>
        <v>-1350</v>
      </c>
      <c r="R216" s="838">
        <f t="shared" si="148"/>
        <v>195.74769004084737</v>
      </c>
      <c r="S216" s="838">
        <f t="shared" si="148"/>
        <v>523.01574724153943</v>
      </c>
      <c r="T216" s="838">
        <f t="shared" si="148"/>
        <v>360.72075263040097</v>
      </c>
      <c r="U216" s="255"/>
      <c r="V216" s="838">
        <f t="shared" ref="V216:AD216" si="149">V28-V162-V189</f>
        <v>4288</v>
      </c>
      <c r="W216" s="838">
        <f t="shared" si="149"/>
        <v>4171</v>
      </c>
      <c r="X216" s="838">
        <f t="shared" si="149"/>
        <v>5206</v>
      </c>
      <c r="Y216" s="838">
        <f t="shared" si="149"/>
        <v>-8838</v>
      </c>
      <c r="Z216" s="838">
        <f t="shared" si="149"/>
        <v>-4270</v>
      </c>
      <c r="AA216" s="838">
        <f t="shared" si="149"/>
        <v>-270.51581008721041</v>
      </c>
      <c r="AB216" s="838">
        <f t="shared" si="149"/>
        <v>3488.5348458772423</v>
      </c>
      <c r="AC216" s="838">
        <f t="shared" si="149"/>
        <v>5260.8783773372925</v>
      </c>
      <c r="AD216" s="839">
        <f t="shared" si="149"/>
        <v>4924.6725421225856</v>
      </c>
      <c r="AR216" s="253"/>
      <c r="AS216" s="253"/>
      <c r="AT216" s="253"/>
      <c r="AV216" s="253"/>
      <c r="AW216" s="253"/>
      <c r="AX216" s="253"/>
      <c r="AY216" s="253"/>
    </row>
    <row r="217" spans="2:51" s="279" customFormat="1">
      <c r="B217" s="425"/>
      <c r="C217" s="253"/>
      <c r="D217" s="253"/>
      <c r="E217" s="494"/>
      <c r="F217" s="494"/>
      <c r="G217" s="494"/>
      <c r="H217" s="494"/>
      <c r="I217" s="494"/>
      <c r="J217" s="494"/>
      <c r="K217" s="494"/>
      <c r="L217" s="494"/>
      <c r="M217" s="494"/>
      <c r="N217" s="494"/>
      <c r="O217" s="494"/>
      <c r="P217" s="494"/>
      <c r="Q217" s="494"/>
      <c r="R217" s="494"/>
      <c r="S217" s="494"/>
      <c r="T217" s="494"/>
      <c r="U217" s="255"/>
      <c r="V217" s="494"/>
      <c r="W217" s="494"/>
      <c r="X217" s="494"/>
      <c r="Y217" s="494"/>
      <c r="Z217" s="494"/>
      <c r="AA217" s="494"/>
      <c r="AB217" s="494"/>
      <c r="AC217" s="494"/>
      <c r="AD217" s="837"/>
      <c r="AR217" s="253"/>
      <c r="AS217" s="253"/>
      <c r="AT217" s="253"/>
      <c r="AV217" s="253"/>
      <c r="AW217" s="253"/>
      <c r="AX217" s="253"/>
      <c r="AY217" s="253"/>
    </row>
    <row r="218" spans="2:51" s="279" customFormat="1">
      <c r="B218" s="825"/>
      <c r="C218" s="773" t="s">
        <v>572</v>
      </c>
      <c r="D218" s="751"/>
      <c r="E218" s="751"/>
      <c r="F218" s="751"/>
      <c r="G218" s="751"/>
      <c r="H218" s="751"/>
      <c r="I218" s="751"/>
      <c r="J218" s="751"/>
      <c r="K218" s="751"/>
      <c r="L218" s="751"/>
      <c r="M218" s="751"/>
      <c r="N218" s="751"/>
      <c r="O218" s="751"/>
      <c r="P218" s="751"/>
      <c r="Q218" s="751"/>
      <c r="R218" s="751"/>
      <c r="S218" s="751"/>
      <c r="T218" s="751"/>
      <c r="U218" s="253"/>
      <c r="V218" s="751"/>
      <c r="W218" s="751"/>
      <c r="X218" s="751"/>
      <c r="Y218" s="751"/>
      <c r="Z218" s="751"/>
      <c r="AA218" s="751"/>
      <c r="AB218" s="751"/>
      <c r="AC218" s="751"/>
      <c r="AD218" s="826"/>
      <c r="AR218" s="253"/>
      <c r="AS218" s="253"/>
      <c r="AT218" s="253"/>
      <c r="AV218" s="253"/>
      <c r="AW218" s="253"/>
      <c r="AX218" s="253"/>
      <c r="AY218" s="253"/>
    </row>
    <row r="219" spans="2:51" s="279" customFormat="1">
      <c r="B219" s="825"/>
      <c r="C219" s="751" t="s">
        <v>1305</v>
      </c>
      <c r="D219" s="751"/>
      <c r="E219" s="756">
        <f t="shared" ref="E219:T219" si="150">E214/E26</f>
        <v>4.8469387755102039E-2</v>
      </c>
      <c r="F219" s="756">
        <f t="shared" si="150"/>
        <v>0.10652173913043478</v>
      </c>
      <c r="G219" s="756">
        <f t="shared" si="150"/>
        <v>8.7482159348501384E-2</v>
      </c>
      <c r="H219" s="756">
        <f t="shared" si="150"/>
        <v>7.752143551666224E-2</v>
      </c>
      <c r="I219" s="756">
        <f t="shared" si="150"/>
        <v>-0.15549031121550205</v>
      </c>
      <c r="J219" s="756">
        <f t="shared" si="150"/>
        <v>-2.5635018495684339</v>
      </c>
      <c r="K219" s="756">
        <f t="shared" si="150"/>
        <v>-1.0683895367160416</v>
      </c>
      <c r="L219" s="756">
        <f t="shared" si="150"/>
        <v>-0.62453439284827417</v>
      </c>
      <c r="M219" s="756">
        <f t="shared" si="150"/>
        <v>-0.80788423153692612</v>
      </c>
      <c r="N219" s="756">
        <f t="shared" si="150"/>
        <v>-0.13559775341000269</v>
      </c>
      <c r="O219" s="756">
        <f t="shared" si="150"/>
        <v>-5.1510759281971234E-2</v>
      </c>
      <c r="P219" s="756">
        <f t="shared" si="150"/>
        <v>-8.4862628619921499E-2</v>
      </c>
      <c r="Q219" s="756">
        <f t="shared" si="150"/>
        <v>-0.17597482863243061</v>
      </c>
      <c r="R219" s="756">
        <f t="shared" si="150"/>
        <v>-1.273481118380358E-2</v>
      </c>
      <c r="S219" s="756">
        <f t="shared" si="150"/>
        <v>5.3870225315962653E-3</v>
      </c>
      <c r="T219" s="756">
        <f t="shared" si="150"/>
        <v>-2.0772374387482005E-3</v>
      </c>
      <c r="U219" s="253"/>
      <c r="V219" s="756">
        <f t="shared" ref="V219:AD219" si="151">V214/V26</f>
        <v>0.1164891370653653</v>
      </c>
      <c r="W219" s="756">
        <f t="shared" si="151"/>
        <v>7.7434274039648865E-2</v>
      </c>
      <c r="X219" s="756">
        <f t="shared" si="151"/>
        <v>8.0973606012934796E-2</v>
      </c>
      <c r="Y219" s="756">
        <f t="shared" si="151"/>
        <v>-0.65680336851819809</v>
      </c>
      <c r="Z219" s="756">
        <f t="shared" si="151"/>
        <v>-0.18452580148584433</v>
      </c>
      <c r="AA219" s="756">
        <f t="shared" si="151"/>
        <v>-3.6243095619968586E-2</v>
      </c>
      <c r="AB219" s="756">
        <f t="shared" si="151"/>
        <v>4.6394677827396077E-2</v>
      </c>
      <c r="AC219" s="756">
        <f t="shared" si="151"/>
        <v>7.6909918749536635E-2</v>
      </c>
      <c r="AD219" s="827">
        <f t="shared" si="151"/>
        <v>8.495804920462327E-2</v>
      </c>
      <c r="AR219" s="253"/>
      <c r="AS219" s="253"/>
      <c r="AT219" s="253"/>
      <c r="AV219" s="253"/>
      <c r="AW219" s="253"/>
      <c r="AX219" s="253"/>
      <c r="AY219" s="253"/>
    </row>
    <row r="220" spans="2:51" s="279" customFormat="1">
      <c r="B220" s="825"/>
      <c r="C220" s="751" t="s">
        <v>1306</v>
      </c>
      <c r="D220" s="751"/>
      <c r="E220" s="756">
        <f t="shared" ref="E220:T220" si="152">E215/E27</f>
        <v>0.12634305448963928</v>
      </c>
      <c r="F220" s="756">
        <f t="shared" si="152"/>
        <v>0.21294814340588988</v>
      </c>
      <c r="G220" s="756">
        <f t="shared" si="152"/>
        <v>0.20360044607296479</v>
      </c>
      <c r="H220" s="756">
        <f t="shared" si="152"/>
        <v>0.16026930139022472</v>
      </c>
      <c r="I220" s="756">
        <f t="shared" si="152"/>
        <v>-5.1908752327746742E-2</v>
      </c>
      <c r="J220" s="756">
        <f t="shared" si="152"/>
        <v>-2.9872448979591835</v>
      </c>
      <c r="K220" s="756">
        <f t="shared" si="152"/>
        <v>-0.8767485822306238</v>
      </c>
      <c r="L220" s="756">
        <f t="shared" si="152"/>
        <v>-0.47536806342015853</v>
      </c>
      <c r="M220" s="756">
        <f t="shared" si="152"/>
        <v>-0.69418282548476451</v>
      </c>
      <c r="N220" s="756">
        <f t="shared" si="152"/>
        <v>-7.5444951960938728E-2</v>
      </c>
      <c r="O220" s="756">
        <f t="shared" si="152"/>
        <v>4.4312967882154067E-2</v>
      </c>
      <c r="P220" s="756">
        <f t="shared" si="152"/>
        <v>2.2182680901542112E-2</v>
      </c>
      <c r="Q220" s="756">
        <f t="shared" si="152"/>
        <v>-9.7782134542335503E-2</v>
      </c>
      <c r="R220" s="756">
        <f t="shared" ca="1" si="152"/>
        <v>0.10194963444354184</v>
      </c>
      <c r="S220" s="756">
        <f t="shared" si="152"/>
        <v>0.11226970890761705</v>
      </c>
      <c r="T220" s="756">
        <f t="shared" si="152"/>
        <v>9.6325087724544942E-2</v>
      </c>
      <c r="U220" s="253"/>
      <c r="V220" s="756">
        <f t="shared" ref="V220:AD220" si="153">V215/V27</f>
        <v>0.16904078953765375</v>
      </c>
      <c r="W220" s="756">
        <f t="shared" si="153"/>
        <v>0.14523605922858815</v>
      </c>
      <c r="X220" s="756">
        <f t="shared" si="153"/>
        <v>0.17835902027243078</v>
      </c>
      <c r="Y220" s="756">
        <f t="shared" si="153"/>
        <v>-0.49902790843524614</v>
      </c>
      <c r="Z220" s="756">
        <f t="shared" si="153"/>
        <v>-9.1147688500618648E-2</v>
      </c>
      <c r="AA220" s="756">
        <f t="shared" ca="1" si="153"/>
        <v>6.7428783793137409E-2</v>
      </c>
      <c r="AB220" s="756">
        <f t="shared" si="153"/>
        <v>0.10884454174634256</v>
      </c>
      <c r="AC220" s="756">
        <f t="shared" si="153"/>
        <v>0.13696689809720361</v>
      </c>
      <c r="AD220" s="827">
        <f t="shared" si="153"/>
        <v>0.14502883543285866</v>
      </c>
      <c r="AR220" s="253"/>
      <c r="AS220" s="253"/>
      <c r="AT220" s="253"/>
      <c r="AV220" s="253"/>
      <c r="AW220" s="253"/>
      <c r="AX220" s="253"/>
      <c r="AY220" s="253"/>
    </row>
    <row r="221" spans="2:51" s="278" customFormat="1" ht="10.9" thickBot="1">
      <c r="B221" s="829"/>
      <c r="C221" s="830" t="s">
        <v>1307</v>
      </c>
      <c r="D221" s="830"/>
      <c r="E221" s="831">
        <f t="shared" ref="E221:T221" si="154">E216/E28</f>
        <v>6.0068828866409428E-2</v>
      </c>
      <c r="F221" s="831">
        <f t="shared" si="154"/>
        <v>0.15304332573232765</v>
      </c>
      <c r="G221" s="831">
        <f t="shared" si="154"/>
        <v>0.15140597539543058</v>
      </c>
      <c r="H221" s="831">
        <f t="shared" si="154"/>
        <v>0.10672299779573843</v>
      </c>
      <c r="I221" s="831">
        <f t="shared" si="154"/>
        <v>-0.10840957513472867</v>
      </c>
      <c r="J221" s="831">
        <f t="shared" si="154"/>
        <v>-2.0528813559322034</v>
      </c>
      <c r="K221" s="831">
        <f t="shared" si="154"/>
        <v>-1.0779429489754921</v>
      </c>
      <c r="L221" s="831">
        <f t="shared" si="154"/>
        <v>-0.66295427901524029</v>
      </c>
      <c r="M221" s="831">
        <f t="shared" si="154"/>
        <v>-0.84818379385284071</v>
      </c>
      <c r="N221" s="831">
        <f t="shared" si="154"/>
        <v>-0.21714494607932736</v>
      </c>
      <c r="O221" s="831">
        <f t="shared" si="154"/>
        <v>-3.6129032258064514E-3</v>
      </c>
      <c r="P221" s="831">
        <f t="shared" si="154"/>
        <v>-3.9306640625E-2</v>
      </c>
      <c r="Q221" s="831">
        <f t="shared" si="154"/>
        <v>-0.17842981760507534</v>
      </c>
      <c r="R221" s="831">
        <f t="shared" si="154"/>
        <v>1.6898551789840344E-2</v>
      </c>
      <c r="S221" s="831">
        <f t="shared" si="154"/>
        <v>4.3046828132220334E-2</v>
      </c>
      <c r="T221" s="831">
        <f t="shared" si="154"/>
        <v>3.0609931012905919E-2</v>
      </c>
      <c r="U221" s="430"/>
      <c r="V221" s="831">
        <f t="shared" ref="V221:AD221" si="155">V216/V28</f>
        <v>0.11348719034511963</v>
      </c>
      <c r="W221" s="831">
        <f t="shared" si="155"/>
        <v>0.10098540057622933</v>
      </c>
      <c r="X221" s="831">
        <f t="shared" si="155"/>
        <v>0.12034489932730762</v>
      </c>
      <c r="Y221" s="831">
        <f t="shared" si="155"/>
        <v>-0.5755779876261804</v>
      </c>
      <c r="Z221" s="831">
        <f t="shared" si="155"/>
        <v>-0.17333766339205975</v>
      </c>
      <c r="AA221" s="831">
        <f t="shared" si="155"/>
        <v>-6.2787915031856985E-3</v>
      </c>
      <c r="AB221" s="831">
        <f t="shared" si="155"/>
        <v>7.1453808973427027E-2</v>
      </c>
      <c r="AC221" s="831">
        <f t="shared" si="155"/>
        <v>0.10229578090703276</v>
      </c>
      <c r="AD221" s="832">
        <f t="shared" si="155"/>
        <v>9.5311808912038498E-2</v>
      </c>
      <c r="AR221" s="253"/>
      <c r="AS221" s="253"/>
      <c r="AT221" s="253"/>
      <c r="AV221" s="253"/>
      <c r="AW221" s="253"/>
      <c r="AX221" s="253"/>
      <c r="AY221" s="253"/>
    </row>
    <row r="222" spans="2:51" s="278" customFormat="1" ht="10.9" thickBot="1">
      <c r="C222" s="253"/>
      <c r="E222" s="297"/>
      <c r="F222" s="297"/>
      <c r="G222" s="297"/>
      <c r="H222" s="297"/>
      <c r="I222" s="297"/>
      <c r="J222" s="297"/>
      <c r="K222" s="297"/>
      <c r="L222" s="297"/>
      <c r="M222" s="297"/>
      <c r="N222" s="297"/>
      <c r="O222" s="297"/>
      <c r="P222" s="297"/>
      <c r="Q222" s="297"/>
      <c r="R222" s="297"/>
      <c r="S222" s="297"/>
      <c r="T222" s="297"/>
      <c r="U222" s="255"/>
      <c r="V222" s="297"/>
      <c r="W222" s="297"/>
      <c r="X222" s="297"/>
      <c r="Y222" s="297"/>
      <c r="Z222" s="297"/>
      <c r="AA222" s="297"/>
      <c r="AB222" s="297"/>
      <c r="AC222" s="297"/>
      <c r="AD222" s="297"/>
      <c r="AR222" s="253"/>
      <c r="AS222" s="253"/>
      <c r="AT222" s="253"/>
      <c r="AV222" s="253"/>
      <c r="AW222" s="253"/>
      <c r="AX222" s="253"/>
      <c r="AY222" s="253"/>
    </row>
    <row r="223" spans="2:51" s="278" customFormat="1">
      <c r="B223" s="858" t="s">
        <v>133</v>
      </c>
      <c r="C223" s="859" t="s">
        <v>574</v>
      </c>
      <c r="D223" s="860"/>
      <c r="E223" s="861"/>
      <c r="F223" s="861"/>
      <c r="G223" s="861"/>
      <c r="H223" s="861"/>
      <c r="I223" s="861"/>
      <c r="J223" s="861"/>
      <c r="K223" s="861"/>
      <c r="L223" s="861"/>
      <c r="M223" s="861"/>
      <c r="N223" s="861"/>
      <c r="O223" s="861"/>
      <c r="P223" s="861"/>
      <c r="Q223" s="861"/>
      <c r="R223" s="861"/>
      <c r="S223" s="861"/>
      <c r="T223" s="861"/>
      <c r="U223" s="562"/>
      <c r="V223" s="861"/>
      <c r="W223" s="861"/>
      <c r="X223" s="861"/>
      <c r="Y223" s="861"/>
      <c r="Z223" s="861"/>
      <c r="AA223" s="861"/>
      <c r="AB223" s="861"/>
      <c r="AC223" s="861"/>
      <c r="AD223" s="862"/>
      <c r="AR223" s="253"/>
      <c r="AS223" s="253"/>
      <c r="AT223" s="253"/>
      <c r="AV223" s="253"/>
      <c r="AW223" s="253"/>
      <c r="AX223" s="253"/>
      <c r="AY223" s="253"/>
    </row>
    <row r="224" spans="2:51" s="278" customFormat="1">
      <c r="B224" s="863"/>
      <c r="C224" s="864" t="s">
        <v>1305</v>
      </c>
      <c r="D224" s="864"/>
      <c r="E224" s="865">
        <f t="shared" ref="E224:T224" si="156">+E108-E175-E202</f>
        <v>0.76941536430992841</v>
      </c>
      <c r="F224" s="865">
        <f t="shared" si="156"/>
        <v>1.7615663283648111</v>
      </c>
      <c r="G224" s="865">
        <f t="shared" si="156"/>
        <v>1.3743075705618555</v>
      </c>
      <c r="H224" s="865">
        <f t="shared" si="156"/>
        <v>1.2480077413479069</v>
      </c>
      <c r="I224" s="865">
        <f t="shared" si="156"/>
        <v>-2.1320794215687844</v>
      </c>
      <c r="J224" s="865">
        <f t="shared" si="156"/>
        <v>-24.342837070429134</v>
      </c>
      <c r="K224" s="865">
        <f t="shared" si="156"/>
        <v>-11.017940717628706</v>
      </c>
      <c r="L224" s="865">
        <f t="shared" si="156"/>
        <v>-7.5709684216863842</v>
      </c>
      <c r="M224" s="865">
        <f t="shared" si="156"/>
        <v>-8.5743035695371255</v>
      </c>
      <c r="N224" s="865">
        <f t="shared" si="156"/>
        <v>-1.8586747319219121</v>
      </c>
      <c r="O224" s="865">
        <f t="shared" si="156"/>
        <v>-0.7560013745479548</v>
      </c>
      <c r="P224" s="865">
        <f t="shared" si="156"/>
        <v>-1.3092218312740371</v>
      </c>
      <c r="Q224" s="865">
        <f t="shared" si="156"/>
        <v>-2.6304738548368167</v>
      </c>
      <c r="R224" s="865">
        <f t="shared" si="156"/>
        <v>-0.24227504275805956</v>
      </c>
      <c r="S224" s="865">
        <f t="shared" si="156"/>
        <v>9.6292176674769081E-2</v>
      </c>
      <c r="T224" s="865">
        <f t="shared" si="156"/>
        <v>-3.6666004199723545E-2</v>
      </c>
      <c r="U224" s="255"/>
      <c r="V224" s="865">
        <f t="shared" ref="V224:AD224" si="157">+V108-V175-V202</f>
        <v>1.7957054970650272</v>
      </c>
      <c r="W224" s="865">
        <f t="shared" si="157"/>
        <v>1.2228154892325573</v>
      </c>
      <c r="X224" s="865">
        <f t="shared" si="157"/>
        <v>1.2999494892805021</v>
      </c>
      <c r="Y224" s="865">
        <f t="shared" si="157"/>
        <v>-7.9536485363247138</v>
      </c>
      <c r="Z224" s="865">
        <f t="shared" si="157"/>
        <v>-2.5702099890460772</v>
      </c>
      <c r="AA224" s="865">
        <f t="shared" si="157"/>
        <v>-0.63259961129144315</v>
      </c>
      <c r="AB224" s="865">
        <f t="shared" si="157"/>
        <v>0.80784034206775779</v>
      </c>
      <c r="AC224" s="865">
        <f t="shared" si="157"/>
        <v>1.3337033552695718</v>
      </c>
      <c r="AD224" s="866">
        <f t="shared" si="157"/>
        <v>1.4474776581566662</v>
      </c>
      <c r="AR224" s="253"/>
      <c r="AS224" s="253"/>
      <c r="AT224" s="253"/>
      <c r="AV224" s="253"/>
      <c r="AW224" s="253"/>
      <c r="AX224" s="253"/>
      <c r="AY224" s="253"/>
    </row>
    <row r="225" spans="2:51" s="278" customFormat="1">
      <c r="B225" s="863"/>
      <c r="C225" s="864" t="s">
        <v>1306</v>
      </c>
      <c r="D225" s="864"/>
      <c r="E225" s="865">
        <f t="shared" ref="E225:T225" si="158">+E109-E176-E203</f>
        <v>2.1100358882337868</v>
      </c>
      <c r="F225" s="865">
        <f t="shared" si="158"/>
        <v>3.7085040555230346</v>
      </c>
      <c r="G225" s="865">
        <f t="shared" si="158"/>
        <v>3.3746138206015157</v>
      </c>
      <c r="H225" s="865">
        <f t="shared" si="158"/>
        <v>2.7998411437648922</v>
      </c>
      <c r="I225" s="865">
        <f t="shared" si="158"/>
        <v>-0.75740850810902671</v>
      </c>
      <c r="J225" s="865">
        <f t="shared" si="158"/>
        <v>-33.154020385050963</v>
      </c>
      <c r="K225" s="865">
        <f t="shared" si="158"/>
        <v>-8.1972428419936385</v>
      </c>
      <c r="L225" s="865">
        <f t="shared" si="158"/>
        <v>-4.5913205173781062</v>
      </c>
      <c r="M225" s="865">
        <f t="shared" si="158"/>
        <v>-6.2465726107981459</v>
      </c>
      <c r="N225" s="865">
        <f t="shared" si="158"/>
        <v>-0.98703867790393218</v>
      </c>
      <c r="O225" s="865">
        <f t="shared" si="158"/>
        <v>0.67858661686666544</v>
      </c>
      <c r="P225" s="865">
        <f t="shared" si="158"/>
        <v>0.36139455782313235</v>
      </c>
      <c r="Q225" s="865">
        <f t="shared" si="158"/>
        <v>-1.540243196294151</v>
      </c>
      <c r="R225" s="865">
        <f t="shared" ca="1" si="158"/>
        <v>2.1306215303125455</v>
      </c>
      <c r="S225" s="865">
        <f t="shared" si="158"/>
        <v>2.2356976982836354</v>
      </c>
      <c r="T225" s="865">
        <f t="shared" si="158"/>
        <v>1.8492637552634292</v>
      </c>
      <c r="U225" s="255"/>
      <c r="V225" s="865">
        <f t="shared" ref="V225:AD225" si="159">+V109-V176-V203</f>
        <v>2.7342954420144299</v>
      </c>
      <c r="W225" s="865">
        <f t="shared" si="159"/>
        <v>2.4505873927743185</v>
      </c>
      <c r="X225" s="865">
        <f t="shared" si="159"/>
        <v>3.0383470114024274</v>
      </c>
      <c r="Y225" s="865">
        <f t="shared" si="159"/>
        <v>-5.9230311150811374</v>
      </c>
      <c r="Z225" s="865">
        <f t="shared" si="159"/>
        <v>-1.2500385655666051</v>
      </c>
      <c r="AA225" s="865">
        <f t="shared" ca="1" si="159"/>
        <v>1.2854516662718467</v>
      </c>
      <c r="AB225" s="865">
        <f t="shared" si="159"/>
        <v>1.9920089832796997</v>
      </c>
      <c r="AC225" s="865">
        <f t="shared" si="159"/>
        <v>2.5414799939910981</v>
      </c>
      <c r="AD225" s="866">
        <f t="shared" si="159"/>
        <v>2.7109796932209491</v>
      </c>
      <c r="AR225" s="253"/>
      <c r="AS225" s="253"/>
      <c r="AT225" s="253"/>
      <c r="AV225" s="253"/>
      <c r="AW225" s="253"/>
      <c r="AX225" s="253"/>
      <c r="AY225" s="253"/>
    </row>
    <row r="226" spans="2:51" s="279" customFormat="1" ht="10.9" thickBot="1">
      <c r="B226" s="868"/>
      <c r="C226" s="869" t="s">
        <v>1307</v>
      </c>
      <c r="D226" s="869"/>
      <c r="E226" s="870">
        <f t="shared" ref="E226:T226" si="160">+E110-E177-E204</f>
        <v>0.87744687333383986</v>
      </c>
      <c r="F226" s="870">
        <f t="shared" si="160"/>
        <v>2.3825778263244128</v>
      </c>
      <c r="G226" s="870">
        <f t="shared" si="160"/>
        <v>2.2950077255048225</v>
      </c>
      <c r="H226" s="870">
        <f t="shared" si="160"/>
        <v>1.6357442495565735</v>
      </c>
      <c r="I226" s="870">
        <f t="shared" si="160"/>
        <v>-1.4194755325084518</v>
      </c>
      <c r="J226" s="870">
        <f t="shared" si="160"/>
        <v>-33.783331473836881</v>
      </c>
      <c r="K226" s="870">
        <f t="shared" si="160"/>
        <v>-12.079056365928329</v>
      </c>
      <c r="L226" s="870">
        <f t="shared" si="160"/>
        <v>-7.370238832230946</v>
      </c>
      <c r="M226" s="870">
        <f t="shared" si="160"/>
        <v>-8.9957194599934134</v>
      </c>
      <c r="N226" s="870">
        <f t="shared" si="160"/>
        <v>-2.999015474717897</v>
      </c>
      <c r="O226" s="870">
        <f t="shared" si="160"/>
        <v>-5.196154845414469E-2</v>
      </c>
      <c r="P226" s="870">
        <f t="shared" si="160"/>
        <v>-0.58743044787011023</v>
      </c>
      <c r="Q226" s="870">
        <f t="shared" si="160"/>
        <v>-2.5345449083808944</v>
      </c>
      <c r="R226" s="870">
        <f t="shared" si="160"/>
        <v>0.30702196945090954</v>
      </c>
      <c r="S226" s="870">
        <f t="shared" si="160"/>
        <v>0.75587847233544814</v>
      </c>
      <c r="T226" s="870">
        <f t="shared" si="160"/>
        <v>0.54410693481545813</v>
      </c>
      <c r="U226" s="498"/>
      <c r="V226" s="870">
        <f t="shared" ref="V226:AD226" si="161">+V110-V177-V204</f>
        <v>1.5577902943757564</v>
      </c>
      <c r="W226" s="870">
        <f t="shared" si="161"/>
        <v>1.5896431823494872</v>
      </c>
      <c r="X226" s="870">
        <f t="shared" si="161"/>
        <v>1.8266730760458803</v>
      </c>
      <c r="Y226" s="870">
        <f t="shared" si="161"/>
        <v>-7.1968339793492042</v>
      </c>
      <c r="Z226" s="870">
        <f t="shared" si="161"/>
        <v>-2.3896935371941534</v>
      </c>
      <c r="AA226" s="870">
        <f t="shared" si="161"/>
        <v>-0.10713076118916121</v>
      </c>
      <c r="AB226" s="870">
        <f t="shared" si="161"/>
        <v>1.1865037342105946</v>
      </c>
      <c r="AC226" s="870">
        <f t="shared" si="161"/>
        <v>1.7344054446415811</v>
      </c>
      <c r="AD226" s="871">
        <f t="shared" si="161"/>
        <v>1.6223072700513441</v>
      </c>
      <c r="AR226" s="253"/>
      <c r="AS226" s="253"/>
      <c r="AT226" s="253"/>
      <c r="AV226" s="253"/>
      <c r="AW226" s="253"/>
      <c r="AX226" s="253"/>
      <c r="AY226" s="253"/>
    </row>
    <row r="227" spans="2:51">
      <c r="U227" s="255"/>
    </row>
    <row r="228" spans="2:51">
      <c r="U228" s="255"/>
      <c r="Z228" s="257"/>
    </row>
  </sheetData>
  <pageMargins left="0.7" right="0.7" top="0.75" bottom="0.75" header="0.3" footer="0.3"/>
  <pageSetup orientation="portrait" r:id="rId1"/>
  <ignoredErrors>
    <ignoredError sqref="O22:Z24 O26:Z26 O28:T28 O27:Y27 V28:Z28" formulaRange="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C833-9F9F-4D18-A842-6EFA6ADB7003}">
  <sheetPr>
    <tabColor theme="3"/>
  </sheetPr>
  <dimension ref="A1:AB223"/>
  <sheetViews>
    <sheetView showGridLines="0" tabSelected="1" view="pageBreakPreview" zoomScaleNormal="100" zoomScaleSheetLayoutView="100" workbookViewId="0">
      <pane xSplit="4" topLeftCell="E1" activePane="topRight" state="frozen"/>
      <selection pane="topRight" activeCell="V139" sqref="V139"/>
    </sheetView>
  </sheetViews>
  <sheetFormatPr defaultColWidth="8.796875" defaultRowHeight="10.5" outlineLevelCol="1"/>
  <cols>
    <col min="1" max="2" width="1.796875" style="253" customWidth="1"/>
    <col min="3" max="3" width="32.19921875" style="253" customWidth="1"/>
    <col min="4" max="4" width="8.796875" style="253" hidden="1" customWidth="1" outlineLevel="1"/>
    <col min="5" max="5" width="9.796875" style="253" bestFit="1" customWidth="1" collapsed="1"/>
    <col min="6" max="7" width="9.796875" style="253" bestFit="1" customWidth="1"/>
    <col min="8" max="8" width="2.53125" style="253" customWidth="1"/>
    <col min="9" max="11" width="9.796875" style="253" bestFit="1" customWidth="1"/>
    <col min="12" max="12" width="2.53125" style="253" customWidth="1"/>
    <col min="13" max="15" width="9.796875" style="253" bestFit="1" customWidth="1"/>
    <col min="16" max="16" width="2.53125" style="253" customWidth="1"/>
    <col min="17" max="19" width="9.796875" style="253" bestFit="1" customWidth="1"/>
    <col min="20" max="20" width="2.53125" style="253" customWidth="1"/>
    <col min="21" max="16384" width="8.796875" style="253"/>
  </cols>
  <sheetData>
    <row r="1" spans="1:28">
      <c r="A1" s="378" t="s">
        <v>1716</v>
      </c>
    </row>
    <row r="2" spans="1:28">
      <c r="A2" s="278" t="str">
        <f>'UAL Financials'!$A$2</f>
        <v>(All Values in US$ millions)</v>
      </c>
    </row>
    <row r="3" spans="1:28">
      <c r="A3" s="278"/>
    </row>
    <row r="4" spans="1:28">
      <c r="A4" s="278"/>
    </row>
    <row r="5" spans="1:28">
      <c r="B5" s="276"/>
      <c r="C5" s="276" t="s">
        <v>232</v>
      </c>
      <c r="D5" s="276"/>
      <c r="E5" s="963">
        <v>2019</v>
      </c>
      <c r="F5" s="963"/>
      <c r="G5" s="963"/>
      <c r="I5" s="963">
        <f>E5+2</f>
        <v>2021</v>
      </c>
      <c r="J5" s="963"/>
      <c r="K5" s="963"/>
      <c r="M5" s="967" t="s">
        <v>141</v>
      </c>
      <c r="N5" s="967"/>
      <c r="O5" s="967"/>
      <c r="Q5" s="965">
        <f>I5+1</f>
        <v>2022</v>
      </c>
      <c r="R5" s="963"/>
      <c r="S5" s="963"/>
      <c r="U5" s="965">
        <f>Q5+1</f>
        <v>2023</v>
      </c>
      <c r="V5" s="963"/>
      <c r="W5" s="963"/>
      <c r="Y5" s="968">
        <f>'AAL KPI'!N6</f>
        <v>44377</v>
      </c>
      <c r="Z5" s="968">
        <f>'AAL KPI'!O6</f>
        <v>44469</v>
      </c>
      <c r="AA5" s="968">
        <f>'AAL KPI'!P6</f>
        <v>44561</v>
      </c>
      <c r="AB5" s="968">
        <f>'AAL KPI'!Q6</f>
        <v>44651</v>
      </c>
    </row>
    <row r="6" spans="1:28" s="260" customFormat="1" ht="12.75" customHeight="1">
      <c r="A6" s="253"/>
      <c r="B6" s="262"/>
      <c r="C6" s="262" t="s">
        <v>1715</v>
      </c>
      <c r="D6" s="262"/>
      <c r="E6" s="264" t="s">
        <v>1314</v>
      </c>
      <c r="F6" s="264" t="s">
        <v>1315</v>
      </c>
      <c r="G6" s="264" t="s">
        <v>1316</v>
      </c>
      <c r="H6" s="253"/>
      <c r="I6" s="264" t="s">
        <v>1314</v>
      </c>
      <c r="J6" s="264" t="s">
        <v>1315</v>
      </c>
      <c r="K6" s="264" t="s">
        <v>1316</v>
      </c>
      <c r="L6" s="253"/>
      <c r="M6" s="264" t="s">
        <v>1314</v>
      </c>
      <c r="N6" s="264" t="s">
        <v>1315</v>
      </c>
      <c r="O6" s="264" t="s">
        <v>1316</v>
      </c>
      <c r="P6" s="253"/>
      <c r="Q6" s="264" t="s">
        <v>1314</v>
      </c>
      <c r="R6" s="264" t="s">
        <v>1315</v>
      </c>
      <c r="S6" s="264" t="s">
        <v>1316</v>
      </c>
      <c r="T6" s="253"/>
      <c r="U6" s="264" t="s">
        <v>1314</v>
      </c>
      <c r="V6" s="264" t="s">
        <v>1315</v>
      </c>
      <c r="W6" s="264" t="s">
        <v>1316</v>
      </c>
    </row>
    <row r="8" spans="1:28" s="255" customFormat="1">
      <c r="B8" s="258" t="s">
        <v>133</v>
      </c>
      <c r="C8" s="259" t="s">
        <v>1729</v>
      </c>
      <c r="D8" s="259"/>
      <c r="E8" s="259"/>
      <c r="F8" s="259"/>
      <c r="G8" s="259"/>
      <c r="H8" s="969"/>
      <c r="I8" s="259"/>
      <c r="J8" s="259"/>
      <c r="K8" s="259"/>
      <c r="L8" s="969"/>
      <c r="M8" s="259"/>
      <c r="N8" s="259"/>
      <c r="O8" s="259"/>
      <c r="P8" s="969"/>
      <c r="Q8" s="259"/>
      <c r="R8" s="259"/>
      <c r="S8" s="259"/>
      <c r="T8" s="969"/>
      <c r="U8" s="259"/>
      <c r="V8" s="259"/>
      <c r="W8" s="259"/>
    </row>
    <row r="9" spans="1:28" ht="10.9" thickBot="1"/>
    <row r="10" spans="1:28">
      <c r="B10" s="253" t="s">
        <v>133</v>
      </c>
      <c r="C10" s="972" t="s">
        <v>268</v>
      </c>
      <c r="D10" s="473"/>
      <c r="E10" s="473"/>
      <c r="F10" s="473"/>
      <c r="G10" s="473"/>
      <c r="H10" s="473"/>
      <c r="I10" s="473"/>
      <c r="J10" s="473"/>
      <c r="K10" s="473"/>
      <c r="L10" s="473"/>
      <c r="M10" s="473"/>
      <c r="N10" s="473"/>
      <c r="O10" s="473"/>
      <c r="P10" s="473"/>
      <c r="Q10" s="473"/>
      <c r="R10" s="473"/>
      <c r="S10" s="473"/>
      <c r="T10" s="473"/>
      <c r="U10" s="473"/>
      <c r="V10" s="473"/>
      <c r="W10" s="474"/>
    </row>
    <row r="11" spans="1:28">
      <c r="C11" s="425" t="s">
        <v>599</v>
      </c>
      <c r="E11" s="287">
        <f>'AAL KPI'!X10</f>
        <v>42011</v>
      </c>
      <c r="F11" s="287">
        <f>'DAL KPI'!X10</f>
        <v>42277</v>
      </c>
      <c r="G11" s="287">
        <f>'UAL KPI'!X10</f>
        <v>39625</v>
      </c>
      <c r="I11" s="287">
        <f>'AAL KPI'!Z10</f>
        <v>26063</v>
      </c>
      <c r="J11" s="287">
        <f>'DAL KPI'!Z10</f>
        <v>22519</v>
      </c>
      <c r="K11" s="287">
        <f>'UAL KPI'!Z10</f>
        <v>20197</v>
      </c>
      <c r="M11" s="287">
        <f>SUMIF('AAL KPI'!$E$6:$T$6,Comps!$Y$5,'AAL KPI'!$E10:$T10)+SUMIF('AAL KPI'!$E$6:$T$6,Comps!$Z$5,'AAL KPI'!$E10:$T10)+SUMIF('AAL KPI'!$E$6:$T$6,Comps!$AA$5,'AAL KPI'!$E10:$T10)+SUMIF('AAL KPI'!$E$6:$T$6,Comps!$AB$5,'AAL KPI'!$E10:$T10)</f>
        <v>30702</v>
      </c>
      <c r="N11" s="287">
        <f>SUMIF('DAL KPI'!$E$6:$T$6,Comps!$Y$5,'DAL KPI'!$E10:$T10)+SUMIF('DAL KPI'!$E$6:$T$6,Comps!$Z$5,'DAL KPI'!$E10:$T10)+SUMIF('DAL KPI'!$E$6:$T$6,Comps!$AA$5,'DAL KPI'!$E10:$T10)+SUMIF('DAL KPI'!$E$6:$T$6,Comps!$AB$5,'DAL KPI'!$E10:$T10)</f>
        <v>26678</v>
      </c>
      <c r="O11" s="287">
        <f>SUMIF('UAL KPI'!$E$6:$T$6,Comps!$Y$5,'UAL KPI'!$E10:$T10)+SUMIF('UAL KPI'!$E$6:$T$6,Comps!$Z$5,'UAL KPI'!$E10:$T10)+SUMIF('UAL KPI'!$E$6:$T$6,Comps!$AA$5,'UAL KPI'!$E10:$T10)+SUMIF('UAL KPI'!$E$6:$T$6,Comps!$AB$5,'UAL KPI'!$E10:$T10)</f>
        <v>24229</v>
      </c>
      <c r="Q11" s="287">
        <f>'AAL KPI'!AA10</f>
        <v>40982.112837196575</v>
      </c>
      <c r="R11" s="287">
        <f>'DAL KPI'!AA10</f>
        <v>39761.418368322695</v>
      </c>
      <c r="S11" s="287">
        <f>'UAL KPI'!AA10</f>
        <v>37390.53587370181</v>
      </c>
      <c r="U11" s="287">
        <f>'AAL KPI'!AB10</f>
        <v>44721.565900572816</v>
      </c>
      <c r="V11" s="287">
        <f>'DAL KPI'!AB10</f>
        <v>44582.036686942083</v>
      </c>
      <c r="W11" s="973">
        <f>'UAL KPI'!AB10</f>
        <v>43279.233455173897</v>
      </c>
    </row>
    <row r="12" spans="1:28">
      <c r="C12" s="425" t="s">
        <v>1180</v>
      </c>
      <c r="E12" s="287">
        <f>'AAL KPI'!X11</f>
        <v>863</v>
      </c>
      <c r="F12" s="287">
        <f>'DAL KPI'!X11</f>
        <v>754</v>
      </c>
      <c r="G12" s="287">
        <f>'UAL KPI'!X11</f>
        <v>1179</v>
      </c>
      <c r="I12" s="287">
        <f>'AAL KPI'!Z11</f>
        <v>1314</v>
      </c>
      <c r="J12" s="287">
        <f>'DAL KPI'!Z11</f>
        <v>1032</v>
      </c>
      <c r="K12" s="287">
        <f>'UAL KPI'!Z11</f>
        <v>2349</v>
      </c>
      <c r="M12" s="287">
        <f>SUMIF('AAL KPI'!$E$6:$T$6,Comps!$Y$5,'AAL KPI'!$E11:$T11)+SUMIF('AAL KPI'!$E$6:$T$6,Comps!$Z$5,'AAL KPI'!$E11:$T11)+SUMIF('AAL KPI'!$E$6:$T$6,Comps!$AA$5,'AAL KPI'!$E11:$T11)+SUMIF('AAL KPI'!$E$6:$T$6,Comps!$AB$5,'AAL KPI'!$E11:$T11)</f>
        <v>1363</v>
      </c>
      <c r="N12" s="287">
        <f>SUMIF('DAL KPI'!$E$6:$T$6,Comps!$Y$5,'DAL KPI'!$E11:$T11)+SUMIF('DAL KPI'!$E$6:$T$6,Comps!$Z$5,'DAL KPI'!$E11:$T11)+SUMIF('DAL KPI'!$E$6:$T$6,Comps!$AA$5,'DAL KPI'!$E11:$T11)+SUMIF('DAL KPI'!$E$6:$T$6,Comps!$AB$5,'DAL KPI'!$E11:$T11)</f>
        <v>1106</v>
      </c>
      <c r="O12" s="287">
        <f>SUMIF('UAL KPI'!$E$6:$T$6,Comps!$Y$5,'UAL KPI'!$E11:$T11)+SUMIF('UAL KPI'!$E$6:$T$6,Comps!$Z$5,'UAL KPI'!$E11:$T11)+SUMIF('UAL KPI'!$E$6:$T$6,Comps!$AA$5,'UAL KPI'!$E11:$T11)+SUMIF('UAL KPI'!$E$6:$T$6,Comps!$AB$5,'UAL KPI'!$E11:$T11)</f>
        <v>2479</v>
      </c>
      <c r="Q12" s="287">
        <f>'AAL KPI'!AA11</f>
        <v>1452.4714999999999</v>
      </c>
      <c r="R12" s="287">
        <f>'DAL KPI'!AA11</f>
        <v>1162.7053669838001</v>
      </c>
      <c r="S12" s="287">
        <f>'UAL KPI'!AA11</f>
        <v>2308.6927500000002</v>
      </c>
      <c r="U12" s="287">
        <f>'AAL KPI'!AB11</f>
        <v>1283.9848060000002</v>
      </c>
      <c r="V12" s="287">
        <f>'DAL KPI'!AB11</f>
        <v>1253.7590074047</v>
      </c>
      <c r="W12" s="973">
        <f>'UAL KPI'!AB11</f>
        <v>1864.2693956250002</v>
      </c>
    </row>
    <row r="13" spans="1:28">
      <c r="C13" s="425" t="s">
        <v>609</v>
      </c>
      <c r="E13" s="287">
        <f>'AAL KPI'!X12</f>
        <v>2894</v>
      </c>
      <c r="F13" s="287">
        <f>'DAL KPI'!X12</f>
        <v>3688</v>
      </c>
      <c r="G13" s="287">
        <f>'UAL KPI'!X12</f>
        <v>2455</v>
      </c>
      <c r="I13" s="287">
        <f>'AAL KPI'!Z12</f>
        <v>2505</v>
      </c>
      <c r="J13" s="287">
        <f>'DAL KPI'!Z12</f>
        <v>3120</v>
      </c>
      <c r="K13" s="287">
        <f>'UAL KPI'!Z12</f>
        <v>2088</v>
      </c>
      <c r="M13" s="287">
        <f>SUMIF('AAL KPI'!$E$6:$T$6,Comps!$Y$5,'AAL KPI'!$E12:$T12)+SUMIF('AAL KPI'!$E$6:$T$6,Comps!$Z$5,'AAL KPI'!$E12:$T12)+SUMIF('AAL KPI'!$E$6:$T$6,Comps!$AA$5,'AAL KPI'!$E12:$T12)+SUMIF('AAL KPI'!$E$6:$T$6,Comps!$AB$5,'AAL KPI'!$E12:$T12)</f>
        <v>2708</v>
      </c>
      <c r="N13" s="287">
        <f>SUMIF('DAL KPI'!$E$6:$T$6,Comps!$Y$5,'DAL KPI'!$E12:$T12)+SUMIF('DAL KPI'!$E$6:$T$6,Comps!$Z$5,'DAL KPI'!$E12:$T12)+SUMIF('DAL KPI'!$E$6:$T$6,Comps!$AA$5,'DAL KPI'!$E12:$T12)+SUMIF('DAL KPI'!$E$6:$T$6,Comps!$AB$5,'DAL KPI'!$E12:$T12)</f>
        <v>3438</v>
      </c>
      <c r="O13" s="287">
        <f>SUMIF('UAL KPI'!$E$6:$T$6,Comps!$Y$5,'UAL KPI'!$E12:$T12)+SUMIF('UAL KPI'!$E$6:$T$6,Comps!$Z$5,'UAL KPI'!$E12:$T12)+SUMIF('UAL KPI'!$E$6:$T$6,Comps!$AA$5,'UAL KPI'!$E12:$T12)+SUMIF('UAL KPI'!$E$6:$T$6,Comps!$AB$5,'UAL KPI'!$E12:$T12)</f>
        <v>2271</v>
      </c>
      <c r="Q13" s="287">
        <f>'AAL KPI'!AA12</f>
        <v>4033.4112837196571</v>
      </c>
      <c r="R13" s="287">
        <f>'DAL KPI'!AA12</f>
        <v>4362.0974895358013</v>
      </c>
      <c r="S13" s="287">
        <f>'UAL KPI'!AA12</f>
        <v>3384.8282286331628</v>
      </c>
      <c r="U13" s="287">
        <f>'AAL KPI'!AB12</f>
        <v>3973.3152365328988</v>
      </c>
      <c r="V13" s="287">
        <f>'DAL KPI'!AB12</f>
        <v>5154.3425859970994</v>
      </c>
      <c r="W13" s="973">
        <f>'UAL KPI'!AB12</f>
        <v>3678.7348436897814</v>
      </c>
    </row>
    <row r="14" spans="1:28" s="279" customFormat="1">
      <c r="C14" s="974" t="s">
        <v>1173</v>
      </c>
      <c r="E14" s="966">
        <f>SUM(E11:E13)</f>
        <v>45768</v>
      </c>
      <c r="F14" s="966">
        <f>SUM(F11:F13)</f>
        <v>46719</v>
      </c>
      <c r="G14" s="966">
        <f>SUM(G11:G13)</f>
        <v>43259</v>
      </c>
      <c r="I14" s="966">
        <f>SUM(I11:I13)</f>
        <v>29882</v>
      </c>
      <c r="J14" s="966">
        <f>SUM(J11:J13)</f>
        <v>26671</v>
      </c>
      <c r="K14" s="966">
        <f>SUM(K11:K13)</f>
        <v>24634</v>
      </c>
      <c r="M14" s="966">
        <f>SUM(M11:M13)</f>
        <v>34773</v>
      </c>
      <c r="N14" s="966">
        <f>SUM(N11:N13)</f>
        <v>31222</v>
      </c>
      <c r="O14" s="966">
        <f>SUM(O11:O13)</f>
        <v>28979</v>
      </c>
      <c r="Q14" s="966">
        <f>SUM(Q11:Q13)</f>
        <v>46467.995620916234</v>
      </c>
      <c r="R14" s="966">
        <f>SUM(R11:R13)</f>
        <v>45286.221224842295</v>
      </c>
      <c r="S14" s="966">
        <f>SUM(S11:S13)</f>
        <v>43084.056852334972</v>
      </c>
      <c r="U14" s="966">
        <f>SUM(U11:U13)</f>
        <v>49978.865943105717</v>
      </c>
      <c r="V14" s="966">
        <f>SUM(V11:V13)</f>
        <v>50990.138280343876</v>
      </c>
      <c r="W14" s="518">
        <f>SUM(W11:W13)</f>
        <v>48822.237694488678</v>
      </c>
    </row>
    <row r="15" spans="1:28">
      <c r="C15" s="425"/>
      <c r="W15" s="426"/>
    </row>
    <row r="16" spans="1:28" s="278" customFormat="1">
      <c r="C16" s="975" t="s">
        <v>1313</v>
      </c>
      <c r="D16" s="540"/>
      <c r="E16" s="540"/>
      <c r="F16" s="540"/>
      <c r="G16" s="540"/>
      <c r="I16" s="540"/>
      <c r="J16" s="540"/>
      <c r="K16" s="540"/>
      <c r="M16" s="540"/>
      <c r="N16" s="540"/>
      <c r="O16" s="540"/>
      <c r="Q16" s="540"/>
      <c r="R16" s="540"/>
      <c r="S16" s="540"/>
      <c r="U16" s="540"/>
      <c r="V16" s="540"/>
      <c r="W16" s="542"/>
    </row>
    <row r="17" spans="3:23" s="278" customFormat="1">
      <c r="C17" s="976" t="s">
        <v>599</v>
      </c>
      <c r="D17" s="540"/>
      <c r="E17" s="541">
        <f t="shared" ref="E17:G19" si="0">E11/E$14</f>
        <v>0.91791207830798816</v>
      </c>
      <c r="F17" s="541">
        <f t="shared" si="0"/>
        <v>0.90492091012222009</v>
      </c>
      <c r="G17" s="541">
        <f t="shared" si="0"/>
        <v>0.91599435955523711</v>
      </c>
      <c r="H17" s="297"/>
      <c r="I17" s="541">
        <f t="shared" ref="I17:K19" si="1">I11/I$14</f>
        <v>0.87219730941704032</v>
      </c>
      <c r="J17" s="541">
        <f t="shared" si="1"/>
        <v>0.84432529713921489</v>
      </c>
      <c r="K17" s="541">
        <f t="shared" si="1"/>
        <v>0.81988308841438662</v>
      </c>
      <c r="L17" s="297"/>
      <c r="M17" s="541">
        <f t="shared" ref="M17:O19" si="2">M11/M$14</f>
        <v>0.8829264084203261</v>
      </c>
      <c r="N17" s="541">
        <f t="shared" si="2"/>
        <v>0.85446159759144191</v>
      </c>
      <c r="O17" s="541">
        <f t="shared" si="2"/>
        <v>0.83608820180130439</v>
      </c>
      <c r="P17" s="297"/>
      <c r="Q17" s="541">
        <f t="shared" ref="Q17:S19" si="3">Q11/Q$14</f>
        <v>0.88194277135443422</v>
      </c>
      <c r="R17" s="541">
        <f t="shared" si="3"/>
        <v>0.87800256442043556</v>
      </c>
      <c r="S17" s="541">
        <f t="shared" si="3"/>
        <v>0.86785086190590255</v>
      </c>
      <c r="T17" s="297"/>
      <c r="U17" s="541">
        <f t="shared" ref="U17:W19" si="4">U11/U$14</f>
        <v>0.89480953712479916</v>
      </c>
      <c r="V17" s="541">
        <f t="shared" si="4"/>
        <v>0.87432664806339533</v>
      </c>
      <c r="W17" s="543">
        <f t="shared" si="4"/>
        <v>0.8864655841053245</v>
      </c>
    </row>
    <row r="18" spans="3:23" s="278" customFormat="1">
      <c r="C18" s="976" t="s">
        <v>1180</v>
      </c>
      <c r="D18" s="540"/>
      <c r="E18" s="541">
        <f t="shared" si="0"/>
        <v>1.8855969236147525E-2</v>
      </c>
      <c r="F18" s="541">
        <f t="shared" si="0"/>
        <v>1.6139044072004966E-2</v>
      </c>
      <c r="G18" s="541">
        <f t="shared" si="0"/>
        <v>2.7254444161908503E-2</v>
      </c>
      <c r="H18" s="297"/>
      <c r="I18" s="541">
        <f t="shared" si="1"/>
        <v>4.3972960310554851E-2</v>
      </c>
      <c r="J18" s="541">
        <f t="shared" si="1"/>
        <v>3.8693712271755838E-2</v>
      </c>
      <c r="K18" s="541">
        <f t="shared" si="1"/>
        <v>9.5356012015912969E-2</v>
      </c>
      <c r="L18" s="297"/>
      <c r="M18" s="541">
        <f t="shared" si="2"/>
        <v>3.9197078192850773E-2</v>
      </c>
      <c r="N18" s="541">
        <f t="shared" si="2"/>
        <v>3.542373967074499E-2</v>
      </c>
      <c r="O18" s="541">
        <f t="shared" si="2"/>
        <v>8.5544704786224501E-2</v>
      </c>
      <c r="P18" s="297"/>
      <c r="Q18" s="541">
        <f t="shared" si="3"/>
        <v>3.1257459690088536E-2</v>
      </c>
      <c r="R18" s="541">
        <f t="shared" si="3"/>
        <v>2.5674594513219934E-2</v>
      </c>
      <c r="S18" s="541">
        <f t="shared" si="3"/>
        <v>5.3585779025237708E-2</v>
      </c>
      <c r="T18" s="297"/>
      <c r="U18" s="541">
        <f t="shared" si="4"/>
        <v>2.5690555033034281E-2</v>
      </c>
      <c r="V18" s="541">
        <f t="shared" si="4"/>
        <v>2.4588264509335721E-2</v>
      </c>
      <c r="W18" s="543">
        <f t="shared" si="4"/>
        <v>3.8184841245722932E-2</v>
      </c>
    </row>
    <row r="19" spans="3:23" s="278" customFormat="1">
      <c r="C19" s="976" t="s">
        <v>609</v>
      </c>
      <c r="D19" s="540"/>
      <c r="E19" s="541">
        <f t="shared" si="0"/>
        <v>6.3231952455864354E-2</v>
      </c>
      <c r="F19" s="541">
        <f t="shared" si="0"/>
        <v>7.8940045805774947E-2</v>
      </c>
      <c r="G19" s="541">
        <f t="shared" si="0"/>
        <v>5.6751196282854438E-2</v>
      </c>
      <c r="H19" s="297"/>
      <c r="I19" s="541">
        <f t="shared" si="1"/>
        <v>8.3829730272404798E-2</v>
      </c>
      <c r="J19" s="541">
        <f t="shared" si="1"/>
        <v>0.11698099058902928</v>
      </c>
      <c r="K19" s="541">
        <f t="shared" si="1"/>
        <v>8.4760899569700413E-2</v>
      </c>
      <c r="L19" s="297"/>
      <c r="M19" s="541">
        <f t="shared" si="2"/>
        <v>7.787651338682311E-2</v>
      </c>
      <c r="N19" s="541">
        <f t="shared" si="2"/>
        <v>0.11011466273781308</v>
      </c>
      <c r="O19" s="541">
        <f t="shared" si="2"/>
        <v>7.8367093412471098E-2</v>
      </c>
      <c r="P19" s="297"/>
      <c r="Q19" s="541">
        <f t="shared" si="3"/>
        <v>8.6799768955477238E-2</v>
      </c>
      <c r="R19" s="541">
        <f t="shared" si="3"/>
        <v>9.6322841066344506E-2</v>
      </c>
      <c r="S19" s="541">
        <f t="shared" si="3"/>
        <v>7.856335906885982E-2</v>
      </c>
      <c r="T19" s="297"/>
      <c r="U19" s="541">
        <f t="shared" si="4"/>
        <v>7.9499907842166512E-2</v>
      </c>
      <c r="V19" s="541">
        <f t="shared" si="4"/>
        <v>0.10108508742726906</v>
      </c>
      <c r="W19" s="543">
        <f t="shared" si="4"/>
        <v>7.5349574648952589E-2</v>
      </c>
    </row>
    <row r="20" spans="3:23">
      <c r="C20" s="425"/>
      <c r="W20" s="426"/>
    </row>
    <row r="21" spans="3:23">
      <c r="C21" s="977" t="s">
        <v>1338</v>
      </c>
      <c r="D21" s="527"/>
      <c r="E21" s="527"/>
      <c r="F21" s="527"/>
      <c r="G21" s="527"/>
      <c r="I21" s="1194">
        <f>I14/E14-1</f>
        <v>-0.34709840936899139</v>
      </c>
      <c r="J21" s="1194">
        <f t="shared" ref="J21:K21" si="5">J14/F14-1</f>
        <v>-0.42911877394636011</v>
      </c>
      <c r="K21" s="1194">
        <f t="shared" si="5"/>
        <v>-0.43054624471208303</v>
      </c>
      <c r="M21" s="1194">
        <f>M14/E14-1</f>
        <v>-0.24023335081279495</v>
      </c>
      <c r="N21" s="1194">
        <f t="shared" ref="N21:O21" si="6">N14/F14-1</f>
        <v>-0.33170658618549198</v>
      </c>
      <c r="O21" s="1194">
        <f t="shared" si="6"/>
        <v>-0.33010471809334474</v>
      </c>
      <c r="Q21" s="1194">
        <f>Q14/E14-1</f>
        <v>1.5294433248475681E-2</v>
      </c>
      <c r="R21" s="1194">
        <f t="shared" ref="R21:S21" si="7">R14/F14-1</f>
        <v>-3.0668010341781793E-2</v>
      </c>
      <c r="S21" s="1194">
        <f t="shared" si="7"/>
        <v>-4.044086725653151E-3</v>
      </c>
      <c r="U21" s="1194">
        <f>U14/E14-1</f>
        <v>9.2004587115576797E-2</v>
      </c>
      <c r="V21" s="1194">
        <f t="shared" ref="V21:W21" si="8">V14/F14-1</f>
        <v>9.142186862612367E-2</v>
      </c>
      <c r="W21" s="1194">
        <f t="shared" si="8"/>
        <v>0.12860301196256674</v>
      </c>
    </row>
    <row r="22" spans="3:23">
      <c r="C22" s="825" t="s">
        <v>599</v>
      </c>
      <c r="D22" s="527"/>
      <c r="E22" s="527"/>
      <c r="F22" s="527"/>
      <c r="G22" s="527"/>
      <c r="I22" s="978">
        <f>I11/$E11-1</f>
        <v>-0.37961486277403533</v>
      </c>
      <c r="J22" s="978">
        <f>J11/$F11-1</f>
        <v>-0.46734631123305814</v>
      </c>
      <c r="K22" s="978">
        <f>K11/$G11-1</f>
        <v>-0.4902965299684543</v>
      </c>
      <c r="M22" s="978">
        <f>M11/$E11-1</f>
        <v>-0.26919140225179117</v>
      </c>
      <c r="N22" s="978">
        <f>N11/$F11-1</f>
        <v>-0.36897130827636782</v>
      </c>
      <c r="O22" s="978">
        <f>O11/$G11-1</f>
        <v>-0.38854258675078868</v>
      </c>
      <c r="Q22" s="978">
        <f>Q11/$E11-1</f>
        <v>-2.4490899116979437E-2</v>
      </c>
      <c r="R22" s="978">
        <f>R11/$F11-1</f>
        <v>-5.950236846695145E-2</v>
      </c>
      <c r="S22" s="978">
        <f>S11/$G11-1</f>
        <v>-5.6390261862414914E-2</v>
      </c>
      <c r="U22" s="978">
        <f>U11/$E11-1</f>
        <v>6.4520385150860893E-2</v>
      </c>
      <c r="V22" s="978">
        <f>V11/$F11-1</f>
        <v>5.4522238733639705E-2</v>
      </c>
      <c r="W22" s="979">
        <f>W11/$G11-1</f>
        <v>9.2220402654230815E-2</v>
      </c>
    </row>
    <row r="23" spans="3:23">
      <c r="C23" s="825" t="s">
        <v>1180</v>
      </c>
      <c r="D23" s="527"/>
      <c r="E23" s="527"/>
      <c r="F23" s="527"/>
      <c r="G23" s="527"/>
      <c r="I23" s="978">
        <f>I12/$E12-1</f>
        <v>0.52259559675550404</v>
      </c>
      <c r="J23" s="978">
        <f>J12/$F12-1</f>
        <v>0.36870026525198929</v>
      </c>
      <c r="K23" s="978">
        <f>K12/$G12-1</f>
        <v>0.99236641221374056</v>
      </c>
      <c r="M23" s="978">
        <f>M12/$E12-1</f>
        <v>0.57937427578215517</v>
      </c>
      <c r="N23" s="978">
        <f>N12/$F12-1</f>
        <v>0.46684350132625996</v>
      </c>
      <c r="O23" s="978">
        <f>O12/$G12-1</f>
        <v>1.1026293469041559</v>
      </c>
      <c r="Q23" s="978">
        <f>Q12/$E12-1</f>
        <v>0.68304924681344126</v>
      </c>
      <c r="R23" s="978">
        <f>R12/$F12-1</f>
        <v>0.54204955833395241</v>
      </c>
      <c r="S23" s="978">
        <f>S12/$G12-1</f>
        <v>0.95817875318066181</v>
      </c>
      <c r="U23" s="978">
        <f>U12/$E12-1</f>
        <v>0.48781553418308254</v>
      </c>
      <c r="V23" s="978">
        <f>V12/$F12-1</f>
        <v>0.6628103546481432</v>
      </c>
      <c r="W23" s="979">
        <f>W12/$G12-1</f>
        <v>0.58122934319338437</v>
      </c>
    </row>
    <row r="24" spans="3:23">
      <c r="C24" s="825" t="s">
        <v>609</v>
      </c>
      <c r="D24" s="527"/>
      <c r="E24" s="527"/>
      <c r="F24" s="527"/>
      <c r="G24" s="527"/>
      <c r="I24" s="978">
        <f>I13/$E13-1</f>
        <v>-0.13441603317208017</v>
      </c>
      <c r="J24" s="978">
        <f>J13/$F13-1</f>
        <v>-0.15401301518438182</v>
      </c>
      <c r="K24" s="978">
        <f>K13/$G13-1</f>
        <v>-0.14949083503054994</v>
      </c>
      <c r="M24" s="978">
        <f>M13/$E13-1</f>
        <v>-6.4270905321354488E-2</v>
      </c>
      <c r="N24" s="978">
        <f>N13/$F13-1</f>
        <v>-6.7787418655097631E-2</v>
      </c>
      <c r="O24" s="978">
        <f>O13/$G13-1</f>
        <v>-7.4949083503054958E-2</v>
      </c>
      <c r="Q24" s="978">
        <f>Q13/$E13-1</f>
        <v>0.39371502547327486</v>
      </c>
      <c r="R24" s="978">
        <f>R13/$F13-1</f>
        <v>0.18278131495005456</v>
      </c>
      <c r="S24" s="978">
        <f>S13/$G13-1</f>
        <v>0.37874876930067725</v>
      </c>
      <c r="U24" s="978">
        <f>U13/$E13-1</f>
        <v>0.37294928698441554</v>
      </c>
      <c r="V24" s="978">
        <f>V13/$F13-1</f>
        <v>0.39759831507513543</v>
      </c>
      <c r="W24" s="979">
        <f>W13/$G13-1</f>
        <v>0.49846633144186625</v>
      </c>
    </row>
    <row r="25" spans="3:23">
      <c r="C25" s="425"/>
      <c r="W25" s="426"/>
    </row>
    <row r="26" spans="3:23">
      <c r="C26" s="576" t="s">
        <v>284</v>
      </c>
      <c r="W26" s="426"/>
    </row>
    <row r="27" spans="3:23">
      <c r="C27" s="425" t="s">
        <v>396</v>
      </c>
      <c r="E27" s="287">
        <f>'AAL KPI'!X89</f>
        <v>30881</v>
      </c>
      <c r="F27" s="287">
        <f>'DAL KPI'!X126</f>
        <v>30367</v>
      </c>
      <c r="G27" s="287">
        <f>'UAL KPI'!X80</f>
        <v>24806</v>
      </c>
      <c r="I27" s="287">
        <f>'AAL KPI'!Z89</f>
        <v>21453</v>
      </c>
      <c r="J27" s="287">
        <f>'DAL KPI'!Z126</f>
        <v>18468</v>
      </c>
      <c r="K27" s="287">
        <f>'UAL KPI'!Z80</f>
        <v>14816</v>
      </c>
      <c r="M27" s="287">
        <f>SUMIF('AAL KPI'!$E$6:$T$6,Comps!$Y$5,'AAL KPI'!$E89:$T89)+SUMIF('AAL KPI'!$E$6:$T$6,Comps!$Z$5,'AAL KPI'!$E89:$T89)+SUMIF('AAL KPI'!$E$6:$T$6,Comps!$AA$5,'AAL KPI'!$E89:$T89)+SUMIF('AAL KPI'!$E$6:$T$6,Comps!$AB$5,'AAL KPI'!$E89:$T89)</f>
        <v>24858</v>
      </c>
      <c r="N27" s="287">
        <f>SUMIF('DAL KPI'!$E$6:$T$6,Comps!$Y$5,'DAL KPI'!$E126:$T126)+SUMIF('DAL KPI'!$E$6:$T$6,Comps!$Z$5,'DAL KPI'!$E126:$T126)+SUMIF('DAL KPI'!$E$6:$T$6,Comps!$AA$5,'DAL KPI'!$E126:$T126)+SUMIF('DAL KPI'!$E$6:$T$6,Comps!$AB$5,'DAL KPI'!$E126:$T126)</f>
        <v>21751</v>
      </c>
      <c r="O27" s="287">
        <f>SUMIF('UAL KPI'!$E$6:$T$6,Comps!$Y$5,'UAL KPI'!$E80:$T80)+SUMIF('UAL KPI'!$E$6:$T$6,Comps!$Z$5,'UAL KPI'!$E80:$T80)+SUMIF('UAL KPI'!$E$6:$T$6,Comps!$AA$5,'UAL KPI'!$E80:$T80)+SUMIF('UAL KPI'!$E$6:$T$6,Comps!$AB$5,'UAL KPI'!$E80:$T80)</f>
        <v>17614</v>
      </c>
      <c r="Q27" s="287">
        <f>'AAL KPI'!AA89</f>
        <v>30823.364832377596</v>
      </c>
      <c r="R27" s="287">
        <f>'DAL KPI'!AA126</f>
        <v>30465.032889027232</v>
      </c>
      <c r="S27" s="287">
        <f>'UAL KPI'!AA80</f>
        <v>26043.990410003164</v>
      </c>
      <c r="U27" s="287">
        <f>'AAL KPI'!AB89</f>
        <v>32991.522613536799</v>
      </c>
      <c r="V27" s="287">
        <f>'DAL KPI'!AB126</f>
        <v>32880.174076945834</v>
      </c>
      <c r="W27" s="973">
        <f>'UAL KPI'!AB80</f>
        <v>28723.950788524002</v>
      </c>
    </row>
    <row r="28" spans="3:23">
      <c r="C28" s="425" t="s">
        <v>397</v>
      </c>
      <c r="E28" s="287">
        <f>'AAL KPI'!X90</f>
        <v>5047</v>
      </c>
      <c r="F28" s="287">
        <f>'DAL KPI'!X127</f>
        <v>3001</v>
      </c>
      <c r="G28" s="287">
        <f>'UAL KPI'!X81</f>
        <v>3517</v>
      </c>
      <c r="I28" s="287">
        <f>'AAL KPI'!Z90</f>
        <v>3506</v>
      </c>
      <c r="J28" s="287">
        <f>'DAL KPI'!Z127</f>
        <v>1873</v>
      </c>
      <c r="K28" s="287">
        <f>'UAL KPI'!Z81</f>
        <v>2463</v>
      </c>
      <c r="M28" s="287">
        <f>SUMIF('AAL KPI'!$E$6:$T$6,Comps!$Y$5,'AAL KPI'!$E90:$T90)+SUMIF('AAL KPI'!$E$6:$T$6,Comps!$Z$5,'AAL KPI'!$E90:$T90)+SUMIF('AAL KPI'!$E$6:$T$6,Comps!$AA$5,'AAL KPI'!$E90:$T90)+SUMIF('AAL KPI'!$E$6:$T$6,Comps!$AB$5,'AAL KPI'!$E90:$T90)</f>
        <v>4251</v>
      </c>
      <c r="N28" s="287">
        <f>SUMIF('DAL KPI'!$E$6:$T$6,Comps!$Y$5,'DAL KPI'!$E127:$T127)+SUMIF('DAL KPI'!$E$6:$T$6,Comps!$Z$5,'DAL KPI'!$E127:$T127)+SUMIF('DAL KPI'!$E$6:$T$6,Comps!$AA$5,'DAL KPI'!$E127:$T127)+SUMIF('DAL KPI'!$E$6:$T$6,Comps!$AB$5,'DAL KPI'!$E127:$T127)</f>
        <v>2289</v>
      </c>
      <c r="O28" s="287">
        <f>SUMIF('UAL KPI'!$E$6:$T$6,Comps!$Y$5,'UAL KPI'!$E81:$T81)+SUMIF('UAL KPI'!$E$6:$T$6,Comps!$Z$5,'UAL KPI'!$E81:$T81)+SUMIF('UAL KPI'!$E$6:$T$6,Comps!$AA$5,'UAL KPI'!$E81:$T81)+SUMIF('UAL KPI'!$E$6:$T$6,Comps!$AB$5,'UAL KPI'!$E81:$T81)</f>
        <v>2954</v>
      </c>
      <c r="Q28" s="287">
        <f>'AAL KPI'!AA90</f>
        <v>6036.939526404447</v>
      </c>
      <c r="R28" s="287">
        <f>'DAL KPI'!AA127</f>
        <v>2846.81789706886</v>
      </c>
      <c r="S28" s="287">
        <f>'UAL KPI'!AA81</f>
        <v>3674.4887031253293</v>
      </c>
      <c r="U28" s="287">
        <f>'AAL KPI'!AB90</f>
        <v>6249.8094457028674</v>
      </c>
      <c r="V28" s="287">
        <f>'DAL KPI'!AB127</f>
        <v>3170.9795434197617</v>
      </c>
      <c r="W28" s="973">
        <f>'UAL KPI'!AB81</f>
        <v>3942.5301607599085</v>
      </c>
    </row>
    <row r="29" spans="3:23">
      <c r="C29" s="425" t="s">
        <v>1719</v>
      </c>
      <c r="E29" s="287">
        <f>'AAL KPI'!X91</f>
        <v>4624</v>
      </c>
      <c r="F29" s="287">
        <f>'DAL KPI'!X128</f>
        <v>6381</v>
      </c>
      <c r="G29" s="287">
        <f>'UAL KPI'!X82</f>
        <v>6837</v>
      </c>
      <c r="I29" s="287">
        <f>'AAL KPI'!Z91</f>
        <v>965</v>
      </c>
      <c r="J29" s="287">
        <f>'DAL KPI'!Z128</f>
        <v>1777</v>
      </c>
      <c r="K29" s="287">
        <f>'UAL KPI'!Z82</f>
        <v>2306</v>
      </c>
      <c r="M29" s="287">
        <f>SUMIF('AAL KPI'!$E$6:$T$6,Comps!$Y$5,'AAL KPI'!$E91:$T91)+SUMIF('AAL KPI'!$E$6:$T$6,Comps!$Z$5,'AAL KPI'!$E91:$T91)+SUMIF('AAL KPI'!$E$6:$T$6,Comps!$AA$5,'AAL KPI'!$E91:$T91)+SUMIF('AAL KPI'!$E$6:$T$6,Comps!$AB$5,'AAL KPI'!$E91:$T91)</f>
        <v>1409</v>
      </c>
      <c r="N29" s="287">
        <f>SUMIF('DAL KPI'!$E$6:$T$6,Comps!$Y$5,'DAL KPI'!$E128:$T128)+SUMIF('DAL KPI'!$E$6:$T$6,Comps!$Z$5,'DAL KPI'!$E128:$T128)+SUMIF('DAL KPI'!$E$6:$T$6,Comps!$AA$5,'DAL KPI'!$E128:$T128)+SUMIF('DAL KPI'!$E$6:$T$6,Comps!$AB$5,'DAL KPI'!$E128:$T128)</f>
        <v>2174</v>
      </c>
      <c r="O29" s="287">
        <f>SUMIF('UAL KPI'!$E$6:$T$6,Comps!$Y$5,'UAL KPI'!$E82:$T82)+SUMIF('UAL KPI'!$E$6:$T$6,Comps!$Z$5,'UAL KPI'!$E82:$T82)+SUMIF('UAL KPI'!$E$6:$T$6,Comps!$AA$5,'UAL KPI'!$E82:$T82)+SUMIF('UAL KPI'!$E$6:$T$6,Comps!$AB$5,'UAL KPI'!$E82:$T82)</f>
        <v>2911</v>
      </c>
      <c r="Q29" s="287">
        <f>'AAL KPI'!AA91</f>
        <v>3496.1095936235101</v>
      </c>
      <c r="R29" s="287">
        <f>'DAL KPI'!AA128</f>
        <v>5623.8645519909833</v>
      </c>
      <c r="S29" s="287">
        <f>'UAL KPI'!AA82</f>
        <v>5093.8074575076316</v>
      </c>
      <c r="U29" s="287">
        <f>'AAL KPI'!AB91</f>
        <v>4377.4561352112669</v>
      </c>
      <c r="V29" s="287">
        <f>'DAL KPI'!AB128</f>
        <v>6907.2530219838145</v>
      </c>
      <c r="W29" s="973">
        <f>'UAL KPI'!AB82</f>
        <v>6455.222388247319</v>
      </c>
    </row>
    <row r="30" spans="3:23">
      <c r="C30" s="425" t="s">
        <v>1720</v>
      </c>
      <c r="E30" s="287">
        <f>'AAL KPI'!X92</f>
        <v>1458</v>
      </c>
      <c r="F30" s="287">
        <f>'DAL KPI'!X129</f>
        <v>2527</v>
      </c>
      <c r="G30" s="287">
        <f>'UAL KPI'!X83</f>
        <v>4465</v>
      </c>
      <c r="I30" s="287">
        <f>'AAL KPI'!Z92</f>
        <v>139</v>
      </c>
      <c r="J30" s="287">
        <f>'DAL KPI'!Z129</f>
        <v>401</v>
      </c>
      <c r="K30" s="287">
        <f>'UAL KPI'!Z83</f>
        <v>612</v>
      </c>
      <c r="M30" s="287">
        <f>SUMIF('AAL KPI'!$E$6:$T$6,Comps!$Y$5,'AAL KPI'!$E92:$T92)+SUMIF('AAL KPI'!$E$6:$T$6,Comps!$Z$5,'AAL KPI'!$E92:$T92)+SUMIF('AAL KPI'!$E$6:$T$6,Comps!$AA$5,'AAL KPI'!$E92:$T92)+SUMIF('AAL KPI'!$E$6:$T$6,Comps!$AB$5,'AAL KPI'!$E92:$T92)</f>
        <v>184</v>
      </c>
      <c r="N30" s="287">
        <f>SUMIF('DAL KPI'!$E$6:$T$6,Comps!$Y$5,'DAL KPI'!$E129:$T129)+SUMIF('DAL KPI'!$E$6:$T$6,Comps!$Z$5,'DAL KPI'!$E129:$T129)+SUMIF('DAL KPI'!$E$6:$T$6,Comps!$AA$5,'DAL KPI'!$E129:$T129)+SUMIF('DAL KPI'!$E$6:$T$6,Comps!$AB$5,'DAL KPI'!$E129:$T129)</f>
        <v>464</v>
      </c>
      <c r="O30" s="287">
        <f>SUMIF('UAL KPI'!$E$6:$T$6,Comps!$Y$5,'UAL KPI'!$E83:$T83)+SUMIF('UAL KPI'!$E$6:$T$6,Comps!$Z$5,'UAL KPI'!$E83:$T83)+SUMIF('UAL KPI'!$E$6:$T$6,Comps!$AA$5,'UAL KPI'!$E83:$T83)+SUMIF('UAL KPI'!$E$6:$T$6,Comps!$AB$5,'UAL KPI'!$E83:$T83)</f>
        <v>750</v>
      </c>
      <c r="Q30" s="287">
        <f>'AAL KPI'!AA92</f>
        <v>625.69888479102394</v>
      </c>
      <c r="R30" s="287">
        <f>'DAL KPI'!AA129</f>
        <v>825.70303023561519</v>
      </c>
      <c r="S30" s="287">
        <f>'UAL KPI'!AA83</f>
        <v>2578.2493030656806</v>
      </c>
      <c r="U30" s="287">
        <f>'AAL KPI'!AB92</f>
        <v>1102.7777061218853</v>
      </c>
      <c r="V30" s="287">
        <f>'DAL KPI'!AB129</f>
        <v>1623.6300445926786</v>
      </c>
      <c r="W30" s="973">
        <f>'UAL KPI'!AB83</f>
        <v>4157.5301176426628</v>
      </c>
    </row>
    <row r="31" spans="3:23" s="279" customFormat="1">
      <c r="C31" s="974" t="s">
        <v>997</v>
      </c>
      <c r="E31" s="966">
        <f>SUM(E27:E30)</f>
        <v>42010</v>
      </c>
      <c r="F31" s="966">
        <f>SUM(F27:F30)</f>
        <v>42276</v>
      </c>
      <c r="G31" s="966">
        <f>SUM(G27:G30)</f>
        <v>39625</v>
      </c>
      <c r="I31" s="966">
        <f>SUM(I27:I30)</f>
        <v>26063</v>
      </c>
      <c r="J31" s="966">
        <f>SUM(J27:J30)</f>
        <v>22519</v>
      </c>
      <c r="K31" s="966">
        <f>SUM(K27:K30)</f>
        <v>20197</v>
      </c>
      <c r="M31" s="966">
        <f>SUM(M27:M30)</f>
        <v>30702</v>
      </c>
      <c r="N31" s="966">
        <f>SUM(N27:N30)</f>
        <v>26678</v>
      </c>
      <c r="O31" s="966">
        <f>SUM(O27:O30)</f>
        <v>24229</v>
      </c>
      <c r="Q31" s="966">
        <f>SUM(Q27:Q30)</f>
        <v>40982.112837196575</v>
      </c>
      <c r="R31" s="966">
        <f>SUM(R27:R30)</f>
        <v>39761.418368322687</v>
      </c>
      <c r="S31" s="966">
        <f>SUM(S27:S30)</f>
        <v>37390.53587370181</v>
      </c>
      <c r="U31" s="966">
        <f>SUM(U27:U30)</f>
        <v>44721.565900572816</v>
      </c>
      <c r="V31" s="966">
        <f>SUM(V27:V30)</f>
        <v>44582.036686942083</v>
      </c>
      <c r="W31" s="518">
        <f>SUM(W27:W30)</f>
        <v>43279.233455173897</v>
      </c>
    </row>
    <row r="32" spans="3:23">
      <c r="C32" s="425"/>
      <c r="W32" s="426"/>
    </row>
    <row r="33" spans="2:23" s="278" customFormat="1">
      <c r="C33" s="977" t="s">
        <v>1338</v>
      </c>
      <c r="D33" s="751"/>
      <c r="E33" s="751"/>
      <c r="F33" s="751"/>
      <c r="G33" s="751"/>
      <c r="I33" s="751"/>
      <c r="J33" s="751"/>
      <c r="K33" s="751"/>
      <c r="M33" s="751"/>
      <c r="N33" s="751"/>
      <c r="O33" s="751"/>
      <c r="Q33" s="751"/>
      <c r="R33" s="751"/>
      <c r="S33" s="751"/>
      <c r="U33" s="751"/>
      <c r="V33" s="751"/>
      <c r="W33" s="826"/>
    </row>
    <row r="34" spans="2:23" s="278" customFormat="1">
      <c r="C34" s="825" t="s">
        <v>396</v>
      </c>
      <c r="D34" s="751"/>
      <c r="E34" s="751"/>
      <c r="F34" s="751"/>
      <c r="G34" s="751"/>
      <c r="I34" s="590">
        <f>I27/$E27-1</f>
        <v>-0.30530099413879086</v>
      </c>
      <c r="J34" s="590">
        <f>J27/$F27-1</f>
        <v>-0.39183982612704582</v>
      </c>
      <c r="K34" s="590">
        <f>K27/$G27-1</f>
        <v>-0.40272514714182051</v>
      </c>
      <c r="M34" s="590">
        <f>M27/$E27-1</f>
        <v>-0.19503902075709989</v>
      </c>
      <c r="N34" s="590">
        <f>N27/$F27-1</f>
        <v>-0.28372904797971488</v>
      </c>
      <c r="O34" s="590">
        <f>O27/$G27-1</f>
        <v>-0.28992985568007745</v>
      </c>
      <c r="Q34" s="590">
        <f>Q27/$E27-1</f>
        <v>-1.8663633827403769E-3</v>
      </c>
      <c r="R34" s="590">
        <f>R27/$F27-1</f>
        <v>3.2282704589599032E-3</v>
      </c>
      <c r="S34" s="590">
        <f>S27/$G27-1</f>
        <v>4.9906893896765503E-2</v>
      </c>
      <c r="U34" s="590">
        <f>U27/$E27-1</f>
        <v>6.834372635396524E-2</v>
      </c>
      <c r="V34" s="590">
        <f>V27/$F27-1</f>
        <v>8.2760038098786071E-2</v>
      </c>
      <c r="W34" s="980">
        <f>W27/$G27-1</f>
        <v>0.15794367445472868</v>
      </c>
    </row>
    <row r="35" spans="2:23" s="278" customFormat="1">
      <c r="C35" s="825" t="s">
        <v>397</v>
      </c>
      <c r="D35" s="751"/>
      <c r="E35" s="751"/>
      <c r="F35" s="751"/>
      <c r="G35" s="751"/>
      <c r="I35" s="590">
        <f>I28/$E28-1</f>
        <v>-0.30532989894987117</v>
      </c>
      <c r="J35" s="590">
        <f>J28/$F28-1</f>
        <v>-0.37587470843052317</v>
      </c>
      <c r="K35" s="590">
        <f>K28/$G28-1</f>
        <v>-0.29968723343758885</v>
      </c>
      <c r="M35" s="590">
        <f>M28/$E28-1</f>
        <v>-0.15771745591440456</v>
      </c>
      <c r="N35" s="590">
        <f>N28/$F28-1</f>
        <v>-0.23725424858380539</v>
      </c>
      <c r="O35" s="590">
        <f>O28/$G28-1</f>
        <v>-0.16007961330679554</v>
      </c>
      <c r="Q35" s="590">
        <f>Q28/$E28-1</f>
        <v>0.19614415026836673</v>
      </c>
      <c r="R35" s="590">
        <f>R28/$F28-1</f>
        <v>-5.1376908674155231E-2</v>
      </c>
      <c r="S35" s="590">
        <f>S28/$G28-1</f>
        <v>4.4779272995544295E-2</v>
      </c>
      <c r="U35" s="590">
        <f>U28/$E28-1</f>
        <v>0.23832166548501443</v>
      </c>
      <c r="V35" s="590">
        <f>V28/$F28-1</f>
        <v>5.6640967484092641E-2</v>
      </c>
      <c r="W35" s="980">
        <f>W28/$G28-1</f>
        <v>0.12099236871194452</v>
      </c>
    </row>
    <row r="36" spans="2:23" s="278" customFormat="1">
      <c r="C36" s="825" t="s">
        <v>1719</v>
      </c>
      <c r="D36" s="751"/>
      <c r="E36" s="751"/>
      <c r="F36" s="751"/>
      <c r="G36" s="751"/>
      <c r="I36" s="590">
        <f>I29/$E29-1</f>
        <v>-0.79130622837370246</v>
      </c>
      <c r="J36" s="590">
        <f>J29/$F29-1</f>
        <v>-0.7215170036044507</v>
      </c>
      <c r="K36" s="590">
        <f>K29/$G29-1</f>
        <v>-0.6627175661839988</v>
      </c>
      <c r="M36" s="590">
        <f>M29/$E29-1</f>
        <v>-0.69528546712802775</v>
      </c>
      <c r="N36" s="590">
        <f>N29/$F29-1</f>
        <v>-0.65930104999216421</v>
      </c>
      <c r="O36" s="590">
        <f>O29/$G29-1</f>
        <v>-0.57422846277607142</v>
      </c>
      <c r="Q36" s="590">
        <f>Q29/$E29-1</f>
        <v>-0.24392093563505401</v>
      </c>
      <c r="R36" s="590">
        <f>R29/$F29-1</f>
        <v>-0.1186546698023847</v>
      </c>
      <c r="S36" s="590">
        <f>S29/$G29-1</f>
        <v>-0.25496453744220682</v>
      </c>
      <c r="U36" s="590">
        <f>U29/$E29-1</f>
        <v>-5.3318309859155089E-2</v>
      </c>
      <c r="V36" s="590">
        <f>V29/$F29-1</f>
        <v>8.2471873058112211E-2</v>
      </c>
      <c r="W36" s="980">
        <f>W29/$G29-1</f>
        <v>-5.5839931512751351E-2</v>
      </c>
    </row>
    <row r="37" spans="2:23" s="278" customFormat="1">
      <c r="C37" s="825" t="s">
        <v>1720</v>
      </c>
      <c r="D37" s="751"/>
      <c r="E37" s="751"/>
      <c r="F37" s="751"/>
      <c r="G37" s="751"/>
      <c r="I37" s="590">
        <f>I30/$E30-1</f>
        <v>-0.90466392318244171</v>
      </c>
      <c r="J37" s="590">
        <f>J30/$F30-1</f>
        <v>-0.84131381084289669</v>
      </c>
      <c r="K37" s="590">
        <f>K30/$G30-1</f>
        <v>-0.86293393057110857</v>
      </c>
      <c r="M37" s="590">
        <f>M30/$E30-1</f>
        <v>-0.87379972565157749</v>
      </c>
      <c r="N37" s="590">
        <f>N30/$F30-1</f>
        <v>-0.81638306292045904</v>
      </c>
      <c r="O37" s="590">
        <f>O30/$G30-1</f>
        <v>-0.83202687569988798</v>
      </c>
      <c r="Q37" s="590">
        <f>Q30/$E30-1</f>
        <v>-0.57085124499929774</v>
      </c>
      <c r="R37" s="590">
        <f>R30/$F30-1</f>
        <v>-0.67324771260957061</v>
      </c>
      <c r="S37" s="590">
        <f>S30/$G30-1</f>
        <v>-0.42256454578596181</v>
      </c>
      <c r="U37" s="590">
        <f>U30/$E30-1</f>
        <v>-0.24363668990268494</v>
      </c>
      <c r="V37" s="590">
        <f>V30/$F30-1</f>
        <v>-0.35748712125339188</v>
      </c>
      <c r="W37" s="980">
        <f>W30/$G30-1</f>
        <v>-6.8862235690333118E-2</v>
      </c>
    </row>
    <row r="38" spans="2:23" s="392" customFormat="1">
      <c r="C38" s="981" t="s">
        <v>1173</v>
      </c>
      <c r="D38" s="612"/>
      <c r="E38" s="612"/>
      <c r="F38" s="612"/>
      <c r="G38" s="612"/>
      <c r="I38" s="982">
        <f>I31/$E31-1</f>
        <v>-0.37960009521542493</v>
      </c>
      <c r="J38" s="982">
        <f>J31/$F31-1</f>
        <v>-0.46733371179865646</v>
      </c>
      <c r="K38" s="982">
        <f>K31/$G31-1</f>
        <v>-0.4902965299684543</v>
      </c>
      <c r="M38" s="982">
        <f>M31/$E31-1</f>
        <v>-0.26917400618900267</v>
      </c>
      <c r="N38" s="982">
        <f>N31/$F31-1</f>
        <v>-0.36895638187151103</v>
      </c>
      <c r="O38" s="982">
        <f>O31/$G31-1</f>
        <v>-0.38854258675078868</v>
      </c>
      <c r="Q38" s="982">
        <f>Q31/$E31-1</f>
        <v>-2.4467678238596191E-2</v>
      </c>
      <c r="R38" s="982">
        <f>R31/$F31-1</f>
        <v>-5.9480121858201174E-2</v>
      </c>
      <c r="S38" s="982">
        <f>S31/$G31-1</f>
        <v>-5.6390261862414914E-2</v>
      </c>
      <c r="U38" s="982">
        <f>U31/$E31-1</f>
        <v>6.454572484105725E-2</v>
      </c>
      <c r="V38" s="982">
        <f>V31/$F31-1</f>
        <v>5.4547182489877999E-2</v>
      </c>
      <c r="W38" s="983">
        <f>W31/$G31-1</f>
        <v>9.2220402654230815E-2</v>
      </c>
    </row>
    <row r="39" spans="2:23" s="278" customFormat="1">
      <c r="C39" s="573"/>
      <c r="W39" s="574"/>
    </row>
    <row r="40" spans="2:23" s="278" customFormat="1">
      <c r="C40" s="975" t="s">
        <v>1724</v>
      </c>
      <c r="D40" s="540"/>
      <c r="E40" s="540"/>
      <c r="F40" s="540"/>
      <c r="G40" s="540"/>
      <c r="I40" s="540"/>
      <c r="J40" s="540"/>
      <c r="K40" s="540"/>
      <c r="M40" s="540"/>
      <c r="N40" s="540"/>
      <c r="O40" s="540"/>
      <c r="Q40" s="540"/>
      <c r="R40" s="540"/>
      <c r="S40" s="540"/>
      <c r="U40" s="540"/>
      <c r="V40" s="540"/>
      <c r="W40" s="542"/>
    </row>
    <row r="41" spans="2:23" s="278" customFormat="1">
      <c r="C41" s="976" t="s">
        <v>396</v>
      </c>
      <c r="D41" s="540"/>
      <c r="E41" s="541">
        <f t="shared" ref="E41:G44" si="9">E27/E$31</f>
        <v>0.73508688407522016</v>
      </c>
      <c r="F41" s="541">
        <f t="shared" si="9"/>
        <v>0.71830352918913809</v>
      </c>
      <c r="G41" s="541">
        <f t="shared" si="9"/>
        <v>0.62601892744479493</v>
      </c>
      <c r="I41" s="541">
        <f t="shared" ref="I41:K44" si="10">I27/I$31</f>
        <v>0.82312089935924493</v>
      </c>
      <c r="J41" s="541">
        <f t="shared" si="10"/>
        <v>0.82010746480749586</v>
      </c>
      <c r="K41" s="541">
        <f t="shared" si="10"/>
        <v>0.73357429321186318</v>
      </c>
      <c r="L41" s="297"/>
      <c r="M41" s="541">
        <f t="shared" ref="M41:O44" si="11">M27/M$31</f>
        <v>0.80965409419581791</v>
      </c>
      <c r="N41" s="541">
        <f t="shared" si="11"/>
        <v>0.81531599070395078</v>
      </c>
      <c r="O41" s="541">
        <f t="shared" si="11"/>
        <v>0.72698006521111069</v>
      </c>
      <c r="P41" s="297"/>
      <c r="Q41" s="541">
        <f t="shared" ref="Q41:S44" si="12">Q27/Q$31</f>
        <v>0.75211751416587291</v>
      </c>
      <c r="R41" s="541">
        <f t="shared" si="12"/>
        <v>0.76619582849937407</v>
      </c>
      <c r="S41" s="541">
        <f t="shared" si="12"/>
        <v>0.69653964035110005</v>
      </c>
      <c r="T41" s="297"/>
      <c r="U41" s="541">
        <f t="shared" ref="U41:W44" si="13">U27/U$31</f>
        <v>0.73770946855674002</v>
      </c>
      <c r="V41" s="541">
        <f t="shared" si="13"/>
        <v>0.73752068143123473</v>
      </c>
      <c r="W41" s="543">
        <f t="shared" si="13"/>
        <v>0.66368899112491431</v>
      </c>
    </row>
    <row r="42" spans="2:23" s="278" customFormat="1">
      <c r="C42" s="976" t="s">
        <v>397</v>
      </c>
      <c r="D42" s="540"/>
      <c r="E42" s="541">
        <f t="shared" si="9"/>
        <v>0.1201380623661033</v>
      </c>
      <c r="F42" s="541">
        <f t="shared" si="9"/>
        <v>7.0985902166713979E-2</v>
      </c>
      <c r="G42" s="541">
        <f t="shared" si="9"/>
        <v>8.8757097791798106E-2</v>
      </c>
      <c r="I42" s="541">
        <f t="shared" si="10"/>
        <v>0.13452020105129878</v>
      </c>
      <c r="J42" s="541">
        <f t="shared" si="10"/>
        <v>8.3174208446200992E-2</v>
      </c>
      <c r="K42" s="541">
        <f t="shared" si="10"/>
        <v>0.12194880427786305</v>
      </c>
      <c r="L42" s="297"/>
      <c r="M42" s="541">
        <f t="shared" si="11"/>
        <v>0.13846003517686145</v>
      </c>
      <c r="N42" s="541">
        <f t="shared" si="11"/>
        <v>8.5801034560311865E-2</v>
      </c>
      <c r="O42" s="541">
        <f t="shared" si="11"/>
        <v>0.12192001320731355</v>
      </c>
      <c r="P42" s="297"/>
      <c r="Q42" s="541">
        <f t="shared" si="12"/>
        <v>0.14730669329779264</v>
      </c>
      <c r="R42" s="541">
        <f t="shared" si="12"/>
        <v>7.1597493597886239E-2</v>
      </c>
      <c r="S42" s="541">
        <f t="shared" si="12"/>
        <v>9.8273229234720261E-2</v>
      </c>
      <c r="T42" s="297"/>
      <c r="U42" s="541">
        <f t="shared" si="13"/>
        <v>0.13974934284720153</v>
      </c>
      <c r="V42" s="541">
        <f t="shared" si="13"/>
        <v>7.1126843434421425E-2</v>
      </c>
      <c r="W42" s="543">
        <f t="shared" si="13"/>
        <v>9.1095193838018201E-2</v>
      </c>
    </row>
    <row r="43" spans="2:23" s="278" customFormat="1">
      <c r="C43" s="976" t="s">
        <v>1719</v>
      </c>
      <c r="D43" s="540"/>
      <c r="E43" s="541">
        <f t="shared" si="9"/>
        <v>0.11006903118305165</v>
      </c>
      <c r="F43" s="541">
        <f t="shared" si="9"/>
        <v>0.15093670167470905</v>
      </c>
      <c r="G43" s="541">
        <f t="shared" si="9"/>
        <v>0.17254258675078865</v>
      </c>
      <c r="I43" s="541">
        <f t="shared" si="10"/>
        <v>3.7025668572305569E-2</v>
      </c>
      <c r="J43" s="541">
        <f t="shared" si="10"/>
        <v>7.8911141702562276E-2</v>
      </c>
      <c r="K43" s="541">
        <f t="shared" si="10"/>
        <v>0.11417537258008616</v>
      </c>
      <c r="L43" s="297"/>
      <c r="M43" s="541">
        <f t="shared" si="11"/>
        <v>4.5892775714937141E-2</v>
      </c>
      <c r="N43" s="541">
        <f t="shared" si="11"/>
        <v>8.1490366594197464E-2</v>
      </c>
      <c r="O43" s="541">
        <f t="shared" si="11"/>
        <v>0.12014528044904867</v>
      </c>
      <c r="P43" s="297"/>
      <c r="Q43" s="541">
        <f t="shared" si="12"/>
        <v>8.5308183292354262E-2</v>
      </c>
      <c r="R43" s="541">
        <f t="shared" si="12"/>
        <v>0.14144023988016055</v>
      </c>
      <c r="S43" s="541">
        <f t="shared" si="12"/>
        <v>0.13623253420901893</v>
      </c>
      <c r="T43" s="297"/>
      <c r="U43" s="541">
        <f t="shared" si="13"/>
        <v>9.7882443225343285E-2</v>
      </c>
      <c r="V43" s="541">
        <f t="shared" si="13"/>
        <v>0.15493354577959251</v>
      </c>
      <c r="W43" s="543">
        <f t="shared" si="13"/>
        <v>0.14915288171481275</v>
      </c>
    </row>
    <row r="44" spans="2:23" s="278" customFormat="1" ht="10.9" thickBot="1">
      <c r="C44" s="984" t="s">
        <v>1720</v>
      </c>
      <c r="D44" s="544"/>
      <c r="E44" s="545">
        <f t="shared" si="9"/>
        <v>3.4706022375624854E-2</v>
      </c>
      <c r="F44" s="545">
        <f t="shared" si="9"/>
        <v>5.9773866969438927E-2</v>
      </c>
      <c r="G44" s="545">
        <f t="shared" si="9"/>
        <v>0.1126813880126183</v>
      </c>
      <c r="H44" s="774"/>
      <c r="I44" s="545">
        <f t="shared" si="10"/>
        <v>5.3332310171507503E-3</v>
      </c>
      <c r="J44" s="545">
        <f t="shared" si="10"/>
        <v>1.780718504374084E-2</v>
      </c>
      <c r="K44" s="545">
        <f t="shared" si="10"/>
        <v>3.0301529930187653E-2</v>
      </c>
      <c r="L44" s="775"/>
      <c r="M44" s="545">
        <f t="shared" si="11"/>
        <v>5.9930949123835585E-3</v>
      </c>
      <c r="N44" s="545">
        <f t="shared" si="11"/>
        <v>1.7392608141539846E-2</v>
      </c>
      <c r="O44" s="545">
        <f t="shared" si="11"/>
        <v>3.0954641132527137E-2</v>
      </c>
      <c r="P44" s="775"/>
      <c r="Q44" s="545">
        <f t="shared" si="12"/>
        <v>1.5267609243980245E-2</v>
      </c>
      <c r="R44" s="545">
        <f t="shared" si="12"/>
        <v>2.0766438022579197E-2</v>
      </c>
      <c r="S44" s="545">
        <f t="shared" si="12"/>
        <v>6.8954596205160618E-2</v>
      </c>
      <c r="T44" s="775"/>
      <c r="U44" s="545">
        <f t="shared" si="13"/>
        <v>2.4658745370715215E-2</v>
      </c>
      <c r="V44" s="545">
        <f t="shared" si="13"/>
        <v>3.6418929354751391E-2</v>
      </c>
      <c r="W44" s="546">
        <f t="shared" si="13"/>
        <v>9.6062933322254657E-2</v>
      </c>
    </row>
    <row r="45" spans="2:23" ht="10.9" thickBot="1"/>
    <row r="46" spans="2:23">
      <c r="B46" s="253" t="s">
        <v>133</v>
      </c>
      <c r="C46" s="972" t="s">
        <v>88</v>
      </c>
      <c r="D46" s="473"/>
      <c r="E46" s="985">
        <f>'AAL KPI'!X25</f>
        <v>5687</v>
      </c>
      <c r="F46" s="985">
        <f>'DAL KPI'!X28</f>
        <v>10860</v>
      </c>
      <c r="G46" s="985">
        <f>'UAL KPI'!X28</f>
        <v>6808</v>
      </c>
      <c r="H46" s="473"/>
      <c r="I46" s="985">
        <f>'AAL KPI'!Z25</f>
        <v>-3496</v>
      </c>
      <c r="J46" s="985">
        <f>'DAL KPI'!Z28</f>
        <v>-529</v>
      </c>
      <c r="K46" s="985">
        <f>'UAL KPI'!Z28</f>
        <v>-1783</v>
      </c>
      <c r="L46" s="473"/>
      <c r="M46" s="985">
        <f>SUMIF('AAL KPI'!$E$6:$T$6,Comps!$Y$5,'AAL KPI'!$E25:$T25)+SUMIF('AAL KPI'!$E$6:$T$6,Comps!$Z$5,'AAL KPI'!$E25:$T25)+SUMIF('AAL KPI'!$E$6:$T$6,Comps!$AA$5,'AAL KPI'!$E25:$T25)+SUMIF('AAL KPI'!$E$6:$T$6,Comps!$AB$5,'AAL KPI'!$E25:$T25)</f>
        <v>-1810</v>
      </c>
      <c r="N46" s="985">
        <f>SUMIF('DAL KPI'!$E$6:$T$6,Comps!$Y$5,'DAL KPI'!$E28:$T28)+SUMIF('DAL KPI'!$E$6:$T$6,Comps!$Z$5,'DAL KPI'!$E28:$T28)+SUMIF('DAL KPI'!$E$6:$T$6,Comps!$AA$5,'DAL KPI'!$E28:$T28)+SUMIF('DAL KPI'!$E$6:$T$6,Comps!$AB$5,'DAL KPI'!$E28:$T28)</f>
        <v>1343</v>
      </c>
      <c r="O46" s="985">
        <f>SUMIF('UAL KPI'!$E$6:$T$6,Comps!$Y$5,'UAL KPI'!$E28:$T28)+SUMIF('UAL KPI'!$E$6:$T$6,Comps!$Z$5,'UAL KPI'!$E28:$T28)+SUMIF('UAL KPI'!$E$6:$T$6,Comps!$AA$5,'UAL KPI'!$E28:$T28)+SUMIF('UAL KPI'!$E$6:$T$6,Comps!$AB$5,'UAL KPI'!$E28:$T28)</f>
        <v>-422</v>
      </c>
      <c r="P46" s="473"/>
      <c r="Q46" s="985">
        <f>'AAL KPI'!AA25</f>
        <v>325.45481581396871</v>
      </c>
      <c r="R46" s="985">
        <f ca="1">'DAL KPI'!AA28</f>
        <v>5460.9977133320263</v>
      </c>
      <c r="S46" s="985">
        <f>'UAL KPI'!AA28</f>
        <v>2332.7302271760864</v>
      </c>
      <c r="T46" s="473"/>
      <c r="U46" s="985">
        <f>'AAL KPI'!AB25</f>
        <v>4450.5951015236624</v>
      </c>
      <c r="V46" s="985">
        <f>'DAL KPI'!AB28</f>
        <v>7847.0717927105297</v>
      </c>
      <c r="W46" s="1006">
        <f>'UAL KPI'!AB28</f>
        <v>5893.2643915403924</v>
      </c>
    </row>
    <row r="47" spans="2:23" s="656" customFormat="1" ht="2.2000000000000002" customHeight="1">
      <c r="C47" s="986"/>
      <c r="D47" s="987"/>
      <c r="E47" s="987"/>
      <c r="F47" s="987"/>
      <c r="G47" s="987"/>
      <c r="H47" s="988"/>
      <c r="I47" s="987"/>
      <c r="J47" s="987"/>
      <c r="K47" s="987"/>
      <c r="L47" s="988"/>
      <c r="M47" s="987"/>
      <c r="N47" s="987"/>
      <c r="O47" s="987"/>
      <c r="P47" s="988"/>
      <c r="Q47" s="987"/>
      <c r="R47" s="987"/>
      <c r="S47" s="987"/>
      <c r="T47" s="988"/>
      <c r="U47" s="987"/>
      <c r="V47" s="987"/>
      <c r="W47" s="989"/>
    </row>
    <row r="48" spans="2:23" s="278" customFormat="1" ht="10.9" thickBot="1">
      <c r="C48" s="619" t="s">
        <v>1717</v>
      </c>
      <c r="D48" s="774"/>
      <c r="E48" s="775">
        <f>E46/E14</f>
        <v>0.12425712288061527</v>
      </c>
      <c r="F48" s="775">
        <f>F46/F14</f>
        <v>0.23245360559943493</v>
      </c>
      <c r="G48" s="775">
        <f>G46/G14</f>
        <v>0.15737765551677108</v>
      </c>
      <c r="H48" s="774"/>
      <c r="I48" s="775">
        <f>I46/I14</f>
        <v>-0.11699350779733619</v>
      </c>
      <c r="J48" s="775">
        <f>J46/J14</f>
        <v>-1.9834276929998874E-2</v>
      </c>
      <c r="K48" s="775">
        <f>K46/K14</f>
        <v>-7.2379637898839E-2</v>
      </c>
      <c r="L48" s="774"/>
      <c r="M48" s="775">
        <f>M46/M14</f>
        <v>-5.2051879331665371E-2</v>
      </c>
      <c r="N48" s="775">
        <f>N46/N14</f>
        <v>4.3014541028761767E-2</v>
      </c>
      <c r="O48" s="775">
        <f>O46/O14</f>
        <v>-1.456226922944201E-2</v>
      </c>
      <c r="P48" s="774"/>
      <c r="Q48" s="775">
        <f>Q46/Q14</f>
        <v>7.0038488095982036E-3</v>
      </c>
      <c r="R48" s="775">
        <f ca="1">R46/R14</f>
        <v>0.12058850497193462</v>
      </c>
      <c r="S48" s="775">
        <f>S46/S14</f>
        <v>5.4143699493555519E-2</v>
      </c>
      <c r="T48" s="774"/>
      <c r="U48" s="775">
        <f>U46/U14</f>
        <v>8.9049541592041564E-2</v>
      </c>
      <c r="V48" s="775">
        <f>V46/V14</f>
        <v>0.15389391081011222</v>
      </c>
      <c r="W48" s="1007">
        <f>W46/W14</f>
        <v>0.12070860881916635</v>
      </c>
    </row>
    <row r="49" spans="2:23" s="278" customFormat="1">
      <c r="E49" s="297"/>
      <c r="F49" s="297"/>
      <c r="G49" s="297"/>
      <c r="M49" s="297"/>
      <c r="N49" s="297"/>
      <c r="O49" s="297"/>
    </row>
    <row r="50" spans="2:23" s="278" customFormat="1">
      <c r="B50" s="276"/>
      <c r="C50" s="276" t="s">
        <v>232</v>
      </c>
      <c r="D50" s="276"/>
      <c r="E50" s="963">
        <v>2019</v>
      </c>
      <c r="F50" s="963"/>
      <c r="G50" s="963"/>
      <c r="H50" s="253"/>
      <c r="I50" s="963">
        <f>E50+2</f>
        <v>2021</v>
      </c>
      <c r="J50" s="963"/>
      <c r="K50" s="963"/>
      <c r="L50" s="253"/>
      <c r="M50" s="967" t="s">
        <v>141</v>
      </c>
      <c r="N50" s="967"/>
      <c r="O50" s="967"/>
      <c r="P50" s="253"/>
      <c r="Q50" s="965">
        <f>I50+1</f>
        <v>2022</v>
      </c>
      <c r="R50" s="963"/>
      <c r="S50" s="963"/>
      <c r="T50" s="253"/>
      <c r="U50" s="965">
        <f>Q50+1</f>
        <v>2023</v>
      </c>
      <c r="V50" s="963"/>
      <c r="W50" s="963"/>
    </row>
    <row r="51" spans="2:23" s="278" customFormat="1" ht="10.9" thickBot="1">
      <c r="B51" s="262"/>
      <c r="C51" s="262" t="s">
        <v>1715</v>
      </c>
      <c r="D51" s="262"/>
      <c r="E51" s="264" t="s">
        <v>1314</v>
      </c>
      <c r="F51" s="264" t="s">
        <v>1315</v>
      </c>
      <c r="G51" s="264" t="s">
        <v>1316</v>
      </c>
      <c r="H51" s="253"/>
      <c r="I51" s="264" t="s">
        <v>1314</v>
      </c>
      <c r="J51" s="264" t="s">
        <v>1315</v>
      </c>
      <c r="K51" s="264" t="s">
        <v>1316</v>
      </c>
      <c r="L51" s="253"/>
      <c r="M51" s="264" t="s">
        <v>1314</v>
      </c>
      <c r="N51" s="264" t="s">
        <v>1315</v>
      </c>
      <c r="O51" s="264" t="s">
        <v>1316</v>
      </c>
      <c r="P51" s="253"/>
      <c r="Q51" s="264" t="s">
        <v>1314</v>
      </c>
      <c r="R51" s="264" t="s">
        <v>1315</v>
      </c>
      <c r="S51" s="264" t="s">
        <v>1316</v>
      </c>
      <c r="T51" s="253"/>
      <c r="U51" s="264" t="s">
        <v>1314</v>
      </c>
      <c r="V51" s="264" t="s">
        <v>1315</v>
      </c>
      <c r="W51" s="264" t="s">
        <v>1316</v>
      </c>
    </row>
    <row r="52" spans="2:23">
      <c r="B52" s="253" t="s">
        <v>133</v>
      </c>
      <c r="C52" s="972" t="s">
        <v>1712</v>
      </c>
      <c r="D52" s="473"/>
      <c r="E52" s="473"/>
      <c r="F52" s="473"/>
      <c r="G52" s="473"/>
      <c r="H52" s="473"/>
      <c r="I52" s="473"/>
      <c r="J52" s="473"/>
      <c r="K52" s="473"/>
      <c r="L52" s="473"/>
      <c r="M52" s="473"/>
      <c r="N52" s="473"/>
      <c r="O52" s="473"/>
      <c r="P52" s="473"/>
      <c r="Q52" s="473"/>
      <c r="R52" s="473"/>
      <c r="S52" s="473"/>
      <c r="T52" s="473"/>
      <c r="U52" s="473"/>
      <c r="V52" s="473"/>
      <c r="W52" s="474"/>
    </row>
    <row r="53" spans="2:23">
      <c r="C53" s="425" t="s">
        <v>396</v>
      </c>
      <c r="E53" s="287">
        <f>'AAL KPI'!X117</f>
        <v>189.221</v>
      </c>
      <c r="F53" s="287">
        <f>'DAL KPI'!X160</f>
        <v>174.39778428800003</v>
      </c>
      <c r="G53" s="287">
        <f>'UAL KPI'!X107</f>
        <v>161.49200000000002</v>
      </c>
      <c r="I53" s="287">
        <f>'AAL KPI'!Z117</f>
        <v>161.72399999999999</v>
      </c>
      <c r="J53" s="287">
        <f>'DAL KPI'!Z160</f>
        <v>143.3041056356</v>
      </c>
      <c r="K53" s="287">
        <f>'UAL KPI'!Z107</f>
        <v>112.901</v>
      </c>
      <c r="M53" s="287">
        <f>SUMIF('AAL KPI'!$E$6:$T$6,Comps!$Y$5,'AAL KPI'!$E117:$T117)+SUMIF('AAL KPI'!$E$6:$T$6,Comps!$Z$5,'AAL KPI'!$E117:$T117)+SUMIF('AAL KPI'!$E$6:$T$6,Comps!$AA$5,'AAL KPI'!$E117:$T117)+SUMIF('AAL KPI'!$E$6:$T$6,Comps!$AB$5,'AAL KPI'!$E117:$T117)</f>
        <v>175.64499999999998</v>
      </c>
      <c r="N53" s="287">
        <f>SUMIF('DAL KPI'!$E$6:$T$6,Comps!$Y$5,'DAL KPI'!$E160:$T160)+SUMIF('DAL KPI'!$E$6:$T$6,Comps!$Z$5,'DAL KPI'!$E160:$T160)+SUMIF('DAL KPI'!$E$6:$T$6,Comps!$AA$5,'DAL KPI'!$E160:$T160)+SUMIF('DAL KPI'!$E$6:$T$6,Comps!$AB$5,'DAL KPI'!$E160:$T160)</f>
        <v>151.64731316560002</v>
      </c>
      <c r="O53" s="287">
        <f>SUMIF('UAL KPI'!$E$6:$T$6,Comps!$Y$5,'UAL KPI'!$E107:$T107)+SUMIF('UAL KPI'!$E$6:$T$6,Comps!$Z$5,'UAL KPI'!$E107:$T107)+SUMIF('UAL KPI'!$E$6:$T$6,Comps!$AA$5,'UAL KPI'!$E107:$T107)+SUMIF('UAL KPI'!$E$6:$T$6,Comps!$AB$5,'UAL KPI'!$E107:$T107)</f>
        <v>127.29300000000001</v>
      </c>
      <c r="Q53" s="287">
        <f>'AAL KPI'!AA117</f>
        <v>184.61538999999999</v>
      </c>
      <c r="R53" s="287">
        <f>'DAL KPI'!AA160</f>
        <v>163.89894574418003</v>
      </c>
      <c r="S53" s="287">
        <f>'UAL KPI'!AA107</f>
        <v>159.27666000000002</v>
      </c>
      <c r="U53" s="287">
        <f>'AAL KPI'!AB117</f>
        <v>193.00542000000002</v>
      </c>
      <c r="V53" s="287">
        <f>'DAL KPI'!AB160</f>
        <v>183.11767350240004</v>
      </c>
      <c r="W53" s="973">
        <f>'UAL KPI'!AB107</f>
        <v>177.64120000000003</v>
      </c>
    </row>
    <row r="54" spans="2:23">
      <c r="C54" s="425" t="s">
        <v>397</v>
      </c>
      <c r="E54" s="287">
        <f>'AAL KPI'!X118</f>
        <v>36.654000000000003</v>
      </c>
      <c r="F54" s="287">
        <f>'DAL KPI'!X161</f>
        <v>23.202750079999998</v>
      </c>
      <c r="G54" s="287">
        <f>'UAL KPI'!X108</f>
        <v>27.267000000000003</v>
      </c>
      <c r="I54" s="287">
        <f>'AAL KPI'!Z118</f>
        <v>33.152000000000001</v>
      </c>
      <c r="J54" s="287">
        <f>'DAL KPI'!Z161</f>
        <v>21.285734589600001</v>
      </c>
      <c r="K54" s="287">
        <f>'UAL KPI'!Z108</f>
        <v>25.776</v>
      </c>
      <c r="M54" s="287">
        <f>SUMIF('AAL KPI'!$E$6:$T$6,Comps!$Y$5,'AAL KPI'!$E118:$T118)+SUMIF('AAL KPI'!$E$6:$T$6,Comps!$Z$5,'AAL KPI'!$E118:$T118)+SUMIF('AAL KPI'!$E$6:$T$6,Comps!$AA$5,'AAL KPI'!$E118:$T118)+SUMIF('AAL KPI'!$E$6:$T$6,Comps!$AB$5,'AAL KPI'!$E118:$T118)</f>
        <v>35.597000000000001</v>
      </c>
      <c r="N54" s="287">
        <f>SUMIF('DAL KPI'!$E$6:$T$6,Comps!$Y$5,'DAL KPI'!$E161:$T161)+SUMIF('DAL KPI'!$E$6:$T$6,Comps!$Z$5,'DAL KPI'!$E161:$T161)+SUMIF('DAL KPI'!$E$6:$T$6,Comps!$AA$5,'DAL KPI'!$E161:$T161)+SUMIF('DAL KPI'!$E$6:$T$6,Comps!$AB$5,'DAL KPI'!$E161:$T161)</f>
        <v>21.216885789599999</v>
      </c>
      <c r="O54" s="287">
        <f>SUMIF('UAL KPI'!$E$6:$T$6,Comps!$Y$5,'UAL KPI'!$E108:$T108)+SUMIF('UAL KPI'!$E$6:$T$6,Comps!$Z$5,'UAL KPI'!$E108:$T108)+SUMIF('UAL KPI'!$E$6:$T$6,Comps!$AA$5,'UAL KPI'!$E108:$T108)+SUMIF('UAL KPI'!$E$6:$T$6,Comps!$AB$5,'UAL KPI'!$E108:$T108)</f>
        <v>28.263999999999999</v>
      </c>
      <c r="Q54" s="287">
        <f>'AAL KPI'!AA118</f>
        <v>42.960549999999998</v>
      </c>
      <c r="R54" s="287">
        <f>'DAL KPI'!AA161</f>
        <v>21.288979008799998</v>
      </c>
      <c r="S54" s="287">
        <f>'UAL KPI'!AA108</f>
        <v>28.81241</v>
      </c>
      <c r="U54" s="287">
        <f>'AAL KPI'!AB118</f>
        <v>43.9848</v>
      </c>
      <c r="V54" s="287">
        <f>'DAL KPI'!AB161</f>
        <v>23.6668050816</v>
      </c>
      <c r="W54" s="973">
        <f>'UAL KPI'!AB108</f>
        <v>29.312025000000002</v>
      </c>
    </row>
    <row r="55" spans="2:23">
      <c r="C55" s="425" t="s">
        <v>1719</v>
      </c>
      <c r="E55" s="287">
        <f>'AAL KPI'!X119</f>
        <v>42.009</v>
      </c>
      <c r="F55" s="287">
        <f>'DAL KPI'!X162</f>
        <v>52.970431143999996</v>
      </c>
      <c r="G55" s="287">
        <f>'UAL KPI'!X109</f>
        <v>52.608000000000004</v>
      </c>
      <c r="I55" s="287">
        <f>'AAL KPI'!Z119</f>
        <v>16.378</v>
      </c>
      <c r="J55" s="287">
        <f>'DAL KPI'!Z162</f>
        <v>21.931824923519997</v>
      </c>
      <c r="K55" s="287">
        <f>'UAL KPI'!Z109</f>
        <v>29.966000000000001</v>
      </c>
      <c r="M55" s="287">
        <f>SUMIF('AAL KPI'!$E$6:$T$6,Comps!$Y$5,'AAL KPI'!$E119:$T119)+SUMIF('AAL KPI'!$E$6:$T$6,Comps!$Z$5,'AAL KPI'!$E119:$T119)+SUMIF('AAL KPI'!$E$6:$T$6,Comps!$AA$5,'AAL KPI'!$E119:$T119)+SUMIF('AAL KPI'!$E$6:$T$6,Comps!$AB$5,'AAL KPI'!$E119:$T119)</f>
        <v>21.606999999999999</v>
      </c>
      <c r="N55" s="287">
        <f>SUMIF('DAL KPI'!$E$6:$T$6,Comps!$Y$5,'DAL KPI'!$E162:$T162)+SUMIF('DAL KPI'!$E$6:$T$6,Comps!$Z$5,'DAL KPI'!$E162:$T162)+SUMIF('DAL KPI'!$E$6:$T$6,Comps!$AA$5,'DAL KPI'!$E162:$T162)+SUMIF('DAL KPI'!$E$6:$T$6,Comps!$AB$5,'DAL KPI'!$E162:$T162)</f>
        <v>25.292424823519994</v>
      </c>
      <c r="O55" s="287">
        <f>SUMIF('UAL KPI'!$E$6:$T$6,Comps!$Y$5,'UAL KPI'!$E109:$T109)+SUMIF('UAL KPI'!$E$6:$T$6,Comps!$Z$5,'UAL KPI'!$E109:$T109)+SUMIF('UAL KPI'!$E$6:$T$6,Comps!$AA$5,'UAL KPI'!$E109:$T109)+SUMIF('UAL KPI'!$E$6:$T$6,Comps!$AB$5,'UAL KPI'!$E109:$T109)</f>
        <v>34.448999999999998</v>
      </c>
      <c r="Q55" s="287">
        <f>'AAL KPI'!AA119</f>
        <v>32.100859999999997</v>
      </c>
      <c r="R55" s="287">
        <f>'DAL KPI'!AA162</f>
        <v>43.719469326079988</v>
      </c>
      <c r="S55" s="287">
        <f>'UAL KPI'!AA109</f>
        <v>43.717749999999995</v>
      </c>
      <c r="U55" s="287">
        <f>'AAL KPI'!AB119</f>
        <v>38.858325000000001</v>
      </c>
      <c r="V55" s="287">
        <f>'DAL KPI'!AB162</f>
        <v>56.943213479799994</v>
      </c>
      <c r="W55" s="973">
        <f>'UAL KPI'!AB109</f>
        <v>49.977600000000002</v>
      </c>
    </row>
    <row r="56" spans="2:23">
      <c r="C56" s="425" t="s">
        <v>1720</v>
      </c>
      <c r="E56" s="287">
        <f>'AAL KPI'!X120</f>
        <v>17.204000000000001</v>
      </c>
      <c r="F56" s="287">
        <f>'DAL KPI'!X163</f>
        <v>24.809034487999998</v>
      </c>
      <c r="G56" s="287">
        <f>'UAL KPI'!X110</f>
        <v>43.632000000000005</v>
      </c>
      <c r="I56" s="287">
        <f>'AAL KPI'!Z120</f>
        <v>3.2810000000000001</v>
      </c>
      <c r="J56" s="287">
        <f>'DAL KPI'!Z163</f>
        <v>7.9523348512799998</v>
      </c>
      <c r="K56" s="287">
        <f>'UAL KPI'!Z110</f>
        <v>10.041</v>
      </c>
      <c r="M56" s="287">
        <f>SUMIF('AAL KPI'!$E$6:$T$6,Comps!$Y$5,'AAL KPI'!$E120:$T120)+SUMIF('AAL KPI'!$E$6:$T$6,Comps!$Z$5,'AAL KPI'!$E120:$T120)+SUMIF('AAL KPI'!$E$6:$T$6,Comps!$AA$5,'AAL KPI'!$E120:$T120)+SUMIF('AAL KPI'!$E$6:$T$6,Comps!$AB$5,'AAL KPI'!$E120:$T120)</f>
        <v>3.4550000000000001</v>
      </c>
      <c r="N56" s="287">
        <f>SUMIF('DAL KPI'!$E$6:$T$6,Comps!$Y$5,'DAL KPI'!$E163:$T163)+SUMIF('DAL KPI'!$E$6:$T$6,Comps!$Z$5,'DAL KPI'!$E163:$T163)+SUMIF('DAL KPI'!$E$6:$T$6,Comps!$AA$5,'DAL KPI'!$E163:$T163)+SUMIF('DAL KPI'!$E$6:$T$6,Comps!$AB$5,'DAL KPI'!$E163:$T163)</f>
        <v>8.0093762212800002</v>
      </c>
      <c r="O56" s="287">
        <f>SUMIF('UAL KPI'!$E$6:$T$6,Comps!$Y$5,'UAL KPI'!$E110:$T110)+SUMIF('UAL KPI'!$E$6:$T$6,Comps!$Z$5,'UAL KPI'!$E110:$T110)+SUMIF('UAL KPI'!$E$6:$T$6,Comps!$AA$5,'UAL KPI'!$E110:$T110)+SUMIF('UAL KPI'!$E$6:$T$6,Comps!$AB$5,'UAL KPI'!$E110:$T110)</f>
        <v>11.571999999999999</v>
      </c>
      <c r="Q56" s="287">
        <f>'AAL KPI'!AA120</f>
        <v>6.5491000000000001</v>
      </c>
      <c r="R56" s="287">
        <f>'DAL KPI'!AA163</f>
        <v>8.6429471666999991</v>
      </c>
      <c r="S56" s="287">
        <f>'UAL KPI'!AA110</f>
        <v>20.703110000000002</v>
      </c>
      <c r="U56" s="287">
        <f>'AAL KPI'!AB120</f>
        <v>11.182600000000001</v>
      </c>
      <c r="V56" s="287">
        <f>'DAL KPI'!AB163</f>
        <v>14.885420692799999</v>
      </c>
      <c r="W56" s="973">
        <f>'UAL KPI'!AB110</f>
        <v>37.087200000000003</v>
      </c>
    </row>
    <row r="57" spans="2:23" s="279" customFormat="1">
      <c r="C57" s="974" t="s">
        <v>393</v>
      </c>
      <c r="E57" s="966">
        <f>SUM(E53:E56)</f>
        <v>285.08800000000002</v>
      </c>
      <c r="F57" s="966">
        <f>SUM(F53:F56)</f>
        <v>275.38</v>
      </c>
      <c r="G57" s="966">
        <f>SUM(G53:G56)</f>
        <v>284.99900000000002</v>
      </c>
      <c r="I57" s="966">
        <f>SUM(I53:I56)</f>
        <v>214.53499999999997</v>
      </c>
      <c r="J57" s="966">
        <f>SUM(J53:J56)</f>
        <v>194.47399999999999</v>
      </c>
      <c r="K57" s="966">
        <f>SUM(K53:K56)</f>
        <v>178.684</v>
      </c>
      <c r="M57" s="966">
        <f>SUM(M53:M56)</f>
        <v>236.304</v>
      </c>
      <c r="N57" s="966">
        <f>SUM(N53:N56)</f>
        <v>206.16600000000003</v>
      </c>
      <c r="O57" s="966">
        <f>SUM(O53:O56)</f>
        <v>201.57800000000003</v>
      </c>
      <c r="Q57" s="966">
        <f>SUM(Q53:Q56)</f>
        <v>266.22590000000002</v>
      </c>
      <c r="R57" s="966">
        <f>SUM(R53:R56)</f>
        <v>237.55034124575999</v>
      </c>
      <c r="S57" s="966">
        <f>SUM(S53:S56)</f>
        <v>252.50993000000003</v>
      </c>
      <c r="U57" s="966">
        <f>SUM(U53:U56)</f>
        <v>287.03114499999998</v>
      </c>
      <c r="V57" s="966">
        <f>SUM(V53:V56)</f>
        <v>278.6131127566</v>
      </c>
      <c r="W57" s="518">
        <f>SUM(W53:W56)</f>
        <v>294.01802500000002</v>
      </c>
    </row>
    <row r="58" spans="2:23">
      <c r="C58" s="425"/>
      <c r="W58" s="426"/>
    </row>
    <row r="59" spans="2:23" s="278" customFormat="1">
      <c r="C59" s="977" t="s">
        <v>1338</v>
      </c>
      <c r="D59" s="751"/>
      <c r="E59" s="751"/>
      <c r="F59" s="751"/>
      <c r="G59" s="751"/>
      <c r="I59" s="751"/>
      <c r="J59" s="751"/>
      <c r="K59" s="751"/>
      <c r="M59" s="751"/>
      <c r="N59" s="751"/>
      <c r="O59" s="751"/>
      <c r="Q59" s="751"/>
      <c r="R59" s="751"/>
      <c r="S59" s="751"/>
      <c r="U59" s="751"/>
      <c r="V59" s="751"/>
      <c r="W59" s="826"/>
    </row>
    <row r="60" spans="2:23" s="278" customFormat="1">
      <c r="C60" s="825" t="s">
        <v>396</v>
      </c>
      <c r="D60" s="751"/>
      <c r="E60" s="751"/>
      <c r="F60" s="751"/>
      <c r="G60" s="751"/>
      <c r="I60" s="590">
        <f>I53/$E53-1</f>
        <v>-0.14531685172364595</v>
      </c>
      <c r="J60" s="590">
        <f>J53/$F53-1</f>
        <v>-0.17829170696946484</v>
      </c>
      <c r="K60" s="590">
        <f>K53/$G53-1</f>
        <v>-0.30088796968270881</v>
      </c>
      <c r="M60" s="590">
        <f>M53/$E53-1</f>
        <v>-7.1746793432018729E-2</v>
      </c>
      <c r="N60" s="590">
        <f>N53/$F53-1</f>
        <v>-0.13045160645407017</v>
      </c>
      <c r="O60" s="590">
        <f>O53/$G53-1</f>
        <v>-0.21176900403735177</v>
      </c>
      <c r="Q60" s="590">
        <f>Q53/$E53-1</f>
        <v>-2.4339846000179799E-2</v>
      </c>
      <c r="R60" s="590">
        <f>R53/$F53-1</f>
        <v>-6.0200527126435532E-2</v>
      </c>
      <c r="S60" s="590">
        <f>S53/$G53-1</f>
        <v>-1.3717955068981769E-2</v>
      </c>
      <c r="U60" s="590">
        <f>U53/$E53-1</f>
        <v>2.0000000000000018E-2</v>
      </c>
      <c r="V60" s="590">
        <f>V53/$F53-1</f>
        <v>5.0000000000000044E-2</v>
      </c>
      <c r="W60" s="980">
        <f>W53/$G53-1</f>
        <v>0.10000000000000009</v>
      </c>
    </row>
    <row r="61" spans="2:23" s="278" customFormat="1">
      <c r="C61" s="825" t="s">
        <v>397</v>
      </c>
      <c r="D61" s="751"/>
      <c r="E61" s="751"/>
      <c r="F61" s="751"/>
      <c r="G61" s="751"/>
      <c r="I61" s="590">
        <f>I54/$E54-1</f>
        <v>-9.5542096360560991E-2</v>
      </c>
      <c r="J61" s="590">
        <f>J54/$F54-1</f>
        <v>-8.2620184408761177E-2</v>
      </c>
      <c r="K61" s="590">
        <f>K54/$G54-1</f>
        <v>-5.4681483111453488E-2</v>
      </c>
      <c r="M61" s="590">
        <f>M54/$E54-1</f>
        <v>-2.8837234681071688E-2</v>
      </c>
      <c r="N61" s="590">
        <f>N54/$F54-1</f>
        <v>-8.5587453364493582E-2</v>
      </c>
      <c r="O61" s="590">
        <f>O54/$G54-1</f>
        <v>3.656434517915419E-2</v>
      </c>
      <c r="Q61" s="590">
        <f>Q54/$E54-1</f>
        <v>0.1720562557974572</v>
      </c>
      <c r="R61" s="590">
        <f>R54/$F54-1</f>
        <v>-8.2480355328638733E-2</v>
      </c>
      <c r="S61" s="590">
        <f>S54/$G54-1</f>
        <v>5.6676935489786029E-2</v>
      </c>
      <c r="U61" s="590">
        <f>U54/$E54-1</f>
        <v>0.19999999999999996</v>
      </c>
      <c r="V61" s="590">
        <f>V54/$F54-1</f>
        <v>2.0000000000000018E-2</v>
      </c>
      <c r="W61" s="980">
        <f>W54/$G54-1</f>
        <v>7.4999999999999956E-2</v>
      </c>
    </row>
    <row r="62" spans="2:23" s="278" customFormat="1">
      <c r="C62" s="825" t="s">
        <v>1719</v>
      </c>
      <c r="D62" s="751"/>
      <c r="E62" s="751"/>
      <c r="F62" s="751"/>
      <c r="G62" s="751"/>
      <c r="I62" s="590">
        <f>I55/$E55-1</f>
        <v>-0.61013116236996834</v>
      </c>
      <c r="J62" s="590">
        <f>J55/$F55-1</f>
        <v>-0.58596098899217219</v>
      </c>
      <c r="K62" s="590">
        <f>K55/$G55-1</f>
        <v>-0.4303908150851582</v>
      </c>
      <c r="M62" s="590">
        <f>M55/$E55-1</f>
        <v>-0.48565783522578498</v>
      </c>
      <c r="N62" s="590">
        <f>N55/$F55-1</f>
        <v>-0.52251804870603014</v>
      </c>
      <c r="O62" s="590">
        <f>O55/$G55-1</f>
        <v>-0.34517563868613144</v>
      </c>
      <c r="Q62" s="590">
        <f>Q55/$E55-1</f>
        <v>-0.23585755433359523</v>
      </c>
      <c r="R62" s="590">
        <f>R55/$F55-1</f>
        <v>-0.17464388373149708</v>
      </c>
      <c r="S62" s="590">
        <f>S55/$G55-1</f>
        <v>-0.16899045772506094</v>
      </c>
      <c r="U62" s="590">
        <f>U55/$E55-1</f>
        <v>-7.4999999999999956E-2</v>
      </c>
      <c r="V62" s="590">
        <f>V55/$F55-1</f>
        <v>7.4999999999999956E-2</v>
      </c>
      <c r="W62" s="980">
        <f>W55/$G55-1</f>
        <v>-5.0000000000000044E-2</v>
      </c>
    </row>
    <row r="63" spans="2:23" s="278" customFormat="1">
      <c r="C63" s="825" t="s">
        <v>1720</v>
      </c>
      <c r="D63" s="751"/>
      <c r="E63" s="751"/>
      <c r="F63" s="751"/>
      <c r="G63" s="751"/>
      <c r="I63" s="590">
        <f>I56/$E56-1</f>
        <v>-0.80928853754940711</v>
      </c>
      <c r="J63" s="590">
        <f>J56/$F56-1</f>
        <v>-0.67945810808854723</v>
      </c>
      <c r="K63" s="590">
        <f>K56/$G56-1</f>
        <v>-0.76987073707370746</v>
      </c>
      <c r="M63" s="590">
        <f>M56/$E56-1</f>
        <v>-0.79917461055568473</v>
      </c>
      <c r="N63" s="590">
        <f>N56/$F56-1</f>
        <v>-0.67715889043750999</v>
      </c>
      <c r="O63" s="590">
        <f>O56/$G56-1</f>
        <v>-0.73478181151448485</v>
      </c>
      <c r="Q63" s="590">
        <f>Q56/$E56-1</f>
        <v>-0.61932690072076269</v>
      </c>
      <c r="R63" s="590">
        <f>R56/$F56-1</f>
        <v>-0.65162097820128606</v>
      </c>
      <c r="S63" s="590">
        <f>S56/$G56-1</f>
        <v>-0.52550627979464615</v>
      </c>
      <c r="U63" s="590">
        <f>U56/$E56-1</f>
        <v>-0.35</v>
      </c>
      <c r="V63" s="590">
        <f>V56/$F56-1</f>
        <v>-0.4</v>
      </c>
      <c r="W63" s="980">
        <f>W56/$G56-1</f>
        <v>-0.15000000000000002</v>
      </c>
    </row>
    <row r="64" spans="2:23" s="392" customFormat="1">
      <c r="C64" s="981" t="s">
        <v>393</v>
      </c>
      <c r="D64" s="612"/>
      <c r="E64" s="612"/>
      <c r="F64" s="612"/>
      <c r="G64" s="612"/>
      <c r="I64" s="982">
        <f>I57/$E57-1</f>
        <v>-0.24747797171399721</v>
      </c>
      <c r="J64" s="982">
        <f>J57/$F57-1</f>
        <v>-0.29379766141331976</v>
      </c>
      <c r="K64" s="982">
        <f>K57/$G57-1</f>
        <v>-0.37303639661893562</v>
      </c>
      <c r="M64" s="982">
        <f>M57/$E57-1</f>
        <v>-0.17111909305196993</v>
      </c>
      <c r="N64" s="982">
        <f>N57/$F57-1</f>
        <v>-0.25133996659161872</v>
      </c>
      <c r="O64" s="982">
        <f>O57/$G57-1</f>
        <v>-0.29270629019750938</v>
      </c>
      <c r="Q64" s="982">
        <f>Q57/$E57-1</f>
        <v>-6.6162377932427852E-2</v>
      </c>
      <c r="R64" s="982">
        <f>R57/$F57-1</f>
        <v>-0.13737257155290872</v>
      </c>
      <c r="S64" s="982">
        <f>S57/$G57-1</f>
        <v>-0.11399713683205903</v>
      </c>
      <c r="U64" s="982">
        <f>U57/$E57-1</f>
        <v>6.8159480581433396E-3</v>
      </c>
      <c r="V64" s="982">
        <f>V57/$F57-1</f>
        <v>1.1740550354419454E-2</v>
      </c>
      <c r="W64" s="983">
        <f>W57/$G57-1</f>
        <v>3.1645812792325589E-2</v>
      </c>
    </row>
    <row r="65" spans="2:23" s="278" customFormat="1">
      <c r="C65" s="573"/>
      <c r="W65" s="574"/>
    </row>
    <row r="66" spans="2:23" s="278" customFormat="1">
      <c r="C66" s="975" t="s">
        <v>1718</v>
      </c>
      <c r="D66" s="540"/>
      <c r="E66" s="540"/>
      <c r="F66" s="540"/>
      <c r="G66" s="540"/>
      <c r="I66" s="540"/>
      <c r="J66" s="540"/>
      <c r="K66" s="540"/>
      <c r="M66" s="540"/>
      <c r="N66" s="540"/>
      <c r="O66" s="540"/>
      <c r="Q66" s="540"/>
      <c r="R66" s="540"/>
      <c r="S66" s="540"/>
      <c r="U66" s="540"/>
      <c r="V66" s="540"/>
      <c r="W66" s="542"/>
    </row>
    <row r="67" spans="2:23" s="278" customFormat="1">
      <c r="C67" s="976" t="s">
        <v>396</v>
      </c>
      <c r="D67" s="540"/>
      <c r="E67" s="541">
        <f t="shared" ref="E67:G70" si="14">E53/E$57</f>
        <v>0.6637283926366595</v>
      </c>
      <c r="F67" s="541">
        <f t="shared" si="14"/>
        <v>0.63329865744789027</v>
      </c>
      <c r="G67" s="541">
        <f t="shared" si="14"/>
        <v>0.56664058470380596</v>
      </c>
      <c r="I67" s="541">
        <f t="shared" ref="I67:K70" si="15">I53/I$57</f>
        <v>0.7538350385717949</v>
      </c>
      <c r="J67" s="541">
        <f t="shared" si="15"/>
        <v>0.73688053742711113</v>
      </c>
      <c r="K67" s="541">
        <f t="shared" si="15"/>
        <v>0.63184728347249897</v>
      </c>
      <c r="M67" s="541">
        <f t="shared" ref="M67:O70" si="16">M53/M$57</f>
        <v>0.74330100209899108</v>
      </c>
      <c r="N67" s="541">
        <f t="shared" si="16"/>
        <v>0.73555927342820837</v>
      </c>
      <c r="O67" s="541">
        <f t="shared" si="16"/>
        <v>0.6314826022681046</v>
      </c>
      <c r="Q67" s="541">
        <f t="shared" ref="Q67:S70" si="17">Q53/Q$57</f>
        <v>0.69345390512343075</v>
      </c>
      <c r="R67" s="541">
        <f t="shared" si="17"/>
        <v>0.68995457924691761</v>
      </c>
      <c r="S67" s="541">
        <f t="shared" si="17"/>
        <v>0.63077384719088081</v>
      </c>
      <c r="U67" s="541">
        <f t="shared" ref="U67:W70" si="18">U53/U$57</f>
        <v>0.67241978218078047</v>
      </c>
      <c r="V67" s="541">
        <f t="shared" si="18"/>
        <v>0.65724714709452314</v>
      </c>
      <c r="W67" s="543">
        <f t="shared" si="18"/>
        <v>0.60418472642961263</v>
      </c>
    </row>
    <row r="68" spans="2:23" s="278" customFormat="1">
      <c r="C68" s="976" t="s">
        <v>397</v>
      </c>
      <c r="D68" s="540"/>
      <c r="E68" s="541">
        <f t="shared" si="14"/>
        <v>0.12857082725333932</v>
      </c>
      <c r="F68" s="541">
        <f t="shared" si="14"/>
        <v>8.4257208511874487E-2</v>
      </c>
      <c r="G68" s="541">
        <f t="shared" si="14"/>
        <v>9.5674019908841793E-2</v>
      </c>
      <c r="I68" s="541">
        <f t="shared" si="15"/>
        <v>0.15452956394061579</v>
      </c>
      <c r="J68" s="541">
        <f t="shared" si="15"/>
        <v>0.10945285534107388</v>
      </c>
      <c r="K68" s="541">
        <f t="shared" si="15"/>
        <v>0.14425466186116273</v>
      </c>
      <c r="M68" s="541">
        <f t="shared" si="16"/>
        <v>0.15064070011510597</v>
      </c>
      <c r="N68" s="541">
        <f t="shared" si="16"/>
        <v>0.10291166239632139</v>
      </c>
      <c r="O68" s="541">
        <f t="shared" si="16"/>
        <v>0.14021371379813272</v>
      </c>
      <c r="Q68" s="541">
        <f t="shared" si="17"/>
        <v>0.16136878493039181</v>
      </c>
      <c r="R68" s="541">
        <f t="shared" si="17"/>
        <v>8.9618810468368393E-2</v>
      </c>
      <c r="S68" s="541">
        <f t="shared" si="17"/>
        <v>0.11410406711530116</v>
      </c>
      <c r="U68" s="541">
        <f t="shared" si="18"/>
        <v>0.15324051332478225</v>
      </c>
      <c r="V68" s="541">
        <f t="shared" si="18"/>
        <v>8.494505103309917E-2</v>
      </c>
      <c r="W68" s="543">
        <f t="shared" si="18"/>
        <v>9.9694653074416106E-2</v>
      </c>
    </row>
    <row r="69" spans="2:23" s="278" customFormat="1">
      <c r="C69" s="976" t="s">
        <v>398</v>
      </c>
      <c r="D69" s="540"/>
      <c r="E69" s="541">
        <f t="shared" si="14"/>
        <v>0.14735450106633741</v>
      </c>
      <c r="F69" s="541">
        <f t="shared" si="14"/>
        <v>0.19235395142711889</v>
      </c>
      <c r="G69" s="541">
        <f t="shared" si="14"/>
        <v>0.18459012136884692</v>
      </c>
      <c r="I69" s="541">
        <f t="shared" si="15"/>
        <v>7.6341855641270662E-2</v>
      </c>
      <c r="J69" s="541">
        <f t="shared" si="15"/>
        <v>0.11277510064851856</v>
      </c>
      <c r="K69" s="541">
        <f t="shared" si="15"/>
        <v>0.16770387947437937</v>
      </c>
      <c r="M69" s="541">
        <f t="shared" si="16"/>
        <v>9.1437301103663077E-2</v>
      </c>
      <c r="N69" s="541">
        <f t="shared" si="16"/>
        <v>0.12267990271683979</v>
      </c>
      <c r="O69" s="541">
        <f t="shared" si="16"/>
        <v>0.17089662562382796</v>
      </c>
      <c r="Q69" s="541">
        <f t="shared" si="17"/>
        <v>0.12057752457593343</v>
      </c>
      <c r="R69" s="541">
        <f t="shared" si="17"/>
        <v>0.18404296578488005</v>
      </c>
      <c r="S69" s="541">
        <f t="shared" si="17"/>
        <v>0.17313279521324168</v>
      </c>
      <c r="U69" s="541">
        <f t="shared" si="18"/>
        <v>0.13538016928441687</v>
      </c>
      <c r="V69" s="541">
        <f t="shared" si="18"/>
        <v>0.20438095291497035</v>
      </c>
      <c r="W69" s="543">
        <f t="shared" si="18"/>
        <v>0.1699814152550681</v>
      </c>
    </row>
    <row r="70" spans="2:23" s="278" customFormat="1" ht="10.9" thickBot="1">
      <c r="C70" s="984" t="s">
        <v>399</v>
      </c>
      <c r="D70" s="544"/>
      <c r="E70" s="545">
        <f t="shared" si="14"/>
        <v>6.0346279043663707E-2</v>
      </c>
      <c r="F70" s="545">
        <f t="shared" si="14"/>
        <v>9.009018261311641E-2</v>
      </c>
      <c r="G70" s="545">
        <f t="shared" si="14"/>
        <v>0.15309527401850534</v>
      </c>
      <c r="H70" s="774"/>
      <c r="I70" s="545">
        <f t="shared" si="15"/>
        <v>1.5293541846318785E-2</v>
      </c>
      <c r="J70" s="545">
        <f t="shared" si="15"/>
        <v>4.0891506583296482E-2</v>
      </c>
      <c r="K70" s="545">
        <f t="shared" si="15"/>
        <v>5.6194175191958989E-2</v>
      </c>
      <c r="L70" s="774"/>
      <c r="M70" s="545">
        <f t="shared" si="16"/>
        <v>1.4620996682239826E-2</v>
      </c>
      <c r="N70" s="545">
        <f t="shared" si="16"/>
        <v>3.8849161458630418E-2</v>
      </c>
      <c r="O70" s="545">
        <f t="shared" si="16"/>
        <v>5.7407058309934603E-2</v>
      </c>
      <c r="P70" s="774"/>
      <c r="Q70" s="545">
        <f t="shared" si="17"/>
        <v>2.4599785370243842E-2</v>
      </c>
      <c r="R70" s="545">
        <f t="shared" si="17"/>
        <v>3.6383644499834056E-2</v>
      </c>
      <c r="S70" s="545">
        <f t="shared" si="17"/>
        <v>8.1989290480576349E-2</v>
      </c>
      <c r="T70" s="774"/>
      <c r="U70" s="545">
        <f t="shared" si="18"/>
        <v>3.8959535210020504E-2</v>
      </c>
      <c r="V70" s="545">
        <f t="shared" si="18"/>
        <v>5.3426848957407451E-2</v>
      </c>
      <c r="W70" s="546">
        <f t="shared" si="18"/>
        <v>0.12613920524090316</v>
      </c>
    </row>
    <row r="72" spans="2:23" s="278" customFormat="1">
      <c r="B72" s="276"/>
      <c r="C72" s="276" t="s">
        <v>232</v>
      </c>
      <c r="D72" s="276"/>
      <c r="E72" s="963">
        <v>2019</v>
      </c>
      <c r="F72" s="963"/>
      <c r="G72" s="963"/>
      <c r="H72" s="253"/>
      <c r="I72" s="963">
        <f>E72+2</f>
        <v>2021</v>
      </c>
      <c r="J72" s="963"/>
      <c r="K72" s="963"/>
      <c r="L72" s="253"/>
      <c r="M72" s="967" t="s">
        <v>141</v>
      </c>
      <c r="N72" s="967"/>
      <c r="O72" s="967"/>
      <c r="P72" s="253"/>
      <c r="Q72" s="965">
        <f>I72+1</f>
        <v>2022</v>
      </c>
      <c r="R72" s="963"/>
      <c r="S72" s="963"/>
      <c r="T72" s="253"/>
      <c r="U72" s="965">
        <f>Q72+1</f>
        <v>2023</v>
      </c>
      <c r="V72" s="963"/>
      <c r="W72" s="963"/>
    </row>
    <row r="73" spans="2:23" s="278" customFormat="1" ht="10.9" thickBot="1">
      <c r="B73" s="262"/>
      <c r="C73" s="262" t="s">
        <v>1715</v>
      </c>
      <c r="D73" s="262"/>
      <c r="E73" s="264" t="s">
        <v>1314</v>
      </c>
      <c r="F73" s="264" t="s">
        <v>1315</v>
      </c>
      <c r="G73" s="264" t="s">
        <v>1316</v>
      </c>
      <c r="H73" s="253"/>
      <c r="I73" s="264" t="s">
        <v>1314</v>
      </c>
      <c r="J73" s="264" t="s">
        <v>1315</v>
      </c>
      <c r="K73" s="264" t="s">
        <v>1316</v>
      </c>
      <c r="L73" s="253"/>
      <c r="M73" s="264" t="s">
        <v>1314</v>
      </c>
      <c r="N73" s="264" t="s">
        <v>1315</v>
      </c>
      <c r="O73" s="264" t="s">
        <v>1316</v>
      </c>
      <c r="P73" s="253"/>
      <c r="Q73" s="264" t="s">
        <v>1314</v>
      </c>
      <c r="R73" s="264" t="s">
        <v>1315</v>
      </c>
      <c r="S73" s="264" t="s">
        <v>1316</v>
      </c>
      <c r="T73" s="253"/>
      <c r="U73" s="264" t="s">
        <v>1314</v>
      </c>
      <c r="V73" s="264" t="s">
        <v>1315</v>
      </c>
      <c r="W73" s="264" t="s">
        <v>1316</v>
      </c>
    </row>
    <row r="74" spans="2:23">
      <c r="B74" s="253" t="s">
        <v>133</v>
      </c>
      <c r="C74" s="972" t="s">
        <v>1721</v>
      </c>
      <c r="D74" s="473"/>
      <c r="E74" s="473"/>
      <c r="F74" s="473"/>
      <c r="G74" s="473"/>
      <c r="H74" s="473"/>
      <c r="I74" s="473"/>
      <c r="J74" s="473"/>
      <c r="K74" s="473"/>
      <c r="L74" s="473"/>
      <c r="M74" s="473"/>
      <c r="N74" s="473"/>
      <c r="O74" s="473"/>
      <c r="P74" s="473"/>
      <c r="Q74" s="473"/>
      <c r="R74" s="473"/>
      <c r="S74" s="473"/>
      <c r="T74" s="473"/>
      <c r="U74" s="473"/>
      <c r="V74" s="473"/>
      <c r="W74" s="474"/>
    </row>
    <row r="75" spans="2:23">
      <c r="C75" s="425" t="s">
        <v>396</v>
      </c>
      <c r="E75" s="287">
        <f>'AAL KPI'!X149</f>
        <v>161.58099999999999</v>
      </c>
      <c r="F75" s="287">
        <f>'DAL KPI'!X187</f>
        <v>151.54950446234488</v>
      </c>
      <c r="G75" s="287">
        <f>'UAL KPI'!X131</f>
        <v>143.80739284094636</v>
      </c>
      <c r="I75" s="287">
        <f>'AAL KPI'!Z149</f>
        <v>130.90100000000001</v>
      </c>
      <c r="J75" s="287">
        <f>'DAL KPI'!Z187</f>
        <v>106.27823725490057</v>
      </c>
      <c r="K75" s="287">
        <f>'UAL KPI'!Z131</f>
        <v>90.188999999999993</v>
      </c>
      <c r="M75" s="287">
        <f>SUMIF('AAL KPI'!$E$6:$T$6,Comps!$Y$5,'AAL KPI'!$E149:$T149)+SUMIF('AAL KPI'!$E$6:$T$6,Comps!$Z$5,'AAL KPI'!$E149:$T149)+SUMIF('AAL KPI'!$E$6:$T$6,Comps!$AA$5,'AAL KPI'!$E149:$T149)+SUMIF('AAL KPI'!$E$6:$T$6,Comps!$AB$5,'AAL KPI'!$E149:$T149)</f>
        <v>144.995</v>
      </c>
      <c r="N75" s="287">
        <f>SUMIF('DAL KPI'!$E$6:$T$6,Comps!$Y$5,'DAL KPI'!$E187:$T187)+SUMIF('DAL KPI'!$E$6:$T$6,Comps!$Z$5,'DAL KPI'!$E187:$T187)+SUMIF('DAL KPI'!$E$6:$T$6,Comps!$AA$5,'DAL KPI'!$E187:$T187)+SUMIF('DAL KPI'!$E$6:$T$6,Comps!$AB$5,'DAL KPI'!$E187:$T187)</f>
        <v>121.33493017490058</v>
      </c>
      <c r="O75" s="287">
        <f>SUMIF('UAL KPI'!$E$6:$T$6,Comps!$Y$5,'UAL KPI'!$E131:$T131)+SUMIF('UAL KPI'!$E$6:$T$6,Comps!$Z$5,'UAL KPI'!$E131:$T131)+SUMIF('UAL KPI'!$E$6:$T$6,Comps!$AA$5,'UAL KPI'!$E131:$T131)+SUMIF('UAL KPI'!$E$6:$T$6,Comps!$AB$5,'UAL KPI'!$E131:$T131)</f>
        <v>103.679</v>
      </c>
      <c r="Q75" s="287">
        <f>'AAL KPI'!AA149</f>
        <v>157.54016304999999</v>
      </c>
      <c r="R75" s="287">
        <f>'DAL KPI'!AA187</f>
        <v>141.26072365477444</v>
      </c>
      <c r="S75" s="287">
        <f>'UAL KPI'!AA131</f>
        <v>132.7295391025385</v>
      </c>
      <c r="U75" s="287">
        <f>'AAL KPI'!AB149</f>
        <v>165.98466120000001</v>
      </c>
      <c r="V75" s="287">
        <f>'DAL KPI'!AB187</f>
        <v>159.31237594708804</v>
      </c>
      <c r="W75" s="973">
        <f>'UAL KPI'!AB131</f>
        <v>152.77143200000003</v>
      </c>
    </row>
    <row r="76" spans="2:23">
      <c r="C76" s="425" t="s">
        <v>397</v>
      </c>
      <c r="E76" s="287">
        <f>'AAL KPI'!X150</f>
        <v>31.03</v>
      </c>
      <c r="F76" s="287">
        <f>'DAL KPI'!X188</f>
        <v>20.418155434344698</v>
      </c>
      <c r="G76" s="287">
        <f>'UAL KPI'!X132</f>
        <v>23.06278505687434</v>
      </c>
      <c r="I76" s="287">
        <f>'AAL KPI'!Z150</f>
        <v>22.241</v>
      </c>
      <c r="J76" s="287">
        <f>'DAL KPI'!Z188</f>
        <v>14.086565663624864</v>
      </c>
      <c r="K76" s="287">
        <f>'UAL KPI'!Z132</f>
        <v>17.841000000000001</v>
      </c>
      <c r="M76" s="287">
        <f>SUMIF('AAL KPI'!$E$6:$T$6,Comps!$Y$5,'AAL KPI'!$E150:$T150)+SUMIF('AAL KPI'!$E$6:$T$6,Comps!$Z$5,'AAL KPI'!$E150:$T150)+SUMIF('AAL KPI'!$E$6:$T$6,Comps!$AA$5,'AAL KPI'!$E150:$T150)+SUMIF('AAL KPI'!$E$6:$T$6,Comps!$AB$5,'AAL KPI'!$E150:$T150)</f>
        <v>26.317</v>
      </c>
      <c r="N76" s="287">
        <f>SUMIF('DAL KPI'!$E$6:$T$6,Comps!$Y$5,'DAL KPI'!$E188:$T188)+SUMIF('DAL KPI'!$E$6:$T$6,Comps!$Z$5,'DAL KPI'!$E188:$T188)+SUMIF('DAL KPI'!$E$6:$T$6,Comps!$AA$5,'DAL KPI'!$E188:$T188)+SUMIF('DAL KPI'!$E$6:$T$6,Comps!$AB$5,'DAL KPI'!$E188:$T188)</f>
        <v>16.311746103624866</v>
      </c>
      <c r="O76" s="287">
        <f>SUMIF('UAL KPI'!$E$6:$T$6,Comps!$Y$5,'UAL KPI'!$E132:$T132)+SUMIF('UAL KPI'!$E$6:$T$6,Comps!$Z$5,'UAL KPI'!$E132:$T132)+SUMIF('UAL KPI'!$E$6:$T$6,Comps!$AA$5,'UAL KPI'!$E132:$T132)+SUMIF('UAL KPI'!$E$6:$T$6,Comps!$AB$5,'UAL KPI'!$E132:$T132)</f>
        <v>20.98</v>
      </c>
      <c r="Q76" s="287">
        <f>'AAL KPI'!AA150</f>
        <v>36.057978500000004</v>
      </c>
      <c r="R76" s="287">
        <f>'DAL KPI'!AA188</f>
        <v>17.675054088223998</v>
      </c>
      <c r="S76" s="287">
        <f>'UAL KPI'!AA132</f>
        <v>23.402024235372462</v>
      </c>
      <c r="U76" s="287">
        <f>'AAL KPI'!AB150</f>
        <v>36.947232</v>
      </c>
      <c r="V76" s="287">
        <f>'DAL KPI'!AB188</f>
        <v>20.353452370176001</v>
      </c>
      <c r="W76" s="973">
        <f>'UAL KPI'!AB132</f>
        <v>24.622101000000001</v>
      </c>
    </row>
    <row r="77" spans="2:23">
      <c r="C77" s="425" t="s">
        <v>1719</v>
      </c>
      <c r="E77" s="287">
        <f>'AAL KPI'!X151</f>
        <v>34.151000000000003</v>
      </c>
      <c r="F77" s="287">
        <f>'DAL KPI'!X189</f>
        <v>44.62991004078382</v>
      </c>
      <c r="G77" s="287">
        <f>'UAL KPI'!X133</f>
        <v>43.405385768603367</v>
      </c>
      <c r="I77" s="287">
        <f>'AAL KPI'!Z151</f>
        <v>7.4489999999999998</v>
      </c>
      <c r="J77" s="287">
        <f>'DAL KPI'!Z189</f>
        <v>12.484187279733646</v>
      </c>
      <c r="K77" s="287">
        <f>'UAL KPI'!Z133</f>
        <v>18.042000000000002</v>
      </c>
      <c r="M77" s="287">
        <f>SUMIF('AAL KPI'!$E$6:$T$6,Comps!$Y$5,'AAL KPI'!$E151:$T151)+SUMIF('AAL KPI'!$E$6:$T$6,Comps!$Z$5,'AAL KPI'!$E151:$T151)+SUMIF('AAL KPI'!$E$6:$T$6,Comps!$AA$5,'AAL KPI'!$E151:$T151)+SUMIF('AAL KPI'!$E$6:$T$6,Comps!$AB$5,'AAL KPI'!$E151:$T151)</f>
        <v>10.855</v>
      </c>
      <c r="N77" s="287">
        <f>SUMIF('DAL KPI'!$E$6:$T$6,Comps!$Y$5,'DAL KPI'!$E189:$T189)+SUMIF('DAL KPI'!$E$6:$T$6,Comps!$Z$5,'DAL KPI'!$E189:$T189)+SUMIF('DAL KPI'!$E$6:$T$6,Comps!$AA$5,'DAL KPI'!$E189:$T189)+SUMIF('DAL KPI'!$E$6:$T$6,Comps!$AB$5,'DAL KPI'!$E189:$T189)</f>
        <v>15.662582639733646</v>
      </c>
      <c r="O77" s="287">
        <f>SUMIF('UAL KPI'!$E$6:$T$6,Comps!$Y$5,'UAL KPI'!$E133:$T133)+SUMIF('UAL KPI'!$E$6:$T$6,Comps!$Z$5,'UAL KPI'!$E133:$T133)+SUMIF('UAL KPI'!$E$6:$T$6,Comps!$AA$5,'UAL KPI'!$E133:$T133)+SUMIF('UAL KPI'!$E$6:$T$6,Comps!$AB$5,'UAL KPI'!$E133:$T133)</f>
        <v>21.948000000000004</v>
      </c>
      <c r="Q77" s="287">
        <f>'AAL KPI'!AA151</f>
        <v>25.163519600000001</v>
      </c>
      <c r="R77" s="287">
        <f>'DAL KPI'!AA189</f>
        <v>36.177927996607991</v>
      </c>
      <c r="S77" s="287">
        <f>'UAL KPI'!AA133</f>
        <v>35.062779675941073</v>
      </c>
      <c r="U77" s="287">
        <f>'AAL KPI'!AB151</f>
        <v>31.086660000000002</v>
      </c>
      <c r="V77" s="287">
        <f>'DAL KPI'!AB189</f>
        <v>47.83229932303199</v>
      </c>
      <c r="W77" s="973">
        <f>'UAL KPI'!AB133</f>
        <v>40.981631999999998</v>
      </c>
    </row>
    <row r="78" spans="2:23">
      <c r="C78" s="425" t="s">
        <v>1720</v>
      </c>
      <c r="E78" s="287">
        <f>'AAL KPI'!X152</f>
        <v>14.489000000000001</v>
      </c>
      <c r="F78" s="287">
        <f>'DAL KPI'!X190</f>
        <v>21.082430062526601</v>
      </c>
      <c r="G78" s="287">
        <f>'UAL KPI'!X134</f>
        <v>35.249533697448001</v>
      </c>
      <c r="I78" s="287">
        <f>'AAL KPI'!Z152</f>
        <v>0.94600000000000006</v>
      </c>
      <c r="J78" s="287">
        <f>'DAL KPI'!Z190</f>
        <v>1.8430098017409231</v>
      </c>
      <c r="K78" s="287">
        <f>'UAL KPI'!Z134</f>
        <v>2.907</v>
      </c>
      <c r="M78" s="287">
        <f>SUMIF('AAL KPI'!$E$6:$T$6,Comps!$Y$5,'AAL KPI'!$E152:$T152)+SUMIF('AAL KPI'!$E$6:$T$6,Comps!$Z$5,'AAL KPI'!$E152:$T152)+SUMIF('AAL KPI'!$E$6:$T$6,Comps!$AA$5,'AAL KPI'!$E152:$T152)+SUMIF('AAL KPI'!$E$6:$T$6,Comps!$AB$5,'AAL KPI'!$E152:$T152)</f>
        <v>1.1960000000000002</v>
      </c>
      <c r="N78" s="287">
        <f>SUMIF('DAL KPI'!$E$6:$T$6,Comps!$Y$5,'DAL KPI'!$E190:$T190)+SUMIF('DAL KPI'!$E$6:$T$6,Comps!$Z$5,'DAL KPI'!$E190:$T190)+SUMIF('DAL KPI'!$E$6:$T$6,Comps!$AA$5,'DAL KPI'!$E190:$T190)+SUMIF('DAL KPI'!$E$6:$T$6,Comps!$AB$5,'DAL KPI'!$E190:$T190)</f>
        <v>2.1347410817409229</v>
      </c>
      <c r="O78" s="287">
        <f>SUMIF('UAL KPI'!$E$6:$T$6,Comps!$Y$5,'UAL KPI'!$E134:$T134)+SUMIF('UAL KPI'!$E$6:$T$6,Comps!$Z$5,'UAL KPI'!$E134:$T134)+SUMIF('UAL KPI'!$E$6:$T$6,Comps!$AA$5,'UAL KPI'!$E134:$T134)+SUMIF('UAL KPI'!$E$6:$T$6,Comps!$AB$5,'UAL KPI'!$E134:$T134)</f>
        <v>3.7680000000000002</v>
      </c>
      <c r="Q78" s="287">
        <f>'AAL KPI'!AA152</f>
        <v>4.5220700000000003</v>
      </c>
      <c r="R78" s="287">
        <f>'DAL KPI'!AA190</f>
        <v>4.5693979219999985</v>
      </c>
      <c r="S78" s="287">
        <f>'UAL KPI'!AA134</f>
        <v>15.005493637499999</v>
      </c>
      <c r="U78" s="287">
        <f>'AAL KPI'!AB152</f>
        <v>7.82782</v>
      </c>
      <c r="V78" s="287">
        <f>'DAL KPI'!AB190</f>
        <v>10.419794484959999</v>
      </c>
      <c r="W78" s="973">
        <f>'UAL KPI'!AB134</f>
        <v>27.815400000000004</v>
      </c>
    </row>
    <row r="79" spans="2:23">
      <c r="C79" s="974" t="s">
        <v>1001</v>
      </c>
      <c r="E79" s="966">
        <f>SUM(E75:E78)</f>
        <v>241.251</v>
      </c>
      <c r="F79" s="966">
        <f>SUM(F75:F78)</f>
        <v>237.68</v>
      </c>
      <c r="G79" s="966">
        <f>SUM(G75:G78)</f>
        <v>245.52509736387208</v>
      </c>
      <c r="I79" s="966">
        <f>SUM(I75:I78)</f>
        <v>161.53700000000001</v>
      </c>
      <c r="J79" s="966">
        <f>SUM(J75:J78)</f>
        <v>134.69200000000001</v>
      </c>
      <c r="K79" s="966">
        <f>SUM(K75:K78)</f>
        <v>128.97900000000001</v>
      </c>
      <c r="M79" s="966">
        <f>SUM(M75:M78)</f>
        <v>183.363</v>
      </c>
      <c r="N79" s="966">
        <f>SUM(N75:N78)</f>
        <v>155.44399999999999</v>
      </c>
      <c r="O79" s="966">
        <f>SUM(O75:O78)</f>
        <v>150.375</v>
      </c>
      <c r="Q79" s="966">
        <f>SUM(Q75:Q78)</f>
        <v>223.28373114999999</v>
      </c>
      <c r="R79" s="966">
        <f>SUM(R75:R78)</f>
        <v>199.68310366160642</v>
      </c>
      <c r="S79" s="966">
        <f>SUM(S75:S78)</f>
        <v>206.19983665135203</v>
      </c>
      <c r="U79" s="966">
        <f>SUM(U75:U78)</f>
        <v>241.84637319999999</v>
      </c>
      <c r="V79" s="966">
        <f>SUM(V75:V78)</f>
        <v>237.91792212525604</v>
      </c>
      <c r="W79" s="518">
        <f>SUM(W75:W78)</f>
        <v>246.19056500000005</v>
      </c>
    </row>
    <row r="80" spans="2:23">
      <c r="C80" s="425"/>
      <c r="W80" s="426"/>
    </row>
    <row r="81" spans="2:23" s="278" customFormat="1">
      <c r="C81" s="977" t="s">
        <v>1338</v>
      </c>
      <c r="D81" s="751"/>
      <c r="E81" s="751"/>
      <c r="F81" s="751"/>
      <c r="G81" s="751"/>
      <c r="I81" s="751"/>
      <c r="J81" s="751"/>
      <c r="K81" s="751"/>
      <c r="M81" s="751"/>
      <c r="N81" s="751"/>
      <c r="O81" s="751"/>
      <c r="Q81" s="751"/>
      <c r="R81" s="751"/>
      <c r="S81" s="751"/>
      <c r="U81" s="751"/>
      <c r="V81" s="751"/>
      <c r="W81" s="826"/>
    </row>
    <row r="82" spans="2:23" s="278" customFormat="1">
      <c r="C82" s="825" t="s">
        <v>396</v>
      </c>
      <c r="D82" s="751"/>
      <c r="E82" s="751"/>
      <c r="F82" s="751"/>
      <c r="G82" s="751"/>
      <c r="I82" s="590">
        <f>I75/$E75-1</f>
        <v>-0.18987380942066201</v>
      </c>
      <c r="J82" s="590">
        <f>J75/$F75-1</f>
        <v>-0.29872263435010271</v>
      </c>
      <c r="K82" s="590">
        <f>K75/$G75-1</f>
        <v>-0.37284865389534805</v>
      </c>
      <c r="M82" s="590">
        <f>M75/$E75-1</f>
        <v>-0.10264820740062253</v>
      </c>
      <c r="N82" s="590">
        <f>N75/$F75-1</f>
        <v>-0.19937098702260447</v>
      </c>
      <c r="O82" s="590">
        <f>O75/$G75-1</f>
        <v>-0.2790426281166859</v>
      </c>
      <c r="Q82" s="590">
        <f>Q75/$E75-1</f>
        <v>-2.5008119457114342E-2</v>
      </c>
      <c r="R82" s="590">
        <f>R75/$F75-1</f>
        <v>-6.7890560540413203E-2</v>
      </c>
      <c r="S82" s="590">
        <f>S75/$G75-1</f>
        <v>-7.7032574748505334E-2</v>
      </c>
      <c r="U82" s="590">
        <f>U75/$E75-1</f>
        <v>2.7253583032658568E-2</v>
      </c>
      <c r="V82" s="590">
        <f>V75/$F75-1</f>
        <v>5.1223337959986459E-2</v>
      </c>
      <c r="W82" s="980">
        <f>W75/$G75-1</f>
        <v>6.2333646288741607E-2</v>
      </c>
    </row>
    <row r="83" spans="2:23" s="278" customFormat="1">
      <c r="C83" s="825" t="s">
        <v>397</v>
      </c>
      <c r="D83" s="751"/>
      <c r="E83" s="751"/>
      <c r="F83" s="751"/>
      <c r="G83" s="751"/>
      <c r="I83" s="590">
        <f>I76/$E76-1</f>
        <v>-0.28324202384788921</v>
      </c>
      <c r="J83" s="590">
        <f>J76/$F76-1</f>
        <v>-0.31009607067980671</v>
      </c>
      <c r="K83" s="590">
        <f>K76/$G76-1</f>
        <v>-0.22641606570919659</v>
      </c>
      <c r="M83" s="590">
        <f>M76/$E76-1</f>
        <v>-0.15188527231711246</v>
      </c>
      <c r="N83" s="590">
        <f>N76/$F76-1</f>
        <v>-0.20111558773877181</v>
      </c>
      <c r="O83" s="590">
        <f>O76/$G76-1</f>
        <v>-9.0309346930045775E-2</v>
      </c>
      <c r="Q83" s="590">
        <f>Q76/$E76-1</f>
        <v>0.16203604576216568</v>
      </c>
      <c r="R83" s="590">
        <f>R76/$F76-1</f>
        <v>-0.13434618787878461</v>
      </c>
      <c r="S83" s="590">
        <f>S76/$G76-1</f>
        <v>1.4709376064579116E-2</v>
      </c>
      <c r="U83" s="590">
        <f>U76/$E76-1</f>
        <v>0.19069390912020623</v>
      </c>
      <c r="V83" s="590">
        <f>V76/$F76-1</f>
        <v>-3.1688985999127617E-3</v>
      </c>
      <c r="W83" s="980">
        <f>W76/$G76-1</f>
        <v>6.7611779725661236E-2</v>
      </c>
    </row>
    <row r="84" spans="2:23" s="278" customFormat="1">
      <c r="C84" s="825" t="s">
        <v>1719</v>
      </c>
      <c r="D84" s="751"/>
      <c r="E84" s="751"/>
      <c r="F84" s="751"/>
      <c r="G84" s="751"/>
      <c r="I84" s="590">
        <f>I77/$E77-1</f>
        <v>-0.78188047202131705</v>
      </c>
      <c r="J84" s="590">
        <f>J77/$F77-1</f>
        <v>-0.72027307990705536</v>
      </c>
      <c r="K84" s="590">
        <f>K77/$G77-1</f>
        <v>-0.58433729638568466</v>
      </c>
      <c r="M84" s="590">
        <f>M77/$E77-1</f>
        <v>-0.6821469356680625</v>
      </c>
      <c r="N84" s="590">
        <f>N77/$F77-1</f>
        <v>-0.64905636992275306</v>
      </c>
      <c r="O84" s="590">
        <f>O77/$G77-1</f>
        <v>-0.49434846364444107</v>
      </c>
      <c r="Q84" s="590">
        <f>Q77/$E77-1</f>
        <v>-0.26316887938859779</v>
      </c>
      <c r="R84" s="590">
        <f>R77/$F77-1</f>
        <v>-0.18937932064958718</v>
      </c>
      <c r="S84" s="590">
        <f>S77/$G77-1</f>
        <v>-0.19220209531455867</v>
      </c>
      <c r="U84" s="590">
        <f>U77/$E77-1</f>
        <v>-8.9729144095341273E-2</v>
      </c>
      <c r="V84" s="590">
        <f>V77/$F77-1</f>
        <v>7.1754329760507218E-2</v>
      </c>
      <c r="W84" s="980">
        <f>W77/$G77-1</f>
        <v>-5.5839931512751462E-2</v>
      </c>
    </row>
    <row r="85" spans="2:23" s="278" customFormat="1">
      <c r="C85" s="825" t="s">
        <v>1720</v>
      </c>
      <c r="D85" s="751"/>
      <c r="E85" s="751"/>
      <c r="F85" s="751"/>
      <c r="G85" s="751"/>
      <c r="I85" s="590">
        <f>I78/$E78-1</f>
        <v>-0.9347090896542205</v>
      </c>
      <c r="J85" s="590">
        <f>J78/$F78-1</f>
        <v>-0.91258077004050786</v>
      </c>
      <c r="K85" s="590">
        <f>K78/$G78-1</f>
        <v>-0.91753082395497154</v>
      </c>
      <c r="M85" s="590">
        <f>M78/$E78-1</f>
        <v>-0.91745462074677342</v>
      </c>
      <c r="N85" s="590">
        <f>N78/$F78-1</f>
        <v>-0.89874312043679616</v>
      </c>
      <c r="O85" s="590">
        <f>O78/$G78-1</f>
        <v>-0.89310496892409119</v>
      </c>
      <c r="Q85" s="590">
        <f>Q78/$E78-1</f>
        <v>-0.68789633515080406</v>
      </c>
      <c r="R85" s="590">
        <f>R78/$F78-1</f>
        <v>-0.78326037802814918</v>
      </c>
      <c r="S85" s="590">
        <f>S78/$G78-1</f>
        <v>-0.57430660597401406</v>
      </c>
      <c r="U85" s="590">
        <f>U78/$E78-1</f>
        <v>-0.45974049278763207</v>
      </c>
      <c r="V85" s="590">
        <f>V78/$F78-1</f>
        <v>-0.50575932404107071</v>
      </c>
      <c r="W85" s="980">
        <f>W78/$G78-1</f>
        <v>-0.21090019973757024</v>
      </c>
    </row>
    <row r="86" spans="2:23" s="392" customFormat="1" ht="10.9" thickBot="1">
      <c r="C86" s="998" t="s">
        <v>1001</v>
      </c>
      <c r="D86" s="999"/>
      <c r="E86" s="999"/>
      <c r="F86" s="999"/>
      <c r="G86" s="999"/>
      <c r="H86" s="1004"/>
      <c r="I86" s="1000">
        <f>I79/$E79-1</f>
        <v>-0.33041935577469106</v>
      </c>
      <c r="J86" s="1000">
        <f>J79/$F79-1</f>
        <v>-0.43330528441602156</v>
      </c>
      <c r="K86" s="1000">
        <f>K79/$G79-1</f>
        <v>-0.47468099438791345</v>
      </c>
      <c r="L86" s="1004"/>
      <c r="M86" s="1000">
        <f>M79/$E79-1</f>
        <v>-0.23994926445900744</v>
      </c>
      <c r="N86" s="1000">
        <f>N79/$F79-1</f>
        <v>-0.34599461460787617</v>
      </c>
      <c r="O86" s="1000">
        <f>O79/$G79-1</f>
        <v>-0.3875371535760278</v>
      </c>
      <c r="P86" s="1004"/>
      <c r="Q86" s="1000">
        <f>Q79/$E79-1</f>
        <v>-7.4475417096716789E-2</v>
      </c>
      <c r="R86" s="1000">
        <f>R79/$F79-1</f>
        <v>-0.15986577052504869</v>
      </c>
      <c r="S86" s="1000">
        <f>S79/$G79-1</f>
        <v>-0.16016798744708116</v>
      </c>
      <c r="T86" s="1004"/>
      <c r="U86" s="1000">
        <f>U79/$E79-1</f>
        <v>2.4678579570653891E-3</v>
      </c>
      <c r="V86" s="1000">
        <f>V79/$F79-1</f>
        <v>1.0010187026927575E-3</v>
      </c>
      <c r="W86" s="1001">
        <f>W79/$G79-1</f>
        <v>2.710385387371339E-3</v>
      </c>
    </row>
    <row r="87" spans="2:23">
      <c r="C87" s="298"/>
      <c r="I87" s="257"/>
      <c r="J87" s="257"/>
      <c r="K87" s="257"/>
      <c r="M87" s="257"/>
      <c r="N87" s="257"/>
      <c r="O87" s="257"/>
      <c r="Q87" s="257"/>
      <c r="R87" s="257"/>
      <c r="S87" s="257"/>
      <c r="U87" s="257"/>
      <c r="V87" s="257"/>
      <c r="W87" s="257"/>
    </row>
    <row r="88" spans="2:23" s="278" customFormat="1">
      <c r="B88" s="276"/>
      <c r="C88" s="276" t="s">
        <v>232</v>
      </c>
      <c r="D88" s="276"/>
      <c r="E88" s="963">
        <v>2019</v>
      </c>
      <c r="F88" s="963"/>
      <c r="G88" s="963"/>
      <c r="H88" s="253"/>
      <c r="I88" s="963">
        <f>E88+2</f>
        <v>2021</v>
      </c>
      <c r="J88" s="963"/>
      <c r="K88" s="963"/>
      <c r="L88" s="253"/>
      <c r="M88" s="967" t="s">
        <v>141</v>
      </c>
      <c r="N88" s="967"/>
      <c r="O88" s="967"/>
      <c r="P88" s="253"/>
      <c r="Q88" s="965">
        <f>I88+1</f>
        <v>2022</v>
      </c>
      <c r="R88" s="963"/>
      <c r="S88" s="963"/>
      <c r="T88" s="253"/>
      <c r="U88" s="965">
        <f>Q88+1</f>
        <v>2023</v>
      </c>
      <c r="V88" s="963"/>
      <c r="W88" s="963"/>
    </row>
    <row r="89" spans="2:23" s="278" customFormat="1" ht="10.9" thickBot="1">
      <c r="B89" s="262"/>
      <c r="C89" s="262" t="s">
        <v>1715</v>
      </c>
      <c r="D89" s="262"/>
      <c r="E89" s="264" t="s">
        <v>1314</v>
      </c>
      <c r="F89" s="264" t="s">
        <v>1315</v>
      </c>
      <c r="G89" s="264" t="s">
        <v>1316</v>
      </c>
      <c r="H89" s="253"/>
      <c r="I89" s="264" t="s">
        <v>1314</v>
      </c>
      <c r="J89" s="264" t="s">
        <v>1315</v>
      </c>
      <c r="K89" s="264" t="s">
        <v>1316</v>
      </c>
      <c r="L89" s="253"/>
      <c r="M89" s="264" t="s">
        <v>1314</v>
      </c>
      <c r="N89" s="264" t="s">
        <v>1315</v>
      </c>
      <c r="O89" s="264" t="s">
        <v>1316</v>
      </c>
      <c r="P89" s="253"/>
      <c r="Q89" s="264" t="s">
        <v>1314</v>
      </c>
      <c r="R89" s="264" t="s">
        <v>1315</v>
      </c>
      <c r="S89" s="264" t="s">
        <v>1316</v>
      </c>
      <c r="T89" s="253"/>
      <c r="U89" s="264" t="s">
        <v>1314</v>
      </c>
      <c r="V89" s="264" t="s">
        <v>1315</v>
      </c>
      <c r="W89" s="264" t="s">
        <v>1316</v>
      </c>
    </row>
    <row r="90" spans="2:23" s="278" customFormat="1">
      <c r="B90" s="278" t="s">
        <v>133</v>
      </c>
      <c r="C90" s="993" t="s">
        <v>1542</v>
      </c>
      <c r="D90" s="994"/>
      <c r="E90" s="994"/>
      <c r="F90" s="994"/>
      <c r="G90" s="994"/>
      <c r="H90" s="994"/>
      <c r="I90" s="994"/>
      <c r="J90" s="994"/>
      <c r="K90" s="994"/>
      <c r="L90" s="994"/>
      <c r="M90" s="995"/>
      <c r="N90" s="994"/>
      <c r="O90" s="994"/>
      <c r="P90" s="994"/>
      <c r="Q90" s="994"/>
      <c r="R90" s="994"/>
      <c r="S90" s="994"/>
      <c r="T90" s="994"/>
      <c r="U90" s="994"/>
      <c r="V90" s="994"/>
      <c r="W90" s="996"/>
    </row>
    <row r="91" spans="2:23" s="278" customFormat="1">
      <c r="C91" s="573" t="s">
        <v>396</v>
      </c>
      <c r="E91" s="297">
        <f t="shared" ref="E91:G95" si="19">E75/E53</f>
        <v>0.85392741820411044</v>
      </c>
      <c r="F91" s="297">
        <f t="shared" si="19"/>
        <v>0.86898755670012673</v>
      </c>
      <c r="G91" s="297">
        <f t="shared" si="19"/>
        <v>0.89049236396196929</v>
      </c>
      <c r="I91" s="297">
        <f t="shared" ref="I91:K95" si="20">I75/I53</f>
        <v>0.80940985877173466</v>
      </c>
      <c r="J91" s="297">
        <f t="shared" si="20"/>
        <v>0.74162730218734674</v>
      </c>
      <c r="K91" s="297">
        <f t="shared" si="20"/>
        <v>0.79883260555708091</v>
      </c>
      <c r="M91" s="297">
        <f t="shared" ref="M91:O95" si="21">M75/M53</f>
        <v>0.8255002988983462</v>
      </c>
      <c r="N91" s="297">
        <f t="shared" si="21"/>
        <v>0.80011262739882449</v>
      </c>
      <c r="O91" s="297">
        <f t="shared" si="21"/>
        <v>0.81449097750858257</v>
      </c>
      <c r="Q91" s="297">
        <f t="shared" ref="Q91:S95" si="22">Q75/Q53</f>
        <v>0.85334252496500973</v>
      </c>
      <c r="R91" s="297">
        <f t="shared" si="22"/>
        <v>0.86187695115049601</v>
      </c>
      <c r="S91" s="297">
        <f t="shared" si="22"/>
        <v>0.83332698653109927</v>
      </c>
      <c r="U91" s="297">
        <f t="shared" ref="U91:W95" si="23">U75/U53</f>
        <v>0.86</v>
      </c>
      <c r="V91" s="297">
        <f t="shared" si="23"/>
        <v>0.87000000000000011</v>
      </c>
      <c r="W91" s="672">
        <f t="shared" si="23"/>
        <v>0.8600000000000001</v>
      </c>
    </row>
    <row r="92" spans="2:23" s="278" customFormat="1">
      <c r="C92" s="573" t="s">
        <v>397</v>
      </c>
      <c r="E92" s="297">
        <f t="shared" si="19"/>
        <v>0.84656517706116652</v>
      </c>
      <c r="F92" s="297">
        <f t="shared" si="19"/>
        <v>0.87998859462544798</v>
      </c>
      <c r="G92" s="297">
        <f t="shared" si="19"/>
        <v>0.84581307283068685</v>
      </c>
      <c r="I92" s="297">
        <f t="shared" si="20"/>
        <v>0.67087958494208488</v>
      </c>
      <c r="J92" s="297">
        <f t="shared" si="20"/>
        <v>0.66178433280415982</v>
      </c>
      <c r="K92" s="297">
        <f t="shared" si="20"/>
        <v>0.6921554934823092</v>
      </c>
      <c r="M92" s="297">
        <f t="shared" si="21"/>
        <v>0.73930387392195973</v>
      </c>
      <c r="N92" s="297">
        <f t="shared" si="21"/>
        <v>0.76880962952727427</v>
      </c>
      <c r="O92" s="297">
        <f t="shared" si="21"/>
        <v>0.74228700820832161</v>
      </c>
      <c r="Q92" s="297">
        <f t="shared" si="22"/>
        <v>0.83932767387754592</v>
      </c>
      <c r="R92" s="297">
        <f t="shared" si="22"/>
        <v>0.83024432881059484</v>
      </c>
      <c r="S92" s="297">
        <f t="shared" si="22"/>
        <v>0.81222029796787087</v>
      </c>
      <c r="U92" s="297">
        <f t="shared" si="23"/>
        <v>0.84</v>
      </c>
      <c r="V92" s="297">
        <f t="shared" si="23"/>
        <v>0.8600000000000001</v>
      </c>
      <c r="W92" s="672">
        <f t="shared" si="23"/>
        <v>0.84</v>
      </c>
    </row>
    <row r="93" spans="2:23" s="278" customFormat="1">
      <c r="C93" s="573" t="s">
        <v>1719</v>
      </c>
      <c r="E93" s="297">
        <f t="shared" si="19"/>
        <v>0.81294484515222931</v>
      </c>
      <c r="F93" s="297">
        <f t="shared" si="19"/>
        <v>0.84254383203824623</v>
      </c>
      <c r="G93" s="297">
        <f t="shared" si="19"/>
        <v>0.82507196184236931</v>
      </c>
      <c r="I93" s="297">
        <f t="shared" si="20"/>
        <v>0.45481743802662106</v>
      </c>
      <c r="J93" s="297">
        <f t="shared" si="20"/>
        <v>0.5692270170525312</v>
      </c>
      <c r="K93" s="297">
        <f t="shared" si="20"/>
        <v>0.60208236000800908</v>
      </c>
      <c r="M93" s="297">
        <f t="shared" si="21"/>
        <v>0.50238348683297085</v>
      </c>
      <c r="N93" s="297">
        <f t="shared" si="21"/>
        <v>0.61925982775556809</v>
      </c>
      <c r="O93" s="297">
        <f t="shared" si="21"/>
        <v>0.63711573630584362</v>
      </c>
      <c r="Q93" s="297">
        <f t="shared" si="22"/>
        <v>0.78388926651809332</v>
      </c>
      <c r="R93" s="297">
        <f t="shared" si="22"/>
        <v>0.82750153545497773</v>
      </c>
      <c r="S93" s="297">
        <f t="shared" si="22"/>
        <v>0.8020261718853573</v>
      </c>
      <c r="U93" s="297">
        <f t="shared" si="23"/>
        <v>0.8</v>
      </c>
      <c r="V93" s="297">
        <f t="shared" si="23"/>
        <v>0.83999999999999986</v>
      </c>
      <c r="W93" s="672">
        <f t="shared" si="23"/>
        <v>0.82</v>
      </c>
    </row>
    <row r="94" spans="2:23" s="278" customFormat="1">
      <c r="C94" s="573" t="s">
        <v>1720</v>
      </c>
      <c r="E94" s="297">
        <f t="shared" si="19"/>
        <v>0.84218786328760753</v>
      </c>
      <c r="F94" s="297">
        <f t="shared" si="19"/>
        <v>0.84978841368147817</v>
      </c>
      <c r="G94" s="297">
        <f t="shared" si="19"/>
        <v>0.80788260216006591</v>
      </c>
      <c r="I94" s="297">
        <f t="shared" si="20"/>
        <v>0.28832672965559281</v>
      </c>
      <c r="J94" s="297">
        <f t="shared" si="20"/>
        <v>0.23175706710140281</v>
      </c>
      <c r="K94" s="297">
        <f t="shared" si="20"/>
        <v>0.28951299671347475</v>
      </c>
      <c r="M94" s="297">
        <f t="shared" si="21"/>
        <v>0.34616497829233001</v>
      </c>
      <c r="N94" s="297">
        <f t="shared" si="21"/>
        <v>0.26653025438724665</v>
      </c>
      <c r="O94" s="297">
        <f t="shared" si="21"/>
        <v>0.32561354994815073</v>
      </c>
      <c r="Q94" s="297">
        <f t="shared" si="22"/>
        <v>0.69048724252187321</v>
      </c>
      <c r="R94" s="297">
        <f t="shared" si="22"/>
        <v>0.52868516188612313</v>
      </c>
      <c r="S94" s="297">
        <f t="shared" si="22"/>
        <v>0.72479418007729257</v>
      </c>
      <c r="U94" s="297">
        <f t="shared" si="23"/>
        <v>0.7</v>
      </c>
      <c r="V94" s="297">
        <f t="shared" si="23"/>
        <v>0.7</v>
      </c>
      <c r="W94" s="672">
        <f t="shared" si="23"/>
        <v>0.75</v>
      </c>
    </row>
    <row r="95" spans="2:23" s="392" customFormat="1">
      <c r="C95" s="997" t="s">
        <v>47</v>
      </c>
      <c r="E95" s="598">
        <f t="shared" si="19"/>
        <v>0.8462334437086092</v>
      </c>
      <c r="F95" s="598">
        <f t="shared" si="19"/>
        <v>0.86309826421671876</v>
      </c>
      <c r="G95" s="598">
        <f t="shared" si="19"/>
        <v>0.86149459248584048</v>
      </c>
      <c r="I95" s="598">
        <f t="shared" si="20"/>
        <v>0.75296338592770429</v>
      </c>
      <c r="J95" s="598">
        <f t="shared" si="20"/>
        <v>0.6925964396268911</v>
      </c>
      <c r="K95" s="598">
        <f t="shared" si="20"/>
        <v>0.7218273600322358</v>
      </c>
      <c r="M95" s="598">
        <f t="shared" si="21"/>
        <v>0.77596231972374563</v>
      </c>
      <c r="N95" s="598">
        <f t="shared" si="21"/>
        <v>0.75397495222296584</v>
      </c>
      <c r="O95" s="598">
        <f t="shared" si="21"/>
        <v>0.74598914564089325</v>
      </c>
      <c r="Q95" s="598">
        <f t="shared" si="22"/>
        <v>0.83870025850227181</v>
      </c>
      <c r="R95" s="598">
        <f t="shared" si="22"/>
        <v>0.84059278809884908</v>
      </c>
      <c r="S95" s="598">
        <f t="shared" si="22"/>
        <v>0.81660090219561665</v>
      </c>
      <c r="U95" s="598">
        <f t="shared" si="23"/>
        <v>0.84257885394283605</v>
      </c>
      <c r="V95" s="598">
        <f t="shared" si="23"/>
        <v>0.85393655657946077</v>
      </c>
      <c r="W95" s="1008">
        <f t="shared" si="23"/>
        <v>0.83733153775180968</v>
      </c>
    </row>
    <row r="96" spans="2:23">
      <c r="C96" s="425"/>
      <c r="W96" s="426"/>
    </row>
    <row r="97" spans="2:23" s="278" customFormat="1">
      <c r="C97" s="977" t="s">
        <v>1750</v>
      </c>
      <c r="D97" s="751"/>
      <c r="E97" s="751"/>
      <c r="F97" s="751"/>
      <c r="G97" s="751"/>
      <c r="H97" s="751"/>
      <c r="I97" s="751"/>
      <c r="J97" s="751"/>
      <c r="K97" s="751"/>
      <c r="M97" s="751"/>
      <c r="N97" s="751"/>
      <c r="O97" s="751"/>
      <c r="Q97" s="751"/>
      <c r="R97" s="751"/>
      <c r="S97" s="751"/>
      <c r="U97" s="751"/>
      <c r="V97" s="751"/>
      <c r="W97" s="826"/>
    </row>
    <row r="98" spans="2:23" s="278" customFormat="1">
      <c r="C98" s="825" t="s">
        <v>396</v>
      </c>
      <c r="D98" s="751"/>
      <c r="E98" s="751"/>
      <c r="F98" s="751"/>
      <c r="G98" s="751"/>
      <c r="H98" s="751"/>
      <c r="I98" s="590">
        <f>I91-$E91</f>
        <v>-4.4517559432375786E-2</v>
      </c>
      <c r="J98" s="590">
        <f>J91-$F91</f>
        <v>-0.12736025451277999</v>
      </c>
      <c r="K98" s="590">
        <f>K91-$G91</f>
        <v>-9.1659758404888381E-2</v>
      </c>
      <c r="M98" s="590">
        <f>M91-$E91</f>
        <v>-2.8427119305764248E-2</v>
      </c>
      <c r="N98" s="590">
        <f>N91-$F91</f>
        <v>-6.8874929301302235E-2</v>
      </c>
      <c r="O98" s="590">
        <f>O91-$G91</f>
        <v>-7.6001386453386721E-2</v>
      </c>
      <c r="Q98" s="590">
        <f>Q91-$E91</f>
        <v>-5.8489323910071445E-4</v>
      </c>
      <c r="R98" s="590">
        <f>R91-$F91</f>
        <v>-7.1106055496307219E-3</v>
      </c>
      <c r="S98" s="590">
        <f>S91-$G91</f>
        <v>-5.7165377430870024E-2</v>
      </c>
      <c r="U98" s="590">
        <f>U91-$E91</f>
        <v>6.0725817958895423E-3</v>
      </c>
      <c r="V98" s="590">
        <f>V91-$F91</f>
        <v>1.0124432998733779E-3</v>
      </c>
      <c r="W98" s="980">
        <f>W91-$G91</f>
        <v>-3.0492363961969193E-2</v>
      </c>
    </row>
    <row r="99" spans="2:23" s="278" customFormat="1">
      <c r="C99" s="825" t="s">
        <v>397</v>
      </c>
      <c r="D99" s="751"/>
      <c r="E99" s="751"/>
      <c r="F99" s="751"/>
      <c r="G99" s="751"/>
      <c r="H99" s="751"/>
      <c r="I99" s="590">
        <f>I92-$E92</f>
        <v>-0.17568559211908163</v>
      </c>
      <c r="J99" s="590">
        <f>J92-$F92</f>
        <v>-0.21820426182128816</v>
      </c>
      <c r="K99" s="590">
        <f>K92-$G92</f>
        <v>-0.15365757934837765</v>
      </c>
      <c r="M99" s="590">
        <f>M92-$E92</f>
        <v>-0.10726130313920679</v>
      </c>
      <c r="N99" s="590">
        <f>N92-$F92</f>
        <v>-0.11117896509817371</v>
      </c>
      <c r="O99" s="590">
        <f>O92-$G92</f>
        <v>-0.10352606462236524</v>
      </c>
      <c r="Q99" s="590">
        <f>Q92-$E92</f>
        <v>-7.2375031836205972E-3</v>
      </c>
      <c r="R99" s="590">
        <f>R92-$F92</f>
        <v>-4.9744265814853139E-2</v>
      </c>
      <c r="S99" s="590">
        <f>S92-$G92</f>
        <v>-3.3592774862815977E-2</v>
      </c>
      <c r="U99" s="590">
        <f>U92-$E92</f>
        <v>-6.5651770611665494E-3</v>
      </c>
      <c r="V99" s="590">
        <f>V92-$F92</f>
        <v>-1.9988594625447886E-2</v>
      </c>
      <c r="W99" s="980">
        <f>W92-$G92</f>
        <v>-5.8130728306868829E-3</v>
      </c>
    </row>
    <row r="100" spans="2:23" s="278" customFormat="1">
      <c r="C100" s="825" t="s">
        <v>1719</v>
      </c>
      <c r="D100" s="751"/>
      <c r="E100" s="751"/>
      <c r="F100" s="751"/>
      <c r="G100" s="751"/>
      <c r="H100" s="751"/>
      <c r="I100" s="590">
        <f>I93-$E93</f>
        <v>-0.35812740712560825</v>
      </c>
      <c r="J100" s="590">
        <f>J93-$F93</f>
        <v>-0.27331681498571503</v>
      </c>
      <c r="K100" s="590">
        <f>K93-$G93</f>
        <v>-0.22298960183436023</v>
      </c>
      <c r="M100" s="590">
        <f>M93-$E93</f>
        <v>-0.31056135831925846</v>
      </c>
      <c r="N100" s="590">
        <f>N93-$F93</f>
        <v>-0.22328400428267814</v>
      </c>
      <c r="O100" s="590">
        <f>O93-$G93</f>
        <v>-0.18795622553652569</v>
      </c>
      <c r="Q100" s="590">
        <f>Q93-$E93</f>
        <v>-2.9055578634135992E-2</v>
      </c>
      <c r="R100" s="590">
        <f>R93-$F93</f>
        <v>-1.50422965832685E-2</v>
      </c>
      <c r="S100" s="590">
        <f>S93-$G93</f>
        <v>-2.3045789957012008E-2</v>
      </c>
      <c r="U100" s="590">
        <f>U93-$E93</f>
        <v>-1.2944845152229267E-2</v>
      </c>
      <c r="V100" s="590">
        <f>V93-$F93</f>
        <v>-2.5438320382463742E-3</v>
      </c>
      <c r="W100" s="980">
        <f>W93-$G93</f>
        <v>-5.0719618423693547E-3</v>
      </c>
    </row>
    <row r="101" spans="2:23" s="278" customFormat="1">
      <c r="C101" s="825" t="s">
        <v>1720</v>
      </c>
      <c r="D101" s="751"/>
      <c r="E101" s="751"/>
      <c r="F101" s="751"/>
      <c r="G101" s="751"/>
      <c r="H101" s="751"/>
      <c r="I101" s="590">
        <f>I94-$E94</f>
        <v>-0.55386113363201472</v>
      </c>
      <c r="J101" s="590">
        <f>J94-$F94</f>
        <v>-0.6180313465800753</v>
      </c>
      <c r="K101" s="590">
        <f>K94-$G94</f>
        <v>-0.51836960544659116</v>
      </c>
      <c r="M101" s="590">
        <f>M94-$E94</f>
        <v>-0.49602288499527752</v>
      </c>
      <c r="N101" s="590">
        <f>N94-$F94</f>
        <v>-0.58325815929423153</v>
      </c>
      <c r="O101" s="590">
        <f>O94-$G94</f>
        <v>-0.48226905221191518</v>
      </c>
      <c r="Q101" s="590">
        <f>Q94-$E94</f>
        <v>-0.15170062076573432</v>
      </c>
      <c r="R101" s="590">
        <f>R94-$F94</f>
        <v>-0.32110325179535504</v>
      </c>
      <c r="S101" s="590">
        <f>S94-$G94</f>
        <v>-8.3088422082773339E-2</v>
      </c>
      <c r="U101" s="590">
        <f>U94-$E94</f>
        <v>-0.14218786328760757</v>
      </c>
      <c r="V101" s="590">
        <f>V94-$F94</f>
        <v>-0.14978841368147822</v>
      </c>
      <c r="W101" s="980">
        <f>W94-$G94</f>
        <v>-5.788260216006591E-2</v>
      </c>
    </row>
    <row r="102" spans="2:23" s="392" customFormat="1" ht="10.9" thickBot="1">
      <c r="C102" s="998" t="s">
        <v>47</v>
      </c>
      <c r="D102" s="999"/>
      <c r="E102" s="999"/>
      <c r="F102" s="999"/>
      <c r="G102" s="999"/>
      <c r="H102" s="999"/>
      <c r="I102" s="1000">
        <f>I95-$E95</f>
        <v>-9.3270057780904914E-2</v>
      </c>
      <c r="J102" s="1000">
        <f>J95-$F95</f>
        <v>-0.17050182458982766</v>
      </c>
      <c r="K102" s="1000">
        <f>K95-$G95</f>
        <v>-0.13966723245360468</v>
      </c>
      <c r="L102" s="1004"/>
      <c r="M102" s="1000">
        <f>M95-$E95</f>
        <v>-7.027112398486357E-2</v>
      </c>
      <c r="N102" s="1000">
        <f>N95-$F95</f>
        <v>-0.10912331199375291</v>
      </c>
      <c r="O102" s="1000">
        <f>O95-$G95</f>
        <v>-0.11550544684494723</v>
      </c>
      <c r="P102" s="1004"/>
      <c r="Q102" s="1000">
        <f>Q95-$E95</f>
        <v>-7.5331852063373894E-3</v>
      </c>
      <c r="R102" s="1000">
        <f>R95-$F95</f>
        <v>-2.2505476117869683E-2</v>
      </c>
      <c r="S102" s="1000">
        <f>S95-$G95</f>
        <v>-4.4893690290223831E-2</v>
      </c>
      <c r="T102" s="1004"/>
      <c r="U102" s="1000">
        <f>U95-$E95</f>
        <v>-3.654589765773153E-3</v>
      </c>
      <c r="V102" s="1000">
        <f>V95-$F95</f>
        <v>-9.1617076372579875E-3</v>
      </c>
      <c r="W102" s="1001">
        <f>W95-$G95</f>
        <v>-2.4163054734030798E-2</v>
      </c>
    </row>
    <row r="104" spans="2:23" s="278" customFormat="1">
      <c r="B104" s="276"/>
      <c r="C104" s="276" t="s">
        <v>232</v>
      </c>
      <c r="D104" s="276"/>
      <c r="E104" s="963">
        <v>2019</v>
      </c>
      <c r="F104" s="963"/>
      <c r="G104" s="963"/>
      <c r="H104" s="253"/>
      <c r="I104" s="963">
        <f>E104+2</f>
        <v>2021</v>
      </c>
      <c r="J104" s="963"/>
      <c r="K104" s="963"/>
      <c r="L104" s="253"/>
      <c r="M104" s="967" t="s">
        <v>141</v>
      </c>
      <c r="N104" s="967"/>
      <c r="O104" s="967"/>
      <c r="P104" s="253"/>
      <c r="Q104" s="965">
        <f>I104+1</f>
        <v>2022</v>
      </c>
      <c r="R104" s="963"/>
      <c r="S104" s="963"/>
      <c r="T104" s="253"/>
      <c r="U104" s="965">
        <f>Q104+1</f>
        <v>2023</v>
      </c>
      <c r="V104" s="963"/>
      <c r="W104" s="963"/>
    </row>
    <row r="105" spans="2:23" s="278" customFormat="1" ht="10.9" thickBot="1">
      <c r="B105" s="262"/>
      <c r="C105" s="262" t="s">
        <v>1715</v>
      </c>
      <c r="D105" s="262"/>
      <c r="E105" s="264" t="s">
        <v>1314</v>
      </c>
      <c r="F105" s="264" t="s">
        <v>1315</v>
      </c>
      <c r="G105" s="264" t="s">
        <v>1316</v>
      </c>
      <c r="H105" s="253"/>
      <c r="I105" s="264" t="s">
        <v>1314</v>
      </c>
      <c r="J105" s="264" t="s">
        <v>1315</v>
      </c>
      <c r="K105" s="264" t="s">
        <v>1316</v>
      </c>
      <c r="L105" s="253"/>
      <c r="M105" s="264" t="s">
        <v>1314</v>
      </c>
      <c r="N105" s="264" t="s">
        <v>1315</v>
      </c>
      <c r="O105" s="264" t="s">
        <v>1316</v>
      </c>
      <c r="P105" s="253"/>
      <c r="Q105" s="264" t="s">
        <v>1314</v>
      </c>
      <c r="R105" s="264" t="s">
        <v>1315</v>
      </c>
      <c r="S105" s="264" t="s">
        <v>1316</v>
      </c>
      <c r="T105" s="253"/>
      <c r="U105" s="264" t="s">
        <v>1314</v>
      </c>
      <c r="V105" s="264" t="s">
        <v>1315</v>
      </c>
      <c r="W105" s="264" t="s">
        <v>1316</v>
      </c>
    </row>
    <row r="106" spans="2:23">
      <c r="B106" s="253" t="s">
        <v>133</v>
      </c>
      <c r="C106" s="972" t="s">
        <v>1722</v>
      </c>
      <c r="D106" s="473"/>
      <c r="E106" s="1002"/>
      <c r="F106" s="1002"/>
      <c r="G106" s="1002"/>
      <c r="H106" s="473"/>
      <c r="I106" s="473"/>
      <c r="J106" s="473"/>
      <c r="K106" s="473"/>
      <c r="L106" s="473"/>
      <c r="M106" s="1002"/>
      <c r="N106" s="1002"/>
      <c r="O106" s="1002"/>
      <c r="P106" s="473"/>
      <c r="Q106" s="473"/>
      <c r="R106" s="473"/>
      <c r="S106" s="473"/>
      <c r="T106" s="473"/>
      <c r="U106" s="473"/>
      <c r="V106" s="473"/>
      <c r="W106" s="474"/>
    </row>
    <row r="107" spans="2:23">
      <c r="C107" s="573" t="s">
        <v>396</v>
      </c>
      <c r="E107" s="494">
        <f t="shared" ref="E107:G111" si="24">E27/E53/10</f>
        <v>16.320070182485033</v>
      </c>
      <c r="F107" s="494">
        <f t="shared" si="24"/>
        <v>17.412491863917275</v>
      </c>
      <c r="G107" s="494">
        <f t="shared" si="24"/>
        <v>15.360513214276867</v>
      </c>
      <c r="I107" s="494">
        <f t="shared" ref="I107:K111" si="25">I27/I53/10</f>
        <v>13.265192550270834</v>
      </c>
      <c r="J107" s="494">
        <f t="shared" si="25"/>
        <v>12.887279061607099</v>
      </c>
      <c r="K107" s="494">
        <f t="shared" si="25"/>
        <v>13.123001567745195</v>
      </c>
      <c r="M107" s="494">
        <f t="shared" ref="M107:O111" si="26">M27/M53/10</f>
        <v>14.152409689999718</v>
      </c>
      <c r="N107" s="494">
        <f t="shared" si="26"/>
        <v>14.34314894603358</v>
      </c>
      <c r="O107" s="494">
        <f t="shared" si="26"/>
        <v>13.837367333631857</v>
      </c>
      <c r="Q107" s="494">
        <f t="shared" ref="Q107:S111" si="27">Q27/Q53/10</f>
        <v>16.695988797238194</v>
      </c>
      <c r="R107" s="494">
        <f t="shared" si="27"/>
        <v>18.587693014559267</v>
      </c>
      <c r="S107" s="494">
        <f t="shared" si="27"/>
        <v>16.351416717303813</v>
      </c>
      <c r="U107" s="494">
        <f t="shared" ref="U107:W111" si="28">U27/U53/10</f>
        <v>17.093573130504208</v>
      </c>
      <c r="V107" s="494">
        <f t="shared" si="28"/>
        <v>17.955762241876062</v>
      </c>
      <c r="W107" s="837">
        <f t="shared" si="28"/>
        <v>16.169644648045612</v>
      </c>
    </row>
    <row r="108" spans="2:23">
      <c r="C108" s="573" t="s">
        <v>397</v>
      </c>
      <c r="E108" s="494">
        <f t="shared" si="24"/>
        <v>13.769302122551426</v>
      </c>
      <c r="F108" s="494">
        <f t="shared" si="24"/>
        <v>12.933811680309233</v>
      </c>
      <c r="G108" s="494">
        <f t="shared" si="24"/>
        <v>12.898375325485016</v>
      </c>
      <c r="I108" s="494">
        <f t="shared" si="25"/>
        <v>10.575530888030887</v>
      </c>
      <c r="J108" s="494">
        <f t="shared" si="25"/>
        <v>8.7993204656189281</v>
      </c>
      <c r="K108" s="494">
        <f t="shared" si="25"/>
        <v>9.5554003724394789</v>
      </c>
      <c r="M108" s="494">
        <f t="shared" si="26"/>
        <v>11.942017585751609</v>
      </c>
      <c r="N108" s="494">
        <f t="shared" si="26"/>
        <v>10.788576715259561</v>
      </c>
      <c r="O108" s="494">
        <f t="shared" si="26"/>
        <v>10.451457684687234</v>
      </c>
      <c r="Q108" s="494">
        <f t="shared" si="27"/>
        <v>14.052286403233774</v>
      </c>
      <c r="R108" s="494">
        <f t="shared" si="27"/>
        <v>13.372261280788061</v>
      </c>
      <c r="S108" s="494">
        <f t="shared" si="27"/>
        <v>12.75314596427487</v>
      </c>
      <c r="U108" s="494">
        <f t="shared" si="28"/>
        <v>14.209020947470188</v>
      </c>
      <c r="V108" s="494">
        <f t="shared" si="28"/>
        <v>13.398426752097063</v>
      </c>
      <c r="W108" s="837">
        <f t="shared" si="28"/>
        <v>13.450214240605717</v>
      </c>
    </row>
    <row r="109" spans="2:23">
      <c r="C109" s="573" t="s">
        <v>1719</v>
      </c>
      <c r="E109" s="494">
        <f t="shared" si="24"/>
        <v>11.007165131281393</v>
      </c>
      <c r="F109" s="494">
        <f t="shared" si="24"/>
        <v>12.046343331911469</v>
      </c>
      <c r="G109" s="494">
        <f t="shared" si="24"/>
        <v>12.996122262773721</v>
      </c>
      <c r="I109" s="494">
        <f t="shared" si="25"/>
        <v>5.8920503113933318</v>
      </c>
      <c r="J109" s="494">
        <f t="shared" si="25"/>
        <v>8.1023809290686071</v>
      </c>
      <c r="K109" s="494">
        <f t="shared" si="25"/>
        <v>7.6953881065207224</v>
      </c>
      <c r="M109" s="494">
        <f t="shared" si="26"/>
        <v>6.5210348498171893</v>
      </c>
      <c r="N109" s="494">
        <f t="shared" si="26"/>
        <v>8.5954589770228296</v>
      </c>
      <c r="O109" s="494">
        <f t="shared" si="26"/>
        <v>8.4501727190919915</v>
      </c>
      <c r="Q109" s="494">
        <f t="shared" si="27"/>
        <v>10.891015361032416</v>
      </c>
      <c r="R109" s="494">
        <f t="shared" si="27"/>
        <v>12.863524280328301</v>
      </c>
      <c r="S109" s="494">
        <f t="shared" si="27"/>
        <v>11.651577351322134</v>
      </c>
      <c r="U109" s="494">
        <f t="shared" si="28"/>
        <v>11.265169394746858</v>
      </c>
      <c r="V109" s="494">
        <f t="shared" si="28"/>
        <v>12.130072399995637</v>
      </c>
      <c r="W109" s="837">
        <f t="shared" si="28"/>
        <v>12.916231248093784</v>
      </c>
    </row>
    <row r="110" spans="2:23">
      <c r="C110" s="573" t="s">
        <v>1720</v>
      </c>
      <c r="E110" s="494">
        <f t="shared" si="24"/>
        <v>8.4747733085328996</v>
      </c>
      <c r="F110" s="494">
        <f t="shared" si="24"/>
        <v>10.185805502516823</v>
      </c>
      <c r="G110" s="494">
        <f t="shared" si="24"/>
        <v>10.233314998166481</v>
      </c>
      <c r="I110" s="494">
        <f t="shared" si="25"/>
        <v>4.2365132581530016</v>
      </c>
      <c r="J110" s="494">
        <f t="shared" si="25"/>
        <v>5.0425442024169218</v>
      </c>
      <c r="K110" s="494">
        <f t="shared" si="25"/>
        <v>6.0950104571257837</v>
      </c>
      <c r="M110" s="494">
        <f t="shared" si="26"/>
        <v>5.3256150506512299</v>
      </c>
      <c r="N110" s="494">
        <f t="shared" si="26"/>
        <v>5.7932101974084436</v>
      </c>
      <c r="O110" s="494">
        <f t="shared" si="26"/>
        <v>6.4811614241272038</v>
      </c>
      <c r="Q110" s="494">
        <f t="shared" si="27"/>
        <v>9.5539674885255064</v>
      </c>
      <c r="R110" s="494">
        <f t="shared" si="27"/>
        <v>9.5534892706150885</v>
      </c>
      <c r="S110" s="494">
        <f t="shared" si="27"/>
        <v>12.45343961880935</v>
      </c>
      <c r="U110" s="494">
        <f t="shared" si="28"/>
        <v>9.8615501414866422</v>
      </c>
      <c r="V110" s="494">
        <f t="shared" si="28"/>
        <v>10.907518692958542</v>
      </c>
      <c r="W110" s="837">
        <f t="shared" si="28"/>
        <v>11.210148292787437</v>
      </c>
    </row>
    <row r="111" spans="2:23" s="279" customFormat="1">
      <c r="C111" s="974" t="s">
        <v>400</v>
      </c>
      <c r="E111" s="840">
        <f t="shared" si="24"/>
        <v>14.735800875519137</v>
      </c>
      <c r="F111" s="840">
        <f t="shared" si="24"/>
        <v>15.351877405766578</v>
      </c>
      <c r="G111" s="840">
        <f t="shared" si="24"/>
        <v>13.903557556342301</v>
      </c>
      <c r="I111" s="840">
        <f t="shared" si="25"/>
        <v>12.148600461463166</v>
      </c>
      <c r="J111" s="840">
        <f t="shared" si="25"/>
        <v>11.57943992513138</v>
      </c>
      <c r="K111" s="840">
        <f t="shared" si="25"/>
        <v>11.303194466208502</v>
      </c>
      <c r="M111" s="840">
        <f t="shared" si="26"/>
        <v>12.992585821653464</v>
      </c>
      <c r="N111" s="840">
        <f t="shared" si="26"/>
        <v>12.94005801150529</v>
      </c>
      <c r="O111" s="840">
        <f t="shared" si="26"/>
        <v>12.019664844377857</v>
      </c>
      <c r="Q111" s="840">
        <f t="shared" si="27"/>
        <v>15.393736235729346</v>
      </c>
      <c r="R111" s="840">
        <f t="shared" si="27"/>
        <v>16.738101978640024</v>
      </c>
      <c r="S111" s="840">
        <f t="shared" si="27"/>
        <v>14.807550686700443</v>
      </c>
      <c r="U111" s="840">
        <f t="shared" si="28"/>
        <v>15.580736334578891</v>
      </c>
      <c r="V111" s="840">
        <f t="shared" si="28"/>
        <v>16.001413661348209</v>
      </c>
      <c r="W111" s="854">
        <f t="shared" si="28"/>
        <v>14.719925234234839</v>
      </c>
    </row>
    <row r="112" spans="2:23">
      <c r="C112" s="425"/>
      <c r="W112" s="426"/>
    </row>
    <row r="113" spans="2:23" s="278" customFormat="1">
      <c r="C113" s="977" t="s">
        <v>1338</v>
      </c>
      <c r="D113" s="751"/>
      <c r="E113" s="751"/>
      <c r="F113" s="751"/>
      <c r="G113" s="751"/>
      <c r="I113" s="751"/>
      <c r="J113" s="751"/>
      <c r="K113" s="751"/>
      <c r="M113" s="751"/>
      <c r="N113" s="751"/>
      <c r="O113" s="751"/>
      <c r="Q113" s="751"/>
      <c r="R113" s="751"/>
      <c r="S113" s="751"/>
      <c r="U113" s="751"/>
      <c r="V113" s="751"/>
      <c r="W113" s="826"/>
    </row>
    <row r="114" spans="2:23" s="278" customFormat="1">
      <c r="C114" s="825" t="s">
        <v>396</v>
      </c>
      <c r="D114" s="751"/>
      <c r="E114" s="751"/>
      <c r="F114" s="751"/>
      <c r="G114" s="751"/>
      <c r="I114" s="590">
        <f>I107/$E107-1</f>
        <v>-0.18718532445361313</v>
      </c>
      <c r="J114" s="590">
        <f>J107/$F107-1</f>
        <v>-0.25988312515381362</v>
      </c>
      <c r="K114" s="590">
        <f>K107/$G107-1</f>
        <v>-0.1456664640900156</v>
      </c>
      <c r="M114" s="590">
        <f>M107/$E107-1</f>
        <v>-0.13282176291200531</v>
      </c>
      <c r="N114" s="590">
        <f>N107/$F107-1</f>
        <v>-0.17627246817235198</v>
      </c>
      <c r="O114" s="590">
        <f>O107/$G107-1</f>
        <v>-9.9159830104460278E-2</v>
      </c>
      <c r="Q114" s="590">
        <f>Q107/$E107-1</f>
        <v>2.3034129789258007E-2</v>
      </c>
      <c r="R114" s="590">
        <f>R107/$F107-1</f>
        <v>6.7491842053766238E-2</v>
      </c>
      <c r="S114" s="590">
        <f>S107/$G107-1</f>
        <v>6.4509791385482407E-2</v>
      </c>
      <c r="U114" s="590">
        <f>U107/$E107-1</f>
        <v>4.7395810150945961E-2</v>
      </c>
      <c r="V114" s="590">
        <f>V107/$F107-1</f>
        <v>3.1200036284557919E-2</v>
      </c>
      <c r="W114" s="980">
        <f>W107/$G107-1</f>
        <v>5.2676067686117101E-2</v>
      </c>
    </row>
    <row r="115" spans="2:23" s="278" customFormat="1">
      <c r="C115" s="825" t="s">
        <v>397</v>
      </c>
      <c r="D115" s="751"/>
      <c r="E115" s="751"/>
      <c r="F115" s="751"/>
      <c r="G115" s="751"/>
      <c r="I115" s="590">
        <f>I108/$E108-1</f>
        <v>-0.23194866421659577</v>
      </c>
      <c r="J115" s="590">
        <f>J108/$F108-1</f>
        <v>-0.31966533276379461</v>
      </c>
      <c r="K115" s="590">
        <f>K108/$G108-1</f>
        <v>-0.25917798704774719</v>
      </c>
      <c r="M115" s="590">
        <f>M108/$E108-1</f>
        <v>-0.13270712782219241</v>
      </c>
      <c r="N115" s="590">
        <f>N108/$F108-1</f>
        <v>-0.16586254834030356</v>
      </c>
      <c r="O115" s="590">
        <f>O108/$G108-1</f>
        <v>-0.18970743051360006</v>
      </c>
      <c r="Q115" s="590">
        <f>Q108/$E108-1</f>
        <v>2.0551824497980542E-2</v>
      </c>
      <c r="R115" s="590">
        <f>R108/$F108-1</f>
        <v>3.3899488512449505E-2</v>
      </c>
      <c r="S115" s="590">
        <f>S108/$G108-1</f>
        <v>-1.1259508081083558E-2</v>
      </c>
      <c r="U115" s="590">
        <f>U108/$E108-1</f>
        <v>3.1934721237512065E-2</v>
      </c>
      <c r="V115" s="590">
        <f>V108/$F108-1</f>
        <v>3.5922517141267152E-2</v>
      </c>
      <c r="W115" s="980">
        <f>W108/$G108-1</f>
        <v>4.278359880180882E-2</v>
      </c>
    </row>
    <row r="116" spans="2:23" s="278" customFormat="1">
      <c r="C116" s="825" t="s">
        <v>1719</v>
      </c>
      <c r="D116" s="751"/>
      <c r="E116" s="751"/>
      <c r="F116" s="751"/>
      <c r="G116" s="751"/>
      <c r="I116" s="590">
        <f>I109/$E109-1</f>
        <v>-0.46470773890284933</v>
      </c>
      <c r="J116" s="590">
        <f>J109/$F109-1</f>
        <v>-0.32739913633335305</v>
      </c>
      <c r="K116" s="590">
        <f>K109/$G109-1</f>
        <v>-0.40787044389667659</v>
      </c>
      <c r="M116" s="590">
        <f>M109/$E109-1</f>
        <v>-0.40756454799746911</v>
      </c>
      <c r="N116" s="590">
        <f>N109/$F109-1</f>
        <v>-0.28646737518654686</v>
      </c>
      <c r="O116" s="590">
        <f>O109/$G109-1</f>
        <v>-0.34979276523915237</v>
      </c>
      <c r="Q116" s="590">
        <f>Q109/$E109-1</f>
        <v>-1.0552196579561635E-2</v>
      </c>
      <c r="R116" s="590">
        <f>R109/$F109-1</f>
        <v>6.7836431845012424E-2</v>
      </c>
      <c r="S116" s="590">
        <f>S109/$G109-1</f>
        <v>-0.10345739169466883</v>
      </c>
      <c r="U116" s="590">
        <f>U109/$E109-1</f>
        <v>2.3439665017129574E-2</v>
      </c>
      <c r="V116" s="590">
        <f>V109/$F109-1</f>
        <v>6.950579588941741E-3</v>
      </c>
      <c r="W116" s="980">
        <f>W109/$G109-1</f>
        <v>-6.1472963292118488E-3</v>
      </c>
    </row>
    <row r="117" spans="2:23" s="278" customFormat="1">
      <c r="C117" s="825" t="s">
        <v>1720</v>
      </c>
      <c r="D117" s="751"/>
      <c r="E117" s="751"/>
      <c r="F117" s="751"/>
      <c r="G117" s="751"/>
      <c r="I117" s="590">
        <f>I110/$E110-1</f>
        <v>-0.50010305834523838</v>
      </c>
      <c r="J117" s="590">
        <f>J110/$F110-1</f>
        <v>-0.50494399277789537</v>
      </c>
      <c r="K117" s="590">
        <f>K110/$G110-1</f>
        <v>-0.40439530511688182</v>
      </c>
      <c r="M117" s="590">
        <f>M110/$E110-1</f>
        <v>-0.37159203476403457</v>
      </c>
      <c r="N117" s="590">
        <f>N110/$F110-1</f>
        <v>-0.43124672899192973</v>
      </c>
      <c r="O117" s="590">
        <f>O110/$G110-1</f>
        <v>-0.36666061532470728</v>
      </c>
      <c r="Q117" s="590">
        <f>Q110/$E110-1</f>
        <v>0.12734195248691904</v>
      </c>
      <c r="R117" s="590">
        <f>R110/$F110-1</f>
        <v>-6.2078176511960126E-2</v>
      </c>
      <c r="S117" s="590">
        <f>S110/$G110-1</f>
        <v>0.21695067737489282</v>
      </c>
      <c r="U117" s="590">
        <f>U110/$E110-1</f>
        <v>0.16363586168817679</v>
      </c>
      <c r="V117" s="590">
        <f>V110/$F110-1</f>
        <v>7.0854797911013456E-2</v>
      </c>
      <c r="W117" s="980">
        <f>W110/$G110-1</f>
        <v>9.5456193305490711E-2</v>
      </c>
    </row>
    <row r="118" spans="2:23" s="392" customFormat="1" ht="10.9" thickBot="1">
      <c r="C118" s="998" t="s">
        <v>400</v>
      </c>
      <c r="D118" s="999"/>
      <c r="E118" s="999"/>
      <c r="F118" s="999"/>
      <c r="G118" s="999"/>
      <c r="H118" s="1004"/>
      <c r="I118" s="1000">
        <f>I111/$E111-1</f>
        <v>-0.17557243314505799</v>
      </c>
      <c r="J118" s="1000">
        <f>J111/$F111-1</f>
        <v>-0.2457313448333146</v>
      </c>
      <c r="K118" s="1000">
        <f>K111/$G111-1</f>
        <v>-0.18702861333124099</v>
      </c>
      <c r="L118" s="1004"/>
      <c r="M118" s="1000">
        <f>M111/$E111-1</f>
        <v>-0.11829795126790221</v>
      </c>
      <c r="N118" s="1000">
        <f>N111/$F111-1</f>
        <v>-0.15710256996680705</v>
      </c>
      <c r="O118" s="1000">
        <f>O111/$G111-1</f>
        <v>-0.13549717072988132</v>
      </c>
      <c r="P118" s="1004"/>
      <c r="Q118" s="1000">
        <f>Q111/$E111-1</f>
        <v>4.4648768381720494E-2</v>
      </c>
      <c r="R118" s="1000">
        <f>R111/$F111-1</f>
        <v>9.0296745878959639E-2</v>
      </c>
      <c r="S118" s="1000">
        <f>S111/$G111-1</f>
        <v>6.5018836128439172E-2</v>
      </c>
      <c r="T118" s="1004"/>
      <c r="U118" s="1000">
        <f>U111/$E111-1</f>
        <v>5.7338957427380821E-2</v>
      </c>
      <c r="V118" s="1000">
        <f>V111/$F111-1</f>
        <v>4.2309890732819877E-2</v>
      </c>
      <c r="W118" s="1001">
        <f>W111/$G111-1</f>
        <v>5.8716459768251239E-2</v>
      </c>
    </row>
    <row r="120" spans="2:23" s="278" customFormat="1">
      <c r="B120" s="276"/>
      <c r="C120" s="276" t="s">
        <v>232</v>
      </c>
      <c r="D120" s="276"/>
      <c r="E120" s="963">
        <v>2019</v>
      </c>
      <c r="F120" s="963"/>
      <c r="G120" s="963"/>
      <c r="H120" s="253"/>
      <c r="I120" s="963">
        <f>E120+2</f>
        <v>2021</v>
      </c>
      <c r="J120" s="963"/>
      <c r="K120" s="963"/>
      <c r="L120" s="253"/>
      <c r="M120" s="967" t="s">
        <v>141</v>
      </c>
      <c r="N120" s="967"/>
      <c r="O120" s="967"/>
      <c r="P120" s="253"/>
      <c r="Q120" s="965">
        <f>I120+1</f>
        <v>2022</v>
      </c>
      <c r="R120" s="963"/>
      <c r="S120" s="963"/>
      <c r="T120" s="253"/>
      <c r="U120" s="965">
        <f>Q120+1</f>
        <v>2023</v>
      </c>
      <c r="V120" s="963"/>
      <c r="W120" s="963"/>
    </row>
    <row r="121" spans="2:23" s="278" customFormat="1" ht="10.9" thickBot="1">
      <c r="B121" s="262"/>
      <c r="C121" s="262" t="s">
        <v>1715</v>
      </c>
      <c r="D121" s="262"/>
      <c r="E121" s="264" t="s">
        <v>1314</v>
      </c>
      <c r="F121" s="264" t="s">
        <v>1315</v>
      </c>
      <c r="G121" s="264" t="s">
        <v>1316</v>
      </c>
      <c r="H121" s="253"/>
      <c r="I121" s="264" t="s">
        <v>1314</v>
      </c>
      <c r="J121" s="264" t="s">
        <v>1315</v>
      </c>
      <c r="K121" s="264" t="s">
        <v>1316</v>
      </c>
      <c r="L121" s="253"/>
      <c r="M121" s="264" t="s">
        <v>1314</v>
      </c>
      <c r="N121" s="264" t="s">
        <v>1315</v>
      </c>
      <c r="O121" s="264" t="s">
        <v>1316</v>
      </c>
      <c r="P121" s="253"/>
      <c r="Q121" s="264" t="s">
        <v>1314</v>
      </c>
      <c r="R121" s="264" t="s">
        <v>1315</v>
      </c>
      <c r="S121" s="264" t="s">
        <v>1316</v>
      </c>
      <c r="T121" s="253"/>
      <c r="U121" s="264" t="s">
        <v>1314</v>
      </c>
      <c r="V121" s="264" t="s">
        <v>1315</v>
      </c>
      <c r="W121" s="264" t="s">
        <v>1316</v>
      </c>
    </row>
    <row r="122" spans="2:23">
      <c r="B122" s="253" t="s">
        <v>133</v>
      </c>
      <c r="C122" s="972" t="s">
        <v>1723</v>
      </c>
      <c r="D122" s="473"/>
      <c r="E122" s="473"/>
      <c r="F122" s="473"/>
      <c r="G122" s="473"/>
      <c r="H122" s="473"/>
      <c r="I122" s="473"/>
      <c r="J122" s="473"/>
      <c r="K122" s="473"/>
      <c r="L122" s="473"/>
      <c r="M122" s="473"/>
      <c r="N122" s="473"/>
      <c r="O122" s="473"/>
      <c r="P122" s="473"/>
      <c r="Q122" s="473"/>
      <c r="R122" s="473"/>
      <c r="S122" s="473"/>
      <c r="T122" s="473"/>
      <c r="U122" s="473"/>
      <c r="V122" s="473"/>
      <c r="W122" s="474"/>
    </row>
    <row r="123" spans="2:23">
      <c r="C123" s="425" t="s">
        <v>396</v>
      </c>
      <c r="E123" s="494">
        <f t="shared" ref="E123:G127" si="29">E27/E75/10</f>
        <v>19.111776755930464</v>
      </c>
      <c r="F123" s="494">
        <f t="shared" si="29"/>
        <v>20.037676868514744</v>
      </c>
      <c r="G123" s="494">
        <f t="shared" si="29"/>
        <v>17.249460900411357</v>
      </c>
      <c r="I123" s="494">
        <f t="shared" ref="I123:K127" si="30">I27/I75/10</f>
        <v>16.388721247354869</v>
      </c>
      <c r="J123" s="494">
        <f t="shared" si="30"/>
        <v>17.377028897935006</v>
      </c>
      <c r="K123" s="494">
        <f t="shared" si="30"/>
        <v>16.427724001818405</v>
      </c>
      <c r="M123" s="494">
        <f t="shared" ref="M123:O127" si="31">M27/M75/10</f>
        <v>17.144039449636193</v>
      </c>
      <c r="N123" s="494">
        <f t="shared" si="31"/>
        <v>17.926412426039725</v>
      </c>
      <c r="O123" s="494">
        <f t="shared" si="31"/>
        <v>16.988975588113313</v>
      </c>
      <c r="Q123" s="494">
        <f t="shared" ref="Q123:S127" si="32">Q27/Q75/10</f>
        <v>19.565401124153272</v>
      </c>
      <c r="R123" s="494">
        <f t="shared" si="32"/>
        <v>21.566527553320764</v>
      </c>
      <c r="S123" s="494">
        <f t="shared" si="32"/>
        <v>19.621849503962501</v>
      </c>
      <c r="U123" s="494">
        <f t="shared" ref="U123:W127" si="33">U27/U75/10</f>
        <v>19.876247826167685</v>
      </c>
      <c r="V123" s="494">
        <f t="shared" si="33"/>
        <v>20.638807174570186</v>
      </c>
      <c r="W123" s="837">
        <f t="shared" si="33"/>
        <v>18.801912381448382</v>
      </c>
    </row>
    <row r="124" spans="2:23">
      <c r="C124" s="425" t="s">
        <v>397</v>
      </c>
      <c r="E124" s="494">
        <f t="shared" si="29"/>
        <v>16.264904930712213</v>
      </c>
      <c r="F124" s="494">
        <f t="shared" si="29"/>
        <v>14.697703764915602</v>
      </c>
      <c r="G124" s="494">
        <f t="shared" si="29"/>
        <v>15.249676009757049</v>
      </c>
      <c r="I124" s="494">
        <f t="shared" si="30"/>
        <v>15.763679690661391</v>
      </c>
      <c r="J124" s="494">
        <f t="shared" si="30"/>
        <v>13.296356576369552</v>
      </c>
      <c r="K124" s="494">
        <f t="shared" si="30"/>
        <v>13.805279973095676</v>
      </c>
      <c r="M124" s="494">
        <f t="shared" si="31"/>
        <v>16.153056959379867</v>
      </c>
      <c r="N124" s="494">
        <f t="shared" si="31"/>
        <v>14.032832447602459</v>
      </c>
      <c r="O124" s="494">
        <f t="shared" si="31"/>
        <v>14.080076263107722</v>
      </c>
      <c r="Q124" s="494">
        <f t="shared" si="32"/>
        <v>16.742312735042667</v>
      </c>
      <c r="R124" s="494">
        <f t="shared" si="32"/>
        <v>16.106416890489474</v>
      </c>
      <c r="S124" s="494">
        <f t="shared" si="32"/>
        <v>15.701584897819618</v>
      </c>
      <c r="U124" s="494">
        <f t="shared" si="33"/>
        <v>16.915501127940701</v>
      </c>
      <c r="V124" s="494">
        <f t="shared" si="33"/>
        <v>15.57956599081054</v>
      </c>
      <c r="W124" s="837">
        <f t="shared" si="33"/>
        <v>16.012159810244903</v>
      </c>
    </row>
    <row r="125" spans="2:23">
      <c r="C125" s="425" t="s">
        <v>1719</v>
      </c>
      <c r="E125" s="494">
        <f t="shared" si="29"/>
        <v>13.539867060993819</v>
      </c>
      <c r="F125" s="494">
        <f t="shared" si="29"/>
        <v>14.297586515789295</v>
      </c>
      <c r="G125" s="494">
        <f t="shared" si="29"/>
        <v>15.75150152206559</v>
      </c>
      <c r="I125" s="494">
        <f t="shared" si="30"/>
        <v>12.954759028057458</v>
      </c>
      <c r="J125" s="494">
        <f t="shared" si="30"/>
        <v>14.234006268751784</v>
      </c>
      <c r="K125" s="494">
        <f t="shared" si="30"/>
        <v>12.781288105531535</v>
      </c>
      <c r="M125" s="494">
        <f t="shared" si="31"/>
        <v>12.980193459235375</v>
      </c>
      <c r="N125" s="494">
        <f t="shared" si="31"/>
        <v>13.880214074560635</v>
      </c>
      <c r="O125" s="494">
        <f>O29/O77/10</f>
        <v>13.26316748678695</v>
      </c>
      <c r="Q125" s="494">
        <f t="shared" si="32"/>
        <v>13.893563576152161</v>
      </c>
      <c r="R125" s="494">
        <f t="shared" si="32"/>
        <v>15.54501560321053</v>
      </c>
      <c r="S125" s="494">
        <f t="shared" si="32"/>
        <v>14.527677225211082</v>
      </c>
      <c r="U125" s="494">
        <f t="shared" si="33"/>
        <v>14.08146174343357</v>
      </c>
      <c r="V125" s="494">
        <f t="shared" si="33"/>
        <v>14.44056238094719</v>
      </c>
      <c r="W125" s="837">
        <f t="shared" si="33"/>
        <v>15.751501522065592</v>
      </c>
    </row>
    <row r="126" spans="2:23">
      <c r="C126" s="425" t="s">
        <v>1720</v>
      </c>
      <c r="E126" s="494">
        <f t="shared" si="29"/>
        <v>10.062806266823106</v>
      </c>
      <c r="F126" s="494">
        <f t="shared" si="29"/>
        <v>11.986284277976418</v>
      </c>
      <c r="G126" s="494">
        <f t="shared" si="29"/>
        <v>12.666834229138349</v>
      </c>
      <c r="I126" s="494">
        <f t="shared" si="30"/>
        <v>14.693446088794925</v>
      </c>
      <c r="J126" s="494">
        <f t="shared" si="30"/>
        <v>21.757887539242162</v>
      </c>
      <c r="K126" s="494">
        <f t="shared" si="30"/>
        <v>21.052631578947366</v>
      </c>
      <c r="M126" s="494">
        <f t="shared" si="31"/>
        <v>15.384615384615381</v>
      </c>
      <c r="N126" s="494">
        <f t="shared" si="31"/>
        <v>21.735657029732103</v>
      </c>
      <c r="O126" s="494">
        <f t="shared" si="31"/>
        <v>19.904458598726116</v>
      </c>
      <c r="Q126" s="494">
        <f t="shared" si="32"/>
        <v>13.83655902697269</v>
      </c>
      <c r="R126" s="494">
        <f t="shared" si="32"/>
        <v>18.070280687531145</v>
      </c>
      <c r="S126" s="494">
        <f t="shared" si="32"/>
        <v>17.182035895323146</v>
      </c>
      <c r="U126" s="494">
        <f t="shared" si="33"/>
        <v>14.087928773552346</v>
      </c>
      <c r="V126" s="494">
        <f t="shared" si="33"/>
        <v>15.582169561369344</v>
      </c>
      <c r="W126" s="837">
        <f t="shared" si="33"/>
        <v>14.946864390383249</v>
      </c>
    </row>
    <row r="127" spans="2:23">
      <c r="C127" s="974" t="s">
        <v>405</v>
      </c>
      <c r="E127" s="840">
        <f t="shared" si="29"/>
        <v>17.41339932269711</v>
      </c>
      <c r="F127" s="840">
        <f t="shared" si="29"/>
        <v>17.78694042409963</v>
      </c>
      <c r="G127" s="840">
        <f t="shared" si="29"/>
        <v>16.138879660548561</v>
      </c>
      <c r="I127" s="840">
        <f t="shared" si="30"/>
        <v>16.134384072998756</v>
      </c>
      <c r="J127" s="840">
        <f t="shared" si="30"/>
        <v>16.718884566269711</v>
      </c>
      <c r="K127" s="840">
        <f t="shared" si="30"/>
        <v>15.659138309337177</v>
      </c>
      <c r="M127" s="840">
        <f t="shared" si="31"/>
        <v>16.743835997447686</v>
      </c>
      <c r="N127" s="840">
        <f t="shared" si="31"/>
        <v>17.162450786135203</v>
      </c>
      <c r="O127" s="840">
        <f t="shared" si="31"/>
        <v>16.112385702410641</v>
      </c>
      <c r="Q127" s="840">
        <f t="shared" si="32"/>
        <v>18.3542762502769</v>
      </c>
      <c r="R127" s="840">
        <f t="shared" si="32"/>
        <v>19.912259795252631</v>
      </c>
      <c r="S127" s="840">
        <f t="shared" si="32"/>
        <v>18.133154943727085</v>
      </c>
      <c r="U127" s="840">
        <f t="shared" si="33"/>
        <v>18.491724853607529</v>
      </c>
      <c r="V127" s="840">
        <f t="shared" si="33"/>
        <v>18.738410410070365</v>
      </c>
      <c r="W127" s="854">
        <f t="shared" si="33"/>
        <v>17.579566241774494</v>
      </c>
    </row>
    <row r="128" spans="2:23">
      <c r="C128" s="425"/>
      <c r="W128" s="426"/>
    </row>
    <row r="129" spans="2:23" s="278" customFormat="1">
      <c r="C129" s="977" t="s">
        <v>1338</v>
      </c>
      <c r="D129" s="751"/>
      <c r="E129" s="751"/>
      <c r="F129" s="751"/>
      <c r="G129" s="751"/>
      <c r="I129" s="751"/>
      <c r="J129" s="751"/>
      <c r="K129" s="751"/>
      <c r="M129" s="751"/>
      <c r="N129" s="751"/>
      <c r="O129" s="751"/>
      <c r="Q129" s="751"/>
      <c r="R129" s="751"/>
      <c r="S129" s="751"/>
      <c r="U129" s="751"/>
      <c r="V129" s="751"/>
      <c r="W129" s="826"/>
    </row>
    <row r="130" spans="2:23" s="278" customFormat="1">
      <c r="C130" s="825" t="s">
        <v>396</v>
      </c>
      <c r="D130" s="751"/>
      <c r="E130" s="751"/>
      <c r="F130" s="751"/>
      <c r="G130" s="751"/>
      <c r="I130" s="590">
        <f>I123/$E123-1</f>
        <v>-0.14248050002627932</v>
      </c>
      <c r="J130" s="590">
        <f>J123/$F123-1</f>
        <v>-0.13278225754605422</v>
      </c>
      <c r="K130" s="590">
        <f>K123/$G123-1</f>
        <v>-4.7638410460315139E-2</v>
      </c>
      <c r="M130" s="590">
        <f>M123/$E123-1</f>
        <v>-0.10295941248286478</v>
      </c>
      <c r="N130" s="590">
        <f>N123/$F123-1</f>
        <v>-0.10536473146707215</v>
      </c>
      <c r="O130" s="590">
        <f>O123/$G123-1</f>
        <v>-1.5101069755277585E-2</v>
      </c>
      <c r="Q130" s="590">
        <f>Q123/$E123-1</f>
        <v>2.373533209475398E-2</v>
      </c>
      <c r="R130" s="590">
        <f>R123/$F123-1</f>
        <v>7.6298799248944338E-2</v>
      </c>
      <c r="S130" s="590">
        <f>S123/$G123-1</f>
        <v>0.13753407235437543</v>
      </c>
      <c r="U130" s="590">
        <f>U123/$E123-1</f>
        <v>4.0000000000000036E-2</v>
      </c>
      <c r="V130" s="590">
        <f>V123/$F123-1</f>
        <v>3.0000000000000027E-2</v>
      </c>
      <c r="W130" s="980">
        <f>W123/$G123-1</f>
        <v>9.000000000000008E-2</v>
      </c>
    </row>
    <row r="131" spans="2:23" s="278" customFormat="1">
      <c r="C131" s="825" t="s">
        <v>397</v>
      </c>
      <c r="D131" s="751"/>
      <c r="E131" s="751"/>
      <c r="F131" s="751"/>
      <c r="G131" s="751"/>
      <c r="I131" s="590">
        <f>I124/$E124-1</f>
        <v>-3.0816364570590449E-2</v>
      </c>
      <c r="J131" s="590">
        <f>J124/$F124-1</f>
        <v>-9.5344634165995257E-2</v>
      </c>
      <c r="K131" s="590">
        <f>K124/$G124-1</f>
        <v>-9.4716506484283314E-2</v>
      </c>
      <c r="M131" s="590">
        <f>M124/$E124-1</f>
        <v>-6.8766446412574789E-3</v>
      </c>
      <c r="N131" s="590">
        <f>N124/$F124-1</f>
        <v>-4.5236407533279732E-2</v>
      </c>
      <c r="O131" s="590">
        <f>O124/$G124-1</f>
        <v>-7.6696694795416853E-2</v>
      </c>
      <c r="Q131" s="590">
        <f>Q124/$E124-1</f>
        <v>2.9352019354812686E-2</v>
      </c>
      <c r="R131" s="590">
        <f>R124/$F124-1</f>
        <v>9.5845796602362032E-2</v>
      </c>
      <c r="S131" s="590">
        <f>S124/$G124-1</f>
        <v>2.9633999291095003E-2</v>
      </c>
      <c r="U131" s="590">
        <f>U124/$E124-1</f>
        <v>4.0000000000000036E-2</v>
      </c>
      <c r="V131" s="590">
        <f>V124/$F124-1</f>
        <v>6.0000000000000053E-2</v>
      </c>
      <c r="W131" s="980">
        <f>W124/$G124-1</f>
        <v>5.0000000000000044E-2</v>
      </c>
    </row>
    <row r="132" spans="2:23" s="278" customFormat="1">
      <c r="C132" s="825" t="s">
        <v>1719</v>
      </c>
      <c r="D132" s="751"/>
      <c r="E132" s="751"/>
      <c r="F132" s="751"/>
      <c r="G132" s="751"/>
      <c r="I132" s="590">
        <f>I125/$E125-1</f>
        <v>-4.3213720659190491E-2</v>
      </c>
      <c r="J132" s="590">
        <f>J125/$F125-1</f>
        <v>-4.446921651237945E-3</v>
      </c>
      <c r="K132" s="590">
        <f>K125/$G125-1</f>
        <v>-0.18856700184253627</v>
      </c>
      <c r="M132" s="590">
        <f>M125/$E125-1</f>
        <v>-4.1335236102189921E-2</v>
      </c>
      <c r="N132" s="590">
        <f>N125/$F125-1</f>
        <v>-2.9191810853373079E-2</v>
      </c>
      <c r="O132" s="590">
        <f>O125/$G125-1</f>
        <v>-0.15797440210971903</v>
      </c>
      <c r="Q132" s="590">
        <f>Q125/$E125-1</f>
        <v>2.6122598808764108E-2</v>
      </c>
      <c r="R132" s="590">
        <f>R125/$F125-1</f>
        <v>8.724752852823503E-2</v>
      </c>
      <c r="S132" s="590">
        <f>S125/$G125-1</f>
        <v>-7.7695722857919702E-2</v>
      </c>
      <c r="U132" s="590">
        <f>U125/$E125-1</f>
        <v>3.9999999999999813E-2</v>
      </c>
      <c r="V132" s="590">
        <f>V125/$F125-1</f>
        <v>1.0000000000000231E-2</v>
      </c>
      <c r="W132" s="980">
        <f>W125/$G125-1</f>
        <v>0</v>
      </c>
    </row>
    <row r="133" spans="2:23" s="278" customFormat="1">
      <c r="C133" s="825" t="s">
        <v>1720</v>
      </c>
      <c r="D133" s="751"/>
      <c r="E133" s="751"/>
      <c r="F133" s="751"/>
      <c r="G133" s="751"/>
      <c r="I133" s="590">
        <f>I126/$E126-1</f>
        <v>0.4601738023357318</v>
      </c>
      <c r="J133" s="590">
        <f>J126/$F126-1</f>
        <v>0.81523206313570196</v>
      </c>
      <c r="K133" s="590">
        <f>K126/$G126-1</f>
        <v>0.66202787516699457</v>
      </c>
      <c r="M133" s="590">
        <f>M126/$E126-1</f>
        <v>0.52885934367415843</v>
      </c>
      <c r="N133" s="590">
        <f>N126/$F126-1</f>
        <v>0.81337740084048971</v>
      </c>
      <c r="O133" s="590">
        <f>O126/$G126-1</f>
        <v>0.57138383898153378</v>
      </c>
      <c r="Q133" s="590">
        <f>Q126/$E126-1</f>
        <v>0.37501991592460437</v>
      </c>
      <c r="R133" s="590">
        <f>R126/$F126-1</f>
        <v>0.50757985281005324</v>
      </c>
      <c r="S133" s="590">
        <f>S126/$G126-1</f>
        <v>0.35645857398198078</v>
      </c>
      <c r="U133" s="590">
        <f>U126/$E126-1</f>
        <v>0.39999999999999969</v>
      </c>
      <c r="V133" s="590">
        <f>V126/$F126-1</f>
        <v>0.30000000000000004</v>
      </c>
      <c r="W133" s="980">
        <f>W126/$G126-1</f>
        <v>0.17999999999999972</v>
      </c>
    </row>
    <row r="134" spans="2:23" s="278" customFormat="1" ht="10.9" thickBot="1">
      <c r="C134" s="990" t="s">
        <v>405</v>
      </c>
      <c r="D134" s="830"/>
      <c r="E134" s="830"/>
      <c r="F134" s="830"/>
      <c r="G134" s="830"/>
      <c r="H134" s="774"/>
      <c r="I134" s="991">
        <f>I127/$E127-1</f>
        <v>-7.3450061415133883E-2</v>
      </c>
      <c r="J134" s="991">
        <f>J127/$F127-1</f>
        <v>-6.0047193747992944E-2</v>
      </c>
      <c r="K134" s="991">
        <f>K127/$G127-1</f>
        <v>-2.972581500710425E-2</v>
      </c>
      <c r="L134" s="774"/>
      <c r="M134" s="991">
        <f>M127/$E127-1</f>
        <v>-3.8451040652165869E-2</v>
      </c>
      <c r="N134" s="991">
        <f>N127/$F127-1</f>
        <v>-3.5109446766814489E-2</v>
      </c>
      <c r="O134" s="991">
        <f>O127/$G127-1</f>
        <v>-1.6416231296825234E-3</v>
      </c>
      <c r="P134" s="774"/>
      <c r="Q134" s="991">
        <f>Q127/$E127-1</f>
        <v>5.4031778066067959E-2</v>
      </c>
      <c r="R134" s="991">
        <f>R127/$F127-1</f>
        <v>0.11948763083916303</v>
      </c>
      <c r="S134" s="991">
        <f>S127/$G127-1</f>
        <v>0.12356962348839629</v>
      </c>
      <c r="T134" s="774"/>
      <c r="U134" s="991">
        <f>U127/$E127-1</f>
        <v>6.1925044669761897E-2</v>
      </c>
      <c r="V134" s="991">
        <f>V127/$F127-1</f>
        <v>5.349261667743499E-2</v>
      </c>
      <c r="W134" s="992">
        <f>W127/$G127-1</f>
        <v>8.9268066404118995E-2</v>
      </c>
    </row>
    <row r="136" spans="2:23" s="278" customFormat="1">
      <c r="B136" s="276"/>
      <c r="C136" s="276" t="s">
        <v>232</v>
      </c>
      <c r="D136" s="276"/>
      <c r="E136" s="963">
        <v>2019</v>
      </c>
      <c r="F136" s="963"/>
      <c r="G136" s="963"/>
      <c r="H136" s="253"/>
      <c r="I136" s="963">
        <f>E136+2</f>
        <v>2021</v>
      </c>
      <c r="J136" s="963"/>
      <c r="K136" s="963"/>
      <c r="L136" s="253"/>
      <c r="M136" s="967" t="s">
        <v>141</v>
      </c>
      <c r="N136" s="967"/>
      <c r="O136" s="967"/>
      <c r="P136" s="253"/>
      <c r="Q136" s="965">
        <f>I136+1</f>
        <v>2022</v>
      </c>
      <c r="R136" s="963"/>
      <c r="S136" s="963"/>
      <c r="T136" s="253"/>
      <c r="U136" s="965">
        <f>Q136+1</f>
        <v>2023</v>
      </c>
      <c r="V136" s="963"/>
      <c r="W136" s="963"/>
    </row>
    <row r="137" spans="2:23" s="278" customFormat="1" ht="10.9" thickBot="1">
      <c r="B137" s="262"/>
      <c r="C137" s="262" t="s">
        <v>1715</v>
      </c>
      <c r="D137" s="262"/>
      <c r="E137" s="264" t="s">
        <v>1314</v>
      </c>
      <c r="F137" s="264" t="s">
        <v>1315</v>
      </c>
      <c r="G137" s="264" t="s">
        <v>1316</v>
      </c>
      <c r="H137" s="253"/>
      <c r="I137" s="264" t="s">
        <v>1314</v>
      </c>
      <c r="J137" s="264" t="s">
        <v>1315</v>
      </c>
      <c r="K137" s="264" t="s">
        <v>1316</v>
      </c>
      <c r="L137" s="253"/>
      <c r="M137" s="264" t="s">
        <v>1314</v>
      </c>
      <c r="N137" s="264" t="s">
        <v>1315</v>
      </c>
      <c r="O137" s="264" t="s">
        <v>1316</v>
      </c>
      <c r="P137" s="253"/>
      <c r="Q137" s="264" t="s">
        <v>1314</v>
      </c>
      <c r="R137" s="264" t="s">
        <v>1315</v>
      </c>
      <c r="S137" s="264" t="s">
        <v>1316</v>
      </c>
      <c r="T137" s="253"/>
      <c r="U137" s="264" t="s">
        <v>1314</v>
      </c>
      <c r="V137" s="264" t="s">
        <v>1315</v>
      </c>
      <c r="W137" s="264" t="s">
        <v>1316</v>
      </c>
    </row>
    <row r="138" spans="2:23">
      <c r="B138" s="253" t="s">
        <v>133</v>
      </c>
      <c r="C138" s="508" t="s">
        <v>1756</v>
      </c>
      <c r="D138" s="473"/>
      <c r="E138" s="985">
        <f>'AAL KPI'!X252</f>
        <v>32667</v>
      </c>
      <c r="F138" s="985">
        <f>'DAL KPI'!X242</f>
        <v>29963</v>
      </c>
      <c r="G138" s="985">
        <f>'UAL KPI'!X235</f>
        <v>29100</v>
      </c>
      <c r="H138" s="473"/>
      <c r="I138" s="985">
        <f>'AAL KPI'!Z252</f>
        <v>28603</v>
      </c>
      <c r="J138" s="985">
        <f>'DAL KPI'!Z242</f>
        <v>23575</v>
      </c>
      <c r="K138" s="985">
        <f>'UAL KPI'!Z235</f>
        <v>23149</v>
      </c>
      <c r="L138" s="473"/>
      <c r="M138" s="985">
        <f>(SUMIF('AAL KPI'!$E$6:$T$6,Comps!$Y$5,'AAL KPI'!$E252:$T252)+SUMIF('AAL KPI'!$E$6:$T$6,Comps!$Z$5,'AAL KPI'!$E252:$T252)+SUMIF('AAL KPI'!$E$6:$T$6,Comps!$AA$5,'AAL KPI'!$E252:$T252)+SUMIF('AAL KPI'!$E$6:$T$6,Comps!$AB$5,'AAL KPI'!$E252:$T252))</f>
        <v>30354</v>
      </c>
      <c r="N138" s="985">
        <f>(SUMIF('DAL KPI'!$E$6:$T$6,Comps!$Y$5,'DAL KPI'!$E242:$T242)+SUMIF('DAL KPI'!$E$6:$T$6,Comps!$Z$5,'DAL KPI'!$E242:$T242)+SUMIF('DAL KPI'!$E$6:$T$6,Comps!$AA$5,'DAL KPI'!$E242:$T242)+SUMIF('DAL KPI'!$E$6:$T$6,Comps!$AB$5,'DAL KPI'!$E242:$T242))</f>
        <v>25211</v>
      </c>
      <c r="O138" s="985">
        <f>(SUMIF('UAL KPI'!$E$6:$T$6,Comps!$Y$5,'UAL KPI'!$E235:$T235)+SUMIF('UAL KPI'!$E$6:$T$6,Comps!$Z$5,'UAL KPI'!$E235:$T235)+SUMIF('UAL KPI'!$E$6:$T$6,Comps!$AA$5,'UAL KPI'!$E235:$T235)+SUMIF('UAL KPI'!$E$6:$T$6,Comps!$AB$5,'UAL KPI'!$E235:$T235))</f>
        <v>24733</v>
      </c>
      <c r="P138" s="473"/>
      <c r="Q138" s="985">
        <f>'AAL KPI'!AA252</f>
        <v>33271.452372143489</v>
      </c>
      <c r="R138" s="985">
        <f ca="1">'DAL KPI'!AA242</f>
        <v>29994.607855513314</v>
      </c>
      <c r="S138" s="985">
        <f>'UAL KPI'!AA235</f>
        <v>29776.832036583608</v>
      </c>
      <c r="T138" s="473"/>
      <c r="U138" s="985">
        <f>'AAL KPI'!AB252</f>
        <v>34123.120549889842</v>
      </c>
      <c r="V138" s="985">
        <f>'DAL KPI'!AB242</f>
        <v>32867.381263015552</v>
      </c>
      <c r="W138" s="1006">
        <f>'UAL KPI'!AB235</f>
        <v>31771.652794834015</v>
      </c>
    </row>
    <row r="139" spans="2:23" ht="10.9" thickBot="1">
      <c r="C139" s="1245" t="s">
        <v>1725</v>
      </c>
      <c r="D139" s="430"/>
      <c r="E139" s="1246">
        <f>E138/E57/10</f>
        <v>11.45856717925693</v>
      </c>
      <c r="F139" s="1246">
        <f>F138/F57/10</f>
        <v>10.880601350860628</v>
      </c>
      <c r="G139" s="1246">
        <f>G138/G57/10</f>
        <v>10.210562142323306</v>
      </c>
      <c r="H139" s="1247"/>
      <c r="I139" s="1246">
        <f>I138/I57/10</f>
        <v>13.332556459318994</v>
      </c>
      <c r="J139" s="1246">
        <f>J138/J57/10</f>
        <v>12.122443102934069</v>
      </c>
      <c r="K139" s="1246">
        <f>K138/K57/10</f>
        <v>12.955272995903382</v>
      </c>
      <c r="L139" s="1247"/>
      <c r="M139" s="1246">
        <f>M138/M57/10</f>
        <v>12.845317895592117</v>
      </c>
      <c r="N139" s="1246">
        <f>N138/N57/10</f>
        <v>12.228495484221451</v>
      </c>
      <c r="O139" s="1246">
        <f>O138/O57/10</f>
        <v>12.269692129101388</v>
      </c>
      <c r="P139" s="1247"/>
      <c r="Q139" s="1246">
        <f>Q138/Q57/10</f>
        <v>12.497451364477868</v>
      </c>
      <c r="R139" s="1246">
        <f ca="1">R138/R57/10</f>
        <v>12.62663219013527</v>
      </c>
      <c r="S139" s="1246">
        <f>S138/S57/10</f>
        <v>11.792341012721206</v>
      </c>
      <c r="T139" s="1247"/>
      <c r="U139" s="1246">
        <f>U138/U57/10</f>
        <v>11.888298933514635</v>
      </c>
      <c r="V139" s="1246">
        <f>V138/V57/10</f>
        <v>11.796781902267794</v>
      </c>
      <c r="W139" s="1248">
        <f>W138/W57/10</f>
        <v>10.806022112023239</v>
      </c>
    </row>
    <row r="140" spans="2:23" ht="10.9" thickBot="1">
      <c r="C140" s="397"/>
      <c r="E140" s="494"/>
      <c r="F140" s="494"/>
      <c r="G140" s="494"/>
      <c r="M140" s="494"/>
      <c r="N140" s="494"/>
      <c r="O140" s="494"/>
    </row>
    <row r="141" spans="2:23">
      <c r="B141" s="253" t="s">
        <v>133</v>
      </c>
      <c r="C141" s="972" t="s">
        <v>1016</v>
      </c>
      <c r="D141" s="473"/>
      <c r="E141" s="1002"/>
      <c r="F141" s="1002"/>
      <c r="G141" s="1002"/>
      <c r="H141" s="473"/>
      <c r="I141" s="473"/>
      <c r="J141" s="473"/>
      <c r="K141" s="473"/>
      <c r="L141" s="473"/>
      <c r="M141" s="1002"/>
      <c r="N141" s="1002"/>
      <c r="O141" s="1002"/>
      <c r="P141" s="473"/>
      <c r="Q141" s="473"/>
      <c r="R141" s="473"/>
      <c r="S141" s="473"/>
      <c r="T141" s="473"/>
      <c r="U141" s="473"/>
      <c r="V141" s="473"/>
      <c r="W141" s="474"/>
    </row>
    <row r="142" spans="2:23">
      <c r="C142" s="512" t="s">
        <v>1727</v>
      </c>
      <c r="E142" s="287">
        <f>'AAL KPI'!X211</f>
        <v>9395</v>
      </c>
      <c r="F142" s="287">
        <f>'DAL KPI'!X277</f>
        <v>8581</v>
      </c>
      <c r="G142" s="287">
        <f>'UAL KPI'!X196</f>
        <v>8953</v>
      </c>
      <c r="I142" s="287">
        <f>'AAL KPI'!Z211</f>
        <v>6793</v>
      </c>
      <c r="J142" s="287">
        <f>'DAL KPI'!Z277</f>
        <v>5527</v>
      </c>
      <c r="K142" s="287">
        <f>'UAL KPI'!Z196</f>
        <v>5755</v>
      </c>
      <c r="M142" s="287">
        <f>SUMIF('AAL KPI'!$E$6:$T$6,Comps!$Y$5,'AAL KPI'!$E211:$T211)+SUMIF('AAL KPI'!$E$6:$T$6,Comps!$Z$5,'AAL KPI'!$E211:$T211)+SUMIF('AAL KPI'!$E$6:$T$6,Comps!$AA$5,'AAL KPI'!$E211:$T211)+SUMIF('AAL KPI'!$E$6:$T$6,Comps!$AB$5,'AAL KPI'!$E211:$T211)</f>
        <v>8261</v>
      </c>
      <c r="N142" s="287">
        <f>SUMIF('DAL KPI'!$E$6:$T$6,Comps!$Y$5,'DAL KPI'!$E277:$T277)+SUMIF('DAL KPI'!$E$6:$T$6,Comps!$Z$5,'DAL KPI'!$E277:$T277)+SUMIF('DAL KPI'!$E$6:$T$6,Comps!$AA$5,'DAL KPI'!$E277:$T277)+SUMIF('DAL KPI'!$E$6:$T$6,Comps!$AB$5,'DAL KPI'!$E277:$T277)</f>
        <v>6734</v>
      </c>
      <c r="O142" s="287">
        <f>SUMIF('UAL KPI'!$E$6:$T$6,Comps!$Y$5,'UAL KPI'!$E196:$T196)+SUMIF('UAL KPI'!$E$6:$T$6,Comps!$Z$5,'UAL KPI'!$E196:$T196)+SUMIF('UAL KPI'!$E$6:$T$6,Comps!$AA$5,'UAL KPI'!$E196:$T196)+SUMIF('UAL KPI'!$E$6:$T$6,Comps!$AB$5,'UAL KPI'!$E196:$T196)</f>
        <v>7134</v>
      </c>
      <c r="Q142" s="287">
        <f>'AAL KPI'!AA211</f>
        <v>14880.687257329893</v>
      </c>
      <c r="R142" s="287">
        <f>'DAL KPI'!AA277</f>
        <v>12238.018549550903</v>
      </c>
      <c r="S142" s="287">
        <f>'UAL KPI'!AA196</f>
        <v>13577.740625838574</v>
      </c>
      <c r="U142" s="287">
        <f>'AAL KPI'!AB211</f>
        <v>13536.992009606871</v>
      </c>
      <c r="V142" s="287">
        <f>'DAL KPI'!AB277</f>
        <v>12572.758782621655</v>
      </c>
      <c r="W142" s="973">
        <f>'UAL KPI'!AB196</f>
        <v>13562.050053777422</v>
      </c>
    </row>
    <row r="143" spans="2:23" s="278" customFormat="1">
      <c r="C143" s="1009" t="s">
        <v>1728</v>
      </c>
      <c r="E143" s="297">
        <f>E142/E14</f>
        <v>0.20527442754763153</v>
      </c>
      <c r="F143" s="297">
        <f>F142/F14</f>
        <v>0.18367259573192921</v>
      </c>
      <c r="G143" s="297">
        <f>G142/G14</f>
        <v>0.20696271296146468</v>
      </c>
      <c r="H143" s="297"/>
      <c r="I143" s="297">
        <f>I142/I14</f>
        <v>0.22732748811993841</v>
      </c>
      <c r="J143" s="297">
        <f>J142/J14</f>
        <v>0.20722882531588616</v>
      </c>
      <c r="K143" s="297">
        <f>K142/K14</f>
        <v>0.23362019972395875</v>
      </c>
      <c r="L143" s="297"/>
      <c r="M143" s="297">
        <f>M142/M14</f>
        <v>0.23756937854082191</v>
      </c>
      <c r="N143" s="297">
        <f>N142/N14</f>
        <v>0.21568125040035871</v>
      </c>
      <c r="O143" s="297">
        <f>O142/O14</f>
        <v>0.2461782670209462</v>
      </c>
      <c r="Q143" s="297">
        <f>Q142/Q14</f>
        <v>0.32023518678803908</v>
      </c>
      <c r="R143" s="297">
        <f>R142/R14</f>
        <v>0.27023713214644618</v>
      </c>
      <c r="S143" s="297">
        <f>S142/S14</f>
        <v>0.31514536043749369</v>
      </c>
      <c r="U143" s="297">
        <f>U142/U14</f>
        <v>0.27085432520651698</v>
      </c>
      <c r="V143" s="297">
        <f>V142/V14</f>
        <v>0.24657236098275717</v>
      </c>
      <c r="W143" s="672">
        <f>W142/W14</f>
        <v>0.27778427811202888</v>
      </c>
    </row>
    <row r="144" spans="2:23">
      <c r="C144" s="512"/>
      <c r="E144" s="494"/>
      <c r="F144" s="494"/>
      <c r="G144" s="494"/>
      <c r="M144" s="494"/>
      <c r="N144" s="494"/>
      <c r="O144" s="494"/>
      <c r="W144" s="426"/>
    </row>
    <row r="145" spans="2:23">
      <c r="C145" s="512" t="s">
        <v>1751</v>
      </c>
      <c r="E145" s="287">
        <f>'AAL KPI'!X222</f>
        <v>4537</v>
      </c>
      <c r="F145" s="287">
        <f>'DAL KPI'!X304</f>
        <v>4214</v>
      </c>
      <c r="G145" s="287">
        <f>'UAL KPI'!X207</f>
        <v>4292</v>
      </c>
      <c r="I145" s="287">
        <f>'AAL KPI'!Z222</f>
        <v>3324</v>
      </c>
      <c r="J145" s="287">
        <f>'DAL KPI'!Z304</f>
        <v>2779</v>
      </c>
      <c r="K145" s="287">
        <f>'UAL KPI'!Z207</f>
        <v>2729</v>
      </c>
      <c r="M145" s="287">
        <f>SUMIF('AAL KPI'!$E$6:$T$6,Comps!$Y$5,'AAL KPI'!$E222:$T222)+SUMIF('AAL KPI'!$E$6:$T$6,Comps!$Z$5,'AAL KPI'!$E222:$T222)+SUMIF('AAL KPI'!$E$6:$T$6,Comps!$AA$5,'AAL KPI'!$E222:$T222)+SUMIF('AAL KPI'!$E$6:$T$6,Comps!$AB$5,'AAL KPI'!$E222:$T222)</f>
        <v>3610</v>
      </c>
      <c r="N145" s="287">
        <f>SUMIF('DAL KPI'!$E$6:$T$6,Comps!$Y$5,'DAL KPI'!$E304:$T304)+SUMIF('DAL KPI'!$E$6:$T$6,Comps!$Z$5,'DAL KPI'!$E304:$T304)+SUMIF('DAL KPI'!$E$6:$T$6,Comps!$AA$5,'DAL KPI'!$E304:$T304)+SUMIF('DAL KPI'!$E$6:$T$6,Comps!$AB$5,'DAL KPI'!$E304:$T304)</f>
        <v>2985</v>
      </c>
      <c r="O145" s="287">
        <f>SUMIF('UAL KPI'!$E$6:$T$6,Comps!$Y$5,'UAL KPI'!$E207:$T207)+SUMIF('UAL KPI'!$E$6:$T$6,Comps!$Z$5,'UAL KPI'!$E207:$T207)+SUMIF('UAL KPI'!$E$6:$T$6,Comps!$AA$5,'UAL KPI'!$E207:$T207)+SUMIF('UAL KPI'!$E$6:$T$6,Comps!$AB$5,'UAL KPI'!$E207:$T207)</f>
        <v>3014</v>
      </c>
      <c r="Q145" s="287">
        <f>'AAL KPI'!AA222</f>
        <v>4008.4564864894151</v>
      </c>
      <c r="R145" s="287">
        <f>'DAL KPI'!AA304</f>
        <v>3464.4890327850949</v>
      </c>
      <c r="S145" s="287">
        <f>'UAL KPI'!AA207</f>
        <v>3678.8337344166353</v>
      </c>
      <c r="U145" s="287">
        <f>'AAL KPI'!AB222</f>
        <v>4309.3622229620723</v>
      </c>
      <c r="V145" s="287">
        <f>'DAL KPI'!AB304</f>
        <v>3966.0229573893248</v>
      </c>
      <c r="W145" s="973">
        <f>'UAL KPI'!AB207</f>
        <v>4278.0906555600604</v>
      </c>
    </row>
    <row r="146" spans="2:23">
      <c r="C146" s="512" t="s">
        <v>591</v>
      </c>
      <c r="E146" s="254">
        <f>E57/E145*1000</f>
        <v>62.836235397839985</v>
      </c>
      <c r="F146" s="254">
        <f>F57/F145*1000</f>
        <v>65.348837209302317</v>
      </c>
      <c r="G146" s="254">
        <f>G57/G145*1000</f>
        <v>66.402376514445479</v>
      </c>
      <c r="I146" s="254">
        <f>I57/I145*1000</f>
        <v>64.541215403128746</v>
      </c>
      <c r="J146" s="254">
        <f>J57/J145*1000</f>
        <v>69.979848866498727</v>
      </c>
      <c r="K146" s="254">
        <f>K57/K145*1000</f>
        <v>65.475998534261635</v>
      </c>
      <c r="M146" s="254">
        <f>M57/M145*1000</f>
        <v>65.458171745152356</v>
      </c>
      <c r="N146" s="254">
        <f>N57/N145*1000</f>
        <v>69.067336683417096</v>
      </c>
      <c r="O146" s="254">
        <f>O57/O145*1000</f>
        <v>66.880557398805578</v>
      </c>
      <c r="Q146" s="254">
        <f>Q57/Q145*1000</f>
        <v>66.416063364369762</v>
      </c>
      <c r="R146" s="254">
        <f>R57/R145*1000</f>
        <v>68.567208323587565</v>
      </c>
      <c r="S146" s="254">
        <f>S57/S145*1000</f>
        <v>68.638581743363673</v>
      </c>
      <c r="U146" s="254">
        <f>U57/U145*1000</f>
        <v>66.606409521710376</v>
      </c>
      <c r="V146" s="254">
        <f>V57/V145*1000</f>
        <v>70.249999999999986</v>
      </c>
      <c r="W146" s="505">
        <f>W57/W145*1000</f>
        <v>68.726459692451058</v>
      </c>
    </row>
    <row r="147" spans="2:23">
      <c r="C147" s="512" t="s">
        <v>1752</v>
      </c>
      <c r="E147" s="387">
        <f>E142/E145</f>
        <v>2.0707515979722282</v>
      </c>
      <c r="F147" s="387">
        <f>F142/F145</f>
        <v>2.0363075462743239</v>
      </c>
      <c r="G147" s="387">
        <f>G142/G145</f>
        <v>2.0859739049394221</v>
      </c>
      <c r="I147" s="387">
        <f>I142/I145</f>
        <v>2.0436221419975933</v>
      </c>
      <c r="J147" s="387">
        <f>J142/J145</f>
        <v>1.9888449082403743</v>
      </c>
      <c r="K147" s="387">
        <f>K142/K145</f>
        <v>2.1088310736533531</v>
      </c>
      <c r="M147" s="387">
        <f>M142/M145</f>
        <v>2.2883656509695292</v>
      </c>
      <c r="N147" s="387">
        <f>N142/N145</f>
        <v>2.2559463986599666</v>
      </c>
      <c r="O147" s="387">
        <f>O142/O145</f>
        <v>2.3669542136695423</v>
      </c>
      <c r="Q147" s="387">
        <f>Q142/Q145</f>
        <v>3.7123235109288464</v>
      </c>
      <c r="R147" s="387">
        <f>R142/R145</f>
        <v>3.5324165941182928</v>
      </c>
      <c r="S147" s="387">
        <f>S142/S145</f>
        <v>3.6907731107319646</v>
      </c>
      <c r="U147" s="387">
        <f>U142/U145</f>
        <v>3.1412982500000006</v>
      </c>
      <c r="V147" s="387">
        <f>V142/V145</f>
        <v>3.1701175000000004</v>
      </c>
      <c r="W147" s="445">
        <f>W142/W145</f>
        <v>3.1701175000000004</v>
      </c>
    </row>
    <row r="148" spans="2:23" ht="3" customHeight="1">
      <c r="C148" s="512"/>
      <c r="E148" s="494"/>
      <c r="F148" s="494"/>
      <c r="G148" s="494"/>
      <c r="I148" s="494"/>
      <c r="J148" s="494"/>
      <c r="K148" s="494"/>
      <c r="M148" s="494"/>
      <c r="N148" s="494"/>
      <c r="O148" s="494"/>
      <c r="Q148" s="494"/>
      <c r="R148" s="494"/>
      <c r="S148" s="494"/>
      <c r="U148" s="494"/>
      <c r="V148" s="494"/>
      <c r="W148" s="837"/>
    </row>
    <row r="149" spans="2:23">
      <c r="C149" s="1010" t="s">
        <v>1726</v>
      </c>
      <c r="E149" s="1005">
        <f>'AAL KPI'!X211/E57/10</f>
        <v>3.2954736783028395</v>
      </c>
      <c r="F149" s="1005">
        <f>'DAL KPI'!X277/F57/10</f>
        <v>3.1160578110247661</v>
      </c>
      <c r="G149" s="1005">
        <f>'UAL KPI'!X196/G57/10</f>
        <v>3.1414145312790569</v>
      </c>
      <c r="H149" s="483"/>
      <c r="I149" s="1005">
        <f>'AAL KPI'!Z211/I57/10</f>
        <v>3.1663831076514328</v>
      </c>
      <c r="J149" s="1005">
        <f>'DAL KPI'!Z277/J57/10</f>
        <v>2.8420251550335776</v>
      </c>
      <c r="K149" s="1005">
        <f>'UAL KPI'!Z196/K57/10</f>
        <v>3.2207696268272477</v>
      </c>
      <c r="L149" s="483"/>
      <c r="M149" s="1005">
        <f>(SUMIF('AAL KPI'!$E$6:$T$6,Comps!$Y$5,'AAL KPI'!$E211:$T211)+SUMIF('AAL KPI'!$E$6:$T$6,Comps!$Z$5,'AAL KPI'!$E211:$T211)+SUMIF('AAL KPI'!$E$6:$T$6,Comps!$AA$5,'AAL KPI'!$E211:$T211)+SUMIF('AAL KPI'!$E$6:$T$6,Comps!$AB$5,'AAL KPI'!$E211:$T211))/M57/10</f>
        <v>3.4959205091746228</v>
      </c>
      <c r="N149" s="1005">
        <f>(SUMIF('DAL KPI'!$E$6:$T$6,Comps!$Y$5,'DAL KPI'!$E277:$T277)+SUMIF('DAL KPI'!$E$6:$T$6,Comps!$Z$5,'DAL KPI'!$E277:$T277)+SUMIF('DAL KPI'!$E$6:$T$6,Comps!$AA$5,'DAL KPI'!$E277:$T277)+SUMIF('DAL KPI'!$E$6:$T$6,Comps!$AB$5,'DAL KPI'!$E277:$T277))/N57/10</f>
        <v>3.2662999718673298</v>
      </c>
      <c r="O149" s="1005">
        <f>(SUMIF('UAL KPI'!$E$6:$T$6,Comps!$Y$5,'UAL KPI'!$E196:$T196)+SUMIF('UAL KPI'!$E$6:$T$6,Comps!$Z$5,'UAL KPI'!$E196:$T196)+SUMIF('UAL KPI'!$E$6:$T$6,Comps!$AA$5,'UAL KPI'!$E196:$T196)+SUMIF('UAL KPI'!$E$6:$T$6,Comps!$AB$5,'UAL KPI'!$E196:$T196))/O57/10</f>
        <v>3.5390766849556989</v>
      </c>
      <c r="P149" s="483"/>
      <c r="Q149" s="1005">
        <f>'AAL KPI'!AA211/Q57/10</f>
        <v>5.5894964604607935</v>
      </c>
      <c r="R149" s="1005">
        <f>'DAL KPI'!AA277/R57/10</f>
        <v>5.1517579328122043</v>
      </c>
      <c r="S149" s="1005">
        <f>'UAL KPI'!AA196/S57/10</f>
        <v>5.3771115559053744</v>
      </c>
      <c r="T149" s="483"/>
      <c r="U149" s="1005">
        <f>'AAL KPI'!AB211/U57/10</f>
        <v>4.7162101553846609</v>
      </c>
      <c r="V149" s="1005">
        <f>'DAL KPI'!AB277/V57/10</f>
        <v>4.5126227758007129</v>
      </c>
      <c r="W149" s="1011">
        <f>'UAL KPI'!AB196/W57/10</f>
        <v>4.6126593952113719</v>
      </c>
    </row>
    <row r="150" spans="2:23">
      <c r="C150" s="425"/>
      <c r="W150" s="426"/>
    </row>
    <row r="151" spans="2:23" s="278" customFormat="1">
      <c r="C151" s="977" t="s">
        <v>1338</v>
      </c>
      <c r="D151" s="751"/>
      <c r="E151" s="751"/>
      <c r="F151" s="751"/>
      <c r="G151" s="751"/>
      <c r="I151" s="751"/>
      <c r="J151" s="751"/>
      <c r="K151" s="751"/>
      <c r="M151" s="751"/>
      <c r="N151" s="751"/>
      <c r="O151" s="751"/>
      <c r="Q151" s="751"/>
      <c r="R151" s="751"/>
      <c r="S151" s="751"/>
      <c r="U151" s="751"/>
      <c r="V151" s="751"/>
      <c r="W151" s="826"/>
    </row>
    <row r="152" spans="2:23" s="278" customFormat="1">
      <c r="C152" s="825" t="s">
        <v>591</v>
      </c>
      <c r="D152" s="751"/>
      <c r="E152" s="751"/>
      <c r="F152" s="751"/>
      <c r="G152" s="751"/>
      <c r="I152" s="590">
        <f>I146/$E146-1</f>
        <v>2.7133707079902036E-2</v>
      </c>
      <c r="J152" s="590">
        <f>J146/$F146-1</f>
        <v>7.086601468307685E-2</v>
      </c>
      <c r="K152" s="590">
        <f>K146/$G146-1</f>
        <v>-1.395097628745734E-2</v>
      </c>
      <c r="M152" s="590">
        <f>M146/$E146-1</f>
        <v>4.1726502721111558E-2</v>
      </c>
      <c r="N152" s="590">
        <f>N146/$F146-1</f>
        <v>5.6902305119905794E-2</v>
      </c>
      <c r="O152" s="590">
        <f>O146/$G146-1</f>
        <v>7.2012616032812726E-3</v>
      </c>
      <c r="Q152" s="590">
        <f>Q146/$E146-1</f>
        <v>5.6970758096256624E-2</v>
      </c>
      <c r="R152" s="590">
        <f>R146/$F146-1</f>
        <v>4.9249095343155025E-2</v>
      </c>
      <c r="S152" s="590">
        <f>S146/$G146-1</f>
        <v>3.3676584277547938E-2</v>
      </c>
      <c r="U152" s="590">
        <f>U146/$E146-1</f>
        <v>5.9999999999999831E-2</v>
      </c>
      <c r="V152" s="590">
        <f>V146/$F146-1</f>
        <v>7.4999999999999956E-2</v>
      </c>
      <c r="W152" s="980">
        <f>W146/$G146-1</f>
        <v>3.499999999999992E-2</v>
      </c>
    </row>
    <row r="153" spans="2:23" s="278" customFormat="1">
      <c r="C153" s="825" t="s">
        <v>1752</v>
      </c>
      <c r="D153" s="751"/>
      <c r="E153" s="751"/>
      <c r="F153" s="751"/>
      <c r="G153" s="751"/>
      <c r="I153" s="590">
        <f>I147/$E147-1</f>
        <v>-1.3101260431816808E-2</v>
      </c>
      <c r="J153" s="590">
        <f>J147/$F147-1</f>
        <v>-2.3308187469416541E-2</v>
      </c>
      <c r="K153" s="590">
        <f>K147/$G147-1</f>
        <v>1.0957552565641793E-2</v>
      </c>
      <c r="M153" s="590">
        <f>M147/$E147-1</f>
        <v>0.10508940483754703</v>
      </c>
      <c r="N153" s="590">
        <f>N147/$F147-1</f>
        <v>0.10786133596936232</v>
      </c>
      <c r="O153" s="590">
        <f>O147/$G147-1</f>
        <v>0.13469981962131983</v>
      </c>
      <c r="Q153" s="590">
        <f>Q147/$E147-1</f>
        <v>0.79274207228144511</v>
      </c>
      <c r="R153" s="590">
        <f>R147/$F147-1</f>
        <v>0.73471664463518049</v>
      </c>
      <c r="S153" s="590">
        <f>S147/$G147-1</f>
        <v>0.76932851460533813</v>
      </c>
      <c r="U153" s="590">
        <f>U147/$E147-1</f>
        <v>0.51698458331559372</v>
      </c>
      <c r="V153" s="590">
        <f>V147/$F147-1</f>
        <v>0.55679701025521511</v>
      </c>
      <c r="W153" s="980">
        <f>W147/$G147-1</f>
        <v>0.51973018094493484</v>
      </c>
    </row>
    <row r="154" spans="2:23" s="278" customFormat="1" ht="10.9" thickBot="1">
      <c r="C154" s="990" t="s">
        <v>1726</v>
      </c>
      <c r="D154" s="830"/>
      <c r="E154" s="830"/>
      <c r="F154" s="830"/>
      <c r="G154" s="830"/>
      <c r="H154" s="774"/>
      <c r="I154" s="991">
        <f>I149/$E149-1</f>
        <v>-3.9172083667768254E-2</v>
      </c>
      <c r="J154" s="991">
        <f>J149/$F149-1</f>
        <v>-8.7942096267164094E-2</v>
      </c>
      <c r="K154" s="991">
        <f>K149/$G149-1</f>
        <v>2.5260943679368708E-2</v>
      </c>
      <c r="L154" s="774"/>
      <c r="M154" s="991">
        <f>M149/$E149-1</f>
        <v>6.0824892091085658E-2</v>
      </c>
      <c r="N154" s="991">
        <f>N149/$F149-1</f>
        <v>4.8215460031261204E-2</v>
      </c>
      <c r="O154" s="991">
        <f>O149/$G149-1</f>
        <v>0.12658697211626202</v>
      </c>
      <c r="P154" s="774"/>
      <c r="Q154" s="991">
        <f>Q149/$E149-1</f>
        <v>0.69611321651926228</v>
      </c>
      <c r="R154" s="991">
        <f>R149/$F149-1</f>
        <v>0.65329343845452126</v>
      </c>
      <c r="S154" s="991">
        <f>S149/$G149-1</f>
        <v>0.71168481662177574</v>
      </c>
      <c r="T154" s="774"/>
      <c r="U154" s="991">
        <f>U149/$E149-1</f>
        <v>0.43111753142980547</v>
      </c>
      <c r="V154" s="991">
        <f>V149/$F149-1</f>
        <v>0.44818326535368858</v>
      </c>
      <c r="W154" s="992">
        <f>W149/$G149-1</f>
        <v>0.46833833907723199</v>
      </c>
    </row>
    <row r="155" spans="2:23" s="278" customFormat="1"/>
    <row r="156" spans="2:23" s="255" customFormat="1">
      <c r="B156" s="258" t="s">
        <v>133</v>
      </c>
      <c r="C156" s="259" t="s">
        <v>1730</v>
      </c>
      <c r="D156" s="259"/>
      <c r="E156" s="259"/>
      <c r="F156" s="259"/>
      <c r="G156" s="259"/>
      <c r="H156" s="969"/>
      <c r="I156" s="259"/>
      <c r="J156" s="259"/>
      <c r="K156" s="259"/>
      <c r="L156" s="969"/>
      <c r="M156" s="259"/>
      <c r="N156" s="259"/>
      <c r="O156" s="259"/>
      <c r="P156" s="969"/>
      <c r="Q156" s="259"/>
      <c r="R156" s="259"/>
      <c r="S156" s="259"/>
      <c r="T156" s="969"/>
      <c r="U156" s="259"/>
      <c r="V156" s="259"/>
      <c r="W156" s="259"/>
    </row>
    <row r="158" spans="2:23" s="278" customFormat="1">
      <c r="B158" s="276"/>
      <c r="C158" s="276" t="s">
        <v>232</v>
      </c>
      <c r="D158" s="276"/>
      <c r="E158" s="963">
        <v>2019</v>
      </c>
      <c r="F158" s="963"/>
      <c r="G158" s="963"/>
      <c r="H158" s="253"/>
      <c r="I158" s="963">
        <f>E158+2</f>
        <v>2021</v>
      </c>
      <c r="J158" s="963"/>
      <c r="K158" s="963"/>
      <c r="L158" s="253"/>
      <c r="M158" s="967" t="s">
        <v>141</v>
      </c>
      <c r="N158" s="967"/>
      <c r="O158" s="967"/>
      <c r="P158" s="253"/>
      <c r="Q158" s="965">
        <f>I158+1</f>
        <v>2022</v>
      </c>
      <c r="R158" s="963"/>
      <c r="S158" s="963"/>
      <c r="T158" s="253"/>
      <c r="U158" s="965">
        <f>Q158+1</f>
        <v>2023</v>
      </c>
      <c r="V158" s="963"/>
      <c r="W158" s="963"/>
    </row>
    <row r="159" spans="2:23" s="278" customFormat="1">
      <c r="B159" s="262"/>
      <c r="C159" s="262" t="s">
        <v>1715</v>
      </c>
      <c r="D159" s="262"/>
      <c r="E159" s="264" t="s">
        <v>1314</v>
      </c>
      <c r="F159" s="264" t="s">
        <v>1315</v>
      </c>
      <c r="G159" s="264" t="s">
        <v>1316</v>
      </c>
      <c r="H159" s="253"/>
      <c r="I159" s="264" t="s">
        <v>1314</v>
      </c>
      <c r="J159" s="264" t="s">
        <v>1315</v>
      </c>
      <c r="K159" s="264" t="s">
        <v>1316</v>
      </c>
      <c r="L159" s="253"/>
      <c r="M159" s="264" t="s">
        <v>1314</v>
      </c>
      <c r="N159" s="264" t="s">
        <v>1315</v>
      </c>
      <c r="O159" s="264" t="s">
        <v>1316</v>
      </c>
      <c r="P159" s="253"/>
      <c r="Q159" s="264" t="s">
        <v>1314</v>
      </c>
      <c r="R159" s="264" t="s">
        <v>1315</v>
      </c>
      <c r="S159" s="264" t="s">
        <v>1316</v>
      </c>
      <c r="T159" s="253"/>
      <c r="U159" s="264" t="s">
        <v>1314</v>
      </c>
      <c r="V159" s="264" t="s">
        <v>1315</v>
      </c>
      <c r="W159" s="264" t="s">
        <v>1316</v>
      </c>
    </row>
    <row r="160" spans="2:23">
      <c r="C160" s="397" t="s">
        <v>45</v>
      </c>
    </row>
    <row r="161" spans="3:19">
      <c r="C161" s="253" t="s">
        <v>1731</v>
      </c>
      <c r="E161" s="287">
        <f>'AAL Financials'!X105</f>
        <v>280</v>
      </c>
      <c r="F161" s="287">
        <f>'DAL Financials'!X116</f>
        <v>2882</v>
      </c>
      <c r="G161" s="287">
        <f>'UAL Financials'!X116</f>
        <v>2762</v>
      </c>
      <c r="I161" s="287">
        <f>'AAL Financials'!Z105</f>
        <v>273</v>
      </c>
      <c r="J161" s="287">
        <f>'DAL Financials'!Z116</f>
        <v>7933</v>
      </c>
      <c r="K161" s="287">
        <f>'UAL Financials'!Z116</f>
        <v>18283</v>
      </c>
      <c r="M161" s="287">
        <f>SUMIF('AAL Financials'!$E$6:$T$6,Comps!$AB$5,'AAL Financials'!$E$105:$T$105)</f>
        <v>376</v>
      </c>
      <c r="N161" s="287">
        <f>SUMIF('DAL Financials'!$E$6:$T$6,Comps!$AB$5,'DAL Financials'!$E$116:$T$116)</f>
        <v>7705</v>
      </c>
      <c r="O161" s="287">
        <f>SUMIF('UAL Financials'!$E$6:$T$6,Comps!$AB$5,'UAL Financials'!E116:T116)</f>
        <v>18468</v>
      </c>
      <c r="Q161" s="287">
        <f>'AAL Financials'!AA105</f>
        <v>350</v>
      </c>
      <c r="R161" s="287">
        <f ca="1">'DAL Financials'!AA116</f>
        <v>99669</v>
      </c>
      <c r="S161" s="287">
        <f ca="1">'UAL Financials'!AA116</f>
        <v>12128.120185726139</v>
      </c>
    </row>
    <row r="162" spans="3:19">
      <c r="C162" s="253" t="s">
        <v>1732</v>
      </c>
      <c r="E162" s="277">
        <v>3243</v>
      </c>
      <c r="F162" s="277">
        <v>0</v>
      </c>
      <c r="G162" s="277">
        <v>0</v>
      </c>
      <c r="I162" s="277">
        <v>3411</v>
      </c>
      <c r="J162" s="277">
        <v>2900</v>
      </c>
      <c r="K162" s="277">
        <v>1750</v>
      </c>
      <c r="M162" s="277">
        <v>3063</v>
      </c>
      <c r="N162" s="277">
        <v>2900</v>
      </c>
      <c r="O162" s="277">
        <v>1750</v>
      </c>
      <c r="Q162" s="277">
        <v>3063</v>
      </c>
      <c r="R162" s="277">
        <v>2900</v>
      </c>
      <c r="S162" s="277">
        <v>1750</v>
      </c>
    </row>
    <row r="163" spans="3:19">
      <c r="C163" s="253" t="s">
        <v>1734</v>
      </c>
      <c r="E163" s="287">
        <f>'AAL Financials'!X112</f>
        <v>3546</v>
      </c>
      <c r="F163" s="287">
        <f>'DAL Financials'!X123</f>
        <v>0</v>
      </c>
      <c r="G163" s="287">
        <f>'UAL Financials'!X120</f>
        <v>2182</v>
      </c>
      <c r="I163" s="287">
        <f>'AAL Financials'!Z112</f>
        <v>12158</v>
      </c>
      <c r="J163" s="287">
        <f>'DAL Financials'!Z123</f>
        <v>3386</v>
      </c>
      <c r="K163" s="287">
        <f>'UAL Financials'!Z120</f>
        <v>123</v>
      </c>
      <c r="M163" s="287">
        <f>SUMIF('AAL Financials'!$E$6:$T$6,Comps!$AB$5,'AAL Financials'!$E$112:$T$112)</f>
        <v>12108</v>
      </c>
      <c r="N163" s="287">
        <f>SUMIF('DAL Financials'!$E$6:$T$6,Comps!$AB$5,'DAL Financials'!$E$123:$T$123)</f>
        <v>2250</v>
      </c>
      <c r="O163" s="287">
        <f>SUMIF('UAL Financials'!$E$6:$T$6,Comps!$AB$5,'UAL Financials'!$E$120:$T$120)</f>
        <v>211</v>
      </c>
      <c r="Q163" s="287">
        <f ca="1">'AAL Financials'!AA110</f>
        <v>11202.927890786224</v>
      </c>
      <c r="R163" s="287">
        <f>'DAL Financials'!AA123</f>
        <v>1549</v>
      </c>
      <c r="S163" s="287">
        <f>'UAL Financials'!AA120</f>
        <v>211</v>
      </c>
    </row>
    <row r="164" spans="3:19" s="279" customFormat="1">
      <c r="C164" s="289" t="s">
        <v>1733</v>
      </c>
      <c r="E164" s="966">
        <f>SUM(E161:E163)</f>
        <v>7069</v>
      </c>
      <c r="F164" s="966">
        <f>SUM(F161:F163)</f>
        <v>2882</v>
      </c>
      <c r="G164" s="966">
        <f>SUM(G161:G163)</f>
        <v>4944</v>
      </c>
      <c r="I164" s="966">
        <f>SUM(I161:I163)</f>
        <v>15842</v>
      </c>
      <c r="J164" s="966">
        <f>SUM(J161:J163)</f>
        <v>14219</v>
      </c>
      <c r="K164" s="966">
        <f>SUM(K161:K163)</f>
        <v>20156</v>
      </c>
      <c r="M164" s="966">
        <f>SUM(M161:M163)</f>
        <v>15547</v>
      </c>
      <c r="N164" s="966">
        <f>SUM(N161:N163)</f>
        <v>12855</v>
      </c>
      <c r="O164" s="966">
        <f>SUM(O161:O163)</f>
        <v>20429</v>
      </c>
      <c r="Q164" s="966">
        <f ca="1">SUM(Q161:Q163)</f>
        <v>14615.927890786224</v>
      </c>
      <c r="R164" s="966">
        <f ca="1">SUM(R161:R163)</f>
        <v>104118</v>
      </c>
      <c r="S164" s="966">
        <f ca="1">SUM(S161:S163)</f>
        <v>14089.120185726139</v>
      </c>
    </row>
    <row r="166" spans="3:19">
      <c r="C166" s="253" t="s">
        <v>1740</v>
      </c>
      <c r="E166" s="287">
        <f>'AAL Financials'!X115</f>
        <v>34995</v>
      </c>
      <c r="F166" s="287">
        <f>'DAL Financials'!X126</f>
        <v>31310</v>
      </c>
      <c r="G166" s="287">
        <f>'UAL Financials'!X126</f>
        <v>30170</v>
      </c>
      <c r="I166" s="287">
        <f>'AAL Financials'!Z115</f>
        <v>29537</v>
      </c>
      <c r="J166" s="287">
        <f>'DAL Financials'!Z126</f>
        <v>28749</v>
      </c>
      <c r="K166" s="287">
        <f>'UAL Financials'!Z126</f>
        <v>32074</v>
      </c>
      <c r="M166" s="287">
        <f>SUMIF('AAL Financials'!$E$6:$T$6,Comps!$AB$5,'AAL Financials'!$E$115:$T$115)</f>
        <v>29858</v>
      </c>
      <c r="N166" s="287">
        <f>SUMIF('DAL Financials'!$E$6:$T$6,Comps!$AB$5,'DAL Financials'!$E$126:$T$126)</f>
        <v>30042</v>
      </c>
      <c r="O166" s="287">
        <f>SUMIF('UAL Financials'!$E$6:$T$6,Comps!$AB$5,'UAL Financials'!$E$126:$T$126)</f>
        <v>31881</v>
      </c>
      <c r="Q166" s="287">
        <f>'AAL Financials'!AA115</f>
        <v>31145.401175628882</v>
      </c>
      <c r="R166" s="287">
        <f>'DAL Financials'!AA126</f>
        <v>32927.467751730772</v>
      </c>
      <c r="S166" s="287">
        <f>'UAL Financials'!AA126</f>
        <v>35116.395227543675</v>
      </c>
    </row>
    <row r="167" spans="3:19">
      <c r="C167" s="253" t="s">
        <v>1741</v>
      </c>
      <c r="E167" s="287">
        <f>'AAL Financials'!X125</f>
        <v>4808</v>
      </c>
      <c r="F167" s="287">
        <f>'DAL Financials'!X152</f>
        <v>5116</v>
      </c>
      <c r="G167" s="287">
        <f>'UAL Financials'!X137</f>
        <v>4819</v>
      </c>
      <c r="I167" s="287">
        <f>'AAL Financials'!Z125</f>
        <v>6087</v>
      </c>
      <c r="J167" s="287">
        <f>'DAL Financials'!Z152</f>
        <v>6358</v>
      </c>
      <c r="K167" s="287">
        <f>'UAL Financials'!Z137</f>
        <v>6354</v>
      </c>
      <c r="M167" s="287">
        <f>SUMIF('AAL Financials'!$E$6:$T$6,Comps!$AB$5,'AAL Financials'!$E$125:$T$125)</f>
        <v>8346</v>
      </c>
      <c r="N167" s="287">
        <f>SUMIF('DAL Financials'!$E$6:$T$6,Comps!$AB$5,'DAL Financials'!$E$152:$T$152)</f>
        <v>9109</v>
      </c>
      <c r="O167" s="287">
        <f>SUMIF('UAL Financials'!$E$6:$T$6,Comps!$AB$5,'UAL Financials'!$E$137:$T$137)</f>
        <v>8904</v>
      </c>
      <c r="Q167" s="287">
        <f>'AAL Financials'!AA125</f>
        <v>8146</v>
      </c>
      <c r="R167" s="287">
        <f>'DAL Financials'!AA152</f>
        <v>9314</v>
      </c>
      <c r="S167" s="287">
        <f>'UAL Financials'!AA137</f>
        <v>9254</v>
      </c>
    </row>
    <row r="168" spans="3:19">
      <c r="C168" s="253" t="s">
        <v>919</v>
      </c>
      <c r="E168" s="287">
        <f>'AAL Financials'!X139</f>
        <v>8615</v>
      </c>
      <c r="F168" s="287">
        <f>'DAL Financials'!X155</f>
        <v>6728</v>
      </c>
      <c r="G168" s="287">
        <f>'UAL Financials'!X153</f>
        <v>5276</v>
      </c>
      <c r="I168" s="287">
        <f>'AAL Financials'!Z139</f>
        <v>9135</v>
      </c>
      <c r="J168" s="287">
        <f>'DAL Financials'!Z155</f>
        <v>7559</v>
      </c>
      <c r="K168" s="287">
        <f>'UAL Financials'!Z153</f>
        <v>6282</v>
      </c>
      <c r="M168" s="287">
        <f>SUMIF('AAL Financials'!$E$6:$T$6,Comps!$AB$5,'AAL Financials'!$E$139:$T$139)</f>
        <v>9304</v>
      </c>
      <c r="N168" s="287">
        <f>SUMIF('DAL Financials'!$E$6:$T$6,Comps!$AB$5,'DAL Financials'!$E$155:$T$155)</f>
        <v>7644</v>
      </c>
      <c r="O168" s="287">
        <f>SUMIF('UAL Financials'!$E$6:$T$6,Comps!$AB$5,'UAL Financials'!$E$153:$T$153)</f>
        <v>6417</v>
      </c>
      <c r="Q168" s="287">
        <f>'AAL Financials'!AA139</f>
        <v>9519</v>
      </c>
      <c r="R168" s="287">
        <f>'DAL Financials'!AA155</f>
        <v>7857</v>
      </c>
      <c r="S168" s="287">
        <f>'UAL Financials'!AA153</f>
        <v>6683</v>
      </c>
    </row>
    <row r="170" spans="3:19">
      <c r="C170" s="397" t="s">
        <v>1735</v>
      </c>
    </row>
    <row r="171" spans="3:19">
      <c r="C171" s="253" t="s">
        <v>276</v>
      </c>
      <c r="E171" s="287">
        <f>'AAL Financials'!X129</f>
        <v>23645</v>
      </c>
      <c r="F171" s="287">
        <f>'DAL Financials'!X146</f>
        <v>10106</v>
      </c>
      <c r="G171" s="287">
        <f>'UAL Financials'!X144</f>
        <v>14552</v>
      </c>
      <c r="I171" s="287">
        <f>'AAL Financials'!Z129</f>
        <v>37323</v>
      </c>
      <c r="J171" s="287">
        <f>'DAL Financials'!Z146</f>
        <v>25084</v>
      </c>
      <c r="K171" s="287">
        <f>'UAL Financials'!Z144</f>
        <v>33363</v>
      </c>
      <c r="M171" s="287">
        <f>SUMIF('AAL Financials'!$E$6:$T$6,Comps!$AB$5,'AAL Financials'!$E$129:$T$129)</f>
        <v>37093</v>
      </c>
      <c r="N171" s="287">
        <f>SUMIF('DAL Financials'!$E$6:$T$6,Comps!$AB$5,'DAL Financials'!$E$146:$T$146)</f>
        <v>23770</v>
      </c>
      <c r="O171" s="287">
        <f>SUMIF('UAL Financials'!$E$6:$T$6,Comps!$AB$5,'UAL Financials'!$E$144:$T$144)</f>
        <v>32659</v>
      </c>
      <c r="Q171" s="287">
        <f ca="1">'AAL Financials'!AA129</f>
        <v>37263.873289473682</v>
      </c>
      <c r="R171" s="287">
        <f ca="1">'DAL Financials'!AA146</f>
        <v>117118.83668703501</v>
      </c>
      <c r="S171" s="287">
        <f ca="1">'UAL Financials'!AA144</f>
        <v>28644.533898947371</v>
      </c>
    </row>
    <row r="172" spans="3:19">
      <c r="C172" s="253" t="s">
        <v>1736</v>
      </c>
      <c r="E172" s="287">
        <f>'AAL Financials'!X155</f>
        <v>22606</v>
      </c>
      <c r="F172" s="287">
        <f>'DAL Financials'!X147</f>
        <v>1693</v>
      </c>
      <c r="G172" s="287">
        <f>'UAL Financials'!X175</f>
        <v>11192</v>
      </c>
      <c r="I172" s="287">
        <f>'AAL Financials'!Z155</f>
        <v>31853</v>
      </c>
      <c r="J172" s="287">
        <f>'DAL Financials'!Z147</f>
        <v>14480</v>
      </c>
      <c r="K172" s="287">
        <f>'UAL Financials'!Z175</f>
        <v>27050</v>
      </c>
      <c r="M172" s="287">
        <f>SUMIF('AAL Financials'!$E$6:$T$6,Comps!$AB$5,'AAL Financials'!$E$155:$T$155)</f>
        <v>31853</v>
      </c>
      <c r="N172" s="287">
        <f>SUMIF('DAL Financials'!$E$6:$T$6,Comps!$AB$5,'DAL Financials'!$E$147:$T$147)</f>
        <v>14253</v>
      </c>
      <c r="O172" s="287">
        <f ca="1">SUMIF('UAL Financials'!$E$6:$T$6,Comps!$AB$5,'UAL Financials'!$E$175:$Q$175)</f>
        <v>27050</v>
      </c>
      <c r="Q172" s="287">
        <f>'AAL Financials'!AA155</f>
        <v>32399.437499999996</v>
      </c>
      <c r="R172" s="287">
        <f>'DAL Financials'!AA147</f>
        <v>15795.68</v>
      </c>
      <c r="S172" s="287">
        <f>'UAL Financials'!AA175</f>
        <v>27050</v>
      </c>
    </row>
    <row r="173" spans="3:19">
      <c r="E173" s="287"/>
      <c r="F173" s="287"/>
      <c r="G173" s="287"/>
    </row>
    <row r="174" spans="3:19" s="278" customFormat="1">
      <c r="C174" s="278" t="s">
        <v>1737</v>
      </c>
      <c r="E174" s="297">
        <f>(E171-(E161+E163))/E166</f>
        <v>0.56633804829261325</v>
      </c>
      <c r="F174" s="297">
        <f>(F171-(F161+F163))/F166</f>
        <v>0.23072500798466944</v>
      </c>
      <c r="G174" s="297">
        <f>(G171-(G161+G163))/G166</f>
        <v>0.3184620483924428</v>
      </c>
      <c r="I174" s="297">
        <f>(I171-(I161+I163))/I166</f>
        <v>0.84273961472052006</v>
      </c>
      <c r="J174" s="297">
        <f>(J171-(J161+J163))/J166</f>
        <v>0.47879926258304639</v>
      </c>
      <c r="K174" s="297">
        <f>(K171-(K161+K163))/K166</f>
        <v>0.46632786680800647</v>
      </c>
      <c r="M174" s="297">
        <f>(M171-(M161+M163))/M166</f>
        <v>0.82420121910375777</v>
      </c>
      <c r="N174" s="297">
        <f>(N171-(N161+N163))/N166</f>
        <v>0.45985620131815458</v>
      </c>
      <c r="O174" s="297">
        <f>(O171-(O161+O163))/O166</f>
        <v>0.43850569304601489</v>
      </c>
      <c r="Q174" s="297">
        <f ca="1">(Q171-(Q161+Q163))/Q166</f>
        <v>0.82551338008791297</v>
      </c>
      <c r="R174" s="297">
        <f ca="1">(R171-(R161+R163))/R166</f>
        <v>0.48290493538481155</v>
      </c>
      <c r="S174" s="297">
        <f ca="1">(S171-(S161+S163))/S166</f>
        <v>0.46432481487826577</v>
      </c>
    </row>
    <row r="175" spans="3:19" s="278" customFormat="1">
      <c r="C175" s="278" t="s">
        <v>1738</v>
      </c>
      <c r="E175" s="297">
        <f>E172/E166</f>
        <v>0.64597799685669377</v>
      </c>
      <c r="F175" s="297">
        <f>F172/F166</f>
        <v>5.4072181411689554E-2</v>
      </c>
      <c r="G175" s="297">
        <f>G172/G166</f>
        <v>0.37096453430560161</v>
      </c>
      <c r="I175" s="297">
        <f>I172/I166</f>
        <v>1.0784101296678741</v>
      </c>
      <c r="J175" s="297">
        <f>J172/J166</f>
        <v>0.50366969285888208</v>
      </c>
      <c r="K175" s="297">
        <f>K172/K166</f>
        <v>0.84336222485502277</v>
      </c>
      <c r="M175" s="297">
        <f>M172/M166</f>
        <v>1.0668162636479335</v>
      </c>
      <c r="N175" s="297">
        <f>N172/N166</f>
        <v>0.4744357898941482</v>
      </c>
      <c r="O175" s="297">
        <f ca="1">O172/O166</f>
        <v>0.8484677394059158</v>
      </c>
      <c r="Q175" s="297">
        <f>Q172/Q166</f>
        <v>1.0402639322993339</v>
      </c>
      <c r="R175" s="297">
        <f>R172/R166</f>
        <v>0.47971134977938684</v>
      </c>
      <c r="S175" s="297">
        <f>S172/S166</f>
        <v>0.7702954652584395</v>
      </c>
    </row>
    <row r="176" spans="3:19" s="278" customFormat="1">
      <c r="C176" s="278" t="s">
        <v>1739</v>
      </c>
      <c r="E176" s="297">
        <f>(E161+E163)/(E167+E168)</f>
        <v>0.28503315205244728</v>
      </c>
      <c r="F176" s="297">
        <f>(F161+F163)/(F167+F168)</f>
        <v>0.24332995609591354</v>
      </c>
      <c r="G176" s="297">
        <f>(G161+G163)/(G167+G168)</f>
        <v>0.48974739970282316</v>
      </c>
      <c r="I176" s="297">
        <f>(I161+I163)/(I167+I168)</f>
        <v>0.81664695834975698</v>
      </c>
      <c r="J176" s="297">
        <f>(J161+J163)/(J167+J168)</f>
        <v>0.81332183660271606</v>
      </c>
      <c r="K176" s="297">
        <f>(K161+K163)/(K167+K168)</f>
        <v>1.4566318455207343</v>
      </c>
      <c r="M176" s="297">
        <f>(M161+M163)/(M167+M168)</f>
        <v>0.70730878186968837</v>
      </c>
      <c r="N176" s="297">
        <f>(N161+N163)/(N167+N168)</f>
        <v>0.59422193040052529</v>
      </c>
      <c r="O176" s="297">
        <f>(O161+O163)/(O167+O168)</f>
        <v>1.219176293975589</v>
      </c>
      <c r="Q176" s="297">
        <f ca="1">(Q161+Q163)/(Q167+Q168)</f>
        <v>0.65400101278155809</v>
      </c>
      <c r="R176" s="297">
        <f ca="1">(R161+R163)/(R167+R168)</f>
        <v>5.8947061906703162</v>
      </c>
      <c r="S176" s="297">
        <f ca="1">(S161+S163)/(S167+S168)</f>
        <v>0.77424359576621316</v>
      </c>
    </row>
    <row r="177" spans="3:23">
      <c r="E177" s="257"/>
      <c r="F177" s="257"/>
      <c r="G177" s="257"/>
      <c r="U177" s="278"/>
      <c r="V177" s="278"/>
      <c r="W177" s="278"/>
    </row>
    <row r="178" spans="3:23">
      <c r="C178" s="384" t="s">
        <v>1800</v>
      </c>
      <c r="Q178" s="287">
        <f>'AAL Debt'!AA$63-'AAL Debt'!AA53-'AAL Financials'!Q240</f>
        <v>1849.26</v>
      </c>
      <c r="R178" s="287">
        <f>'DAL Debt'!AA$57-'DAL Debt'!AA53-'DAL Financials'!Q$244</f>
        <v>605.72</v>
      </c>
      <c r="S178" s="287">
        <f ca="1">'UAL Debt'!AA$61-'UAL Debt'!AA49-'UAL Financials'!Q$244</f>
        <v>2685.5256799999997</v>
      </c>
      <c r="U178" s="278"/>
      <c r="V178" s="278"/>
      <c r="W178" s="278"/>
    </row>
    <row r="179" spans="3:23">
      <c r="U179" s="278"/>
      <c r="V179" s="278"/>
      <c r="W179" s="278"/>
    </row>
    <row r="180" spans="3:23">
      <c r="C180" s="253" t="s">
        <v>1747</v>
      </c>
      <c r="E180" s="277">
        <v>12070.2</v>
      </c>
      <c r="F180" s="277">
        <v>37695.599999999999</v>
      </c>
      <c r="G180" s="277">
        <v>17497.900000000001</v>
      </c>
      <c r="I180" s="277">
        <v>11314.9</v>
      </c>
      <c r="J180" s="277">
        <v>26963.8</v>
      </c>
      <c r="K180" s="277">
        <v>15397</v>
      </c>
      <c r="M180" s="287">
        <f ca="1">'AAL One Pager'!$E$34</f>
        <v>9940.8247486399996</v>
      </c>
      <c r="N180" s="287">
        <f ca="1">'DAL One Pager'!$E$34</f>
        <v>21056.939627120002</v>
      </c>
      <c r="O180" s="287" t="e">
        <f ca="1">'UAL One Pager'!$E$34</f>
        <v>#VALUE!</v>
      </c>
      <c r="Q180" s="287">
        <f ca="1">'AAL One Pager'!$E$34</f>
        <v>9940.8247486399996</v>
      </c>
      <c r="R180" s="287">
        <f ca="1">'DAL One Pager'!$E$34</f>
        <v>21056.939627120002</v>
      </c>
      <c r="S180" s="287" t="e">
        <f ca="1">'UAL One Pager'!$E$34</f>
        <v>#VALUE!</v>
      </c>
      <c r="U180" s="278"/>
      <c r="V180" s="278"/>
      <c r="W180" s="278"/>
    </row>
    <row r="181" spans="3:23">
      <c r="C181" s="253" t="s">
        <v>1748</v>
      </c>
      <c r="E181" s="383">
        <f>E180-E161-E163+E171</f>
        <v>31889.200000000001</v>
      </c>
      <c r="F181" s="383">
        <f>F180-F161-F163+F171</f>
        <v>44919.6</v>
      </c>
      <c r="G181" s="383">
        <f>G180-G161-G163+G171</f>
        <v>27105.9</v>
      </c>
      <c r="I181" s="383">
        <f>I180-I161-I163+I171</f>
        <v>36206.9</v>
      </c>
      <c r="J181" s="383">
        <f>J180-J161-J163+J171</f>
        <v>40728.800000000003</v>
      </c>
      <c r="K181" s="383">
        <f>K180-K161-K163+K171</f>
        <v>30354</v>
      </c>
      <c r="M181" s="383">
        <f ca="1">M180-M161-M163+M171</f>
        <v>34549.82474864</v>
      </c>
      <c r="N181" s="383">
        <f ca="1">N180-N161-N163+N171</f>
        <v>34871.939627120002</v>
      </c>
      <c r="O181" s="383" t="e">
        <f ca="1">O180-O161-O163+O171</f>
        <v>#VALUE!</v>
      </c>
      <c r="Q181" s="383">
        <f ca="1">Q180-Q161-Q163+Q171</f>
        <v>35651.770147327457</v>
      </c>
      <c r="R181" s="383">
        <f ca="1">R180-R161-R163+R171</f>
        <v>36957.776314155024</v>
      </c>
      <c r="S181" s="383" t="e">
        <f ca="1">S180-S161-S163+S171</f>
        <v>#VALUE!</v>
      </c>
      <c r="U181" s="278"/>
      <c r="V181" s="278"/>
      <c r="W181" s="278"/>
    </row>
    <row r="182" spans="3:23">
      <c r="U182" s="278"/>
      <c r="V182" s="278"/>
      <c r="W182" s="278"/>
    </row>
    <row r="183" spans="3:23">
      <c r="C183" s="253" t="s">
        <v>1749</v>
      </c>
      <c r="E183" s="628">
        <f>(E171-E161-E163)/E180</f>
        <v>1.6419777634173418</v>
      </c>
      <c r="F183" s="628">
        <f>(F171-F161-F163)/F180</f>
        <v>0.19164040365453794</v>
      </c>
      <c r="G183" s="628">
        <f>(G171-G161-G163)/G180</f>
        <v>0.54909446276410312</v>
      </c>
      <c r="I183" s="628">
        <f>(I171-I161-I163)/I180</f>
        <v>2.1999310643487791</v>
      </c>
      <c r="J183" s="628">
        <f>(J171-J161-J163)/J180</f>
        <v>0.51049926197346074</v>
      </c>
      <c r="K183" s="628">
        <f>(K171-K161-K163)/K180</f>
        <v>0.97142300448139252</v>
      </c>
      <c r="M183" s="628">
        <f ca="1">(M171-M161-M163)/M180</f>
        <v>2.475549124167665</v>
      </c>
      <c r="N183" s="628">
        <f ca="1">(N171-N161-N163)/N180</f>
        <v>0.65607824520744484</v>
      </c>
      <c r="O183" s="628" t="e">
        <f ca="1">(O171-O161-O163)/O180</f>
        <v>#VALUE!</v>
      </c>
      <c r="Q183" s="628">
        <f ca="1">(Q171-Q161-Q163)/Q180</f>
        <v>2.5863996246594088</v>
      </c>
      <c r="R183" s="628">
        <f ca="1">(R171-R161-R163)/R180</f>
        <v>0.755135217586688</v>
      </c>
      <c r="S183" s="628" t="e">
        <f ca="1">(S171-S161-S163)/S180</f>
        <v>#VALUE!</v>
      </c>
      <c r="U183" s="278"/>
      <c r="V183" s="278"/>
      <c r="W183" s="278"/>
    </row>
    <row r="184" spans="3:23">
      <c r="C184" s="253" t="s">
        <v>1823</v>
      </c>
      <c r="E184" s="628"/>
      <c r="F184" s="628"/>
      <c r="G184" s="628"/>
      <c r="I184" s="628"/>
      <c r="J184" s="628"/>
      <c r="K184" s="628"/>
      <c r="M184" s="628"/>
      <c r="N184" s="628"/>
      <c r="O184" s="628"/>
      <c r="Q184" s="628">
        <f ca="1">IF(Q181/Consensus!$D$13&gt;0,Q181/Consensus!$D$13,0)</f>
        <v>10.812167298935504</v>
      </c>
      <c r="R184" s="628">
        <f ca="1">IF(R181/Consensus!$D$90&gt;0,R181/Consensus!$D$90,0)</f>
        <v>6.7461719311613626</v>
      </c>
      <c r="S184" s="628" t="e">
        <f ca="1">IF(S181/Consensus!$D$133&gt;0,S181/Consensus!$D$133,0)</f>
        <v>#VALUE!</v>
      </c>
      <c r="U184" s="628"/>
      <c r="V184" s="628"/>
      <c r="W184" s="628"/>
    </row>
    <row r="185" spans="3:23">
      <c r="E185" s="628"/>
      <c r="F185" s="628"/>
      <c r="G185" s="628"/>
      <c r="I185" s="628"/>
      <c r="J185" s="628"/>
      <c r="K185" s="628"/>
      <c r="M185" s="628"/>
      <c r="N185" s="628"/>
      <c r="O185" s="628"/>
      <c r="Q185" s="628"/>
      <c r="R185" s="628"/>
      <c r="S185" s="628"/>
      <c r="U185" s="628"/>
      <c r="V185" s="628"/>
      <c r="W185" s="628"/>
    </row>
    <row r="186" spans="3:23">
      <c r="E186" s="628"/>
      <c r="F186" s="628"/>
      <c r="G186" s="628"/>
      <c r="I186" s="628"/>
      <c r="J186" s="628"/>
      <c r="K186" s="628"/>
      <c r="M186" s="628"/>
      <c r="N186" s="628"/>
      <c r="O186" s="628"/>
      <c r="Q186" s="628"/>
      <c r="R186" s="628"/>
      <c r="S186" s="628"/>
      <c r="U186" s="628"/>
      <c r="V186" s="628"/>
      <c r="W186" s="628"/>
    </row>
    <row r="187" spans="3:23">
      <c r="Q187" s="965">
        <f>Q158</f>
        <v>2022</v>
      </c>
      <c r="R187" s="963"/>
      <c r="S187" s="963"/>
    </row>
    <row r="188" spans="3:23" ht="10.9" thickBot="1">
      <c r="Q188" s="264" t="s">
        <v>1314</v>
      </c>
      <c r="R188" s="264" t="s">
        <v>1315</v>
      </c>
      <c r="S188" s="264" t="s">
        <v>1316</v>
      </c>
    </row>
    <row r="189" spans="3:23">
      <c r="C189" s="508" t="s">
        <v>366</v>
      </c>
      <c r="D189" s="473"/>
      <c r="E189" s="473"/>
      <c r="F189" s="473"/>
      <c r="G189" s="473"/>
      <c r="H189" s="473"/>
      <c r="I189" s="473"/>
      <c r="J189" s="473"/>
      <c r="K189" s="473"/>
      <c r="L189" s="473"/>
      <c r="M189" s="473"/>
      <c r="N189" s="1153" t="s">
        <v>1804</v>
      </c>
      <c r="O189" s="1145">
        <v>5</v>
      </c>
      <c r="P189" s="473"/>
      <c r="Q189" s="562">
        <f>$O$189*Q145</f>
        <v>20042.282432447075</v>
      </c>
      <c r="R189" s="1146">
        <f>$O$189*R145+'DAL KPI'!$AA$278+'DAL KPI'!$AA$280</f>
        <v>16877.933653498294</v>
      </c>
      <c r="S189" s="563">
        <f>$O$189*S145</f>
        <v>18394.168672083175</v>
      </c>
    </row>
    <row r="190" spans="3:23">
      <c r="C190" s="425"/>
      <c r="Q190" s="255"/>
      <c r="R190" s="284"/>
      <c r="S190" s="504"/>
    </row>
    <row r="191" spans="3:23">
      <c r="C191" s="425" t="s">
        <v>88</v>
      </c>
      <c r="Q191" s="255">
        <f>Q14-Q138-Q189+'AAL KPI'!$AA$27</f>
        <v>-4836.1403593032092</v>
      </c>
      <c r="R191" s="255">
        <f ca="1">R14-R138-R189+'DAL KPI'!AA30</f>
        <v>376.57109895746248</v>
      </c>
      <c r="S191" s="539">
        <f>S14-S138-S189+'UAL KPI'!AA30-('UAL KPI'!$AA$27+'UAL KPI'!$AA$26+'UAL KPI'!$AA$25)</f>
        <v>-2483.6978190685131</v>
      </c>
    </row>
    <row r="192" spans="3:23">
      <c r="C192" s="1147" t="s">
        <v>1789</v>
      </c>
      <c r="Q192" s="287">
        <f ca="1">'AAL Financials'!R$30</f>
        <v>430.0526781293654</v>
      </c>
      <c r="R192" s="287">
        <f>'DAL Financials'!R$34</f>
        <v>269</v>
      </c>
      <c r="S192" s="973">
        <f ca="1">'UAL Financials'!R$30</f>
        <v>337.23713837589924</v>
      </c>
    </row>
    <row r="193" spans="3:27" s="279" customFormat="1">
      <c r="C193" s="1148" t="s">
        <v>157</v>
      </c>
      <c r="Q193" s="1084">
        <f ca="1">Q191-Q192</f>
        <v>-5266.1930374325748</v>
      </c>
      <c r="R193" s="1084">
        <f ca="1">R191-R192</f>
        <v>107.57109895746248</v>
      </c>
      <c r="S193" s="1086">
        <f ca="1">S191-S192</f>
        <v>-2820.9349574444122</v>
      </c>
    </row>
    <row r="194" spans="3:27">
      <c r="C194" s="1147" t="s">
        <v>594</v>
      </c>
      <c r="Q194" s="284">
        <f>'AAL Financials'!$AA$216</f>
        <v>3377.541140348183</v>
      </c>
      <c r="R194" s="284">
        <f ca="1">'DAL Financials'!AA$221</f>
        <v>3541.0060110073146</v>
      </c>
      <c r="S194" s="539">
        <f>'UAL Financials'!AA$223</f>
        <v>3599.2481255877519</v>
      </c>
      <c r="Z194" s="279"/>
      <c r="AA194" s="279"/>
    </row>
    <row r="195" spans="3:27">
      <c r="C195" s="1147" t="s">
        <v>1836</v>
      </c>
      <c r="Q195" s="287">
        <f>-SUM('AAL Financials'!$Q$170:$T$170)</f>
        <v>-2307</v>
      </c>
      <c r="R195" s="287">
        <f>'DAL Financials'!$AA$235</f>
        <v>-1875.3591348575515</v>
      </c>
      <c r="S195" s="973">
        <f>-'UAL Financials'!$AA$190</f>
        <v>-2402</v>
      </c>
      <c r="Z195" s="279"/>
      <c r="AA195" s="279"/>
    </row>
    <row r="196" spans="3:27">
      <c r="C196" s="1147" t="s">
        <v>1795</v>
      </c>
      <c r="Q196" s="287">
        <f>'AAL Financials'!$Q$240-'AAL Debt'!$AA$63+'AAL Debt'!$AA$53</f>
        <v>-1849.26</v>
      </c>
      <c r="R196" s="287">
        <f>'DAL Financials'!$Q$243-'DAL Debt'!$AA$57+'DAL Debt'!$AA$53</f>
        <v>-2048.7200000000003</v>
      </c>
      <c r="S196" s="973">
        <f ca="1">'UAL Financials'!$Q$244-'UAL Debt'!$AA$61+'UAL Debt'!$AA$49</f>
        <v>-2685.5256799999997</v>
      </c>
      <c r="Z196" s="279"/>
      <c r="AA196" s="279"/>
    </row>
    <row r="197" spans="3:27" s="279" customFormat="1">
      <c r="C197" s="974" t="s">
        <v>161</v>
      </c>
      <c r="Q197" s="283">
        <f ca="1">SUM(Q193:Q196)</f>
        <v>-6044.911897084392</v>
      </c>
      <c r="R197" s="283">
        <f t="shared" ref="R197:S197" ca="1" si="34">SUM(R193:R196)</f>
        <v>-275.50202489277444</v>
      </c>
      <c r="S197" s="1149">
        <f t="shared" ca="1" si="34"/>
        <v>-4309.2125118566601</v>
      </c>
    </row>
    <row r="198" spans="3:27" ht="3" customHeight="1">
      <c r="C198" s="1150"/>
      <c r="Q198" s="255"/>
      <c r="R198" s="255"/>
      <c r="S198" s="539"/>
      <c r="Z198" s="279"/>
      <c r="AA198" s="279"/>
    </row>
    <row r="199" spans="3:27" s="279" customFormat="1" ht="10.9" thickBot="1">
      <c r="C199" s="427" t="s">
        <v>1788</v>
      </c>
      <c r="D199" s="624"/>
      <c r="E199" s="624"/>
      <c r="F199" s="624"/>
      <c r="G199" s="624"/>
      <c r="H199" s="624"/>
      <c r="I199" s="624"/>
      <c r="J199" s="624"/>
      <c r="K199" s="624"/>
      <c r="L199" s="624"/>
      <c r="M199" s="624"/>
      <c r="N199" s="624"/>
      <c r="O199" s="624"/>
      <c r="P199" s="624"/>
      <c r="Q199" s="1151">
        <f ca="1">-+IF(Q$164/(Q197)*12&lt;0,Q$164/(Q197)*12,NA())</f>
        <v>29.014671789349009</v>
      </c>
      <c r="R199" s="1151">
        <f ca="1">-+IF(R$164/(R197)*12&lt;0,R$164/(R197)*12,NA())</f>
        <v>4535.0519673540457</v>
      </c>
      <c r="S199" s="1152">
        <f ca="1">-+IF(S$164/(S197)*12&lt;0,S$164/(S197)*12,NA())</f>
        <v>39.234417370580935</v>
      </c>
    </row>
    <row r="200" spans="3:27" ht="10.9" thickBot="1">
      <c r="Z200" s="279"/>
      <c r="AA200" s="279"/>
    </row>
    <row r="201" spans="3:27">
      <c r="C201" s="508" t="s">
        <v>1803</v>
      </c>
      <c r="D201" s="473"/>
      <c r="E201" s="473"/>
      <c r="F201" s="473"/>
      <c r="G201" s="473"/>
      <c r="H201" s="473"/>
      <c r="I201" s="473"/>
      <c r="J201" s="473"/>
      <c r="K201" s="473"/>
      <c r="L201" s="473"/>
      <c r="M201" s="473"/>
      <c r="N201" s="1153" t="s">
        <v>1804</v>
      </c>
      <c r="O201" s="1145">
        <v>6</v>
      </c>
      <c r="P201" s="473"/>
      <c r="Q201" s="562">
        <f>$O$201*Q145</f>
        <v>24050.738918936491</v>
      </c>
      <c r="R201" s="1146">
        <f>$O$201*R145+'DAL KPI'!$AA$278+'DAL KPI'!$AA$280</f>
        <v>20342.422686283389</v>
      </c>
      <c r="S201" s="563">
        <f>$O$201*S145</f>
        <v>22073.002406499811</v>
      </c>
      <c r="Z201" s="279"/>
      <c r="AA201" s="279"/>
    </row>
    <row r="202" spans="3:27">
      <c r="C202" s="425"/>
      <c r="Q202" s="255"/>
      <c r="R202" s="284"/>
      <c r="S202" s="504"/>
      <c r="Z202" s="279"/>
      <c r="AA202" s="279"/>
    </row>
    <row r="203" spans="3:27">
      <c r="C203" s="425" t="s">
        <v>88</v>
      </c>
      <c r="Q203" s="255">
        <f>Q14-Q138-Q201+'AAL KPI'!$AA$27</f>
        <v>-8844.5968457926265</v>
      </c>
      <c r="R203" s="255">
        <f ca="1">R14-R138-R201+'DAL KPI'!AA30</f>
        <v>-3087.9179338276326</v>
      </c>
      <c r="S203" s="539">
        <f>S14-S138-S201+'UAL KPI'!AA30-('UAL KPI'!$AA$27+'UAL KPI'!$AA$26+'UAL KPI'!$AA$25)</f>
        <v>-6162.5315534851488</v>
      </c>
      <c r="Z203" s="279"/>
      <c r="AA203" s="279"/>
    </row>
    <row r="204" spans="3:27">
      <c r="C204" s="1147" t="s">
        <v>1789</v>
      </c>
      <c r="Q204" s="287">
        <f ca="1">'AAL Financials'!R$30</f>
        <v>430.0526781293654</v>
      </c>
      <c r="R204" s="287">
        <f>'DAL Financials'!R$34</f>
        <v>269</v>
      </c>
      <c r="S204" s="973">
        <f ca="1">'UAL Financials'!R$30</f>
        <v>337.23713837589924</v>
      </c>
      <c r="Z204" s="279"/>
      <c r="AA204" s="279"/>
    </row>
    <row r="205" spans="3:27" s="279" customFormat="1">
      <c r="C205" s="1148" t="s">
        <v>157</v>
      </c>
      <c r="Q205" s="1084">
        <f ca="1">Q203-Q204</f>
        <v>-9274.6495239219912</v>
      </c>
      <c r="R205" s="1084">
        <f ca="1">R203-R204</f>
        <v>-3356.9179338276326</v>
      </c>
      <c r="S205" s="1086">
        <f ca="1">S203-S204</f>
        <v>-6499.768691861048</v>
      </c>
    </row>
    <row r="206" spans="3:27">
      <c r="C206" s="1147" t="s">
        <v>594</v>
      </c>
      <c r="Q206" s="284">
        <f>'AAL Financials'!$AA$216</f>
        <v>3377.541140348183</v>
      </c>
      <c r="R206" s="284">
        <f ca="1">'DAL Financials'!AA$221</f>
        <v>3541.0060110073146</v>
      </c>
      <c r="S206" s="539">
        <f>'UAL Financials'!AA$223</f>
        <v>3599.2481255877519</v>
      </c>
      <c r="Z206" s="279"/>
      <c r="AA206" s="279"/>
    </row>
    <row r="207" spans="3:27">
      <c r="C207" s="1147" t="s">
        <v>1836</v>
      </c>
      <c r="Q207" s="287">
        <f>-SUM('AAL Financials'!$Q$170:$T$170)</f>
        <v>-2307</v>
      </c>
      <c r="R207" s="287">
        <f>'DAL Financials'!$AA$235</f>
        <v>-1875.3591348575515</v>
      </c>
      <c r="S207" s="973">
        <f>-'UAL Financials'!$AA$190</f>
        <v>-2402</v>
      </c>
      <c r="Z207" s="279"/>
      <c r="AA207" s="279"/>
    </row>
    <row r="208" spans="3:27">
      <c r="C208" s="1147" t="s">
        <v>1795</v>
      </c>
      <c r="Q208" s="287">
        <f>'AAL Financials'!$Q$240-'AAL Debt'!$AA$63+'AAL Debt'!$AA$53</f>
        <v>-1849.26</v>
      </c>
      <c r="R208" s="287">
        <f>'DAL Financials'!$Q$243-'DAL Debt'!$AA$57+'DAL Debt'!$AA$53</f>
        <v>-2048.7200000000003</v>
      </c>
      <c r="S208" s="973">
        <f ca="1">'UAL Financials'!$Q$244-'UAL Debt'!$AA$61+'UAL Debt'!$AA$49</f>
        <v>-2685.5256799999997</v>
      </c>
      <c r="U208" s="287"/>
      <c r="V208" s="287"/>
      <c r="W208" s="287"/>
      <c r="Z208" s="279"/>
      <c r="AA208" s="279"/>
    </row>
    <row r="209" spans="3:27" s="279" customFormat="1">
      <c r="C209" s="974" t="s">
        <v>161</v>
      </c>
      <c r="Q209" s="283">
        <f ca="1">SUM(Q205:Q208)</f>
        <v>-10053.368383573808</v>
      </c>
      <c r="R209" s="283">
        <f t="shared" ref="R209" ca="1" si="35">SUM(R205:R208)</f>
        <v>-3739.9910576778698</v>
      </c>
      <c r="S209" s="1149">
        <f t="shared" ref="S209" ca="1" si="36">SUM(S205:S208)</f>
        <v>-7988.0462462732958</v>
      </c>
    </row>
    <row r="210" spans="3:27" ht="3" customHeight="1">
      <c r="C210" s="425"/>
      <c r="Q210" s="255"/>
      <c r="R210" s="255"/>
      <c r="S210" s="539"/>
      <c r="Z210" s="279"/>
      <c r="AA210" s="279"/>
    </row>
    <row r="211" spans="3:27" ht="10.9" thickBot="1">
      <c r="C211" s="427" t="s">
        <v>1788</v>
      </c>
      <c r="D211" s="430"/>
      <c r="E211" s="430"/>
      <c r="F211" s="430"/>
      <c r="G211" s="430"/>
      <c r="H211" s="430"/>
      <c r="I211" s="430"/>
      <c r="J211" s="430"/>
      <c r="K211" s="430"/>
      <c r="L211" s="430"/>
      <c r="M211" s="430"/>
      <c r="N211" s="430"/>
      <c r="O211" s="430"/>
      <c r="P211" s="430"/>
      <c r="Q211" s="1151">
        <f ca="1">-+IF(Q$164/(Q209)*12&lt;0,Q$164/(Q209)*12,NA())</f>
        <v>17.446006949870267</v>
      </c>
      <c r="R211" s="1151">
        <f ca="1">-+IF(R$164/(R209)*12&lt;0,R$164/(R209)*12,NA())</f>
        <v>334.0692479558366</v>
      </c>
      <c r="S211" s="1152">
        <f ca="1">-+IF(S$164/(S209)*12&lt;0,S$164/(S209)*12,NA())</f>
        <v>21.16530588535219</v>
      </c>
      <c r="Z211" s="279"/>
      <c r="AA211" s="279"/>
    </row>
    <row r="212" spans="3:27" ht="10.9" thickBot="1">
      <c r="Z212" s="279"/>
      <c r="AA212" s="279"/>
    </row>
    <row r="213" spans="3:27">
      <c r="C213" s="508" t="s">
        <v>366</v>
      </c>
      <c r="D213" s="473"/>
      <c r="E213" s="473"/>
      <c r="F213" s="473"/>
      <c r="G213" s="473"/>
      <c r="H213" s="473"/>
      <c r="I213" s="473"/>
      <c r="J213" s="473"/>
      <c r="K213" s="473"/>
      <c r="L213" s="473"/>
      <c r="M213" s="473"/>
      <c r="N213" s="1153" t="s">
        <v>1804</v>
      </c>
      <c r="O213" s="1145">
        <v>7</v>
      </c>
      <c r="P213" s="473"/>
      <c r="Q213" s="562">
        <f>$O$213*Q145</f>
        <v>28059.195405425904</v>
      </c>
      <c r="R213" s="1146">
        <f>$O$213*R145+'DAL KPI'!$AA$278+'DAL KPI'!$AA$280</f>
        <v>23806.911719068485</v>
      </c>
      <c r="S213" s="563">
        <f>$O$213*S145</f>
        <v>25751.836140916446</v>
      </c>
      <c r="Z213" s="279"/>
      <c r="AA213" s="279"/>
    </row>
    <row r="214" spans="3:27">
      <c r="C214" s="425"/>
      <c r="Q214" s="255"/>
      <c r="R214" s="255"/>
      <c r="S214" s="504"/>
      <c r="Z214" s="279"/>
      <c r="AA214" s="279"/>
    </row>
    <row r="215" spans="3:27">
      <c r="C215" s="425" t="s">
        <v>88</v>
      </c>
      <c r="Q215" s="255">
        <f>Q14-Q138-Q213+'AAL KPI'!$AA$27</f>
        <v>-12853.053332282039</v>
      </c>
      <c r="R215" s="255">
        <f ca="1">R14-R138-R213+'DAL KPI'!AA30</f>
        <v>-6552.406966612728</v>
      </c>
      <c r="S215" s="539">
        <f>S14-S138-S213+'UAL KPI'!AA30-('UAL KPI'!$AA$27+'UAL KPI'!$AA$26+'UAL KPI'!$AA$25)</f>
        <v>-9841.3652879017845</v>
      </c>
      <c r="Z215" s="279"/>
      <c r="AA215" s="279"/>
    </row>
    <row r="216" spans="3:27">
      <c r="C216" s="1147" t="s">
        <v>1789</v>
      </c>
      <c r="Q216" s="287">
        <f ca="1">'AAL Financials'!R$30</f>
        <v>430.0526781293654</v>
      </c>
      <c r="R216" s="287">
        <f>'DAL Financials'!R$34</f>
        <v>269</v>
      </c>
      <c r="S216" s="973">
        <f ca="1">'UAL Financials'!R$30</f>
        <v>337.23713837589924</v>
      </c>
      <c r="Z216" s="279"/>
      <c r="AA216" s="279"/>
    </row>
    <row r="217" spans="3:27" s="279" customFormat="1">
      <c r="C217" s="1148" t="s">
        <v>157</v>
      </c>
      <c r="Q217" s="1084">
        <f ca="1">Q215-Q216</f>
        <v>-13283.106010411404</v>
      </c>
      <c r="R217" s="1084">
        <f ca="1">R215-R216</f>
        <v>-6821.406966612728</v>
      </c>
      <c r="S217" s="1086">
        <f ca="1">S215-S216</f>
        <v>-10178.602426277685</v>
      </c>
    </row>
    <row r="218" spans="3:27">
      <c r="C218" s="1147" t="s">
        <v>594</v>
      </c>
      <c r="Q218" s="284">
        <f>'AAL Financials'!$AA$216</f>
        <v>3377.541140348183</v>
      </c>
      <c r="R218" s="284">
        <f ca="1">'DAL Financials'!AA$221</f>
        <v>3541.0060110073146</v>
      </c>
      <c r="S218" s="539">
        <f>'UAL Financials'!AA$223</f>
        <v>3599.2481255877519</v>
      </c>
      <c r="Z218" s="279"/>
      <c r="AA218" s="279"/>
    </row>
    <row r="219" spans="3:27">
      <c r="C219" s="1147" t="s">
        <v>1836</v>
      </c>
      <c r="Q219" s="287">
        <f>-SUM('AAL Financials'!$Q$170:$T$170)</f>
        <v>-2307</v>
      </c>
      <c r="R219" s="287">
        <f>'DAL Financials'!$AA$235</f>
        <v>-1875.3591348575515</v>
      </c>
      <c r="S219" s="973">
        <f>-'UAL Financials'!$AA$190</f>
        <v>-2402</v>
      </c>
    </row>
    <row r="220" spans="3:27">
      <c r="C220" s="1147" t="s">
        <v>1795</v>
      </c>
      <c r="Q220" s="287">
        <f>'AAL Financials'!$Q$240-'AAL Debt'!$AA$63+'AAL Debt'!$AA$53</f>
        <v>-1849.26</v>
      </c>
      <c r="R220" s="287">
        <f>'DAL Financials'!$Q$243-'DAL Debt'!$AA$57+'DAL Debt'!$AA$53</f>
        <v>-2048.7200000000003</v>
      </c>
      <c r="S220" s="973">
        <f ca="1">'UAL Financials'!$Q$244-'UAL Debt'!$AA$61+'UAL Debt'!$AA$49</f>
        <v>-2685.5256799999997</v>
      </c>
      <c r="U220" s="287"/>
      <c r="V220" s="287"/>
      <c r="W220" s="287"/>
    </row>
    <row r="221" spans="3:27" s="279" customFormat="1">
      <c r="C221" s="974" t="s">
        <v>161</v>
      </c>
      <c r="Q221" s="283">
        <f ca="1">SUM(Q217:Q220)</f>
        <v>-14061.824870063221</v>
      </c>
      <c r="R221" s="283">
        <f t="shared" ref="R221" ca="1" si="37">SUM(R217:R220)</f>
        <v>-7204.4800904629656</v>
      </c>
      <c r="S221" s="1149">
        <f t="shared" ref="S221" ca="1" si="38">SUM(S217:S220)</f>
        <v>-11666.879980689933</v>
      </c>
    </row>
    <row r="222" spans="3:27" s="279" customFormat="1" ht="3" customHeight="1">
      <c r="C222" s="974"/>
      <c r="Q222" s="283"/>
      <c r="R222" s="283"/>
      <c r="S222" s="1149"/>
    </row>
    <row r="223" spans="3:27" ht="10.9" thickBot="1">
      <c r="C223" s="427" t="s">
        <v>1788</v>
      </c>
      <c r="D223" s="430"/>
      <c r="E223" s="430"/>
      <c r="F223" s="430"/>
      <c r="G223" s="430"/>
      <c r="H223" s="430"/>
      <c r="I223" s="430"/>
      <c r="J223" s="430"/>
      <c r="K223" s="430"/>
      <c r="L223" s="430"/>
      <c r="M223" s="430"/>
      <c r="N223" s="430"/>
      <c r="O223" s="430"/>
      <c r="P223" s="430"/>
      <c r="Q223" s="1151">
        <f ca="1">-+IF(Q$164/(Q221)*12&lt;0,Q$164/(Q221)*12,NA())</f>
        <v>12.472857279202209</v>
      </c>
      <c r="R223" s="1151">
        <f ca="1">-+IF(R$164/(R221)*12&lt;0,R$164/(R221)*12,NA())</f>
        <v>173.42209074238855</v>
      </c>
      <c r="S223" s="1152">
        <f ca="1">-+IF(S$164/(S221)*12&lt;0,S$164/(S221)*12,NA())</f>
        <v>14.491401515104602</v>
      </c>
    </row>
  </sheetData>
  <hyperlinks>
    <hyperlink ref="K162" r:id="rId1" tooltip="Undrawn Revolving Credit_x000a_ FY: 2021, FQ: 4_x000a_ Period End Date: Dec-31-2021_x000a_ Filing Date: Feb-18-2022_x000a_ Period Type: Quarterly_x000a_ Value: 1,750.0, Currency: USD, Millions" display="javascript:void(0);" xr:uid="{FA4A1F7D-2448-4DF8-8904-1B550C150B5E}"/>
    <hyperlink ref="O162" r:id="rId2" tooltip="Undrawn Revolving Credit_x000a_ FY: 2021, FQ: 4_x000a_ Period End Date: Dec-31-2021_x000a_ Filing Date: Feb-18-2022_x000a_ Period Type: Quarterly_x000a_ Value: 1,750.0, Currency: USD, Millions" display="javascript:void(0);" xr:uid="{D9E1ADC9-2F68-4872-82F6-7B11843A3AC7}"/>
    <hyperlink ref="S162" r:id="rId3" tooltip="Undrawn Revolving Credit_x000a_ FY: 2021, FQ: 4_x000a_ Period End Date: Dec-31-2021_x000a_ Filing Date: Feb-18-2022_x000a_ Period Type: Quarterly_x000a_ Value: 1,750.0, Currency: USD, Millions" display="javascript:void(0);" xr:uid="{EB605D35-659B-495B-882F-3D57E2E1927E}"/>
  </hyperlinks>
  <pageMargins left="0.7" right="0.7" top="0.75" bottom="0.75" header="0.3" footer="0.3"/>
  <pageSetup scale="45" orientation="landscape" r:id="rId4"/>
  <rowBreaks count="2" manualBreakCount="2">
    <brk id="70" max="22" man="1"/>
    <brk id="154" max="22" man="1"/>
  </rowBreaks>
  <colBreaks count="1" manualBreakCount="1">
    <brk id="23" max="1048575" man="1"/>
  </colBreaks>
  <ignoredErrors>
    <ignoredError sqref="R189:R194 R197:R206 R209:R213" 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F880-D85D-4062-9009-06E19E72CDF5}">
  <sheetPr>
    <tabColor theme="3"/>
  </sheetPr>
  <dimension ref="A1:DE104"/>
  <sheetViews>
    <sheetView showGridLines="0" zoomScaleNormal="100" workbookViewId="0">
      <pane xSplit="4" ySplit="6" topLeftCell="E7" activePane="bottomRight" state="frozen"/>
      <selection pane="topRight" activeCell="E1" sqref="E1"/>
      <selection pane="bottomLeft" activeCell="A7" sqref="A7"/>
      <selection pane="bottomRight" activeCell="J19" sqref="J19"/>
    </sheetView>
  </sheetViews>
  <sheetFormatPr defaultColWidth="8.796875" defaultRowHeight="10.5" outlineLevelCol="1"/>
  <cols>
    <col min="1" max="2" width="1.796875" style="253" customWidth="1"/>
    <col min="3" max="3" width="32.19921875" style="253" customWidth="1"/>
    <col min="4" max="4" width="8.796875" style="253" hidden="1" customWidth="1"/>
    <col min="5" max="5" width="10.19921875" style="253" customWidth="1" outlineLevel="1" collapsed="1"/>
    <col min="6" max="16" width="10.19921875" style="253" customWidth="1" outlineLevel="1"/>
    <col min="17" max="73" width="10.19921875" style="253" bestFit="1" customWidth="1"/>
    <col min="74" max="74" width="8.796875" style="253"/>
    <col min="75" max="76" width="8.796875" style="278"/>
    <col min="77" max="16384" width="8.796875" style="253"/>
  </cols>
  <sheetData>
    <row r="1" spans="1:109" ht="10.5" customHeight="1">
      <c r="A1" s="378" t="s">
        <v>1716</v>
      </c>
    </row>
    <row r="2" spans="1:109" ht="10.5" customHeight="1">
      <c r="A2" s="278" t="str">
        <f>'UAL Financials'!$A$2</f>
        <v>(All Values in US$ millions)</v>
      </c>
      <c r="H2" s="1155"/>
      <c r="I2" s="1156"/>
    </row>
    <row r="3" spans="1:109" ht="10.5" customHeight="1">
      <c r="A3" s="278"/>
    </row>
    <row r="4" spans="1:109">
      <c r="A4" s="278"/>
      <c r="BL4" s="1186"/>
    </row>
    <row r="5" spans="1:109">
      <c r="B5" s="276"/>
      <c r="C5" s="276" t="s">
        <v>65</v>
      </c>
      <c r="D5" s="276"/>
      <c r="E5" s="275">
        <f t="shared" ref="E5:BP5" si="0">YEAR(E6)</f>
        <v>2005</v>
      </c>
      <c r="F5" s="274">
        <f t="shared" si="0"/>
        <v>2005</v>
      </c>
      <c r="G5" s="273">
        <f t="shared" si="0"/>
        <v>2005</v>
      </c>
      <c r="H5" s="272">
        <f t="shared" si="0"/>
        <v>2005</v>
      </c>
      <c r="I5" s="275">
        <f t="shared" si="0"/>
        <v>2006</v>
      </c>
      <c r="J5" s="274">
        <f t="shared" si="0"/>
        <v>2006</v>
      </c>
      <c r="K5" s="273">
        <f t="shared" si="0"/>
        <v>2006</v>
      </c>
      <c r="L5" s="272">
        <f t="shared" si="0"/>
        <v>2006</v>
      </c>
      <c r="M5" s="275">
        <f t="shared" si="0"/>
        <v>2007</v>
      </c>
      <c r="N5" s="274">
        <f t="shared" si="0"/>
        <v>2007</v>
      </c>
      <c r="O5" s="273">
        <f t="shared" si="0"/>
        <v>2007</v>
      </c>
      <c r="P5" s="272">
        <f t="shared" si="0"/>
        <v>2007</v>
      </c>
      <c r="Q5" s="275">
        <f t="shared" si="0"/>
        <v>2008</v>
      </c>
      <c r="R5" s="274">
        <f t="shared" si="0"/>
        <v>2008</v>
      </c>
      <c r="S5" s="273">
        <f t="shared" si="0"/>
        <v>2008</v>
      </c>
      <c r="T5" s="272">
        <f t="shared" si="0"/>
        <v>2008</v>
      </c>
      <c r="U5" s="275">
        <f t="shared" si="0"/>
        <v>2009</v>
      </c>
      <c r="V5" s="274">
        <f t="shared" si="0"/>
        <v>2009</v>
      </c>
      <c r="W5" s="273">
        <f t="shared" si="0"/>
        <v>2009</v>
      </c>
      <c r="X5" s="272">
        <f t="shared" si="0"/>
        <v>2009</v>
      </c>
      <c r="Y5" s="275">
        <f t="shared" si="0"/>
        <v>2010</v>
      </c>
      <c r="Z5" s="274">
        <f t="shared" si="0"/>
        <v>2010</v>
      </c>
      <c r="AA5" s="273">
        <f t="shared" si="0"/>
        <v>2010</v>
      </c>
      <c r="AB5" s="272">
        <f t="shared" si="0"/>
        <v>2010</v>
      </c>
      <c r="AC5" s="275">
        <f t="shared" si="0"/>
        <v>2011</v>
      </c>
      <c r="AD5" s="274">
        <f t="shared" si="0"/>
        <v>2011</v>
      </c>
      <c r="AE5" s="273">
        <f t="shared" si="0"/>
        <v>2011</v>
      </c>
      <c r="AF5" s="272">
        <f t="shared" si="0"/>
        <v>2011</v>
      </c>
      <c r="AG5" s="275">
        <f t="shared" si="0"/>
        <v>2012</v>
      </c>
      <c r="AH5" s="274">
        <f t="shared" si="0"/>
        <v>2012</v>
      </c>
      <c r="AI5" s="273">
        <f t="shared" si="0"/>
        <v>2012</v>
      </c>
      <c r="AJ5" s="272">
        <f t="shared" si="0"/>
        <v>2012</v>
      </c>
      <c r="AK5" s="275">
        <f t="shared" si="0"/>
        <v>2013</v>
      </c>
      <c r="AL5" s="274">
        <f t="shared" si="0"/>
        <v>2013</v>
      </c>
      <c r="AM5" s="273">
        <f t="shared" si="0"/>
        <v>2013</v>
      </c>
      <c r="AN5" s="272">
        <f t="shared" si="0"/>
        <v>2013</v>
      </c>
      <c r="AO5" s="275">
        <f t="shared" si="0"/>
        <v>2014</v>
      </c>
      <c r="AP5" s="274">
        <f t="shared" si="0"/>
        <v>2014</v>
      </c>
      <c r="AQ5" s="273">
        <f t="shared" si="0"/>
        <v>2014</v>
      </c>
      <c r="AR5" s="272">
        <f t="shared" si="0"/>
        <v>2014</v>
      </c>
      <c r="AS5" s="275">
        <f t="shared" si="0"/>
        <v>2015</v>
      </c>
      <c r="AT5" s="274">
        <f t="shared" si="0"/>
        <v>2015</v>
      </c>
      <c r="AU5" s="273">
        <f t="shared" si="0"/>
        <v>2015</v>
      </c>
      <c r="AV5" s="272">
        <f t="shared" si="0"/>
        <v>2015</v>
      </c>
      <c r="AW5" s="275">
        <f t="shared" si="0"/>
        <v>2016</v>
      </c>
      <c r="AX5" s="274">
        <f t="shared" si="0"/>
        <v>2016</v>
      </c>
      <c r="AY5" s="273">
        <f t="shared" si="0"/>
        <v>2016</v>
      </c>
      <c r="AZ5" s="272">
        <f t="shared" si="0"/>
        <v>2016</v>
      </c>
      <c r="BA5" s="275">
        <f t="shared" si="0"/>
        <v>2017</v>
      </c>
      <c r="BB5" s="274">
        <f t="shared" si="0"/>
        <v>2017</v>
      </c>
      <c r="BC5" s="273">
        <f t="shared" si="0"/>
        <v>2017</v>
      </c>
      <c r="BD5" s="272">
        <f t="shared" si="0"/>
        <v>2017</v>
      </c>
      <c r="BE5" s="275">
        <f t="shared" si="0"/>
        <v>2018</v>
      </c>
      <c r="BF5" s="274">
        <f t="shared" si="0"/>
        <v>2018</v>
      </c>
      <c r="BG5" s="273">
        <f t="shared" si="0"/>
        <v>2018</v>
      </c>
      <c r="BH5" s="272">
        <f t="shared" si="0"/>
        <v>2018</v>
      </c>
      <c r="BI5" s="275">
        <f t="shared" si="0"/>
        <v>2019</v>
      </c>
      <c r="BJ5" s="274">
        <f t="shared" si="0"/>
        <v>2019</v>
      </c>
      <c r="BK5" s="273">
        <f t="shared" si="0"/>
        <v>2019</v>
      </c>
      <c r="BL5" s="272">
        <f t="shared" si="0"/>
        <v>2019</v>
      </c>
      <c r="BM5" s="275">
        <f t="shared" si="0"/>
        <v>2020</v>
      </c>
      <c r="BN5" s="274">
        <f t="shared" si="0"/>
        <v>2020</v>
      </c>
      <c r="BO5" s="273">
        <f t="shared" si="0"/>
        <v>2020</v>
      </c>
      <c r="BP5" s="272">
        <f t="shared" si="0"/>
        <v>2020</v>
      </c>
      <c r="BQ5" s="275">
        <f t="shared" ref="BQ5:BU5" si="1">YEAR(BQ6)</f>
        <v>2021</v>
      </c>
      <c r="BR5" s="274">
        <f t="shared" si="1"/>
        <v>2021</v>
      </c>
      <c r="BS5" s="273">
        <f t="shared" si="1"/>
        <v>2021</v>
      </c>
      <c r="BT5" s="272">
        <f t="shared" si="1"/>
        <v>2021</v>
      </c>
      <c r="BU5" s="275">
        <f t="shared" si="1"/>
        <v>2022</v>
      </c>
      <c r="BW5" s="1188" t="s">
        <v>1837</v>
      </c>
      <c r="BX5" s="1188"/>
    </row>
    <row r="6" spans="1:109" s="260" customFormat="1" ht="12.75" customHeight="1">
      <c r="A6" s="253"/>
      <c r="B6" s="262"/>
      <c r="C6" s="262" t="s">
        <v>232</v>
      </c>
      <c r="D6" s="262"/>
      <c r="E6" s="262">
        <v>38442</v>
      </c>
      <c r="F6" s="262">
        <f t="shared" ref="F6:P6" si="2">+EOMONTH(E6,3)</f>
        <v>38533</v>
      </c>
      <c r="G6" s="262">
        <f t="shared" si="2"/>
        <v>38625</v>
      </c>
      <c r="H6" s="262">
        <f t="shared" si="2"/>
        <v>38717</v>
      </c>
      <c r="I6" s="262">
        <f t="shared" si="2"/>
        <v>38807</v>
      </c>
      <c r="J6" s="262">
        <f t="shared" si="2"/>
        <v>38898</v>
      </c>
      <c r="K6" s="262">
        <f t="shared" si="2"/>
        <v>38990</v>
      </c>
      <c r="L6" s="266">
        <f t="shared" si="2"/>
        <v>39082</v>
      </c>
      <c r="M6" s="266">
        <f t="shared" si="2"/>
        <v>39172</v>
      </c>
      <c r="N6" s="266">
        <f t="shared" si="2"/>
        <v>39263</v>
      </c>
      <c r="O6" s="266">
        <f t="shared" si="2"/>
        <v>39355</v>
      </c>
      <c r="P6" s="266">
        <f t="shared" si="2"/>
        <v>39447</v>
      </c>
      <c r="Q6" s="262">
        <f t="shared" ref="Q6" si="3">+EOMONTH(P6,3)</f>
        <v>39538</v>
      </c>
      <c r="R6" s="262">
        <f t="shared" ref="R6" si="4">+EOMONTH(Q6,3)</f>
        <v>39629</v>
      </c>
      <c r="S6" s="262">
        <f t="shared" ref="S6" si="5">+EOMONTH(R6,3)</f>
        <v>39721</v>
      </c>
      <c r="T6" s="266">
        <f t="shared" ref="T6" si="6">+EOMONTH(S6,3)</f>
        <v>39813</v>
      </c>
      <c r="U6" s="266">
        <f t="shared" ref="U6" si="7">+EOMONTH(T6,3)</f>
        <v>39903</v>
      </c>
      <c r="V6" s="266">
        <f t="shared" ref="V6" si="8">+EOMONTH(U6,3)</f>
        <v>39994</v>
      </c>
      <c r="W6" s="266">
        <f t="shared" ref="W6" si="9">+EOMONTH(V6,3)</f>
        <v>40086</v>
      </c>
      <c r="X6" s="266">
        <f t="shared" ref="X6" si="10">+EOMONTH(W6,3)</f>
        <v>40178</v>
      </c>
      <c r="Y6" s="262">
        <f t="shared" ref="Y6" si="11">+EOMONTH(X6,3)</f>
        <v>40268</v>
      </c>
      <c r="Z6" s="262">
        <f t="shared" ref="Z6" si="12">+EOMONTH(Y6,3)</f>
        <v>40359</v>
      </c>
      <c r="AA6" s="262">
        <f t="shared" ref="AA6" si="13">+EOMONTH(Z6,3)</f>
        <v>40451</v>
      </c>
      <c r="AB6" s="266">
        <f t="shared" ref="AB6" si="14">+EOMONTH(AA6,3)</f>
        <v>40543</v>
      </c>
      <c r="AC6" s="266">
        <f t="shared" ref="AC6" si="15">+EOMONTH(AB6,3)</f>
        <v>40633</v>
      </c>
      <c r="AD6" s="266">
        <f t="shared" ref="AD6" si="16">+EOMONTH(AC6,3)</f>
        <v>40724</v>
      </c>
      <c r="AE6" s="266">
        <f t="shared" ref="AE6" si="17">+EOMONTH(AD6,3)</f>
        <v>40816</v>
      </c>
      <c r="AF6" s="266">
        <f t="shared" ref="AF6" si="18">+EOMONTH(AE6,3)</f>
        <v>40908</v>
      </c>
      <c r="AG6" s="262">
        <f t="shared" ref="AG6" si="19">+EOMONTH(AF6,3)</f>
        <v>40999</v>
      </c>
      <c r="AH6" s="262">
        <f t="shared" ref="AH6" si="20">+EOMONTH(AG6,3)</f>
        <v>41090</v>
      </c>
      <c r="AI6" s="262">
        <f t="shared" ref="AI6" si="21">+EOMONTH(AH6,3)</f>
        <v>41182</v>
      </c>
      <c r="AJ6" s="266">
        <f t="shared" ref="AJ6" si="22">+EOMONTH(AI6,3)</f>
        <v>41274</v>
      </c>
      <c r="AK6" s="262">
        <f t="shared" ref="AK6" si="23">+EOMONTH(AJ6,3)</f>
        <v>41364</v>
      </c>
      <c r="AL6" s="262">
        <f t="shared" ref="AL6" si="24">+EOMONTH(AK6,3)</f>
        <v>41455</v>
      </c>
      <c r="AM6" s="262">
        <f t="shared" ref="AM6" si="25">+EOMONTH(AL6,3)</f>
        <v>41547</v>
      </c>
      <c r="AN6" s="266">
        <f t="shared" ref="AN6" si="26">+EOMONTH(AM6,3)</f>
        <v>41639</v>
      </c>
      <c r="AO6" s="266">
        <f t="shared" ref="AO6" si="27">+EOMONTH(AN6,3)</f>
        <v>41729</v>
      </c>
      <c r="AP6" s="266">
        <f t="shared" ref="AP6" si="28">+EOMONTH(AO6,3)</f>
        <v>41820</v>
      </c>
      <c r="AQ6" s="266">
        <f t="shared" ref="AQ6" si="29">+EOMONTH(AP6,3)</f>
        <v>41912</v>
      </c>
      <c r="AR6" s="266">
        <f t="shared" ref="AR6" si="30">+EOMONTH(AQ6,3)</f>
        <v>42004</v>
      </c>
      <c r="AS6" s="262">
        <f t="shared" ref="AS6" si="31">+EOMONTH(AR6,3)</f>
        <v>42094</v>
      </c>
      <c r="AT6" s="262">
        <f t="shared" ref="AT6" si="32">+EOMONTH(AS6,3)</f>
        <v>42185</v>
      </c>
      <c r="AU6" s="262">
        <f t="shared" ref="AU6" si="33">+EOMONTH(AT6,3)</f>
        <v>42277</v>
      </c>
      <c r="AV6" s="266">
        <f t="shared" ref="AV6" si="34">+EOMONTH(AU6,3)</f>
        <v>42369</v>
      </c>
      <c r="AW6" s="266">
        <f t="shared" ref="AW6" si="35">+EOMONTH(AV6,3)</f>
        <v>42460</v>
      </c>
      <c r="AX6" s="266">
        <f t="shared" ref="AX6" si="36">+EOMONTH(AW6,3)</f>
        <v>42551</v>
      </c>
      <c r="AY6" s="266">
        <f t="shared" ref="AY6" si="37">+EOMONTH(AX6,3)</f>
        <v>42643</v>
      </c>
      <c r="AZ6" s="266">
        <f t="shared" ref="AZ6" si="38">+EOMONTH(AY6,3)</f>
        <v>42735</v>
      </c>
      <c r="BA6" s="262">
        <f t="shared" ref="BA6" si="39">+EOMONTH(AZ6,3)</f>
        <v>42825</v>
      </c>
      <c r="BB6" s="262">
        <f t="shared" ref="BB6" si="40">+EOMONTH(BA6,3)</f>
        <v>42916</v>
      </c>
      <c r="BC6" s="262">
        <f t="shared" ref="BC6" si="41">+EOMONTH(BB6,3)</f>
        <v>43008</v>
      </c>
      <c r="BD6" s="266">
        <f t="shared" ref="BD6" si="42">+EOMONTH(BC6,3)</f>
        <v>43100</v>
      </c>
      <c r="BE6" s="266">
        <f t="shared" ref="BE6" si="43">+EOMONTH(BD6,3)</f>
        <v>43190</v>
      </c>
      <c r="BF6" s="266">
        <f t="shared" ref="BF6" si="44">+EOMONTH(BE6,3)</f>
        <v>43281</v>
      </c>
      <c r="BG6" s="266">
        <f t="shared" ref="BG6" si="45">+EOMONTH(BF6,3)</f>
        <v>43373</v>
      </c>
      <c r="BH6" s="266">
        <f t="shared" ref="BH6" si="46">+EOMONTH(BG6,3)</f>
        <v>43465</v>
      </c>
      <c r="BI6" s="266">
        <f t="shared" ref="BI6" si="47">+EOMONTH(BH6,3)</f>
        <v>43555</v>
      </c>
      <c r="BJ6" s="266">
        <f t="shared" ref="BJ6" si="48">+EOMONTH(BI6,3)</f>
        <v>43646</v>
      </c>
      <c r="BK6" s="266">
        <f t="shared" ref="BK6" si="49">+EOMONTH(BJ6,3)</f>
        <v>43738</v>
      </c>
      <c r="BL6" s="266">
        <f t="shared" ref="BL6" si="50">+EOMONTH(BK6,3)</f>
        <v>43830</v>
      </c>
      <c r="BM6" s="262">
        <f t="shared" ref="BM6" si="51">+EOMONTH(BL6,3)</f>
        <v>43921</v>
      </c>
      <c r="BN6" s="262">
        <f t="shared" ref="BN6" si="52">+EOMONTH(BM6,3)</f>
        <v>44012</v>
      </c>
      <c r="BO6" s="262">
        <f t="shared" ref="BO6" si="53">+EOMONTH(BN6,3)</f>
        <v>44104</v>
      </c>
      <c r="BP6" s="266">
        <f t="shared" ref="BP6" si="54">+EOMONTH(BO6,3)</f>
        <v>44196</v>
      </c>
      <c r="BQ6" s="266">
        <f t="shared" ref="BQ6" si="55">+EOMONTH(BP6,3)</f>
        <v>44286</v>
      </c>
      <c r="BR6" s="266">
        <f t="shared" ref="BR6" si="56">+EOMONTH(BQ6,3)</f>
        <v>44377</v>
      </c>
      <c r="BS6" s="266">
        <f t="shared" ref="BS6" si="57">+EOMONTH(BR6,3)</f>
        <v>44469</v>
      </c>
      <c r="BT6" s="266">
        <f t="shared" ref="BT6" si="58">+EOMONTH(BS6,3)</f>
        <v>44561</v>
      </c>
      <c r="BU6" s="262">
        <f t="shared" ref="BU6" si="59">+EOMONTH(BT6,3)</f>
        <v>44651</v>
      </c>
      <c r="BV6" s="253"/>
      <c r="BW6" s="1189" t="s">
        <v>1838</v>
      </c>
      <c r="BX6" s="1189"/>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row>
    <row r="8" spans="1:109" s="255" customFormat="1">
      <c r="B8" s="258" t="s">
        <v>133</v>
      </c>
      <c r="C8" s="259" t="s">
        <v>268</v>
      </c>
      <c r="D8" s="259"/>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W8" s="441"/>
      <c r="BX8" s="441"/>
    </row>
    <row r="10" spans="1:109">
      <c r="C10" s="397" t="s">
        <v>863</v>
      </c>
    </row>
    <row r="11" spans="1:109">
      <c r="C11" s="253" t="s">
        <v>1305</v>
      </c>
      <c r="E11" s="277">
        <v>4292</v>
      </c>
      <c r="F11" s="277">
        <v>4825</v>
      </c>
      <c r="G11" s="277">
        <f>4428+570</f>
        <v>4998</v>
      </c>
      <c r="H11" s="277">
        <v>4646</v>
      </c>
      <c r="I11" s="277">
        <v>4813</v>
      </c>
      <c r="J11" s="277">
        <v>5422</v>
      </c>
      <c r="K11" s="277">
        <v>5301</v>
      </c>
      <c r="L11" s="277">
        <v>4828</v>
      </c>
      <c r="M11" s="277">
        <v>4734</v>
      </c>
      <c r="N11" s="277">
        <f>4673+658</f>
        <v>5331</v>
      </c>
      <c r="O11" s="277">
        <v>5246</v>
      </c>
      <c r="P11" s="277">
        <v>4958</v>
      </c>
      <c r="Q11" s="277">
        <v>4960</v>
      </c>
      <c r="R11" s="277">
        <v>5418</v>
      </c>
      <c r="S11" s="277">
        <v>5614</v>
      </c>
      <c r="T11" s="277">
        <v>4728</v>
      </c>
      <c r="U11" s="277">
        <v>4137</v>
      </c>
      <c r="V11" s="277">
        <v>4190</v>
      </c>
      <c r="W11" s="277">
        <v>4405</v>
      </c>
      <c r="X11" s="277">
        <v>4317</v>
      </c>
      <c r="Y11" s="277">
        <v>4329</v>
      </c>
      <c r="Z11" s="277">
        <v>4879</v>
      </c>
      <c r="AA11" s="277">
        <v>5073</v>
      </c>
      <c r="AB11" s="277">
        <v>4806</v>
      </c>
      <c r="AC11" s="277">
        <v>4711</v>
      </c>
      <c r="AD11" s="277">
        <v>5268</v>
      </c>
      <c r="AE11" s="277">
        <v>5551</v>
      </c>
      <c r="AF11" s="277">
        <v>5140</v>
      </c>
      <c r="AG11" s="277">
        <v>5227</v>
      </c>
      <c r="AH11" s="277">
        <v>5627</v>
      </c>
      <c r="AI11" s="277">
        <f>4909+748</f>
        <v>5657</v>
      </c>
      <c r="AJ11" s="277">
        <v>5146</v>
      </c>
      <c r="AK11" s="277">
        <v>5293</v>
      </c>
      <c r="AL11" s="277">
        <v>5640</v>
      </c>
      <c r="AM11" s="277">
        <v>6019</v>
      </c>
      <c r="AN11" s="277">
        <v>6397</v>
      </c>
      <c r="AO11" s="277">
        <v>8665</v>
      </c>
      <c r="AP11" s="277">
        <v>9920</v>
      </c>
      <c r="AQ11" s="277">
        <v>9758</v>
      </c>
      <c r="AR11" s="277">
        <v>8781</v>
      </c>
      <c r="AS11" s="277">
        <v>8441</v>
      </c>
      <c r="AT11" s="277">
        <v>9414</v>
      </c>
      <c r="AU11" s="277">
        <v>9353</v>
      </c>
      <c r="AV11" s="277">
        <v>8304</v>
      </c>
      <c r="AW11" s="277">
        <v>8087</v>
      </c>
      <c r="AX11" s="277">
        <v>8995</v>
      </c>
      <c r="AY11" s="277">
        <v>9150</v>
      </c>
      <c r="AZ11" s="277">
        <f>6717+1630</f>
        <v>8347</v>
      </c>
      <c r="BA11" s="277">
        <v>8997</v>
      </c>
      <c r="BB11" s="277">
        <v>10353</v>
      </c>
      <c r="BC11" s="277">
        <v>10096</v>
      </c>
      <c r="BD11" s="277">
        <v>9684</v>
      </c>
      <c r="BE11" s="277">
        <v>9480</v>
      </c>
      <c r="BF11" s="277">
        <v>10674</v>
      </c>
      <c r="BG11" s="277">
        <v>10561</v>
      </c>
      <c r="BH11" s="277">
        <v>9962</v>
      </c>
      <c r="BI11" s="277">
        <v>9658</v>
      </c>
      <c r="BJ11" s="277">
        <v>11011</v>
      </c>
      <c r="BK11" s="277">
        <v>10995</v>
      </c>
      <c r="BL11" s="277">
        <v>10347</v>
      </c>
      <c r="BM11" s="277">
        <v>7681</v>
      </c>
      <c r="BN11" s="277">
        <v>1108</v>
      </c>
      <c r="BO11" s="277">
        <v>2540</v>
      </c>
      <c r="BP11" s="277">
        <v>3190</v>
      </c>
      <c r="BQ11" s="277">
        <v>3179</v>
      </c>
      <c r="BR11" s="277">
        <v>6545</v>
      </c>
      <c r="BS11" s="277">
        <v>7957</v>
      </c>
      <c r="BT11" s="277">
        <v>8381</v>
      </c>
      <c r="BU11" s="277">
        <v>7818</v>
      </c>
      <c r="BW11" s="297">
        <f>RATE(14,,-SUM(E11:H11),SUM(BI11:BL11))</f>
        <v>5.9272372681949792E-2</v>
      </c>
    </row>
    <row r="12" spans="1:109">
      <c r="C12" s="253" t="s">
        <v>1306</v>
      </c>
      <c r="E12" s="277">
        <v>3339</v>
      </c>
      <c r="F12" s="277">
        <v>3875</v>
      </c>
      <c r="G12" s="277">
        <v>3891</v>
      </c>
      <c r="H12" s="277">
        <v>3487</v>
      </c>
      <c r="I12" s="277">
        <v>3351</v>
      </c>
      <c r="J12" s="277">
        <v>4211</v>
      </c>
      <c r="K12" s="277">
        <v>4223</v>
      </c>
      <c r="L12" s="277">
        <v>3708</v>
      </c>
      <c r="M12" s="277">
        <v>3730</v>
      </c>
      <c r="N12" s="277">
        <v>4493</v>
      </c>
      <c r="O12" s="277">
        <v>4638</v>
      </c>
      <c r="P12" s="277">
        <v>4067</v>
      </c>
      <c r="Q12" s="277">
        <v>4100</v>
      </c>
      <c r="R12" s="277">
        <v>4770</v>
      </c>
      <c r="S12" s="277">
        <v>4978</v>
      </c>
      <c r="T12" s="277">
        <v>5735</v>
      </c>
      <c r="U12" s="277">
        <v>5601</v>
      </c>
      <c r="V12" s="277">
        <v>5903</v>
      </c>
      <c r="W12" s="277">
        <v>6524</v>
      </c>
      <c r="X12" s="277">
        <v>5779</v>
      </c>
      <c r="Y12" s="277">
        <v>5806</v>
      </c>
      <c r="Z12" s="277">
        <v>7009</v>
      </c>
      <c r="AA12" s="277">
        <v>7775</v>
      </c>
      <c r="AB12" s="277">
        <v>6668</v>
      </c>
      <c r="AC12" s="277">
        <v>6575</v>
      </c>
      <c r="AD12" s="277">
        <v>7891</v>
      </c>
      <c r="AE12" s="277">
        <v>8568</v>
      </c>
      <c r="AF12" s="277">
        <v>7223</v>
      </c>
      <c r="AG12" s="277">
        <v>7226</v>
      </c>
      <c r="AH12" s="277">
        <v>8431</v>
      </c>
      <c r="AI12" s="277">
        <v>8673</v>
      </c>
      <c r="AJ12" s="277">
        <v>7423</v>
      </c>
      <c r="AK12" s="277">
        <v>7320</v>
      </c>
      <c r="AL12" s="277">
        <v>8494</v>
      </c>
      <c r="AM12" s="277">
        <v>9254</v>
      </c>
      <c r="AN12" s="277">
        <v>7874</v>
      </c>
      <c r="AO12" s="277">
        <v>7677</v>
      </c>
      <c r="AP12" s="277">
        <v>9266</v>
      </c>
      <c r="AQ12" s="277">
        <v>9776</v>
      </c>
      <c r="AR12" s="277">
        <v>8235</v>
      </c>
      <c r="AS12" s="277">
        <v>7923</v>
      </c>
      <c r="AT12" s="277">
        <v>9139</v>
      </c>
      <c r="AU12" s="277">
        <v>9595</v>
      </c>
      <c r="AV12" s="277">
        <v>8125</v>
      </c>
      <c r="AW12" s="277">
        <v>7762</v>
      </c>
      <c r="AX12" s="277">
        <v>8970</v>
      </c>
      <c r="AY12" s="277">
        <v>9071</v>
      </c>
      <c r="AZ12" s="277">
        <v>10011</v>
      </c>
      <c r="BA12" s="277">
        <v>8178</v>
      </c>
      <c r="BB12" s="277">
        <v>9768</v>
      </c>
      <c r="BC12" s="277">
        <v>9979</v>
      </c>
      <c r="BD12" s="277">
        <v>9022</v>
      </c>
      <c r="BE12" s="277">
        <v>8765</v>
      </c>
      <c r="BF12" s="277">
        <v>10546</v>
      </c>
      <c r="BG12" s="277">
        <v>10796</v>
      </c>
      <c r="BH12" s="277">
        <v>9648</v>
      </c>
      <c r="BI12" s="277">
        <v>9254</v>
      </c>
      <c r="BJ12" s="277">
        <v>11368</v>
      </c>
      <c r="BK12" s="277">
        <v>11410</v>
      </c>
      <c r="BL12" s="277">
        <v>10245</v>
      </c>
      <c r="BM12" s="277">
        <v>7569</v>
      </c>
      <c r="BN12" s="277">
        <v>678</v>
      </c>
      <c r="BO12" s="277">
        <v>1938</v>
      </c>
      <c r="BP12" s="277">
        <v>2698</v>
      </c>
      <c r="BQ12" s="277">
        <v>2748</v>
      </c>
      <c r="BR12" s="277">
        <v>5339</v>
      </c>
      <c r="BS12" s="277">
        <v>7191</v>
      </c>
      <c r="BT12" s="277">
        <v>7241</v>
      </c>
      <c r="BU12" s="277">
        <v>6907</v>
      </c>
      <c r="BW12" s="297">
        <f t="shared" ref="BW12:BW14" si="60">RATE(14,,-SUM(E12:H12),SUM(BI12:BL12))</f>
        <v>7.8944830734212698E-2</v>
      </c>
    </row>
    <row r="13" spans="1:109">
      <c r="C13" s="253" t="s">
        <v>1307</v>
      </c>
      <c r="E13" s="277">
        <v>3440</v>
      </c>
      <c r="F13" s="277">
        <v>3933</v>
      </c>
      <c r="G13" s="277">
        <v>4129</v>
      </c>
      <c r="H13" s="277">
        <v>3841</v>
      </c>
      <c r="I13" s="277">
        <v>3925</v>
      </c>
      <c r="J13" s="277">
        <v>4567</v>
      </c>
      <c r="K13" s="277">
        <v>4689</v>
      </c>
      <c r="L13" s="277">
        <v>4087</v>
      </c>
      <c r="M13" s="277">
        <v>3939</v>
      </c>
      <c r="N13" s="277">
        <v>4772</v>
      </c>
      <c r="O13" s="277">
        <v>5044</v>
      </c>
      <c r="P13" s="277">
        <v>4562</v>
      </c>
      <c r="Q13" s="277">
        <v>4260</v>
      </c>
      <c r="R13" s="277">
        <v>4896</v>
      </c>
      <c r="S13" s="277">
        <v>5114</v>
      </c>
      <c r="T13" s="277">
        <v>4165</v>
      </c>
      <c r="U13" s="277">
        <v>3360</v>
      </c>
      <c r="V13" s="277">
        <v>3690</v>
      </c>
      <c r="W13" s="277">
        <f>3267+844</f>
        <v>4111</v>
      </c>
      <c r="X13" s="277">
        <v>3625</v>
      </c>
      <c r="Y13" s="277">
        <v>3657</v>
      </c>
      <c r="Z13" s="277">
        <f>3712+1021</f>
        <v>4733</v>
      </c>
      <c r="AA13" s="277">
        <f>3913+1076</f>
        <v>4989</v>
      </c>
      <c r="AB13" s="277">
        <v>7401</v>
      </c>
      <c r="AC13" s="277">
        <v>7117</v>
      </c>
      <c r="AD13" s="277">
        <v>8570</v>
      </c>
      <c r="AE13" s="277">
        <v>9009</v>
      </c>
      <c r="AF13" s="277">
        <v>7814</v>
      </c>
      <c r="AG13" s="277">
        <v>7508</v>
      </c>
      <c r="AH13" s="277">
        <v>8768</v>
      </c>
      <c r="AI13" s="277">
        <v>8774</v>
      </c>
      <c r="AJ13" s="277">
        <v>7533</v>
      </c>
      <c r="AK13" s="277">
        <v>7559</v>
      </c>
      <c r="AL13" s="277">
        <v>8668</v>
      </c>
      <c r="AM13" s="277">
        <v>8918</v>
      </c>
      <c r="AN13" s="277">
        <v>7977</v>
      </c>
      <c r="AO13" s="277">
        <v>7384</v>
      </c>
      <c r="AP13" s="277">
        <v>8981</v>
      </c>
      <c r="AQ13" s="277">
        <v>9314</v>
      </c>
      <c r="AR13" s="277">
        <v>8083</v>
      </c>
      <c r="AS13" s="277">
        <v>7420</v>
      </c>
      <c r="AT13" s="277">
        <v>8676</v>
      </c>
      <c r="AU13" s="277">
        <v>8960</v>
      </c>
      <c r="AV13" s="277">
        <v>7729</v>
      </c>
      <c r="AW13" s="277">
        <v>6990</v>
      </c>
      <c r="AX13" s="277">
        <v>8103</v>
      </c>
      <c r="AY13" s="277">
        <v>8603</v>
      </c>
      <c r="AZ13" s="277">
        <v>7761</v>
      </c>
      <c r="BA13" s="277">
        <v>7653</v>
      </c>
      <c r="BB13" s="277">
        <v>9151</v>
      </c>
      <c r="BC13" s="277">
        <v>9069</v>
      </c>
      <c r="BD13" s="277">
        <v>8587</v>
      </c>
      <c r="BE13" s="277">
        <v>8149</v>
      </c>
      <c r="BF13" s="277">
        <v>9880</v>
      </c>
      <c r="BG13" s="277">
        <v>10120</v>
      </c>
      <c r="BH13" s="277">
        <v>9556</v>
      </c>
      <c r="BI13" s="277">
        <v>8725</v>
      </c>
      <c r="BJ13" s="277">
        <v>10486</v>
      </c>
      <c r="BK13" s="277">
        <v>10481</v>
      </c>
      <c r="BL13" s="277">
        <v>9933</v>
      </c>
      <c r="BM13" s="277">
        <v>7065</v>
      </c>
      <c r="BN13" s="277">
        <v>681</v>
      </c>
      <c r="BO13" s="277">
        <v>1649</v>
      </c>
      <c r="BP13" s="277">
        <v>2410</v>
      </c>
      <c r="BQ13" s="277">
        <v>2316</v>
      </c>
      <c r="BR13" s="277">
        <v>4366</v>
      </c>
      <c r="BS13" s="277">
        <v>6637</v>
      </c>
      <c r="BT13" s="277">
        <v>6878</v>
      </c>
      <c r="BU13" s="277">
        <v>6348</v>
      </c>
      <c r="BW13" s="297">
        <f t="shared" si="60"/>
        <v>7.0120749403698349E-2</v>
      </c>
    </row>
    <row r="14" spans="1:109">
      <c r="C14" s="253" t="s">
        <v>1815</v>
      </c>
      <c r="E14" s="277">
        <v>1593</v>
      </c>
      <c r="F14" s="277">
        <v>1868</v>
      </c>
      <c r="G14" s="277">
        <v>1912</v>
      </c>
      <c r="H14" s="277">
        <v>1906</v>
      </c>
      <c r="I14" s="277">
        <v>1938</v>
      </c>
      <c r="J14" s="277">
        <v>2362</v>
      </c>
      <c r="K14" s="277">
        <v>2258</v>
      </c>
      <c r="L14" s="277">
        <v>2192</v>
      </c>
      <c r="M14" s="277">
        <v>2112</v>
      </c>
      <c r="N14" s="277">
        <v>2475</v>
      </c>
      <c r="O14" s="277">
        <v>2482</v>
      </c>
      <c r="P14" s="277">
        <v>2388</v>
      </c>
      <c r="Q14" s="277">
        <v>2414</v>
      </c>
      <c r="R14" s="277">
        <v>2747</v>
      </c>
      <c r="S14" s="277">
        <v>2767</v>
      </c>
      <c r="T14" s="277">
        <v>2622</v>
      </c>
      <c r="U14" s="277">
        <v>2252</v>
      </c>
      <c r="V14" s="277">
        <v>2506</v>
      </c>
      <c r="W14" s="277">
        <v>2550</v>
      </c>
      <c r="X14" s="277">
        <v>2584</v>
      </c>
      <c r="Y14" s="277">
        <v>2495</v>
      </c>
      <c r="Z14" s="277">
        <v>3016</v>
      </c>
      <c r="AA14" s="277">
        <v>3032</v>
      </c>
      <c r="AB14" s="277">
        <v>2945</v>
      </c>
      <c r="AC14" s="277">
        <v>2949</v>
      </c>
      <c r="AD14" s="277">
        <v>3892</v>
      </c>
      <c r="AE14" s="277">
        <v>4034</v>
      </c>
      <c r="AF14" s="277">
        <v>3879</v>
      </c>
      <c r="AG14" s="277">
        <v>3750</v>
      </c>
      <c r="AH14" s="277">
        <v>4338</v>
      </c>
      <c r="AI14" s="277">
        <v>4057</v>
      </c>
      <c r="AJ14" s="277">
        <v>3939</v>
      </c>
      <c r="AK14" s="277">
        <v>3838</v>
      </c>
      <c r="AL14" s="277">
        <v>4380</v>
      </c>
      <c r="AM14" s="277">
        <v>4306</v>
      </c>
      <c r="AN14" s="277">
        <v>4197</v>
      </c>
      <c r="AO14" s="277">
        <v>3933</v>
      </c>
      <c r="AP14" s="277">
        <v>4752</v>
      </c>
      <c r="AQ14" s="277">
        <v>4564</v>
      </c>
      <c r="AR14" s="277">
        <v>4409</v>
      </c>
      <c r="AS14" s="277">
        <v>4178</v>
      </c>
      <c r="AT14" s="277">
        <v>4852</v>
      </c>
      <c r="AU14" s="277">
        <v>4716</v>
      </c>
      <c r="AV14" s="277">
        <v>4553</v>
      </c>
      <c r="AW14" s="277">
        <v>4398</v>
      </c>
      <c r="AX14" s="277">
        <v>4905</v>
      </c>
      <c r="AY14" s="277">
        <v>4669</v>
      </c>
      <c r="AZ14" s="277">
        <v>4623</v>
      </c>
      <c r="BA14" s="277">
        <v>4546</v>
      </c>
      <c r="BB14" s="277">
        <v>5379</v>
      </c>
      <c r="BC14" s="277">
        <v>4944</v>
      </c>
      <c r="BD14" s="277">
        <v>4894</v>
      </c>
      <c r="BE14" s="277">
        <v>4585</v>
      </c>
      <c r="BF14" s="277">
        <v>5358</v>
      </c>
      <c r="BG14" s="277">
        <v>5194</v>
      </c>
      <c r="BH14" s="277">
        <v>5318</v>
      </c>
      <c r="BI14" s="277">
        <v>4745</v>
      </c>
      <c r="BJ14" s="277">
        <v>5487</v>
      </c>
      <c r="BK14" s="277">
        <v>5230</v>
      </c>
      <c r="BL14" s="277">
        <v>5314</v>
      </c>
      <c r="BM14" s="277">
        <v>3845</v>
      </c>
      <c r="BN14" s="277">
        <v>704</v>
      </c>
      <c r="BO14" s="277">
        <v>1454</v>
      </c>
      <c r="BP14" s="277">
        <v>1662</v>
      </c>
      <c r="BQ14" s="277">
        <v>1712</v>
      </c>
      <c r="BR14" s="277">
        <v>3569</v>
      </c>
      <c r="BS14" s="277">
        <v>4227</v>
      </c>
      <c r="BT14" s="277">
        <v>4558</v>
      </c>
      <c r="BU14" s="277">
        <v>4135</v>
      </c>
      <c r="BW14" s="297">
        <f t="shared" si="60"/>
        <v>7.779214848522327E-2</v>
      </c>
    </row>
    <row r="15" spans="1:109" s="255" customFormat="1">
      <c r="C15" s="1191" t="s">
        <v>997</v>
      </c>
      <c r="E15" s="966">
        <f t="shared" ref="E15" si="61">SUM(E11:E14)</f>
        <v>12664</v>
      </c>
      <c r="F15" s="966">
        <f t="shared" ref="F15" si="62">SUM(F11:F14)</f>
        <v>14501</v>
      </c>
      <c r="G15" s="966">
        <f t="shared" ref="G15" si="63">SUM(G11:G14)</f>
        <v>14930</v>
      </c>
      <c r="H15" s="966">
        <f t="shared" ref="H15" si="64">SUM(H11:H14)</f>
        <v>13880</v>
      </c>
      <c r="I15" s="966">
        <f t="shared" ref="I15" si="65">SUM(I11:I14)</f>
        <v>14027</v>
      </c>
      <c r="J15" s="966">
        <f t="shared" ref="J15" si="66">SUM(J11:J14)</f>
        <v>16562</v>
      </c>
      <c r="K15" s="966">
        <f t="shared" ref="K15" si="67">SUM(K11:K14)</f>
        <v>16471</v>
      </c>
      <c r="L15" s="966">
        <f t="shared" ref="L15" si="68">SUM(L11:L14)</f>
        <v>14815</v>
      </c>
      <c r="M15" s="966">
        <f t="shared" ref="M15" si="69">SUM(M11:M14)</f>
        <v>14515</v>
      </c>
      <c r="N15" s="966">
        <f t="shared" ref="N15" si="70">SUM(N11:N14)</f>
        <v>17071</v>
      </c>
      <c r="O15" s="966">
        <f t="shared" ref="O15" si="71">SUM(O11:O14)</f>
        <v>17410</v>
      </c>
      <c r="P15" s="966">
        <f t="shared" ref="P15" si="72">SUM(P11:P14)</f>
        <v>15975</v>
      </c>
      <c r="Q15" s="966">
        <f>SUM(Q11:Q14)</f>
        <v>15734</v>
      </c>
      <c r="R15" s="966">
        <f t="shared" ref="R15" si="73">SUM(R11:R14)</f>
        <v>17831</v>
      </c>
      <c r="S15" s="966">
        <f t="shared" ref="S15" si="74">SUM(S11:S14)</f>
        <v>18473</v>
      </c>
      <c r="T15" s="966">
        <f t="shared" ref="T15" si="75">SUM(T11:T14)</f>
        <v>17250</v>
      </c>
      <c r="U15" s="966">
        <f t="shared" ref="U15" si="76">SUM(U11:U14)</f>
        <v>15350</v>
      </c>
      <c r="V15" s="966">
        <f t="shared" ref="V15" si="77">SUM(V11:V14)</f>
        <v>16289</v>
      </c>
      <c r="W15" s="966">
        <f t="shared" ref="W15" si="78">SUM(W11:W14)</f>
        <v>17590</v>
      </c>
      <c r="X15" s="966">
        <f t="shared" ref="X15" si="79">SUM(X11:X14)</f>
        <v>16305</v>
      </c>
      <c r="Y15" s="966">
        <f t="shared" ref="Y15" si="80">SUM(Y11:Y14)</f>
        <v>16287</v>
      </c>
      <c r="Z15" s="966">
        <f t="shared" ref="Z15" si="81">SUM(Z11:Z14)</f>
        <v>19637</v>
      </c>
      <c r="AA15" s="966">
        <f t="shared" ref="AA15" si="82">SUM(AA11:AA14)</f>
        <v>20869</v>
      </c>
      <c r="AB15" s="966">
        <f t="shared" ref="AB15" si="83">SUM(AB11:AB14)</f>
        <v>21820</v>
      </c>
      <c r="AC15" s="966">
        <f t="shared" ref="AC15" si="84">SUM(AC11:AC14)</f>
        <v>21352</v>
      </c>
      <c r="AD15" s="966">
        <f t="shared" ref="AD15" si="85">SUM(AD11:AD14)</f>
        <v>25621</v>
      </c>
      <c r="AE15" s="966">
        <f t="shared" ref="AE15" si="86">SUM(AE11:AE14)</f>
        <v>27162</v>
      </c>
      <c r="AF15" s="966">
        <f t="shared" ref="AF15" si="87">SUM(AF11:AF14)</f>
        <v>24056</v>
      </c>
      <c r="AG15" s="966">
        <f t="shared" ref="AG15" si="88">SUM(AG11:AG14)</f>
        <v>23711</v>
      </c>
      <c r="AH15" s="966">
        <f t="shared" ref="AH15" si="89">SUM(AH11:AH14)</f>
        <v>27164</v>
      </c>
      <c r="AI15" s="966">
        <f t="shared" ref="AI15" si="90">SUM(AI11:AI14)</f>
        <v>27161</v>
      </c>
      <c r="AJ15" s="966">
        <f t="shared" ref="AJ15" si="91">SUM(AJ11:AJ14)</f>
        <v>24041</v>
      </c>
      <c r="AK15" s="966">
        <f t="shared" ref="AK15" si="92">SUM(AK11:AK14)</f>
        <v>24010</v>
      </c>
      <c r="AL15" s="966">
        <f t="shared" ref="AL15" si="93">SUM(AL11:AL14)</f>
        <v>27182</v>
      </c>
      <c r="AM15" s="966">
        <f t="shared" ref="AM15" si="94">SUM(AM11:AM14)</f>
        <v>28497</v>
      </c>
      <c r="AN15" s="966">
        <f t="shared" ref="AN15" si="95">SUM(AN11:AN14)</f>
        <v>26445</v>
      </c>
      <c r="AO15" s="966">
        <f t="shared" ref="AO15" si="96">SUM(AO11:AO14)</f>
        <v>27659</v>
      </c>
      <c r="AP15" s="966">
        <f t="shared" ref="AP15" si="97">SUM(AP11:AP14)</f>
        <v>32919</v>
      </c>
      <c r="AQ15" s="966">
        <f t="shared" ref="AQ15" si="98">SUM(AQ11:AQ14)</f>
        <v>33412</v>
      </c>
      <c r="AR15" s="966">
        <f t="shared" ref="AR15" si="99">SUM(AR11:AR14)</f>
        <v>29508</v>
      </c>
      <c r="AS15" s="966">
        <f t="shared" ref="AS15" si="100">SUM(AS11:AS14)</f>
        <v>27962</v>
      </c>
      <c r="AT15" s="966">
        <f t="shared" ref="AT15" si="101">SUM(AT11:AT14)</f>
        <v>32081</v>
      </c>
      <c r="AU15" s="966">
        <f t="shared" ref="AU15" si="102">SUM(AU11:AU14)</f>
        <v>32624</v>
      </c>
      <c r="AV15" s="966">
        <f t="shared" ref="AV15" si="103">SUM(AV11:AV14)</f>
        <v>28711</v>
      </c>
      <c r="AW15" s="966">
        <f t="shared" ref="AW15" si="104">SUM(AW11:AW14)</f>
        <v>27237</v>
      </c>
      <c r="AX15" s="966">
        <f t="shared" ref="AX15" si="105">SUM(AX11:AX14)</f>
        <v>30973</v>
      </c>
      <c r="AY15" s="966">
        <f t="shared" ref="AY15" si="106">SUM(AY11:AY14)</f>
        <v>31493</v>
      </c>
      <c r="AZ15" s="966">
        <f t="shared" ref="AZ15" si="107">SUM(AZ11:AZ14)</f>
        <v>30742</v>
      </c>
      <c r="BA15" s="966">
        <f t="shared" ref="BA15" si="108">SUM(BA11:BA14)</f>
        <v>29374</v>
      </c>
      <c r="BB15" s="966">
        <f t="shared" ref="BB15" si="109">SUM(BB11:BB14)</f>
        <v>34651</v>
      </c>
      <c r="BC15" s="966">
        <f t="shared" ref="BC15" si="110">SUM(BC11:BC14)</f>
        <v>34088</v>
      </c>
      <c r="BD15" s="966">
        <f t="shared" ref="BD15" si="111">SUM(BD11:BD14)</f>
        <v>32187</v>
      </c>
      <c r="BE15" s="966">
        <f t="shared" ref="BE15" si="112">SUM(BE11:BE14)</f>
        <v>30979</v>
      </c>
      <c r="BF15" s="966">
        <f t="shared" ref="BF15" si="113">SUM(BF11:BF14)</f>
        <v>36458</v>
      </c>
      <c r="BG15" s="966">
        <f t="shared" ref="BG15" si="114">SUM(BG11:BG14)</f>
        <v>36671</v>
      </c>
      <c r="BH15" s="966">
        <f t="shared" ref="BH15" si="115">SUM(BH11:BH14)</f>
        <v>34484</v>
      </c>
      <c r="BI15" s="966">
        <f t="shared" ref="BI15" si="116">SUM(BI11:BI14)</f>
        <v>32382</v>
      </c>
      <c r="BJ15" s="966">
        <f t="shared" ref="BJ15" si="117">SUM(BJ11:BJ14)</f>
        <v>38352</v>
      </c>
      <c r="BK15" s="966">
        <f t="shared" ref="BK15" si="118">SUM(BK11:BK14)</f>
        <v>38116</v>
      </c>
      <c r="BL15" s="966">
        <f t="shared" ref="BL15" si="119">SUM(BL11:BL14)</f>
        <v>35839</v>
      </c>
      <c r="BM15" s="966">
        <f t="shared" ref="BM15" si="120">SUM(BM11:BM14)</f>
        <v>26160</v>
      </c>
      <c r="BN15" s="966">
        <f t="shared" ref="BN15" si="121">SUM(BN11:BN14)</f>
        <v>3171</v>
      </c>
      <c r="BO15" s="966">
        <f t="shared" ref="BO15" si="122">SUM(BO11:BO14)</f>
        <v>7581</v>
      </c>
      <c r="BP15" s="966">
        <f t="shared" ref="BP15" si="123">SUM(BP11:BP14)</f>
        <v>9960</v>
      </c>
      <c r="BQ15" s="966">
        <f t="shared" ref="BQ15" si="124">SUM(BQ11:BQ14)</f>
        <v>9955</v>
      </c>
      <c r="BR15" s="966">
        <f t="shared" ref="BR15" si="125">SUM(BR11:BR14)</f>
        <v>19819</v>
      </c>
      <c r="BS15" s="966">
        <f t="shared" ref="BS15" si="126">SUM(BS11:BS14)</f>
        <v>26012</v>
      </c>
      <c r="BT15" s="966">
        <f t="shared" ref="BT15" si="127">SUM(BT11:BT14)</f>
        <v>27058</v>
      </c>
      <c r="BU15" s="966">
        <f t="shared" ref="BU15" si="128">SUM(BU11:BU14)</f>
        <v>25208</v>
      </c>
      <c r="BW15" s="297"/>
      <c r="BX15" s="441"/>
    </row>
    <row r="16" spans="1:109">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row>
    <row r="17" spans="3:76">
      <c r="C17" s="397" t="s">
        <v>285</v>
      </c>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row>
    <row r="18" spans="3:76">
      <c r="C18" s="253" t="str">
        <f>C$11</f>
        <v xml:space="preserve">  AAL</v>
      </c>
      <c r="E18" s="277">
        <v>183</v>
      </c>
      <c r="F18" s="277">
        <v>197</v>
      </c>
      <c r="G18" s="277">
        <v>152</v>
      </c>
      <c r="H18" s="277">
        <v>211</v>
      </c>
      <c r="I18" s="277">
        <v>186</v>
      </c>
      <c r="J18" s="277">
        <v>206</v>
      </c>
      <c r="K18" s="277">
        <v>213</v>
      </c>
      <c r="L18" s="277">
        <v>222</v>
      </c>
      <c r="M18" s="277">
        <v>201</v>
      </c>
      <c r="N18" s="277">
        <v>200</v>
      </c>
      <c r="O18" s="277">
        <v>196</v>
      </c>
      <c r="P18" s="277">
        <v>228</v>
      </c>
      <c r="Q18" s="277">
        <v>215</v>
      </c>
      <c r="R18" s="277">
        <v>233</v>
      </c>
      <c r="S18" s="277">
        <v>230</v>
      </c>
      <c r="T18" s="277">
        <v>196</v>
      </c>
      <c r="U18" s="277">
        <v>144</v>
      </c>
      <c r="V18" s="277">
        <v>134</v>
      </c>
      <c r="W18" s="277">
        <v>136</v>
      </c>
      <c r="X18" s="277">
        <v>164</v>
      </c>
      <c r="Y18" s="277">
        <v>154</v>
      </c>
      <c r="Z18" s="277">
        <v>170</v>
      </c>
      <c r="AA18" s="277">
        <v>167</v>
      </c>
      <c r="AB18" s="277">
        <v>181</v>
      </c>
      <c r="AC18" s="277">
        <v>169</v>
      </c>
      <c r="AD18" s="277">
        <v>187</v>
      </c>
      <c r="AE18" s="277">
        <v>176</v>
      </c>
      <c r="AF18" s="277">
        <v>171</v>
      </c>
      <c r="AG18" s="277">
        <v>168</v>
      </c>
      <c r="AH18" s="277">
        <v>175</v>
      </c>
      <c r="AI18" s="277">
        <v>156</v>
      </c>
      <c r="AJ18" s="277">
        <v>176</v>
      </c>
      <c r="AK18" s="277">
        <v>156</v>
      </c>
      <c r="AL18" s="277">
        <v>169</v>
      </c>
      <c r="AM18" s="277">
        <v>164</v>
      </c>
      <c r="AN18" s="277">
        <v>196</v>
      </c>
      <c r="AO18" s="277">
        <v>207</v>
      </c>
      <c r="AP18" s="277">
        <v>221</v>
      </c>
      <c r="AQ18" s="277">
        <v>215</v>
      </c>
      <c r="AR18" s="277">
        <v>232</v>
      </c>
      <c r="AS18" s="277">
        <v>194</v>
      </c>
      <c r="AT18" s="277">
        <v>194</v>
      </c>
      <c r="AU18" s="277">
        <v>180</v>
      </c>
      <c r="AV18" s="277">
        <v>192</v>
      </c>
      <c r="AW18" s="277">
        <v>162</v>
      </c>
      <c r="AX18" s="277">
        <v>174</v>
      </c>
      <c r="AY18" s="277">
        <v>171</v>
      </c>
      <c r="AZ18" s="277">
        <v>194</v>
      </c>
      <c r="BA18" s="277">
        <v>191</v>
      </c>
      <c r="BB18" s="277">
        <v>219</v>
      </c>
      <c r="BC18" s="277">
        <v>223</v>
      </c>
      <c r="BD18" s="277">
        <v>257</v>
      </c>
      <c r="BE18" s="277">
        <v>227</v>
      </c>
      <c r="BF18" s="277">
        <v>261</v>
      </c>
      <c r="BG18" s="277">
        <v>260</v>
      </c>
      <c r="BH18" s="277">
        <v>265</v>
      </c>
      <c r="BI18" s="277">
        <v>218</v>
      </c>
      <c r="BJ18" s="277">
        <v>221</v>
      </c>
      <c r="BK18" s="277">
        <v>208</v>
      </c>
      <c r="BL18" s="277">
        <v>216</v>
      </c>
      <c r="BM18" s="277">
        <v>147</v>
      </c>
      <c r="BN18" s="277">
        <v>130</v>
      </c>
      <c r="BO18" s="277">
        <v>207</v>
      </c>
      <c r="BP18" s="277">
        <v>285</v>
      </c>
      <c r="BQ18" s="277">
        <v>315</v>
      </c>
      <c r="BR18" s="277">
        <v>326</v>
      </c>
      <c r="BS18" s="277">
        <v>332</v>
      </c>
      <c r="BT18" s="277">
        <v>341</v>
      </c>
      <c r="BU18" s="277">
        <v>364</v>
      </c>
      <c r="BW18" s="297">
        <f>RATE(14,,-SUM(E18:H18),SUM(BI18:BL18))</f>
        <v>1.0751576253442977E-2</v>
      </c>
    </row>
    <row r="19" spans="3:76">
      <c r="C19" s="253" t="str">
        <f>C$12</f>
        <v xml:space="preserve">  DAL</v>
      </c>
      <c r="E19" s="277">
        <v>132</v>
      </c>
      <c r="F19" s="277">
        <v>127</v>
      </c>
      <c r="G19" s="277">
        <v>128</v>
      </c>
      <c r="H19" s="277">
        <v>137</v>
      </c>
      <c r="I19" s="277">
        <v>123</v>
      </c>
      <c r="J19" s="277">
        <v>128</v>
      </c>
      <c r="K19" s="277">
        <v>121</v>
      </c>
      <c r="L19" s="277">
        <v>126</v>
      </c>
      <c r="M19" s="277">
        <v>112</v>
      </c>
      <c r="N19" s="277">
        <v>118</v>
      </c>
      <c r="O19" s="277">
        <v>120</v>
      </c>
      <c r="P19" s="277">
        <v>132</v>
      </c>
      <c r="Q19" s="277">
        <v>134</v>
      </c>
      <c r="R19" s="277">
        <v>160</v>
      </c>
      <c r="S19" s="277">
        <v>162</v>
      </c>
      <c r="T19" s="277">
        <v>230</v>
      </c>
      <c r="U19" s="277">
        <v>185</v>
      </c>
      <c r="V19" s="277">
        <v>173</v>
      </c>
      <c r="W19" s="277">
        <v>177</v>
      </c>
      <c r="X19" s="277">
        <v>253</v>
      </c>
      <c r="Y19" s="277">
        <v>176</v>
      </c>
      <c r="Z19" s="277">
        <v>211</v>
      </c>
      <c r="AA19" s="277">
        <v>227</v>
      </c>
      <c r="AB19" s="277">
        <v>236</v>
      </c>
      <c r="AC19" s="277">
        <v>250</v>
      </c>
      <c r="AD19" s="277">
        <v>264</v>
      </c>
      <c r="AE19" s="277">
        <v>257</v>
      </c>
      <c r="AF19" s="277">
        <v>256</v>
      </c>
      <c r="AG19" s="277">
        <v>244</v>
      </c>
      <c r="AH19" s="277">
        <v>262</v>
      </c>
      <c r="AI19" s="277">
        <v>244</v>
      </c>
      <c r="AJ19" s="277">
        <v>241</v>
      </c>
      <c r="AK19" s="277">
        <v>238</v>
      </c>
      <c r="AL19" s="277">
        <v>232</v>
      </c>
      <c r="AM19" s="277">
        <v>229</v>
      </c>
      <c r="AN19" s="277">
        <v>238</v>
      </c>
      <c r="AO19" s="277">
        <v>217</v>
      </c>
      <c r="AP19" s="277">
        <v>230</v>
      </c>
      <c r="AQ19" s="277">
        <v>244</v>
      </c>
      <c r="AR19" s="277">
        <v>243</v>
      </c>
      <c r="AS19" s="277">
        <v>217</v>
      </c>
      <c r="AT19" s="277">
        <v>207</v>
      </c>
      <c r="AU19" s="277">
        <v>196</v>
      </c>
      <c r="AV19" s="277">
        <v>193</v>
      </c>
      <c r="AW19" s="277">
        <v>162</v>
      </c>
      <c r="AX19" s="277">
        <v>165</v>
      </c>
      <c r="AY19" s="277">
        <v>167</v>
      </c>
      <c r="AZ19" s="277">
        <v>190</v>
      </c>
      <c r="BA19" s="277">
        <v>163</v>
      </c>
      <c r="BB19" s="277">
        <v>187</v>
      </c>
      <c r="BC19" s="277">
        <v>191</v>
      </c>
      <c r="BD19" s="277">
        <v>202</v>
      </c>
      <c r="BE19" s="277">
        <v>202</v>
      </c>
      <c r="BF19" s="277">
        <v>223</v>
      </c>
      <c r="BG19" s="277">
        <v>226</v>
      </c>
      <c r="BH19" s="277">
        <v>214</v>
      </c>
      <c r="BI19" s="277">
        <v>192</v>
      </c>
      <c r="BJ19" s="277">
        <v>186</v>
      </c>
      <c r="BK19" s="277">
        <v>189</v>
      </c>
      <c r="BL19" s="277">
        <v>186</v>
      </c>
      <c r="BM19" s="277">
        <v>152</v>
      </c>
      <c r="BN19" s="277">
        <v>108</v>
      </c>
      <c r="BO19" s="277">
        <v>142</v>
      </c>
      <c r="BP19" s="277">
        <v>205</v>
      </c>
      <c r="BQ19" s="277">
        <v>215</v>
      </c>
      <c r="BR19" s="277">
        <v>251</v>
      </c>
      <c r="BS19" s="277">
        <v>262</v>
      </c>
      <c r="BT19" s="277">
        <v>304</v>
      </c>
      <c r="BU19" s="277">
        <v>289</v>
      </c>
      <c r="BW19" s="297">
        <f t="shared" ref="BW19:BW21" si="129">RATE(14,,-SUM(E19:H19),SUM(BI19:BL19))</f>
        <v>2.6236380176547978E-2</v>
      </c>
    </row>
    <row r="20" spans="3:76">
      <c r="C20" s="253" t="str">
        <f>C$13</f>
        <v xml:space="preserve">  UAL</v>
      </c>
      <c r="E20" s="277">
        <v>172</v>
      </c>
      <c r="F20" s="277">
        <v>180</v>
      </c>
      <c r="G20" s="277">
        <v>174</v>
      </c>
      <c r="H20" s="277">
        <v>203</v>
      </c>
      <c r="I20" s="277">
        <v>180</v>
      </c>
      <c r="J20" s="277">
        <v>194</v>
      </c>
      <c r="K20" s="277">
        <v>183</v>
      </c>
      <c r="L20" s="277">
        <v>193</v>
      </c>
      <c r="M20" s="277">
        <v>168</v>
      </c>
      <c r="N20" s="277">
        <v>181</v>
      </c>
      <c r="O20" s="277">
        <v>198</v>
      </c>
      <c r="P20" s="277">
        <v>223</v>
      </c>
      <c r="Q20" s="277">
        <v>218</v>
      </c>
      <c r="R20" s="277">
        <v>237</v>
      </c>
      <c r="S20" s="277">
        <v>219</v>
      </c>
      <c r="T20" s="277">
        <v>180</v>
      </c>
      <c r="U20" s="277">
        <v>124</v>
      </c>
      <c r="V20" s="277">
        <v>121</v>
      </c>
      <c r="W20" s="277">
        <v>125</v>
      </c>
      <c r="X20" s="277">
        <v>166</v>
      </c>
      <c r="Y20" s="277">
        <v>157</v>
      </c>
      <c r="Z20" s="277">
        <v>190</v>
      </c>
      <c r="AA20" s="277">
        <v>175</v>
      </c>
      <c r="AB20" s="277">
        <v>310</v>
      </c>
      <c r="AC20" s="277">
        <v>283</v>
      </c>
      <c r="AD20" s="277">
        <v>316</v>
      </c>
      <c r="AE20" s="277">
        <v>283</v>
      </c>
      <c r="AF20" s="277">
        <v>285</v>
      </c>
      <c r="AG20" s="277">
        <v>264</v>
      </c>
      <c r="AH20" s="277">
        <v>265</v>
      </c>
      <c r="AI20" s="277">
        <v>246</v>
      </c>
      <c r="AJ20" s="277">
        <v>243</v>
      </c>
      <c r="AK20" s="277">
        <v>227</v>
      </c>
      <c r="AL20" s="277">
        <v>236</v>
      </c>
      <c r="AM20" s="277">
        <v>199</v>
      </c>
      <c r="AN20" s="277">
        <v>220</v>
      </c>
      <c r="AO20" s="277">
        <v>209</v>
      </c>
      <c r="AP20" s="277">
        <v>232</v>
      </c>
      <c r="AQ20" s="277">
        <v>237</v>
      </c>
      <c r="AR20" s="277">
        <v>260</v>
      </c>
      <c r="AS20" s="277">
        <v>242</v>
      </c>
      <c r="AT20" s="277">
        <v>229</v>
      </c>
      <c r="AU20" s="277">
        <v>235</v>
      </c>
      <c r="AV20" s="277">
        <v>231</v>
      </c>
      <c r="AW20" s="277">
        <v>194</v>
      </c>
      <c r="AX20" s="277">
        <v>208</v>
      </c>
      <c r="AY20" s="277">
        <v>224</v>
      </c>
      <c r="AZ20" s="277">
        <v>250</v>
      </c>
      <c r="BA20" s="277">
        <v>238</v>
      </c>
      <c r="BB20" s="277">
        <v>273</v>
      </c>
      <c r="BC20" s="277">
        <v>279</v>
      </c>
      <c r="BD20" s="277">
        <v>324</v>
      </c>
      <c r="BE20" s="277">
        <v>293</v>
      </c>
      <c r="BF20" s="277">
        <v>314</v>
      </c>
      <c r="BG20" s="277">
        <v>296</v>
      </c>
      <c r="BH20" s="277">
        <v>334</v>
      </c>
      <c r="BI20" s="277">
        <v>286</v>
      </c>
      <c r="BJ20" s="277">
        <v>295</v>
      </c>
      <c r="BK20" s="277">
        <v>282</v>
      </c>
      <c r="BL20" s="277">
        <v>316</v>
      </c>
      <c r="BM20" s="277">
        <v>264</v>
      </c>
      <c r="BN20" s="277">
        <v>402</v>
      </c>
      <c r="BO20" s="277">
        <v>422</v>
      </c>
      <c r="BP20" s="277">
        <v>560</v>
      </c>
      <c r="BQ20" s="277">
        <v>497</v>
      </c>
      <c r="BR20" s="277">
        <v>606</v>
      </c>
      <c r="BS20" s="277">
        <v>519</v>
      </c>
      <c r="BT20" s="277">
        <v>727</v>
      </c>
      <c r="BU20" s="277">
        <v>627</v>
      </c>
      <c r="BW20" s="297">
        <f t="shared" si="129"/>
        <v>3.4935550670500262E-2</v>
      </c>
    </row>
    <row r="21" spans="3:76">
      <c r="C21" s="253" t="str">
        <f>C$14</f>
        <v xml:space="preserve">  LUV</v>
      </c>
      <c r="E21" s="277">
        <v>34</v>
      </c>
      <c r="F21" s="277">
        <v>33</v>
      </c>
      <c r="G21" s="277">
        <v>32</v>
      </c>
      <c r="H21" s="277">
        <v>35</v>
      </c>
      <c r="I21" s="277">
        <v>36</v>
      </c>
      <c r="J21" s="277">
        <v>38</v>
      </c>
      <c r="K21" s="277">
        <v>30</v>
      </c>
      <c r="L21" s="277">
        <v>30</v>
      </c>
      <c r="M21" s="277">
        <v>30</v>
      </c>
      <c r="N21" s="277">
        <v>33</v>
      </c>
      <c r="O21" s="277">
        <v>32</v>
      </c>
      <c r="P21" s="277">
        <v>35</v>
      </c>
      <c r="Q21" s="277">
        <v>34</v>
      </c>
      <c r="R21" s="277">
        <v>37</v>
      </c>
      <c r="S21" s="277">
        <v>37</v>
      </c>
      <c r="T21" s="277">
        <v>37</v>
      </c>
      <c r="U21" s="277">
        <v>30</v>
      </c>
      <c r="V21" s="277">
        <v>29</v>
      </c>
      <c r="W21" s="277">
        <v>28</v>
      </c>
      <c r="X21" s="277">
        <v>31</v>
      </c>
      <c r="Y21" s="277">
        <v>30</v>
      </c>
      <c r="Z21" s="277">
        <v>33</v>
      </c>
      <c r="AA21" s="277">
        <v>31</v>
      </c>
      <c r="AB21" s="277">
        <v>32</v>
      </c>
      <c r="AC21" s="277">
        <v>31</v>
      </c>
      <c r="AD21" s="277">
        <v>36</v>
      </c>
      <c r="AE21" s="277">
        <v>35</v>
      </c>
      <c r="AF21" s="277">
        <v>37</v>
      </c>
      <c r="AG21" s="277">
        <v>37</v>
      </c>
      <c r="AH21" s="277">
        <v>42</v>
      </c>
      <c r="AI21" s="277">
        <v>39</v>
      </c>
      <c r="AJ21" s="277">
        <v>42</v>
      </c>
      <c r="AK21" s="277">
        <v>39</v>
      </c>
      <c r="AL21" s="277">
        <v>43</v>
      </c>
      <c r="AM21" s="277">
        <v>41</v>
      </c>
      <c r="AN21" s="277">
        <v>41</v>
      </c>
      <c r="AO21" s="277">
        <v>40</v>
      </c>
      <c r="AP21" s="277">
        <v>44</v>
      </c>
      <c r="AQ21" s="277">
        <v>45</v>
      </c>
      <c r="AR21" s="277">
        <v>47</v>
      </c>
      <c r="AS21" s="277">
        <v>44</v>
      </c>
      <c r="AT21" s="277">
        <v>46</v>
      </c>
      <c r="AU21" s="277">
        <v>44</v>
      </c>
      <c r="AV21" s="277">
        <v>45</v>
      </c>
      <c r="AW21" s="277">
        <v>42</v>
      </c>
      <c r="AX21" s="277">
        <v>45</v>
      </c>
      <c r="AY21" s="277">
        <v>42</v>
      </c>
      <c r="AZ21" s="277">
        <v>42</v>
      </c>
      <c r="BA21" s="277">
        <v>42</v>
      </c>
      <c r="BB21" s="277">
        <v>44</v>
      </c>
      <c r="BC21" s="277">
        <v>42</v>
      </c>
      <c r="BD21" s="277">
        <v>45</v>
      </c>
      <c r="BE21" s="277">
        <v>42</v>
      </c>
      <c r="BF21" s="277">
        <v>44</v>
      </c>
      <c r="BG21" s="277">
        <v>43</v>
      </c>
      <c r="BH21" s="277">
        <v>45</v>
      </c>
      <c r="BI21" s="277">
        <v>42</v>
      </c>
      <c r="BJ21" s="277">
        <v>44</v>
      </c>
      <c r="BK21" s="277">
        <v>42</v>
      </c>
      <c r="BL21" s="277">
        <v>43</v>
      </c>
      <c r="BM21" s="277">
        <v>39</v>
      </c>
      <c r="BN21" s="277">
        <v>38</v>
      </c>
      <c r="BO21" s="277">
        <v>41</v>
      </c>
      <c r="BP21" s="277">
        <v>43</v>
      </c>
      <c r="BQ21" s="277">
        <v>43</v>
      </c>
      <c r="BR21" s="277">
        <v>50</v>
      </c>
      <c r="BS21" s="277">
        <v>47</v>
      </c>
      <c r="BT21" s="277">
        <v>47</v>
      </c>
      <c r="BU21" s="277">
        <v>42</v>
      </c>
      <c r="BW21" s="297">
        <f t="shared" si="129"/>
        <v>1.7568525108459455E-2</v>
      </c>
    </row>
    <row r="22" spans="3:76">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row>
    <row r="23" spans="3:76">
      <c r="C23" s="397" t="s">
        <v>321</v>
      </c>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row>
    <row r="24" spans="3:76">
      <c r="C24" s="253" t="str">
        <f>C$11</f>
        <v xml:space="preserve">  AAL</v>
      </c>
      <c r="E24" s="277">
        <v>275</v>
      </c>
      <c r="F24" s="277">
        <v>287</v>
      </c>
      <c r="G24" s="277">
        <v>335</v>
      </c>
      <c r="H24" s="277">
        <v>311</v>
      </c>
      <c r="I24" s="277">
        <v>345</v>
      </c>
      <c r="J24" s="277">
        <v>347</v>
      </c>
      <c r="K24" s="277">
        <v>333</v>
      </c>
      <c r="L24" s="277">
        <v>347</v>
      </c>
      <c r="M24" s="277">
        <v>492</v>
      </c>
      <c r="N24" s="277">
        <v>348</v>
      </c>
      <c r="O24" s="277">
        <v>504</v>
      </c>
      <c r="P24" s="277">
        <v>497</v>
      </c>
      <c r="Q24" s="277">
        <v>522</v>
      </c>
      <c r="R24" s="277">
        <v>528</v>
      </c>
      <c r="S24" s="277">
        <v>577</v>
      </c>
      <c r="T24" s="277">
        <v>545</v>
      </c>
      <c r="U24" s="277">
        <v>558</v>
      </c>
      <c r="V24" s="277">
        <v>565</v>
      </c>
      <c r="W24" s="277">
        <v>586</v>
      </c>
      <c r="X24" s="277">
        <v>581</v>
      </c>
      <c r="Y24" s="277">
        <v>585</v>
      </c>
      <c r="Z24" s="277">
        <v>625</v>
      </c>
      <c r="AA24" s="277">
        <v>602</v>
      </c>
      <c r="AB24" s="277">
        <v>599</v>
      </c>
      <c r="AC24" s="277">
        <v>653</v>
      </c>
      <c r="AD24" s="277">
        <v>659</v>
      </c>
      <c r="AE24" s="277">
        <v>649</v>
      </c>
      <c r="AF24" s="277">
        <v>645</v>
      </c>
      <c r="AG24" s="277">
        <v>642</v>
      </c>
      <c r="AH24" s="277">
        <v>650</v>
      </c>
      <c r="AI24" s="277">
        <v>616</v>
      </c>
      <c r="AJ24" s="277">
        <v>615</v>
      </c>
      <c r="AK24" s="277">
        <v>649</v>
      </c>
      <c r="AL24" s="277">
        <v>640</v>
      </c>
      <c r="AM24" s="277">
        <v>645</v>
      </c>
      <c r="AN24" s="277">
        <v>775</v>
      </c>
      <c r="AO24" s="277">
        <v>1124</v>
      </c>
      <c r="AP24" s="277">
        <v>1214</v>
      </c>
      <c r="AQ24" s="277">
        <v>1166</v>
      </c>
      <c r="AR24" s="277">
        <v>1147</v>
      </c>
      <c r="AS24" s="277">
        <v>1192</v>
      </c>
      <c r="AT24" s="277">
        <v>1219</v>
      </c>
      <c r="AU24" s="277">
        <v>1173</v>
      </c>
      <c r="AV24" s="277">
        <v>1134</v>
      </c>
      <c r="AW24" s="277">
        <v>1186</v>
      </c>
      <c r="AX24" s="277">
        <v>1194</v>
      </c>
      <c r="AY24" s="277">
        <v>1273</v>
      </c>
      <c r="AZ24" s="277">
        <v>1248</v>
      </c>
      <c r="BA24" s="277">
        <v>632</v>
      </c>
      <c r="BB24" s="277">
        <v>655</v>
      </c>
      <c r="BC24" s="277">
        <v>646</v>
      </c>
      <c r="BD24" s="277">
        <v>670</v>
      </c>
      <c r="BE24" s="277">
        <v>694</v>
      </c>
      <c r="BF24" s="277">
        <v>708</v>
      </c>
      <c r="BG24" s="277">
        <v>738</v>
      </c>
      <c r="BH24" s="277">
        <v>711</v>
      </c>
      <c r="BI24" s="277">
        <v>708</v>
      </c>
      <c r="BJ24" s="277">
        <v>728</v>
      </c>
      <c r="BK24" s="277">
        <v>708</v>
      </c>
      <c r="BL24" s="277">
        <v>750</v>
      </c>
      <c r="BM24" s="277">
        <v>687</v>
      </c>
      <c r="BN24" s="277">
        <v>384</v>
      </c>
      <c r="BO24" s="277">
        <v>426</v>
      </c>
      <c r="BP24" s="277">
        <v>553</v>
      </c>
      <c r="BQ24" s="277">
        <v>514</v>
      </c>
      <c r="BR24" s="277">
        <v>607</v>
      </c>
      <c r="BS24" s="277">
        <v>680</v>
      </c>
      <c r="BT24" s="277">
        <v>705</v>
      </c>
      <c r="BU24" s="277">
        <v>717</v>
      </c>
      <c r="BW24" s="297"/>
    </row>
    <row r="25" spans="3:76">
      <c r="C25" s="253" t="str">
        <f>C$12</f>
        <v xml:space="preserve">  DAL</v>
      </c>
      <c r="E25" s="277">
        <v>235</v>
      </c>
      <c r="F25" s="277">
        <v>247</v>
      </c>
      <c r="G25" s="277">
        <v>289</v>
      </c>
      <c r="H25" s="277">
        <v>593</v>
      </c>
      <c r="I25" s="277">
        <v>320</v>
      </c>
      <c r="J25" s="277">
        <v>402</v>
      </c>
      <c r="K25" s="277">
        <v>407</v>
      </c>
      <c r="L25" s="277">
        <v>412</v>
      </c>
      <c r="M25" s="277">
        <v>399</v>
      </c>
      <c r="N25" s="277">
        <v>392</v>
      </c>
      <c r="O25" s="277">
        <v>469</v>
      </c>
      <c r="P25" s="277">
        <v>484</v>
      </c>
      <c r="Q25" s="277">
        <v>532</v>
      </c>
      <c r="R25" s="277">
        <v>569</v>
      </c>
      <c r="S25" s="277">
        <v>579</v>
      </c>
      <c r="T25" s="277">
        <v>748</v>
      </c>
      <c r="U25" s="277">
        <v>898</v>
      </c>
      <c r="V25" s="277">
        <v>924</v>
      </c>
      <c r="W25" s="277">
        <v>873</v>
      </c>
      <c r="X25" s="277">
        <v>773</v>
      </c>
      <c r="Y25" s="277">
        <v>866</v>
      </c>
      <c r="Z25" s="277">
        <v>948</v>
      </c>
      <c r="AA25" s="277">
        <v>948</v>
      </c>
      <c r="AB25" s="277">
        <v>885</v>
      </c>
      <c r="AC25" s="277">
        <v>922</v>
      </c>
      <c r="AD25" s="277">
        <v>998</v>
      </c>
      <c r="AE25" s="277">
        <v>991</v>
      </c>
      <c r="AF25" s="277">
        <v>920</v>
      </c>
      <c r="AG25" s="277">
        <v>943</v>
      </c>
      <c r="AH25" s="277">
        <v>1039</v>
      </c>
      <c r="AI25" s="277">
        <v>1006</v>
      </c>
      <c r="AJ25" s="277">
        <v>938</v>
      </c>
      <c r="AK25" s="277">
        <v>942</v>
      </c>
      <c r="AL25" s="277">
        <v>981</v>
      </c>
      <c r="AM25" s="277">
        <v>1007</v>
      </c>
      <c r="AN25" s="277">
        <v>964</v>
      </c>
      <c r="AO25" s="277">
        <v>1022</v>
      </c>
      <c r="AP25" s="277">
        <v>1125</v>
      </c>
      <c r="AQ25" s="277">
        <v>1158</v>
      </c>
      <c r="AR25" s="277">
        <v>1169</v>
      </c>
      <c r="AS25" s="277">
        <v>1248</v>
      </c>
      <c r="AT25" s="277">
        <v>1361</v>
      </c>
      <c r="AU25" s="277">
        <v>1316</v>
      </c>
      <c r="AV25" s="277">
        <v>1184</v>
      </c>
      <c r="AW25" s="277">
        <v>1327</v>
      </c>
      <c r="AX25" s="277">
        <v>1312</v>
      </c>
      <c r="AY25" s="277">
        <v>1245</v>
      </c>
      <c r="AZ25" s="277">
        <v>932</v>
      </c>
      <c r="BA25" s="277">
        <v>760</v>
      </c>
      <c r="BB25" s="277">
        <v>792</v>
      </c>
      <c r="BC25" s="277">
        <v>891</v>
      </c>
      <c r="BD25" s="277">
        <v>1004</v>
      </c>
      <c r="BE25" s="277">
        <v>1001</v>
      </c>
      <c r="BF25" s="277">
        <v>1006</v>
      </c>
      <c r="BG25" s="277">
        <v>931</v>
      </c>
      <c r="BH25" s="277">
        <v>880</v>
      </c>
      <c r="BI25" s="277">
        <v>1026</v>
      </c>
      <c r="BJ25" s="277">
        <v>982</v>
      </c>
      <c r="BK25" s="277">
        <v>961</v>
      </c>
      <c r="BL25" s="277">
        <v>1008</v>
      </c>
      <c r="BM25" s="277">
        <v>871</v>
      </c>
      <c r="BN25" s="277">
        <v>682</v>
      </c>
      <c r="BO25" s="277">
        <v>982</v>
      </c>
      <c r="BP25" s="277">
        <v>1070</v>
      </c>
      <c r="BQ25" s="277">
        <v>1187</v>
      </c>
      <c r="BR25" s="277">
        <v>1536</v>
      </c>
      <c r="BS25" s="277">
        <v>1701</v>
      </c>
      <c r="BT25" s="277">
        <v>1925</v>
      </c>
      <c r="BU25" s="277">
        <v>2152</v>
      </c>
      <c r="BW25" s="297"/>
    </row>
    <row r="26" spans="3:76">
      <c r="C26" s="253" t="str">
        <f>C$13</f>
        <v xml:space="preserve">  UAL</v>
      </c>
      <c r="E26" s="277">
        <v>303</v>
      </c>
      <c r="F26" s="277">
        <v>310</v>
      </c>
      <c r="G26" s="277">
        <v>352</v>
      </c>
      <c r="H26" s="277">
        <v>342</v>
      </c>
      <c r="I26" s="277">
        <v>360</v>
      </c>
      <c r="J26" s="277">
        <v>352</v>
      </c>
      <c r="K26" s="277">
        <v>304</v>
      </c>
      <c r="L26" s="277">
        <v>306</v>
      </c>
      <c r="M26" s="277">
        <v>266</v>
      </c>
      <c r="N26" s="277">
        <v>260</v>
      </c>
      <c r="O26" s="277">
        <v>240</v>
      </c>
      <c r="P26" s="277">
        <v>245</v>
      </c>
      <c r="Q26" s="277">
        <v>233</v>
      </c>
      <c r="R26" s="277">
        <v>238</v>
      </c>
      <c r="S26" s="277">
        <v>232</v>
      </c>
      <c r="T26" s="277">
        <v>202</v>
      </c>
      <c r="U26" s="277">
        <v>207</v>
      </c>
      <c r="V26" s="277">
        <v>207</v>
      </c>
      <c r="W26" s="277">
        <v>197</v>
      </c>
      <c r="X26" s="277">
        <v>402</v>
      </c>
      <c r="Y26" s="277">
        <v>427</v>
      </c>
      <c r="Z26" s="277">
        <v>238</v>
      </c>
      <c r="AA26" s="277">
        <v>230</v>
      </c>
      <c r="AB26" s="277">
        <v>753</v>
      </c>
      <c r="AC26" s="277">
        <v>802</v>
      </c>
      <c r="AD26" s="277">
        <v>816</v>
      </c>
      <c r="AE26" s="277">
        <v>879</v>
      </c>
      <c r="AF26" s="277">
        <v>829</v>
      </c>
      <c r="AG26" s="277">
        <v>830</v>
      </c>
      <c r="AH26" s="277">
        <v>906</v>
      </c>
      <c r="AI26" s="277">
        <v>889</v>
      </c>
      <c r="AJ26" s="277">
        <v>926</v>
      </c>
      <c r="AK26" s="277">
        <v>935</v>
      </c>
      <c r="AL26" s="277">
        <v>1097</v>
      </c>
      <c r="AM26" s="277">
        <v>1111</v>
      </c>
      <c r="AN26" s="277">
        <v>1132</v>
      </c>
      <c r="AO26" s="277">
        <v>1103</v>
      </c>
      <c r="AP26" s="277">
        <v>1116</v>
      </c>
      <c r="AQ26" s="277">
        <v>1012</v>
      </c>
      <c r="AR26" s="277">
        <v>970</v>
      </c>
      <c r="AS26" s="277">
        <v>946</v>
      </c>
      <c r="AT26" s="277">
        <v>1009</v>
      </c>
      <c r="AU26" s="277">
        <v>1111</v>
      </c>
      <c r="AV26" s="277">
        <v>1076</v>
      </c>
      <c r="AW26" s="277">
        <v>1011</v>
      </c>
      <c r="AX26" s="277">
        <v>1085</v>
      </c>
      <c r="AY26" s="277">
        <v>1086</v>
      </c>
      <c r="AZ26" s="277">
        <v>1041</v>
      </c>
      <c r="BA26" s="277">
        <v>535</v>
      </c>
      <c r="BB26" s="277">
        <v>584</v>
      </c>
      <c r="BC26" s="277">
        <v>551</v>
      </c>
      <c r="BD26" s="277">
        <v>540</v>
      </c>
      <c r="BE26" s="277">
        <v>590</v>
      </c>
      <c r="BF26" s="277">
        <v>583</v>
      </c>
      <c r="BG26" s="277">
        <v>587</v>
      </c>
      <c r="BH26" s="277">
        <v>601</v>
      </c>
      <c r="BI26" s="277">
        <v>578</v>
      </c>
      <c r="BJ26" s="277">
        <v>621</v>
      </c>
      <c r="BK26" s="277">
        <v>617</v>
      </c>
      <c r="BL26" s="277">
        <v>639</v>
      </c>
      <c r="BM26" s="277">
        <v>650</v>
      </c>
      <c r="BN26" s="277">
        <v>392</v>
      </c>
      <c r="BO26" s="277">
        <v>418</v>
      </c>
      <c r="BP26" s="277">
        <v>442</v>
      </c>
      <c r="BQ26" s="277">
        <v>408</v>
      </c>
      <c r="BR26" s="277">
        <v>499</v>
      </c>
      <c r="BS26" s="277">
        <v>594</v>
      </c>
      <c r="BT26" s="277">
        <v>587</v>
      </c>
      <c r="BU26" s="277">
        <v>591</v>
      </c>
      <c r="BW26" s="297"/>
    </row>
    <row r="27" spans="3:76">
      <c r="C27" s="253" t="str">
        <f>C$14</f>
        <v xml:space="preserve">  LUV</v>
      </c>
      <c r="E27" s="277">
        <v>37</v>
      </c>
      <c r="F27" s="277">
        <v>43</v>
      </c>
      <c r="G27" s="277">
        <v>45</v>
      </c>
      <c r="H27" s="277">
        <v>46</v>
      </c>
      <c r="I27" s="277">
        <v>46</v>
      </c>
      <c r="J27" s="277">
        <v>49</v>
      </c>
      <c r="K27" s="277">
        <v>54</v>
      </c>
      <c r="L27" s="277">
        <v>53</v>
      </c>
      <c r="M27" s="277">
        <v>56</v>
      </c>
      <c r="N27" s="277">
        <v>75</v>
      </c>
      <c r="O27" s="277">
        <v>74</v>
      </c>
      <c r="P27" s="277">
        <v>69</v>
      </c>
      <c r="Q27" s="277">
        <v>82</v>
      </c>
      <c r="R27" s="277">
        <v>85</v>
      </c>
      <c r="S27" s="277">
        <v>87</v>
      </c>
      <c r="T27" s="277">
        <v>75</v>
      </c>
      <c r="U27" s="277">
        <v>75</v>
      </c>
      <c r="V27" s="277">
        <v>81</v>
      </c>
      <c r="W27" s="277">
        <v>88</v>
      </c>
      <c r="X27" s="277">
        <v>96</v>
      </c>
      <c r="Y27" s="277">
        <v>105</v>
      </c>
      <c r="Z27" s="277">
        <v>119</v>
      </c>
      <c r="AA27" s="277">
        <v>129</v>
      </c>
      <c r="AB27" s="277">
        <v>137</v>
      </c>
      <c r="AC27" s="277">
        <v>123</v>
      </c>
      <c r="AD27" s="277">
        <v>208</v>
      </c>
      <c r="AE27" s="277">
        <v>242</v>
      </c>
      <c r="AF27" s="277">
        <v>192</v>
      </c>
      <c r="AG27" s="277">
        <v>203</v>
      </c>
      <c r="AH27" s="277">
        <v>236</v>
      </c>
      <c r="AI27" s="277">
        <v>213</v>
      </c>
      <c r="AJ27" s="277">
        <v>192</v>
      </c>
      <c r="AK27" s="277">
        <v>207</v>
      </c>
      <c r="AL27" s="277">
        <v>220</v>
      </c>
      <c r="AM27" s="277">
        <v>198</v>
      </c>
      <c r="AN27" s="277">
        <v>190</v>
      </c>
      <c r="AO27" s="277">
        <v>194</v>
      </c>
      <c r="AP27" s="277">
        <v>215</v>
      </c>
      <c r="AQ27" s="277">
        <v>191</v>
      </c>
      <c r="AR27" s="277">
        <v>172</v>
      </c>
      <c r="AS27" s="277">
        <v>192</v>
      </c>
      <c r="AT27" s="277">
        <v>213</v>
      </c>
      <c r="AU27" s="277">
        <v>386</v>
      </c>
      <c r="AV27" s="277">
        <v>379</v>
      </c>
      <c r="AW27" s="277">
        <v>386</v>
      </c>
      <c r="AX27" s="277">
        <v>434</v>
      </c>
      <c r="AY27" s="277">
        <v>428</v>
      </c>
      <c r="AZ27" s="277">
        <v>410</v>
      </c>
      <c r="BA27" s="277">
        <v>266</v>
      </c>
      <c r="BB27" s="277">
        <v>308</v>
      </c>
      <c r="BC27" s="277">
        <v>317</v>
      </c>
      <c r="BD27" s="277">
        <v>319</v>
      </c>
      <c r="BE27" s="277">
        <v>317</v>
      </c>
      <c r="BF27" s="277">
        <v>340</v>
      </c>
      <c r="BG27" s="277">
        <v>338</v>
      </c>
      <c r="BH27" s="277">
        <v>341</v>
      </c>
      <c r="BI27" s="277">
        <v>362</v>
      </c>
      <c r="BJ27" s="277">
        <v>378</v>
      </c>
      <c r="BK27" s="277">
        <v>367</v>
      </c>
      <c r="BL27" s="277">
        <v>373</v>
      </c>
      <c r="BM27" s="277">
        <v>350</v>
      </c>
      <c r="BN27" s="277">
        <v>266</v>
      </c>
      <c r="BO27" s="277">
        <v>298</v>
      </c>
      <c r="BP27" s="277">
        <v>308</v>
      </c>
      <c r="BQ27" s="277">
        <v>297</v>
      </c>
      <c r="BR27" s="277">
        <v>389</v>
      </c>
      <c r="BS27" s="277">
        <v>405</v>
      </c>
      <c r="BT27" s="277">
        <v>446</v>
      </c>
      <c r="BU27" s="277">
        <v>517</v>
      </c>
      <c r="BW27" s="297"/>
    </row>
    <row r="28" spans="3:76">
      <c r="BL28" s="255"/>
      <c r="BM28" s="255"/>
      <c r="BN28" s="255"/>
      <c r="BO28" s="255"/>
      <c r="BP28" s="255"/>
      <c r="BQ28" s="255"/>
      <c r="BR28" s="255"/>
      <c r="BS28" s="255"/>
      <c r="BT28" s="255"/>
      <c r="BU28" s="255"/>
    </row>
    <row r="29" spans="3:76">
      <c r="C29" s="397" t="s">
        <v>1173</v>
      </c>
    </row>
    <row r="30" spans="3:76" s="255" customFormat="1">
      <c r="C30" s="255" t="str">
        <f>C$11</f>
        <v xml:space="preserve">  AAL</v>
      </c>
      <c r="E30" s="255">
        <f t="shared" ref="E30:AJ30" si="130">E11+E18+E24</f>
        <v>4750</v>
      </c>
      <c r="F30" s="255">
        <f t="shared" si="130"/>
        <v>5309</v>
      </c>
      <c r="G30" s="255">
        <f t="shared" si="130"/>
        <v>5485</v>
      </c>
      <c r="H30" s="255">
        <f t="shared" si="130"/>
        <v>5168</v>
      </c>
      <c r="I30" s="255">
        <f t="shared" si="130"/>
        <v>5344</v>
      </c>
      <c r="J30" s="255">
        <f t="shared" si="130"/>
        <v>5975</v>
      </c>
      <c r="K30" s="255">
        <f t="shared" si="130"/>
        <v>5847</v>
      </c>
      <c r="L30" s="255">
        <f t="shared" si="130"/>
        <v>5397</v>
      </c>
      <c r="M30" s="255">
        <f t="shared" si="130"/>
        <v>5427</v>
      </c>
      <c r="N30" s="255">
        <f t="shared" si="130"/>
        <v>5879</v>
      </c>
      <c r="O30" s="255">
        <f t="shared" si="130"/>
        <v>5946</v>
      </c>
      <c r="P30" s="255">
        <f t="shared" si="130"/>
        <v>5683</v>
      </c>
      <c r="Q30" s="255">
        <f t="shared" si="130"/>
        <v>5697</v>
      </c>
      <c r="R30" s="255">
        <f t="shared" si="130"/>
        <v>6179</v>
      </c>
      <c r="S30" s="255">
        <f t="shared" si="130"/>
        <v>6421</v>
      </c>
      <c r="T30" s="255">
        <f t="shared" si="130"/>
        <v>5469</v>
      </c>
      <c r="U30" s="255">
        <f t="shared" si="130"/>
        <v>4839</v>
      </c>
      <c r="V30" s="255">
        <f t="shared" si="130"/>
        <v>4889</v>
      </c>
      <c r="W30" s="255">
        <f t="shared" si="130"/>
        <v>5127</v>
      </c>
      <c r="X30" s="255">
        <f t="shared" si="130"/>
        <v>5062</v>
      </c>
      <c r="Y30" s="255">
        <f t="shared" si="130"/>
        <v>5068</v>
      </c>
      <c r="Z30" s="255">
        <f t="shared" si="130"/>
        <v>5674</v>
      </c>
      <c r="AA30" s="255">
        <f t="shared" si="130"/>
        <v>5842</v>
      </c>
      <c r="AB30" s="255">
        <f t="shared" si="130"/>
        <v>5586</v>
      </c>
      <c r="AC30" s="255">
        <f t="shared" si="130"/>
        <v>5533</v>
      </c>
      <c r="AD30" s="255">
        <f t="shared" si="130"/>
        <v>6114</v>
      </c>
      <c r="AE30" s="255">
        <f t="shared" si="130"/>
        <v>6376</v>
      </c>
      <c r="AF30" s="255">
        <f t="shared" si="130"/>
        <v>5956</v>
      </c>
      <c r="AG30" s="255">
        <f t="shared" si="130"/>
        <v>6037</v>
      </c>
      <c r="AH30" s="255">
        <f t="shared" si="130"/>
        <v>6452</v>
      </c>
      <c r="AI30" s="255">
        <f t="shared" si="130"/>
        <v>6429</v>
      </c>
      <c r="AJ30" s="255">
        <f t="shared" si="130"/>
        <v>5937</v>
      </c>
      <c r="AK30" s="255">
        <f t="shared" ref="AK30:BU30" si="131">AK11+AK18+AK24</f>
        <v>6098</v>
      </c>
      <c r="AL30" s="255">
        <f t="shared" si="131"/>
        <v>6449</v>
      </c>
      <c r="AM30" s="255">
        <f t="shared" si="131"/>
        <v>6828</v>
      </c>
      <c r="AN30" s="255">
        <f t="shared" si="131"/>
        <v>7368</v>
      </c>
      <c r="AO30" s="255">
        <f t="shared" si="131"/>
        <v>9996</v>
      </c>
      <c r="AP30" s="255">
        <f t="shared" si="131"/>
        <v>11355</v>
      </c>
      <c r="AQ30" s="255">
        <f t="shared" si="131"/>
        <v>11139</v>
      </c>
      <c r="AR30" s="255">
        <f t="shared" si="131"/>
        <v>10160</v>
      </c>
      <c r="AS30" s="255">
        <f t="shared" si="131"/>
        <v>9827</v>
      </c>
      <c r="AT30" s="255">
        <f t="shared" si="131"/>
        <v>10827</v>
      </c>
      <c r="AU30" s="255">
        <f t="shared" si="131"/>
        <v>10706</v>
      </c>
      <c r="AV30" s="255">
        <f t="shared" si="131"/>
        <v>9630</v>
      </c>
      <c r="AW30" s="255">
        <f t="shared" si="131"/>
        <v>9435</v>
      </c>
      <c r="AX30" s="255">
        <f t="shared" si="131"/>
        <v>10363</v>
      </c>
      <c r="AY30" s="255">
        <f t="shared" si="131"/>
        <v>10594</v>
      </c>
      <c r="AZ30" s="255">
        <f t="shared" si="131"/>
        <v>9789</v>
      </c>
      <c r="BA30" s="255">
        <f t="shared" si="131"/>
        <v>9820</v>
      </c>
      <c r="BB30" s="255">
        <f t="shared" si="131"/>
        <v>11227</v>
      </c>
      <c r="BC30" s="255">
        <f t="shared" si="131"/>
        <v>10965</v>
      </c>
      <c r="BD30" s="255">
        <f t="shared" si="131"/>
        <v>10611</v>
      </c>
      <c r="BE30" s="255">
        <f t="shared" si="131"/>
        <v>10401</v>
      </c>
      <c r="BF30" s="255">
        <f t="shared" si="131"/>
        <v>11643</v>
      </c>
      <c r="BG30" s="255">
        <f t="shared" si="131"/>
        <v>11559</v>
      </c>
      <c r="BH30" s="255">
        <f t="shared" si="131"/>
        <v>10938</v>
      </c>
      <c r="BI30" s="255">
        <f t="shared" si="131"/>
        <v>10584</v>
      </c>
      <c r="BJ30" s="255">
        <f t="shared" si="131"/>
        <v>11960</v>
      </c>
      <c r="BK30" s="255">
        <f t="shared" si="131"/>
        <v>11911</v>
      </c>
      <c r="BL30" s="255">
        <f t="shared" si="131"/>
        <v>11313</v>
      </c>
      <c r="BM30" s="255">
        <f t="shared" si="131"/>
        <v>8515</v>
      </c>
      <c r="BN30" s="255">
        <f t="shared" si="131"/>
        <v>1622</v>
      </c>
      <c r="BO30" s="255">
        <f t="shared" si="131"/>
        <v>3173</v>
      </c>
      <c r="BP30" s="255">
        <f t="shared" si="131"/>
        <v>4028</v>
      </c>
      <c r="BQ30" s="255">
        <f t="shared" si="131"/>
        <v>4008</v>
      </c>
      <c r="BR30" s="255">
        <f t="shared" si="131"/>
        <v>7478</v>
      </c>
      <c r="BS30" s="255">
        <f t="shared" si="131"/>
        <v>8969</v>
      </c>
      <c r="BT30" s="255">
        <f t="shared" si="131"/>
        <v>9427</v>
      </c>
      <c r="BU30" s="255">
        <f t="shared" si="131"/>
        <v>8899</v>
      </c>
      <c r="BW30" s="297">
        <f>RATE(14,,-SUM(E30:H30),SUM(BI30:BL30))</f>
        <v>5.8268104442832959E-2</v>
      </c>
      <c r="BX30" s="441"/>
    </row>
    <row r="31" spans="3:76" s="255" customFormat="1">
      <c r="C31" s="255" t="str">
        <f>C$12</f>
        <v xml:space="preserve">  DAL</v>
      </c>
      <c r="E31" s="255">
        <f t="shared" ref="E31:AJ31" si="132">E12+E19+E25</f>
        <v>3706</v>
      </c>
      <c r="F31" s="255">
        <f t="shared" si="132"/>
        <v>4249</v>
      </c>
      <c r="G31" s="255">
        <f t="shared" si="132"/>
        <v>4308</v>
      </c>
      <c r="H31" s="255">
        <f t="shared" si="132"/>
        <v>4217</v>
      </c>
      <c r="I31" s="255">
        <f t="shared" si="132"/>
        <v>3794</v>
      </c>
      <c r="J31" s="255">
        <f t="shared" si="132"/>
        <v>4741</v>
      </c>
      <c r="K31" s="255">
        <f t="shared" si="132"/>
        <v>4751</v>
      </c>
      <c r="L31" s="255">
        <f t="shared" si="132"/>
        <v>4246</v>
      </c>
      <c r="M31" s="255">
        <f t="shared" si="132"/>
        <v>4241</v>
      </c>
      <c r="N31" s="255">
        <f t="shared" si="132"/>
        <v>5003</v>
      </c>
      <c r="O31" s="255">
        <f t="shared" si="132"/>
        <v>5227</v>
      </c>
      <c r="P31" s="255">
        <f t="shared" si="132"/>
        <v>4683</v>
      </c>
      <c r="Q31" s="255">
        <f t="shared" si="132"/>
        <v>4766</v>
      </c>
      <c r="R31" s="255">
        <f t="shared" si="132"/>
        <v>5499</v>
      </c>
      <c r="S31" s="255">
        <f t="shared" si="132"/>
        <v>5719</v>
      </c>
      <c r="T31" s="255">
        <f t="shared" si="132"/>
        <v>6713</v>
      </c>
      <c r="U31" s="255">
        <f t="shared" si="132"/>
        <v>6684</v>
      </c>
      <c r="V31" s="255">
        <f t="shared" si="132"/>
        <v>7000</v>
      </c>
      <c r="W31" s="255">
        <f t="shared" si="132"/>
        <v>7574</v>
      </c>
      <c r="X31" s="255">
        <f t="shared" si="132"/>
        <v>6805</v>
      </c>
      <c r="Y31" s="255">
        <f t="shared" si="132"/>
        <v>6848</v>
      </c>
      <c r="Z31" s="255">
        <f t="shared" si="132"/>
        <v>8168</v>
      </c>
      <c r="AA31" s="255">
        <f t="shared" si="132"/>
        <v>8950</v>
      </c>
      <c r="AB31" s="255">
        <f t="shared" si="132"/>
        <v>7789</v>
      </c>
      <c r="AC31" s="255">
        <f t="shared" si="132"/>
        <v>7747</v>
      </c>
      <c r="AD31" s="255">
        <f t="shared" si="132"/>
        <v>9153</v>
      </c>
      <c r="AE31" s="255">
        <f t="shared" si="132"/>
        <v>9816</v>
      </c>
      <c r="AF31" s="255">
        <f t="shared" si="132"/>
        <v>8399</v>
      </c>
      <c r="AG31" s="255">
        <f t="shared" si="132"/>
        <v>8413</v>
      </c>
      <c r="AH31" s="255">
        <f t="shared" si="132"/>
        <v>9732</v>
      </c>
      <c r="AI31" s="255">
        <f t="shared" si="132"/>
        <v>9923</v>
      </c>
      <c r="AJ31" s="255">
        <f t="shared" si="132"/>
        <v>8602</v>
      </c>
      <c r="AK31" s="255">
        <f t="shared" ref="AK31:BU31" si="133">AK12+AK19+AK25</f>
        <v>8500</v>
      </c>
      <c r="AL31" s="255">
        <f t="shared" si="133"/>
        <v>9707</v>
      </c>
      <c r="AM31" s="255">
        <f t="shared" si="133"/>
        <v>10490</v>
      </c>
      <c r="AN31" s="255">
        <f t="shared" si="133"/>
        <v>9076</v>
      </c>
      <c r="AO31" s="255">
        <f t="shared" si="133"/>
        <v>8916</v>
      </c>
      <c r="AP31" s="255">
        <f t="shared" si="133"/>
        <v>10621</v>
      </c>
      <c r="AQ31" s="255">
        <f t="shared" si="133"/>
        <v>11178</v>
      </c>
      <c r="AR31" s="255">
        <f t="shared" si="133"/>
        <v>9647</v>
      </c>
      <c r="AS31" s="255">
        <f t="shared" si="133"/>
        <v>9388</v>
      </c>
      <c r="AT31" s="255">
        <f t="shared" si="133"/>
        <v>10707</v>
      </c>
      <c r="AU31" s="255">
        <f t="shared" si="133"/>
        <v>11107</v>
      </c>
      <c r="AV31" s="255">
        <f t="shared" si="133"/>
        <v>9502</v>
      </c>
      <c r="AW31" s="255">
        <f t="shared" si="133"/>
        <v>9251</v>
      </c>
      <c r="AX31" s="255">
        <f t="shared" si="133"/>
        <v>10447</v>
      </c>
      <c r="AY31" s="255">
        <f t="shared" si="133"/>
        <v>10483</v>
      </c>
      <c r="AZ31" s="255">
        <f t="shared" si="133"/>
        <v>11133</v>
      </c>
      <c r="BA31" s="255">
        <f t="shared" si="133"/>
        <v>9101</v>
      </c>
      <c r="BB31" s="255">
        <f t="shared" si="133"/>
        <v>10747</v>
      </c>
      <c r="BC31" s="255">
        <f t="shared" si="133"/>
        <v>11061</v>
      </c>
      <c r="BD31" s="255">
        <f t="shared" si="133"/>
        <v>10228</v>
      </c>
      <c r="BE31" s="255">
        <f t="shared" si="133"/>
        <v>9968</v>
      </c>
      <c r="BF31" s="255">
        <f t="shared" si="133"/>
        <v>11775</v>
      </c>
      <c r="BG31" s="255">
        <f t="shared" si="133"/>
        <v>11953</v>
      </c>
      <c r="BH31" s="255">
        <f t="shared" si="133"/>
        <v>10742</v>
      </c>
      <c r="BI31" s="255">
        <f t="shared" si="133"/>
        <v>10472</v>
      </c>
      <c r="BJ31" s="255">
        <f t="shared" si="133"/>
        <v>12536</v>
      </c>
      <c r="BK31" s="255">
        <f t="shared" si="133"/>
        <v>12560</v>
      </c>
      <c r="BL31" s="255">
        <f t="shared" si="133"/>
        <v>11439</v>
      </c>
      <c r="BM31" s="255">
        <f t="shared" si="133"/>
        <v>8592</v>
      </c>
      <c r="BN31" s="255">
        <f t="shared" si="133"/>
        <v>1468</v>
      </c>
      <c r="BO31" s="255">
        <f t="shared" si="133"/>
        <v>3062</v>
      </c>
      <c r="BP31" s="255">
        <f t="shared" si="133"/>
        <v>3973</v>
      </c>
      <c r="BQ31" s="255">
        <f t="shared" si="133"/>
        <v>4150</v>
      </c>
      <c r="BR31" s="255">
        <f t="shared" si="133"/>
        <v>7126</v>
      </c>
      <c r="BS31" s="255">
        <f t="shared" si="133"/>
        <v>9154</v>
      </c>
      <c r="BT31" s="255">
        <f t="shared" si="133"/>
        <v>9470</v>
      </c>
      <c r="BU31" s="255">
        <f t="shared" si="133"/>
        <v>9348</v>
      </c>
      <c r="BW31" s="297">
        <f t="shared" ref="BW31:BW33" si="134">RATE(14,,-SUM(E31:H31),SUM(BI31:BL31))</f>
        <v>7.7741648799919155E-2</v>
      </c>
      <c r="BX31" s="441"/>
    </row>
    <row r="32" spans="3:76" s="255" customFormat="1">
      <c r="C32" s="255" t="str">
        <f>C$13</f>
        <v xml:space="preserve">  UAL</v>
      </c>
      <c r="E32" s="255">
        <f t="shared" ref="E32:AJ32" si="135">E13+E20+E26</f>
        <v>3915</v>
      </c>
      <c r="F32" s="255">
        <f t="shared" si="135"/>
        <v>4423</v>
      </c>
      <c r="G32" s="255">
        <f t="shared" si="135"/>
        <v>4655</v>
      </c>
      <c r="H32" s="255">
        <f t="shared" si="135"/>
        <v>4386</v>
      </c>
      <c r="I32" s="255">
        <f t="shared" si="135"/>
        <v>4465</v>
      </c>
      <c r="J32" s="255">
        <f t="shared" si="135"/>
        <v>5113</v>
      </c>
      <c r="K32" s="255">
        <f t="shared" si="135"/>
        <v>5176</v>
      </c>
      <c r="L32" s="255">
        <f t="shared" si="135"/>
        <v>4586</v>
      </c>
      <c r="M32" s="255">
        <f t="shared" si="135"/>
        <v>4373</v>
      </c>
      <c r="N32" s="255">
        <f t="shared" si="135"/>
        <v>5213</v>
      </c>
      <c r="O32" s="255">
        <f t="shared" si="135"/>
        <v>5482</v>
      </c>
      <c r="P32" s="255">
        <f t="shared" si="135"/>
        <v>5030</v>
      </c>
      <c r="Q32" s="255">
        <f t="shared" si="135"/>
        <v>4711</v>
      </c>
      <c r="R32" s="255">
        <f t="shared" si="135"/>
        <v>5371</v>
      </c>
      <c r="S32" s="255">
        <f t="shared" si="135"/>
        <v>5565</v>
      </c>
      <c r="T32" s="255">
        <f t="shared" si="135"/>
        <v>4547</v>
      </c>
      <c r="U32" s="255">
        <f t="shared" si="135"/>
        <v>3691</v>
      </c>
      <c r="V32" s="255">
        <f t="shared" si="135"/>
        <v>4018</v>
      </c>
      <c r="W32" s="255">
        <f t="shared" si="135"/>
        <v>4433</v>
      </c>
      <c r="X32" s="255">
        <f t="shared" si="135"/>
        <v>4193</v>
      </c>
      <c r="Y32" s="255">
        <f t="shared" si="135"/>
        <v>4241</v>
      </c>
      <c r="Z32" s="255">
        <f t="shared" si="135"/>
        <v>5161</v>
      </c>
      <c r="AA32" s="255">
        <f t="shared" si="135"/>
        <v>5394</v>
      </c>
      <c r="AB32" s="255">
        <f t="shared" si="135"/>
        <v>8464</v>
      </c>
      <c r="AC32" s="255">
        <f t="shared" si="135"/>
        <v>8202</v>
      </c>
      <c r="AD32" s="255">
        <f t="shared" si="135"/>
        <v>9702</v>
      </c>
      <c r="AE32" s="255">
        <f t="shared" si="135"/>
        <v>10171</v>
      </c>
      <c r="AF32" s="255">
        <f t="shared" si="135"/>
        <v>8928</v>
      </c>
      <c r="AG32" s="255">
        <f t="shared" si="135"/>
        <v>8602</v>
      </c>
      <c r="AH32" s="255">
        <f t="shared" si="135"/>
        <v>9939</v>
      </c>
      <c r="AI32" s="255">
        <f t="shared" si="135"/>
        <v>9909</v>
      </c>
      <c r="AJ32" s="255">
        <f t="shared" si="135"/>
        <v>8702</v>
      </c>
      <c r="AK32" s="255">
        <f t="shared" ref="AK32:BU32" si="136">AK13+AK20+AK26</f>
        <v>8721</v>
      </c>
      <c r="AL32" s="255">
        <f t="shared" si="136"/>
        <v>10001</v>
      </c>
      <c r="AM32" s="255">
        <f t="shared" si="136"/>
        <v>10228</v>
      </c>
      <c r="AN32" s="255">
        <f t="shared" si="136"/>
        <v>9329</v>
      </c>
      <c r="AO32" s="255">
        <f t="shared" si="136"/>
        <v>8696</v>
      </c>
      <c r="AP32" s="255">
        <f t="shared" si="136"/>
        <v>10329</v>
      </c>
      <c r="AQ32" s="255">
        <f t="shared" si="136"/>
        <v>10563</v>
      </c>
      <c r="AR32" s="255">
        <f t="shared" si="136"/>
        <v>9313</v>
      </c>
      <c r="AS32" s="255">
        <f t="shared" si="136"/>
        <v>8608</v>
      </c>
      <c r="AT32" s="255">
        <f t="shared" si="136"/>
        <v>9914</v>
      </c>
      <c r="AU32" s="255">
        <f t="shared" si="136"/>
        <v>10306</v>
      </c>
      <c r="AV32" s="255">
        <f t="shared" si="136"/>
        <v>9036</v>
      </c>
      <c r="AW32" s="255">
        <f t="shared" si="136"/>
        <v>8195</v>
      </c>
      <c r="AX32" s="255">
        <f t="shared" si="136"/>
        <v>9396</v>
      </c>
      <c r="AY32" s="255">
        <f t="shared" si="136"/>
        <v>9913</v>
      </c>
      <c r="AZ32" s="255">
        <f t="shared" si="136"/>
        <v>9052</v>
      </c>
      <c r="BA32" s="255">
        <f t="shared" si="136"/>
        <v>8426</v>
      </c>
      <c r="BB32" s="255">
        <f t="shared" si="136"/>
        <v>10008</v>
      </c>
      <c r="BC32" s="255">
        <f t="shared" si="136"/>
        <v>9899</v>
      </c>
      <c r="BD32" s="255">
        <f t="shared" si="136"/>
        <v>9451</v>
      </c>
      <c r="BE32" s="255">
        <f t="shared" si="136"/>
        <v>9032</v>
      </c>
      <c r="BF32" s="255">
        <f t="shared" si="136"/>
        <v>10777</v>
      </c>
      <c r="BG32" s="255">
        <f t="shared" si="136"/>
        <v>11003</v>
      </c>
      <c r="BH32" s="255">
        <f t="shared" si="136"/>
        <v>10491</v>
      </c>
      <c r="BI32" s="255">
        <f t="shared" si="136"/>
        <v>9589</v>
      </c>
      <c r="BJ32" s="255">
        <f t="shared" si="136"/>
        <v>11402</v>
      </c>
      <c r="BK32" s="255">
        <f t="shared" si="136"/>
        <v>11380</v>
      </c>
      <c r="BL32" s="255">
        <f t="shared" si="136"/>
        <v>10888</v>
      </c>
      <c r="BM32" s="255">
        <f t="shared" si="136"/>
        <v>7979</v>
      </c>
      <c r="BN32" s="255">
        <f t="shared" si="136"/>
        <v>1475</v>
      </c>
      <c r="BO32" s="255">
        <f t="shared" si="136"/>
        <v>2489</v>
      </c>
      <c r="BP32" s="255">
        <f t="shared" si="136"/>
        <v>3412</v>
      </c>
      <c r="BQ32" s="255">
        <f t="shared" si="136"/>
        <v>3221</v>
      </c>
      <c r="BR32" s="255">
        <f t="shared" si="136"/>
        <v>5471</v>
      </c>
      <c r="BS32" s="255">
        <f t="shared" si="136"/>
        <v>7750</v>
      </c>
      <c r="BT32" s="255">
        <f t="shared" si="136"/>
        <v>8192</v>
      </c>
      <c r="BU32" s="255">
        <f t="shared" si="136"/>
        <v>7566</v>
      </c>
      <c r="BW32" s="297">
        <f t="shared" si="134"/>
        <v>6.7307120005198146E-2</v>
      </c>
      <c r="BX32" s="441"/>
    </row>
    <row r="33" spans="2:76" s="255" customFormat="1">
      <c r="C33" s="255" t="str">
        <f>C$14</f>
        <v xml:space="preserve">  LUV</v>
      </c>
      <c r="E33" s="255">
        <f t="shared" ref="E33:AJ33" si="137">E14+E21+E27</f>
        <v>1664</v>
      </c>
      <c r="F33" s="255">
        <f t="shared" si="137"/>
        <v>1944</v>
      </c>
      <c r="G33" s="255">
        <f t="shared" si="137"/>
        <v>1989</v>
      </c>
      <c r="H33" s="255">
        <f t="shared" si="137"/>
        <v>1987</v>
      </c>
      <c r="I33" s="255">
        <f t="shared" si="137"/>
        <v>2020</v>
      </c>
      <c r="J33" s="255">
        <f t="shared" si="137"/>
        <v>2449</v>
      </c>
      <c r="K33" s="255">
        <f t="shared" si="137"/>
        <v>2342</v>
      </c>
      <c r="L33" s="255">
        <f t="shared" si="137"/>
        <v>2275</v>
      </c>
      <c r="M33" s="255">
        <f t="shared" si="137"/>
        <v>2198</v>
      </c>
      <c r="N33" s="255">
        <f t="shared" si="137"/>
        <v>2583</v>
      </c>
      <c r="O33" s="255">
        <f t="shared" si="137"/>
        <v>2588</v>
      </c>
      <c r="P33" s="255">
        <f t="shared" si="137"/>
        <v>2492</v>
      </c>
      <c r="Q33" s="255">
        <f t="shared" si="137"/>
        <v>2530</v>
      </c>
      <c r="R33" s="255">
        <f t="shared" si="137"/>
        <v>2869</v>
      </c>
      <c r="S33" s="255">
        <f t="shared" si="137"/>
        <v>2891</v>
      </c>
      <c r="T33" s="255">
        <f t="shared" si="137"/>
        <v>2734</v>
      </c>
      <c r="U33" s="255">
        <f t="shared" si="137"/>
        <v>2357</v>
      </c>
      <c r="V33" s="255">
        <f t="shared" si="137"/>
        <v>2616</v>
      </c>
      <c r="W33" s="255">
        <f t="shared" si="137"/>
        <v>2666</v>
      </c>
      <c r="X33" s="255">
        <f t="shared" si="137"/>
        <v>2711</v>
      </c>
      <c r="Y33" s="255">
        <f t="shared" si="137"/>
        <v>2630</v>
      </c>
      <c r="Z33" s="255">
        <f t="shared" si="137"/>
        <v>3168</v>
      </c>
      <c r="AA33" s="255">
        <f t="shared" si="137"/>
        <v>3192</v>
      </c>
      <c r="AB33" s="255">
        <f t="shared" si="137"/>
        <v>3114</v>
      </c>
      <c r="AC33" s="255">
        <f t="shared" si="137"/>
        <v>3103</v>
      </c>
      <c r="AD33" s="255">
        <f t="shared" si="137"/>
        <v>4136</v>
      </c>
      <c r="AE33" s="255">
        <f t="shared" si="137"/>
        <v>4311</v>
      </c>
      <c r="AF33" s="255">
        <f t="shared" si="137"/>
        <v>4108</v>
      </c>
      <c r="AG33" s="255">
        <f t="shared" si="137"/>
        <v>3990</v>
      </c>
      <c r="AH33" s="255">
        <f t="shared" si="137"/>
        <v>4616</v>
      </c>
      <c r="AI33" s="255">
        <f t="shared" si="137"/>
        <v>4309</v>
      </c>
      <c r="AJ33" s="255">
        <f t="shared" si="137"/>
        <v>4173</v>
      </c>
      <c r="AK33" s="255">
        <f t="shared" ref="AK33:BU33" si="138">AK14+AK21+AK27</f>
        <v>4084</v>
      </c>
      <c r="AL33" s="255">
        <f t="shared" si="138"/>
        <v>4643</v>
      </c>
      <c r="AM33" s="255">
        <f t="shared" si="138"/>
        <v>4545</v>
      </c>
      <c r="AN33" s="255">
        <f t="shared" si="138"/>
        <v>4428</v>
      </c>
      <c r="AO33" s="255">
        <f t="shared" si="138"/>
        <v>4167</v>
      </c>
      <c r="AP33" s="255">
        <f t="shared" si="138"/>
        <v>5011</v>
      </c>
      <c r="AQ33" s="255">
        <f t="shared" si="138"/>
        <v>4800</v>
      </c>
      <c r="AR33" s="255">
        <f t="shared" si="138"/>
        <v>4628</v>
      </c>
      <c r="AS33" s="255">
        <f t="shared" si="138"/>
        <v>4414</v>
      </c>
      <c r="AT33" s="255">
        <f t="shared" si="138"/>
        <v>5111</v>
      </c>
      <c r="AU33" s="255">
        <f t="shared" si="138"/>
        <v>5146</v>
      </c>
      <c r="AV33" s="255">
        <f t="shared" si="138"/>
        <v>4977</v>
      </c>
      <c r="AW33" s="255">
        <f t="shared" si="138"/>
        <v>4826</v>
      </c>
      <c r="AX33" s="255">
        <f t="shared" si="138"/>
        <v>5384</v>
      </c>
      <c r="AY33" s="255">
        <f t="shared" si="138"/>
        <v>5139</v>
      </c>
      <c r="AZ33" s="255">
        <f t="shared" si="138"/>
        <v>5075</v>
      </c>
      <c r="BA33" s="255">
        <f t="shared" si="138"/>
        <v>4854</v>
      </c>
      <c r="BB33" s="255">
        <f t="shared" si="138"/>
        <v>5731</v>
      </c>
      <c r="BC33" s="255">
        <f t="shared" si="138"/>
        <v>5303</v>
      </c>
      <c r="BD33" s="255">
        <f t="shared" si="138"/>
        <v>5258</v>
      </c>
      <c r="BE33" s="255">
        <f t="shared" si="138"/>
        <v>4944</v>
      </c>
      <c r="BF33" s="255">
        <f t="shared" si="138"/>
        <v>5742</v>
      </c>
      <c r="BG33" s="255">
        <f t="shared" si="138"/>
        <v>5575</v>
      </c>
      <c r="BH33" s="255">
        <f t="shared" si="138"/>
        <v>5704</v>
      </c>
      <c r="BI33" s="255">
        <f t="shared" si="138"/>
        <v>5149</v>
      </c>
      <c r="BJ33" s="255">
        <f t="shared" si="138"/>
        <v>5909</v>
      </c>
      <c r="BK33" s="255">
        <f t="shared" si="138"/>
        <v>5639</v>
      </c>
      <c r="BL33" s="255">
        <f t="shared" si="138"/>
        <v>5730</v>
      </c>
      <c r="BM33" s="255">
        <f t="shared" si="138"/>
        <v>4234</v>
      </c>
      <c r="BN33" s="255">
        <f t="shared" si="138"/>
        <v>1008</v>
      </c>
      <c r="BO33" s="255">
        <f t="shared" si="138"/>
        <v>1793</v>
      </c>
      <c r="BP33" s="255">
        <f t="shared" si="138"/>
        <v>2013</v>
      </c>
      <c r="BQ33" s="255">
        <f t="shared" si="138"/>
        <v>2052</v>
      </c>
      <c r="BR33" s="255">
        <f t="shared" si="138"/>
        <v>4008</v>
      </c>
      <c r="BS33" s="255">
        <f t="shared" si="138"/>
        <v>4679</v>
      </c>
      <c r="BT33" s="255">
        <f t="shared" si="138"/>
        <v>5051</v>
      </c>
      <c r="BU33" s="255">
        <f t="shared" si="138"/>
        <v>4694</v>
      </c>
      <c r="BW33" s="297">
        <f t="shared" si="134"/>
        <v>8.0522402677542751E-2</v>
      </c>
      <c r="BX33" s="441"/>
    </row>
    <row r="34" spans="2:76" s="255" customFormat="1">
      <c r="C34" s="1191" t="s">
        <v>1173</v>
      </c>
      <c r="E34" s="966">
        <f t="shared" ref="E34:P34" si="139">SUM(E30:E33)</f>
        <v>14035</v>
      </c>
      <c r="F34" s="966">
        <f t="shared" si="139"/>
        <v>15925</v>
      </c>
      <c r="G34" s="966">
        <f t="shared" si="139"/>
        <v>16437</v>
      </c>
      <c r="H34" s="966">
        <f t="shared" si="139"/>
        <v>15758</v>
      </c>
      <c r="I34" s="966">
        <f t="shared" si="139"/>
        <v>15623</v>
      </c>
      <c r="J34" s="966">
        <f t="shared" si="139"/>
        <v>18278</v>
      </c>
      <c r="K34" s="966">
        <f t="shared" si="139"/>
        <v>18116</v>
      </c>
      <c r="L34" s="966">
        <f t="shared" si="139"/>
        <v>16504</v>
      </c>
      <c r="M34" s="966">
        <f t="shared" si="139"/>
        <v>16239</v>
      </c>
      <c r="N34" s="966">
        <f t="shared" si="139"/>
        <v>18678</v>
      </c>
      <c r="O34" s="966">
        <f t="shared" si="139"/>
        <v>19243</v>
      </c>
      <c r="P34" s="966">
        <f t="shared" si="139"/>
        <v>17888</v>
      </c>
      <c r="Q34" s="966">
        <f>SUM(Q30:Q33)</f>
        <v>17704</v>
      </c>
      <c r="R34" s="966">
        <f t="shared" ref="R34:BU34" si="140">SUM(R30:R33)</f>
        <v>19918</v>
      </c>
      <c r="S34" s="966">
        <f t="shared" si="140"/>
        <v>20596</v>
      </c>
      <c r="T34" s="966">
        <f t="shared" si="140"/>
        <v>19463</v>
      </c>
      <c r="U34" s="966">
        <f t="shared" si="140"/>
        <v>17571</v>
      </c>
      <c r="V34" s="966">
        <f t="shared" si="140"/>
        <v>18523</v>
      </c>
      <c r="W34" s="966">
        <f t="shared" si="140"/>
        <v>19800</v>
      </c>
      <c r="X34" s="966">
        <f t="shared" si="140"/>
        <v>18771</v>
      </c>
      <c r="Y34" s="966">
        <f t="shared" si="140"/>
        <v>18787</v>
      </c>
      <c r="Z34" s="966">
        <f t="shared" si="140"/>
        <v>22171</v>
      </c>
      <c r="AA34" s="966">
        <f t="shared" si="140"/>
        <v>23378</v>
      </c>
      <c r="AB34" s="966">
        <f t="shared" si="140"/>
        <v>24953</v>
      </c>
      <c r="AC34" s="966">
        <f t="shared" si="140"/>
        <v>24585</v>
      </c>
      <c r="AD34" s="966">
        <f t="shared" si="140"/>
        <v>29105</v>
      </c>
      <c r="AE34" s="966">
        <f t="shared" si="140"/>
        <v>30674</v>
      </c>
      <c r="AF34" s="966">
        <f t="shared" si="140"/>
        <v>27391</v>
      </c>
      <c r="AG34" s="966">
        <f t="shared" si="140"/>
        <v>27042</v>
      </c>
      <c r="AH34" s="966">
        <f t="shared" si="140"/>
        <v>30739</v>
      </c>
      <c r="AI34" s="966">
        <f t="shared" si="140"/>
        <v>30570</v>
      </c>
      <c r="AJ34" s="966">
        <f t="shared" si="140"/>
        <v>27414</v>
      </c>
      <c r="AK34" s="966">
        <f t="shared" si="140"/>
        <v>27403</v>
      </c>
      <c r="AL34" s="966">
        <f t="shared" si="140"/>
        <v>30800</v>
      </c>
      <c r="AM34" s="966">
        <f t="shared" si="140"/>
        <v>32091</v>
      </c>
      <c r="AN34" s="966">
        <f t="shared" si="140"/>
        <v>30201</v>
      </c>
      <c r="AO34" s="966">
        <f t="shared" si="140"/>
        <v>31775</v>
      </c>
      <c r="AP34" s="966">
        <f t="shared" si="140"/>
        <v>37316</v>
      </c>
      <c r="AQ34" s="966">
        <f t="shared" si="140"/>
        <v>37680</v>
      </c>
      <c r="AR34" s="966">
        <f t="shared" si="140"/>
        <v>33748</v>
      </c>
      <c r="AS34" s="966">
        <f t="shared" si="140"/>
        <v>32237</v>
      </c>
      <c r="AT34" s="966">
        <f t="shared" si="140"/>
        <v>36559</v>
      </c>
      <c r="AU34" s="966">
        <f t="shared" si="140"/>
        <v>37265</v>
      </c>
      <c r="AV34" s="966">
        <f t="shared" si="140"/>
        <v>33145</v>
      </c>
      <c r="AW34" s="966">
        <f t="shared" si="140"/>
        <v>31707</v>
      </c>
      <c r="AX34" s="966">
        <f t="shared" si="140"/>
        <v>35590</v>
      </c>
      <c r="AY34" s="966">
        <f t="shared" si="140"/>
        <v>36129</v>
      </c>
      <c r="AZ34" s="966">
        <f t="shared" si="140"/>
        <v>35049</v>
      </c>
      <c r="BA34" s="966">
        <f t="shared" si="140"/>
        <v>32201</v>
      </c>
      <c r="BB34" s="966">
        <f t="shared" si="140"/>
        <v>37713</v>
      </c>
      <c r="BC34" s="966">
        <f t="shared" si="140"/>
        <v>37228</v>
      </c>
      <c r="BD34" s="966">
        <f t="shared" si="140"/>
        <v>35548</v>
      </c>
      <c r="BE34" s="966">
        <f t="shared" si="140"/>
        <v>34345</v>
      </c>
      <c r="BF34" s="966">
        <f t="shared" si="140"/>
        <v>39937</v>
      </c>
      <c r="BG34" s="966">
        <f t="shared" si="140"/>
        <v>40090</v>
      </c>
      <c r="BH34" s="966">
        <f t="shared" si="140"/>
        <v>37875</v>
      </c>
      <c r="BI34" s="966">
        <f t="shared" si="140"/>
        <v>35794</v>
      </c>
      <c r="BJ34" s="966">
        <f t="shared" si="140"/>
        <v>41807</v>
      </c>
      <c r="BK34" s="966">
        <f t="shared" si="140"/>
        <v>41490</v>
      </c>
      <c r="BL34" s="966">
        <f t="shared" si="140"/>
        <v>39370</v>
      </c>
      <c r="BM34" s="966">
        <f t="shared" si="140"/>
        <v>29320</v>
      </c>
      <c r="BN34" s="966">
        <f t="shared" si="140"/>
        <v>5573</v>
      </c>
      <c r="BO34" s="966">
        <f t="shared" si="140"/>
        <v>10517</v>
      </c>
      <c r="BP34" s="966">
        <f t="shared" si="140"/>
        <v>13426</v>
      </c>
      <c r="BQ34" s="966">
        <f t="shared" si="140"/>
        <v>13431</v>
      </c>
      <c r="BR34" s="966">
        <f t="shared" si="140"/>
        <v>24083</v>
      </c>
      <c r="BS34" s="966">
        <f t="shared" si="140"/>
        <v>30552</v>
      </c>
      <c r="BT34" s="966">
        <f t="shared" si="140"/>
        <v>32140</v>
      </c>
      <c r="BU34" s="966">
        <f t="shared" si="140"/>
        <v>30507</v>
      </c>
      <c r="BW34" s="297"/>
      <c r="BX34" s="441"/>
    </row>
    <row r="35" spans="2:76">
      <c r="O35" s="383"/>
    </row>
    <row r="36" spans="2:76" s="255" customFormat="1" ht="10.5" customHeight="1">
      <c r="B36" s="258" t="s">
        <v>133</v>
      </c>
      <c r="C36" s="259" t="s">
        <v>1729</v>
      </c>
      <c r="D36" s="259"/>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W36" s="441"/>
      <c r="BX36" s="441"/>
    </row>
    <row r="37" spans="2:76" ht="10.5" customHeight="1">
      <c r="O37" s="277"/>
      <c r="P37" s="1156"/>
      <c r="Q37" s="1157"/>
    </row>
    <row r="38" spans="2:76" ht="10.5" customHeight="1">
      <c r="C38" s="397" t="s">
        <v>1712</v>
      </c>
      <c r="E38" s="277"/>
      <c r="F38" s="277"/>
      <c r="G38" s="277"/>
      <c r="H38" s="277"/>
      <c r="I38" s="277"/>
      <c r="J38" s="277"/>
      <c r="K38" s="277"/>
      <c r="L38" s="277"/>
      <c r="M38" s="277"/>
      <c r="N38" s="277"/>
      <c r="O38" s="699"/>
      <c r="P38" s="1156"/>
      <c r="Q38" s="115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row>
    <row r="39" spans="2:76">
      <c r="C39" s="255" t="str">
        <f>C$11</f>
        <v xml:space="preserve">  AAL</v>
      </c>
      <c r="E39" s="277">
        <v>45.77</v>
      </c>
      <c r="F39" s="277">
        <v>48.228999999999999</v>
      </c>
      <c r="G39" s="277">
        <v>45.613</v>
      </c>
      <c r="H39" s="277">
        <v>45.887999999999998</v>
      </c>
      <c r="I39" s="277">
        <v>46.009</v>
      </c>
      <c r="J39" s="277">
        <v>48.036000000000001</v>
      </c>
      <c r="K39" s="277">
        <v>48.006999999999998</v>
      </c>
      <c r="L39" s="277">
        <v>45.524999999999999</v>
      </c>
      <c r="M39" s="277">
        <v>44.965000000000003</v>
      </c>
      <c r="N39" s="277">
        <v>42.646999999999998</v>
      </c>
      <c r="O39" s="277">
        <v>46.713000000000001</v>
      </c>
      <c r="P39" s="277">
        <v>45.615000000000002</v>
      </c>
      <c r="Q39" s="277">
        <v>44.158000000000001</v>
      </c>
      <c r="R39" s="277">
        <v>44.991999999999997</v>
      </c>
      <c r="S39" s="277">
        <v>45.27</v>
      </c>
      <c r="T39" s="277">
        <v>41.715000000000003</v>
      </c>
      <c r="U39" s="277">
        <v>40.600999999999999</v>
      </c>
      <c r="V39" s="277">
        <v>41.487000000000002</v>
      </c>
      <c r="W39" s="277">
        <v>41.488999999999997</v>
      </c>
      <c r="X39" s="277">
        <v>39.762999999999998</v>
      </c>
      <c r="Y39" s="277">
        <v>39.619</v>
      </c>
      <c r="Z39" s="277">
        <v>41.406999999999996</v>
      </c>
      <c r="AA39" s="277">
        <v>43.137999999999998</v>
      </c>
      <c r="AB39" s="277">
        <v>41.256</v>
      </c>
      <c r="AC39" s="277">
        <v>41.005000000000003</v>
      </c>
      <c r="AD39" s="277">
        <v>42.64</v>
      </c>
      <c r="AE39" s="277">
        <v>43.433</v>
      </c>
      <c r="AF39" s="277">
        <v>40.750999999999998</v>
      </c>
      <c r="AG39" s="277">
        <v>41.250999999999998</v>
      </c>
      <c r="AH39" s="277">
        <v>41.735999999999997</v>
      </c>
      <c r="AI39" s="277">
        <v>42.423000000000002</v>
      </c>
      <c r="AJ39" s="277">
        <v>40.813000000000002</v>
      </c>
      <c r="AK39" s="277">
        <v>62.128999999999998</v>
      </c>
      <c r="AL39" s="277">
        <v>66.034999999999997</v>
      </c>
      <c r="AM39" s="277">
        <v>67.793000000000006</v>
      </c>
      <c r="AN39" s="277">
        <v>63.957000000000001</v>
      </c>
      <c r="AO39" s="277">
        <v>63.392000000000003</v>
      </c>
      <c r="AP39" s="277">
        <v>68.09</v>
      </c>
      <c r="AQ39" s="277">
        <v>69.12</v>
      </c>
      <c r="AR39" s="277">
        <v>65.052999999999997</v>
      </c>
      <c r="AS39" s="277">
        <v>62.790999999999997</v>
      </c>
      <c r="AT39" s="277">
        <v>69.400999999999996</v>
      </c>
      <c r="AU39" s="277">
        <v>71.091999999999999</v>
      </c>
      <c r="AV39" s="277">
        <v>65.453000000000003</v>
      </c>
      <c r="AW39" s="277">
        <v>65.063999999999993</v>
      </c>
      <c r="AX39" s="277">
        <v>70.751000000000005</v>
      </c>
      <c r="AY39" s="277">
        <v>71.911000000000001</v>
      </c>
      <c r="AZ39" s="277">
        <v>65.863</v>
      </c>
      <c r="BA39" s="277">
        <v>64.340999999999994</v>
      </c>
      <c r="BB39" s="277">
        <v>71.742999999999995</v>
      </c>
      <c r="BC39" s="277">
        <v>73.052999999999997</v>
      </c>
      <c r="BD39" s="277">
        <v>67.355000000000004</v>
      </c>
      <c r="BE39" s="277">
        <v>65.822999999999993</v>
      </c>
      <c r="BF39" s="277">
        <v>72.893000000000001</v>
      </c>
      <c r="BG39" s="277">
        <v>75.039000000000001</v>
      </c>
      <c r="BH39" s="277">
        <v>68.298000000000002</v>
      </c>
      <c r="BI39" s="277">
        <v>66.674000000000007</v>
      </c>
      <c r="BJ39" s="277">
        <v>72.322000000000003</v>
      </c>
      <c r="BK39" s="277">
        <v>75.819999999999993</v>
      </c>
      <c r="BL39" s="277">
        <v>70.272000000000006</v>
      </c>
      <c r="BM39" s="277">
        <v>62.098999999999997</v>
      </c>
      <c r="BN39" s="277">
        <v>17.081</v>
      </c>
      <c r="BO39" s="277">
        <v>30.768000000000001</v>
      </c>
      <c r="BP39" s="277">
        <v>33.219000000000001</v>
      </c>
      <c r="BQ39" s="277">
        <v>37.764000000000003</v>
      </c>
      <c r="BR39" s="277">
        <v>54.555</v>
      </c>
      <c r="BS39" s="277">
        <v>61.110999999999997</v>
      </c>
      <c r="BT39" s="277">
        <v>61.103999999999999</v>
      </c>
      <c r="BU39" s="277">
        <v>59.533000000000001</v>
      </c>
      <c r="BW39" s="297">
        <f>RATE(14,,-SUM(E39:H39),SUM(BI39:BL39))</f>
        <v>3.1171907952814104E-2</v>
      </c>
    </row>
    <row r="40" spans="2:76">
      <c r="C40" s="255" t="str">
        <f>C$12</f>
        <v xml:space="preserve">  DAL</v>
      </c>
      <c r="E40" s="277">
        <v>37.877000000000002</v>
      </c>
      <c r="F40" s="277">
        <v>40.475000000000001</v>
      </c>
      <c r="G40" s="277">
        <v>41.405000000000001</v>
      </c>
      <c r="H40" s="277">
        <v>37.036000000000001</v>
      </c>
      <c r="I40" s="277">
        <v>35.279000000000003</v>
      </c>
      <c r="J40" s="277">
        <v>37.718000000000004</v>
      </c>
      <c r="K40" s="277">
        <v>39.643000000000001</v>
      </c>
      <c r="L40" s="277">
        <v>36.031999999999996</v>
      </c>
      <c r="M40" s="277">
        <v>35.279000000000003</v>
      </c>
      <c r="N40" s="277">
        <v>38.127000000000002</v>
      </c>
      <c r="O40" s="277">
        <v>40.942999999999998</v>
      </c>
      <c r="P40" s="277">
        <v>37.415000000000006</v>
      </c>
      <c r="Q40" s="277">
        <v>36.091999999999999</v>
      </c>
      <c r="R40" s="277">
        <v>38.735999999999997</v>
      </c>
      <c r="S40" s="277">
        <v>40.371000000000002</v>
      </c>
      <c r="T40" s="277">
        <v>58.097999999999999</v>
      </c>
      <c r="U40" s="277">
        <v>55.74</v>
      </c>
      <c r="V40" s="277">
        <v>58.959000000000003</v>
      </c>
      <c r="W40" s="277">
        <v>62.234000000000002</v>
      </c>
      <c r="X40" s="277">
        <v>53.323999999999998</v>
      </c>
      <c r="Y40" s="277">
        <v>53.301000000000002</v>
      </c>
      <c r="Z40" s="277">
        <v>58.698</v>
      </c>
      <c r="AA40" s="277">
        <v>63.658000000000001</v>
      </c>
      <c r="AB40" s="277">
        <v>57.027000000000001</v>
      </c>
      <c r="AC40" s="277">
        <v>56.219000000000001</v>
      </c>
      <c r="AD40" s="277">
        <v>60.140999999999998</v>
      </c>
      <c r="AE40" s="277">
        <v>63.262</v>
      </c>
      <c r="AF40" s="277">
        <v>55.033999999999999</v>
      </c>
      <c r="AG40" s="277">
        <v>54.408000000000001</v>
      </c>
      <c r="AH40" s="277">
        <v>59.381999999999998</v>
      </c>
      <c r="AI40" s="277">
        <v>62.283000000000001</v>
      </c>
      <c r="AJ40" s="277">
        <v>54.341999999999999</v>
      </c>
      <c r="AK40" s="277">
        <v>53.021999999999998</v>
      </c>
      <c r="AL40" s="277">
        <v>59.88</v>
      </c>
      <c r="AM40" s="277">
        <v>63.893000000000001</v>
      </c>
      <c r="AN40" s="277">
        <v>55.945</v>
      </c>
      <c r="AO40" s="277">
        <v>53.904000000000003</v>
      </c>
      <c r="AP40" s="277">
        <v>61.817</v>
      </c>
      <c r="AQ40" s="277">
        <v>65.926000000000002</v>
      </c>
      <c r="AR40" s="277">
        <v>58.029000000000003</v>
      </c>
      <c r="AS40" s="277">
        <v>56.597000000000001</v>
      </c>
      <c r="AT40" s="277">
        <v>63.936999999999998</v>
      </c>
      <c r="AU40" s="277">
        <v>68.031000000000006</v>
      </c>
      <c r="AV40" s="277">
        <v>58.198999999999998</v>
      </c>
      <c r="AW40" s="277">
        <v>58.145000000000003</v>
      </c>
      <c r="AX40" s="277">
        <v>65.978999999999999</v>
      </c>
      <c r="AY40" s="277">
        <v>69.028000000000006</v>
      </c>
      <c r="AZ40" s="277">
        <v>58.715000000000003</v>
      </c>
      <c r="BA40" s="277">
        <v>57.871000000000002</v>
      </c>
      <c r="BB40" s="277">
        <v>66.227000000000004</v>
      </c>
      <c r="BC40" s="277">
        <v>70.167000000000002</v>
      </c>
      <c r="BD40" s="277">
        <v>60.06</v>
      </c>
      <c r="BE40" s="277">
        <v>59.453000000000003</v>
      </c>
      <c r="BF40" s="277">
        <v>68.513999999999996</v>
      </c>
      <c r="BG40" s="277">
        <v>72.875</v>
      </c>
      <c r="BH40" s="277">
        <v>62.523000000000003</v>
      </c>
      <c r="BI40" s="277">
        <v>62.415999999999997</v>
      </c>
      <c r="BJ40" s="277">
        <v>71.754000000000005</v>
      </c>
      <c r="BK40" s="277">
        <v>75.742000000000004</v>
      </c>
      <c r="BL40" s="277">
        <v>65.468000000000004</v>
      </c>
      <c r="BM40" s="277">
        <v>58.884999999999998</v>
      </c>
      <c r="BN40" s="277">
        <v>10.596</v>
      </c>
      <c r="BO40" s="277">
        <v>28.29</v>
      </c>
      <c r="BP40" s="277">
        <v>36.569000000000003</v>
      </c>
      <c r="BQ40" s="277">
        <v>40.118000000000002</v>
      </c>
      <c r="BR40" s="277">
        <v>48.529000000000003</v>
      </c>
      <c r="BS40" s="277">
        <v>54.082999999999998</v>
      </c>
      <c r="BT40" s="277">
        <v>51.744</v>
      </c>
      <c r="BU40" s="277">
        <v>51.81</v>
      </c>
      <c r="BW40" s="297">
        <f t="shared" ref="BW40:BW42" si="141">RATE(14,,-SUM(E40:H40),SUM(BI40:BL40))</f>
        <v>4.1050597040181783E-2</v>
      </c>
    </row>
    <row r="41" spans="2:76">
      <c r="C41" s="255" t="str">
        <f>C$13</f>
        <v xml:space="preserve">  UAL</v>
      </c>
      <c r="E41" s="277">
        <v>34.259</v>
      </c>
      <c r="F41" s="277">
        <v>35.131999999999998</v>
      </c>
      <c r="G41" s="277">
        <v>36.116999999999997</v>
      </c>
      <c r="H41" s="277">
        <v>34.792000000000002</v>
      </c>
      <c r="I41" s="277">
        <v>34.488</v>
      </c>
      <c r="J41" s="277">
        <v>36.191000000000003</v>
      </c>
      <c r="K41" s="277">
        <v>37.100999999999999</v>
      </c>
      <c r="L41" s="277">
        <v>35.314999999999998</v>
      </c>
      <c r="M41" s="277">
        <v>34.534999999999997</v>
      </c>
      <c r="N41" s="277">
        <v>35.875</v>
      </c>
      <c r="O41" s="277">
        <v>36.618687000000001</v>
      </c>
      <c r="P41" s="277">
        <v>38.948</v>
      </c>
      <c r="Q41" s="277">
        <v>38.408999999999999</v>
      </c>
      <c r="R41" s="277">
        <v>39.520000000000003</v>
      </c>
      <c r="S41" s="277">
        <v>39.28</v>
      </c>
      <c r="T41" s="277">
        <v>34.816000000000003</v>
      </c>
      <c r="U41" s="277">
        <v>34.073</v>
      </c>
      <c r="V41" s="277">
        <v>35.978999999999999</v>
      </c>
      <c r="W41" s="277">
        <v>39.28</v>
      </c>
      <c r="X41" s="277">
        <v>33.630000000000003</v>
      </c>
      <c r="Y41" s="277">
        <v>32.948</v>
      </c>
      <c r="Z41" s="277">
        <v>36.374768999999993</v>
      </c>
      <c r="AA41" s="277">
        <v>40.301280000000006</v>
      </c>
      <c r="AB41" s="277">
        <v>62.264000000000003</v>
      </c>
      <c r="AC41" s="277">
        <v>60.171999999999997</v>
      </c>
      <c r="AD41" s="277">
        <v>65.006</v>
      </c>
      <c r="AE41" s="277">
        <v>66.635000000000005</v>
      </c>
      <c r="AF41" s="277">
        <v>60.713999999999999</v>
      </c>
      <c r="AG41" s="277">
        <v>60.344000000000001</v>
      </c>
      <c r="AH41" s="277">
        <v>64.616</v>
      </c>
      <c r="AI41" s="277">
        <v>65.733999999999995</v>
      </c>
      <c r="AJ41" s="277">
        <v>58.165999999999997</v>
      </c>
      <c r="AK41" s="277">
        <v>57.372</v>
      </c>
      <c r="AL41" s="277">
        <v>63.250999999999998</v>
      </c>
      <c r="AM41" s="277">
        <v>65.040000000000006</v>
      </c>
      <c r="AN41" s="277">
        <v>59.691000000000003</v>
      </c>
      <c r="AO41" s="277">
        <v>57.216000000000001</v>
      </c>
      <c r="AP41" s="277">
        <v>63.213999999999999</v>
      </c>
      <c r="AQ41" s="277">
        <v>65.378</v>
      </c>
      <c r="AR41" s="277">
        <v>60.213000000000001</v>
      </c>
      <c r="AS41" s="277">
        <v>57.268999999999998</v>
      </c>
      <c r="AT41" s="277">
        <v>64.685000000000002</v>
      </c>
      <c r="AU41" s="277">
        <v>66.745000000000005</v>
      </c>
      <c r="AV41" s="277">
        <v>61.304000000000002</v>
      </c>
      <c r="AW41" s="277">
        <v>58.273000000000003</v>
      </c>
      <c r="AX41" s="277">
        <v>64.724999999999994</v>
      </c>
      <c r="AY41" s="277">
        <v>68.073999999999998</v>
      </c>
      <c r="AZ41" s="277">
        <v>62.518000000000001</v>
      </c>
      <c r="BA41" s="277">
        <v>59.808</v>
      </c>
      <c r="BB41" s="277">
        <v>67.466999999999999</v>
      </c>
      <c r="BC41" s="277">
        <v>70.082999999999998</v>
      </c>
      <c r="BD41" s="277">
        <v>65.028000000000006</v>
      </c>
      <c r="BE41" s="277">
        <v>61.976999999999997</v>
      </c>
      <c r="BF41" s="277">
        <v>70.701999999999998</v>
      </c>
      <c r="BG41" s="277">
        <v>73.680999999999997</v>
      </c>
      <c r="BH41" s="277">
        <v>68.902000000000001</v>
      </c>
      <c r="BI41" s="277">
        <v>65.644999999999996</v>
      </c>
      <c r="BJ41" s="277">
        <v>73.239999999999995</v>
      </c>
      <c r="BK41" s="277">
        <v>75.075999999999993</v>
      </c>
      <c r="BL41" s="277">
        <v>71.037999999999997</v>
      </c>
      <c r="BM41" s="277">
        <v>60.938000000000002</v>
      </c>
      <c r="BN41" s="277">
        <v>8.9629999999999992</v>
      </c>
      <c r="BO41" s="277">
        <v>22.212</v>
      </c>
      <c r="BP41" s="277">
        <v>30.690999999999999</v>
      </c>
      <c r="BQ41" s="277">
        <v>30.37</v>
      </c>
      <c r="BR41" s="277">
        <v>39.613</v>
      </c>
      <c r="BS41" s="277">
        <v>53.886000000000003</v>
      </c>
      <c r="BT41" s="277">
        <v>54.814999999999998</v>
      </c>
      <c r="BU41" s="277">
        <v>53.264000000000003</v>
      </c>
      <c r="BW41" s="297">
        <f t="shared" si="141"/>
        <v>5.1924790998029269E-2</v>
      </c>
    </row>
    <row r="42" spans="2:76">
      <c r="C42" s="255" t="str">
        <f>C$14</f>
        <v xml:space="preserve">  LUV</v>
      </c>
      <c r="E42" s="277">
        <v>20.231999999999999</v>
      </c>
      <c r="F42" s="277">
        <v>21.338999999999999</v>
      </c>
      <c r="G42" s="277">
        <v>21.853579</v>
      </c>
      <c r="H42" s="277">
        <v>21.748999999999999</v>
      </c>
      <c r="I42" s="277">
        <v>22.079000000000001</v>
      </c>
      <c r="J42" s="277">
        <v>22.884</v>
      </c>
      <c r="K42" s="277">
        <v>23.785</v>
      </c>
      <c r="L42" s="277">
        <v>23.914999999999999</v>
      </c>
      <c r="M42" s="277">
        <v>23.678000000000001</v>
      </c>
      <c r="N42" s="277">
        <v>24.982676000000001</v>
      </c>
      <c r="O42" s="277">
        <v>25.716000000000001</v>
      </c>
      <c r="P42" s="277">
        <v>25.259</v>
      </c>
      <c r="Q42" s="277">
        <v>25.193000000000001</v>
      </c>
      <c r="R42" s="277">
        <v>26.335000000000001</v>
      </c>
      <c r="S42" s="277">
        <v>26.286999999999999</v>
      </c>
      <c r="T42" s="277">
        <v>25.456</v>
      </c>
      <c r="U42" s="277">
        <v>24.172000000000001</v>
      </c>
      <c r="V42" s="277">
        <v>25.553000000000001</v>
      </c>
      <c r="W42" s="277">
        <v>24.771000000000001</v>
      </c>
      <c r="X42" s="277">
        <v>23.506</v>
      </c>
      <c r="Y42" s="277">
        <v>22.619</v>
      </c>
      <c r="Z42" s="277">
        <v>25.472000000000001</v>
      </c>
      <c r="AA42" s="277">
        <v>25.558</v>
      </c>
      <c r="AB42" s="277">
        <v>24.788</v>
      </c>
      <c r="AC42" s="277">
        <v>24.506</v>
      </c>
      <c r="AD42" s="277">
        <v>31.457000000000001</v>
      </c>
      <c r="AE42" s="277">
        <v>33.317999999999998</v>
      </c>
      <c r="AF42" s="277">
        <v>31.297999999999998</v>
      </c>
      <c r="AG42" s="277">
        <v>30.632892999999999</v>
      </c>
      <c r="AH42" s="277">
        <v>33.230589000000002</v>
      </c>
      <c r="AI42" s="277">
        <v>33.08</v>
      </c>
      <c r="AJ42" s="277">
        <v>31.193000000000001</v>
      </c>
      <c r="AK42" s="277">
        <v>30.800999999999998</v>
      </c>
      <c r="AL42" s="277">
        <v>34.231242999999999</v>
      </c>
      <c r="AM42" s="277">
        <v>33.424999999999997</v>
      </c>
      <c r="AN42" s="277">
        <v>31.885999999999999</v>
      </c>
      <c r="AO42" s="277">
        <v>30.475000000000001</v>
      </c>
      <c r="AP42" s="277">
        <v>34.095999999999997</v>
      </c>
      <c r="AQ42" s="277">
        <v>33.786000000000001</v>
      </c>
      <c r="AR42" s="277">
        <v>32.646999999999998</v>
      </c>
      <c r="AS42" s="277">
        <v>32.296999999999997</v>
      </c>
      <c r="AT42" s="277">
        <v>36.475999999999999</v>
      </c>
      <c r="AU42" s="277">
        <v>36.36</v>
      </c>
      <c r="AV42" s="277">
        <v>35.368000000000002</v>
      </c>
      <c r="AW42" s="277">
        <v>35.268000000000001</v>
      </c>
      <c r="AX42" s="277">
        <v>38.225000000000001</v>
      </c>
      <c r="AY42" s="277">
        <v>37.881999999999998</v>
      </c>
      <c r="AZ42" s="277">
        <v>37.146999999999998</v>
      </c>
      <c r="BA42" s="277">
        <v>36.700000000000003</v>
      </c>
      <c r="BB42" s="277">
        <v>40.170999999999999</v>
      </c>
      <c r="BC42" s="277">
        <v>39.052999999999997</v>
      </c>
      <c r="BD42" s="277">
        <v>37.887</v>
      </c>
      <c r="BE42" s="277">
        <v>37.366</v>
      </c>
      <c r="BF42" s="277">
        <v>41.491999999999997</v>
      </c>
      <c r="BG42" s="277">
        <v>40.57</v>
      </c>
      <c r="BH42" s="277">
        <v>40.366999999999997</v>
      </c>
      <c r="BI42" s="277">
        <v>37.884999999999998</v>
      </c>
      <c r="BJ42" s="277">
        <v>39.984999999999999</v>
      </c>
      <c r="BK42" s="277">
        <v>39.378999999999998</v>
      </c>
      <c r="BL42" s="277">
        <v>40.003999999999998</v>
      </c>
      <c r="BM42" s="277">
        <v>35.35</v>
      </c>
      <c r="BN42" s="277">
        <v>17.887</v>
      </c>
      <c r="BO42" s="277">
        <v>26.463999999999999</v>
      </c>
      <c r="BP42" s="277">
        <v>23.756</v>
      </c>
      <c r="BQ42" s="277">
        <v>23.146000000000001</v>
      </c>
      <c r="BR42" s="277">
        <v>33.414000000000001</v>
      </c>
      <c r="BS42" s="277">
        <v>38.756</v>
      </c>
      <c r="BT42" s="277">
        <v>36.69</v>
      </c>
      <c r="BU42" s="277">
        <v>34.384</v>
      </c>
      <c r="BW42" s="297">
        <f t="shared" si="141"/>
        <v>4.4770744491349976E-2</v>
      </c>
    </row>
    <row r="43" spans="2:76" s="255" customFormat="1">
      <c r="C43" s="1191" t="s">
        <v>393</v>
      </c>
      <c r="E43" s="966">
        <f t="shared" ref="E43:P43" si="142">SUM(E39:E42)</f>
        <v>138.13800000000001</v>
      </c>
      <c r="F43" s="966">
        <f t="shared" si="142"/>
        <v>145.17500000000001</v>
      </c>
      <c r="G43" s="966">
        <f t="shared" si="142"/>
        <v>144.98857899999999</v>
      </c>
      <c r="H43" s="966">
        <f t="shared" si="142"/>
        <v>139.465</v>
      </c>
      <c r="I43" s="966">
        <f t="shared" si="142"/>
        <v>137.85500000000002</v>
      </c>
      <c r="J43" s="966">
        <f t="shared" si="142"/>
        <v>144.82900000000001</v>
      </c>
      <c r="K43" s="966">
        <f t="shared" si="142"/>
        <v>148.536</v>
      </c>
      <c r="L43" s="966">
        <f t="shared" si="142"/>
        <v>140.78699999999998</v>
      </c>
      <c r="M43" s="966">
        <f t="shared" si="142"/>
        <v>138.45699999999999</v>
      </c>
      <c r="N43" s="966">
        <f t="shared" si="142"/>
        <v>141.631676</v>
      </c>
      <c r="O43" s="966">
        <f t="shared" si="142"/>
        <v>149.99068700000001</v>
      </c>
      <c r="P43" s="966">
        <f t="shared" si="142"/>
        <v>147.23700000000002</v>
      </c>
      <c r="Q43" s="966">
        <f>SUM(Q39:Q42)</f>
        <v>143.852</v>
      </c>
      <c r="R43" s="966">
        <f t="shared" ref="R43" si="143">SUM(R39:R42)</f>
        <v>149.583</v>
      </c>
      <c r="S43" s="966">
        <f t="shared" ref="S43" si="144">SUM(S39:S42)</f>
        <v>151.208</v>
      </c>
      <c r="T43" s="966">
        <f t="shared" ref="T43" si="145">SUM(T39:T42)</f>
        <v>160.08500000000001</v>
      </c>
      <c r="U43" s="966">
        <f t="shared" ref="U43" si="146">SUM(U39:U42)</f>
        <v>154.58600000000001</v>
      </c>
      <c r="V43" s="966">
        <f t="shared" ref="V43" si="147">SUM(V39:V42)</f>
        <v>161.97800000000001</v>
      </c>
      <c r="W43" s="966">
        <f t="shared" ref="W43" si="148">SUM(W39:W42)</f>
        <v>167.774</v>
      </c>
      <c r="X43" s="966">
        <f t="shared" ref="X43" si="149">SUM(X39:X42)</f>
        <v>150.22299999999998</v>
      </c>
      <c r="Y43" s="966">
        <f t="shared" ref="Y43" si="150">SUM(Y39:Y42)</f>
        <v>148.48699999999999</v>
      </c>
      <c r="Z43" s="966">
        <f t="shared" ref="Z43" si="151">SUM(Z39:Z42)</f>
        <v>161.95176899999998</v>
      </c>
      <c r="AA43" s="966">
        <f t="shared" ref="AA43" si="152">SUM(AA39:AA42)</f>
        <v>172.65528</v>
      </c>
      <c r="AB43" s="966">
        <f t="shared" ref="AB43" si="153">SUM(AB39:AB42)</f>
        <v>185.33500000000001</v>
      </c>
      <c r="AC43" s="966">
        <f t="shared" ref="AC43" si="154">SUM(AC39:AC42)</f>
        <v>181.90200000000002</v>
      </c>
      <c r="AD43" s="966">
        <f t="shared" ref="AD43" si="155">SUM(AD39:AD42)</f>
        <v>199.244</v>
      </c>
      <c r="AE43" s="966">
        <f t="shared" ref="AE43" si="156">SUM(AE39:AE42)</f>
        <v>206.64799999999997</v>
      </c>
      <c r="AF43" s="966">
        <f t="shared" ref="AF43" si="157">SUM(AF39:AF42)</f>
        <v>187.797</v>
      </c>
      <c r="AG43" s="966">
        <f t="shared" ref="AG43" si="158">SUM(AG39:AG42)</f>
        <v>186.63589299999998</v>
      </c>
      <c r="AH43" s="966">
        <f t="shared" ref="AH43" si="159">SUM(AH39:AH42)</f>
        <v>198.96458899999999</v>
      </c>
      <c r="AI43" s="966">
        <f t="shared" ref="AI43" si="160">SUM(AI39:AI42)</f>
        <v>203.51999999999998</v>
      </c>
      <c r="AJ43" s="966">
        <f t="shared" ref="AJ43" si="161">SUM(AJ39:AJ42)</f>
        <v>184.51400000000001</v>
      </c>
      <c r="AK43" s="966">
        <f t="shared" ref="AK43" si="162">SUM(AK39:AK42)</f>
        <v>203.32399999999998</v>
      </c>
      <c r="AL43" s="966">
        <f t="shared" ref="AL43" si="163">SUM(AL39:AL42)</f>
        <v>223.397243</v>
      </c>
      <c r="AM43" s="966">
        <f t="shared" ref="AM43" si="164">SUM(AM39:AM42)</f>
        <v>230.15100000000001</v>
      </c>
      <c r="AN43" s="966">
        <f t="shared" ref="AN43" si="165">SUM(AN39:AN42)</f>
        <v>211.47900000000001</v>
      </c>
      <c r="AO43" s="966">
        <f t="shared" ref="AO43" si="166">SUM(AO39:AO42)</f>
        <v>204.98699999999999</v>
      </c>
      <c r="AP43" s="966">
        <f t="shared" ref="AP43" si="167">SUM(AP39:AP42)</f>
        <v>227.21700000000001</v>
      </c>
      <c r="AQ43" s="966">
        <f t="shared" ref="AQ43" si="168">SUM(AQ39:AQ42)</f>
        <v>234.20999999999998</v>
      </c>
      <c r="AR43" s="966">
        <f t="shared" ref="AR43" si="169">SUM(AR39:AR42)</f>
        <v>215.94199999999998</v>
      </c>
      <c r="AS43" s="966">
        <f t="shared" ref="AS43" si="170">SUM(AS39:AS42)</f>
        <v>208.95400000000001</v>
      </c>
      <c r="AT43" s="966">
        <f t="shared" ref="AT43" si="171">SUM(AT39:AT42)</f>
        <v>234.499</v>
      </c>
      <c r="AU43" s="966">
        <f t="shared" ref="AU43" si="172">SUM(AU39:AU42)</f>
        <v>242.22800000000001</v>
      </c>
      <c r="AV43" s="966">
        <f t="shared" ref="AV43" si="173">SUM(AV39:AV42)</f>
        <v>220.32400000000001</v>
      </c>
      <c r="AW43" s="966">
        <f t="shared" ref="AW43" si="174">SUM(AW39:AW42)</f>
        <v>216.75</v>
      </c>
      <c r="AX43" s="966">
        <f t="shared" ref="AX43" si="175">SUM(AX39:AX42)</f>
        <v>239.68</v>
      </c>
      <c r="AY43" s="966">
        <f t="shared" ref="AY43" si="176">SUM(AY39:AY42)</f>
        <v>246.89500000000004</v>
      </c>
      <c r="AZ43" s="966">
        <f t="shared" ref="AZ43" si="177">SUM(AZ39:AZ42)</f>
        <v>224.24299999999999</v>
      </c>
      <c r="BA43" s="966">
        <f t="shared" ref="BA43" si="178">SUM(BA39:BA42)</f>
        <v>218.71999999999997</v>
      </c>
      <c r="BB43" s="966">
        <f t="shared" ref="BB43" si="179">SUM(BB39:BB42)</f>
        <v>245.608</v>
      </c>
      <c r="BC43" s="966">
        <f t="shared" ref="BC43" si="180">SUM(BC39:BC42)</f>
        <v>252.35599999999999</v>
      </c>
      <c r="BD43" s="966">
        <f t="shared" ref="BD43" si="181">SUM(BD39:BD42)</f>
        <v>230.33</v>
      </c>
      <c r="BE43" s="966">
        <f t="shared" ref="BE43" si="182">SUM(BE39:BE42)</f>
        <v>224.61899999999997</v>
      </c>
      <c r="BF43" s="966">
        <f t="shared" ref="BF43" si="183">SUM(BF39:BF42)</f>
        <v>253.60099999999997</v>
      </c>
      <c r="BG43" s="966">
        <f t="shared" ref="BG43" si="184">SUM(BG39:BG42)</f>
        <v>262.16499999999996</v>
      </c>
      <c r="BH43" s="966">
        <f t="shared" ref="BH43" si="185">SUM(BH39:BH42)</f>
        <v>240.09</v>
      </c>
      <c r="BI43" s="966">
        <f t="shared" ref="BI43" si="186">SUM(BI39:BI42)</f>
        <v>232.62</v>
      </c>
      <c r="BJ43" s="966">
        <f t="shared" ref="BJ43" si="187">SUM(BJ39:BJ42)</f>
        <v>257.30100000000004</v>
      </c>
      <c r="BK43" s="966">
        <f t="shared" ref="BK43" si="188">SUM(BK39:BK42)</f>
        <v>266.017</v>
      </c>
      <c r="BL43" s="966">
        <f t="shared" ref="BL43" si="189">SUM(BL39:BL42)</f>
        <v>246.78200000000001</v>
      </c>
      <c r="BM43" s="966">
        <f t="shared" ref="BM43" si="190">SUM(BM39:BM42)</f>
        <v>217.27199999999999</v>
      </c>
      <c r="BN43" s="966">
        <f t="shared" ref="BN43" si="191">SUM(BN39:BN42)</f>
        <v>54.527000000000001</v>
      </c>
      <c r="BO43" s="966">
        <f t="shared" ref="BO43" si="192">SUM(BO39:BO42)</f>
        <v>107.73399999999999</v>
      </c>
      <c r="BP43" s="966">
        <f t="shared" ref="BP43" si="193">SUM(BP39:BP42)</f>
        <v>124.23500000000001</v>
      </c>
      <c r="BQ43" s="966">
        <f t="shared" ref="BQ43" si="194">SUM(BQ39:BQ42)</f>
        <v>131.39800000000002</v>
      </c>
      <c r="BR43" s="966">
        <f t="shared" ref="BR43" si="195">SUM(BR39:BR42)</f>
        <v>176.11099999999999</v>
      </c>
      <c r="BS43" s="966">
        <f t="shared" ref="BS43" si="196">SUM(BS39:BS42)</f>
        <v>207.83599999999998</v>
      </c>
      <c r="BT43" s="966">
        <f t="shared" ref="BT43" si="197">SUM(BT39:BT42)</f>
        <v>204.35300000000001</v>
      </c>
      <c r="BU43" s="966">
        <f t="shared" ref="BU43" si="198">SUM(BU39:BU42)</f>
        <v>198.99099999999999</v>
      </c>
      <c r="BW43" s="297"/>
      <c r="BX43" s="441"/>
    </row>
    <row r="44" spans="2:76">
      <c r="S44" s="277"/>
    </row>
    <row r="45" spans="2:76">
      <c r="C45" s="397" t="s">
        <v>1820</v>
      </c>
    </row>
    <row r="46" spans="2:76">
      <c r="C46" s="255" t="str">
        <f>C$11</f>
        <v xml:space="preserve">  AAL</v>
      </c>
      <c r="E46" s="255">
        <f t="shared" ref="E46" si="199">SUM(E39:H39)/4</f>
        <v>46.375</v>
      </c>
      <c r="F46" s="255">
        <f t="shared" ref="F46" si="200">SUM(F39:I39)/4</f>
        <v>46.434749999999994</v>
      </c>
      <c r="G46" s="255">
        <f t="shared" ref="G46" si="201">SUM(G39:J39)/4</f>
        <v>46.386499999999998</v>
      </c>
      <c r="H46" s="255">
        <f t="shared" ref="H46" si="202">SUM(H39:K39)/4</f>
        <v>46.984999999999999</v>
      </c>
      <c r="I46" s="255">
        <f t="shared" ref="I46" si="203">SUM(I39:L39)/4</f>
        <v>46.89425</v>
      </c>
      <c r="J46" s="255">
        <f t="shared" ref="J46" si="204">SUM(J39:M39)/4</f>
        <v>46.633250000000004</v>
      </c>
      <c r="K46" s="255">
        <f t="shared" ref="K46" si="205">SUM(K39:N39)/4</f>
        <v>45.286000000000001</v>
      </c>
      <c r="L46" s="255">
        <f t="shared" ref="L46" si="206">SUM(L39:O39)/4</f>
        <v>44.962499999999999</v>
      </c>
      <c r="M46" s="255">
        <f t="shared" ref="M46" si="207">SUM(M39:P39)/4</f>
        <v>44.984999999999999</v>
      </c>
      <c r="N46" s="255">
        <f t="shared" ref="N46" si="208">SUM(N39:Q39)/4</f>
        <v>44.783249999999995</v>
      </c>
      <c r="O46" s="255">
        <f t="shared" ref="O46" si="209">SUM(O39:R39)/4</f>
        <v>45.369499999999995</v>
      </c>
      <c r="P46" s="255">
        <f t="shared" ref="P46" si="210">SUM(P39:S39)/4</f>
        <v>45.008749999999999</v>
      </c>
      <c r="Q46" s="255">
        <f t="shared" ref="Q46" si="211">SUM(Q39:T39)/4</f>
        <v>44.033750000000005</v>
      </c>
      <c r="R46" s="255">
        <f t="shared" ref="R46" si="212">SUM(R39:U39)/4</f>
        <v>43.144500000000001</v>
      </c>
      <c r="S46" s="255">
        <f t="shared" ref="S46" si="213">SUM(S39:V39)/4</f>
        <v>42.268250000000002</v>
      </c>
      <c r="T46" s="255">
        <f t="shared" ref="T46" si="214">SUM(T39:W39)/4</f>
        <v>41.323</v>
      </c>
      <c r="U46" s="255">
        <f t="shared" ref="U46" si="215">SUM(U39:X39)/4</f>
        <v>40.835000000000001</v>
      </c>
      <c r="V46" s="255">
        <f t="shared" ref="V46" si="216">SUM(V39:Y39)/4</f>
        <v>40.589500000000001</v>
      </c>
      <c r="W46" s="255">
        <f t="shared" ref="W46" si="217">SUM(W39:Z39)/4</f>
        <v>40.569499999999998</v>
      </c>
      <c r="X46" s="255">
        <f t="shared" ref="X46" si="218">SUM(X39:AA39)/4</f>
        <v>40.981749999999998</v>
      </c>
      <c r="Y46" s="255">
        <f t="shared" ref="Y46" si="219">SUM(Y39:AB39)/4</f>
        <v>41.354999999999997</v>
      </c>
      <c r="Z46" s="255">
        <f t="shared" ref="Z46" si="220">SUM(Z39:AC39)/4</f>
        <v>41.701499999999996</v>
      </c>
      <c r="AA46" s="255">
        <f t="shared" ref="AA46" si="221">SUM(AA39:AD39)/4</f>
        <v>42.009749999999997</v>
      </c>
      <c r="AB46" s="255">
        <f t="shared" ref="AB46" si="222">SUM(AB39:AE39)/4</f>
        <v>42.083500000000001</v>
      </c>
      <c r="AC46" s="255">
        <f t="shared" ref="AC46" si="223">SUM(AC39:AF39)/4</f>
        <v>41.957250000000002</v>
      </c>
      <c r="AD46" s="255">
        <f t="shared" ref="AD46" si="224">SUM(AD39:AG39)/4</f>
        <v>42.018750000000004</v>
      </c>
      <c r="AE46" s="255">
        <f t="shared" ref="AE46" si="225">SUM(AE39:AH39)/4</f>
        <v>41.792749999999998</v>
      </c>
      <c r="AF46" s="255">
        <f t="shared" ref="AF46" si="226">SUM(AF39:AI39)/4</f>
        <v>41.54025</v>
      </c>
      <c r="AG46" s="255">
        <f t="shared" ref="AG46" si="227">SUM(AG39:AJ39)/4</f>
        <v>41.555750000000003</v>
      </c>
      <c r="AH46" s="255">
        <f t="shared" ref="AH46" si="228">SUM(AH39:AK39)/4</f>
        <v>46.77525</v>
      </c>
      <c r="AI46" s="255">
        <f t="shared" ref="AI46" si="229">SUM(AI39:AL39)/4</f>
        <v>52.85</v>
      </c>
      <c r="AJ46" s="255">
        <f t="shared" ref="AJ46" si="230">SUM(AJ39:AM39)/4</f>
        <v>59.192500000000003</v>
      </c>
      <c r="AK46" s="255">
        <f t="shared" ref="AK46" si="231">SUM(AK39:AN39)/4</f>
        <v>64.978499999999997</v>
      </c>
      <c r="AL46" s="255">
        <f t="shared" ref="AL46" si="232">SUM(AL39:AO39)/4</f>
        <v>65.294250000000005</v>
      </c>
      <c r="AM46" s="255">
        <f t="shared" ref="AM46" si="233">SUM(AM39:AP39)/4</f>
        <v>65.807999999999993</v>
      </c>
      <c r="AN46" s="255">
        <f t="shared" ref="AN46" si="234">SUM(AN39:AQ39)/4</f>
        <v>66.139750000000006</v>
      </c>
      <c r="AO46" s="255">
        <f t="shared" ref="AO46" si="235">SUM(AO39:AR39)/4</f>
        <v>66.413749999999993</v>
      </c>
      <c r="AP46" s="255">
        <f t="shared" ref="AP46" si="236">SUM(AP39:AS39)/4</f>
        <v>66.263499999999993</v>
      </c>
      <c r="AQ46" s="255">
        <f t="shared" ref="AQ46" si="237">SUM(AQ39:AT39)/4</f>
        <v>66.591250000000002</v>
      </c>
      <c r="AR46" s="255">
        <f t="shared" ref="AR46" si="238">SUM(AR39:AU39)/4</f>
        <v>67.084249999999997</v>
      </c>
      <c r="AS46" s="255">
        <f t="shared" ref="AS46" si="239">SUM(AS39:AV39)/4</f>
        <v>67.184249999999992</v>
      </c>
      <c r="AT46" s="255">
        <f t="shared" ref="AT46" si="240">SUM(AT39:AW39)/4</f>
        <v>67.752499999999998</v>
      </c>
      <c r="AU46" s="255">
        <f t="shared" ref="AU46" si="241">SUM(AU39:AX39)/4</f>
        <v>68.09</v>
      </c>
      <c r="AV46" s="255">
        <f t="shared" ref="AV46" si="242">SUM(AV39:AY39)/4</f>
        <v>68.294749999999993</v>
      </c>
      <c r="AW46" s="255">
        <f t="shared" ref="AW46" si="243">SUM(AW39:AZ39)/4</f>
        <v>68.39725</v>
      </c>
      <c r="AX46" s="255">
        <f t="shared" ref="AX46" si="244">SUM(AX39:BA39)/4</f>
        <v>68.216499999999996</v>
      </c>
      <c r="AY46" s="255">
        <f t="shared" ref="AY46" si="245">SUM(AY39:BB39)/4</f>
        <v>68.464500000000001</v>
      </c>
      <c r="AZ46" s="255">
        <f t="shared" ref="AZ46" si="246">SUM(AZ39:BC39)/4</f>
        <v>68.75</v>
      </c>
      <c r="BA46" s="255">
        <f t="shared" ref="BA46" si="247">SUM(BA39:BD39)/4</f>
        <v>69.123000000000005</v>
      </c>
      <c r="BB46" s="255">
        <f t="shared" ref="BB46" si="248">SUM(BB39:BE39)/4</f>
        <v>69.493499999999997</v>
      </c>
      <c r="BC46" s="255">
        <f t="shared" ref="BC46" si="249">SUM(BC39:BF39)/4</f>
        <v>69.781000000000006</v>
      </c>
      <c r="BD46" s="255">
        <f t="shared" ref="BD46" si="250">SUM(BD39:BG39)/4</f>
        <v>70.277500000000003</v>
      </c>
      <c r="BE46" s="255">
        <f t="shared" ref="BE46" si="251">SUM(BE39:BH39)/4</f>
        <v>70.513249999999999</v>
      </c>
      <c r="BF46" s="255">
        <f t="shared" ref="BF46" si="252">SUM(BF39:BI39)/4</f>
        <v>70.725999999999999</v>
      </c>
      <c r="BG46" s="255">
        <f t="shared" ref="BG46" si="253">SUM(BG39:BJ39)/4</f>
        <v>70.583249999999992</v>
      </c>
      <c r="BH46" s="255">
        <f t="shared" ref="BH46" si="254">SUM(BH39:BK39)/4</f>
        <v>70.778500000000008</v>
      </c>
      <c r="BI46" s="255">
        <f t="shared" ref="BI46" si="255">SUM(BI39:BL39)/4</f>
        <v>71.272000000000006</v>
      </c>
      <c r="BJ46" s="255">
        <f t="shared" ref="BJ46" si="256">SUM(BJ39:BM39)/4</f>
        <v>70.128249999999994</v>
      </c>
      <c r="BK46" s="255">
        <f t="shared" ref="BK46" si="257">SUM(BK39:BN39)/4</f>
        <v>56.317999999999991</v>
      </c>
      <c r="BL46" s="255">
        <f t="shared" ref="BL46" si="258">SUM(BL39:BO39)/4</f>
        <v>45.055</v>
      </c>
      <c r="BM46" s="255">
        <f t="shared" ref="BM46" si="259">SUM(BM39:BP39)/4</f>
        <v>35.79175</v>
      </c>
      <c r="BN46" s="255">
        <f t="shared" ref="BN46" si="260">SUM(BN39:BQ39)/4</f>
        <v>29.708000000000006</v>
      </c>
      <c r="BO46" s="255">
        <f t="shared" ref="BO46" si="261">SUM(BO39:BR39)/4</f>
        <v>39.076500000000003</v>
      </c>
      <c r="BP46" s="255">
        <f t="shared" ref="BP46" si="262">SUM(BP39:BS39)/4</f>
        <v>46.66225</v>
      </c>
      <c r="BQ46" s="255">
        <f t="shared" ref="BQ46:BR46" si="263">SUM(BQ39:BT39)/4</f>
        <v>53.633499999999998</v>
      </c>
      <c r="BR46" s="255">
        <f t="shared" si="263"/>
        <v>59.075749999999999</v>
      </c>
      <c r="BW46" s="297">
        <f>RATE(14,,-SUM(E46:H46),SUM(BI46:BL46))</f>
        <v>1.9138495817418801E-2</v>
      </c>
    </row>
    <row r="47" spans="2:76">
      <c r="C47" s="255" t="str">
        <f>C$12</f>
        <v xml:space="preserve">  DAL</v>
      </c>
      <c r="E47" s="255">
        <f>SUM(E40:H40)/4</f>
        <v>39.198250000000002</v>
      </c>
      <c r="F47" s="255">
        <f t="shared" ref="F47:BQ47" si="264">SUM(F40:I40)/4</f>
        <v>38.548749999999998</v>
      </c>
      <c r="G47" s="255">
        <f t="shared" si="264"/>
        <v>37.859499999999997</v>
      </c>
      <c r="H47" s="255">
        <f t="shared" si="264"/>
        <v>37.418999999999997</v>
      </c>
      <c r="I47" s="255">
        <f t="shared" si="264"/>
        <v>37.168000000000006</v>
      </c>
      <c r="J47" s="255">
        <f t="shared" si="264"/>
        <v>37.167999999999999</v>
      </c>
      <c r="K47" s="255">
        <f t="shared" si="264"/>
        <v>37.270250000000004</v>
      </c>
      <c r="L47" s="255">
        <f t="shared" si="264"/>
        <v>37.595250000000007</v>
      </c>
      <c r="M47" s="255">
        <f t="shared" si="264"/>
        <v>37.941000000000003</v>
      </c>
      <c r="N47" s="255">
        <f t="shared" si="264"/>
        <v>38.14425</v>
      </c>
      <c r="O47" s="255">
        <f t="shared" si="264"/>
        <v>38.296500000000002</v>
      </c>
      <c r="P47" s="255">
        <f t="shared" si="264"/>
        <v>38.153500000000001</v>
      </c>
      <c r="Q47" s="255">
        <f t="shared" si="264"/>
        <v>43.324250000000006</v>
      </c>
      <c r="R47" s="255">
        <f t="shared" si="264"/>
        <v>48.236249999999998</v>
      </c>
      <c r="S47" s="255">
        <f t="shared" si="264"/>
        <v>53.292000000000002</v>
      </c>
      <c r="T47" s="255">
        <f t="shared" si="264"/>
        <v>58.757750000000001</v>
      </c>
      <c r="U47" s="255">
        <f t="shared" si="264"/>
        <v>57.564250000000001</v>
      </c>
      <c r="V47" s="255">
        <f t="shared" si="264"/>
        <v>56.954499999999996</v>
      </c>
      <c r="W47" s="255">
        <f t="shared" si="264"/>
        <v>56.889249999999997</v>
      </c>
      <c r="X47" s="255">
        <f t="shared" si="264"/>
        <v>57.245249999999999</v>
      </c>
      <c r="Y47" s="255">
        <f t="shared" si="264"/>
        <v>58.170999999999992</v>
      </c>
      <c r="Z47" s="255">
        <f t="shared" si="264"/>
        <v>58.900499999999994</v>
      </c>
      <c r="AA47" s="255">
        <f t="shared" si="264"/>
        <v>59.261249999999997</v>
      </c>
      <c r="AB47" s="255">
        <f t="shared" si="264"/>
        <v>59.16225</v>
      </c>
      <c r="AC47" s="255">
        <f t="shared" si="264"/>
        <v>58.664000000000001</v>
      </c>
      <c r="AD47" s="255">
        <f t="shared" si="264"/>
        <v>58.211249999999993</v>
      </c>
      <c r="AE47" s="255">
        <f t="shared" si="264"/>
        <v>58.021500000000003</v>
      </c>
      <c r="AF47" s="255">
        <f t="shared" si="264"/>
        <v>57.776750000000007</v>
      </c>
      <c r="AG47" s="255">
        <f t="shared" si="264"/>
        <v>57.603749999999991</v>
      </c>
      <c r="AH47" s="255">
        <f t="shared" si="264"/>
        <v>57.257249999999999</v>
      </c>
      <c r="AI47" s="255">
        <f t="shared" si="264"/>
        <v>57.381749999999997</v>
      </c>
      <c r="AJ47" s="255">
        <f t="shared" si="264"/>
        <v>57.78425</v>
      </c>
      <c r="AK47" s="255">
        <f t="shared" si="264"/>
        <v>58.185000000000002</v>
      </c>
      <c r="AL47" s="255">
        <f t="shared" si="264"/>
        <v>58.405499999999996</v>
      </c>
      <c r="AM47" s="255">
        <f t="shared" si="264"/>
        <v>58.889749999999999</v>
      </c>
      <c r="AN47" s="255">
        <f t="shared" si="264"/>
        <v>59.397999999999996</v>
      </c>
      <c r="AO47" s="255">
        <f t="shared" si="264"/>
        <v>59.918999999999997</v>
      </c>
      <c r="AP47" s="255">
        <f t="shared" si="264"/>
        <v>60.59225</v>
      </c>
      <c r="AQ47" s="255">
        <f t="shared" si="264"/>
        <v>61.122250000000008</v>
      </c>
      <c r="AR47" s="255">
        <f t="shared" si="264"/>
        <v>61.648499999999999</v>
      </c>
      <c r="AS47" s="255">
        <f t="shared" si="264"/>
        <v>61.691000000000003</v>
      </c>
      <c r="AT47" s="255">
        <f t="shared" si="264"/>
        <v>62.07800000000001</v>
      </c>
      <c r="AU47" s="255">
        <f t="shared" si="264"/>
        <v>62.588499999999996</v>
      </c>
      <c r="AV47" s="255">
        <f t="shared" si="264"/>
        <v>62.83775</v>
      </c>
      <c r="AW47" s="255">
        <f t="shared" si="264"/>
        <v>62.966749999999998</v>
      </c>
      <c r="AX47" s="255">
        <f t="shared" si="264"/>
        <v>62.898250000000004</v>
      </c>
      <c r="AY47" s="255">
        <f t="shared" si="264"/>
        <v>62.960250000000002</v>
      </c>
      <c r="AZ47" s="255">
        <f t="shared" si="264"/>
        <v>63.245000000000005</v>
      </c>
      <c r="BA47" s="255">
        <f t="shared" si="264"/>
        <v>63.581250000000004</v>
      </c>
      <c r="BB47" s="255">
        <f t="shared" si="264"/>
        <v>63.976750000000003</v>
      </c>
      <c r="BC47" s="255">
        <f t="shared" si="264"/>
        <v>64.548500000000004</v>
      </c>
      <c r="BD47" s="255">
        <f t="shared" si="264"/>
        <v>65.225499999999997</v>
      </c>
      <c r="BE47" s="255">
        <f t="shared" si="264"/>
        <v>65.841250000000002</v>
      </c>
      <c r="BF47" s="255">
        <f t="shared" si="264"/>
        <v>66.581999999999994</v>
      </c>
      <c r="BG47" s="255">
        <f t="shared" si="264"/>
        <v>67.391999999999996</v>
      </c>
      <c r="BH47" s="255">
        <f t="shared" si="264"/>
        <v>68.108750000000001</v>
      </c>
      <c r="BI47" s="255">
        <f t="shared" si="264"/>
        <v>68.845000000000013</v>
      </c>
      <c r="BJ47" s="255">
        <f t="shared" si="264"/>
        <v>67.962249999999997</v>
      </c>
      <c r="BK47" s="255">
        <f t="shared" si="264"/>
        <v>52.672750000000001</v>
      </c>
      <c r="BL47" s="255">
        <f t="shared" si="264"/>
        <v>40.809750000000001</v>
      </c>
      <c r="BM47" s="255">
        <f t="shared" si="264"/>
        <v>33.584999999999994</v>
      </c>
      <c r="BN47" s="255">
        <f t="shared" si="264"/>
        <v>28.893250000000002</v>
      </c>
      <c r="BO47" s="255">
        <f t="shared" si="264"/>
        <v>38.3765</v>
      </c>
      <c r="BP47" s="255">
        <f t="shared" si="264"/>
        <v>44.824750000000002</v>
      </c>
      <c r="BQ47" s="255">
        <f t="shared" si="264"/>
        <v>48.618500000000004</v>
      </c>
      <c r="BR47" s="255">
        <f>SUM(BR40:BU40)/4</f>
        <v>51.541499999999999</v>
      </c>
      <c r="BS47" s="255"/>
      <c r="BT47" s="255"/>
      <c r="BU47" s="255"/>
      <c r="BW47" s="297">
        <f t="shared" ref="BW47:BW49" si="265">RATE(14,,-SUM(E47:H47),SUM(BI47:BL47))</f>
        <v>2.9625625761402083E-2</v>
      </c>
    </row>
    <row r="48" spans="2:76">
      <c r="C48" s="255" t="str">
        <f>C$13</f>
        <v xml:space="preserve">  UAL</v>
      </c>
      <c r="E48" s="255">
        <f>SUM(E41:H41)/4</f>
        <v>35.074999999999996</v>
      </c>
      <c r="F48" s="255">
        <f t="shared" ref="F48:O49" si="266">SUM(F41:I41)/4</f>
        <v>35.132249999999999</v>
      </c>
      <c r="G48" s="255">
        <f t="shared" si="266"/>
        <v>35.396999999999998</v>
      </c>
      <c r="H48" s="255">
        <f t="shared" si="266"/>
        <v>35.643000000000001</v>
      </c>
      <c r="I48" s="255">
        <f t="shared" si="266"/>
        <v>35.77375</v>
      </c>
      <c r="J48" s="255">
        <f t="shared" si="266"/>
        <v>35.785499999999999</v>
      </c>
      <c r="K48" s="255">
        <f t="shared" si="266"/>
        <v>35.706499999999998</v>
      </c>
      <c r="L48" s="255">
        <f t="shared" si="266"/>
        <v>35.585921749999997</v>
      </c>
      <c r="M48" s="255">
        <f t="shared" si="266"/>
        <v>36.49417175</v>
      </c>
      <c r="N48" s="255">
        <f t="shared" si="266"/>
        <v>37.462671749999998</v>
      </c>
      <c r="O48" s="255">
        <f t="shared" si="266"/>
        <v>38.373921750000001</v>
      </c>
      <c r="P48" s="255">
        <f t="shared" ref="P48:Y49" si="267">SUM(P41:S41)/4</f>
        <v>39.039250000000003</v>
      </c>
      <c r="Q48" s="255">
        <f t="shared" si="267"/>
        <v>38.006250000000001</v>
      </c>
      <c r="R48" s="255">
        <f t="shared" si="267"/>
        <v>36.922250000000005</v>
      </c>
      <c r="S48" s="255">
        <f t="shared" si="267"/>
        <v>36.037000000000006</v>
      </c>
      <c r="T48" s="255">
        <f t="shared" si="267"/>
        <v>36.037000000000006</v>
      </c>
      <c r="U48" s="255">
        <f t="shared" si="267"/>
        <v>35.740499999999997</v>
      </c>
      <c r="V48" s="255">
        <f t="shared" si="267"/>
        <v>35.459250000000004</v>
      </c>
      <c r="W48" s="255">
        <f t="shared" si="267"/>
        <v>35.558192249999998</v>
      </c>
      <c r="X48" s="255">
        <f t="shared" si="267"/>
        <v>35.813512250000002</v>
      </c>
      <c r="Y48" s="255">
        <f t="shared" si="267"/>
        <v>42.972012249999999</v>
      </c>
      <c r="Z48" s="255">
        <f t="shared" ref="Z48:AI49" si="268">SUM(Z41:AC41)/4</f>
        <v>49.778012250000003</v>
      </c>
      <c r="AA48" s="255">
        <f t="shared" si="268"/>
        <v>56.93582</v>
      </c>
      <c r="AB48" s="255">
        <f t="shared" si="268"/>
        <v>63.51925</v>
      </c>
      <c r="AC48" s="255">
        <f t="shared" si="268"/>
        <v>63.131749999999997</v>
      </c>
      <c r="AD48" s="255">
        <f t="shared" si="268"/>
        <v>63.174750000000003</v>
      </c>
      <c r="AE48" s="255">
        <f t="shared" si="268"/>
        <v>63.077250000000006</v>
      </c>
      <c r="AF48" s="255">
        <f t="shared" si="268"/>
        <v>62.85199999999999</v>
      </c>
      <c r="AG48" s="255">
        <f t="shared" si="268"/>
        <v>62.215000000000003</v>
      </c>
      <c r="AH48" s="255">
        <f t="shared" si="268"/>
        <v>61.471999999999994</v>
      </c>
      <c r="AI48" s="255">
        <f t="shared" si="268"/>
        <v>61.130749999999999</v>
      </c>
      <c r="AJ48" s="255">
        <f t="shared" ref="AJ48:AS49" si="269">SUM(AJ41:AM41)/4</f>
        <v>60.957250000000002</v>
      </c>
      <c r="AK48" s="255">
        <f t="shared" si="269"/>
        <v>61.338500000000003</v>
      </c>
      <c r="AL48" s="255">
        <f t="shared" si="269"/>
        <v>61.299500000000002</v>
      </c>
      <c r="AM48" s="255">
        <f t="shared" si="269"/>
        <v>61.29025</v>
      </c>
      <c r="AN48" s="255">
        <f t="shared" si="269"/>
        <v>61.374750000000006</v>
      </c>
      <c r="AO48" s="255">
        <f t="shared" si="269"/>
        <v>61.505249999999997</v>
      </c>
      <c r="AP48" s="255">
        <f t="shared" si="269"/>
        <v>61.518499999999996</v>
      </c>
      <c r="AQ48" s="255">
        <f t="shared" si="269"/>
        <v>61.886250000000004</v>
      </c>
      <c r="AR48" s="255">
        <f t="shared" si="269"/>
        <v>62.228000000000002</v>
      </c>
      <c r="AS48" s="255">
        <f t="shared" si="269"/>
        <v>62.500750000000004</v>
      </c>
      <c r="AT48" s="255">
        <f t="shared" ref="AT48:BC49" si="270">SUM(AT41:AW41)/4</f>
        <v>62.751750000000001</v>
      </c>
      <c r="AU48" s="255">
        <f t="shared" si="270"/>
        <v>62.761749999999999</v>
      </c>
      <c r="AV48" s="255">
        <f t="shared" si="270"/>
        <v>63.093999999999994</v>
      </c>
      <c r="AW48" s="255">
        <f t="shared" si="270"/>
        <v>63.397500000000001</v>
      </c>
      <c r="AX48" s="255">
        <f t="shared" si="270"/>
        <v>63.781249999999993</v>
      </c>
      <c r="AY48" s="255">
        <f t="shared" si="270"/>
        <v>64.46674999999999</v>
      </c>
      <c r="AZ48" s="255">
        <f t="shared" si="270"/>
        <v>64.968999999999994</v>
      </c>
      <c r="BA48" s="255">
        <f t="shared" si="270"/>
        <v>65.596500000000006</v>
      </c>
      <c r="BB48" s="255">
        <f t="shared" si="270"/>
        <v>66.138750000000002</v>
      </c>
      <c r="BC48" s="255">
        <f t="shared" si="270"/>
        <v>66.947499999999991</v>
      </c>
      <c r="BD48" s="255">
        <f t="shared" ref="BD48:BM49" si="271">SUM(BD41:BG41)/4</f>
        <v>67.846999999999994</v>
      </c>
      <c r="BE48" s="255">
        <f t="shared" si="271"/>
        <v>68.8155</v>
      </c>
      <c r="BF48" s="255">
        <f t="shared" si="271"/>
        <v>69.732499999999987</v>
      </c>
      <c r="BG48" s="255">
        <f t="shared" si="271"/>
        <v>70.367000000000004</v>
      </c>
      <c r="BH48" s="255">
        <f t="shared" si="271"/>
        <v>70.715749999999986</v>
      </c>
      <c r="BI48" s="255">
        <f t="shared" si="271"/>
        <v>71.249749999999992</v>
      </c>
      <c r="BJ48" s="255">
        <f t="shared" si="271"/>
        <v>70.072999999999993</v>
      </c>
      <c r="BK48" s="255">
        <f t="shared" si="271"/>
        <v>54.003749999999989</v>
      </c>
      <c r="BL48" s="255">
        <f t="shared" si="271"/>
        <v>40.787749999999996</v>
      </c>
      <c r="BM48" s="255">
        <f t="shared" si="271"/>
        <v>30.701000000000001</v>
      </c>
      <c r="BN48" s="255">
        <f t="shared" ref="BN48:BQ49" si="272">SUM(BN41:BQ41)/4</f>
        <v>23.059000000000001</v>
      </c>
      <c r="BO48" s="255">
        <f t="shared" si="272"/>
        <v>30.721499999999999</v>
      </c>
      <c r="BP48" s="255">
        <f t="shared" si="272"/>
        <v>38.64</v>
      </c>
      <c r="BQ48" s="255">
        <f t="shared" si="272"/>
        <v>44.670999999999999</v>
      </c>
      <c r="BR48" s="255">
        <f>SUM(BR41:BU41)/4</f>
        <v>50.394500000000001</v>
      </c>
      <c r="BW48" s="297">
        <f t="shared" si="265"/>
        <v>3.7382048403950416E-2</v>
      </c>
    </row>
    <row r="49" spans="3:76">
      <c r="C49" s="255" t="str">
        <f>C$14</f>
        <v xml:space="preserve">  LUV</v>
      </c>
      <c r="E49" s="255">
        <f>SUM(E42:H42)/4</f>
        <v>21.293394749999997</v>
      </c>
      <c r="F49" s="255">
        <f t="shared" si="266"/>
        <v>21.755144749999999</v>
      </c>
      <c r="G49" s="255">
        <f t="shared" si="266"/>
        <v>22.14139475</v>
      </c>
      <c r="H49" s="255">
        <f t="shared" si="266"/>
        <v>22.62425</v>
      </c>
      <c r="I49" s="255">
        <f t="shared" si="266"/>
        <v>23.165750000000003</v>
      </c>
      <c r="J49" s="255">
        <f t="shared" si="266"/>
        <v>23.5655</v>
      </c>
      <c r="K49" s="255">
        <f t="shared" si="266"/>
        <v>24.090168999999999</v>
      </c>
      <c r="L49" s="255">
        <f t="shared" si="266"/>
        <v>24.572918999999999</v>
      </c>
      <c r="M49" s="255">
        <f t="shared" si="266"/>
        <v>24.908919000000001</v>
      </c>
      <c r="N49" s="255">
        <f t="shared" si="266"/>
        <v>25.287669000000001</v>
      </c>
      <c r="O49" s="255">
        <f t="shared" si="266"/>
        <v>25.625750000000004</v>
      </c>
      <c r="P49" s="255">
        <f t="shared" si="267"/>
        <v>25.768500000000003</v>
      </c>
      <c r="Q49" s="255">
        <f t="shared" si="267"/>
        <v>25.81775</v>
      </c>
      <c r="R49" s="255">
        <f t="shared" si="267"/>
        <v>25.5625</v>
      </c>
      <c r="S49" s="255">
        <f t="shared" si="267"/>
        <v>25.366999999999997</v>
      </c>
      <c r="T49" s="255">
        <f t="shared" si="267"/>
        <v>24.988</v>
      </c>
      <c r="U49" s="255">
        <f t="shared" si="267"/>
        <v>24.500500000000002</v>
      </c>
      <c r="V49" s="255">
        <f t="shared" si="267"/>
        <v>24.11225</v>
      </c>
      <c r="W49" s="255">
        <f t="shared" si="267"/>
        <v>24.091999999999999</v>
      </c>
      <c r="X49" s="255">
        <f t="shared" si="267"/>
        <v>24.28875</v>
      </c>
      <c r="Y49" s="255">
        <f t="shared" si="267"/>
        <v>24.609249999999999</v>
      </c>
      <c r="Z49" s="255">
        <f t="shared" si="268"/>
        <v>25.081</v>
      </c>
      <c r="AA49" s="255">
        <f t="shared" si="268"/>
        <v>26.577249999999999</v>
      </c>
      <c r="AB49" s="255">
        <f t="shared" si="268"/>
        <v>28.517250000000001</v>
      </c>
      <c r="AC49" s="255">
        <f t="shared" si="268"/>
        <v>30.144750000000002</v>
      </c>
      <c r="AD49" s="255">
        <f t="shared" si="268"/>
        <v>31.676473250000001</v>
      </c>
      <c r="AE49" s="255">
        <f t="shared" si="268"/>
        <v>32.119870499999998</v>
      </c>
      <c r="AF49" s="255">
        <f t="shared" si="268"/>
        <v>32.060370500000005</v>
      </c>
      <c r="AG49" s="255">
        <f t="shared" si="268"/>
        <v>32.0341205</v>
      </c>
      <c r="AH49" s="255">
        <f t="shared" si="268"/>
        <v>32.076147249999998</v>
      </c>
      <c r="AI49" s="255">
        <f t="shared" si="268"/>
        <v>32.326310749999998</v>
      </c>
      <c r="AJ49" s="255">
        <f t="shared" si="269"/>
        <v>32.412560749999997</v>
      </c>
      <c r="AK49" s="255">
        <f t="shared" si="269"/>
        <v>32.58581075</v>
      </c>
      <c r="AL49" s="255">
        <f t="shared" si="269"/>
        <v>32.504310749999995</v>
      </c>
      <c r="AM49" s="255">
        <f t="shared" si="269"/>
        <v>32.470500000000001</v>
      </c>
      <c r="AN49" s="255">
        <f t="shared" si="269"/>
        <v>32.560749999999999</v>
      </c>
      <c r="AO49" s="255">
        <f t="shared" si="269"/>
        <v>32.750999999999998</v>
      </c>
      <c r="AP49" s="255">
        <f t="shared" si="269"/>
        <v>33.206499999999998</v>
      </c>
      <c r="AQ49" s="255">
        <f t="shared" si="269"/>
        <v>33.801499999999997</v>
      </c>
      <c r="AR49" s="255">
        <f t="shared" si="269"/>
        <v>34.444999999999993</v>
      </c>
      <c r="AS49" s="255">
        <f t="shared" si="269"/>
        <v>35.125250000000001</v>
      </c>
      <c r="AT49" s="255">
        <f t="shared" si="270"/>
        <v>35.868000000000002</v>
      </c>
      <c r="AU49" s="255">
        <f t="shared" si="270"/>
        <v>36.305250000000001</v>
      </c>
      <c r="AV49" s="255">
        <f t="shared" si="270"/>
        <v>36.685749999999999</v>
      </c>
      <c r="AW49" s="255">
        <f t="shared" si="270"/>
        <v>37.130499999999998</v>
      </c>
      <c r="AX49" s="255">
        <f t="shared" si="270"/>
        <v>37.488500000000002</v>
      </c>
      <c r="AY49" s="255">
        <f t="shared" si="270"/>
        <v>37.975000000000001</v>
      </c>
      <c r="AZ49" s="255">
        <f t="shared" si="270"/>
        <v>38.267749999999999</v>
      </c>
      <c r="BA49" s="255">
        <f t="shared" si="270"/>
        <v>38.452750000000002</v>
      </c>
      <c r="BB49" s="255">
        <f t="shared" si="270"/>
        <v>38.619249999999994</v>
      </c>
      <c r="BC49" s="255">
        <f t="shared" si="270"/>
        <v>38.9495</v>
      </c>
      <c r="BD49" s="255">
        <f t="shared" si="271"/>
        <v>39.328749999999999</v>
      </c>
      <c r="BE49" s="255">
        <f t="shared" si="271"/>
        <v>39.948749999999997</v>
      </c>
      <c r="BF49" s="255">
        <f t="shared" si="271"/>
        <v>40.078499999999998</v>
      </c>
      <c r="BG49" s="255">
        <f t="shared" si="271"/>
        <v>39.701750000000004</v>
      </c>
      <c r="BH49" s="255">
        <f t="shared" si="271"/>
        <v>39.403999999999996</v>
      </c>
      <c r="BI49" s="255">
        <f t="shared" si="271"/>
        <v>39.313249999999996</v>
      </c>
      <c r="BJ49" s="255">
        <f t="shared" si="271"/>
        <v>38.679499999999997</v>
      </c>
      <c r="BK49" s="255">
        <f t="shared" si="271"/>
        <v>33.155000000000001</v>
      </c>
      <c r="BL49" s="255">
        <f t="shared" si="271"/>
        <v>29.92625</v>
      </c>
      <c r="BM49" s="255">
        <f t="shared" si="271"/>
        <v>25.864249999999998</v>
      </c>
      <c r="BN49" s="255">
        <f t="shared" si="272"/>
        <v>22.81325</v>
      </c>
      <c r="BO49" s="255">
        <f t="shared" si="272"/>
        <v>26.695</v>
      </c>
      <c r="BP49" s="255">
        <f t="shared" si="272"/>
        <v>29.768000000000001</v>
      </c>
      <c r="BQ49" s="255">
        <f t="shared" si="272"/>
        <v>33.0015</v>
      </c>
      <c r="BR49" s="255">
        <f>SUM(BR42:BU42)/4</f>
        <v>35.811</v>
      </c>
      <c r="BW49" s="297">
        <f t="shared" si="265"/>
        <v>3.44413662857967E-2</v>
      </c>
    </row>
    <row r="50" spans="3:76">
      <c r="C50" s="255"/>
    </row>
    <row r="51" spans="3:76">
      <c r="C51" s="397" t="s">
        <v>1721</v>
      </c>
      <c r="E51" s="277"/>
      <c r="O51" s="699"/>
      <c r="BW51" s="278" t="s">
        <v>1840</v>
      </c>
      <c r="BX51" s="278" t="s">
        <v>1839</v>
      </c>
    </row>
    <row r="52" spans="3:76">
      <c r="C52" s="255" t="str">
        <f>C$11</f>
        <v xml:space="preserve">  AAL</v>
      </c>
      <c r="E52" s="277">
        <v>34.212000000000003</v>
      </c>
      <c r="F52" s="277">
        <v>38.112000000000002</v>
      </c>
      <c r="G52" s="277">
        <v>37.024999999999999</v>
      </c>
      <c r="H52" s="277">
        <v>35.585000000000001</v>
      </c>
      <c r="I52" s="277">
        <v>35.292000000000002</v>
      </c>
      <c r="J52" s="277">
        <v>39.523000000000003</v>
      </c>
      <c r="K52" s="277">
        <v>38.96</v>
      </c>
      <c r="L52" s="277">
        <v>35.652000000000001</v>
      </c>
      <c r="M52" s="277">
        <v>34.837000000000003</v>
      </c>
      <c r="N52" s="277">
        <v>35.668999999999997</v>
      </c>
      <c r="O52" s="277">
        <v>38.901000000000003</v>
      </c>
      <c r="P52" s="277">
        <v>36.298999999999999</v>
      </c>
      <c r="Q52" s="277">
        <v>34.630000000000003</v>
      </c>
      <c r="R52" s="277">
        <v>36.798999999999999</v>
      </c>
      <c r="S52" s="277">
        <v>36.783999999999999</v>
      </c>
      <c r="T52" s="277">
        <v>32.390999999999998</v>
      </c>
      <c r="U52" s="277">
        <v>30.454000000000001</v>
      </c>
      <c r="V52" s="277">
        <v>33.746000000000002</v>
      </c>
      <c r="W52" s="277">
        <v>34.505000000000003</v>
      </c>
      <c r="X52" s="277">
        <v>31.966999999999999</v>
      </c>
      <c r="Y52" s="277">
        <v>30.562999999999999</v>
      </c>
      <c r="Z52" s="277">
        <v>34.445</v>
      </c>
      <c r="AA52" s="277">
        <v>35.898000000000003</v>
      </c>
      <c r="AB52" s="277">
        <v>33.39</v>
      </c>
      <c r="AC52" s="277">
        <v>31.300999999999998</v>
      </c>
      <c r="AD52" s="277">
        <v>35.372999999999998</v>
      </c>
      <c r="AE52" s="277">
        <v>36.531999999999996</v>
      </c>
      <c r="AF52" s="277">
        <v>33.180999999999997</v>
      </c>
      <c r="AG52" s="277">
        <v>32.33</v>
      </c>
      <c r="AH52" s="277">
        <v>35.268999999999998</v>
      </c>
      <c r="AI52" s="277">
        <v>35.951000000000001</v>
      </c>
      <c r="AJ52" s="277">
        <v>33.069000000000003</v>
      </c>
      <c r="AK52" s="277">
        <v>50.021000000000001</v>
      </c>
      <c r="AL52" s="277">
        <v>55.814999999999998</v>
      </c>
      <c r="AM52" s="277">
        <v>57.448999999999998</v>
      </c>
      <c r="AN52" s="277">
        <v>52.256</v>
      </c>
      <c r="AO52" s="277">
        <v>50.886000000000003</v>
      </c>
      <c r="AP52" s="277">
        <v>57.194000000000003</v>
      </c>
      <c r="AQ52" s="277">
        <v>57.65</v>
      </c>
      <c r="AR52" s="277">
        <v>52.14</v>
      </c>
      <c r="AS52" s="277">
        <v>50.19</v>
      </c>
      <c r="AT52" s="277">
        <v>57.820999999999998</v>
      </c>
      <c r="AU52" s="277">
        <v>60.866</v>
      </c>
      <c r="AV52" s="277">
        <v>54.133000000000003</v>
      </c>
      <c r="AW52" s="277">
        <v>51.771000000000001</v>
      </c>
      <c r="AX52" s="277">
        <v>58.335999999999999</v>
      </c>
      <c r="AY52" s="277">
        <v>59.918999999999997</v>
      </c>
      <c r="AZ52" s="277">
        <v>53.451999999999998</v>
      </c>
      <c r="BA52" s="277">
        <v>50.984000000000002</v>
      </c>
      <c r="BB52" s="277">
        <v>59.564</v>
      </c>
      <c r="BC52" s="277">
        <v>60.470999999999997</v>
      </c>
      <c r="BD52" s="277">
        <v>55.326999999999998</v>
      </c>
      <c r="BE52" s="277">
        <v>52.945</v>
      </c>
      <c r="BF52" s="277">
        <v>60.779000000000003</v>
      </c>
      <c r="BG52" s="277">
        <v>61.865000000000002</v>
      </c>
      <c r="BH52" s="277">
        <v>55.57</v>
      </c>
      <c r="BI52" s="277">
        <v>54.802</v>
      </c>
      <c r="BJ52" s="277">
        <v>62.658000000000001</v>
      </c>
      <c r="BK52" s="277">
        <v>64.873999999999995</v>
      </c>
      <c r="BL52" s="277">
        <v>58.917000000000002</v>
      </c>
      <c r="BM52" s="277">
        <v>45.170999999999999</v>
      </c>
      <c r="BN52" s="277">
        <v>7.2309999999999999</v>
      </c>
      <c r="BO52" s="277">
        <v>18.120999999999999</v>
      </c>
      <c r="BP52" s="277">
        <v>21.303000000000001</v>
      </c>
      <c r="BQ52" s="277">
        <v>22.463999999999999</v>
      </c>
      <c r="BR52" s="277">
        <v>42.021999999999998</v>
      </c>
      <c r="BS52" s="277">
        <v>48.069000000000003</v>
      </c>
      <c r="BT52" s="277">
        <v>48.981999999999999</v>
      </c>
      <c r="BU52" s="277">
        <v>44.29</v>
      </c>
      <c r="BW52" s="297">
        <f>RATE(14,,-SUM(E52:H52),SUM(BI52:BL52))</f>
        <v>3.7067585673017871E-2</v>
      </c>
      <c r="BX52" s="297">
        <f>BW30-BW52</f>
        <v>2.1200518769815088E-2</v>
      </c>
    </row>
    <row r="53" spans="3:76">
      <c r="C53" s="255" t="str">
        <f>C$12</f>
        <v xml:space="preserve">  DAL</v>
      </c>
      <c r="E53" s="277">
        <v>28.175999999999998</v>
      </c>
      <c r="F53" s="277">
        <v>31.664000000000001</v>
      </c>
      <c r="G53" s="277">
        <v>32.512999999999998</v>
      </c>
      <c r="H53" s="277">
        <v>27.603999999999999</v>
      </c>
      <c r="I53" s="277">
        <v>27.213000000000001</v>
      </c>
      <c r="J53" s="277">
        <v>30.053000000000001</v>
      </c>
      <c r="K53" s="277">
        <v>31.783999999999999</v>
      </c>
      <c r="L53" s="277">
        <v>27.911999999999999</v>
      </c>
      <c r="M53" s="277">
        <v>27.213000000000001</v>
      </c>
      <c r="N53" s="277">
        <v>31.577999999999999</v>
      </c>
      <c r="O53" s="277">
        <v>34.036000000000001</v>
      </c>
      <c r="P53" s="277">
        <v>29.238</v>
      </c>
      <c r="Q53" s="277">
        <v>28.204999999999998</v>
      </c>
      <c r="R53" s="277">
        <v>32.268999999999998</v>
      </c>
      <c r="S53" s="277">
        <v>33.991</v>
      </c>
      <c r="T53" s="277">
        <v>46.847999999999999</v>
      </c>
      <c r="U53" s="277">
        <v>42.96</v>
      </c>
      <c r="V53" s="277">
        <v>49.052999999999997</v>
      </c>
      <c r="W53" s="277">
        <v>53.371000000000002</v>
      </c>
      <c r="X53" s="277">
        <v>43.558999999999997</v>
      </c>
      <c r="Y53" s="277">
        <v>42.366999999999997</v>
      </c>
      <c r="Z53" s="277">
        <v>49.893999999999998</v>
      </c>
      <c r="AA53" s="277">
        <v>54.674999999999997</v>
      </c>
      <c r="AB53" s="277">
        <v>46.232999999999997</v>
      </c>
      <c r="AC53" s="277">
        <v>42.929000000000002</v>
      </c>
      <c r="AD53" s="277">
        <v>50.366</v>
      </c>
      <c r="AE53" s="277">
        <v>54.497</v>
      </c>
      <c r="AF53" s="277">
        <v>44.975000000000001</v>
      </c>
      <c r="AG53" s="277">
        <v>43.350999999999999</v>
      </c>
      <c r="AH53" s="277">
        <v>50.52</v>
      </c>
      <c r="AI53" s="277">
        <v>53.828000000000003</v>
      </c>
      <c r="AJ53" s="277">
        <v>45.274999999999999</v>
      </c>
      <c r="AK53" s="277">
        <v>43.078000000000003</v>
      </c>
      <c r="AL53" s="277">
        <v>50.780999999999999</v>
      </c>
      <c r="AM53" s="277">
        <v>54.939</v>
      </c>
      <c r="AN53" s="277">
        <v>46.19</v>
      </c>
      <c r="AO53" s="277">
        <v>44.600999999999999</v>
      </c>
      <c r="AP53" s="277">
        <v>53.341000000000001</v>
      </c>
      <c r="AQ53" s="277">
        <v>56.954999999999998</v>
      </c>
      <c r="AR53" s="277">
        <v>48.027999999999999</v>
      </c>
      <c r="AS53" s="277">
        <v>46.220999999999997</v>
      </c>
      <c r="AT53" s="277">
        <v>54.755000000000003</v>
      </c>
      <c r="AU53" s="277">
        <v>59.076000000000001</v>
      </c>
      <c r="AV53" s="277">
        <v>49.573</v>
      </c>
      <c r="AW53" s="277">
        <v>47.725000000000001</v>
      </c>
      <c r="AX53" s="277">
        <v>56.414999999999999</v>
      </c>
      <c r="AY53" s="277">
        <v>58.972999999999999</v>
      </c>
      <c r="AZ53" s="277">
        <v>49.984999999999999</v>
      </c>
      <c r="BA53" s="277">
        <v>47.951999999999998</v>
      </c>
      <c r="BB53" s="277">
        <v>57.575000000000003</v>
      </c>
      <c r="BC53" s="277">
        <v>61.006</v>
      </c>
      <c r="BD53" s="277">
        <v>51.18</v>
      </c>
      <c r="BE53" s="277">
        <v>49.276000000000003</v>
      </c>
      <c r="BF53" s="277">
        <v>59.405999999999999</v>
      </c>
      <c r="BG53" s="277">
        <v>63.32</v>
      </c>
      <c r="BH53" s="277">
        <v>53.241</v>
      </c>
      <c r="BI53" s="277">
        <v>51.616999999999997</v>
      </c>
      <c r="BJ53" s="277">
        <v>63.173000000000002</v>
      </c>
      <c r="BK53" s="277">
        <v>66.861999999999995</v>
      </c>
      <c r="BL53" s="277">
        <v>56.027999999999999</v>
      </c>
      <c r="BM53" s="277">
        <v>43.061999999999998</v>
      </c>
      <c r="BN53" s="277">
        <v>3.621</v>
      </c>
      <c r="BO53" s="277">
        <v>11.545</v>
      </c>
      <c r="BP53" s="277">
        <v>15.183</v>
      </c>
      <c r="BQ53" s="277">
        <v>17.948</v>
      </c>
      <c r="BR53" s="277">
        <v>33.284999999999997</v>
      </c>
      <c r="BS53" s="277">
        <v>43.057000000000002</v>
      </c>
      <c r="BT53" s="277">
        <v>40.402000000000001</v>
      </c>
      <c r="BU53" s="277">
        <v>38.700000000000003</v>
      </c>
      <c r="BW53" s="297">
        <f t="shared" ref="BW53:BW55" si="273">RATE(14,,-SUM(E53:H53),SUM(BI53:BL53))</f>
        <v>5.0054720492382104E-2</v>
      </c>
      <c r="BX53" s="297">
        <f>BW31-BW53</f>
        <v>2.7686928307537051E-2</v>
      </c>
    </row>
    <row r="54" spans="3:76">
      <c r="C54" s="255" t="str">
        <f>C$13</f>
        <v xml:space="preserve">  UAL</v>
      </c>
      <c r="E54" s="277">
        <v>26.783999999999999</v>
      </c>
      <c r="F54" s="277">
        <v>29.300999999999998</v>
      </c>
      <c r="G54" s="277">
        <v>30.306000000000001</v>
      </c>
      <c r="H54" s="277">
        <v>27.881</v>
      </c>
      <c r="I54" s="277">
        <v>27.462</v>
      </c>
      <c r="J54" s="277">
        <v>30.742999999999999</v>
      </c>
      <c r="K54" s="277">
        <v>31.030999999999999</v>
      </c>
      <c r="L54" s="277">
        <v>28.234000000000002</v>
      </c>
      <c r="M54" s="277">
        <v>27.728999999999999</v>
      </c>
      <c r="N54" s="277">
        <v>30.832999999999998</v>
      </c>
      <c r="O54" s="277">
        <v>30.999969</v>
      </c>
      <c r="P54" s="277">
        <v>30.902999999999999</v>
      </c>
      <c r="Q54" s="277">
        <v>29.736000000000001</v>
      </c>
      <c r="R54" s="277">
        <v>32.581000000000003</v>
      </c>
      <c r="S54" s="277">
        <v>32.378999999999998</v>
      </c>
      <c r="T54" s="277">
        <v>27.52</v>
      </c>
      <c r="U54" s="277">
        <v>25.808</v>
      </c>
      <c r="V54" s="277">
        <v>29.501000000000001</v>
      </c>
      <c r="W54" s="277">
        <v>32.378999999999998</v>
      </c>
      <c r="X54" s="277">
        <v>27.510999999999999</v>
      </c>
      <c r="Y54" s="277">
        <v>26.48</v>
      </c>
      <c r="Z54" s="277">
        <v>30.651539</v>
      </c>
      <c r="AA54" s="277">
        <v>33.641780999999995</v>
      </c>
      <c r="AB54" s="277">
        <v>51.087000000000003</v>
      </c>
      <c r="AC54" s="277">
        <v>46.963999999999999</v>
      </c>
      <c r="AD54" s="277">
        <v>54.244999999999997</v>
      </c>
      <c r="AE54" s="277">
        <v>56.853000000000002</v>
      </c>
      <c r="AF54" s="277">
        <v>49.469000000000001</v>
      </c>
      <c r="AG54" s="277">
        <v>47.106999999999999</v>
      </c>
      <c r="AH54" s="277">
        <v>54.491</v>
      </c>
      <c r="AI54" s="277">
        <v>56.021000000000001</v>
      </c>
      <c r="AJ54" s="277">
        <v>47.866</v>
      </c>
      <c r="AK54" s="277">
        <v>46.543999999999997</v>
      </c>
      <c r="AL54" s="277">
        <v>53.581000000000003</v>
      </c>
      <c r="AM54" s="277">
        <v>55.863</v>
      </c>
      <c r="AN54" s="277">
        <v>49.179000000000002</v>
      </c>
      <c r="AO54" s="277">
        <v>46.383000000000003</v>
      </c>
      <c r="AP54" s="277">
        <v>53.9</v>
      </c>
      <c r="AQ54" s="277">
        <v>56.064999999999998</v>
      </c>
      <c r="AR54" s="277">
        <v>49.210999999999999</v>
      </c>
      <c r="AS54" s="277">
        <v>46.444000000000003</v>
      </c>
      <c r="AT54" s="277">
        <v>54.289000000000001</v>
      </c>
      <c r="AU54" s="277">
        <v>57.16</v>
      </c>
      <c r="AV54" s="277">
        <v>50.718000000000004</v>
      </c>
      <c r="AW54" s="277">
        <v>46.581000000000003</v>
      </c>
      <c r="AX54" s="277">
        <v>54.017000000000003</v>
      </c>
      <c r="AY54" s="277">
        <v>58.171999999999997</v>
      </c>
      <c r="AZ54" s="277">
        <v>51.537999999999997</v>
      </c>
      <c r="BA54" s="277">
        <v>47.610999999999997</v>
      </c>
      <c r="BB54" s="277">
        <v>56.356000000000002</v>
      </c>
      <c r="BC54" s="277">
        <v>59.145000000000003</v>
      </c>
      <c r="BD54" s="277">
        <v>53.149000000000001</v>
      </c>
      <c r="BE54" s="277">
        <v>49.848999999999997</v>
      </c>
      <c r="BF54" s="277">
        <v>59.945</v>
      </c>
      <c r="BG54" s="277">
        <v>63.393000000000001</v>
      </c>
      <c r="BH54" s="277">
        <v>56.968000000000004</v>
      </c>
      <c r="BI54" s="277">
        <v>53.097000000000001</v>
      </c>
      <c r="BJ54" s="277">
        <v>63.000999999999998</v>
      </c>
      <c r="BK54" s="277">
        <v>64.629000000000005</v>
      </c>
      <c r="BL54" s="277">
        <v>58.633000000000003</v>
      </c>
      <c r="BM54" s="277">
        <v>43.228999999999999</v>
      </c>
      <c r="BN54" s="277">
        <v>2.97</v>
      </c>
      <c r="BO54" s="277">
        <v>10.613</v>
      </c>
      <c r="BP54" s="277">
        <v>17.071000000000002</v>
      </c>
      <c r="BQ54" s="277">
        <v>17.248000000000001</v>
      </c>
      <c r="BR54" s="277">
        <v>28.513999999999999</v>
      </c>
      <c r="BS54" s="277">
        <v>41.030999999999999</v>
      </c>
      <c r="BT54" s="277">
        <v>42.186</v>
      </c>
      <c r="BU54" s="277">
        <v>38.643999999999998</v>
      </c>
      <c r="BW54" s="297">
        <f t="shared" si="273"/>
        <v>5.4232871012825749E-2</v>
      </c>
      <c r="BX54" s="297">
        <f>BW32-BW54</f>
        <v>1.3074248992372396E-2</v>
      </c>
    </row>
    <row r="55" spans="3:76">
      <c r="C55" s="255" t="str">
        <f>C$14</f>
        <v xml:space="preserve">  LUV</v>
      </c>
      <c r="E55" s="277">
        <v>13.238</v>
      </c>
      <c r="F55" s="277">
        <v>15.48</v>
      </c>
      <c r="G55" s="277">
        <v>16.36542</v>
      </c>
      <c r="H55" s="277">
        <v>15.138999999999999</v>
      </c>
      <c r="I55" s="277">
        <v>15.28</v>
      </c>
      <c r="J55" s="277">
        <v>17.844000000000001</v>
      </c>
      <c r="K55" s="277">
        <v>17.766999999999999</v>
      </c>
      <c r="L55" s="277">
        <v>16.8</v>
      </c>
      <c r="M55" s="277">
        <v>16.109000000000002</v>
      </c>
      <c r="N55" s="277">
        <v>19.018768999999999</v>
      </c>
      <c r="O55" s="277">
        <v>19.686</v>
      </c>
      <c r="P55" s="277">
        <v>17.504999999999999</v>
      </c>
      <c r="Q55" s="277">
        <v>17.591999999999999</v>
      </c>
      <c r="R55" s="277">
        <v>19.812000000000001</v>
      </c>
      <c r="S55" s="277">
        <v>18.823</v>
      </c>
      <c r="T55" s="277">
        <v>17.265000000000001</v>
      </c>
      <c r="U55" s="277">
        <v>16.891999999999999</v>
      </c>
      <c r="V55" s="277">
        <v>19.683</v>
      </c>
      <c r="W55" s="277">
        <v>19.707000000000001</v>
      </c>
      <c r="X55" s="277">
        <v>18.175000000000001</v>
      </c>
      <c r="Y55" s="277">
        <v>17.161999999999999</v>
      </c>
      <c r="Z55" s="277">
        <v>20.206</v>
      </c>
      <c r="AA55" s="277">
        <v>20.672999999999998</v>
      </c>
      <c r="AB55" s="277">
        <v>20.006</v>
      </c>
      <c r="AC55" s="277">
        <v>19.196000000000002</v>
      </c>
      <c r="AD55" s="277">
        <v>25.884</v>
      </c>
      <c r="AE55" s="277">
        <v>27.321999999999999</v>
      </c>
      <c r="AF55" s="277">
        <v>25.181000000000001</v>
      </c>
      <c r="AG55" s="277">
        <v>23.684868999999999</v>
      </c>
      <c r="AH55" s="277">
        <v>27.206498</v>
      </c>
      <c r="AI55" s="277">
        <v>27.163</v>
      </c>
      <c r="AJ55" s="277">
        <v>24.821000000000002</v>
      </c>
      <c r="AK55" s="277">
        <v>23.757000000000001</v>
      </c>
      <c r="AL55" s="277">
        <v>27.929506</v>
      </c>
      <c r="AM55" s="277">
        <v>27.01</v>
      </c>
      <c r="AN55" s="277">
        <v>25.652000000000001</v>
      </c>
      <c r="AO55" s="277">
        <v>24.155000000000001</v>
      </c>
      <c r="AP55" s="277">
        <v>28.59</v>
      </c>
      <c r="AQ55" s="277">
        <v>28.521999999999998</v>
      </c>
      <c r="AR55" s="277">
        <v>26.768000000000001</v>
      </c>
      <c r="AS55" s="277">
        <v>25.861000000000001</v>
      </c>
      <c r="AT55" s="277">
        <v>30.858000000000001</v>
      </c>
      <c r="AU55" s="277">
        <v>31.053000000000001</v>
      </c>
      <c r="AV55" s="277">
        <v>29.728000000000002</v>
      </c>
      <c r="AW55" s="277">
        <v>28.408000000000001</v>
      </c>
      <c r="AX55" s="277">
        <v>32.707999999999998</v>
      </c>
      <c r="AY55" s="277">
        <v>32.316000000000003</v>
      </c>
      <c r="AZ55" s="277">
        <v>31.366</v>
      </c>
      <c r="BA55" s="277">
        <v>29.341000000000001</v>
      </c>
      <c r="BB55" s="277">
        <v>34.383000000000003</v>
      </c>
      <c r="BC55" s="277">
        <v>33.128</v>
      </c>
      <c r="BD55" s="277">
        <v>32.19</v>
      </c>
      <c r="BE55" s="277">
        <v>30.439</v>
      </c>
      <c r="BF55" s="277">
        <v>35.143000000000001</v>
      </c>
      <c r="BG55" s="277">
        <v>34.024000000000001</v>
      </c>
      <c r="BH55" s="277">
        <v>33.716000000000001</v>
      </c>
      <c r="BI55" s="277">
        <v>30.704000000000001</v>
      </c>
      <c r="BJ55" s="277">
        <v>34.527999999999999</v>
      </c>
      <c r="BK55" s="277">
        <v>32.889000000000003</v>
      </c>
      <c r="BL55" s="277">
        <v>33.223999999999997</v>
      </c>
      <c r="BM55" s="277">
        <v>23.934999999999999</v>
      </c>
      <c r="BN55" s="277">
        <v>5.6139999999999999</v>
      </c>
      <c r="BO55" s="277">
        <v>11.888</v>
      </c>
      <c r="BP55" s="277">
        <v>12.784000000000001</v>
      </c>
      <c r="BQ55" s="277">
        <v>14.875</v>
      </c>
      <c r="BR55" s="277">
        <v>27.689</v>
      </c>
      <c r="BS55" s="277">
        <v>31.285</v>
      </c>
      <c r="BT55" s="277">
        <v>29.425000000000001</v>
      </c>
      <c r="BU55" s="277">
        <v>26.483000000000001</v>
      </c>
      <c r="BW55" s="297">
        <f t="shared" si="273"/>
        <v>5.7279148614743793E-2</v>
      </c>
      <c r="BX55" s="297">
        <f>BW33-BW55</f>
        <v>2.3243254062798958E-2</v>
      </c>
    </row>
    <row r="56" spans="3:76" s="255" customFormat="1">
      <c r="C56" s="1191" t="s">
        <v>1001</v>
      </c>
      <c r="E56" s="966">
        <f t="shared" ref="E56:P56" si="274">SUM(E52:E55)</f>
        <v>102.41</v>
      </c>
      <c r="F56" s="966">
        <f t="shared" si="274"/>
        <v>114.55700000000002</v>
      </c>
      <c r="G56" s="966">
        <f t="shared" si="274"/>
        <v>116.20941999999999</v>
      </c>
      <c r="H56" s="966">
        <f t="shared" si="274"/>
        <v>106.20899999999999</v>
      </c>
      <c r="I56" s="966">
        <f t="shared" si="274"/>
        <v>105.247</v>
      </c>
      <c r="J56" s="966">
        <f t="shared" si="274"/>
        <v>118.16300000000001</v>
      </c>
      <c r="K56" s="966">
        <f t="shared" si="274"/>
        <v>119.542</v>
      </c>
      <c r="L56" s="966">
        <f t="shared" si="274"/>
        <v>108.598</v>
      </c>
      <c r="M56" s="966">
        <f t="shared" si="274"/>
        <v>105.88800000000001</v>
      </c>
      <c r="N56" s="966">
        <f t="shared" si="274"/>
        <v>117.098769</v>
      </c>
      <c r="O56" s="966">
        <f t="shared" si="274"/>
        <v>123.62296900000001</v>
      </c>
      <c r="P56" s="966">
        <f t="shared" si="274"/>
        <v>113.94499999999999</v>
      </c>
      <c r="Q56" s="966">
        <f>SUM(Q52:Q55)</f>
        <v>110.163</v>
      </c>
      <c r="R56" s="966">
        <f t="shared" ref="R56" si="275">SUM(R52:R55)</f>
        <v>121.461</v>
      </c>
      <c r="S56" s="966">
        <f t="shared" ref="S56" si="276">SUM(S52:S55)</f>
        <v>121.977</v>
      </c>
      <c r="T56" s="966">
        <f t="shared" ref="T56" si="277">SUM(T52:T55)</f>
        <v>124.024</v>
      </c>
      <c r="U56" s="966">
        <f t="shared" ref="U56" si="278">SUM(U52:U55)</f>
        <v>116.114</v>
      </c>
      <c r="V56" s="966">
        <f t="shared" ref="V56" si="279">SUM(V52:V55)</f>
        <v>131.983</v>
      </c>
      <c r="W56" s="966">
        <f t="shared" ref="W56" si="280">SUM(W52:W55)</f>
        <v>139.96199999999999</v>
      </c>
      <c r="X56" s="966">
        <f t="shared" ref="X56" si="281">SUM(X52:X55)</f>
        <v>121.21199999999999</v>
      </c>
      <c r="Y56" s="966">
        <f t="shared" ref="Y56" si="282">SUM(Y52:Y55)</f>
        <v>116.572</v>
      </c>
      <c r="Z56" s="966">
        <f t="shared" ref="Z56" si="283">SUM(Z52:Z55)</f>
        <v>135.196539</v>
      </c>
      <c r="AA56" s="966">
        <f t="shared" ref="AA56" si="284">SUM(AA52:AA55)</f>
        <v>144.88778099999999</v>
      </c>
      <c r="AB56" s="966">
        <f t="shared" ref="AB56" si="285">SUM(AB52:AB55)</f>
        <v>150.71599999999998</v>
      </c>
      <c r="AC56" s="966">
        <f t="shared" ref="AC56" si="286">SUM(AC52:AC55)</f>
        <v>140.39000000000001</v>
      </c>
      <c r="AD56" s="966">
        <f t="shared" ref="AD56" si="287">SUM(AD52:AD55)</f>
        <v>165.86799999999999</v>
      </c>
      <c r="AE56" s="966">
        <f t="shared" ref="AE56" si="288">SUM(AE52:AE55)</f>
        <v>175.20400000000001</v>
      </c>
      <c r="AF56" s="966">
        <f t="shared" ref="AF56" si="289">SUM(AF52:AF55)</f>
        <v>152.80600000000001</v>
      </c>
      <c r="AG56" s="966">
        <f t="shared" ref="AG56" si="290">SUM(AG52:AG55)</f>
        <v>146.472869</v>
      </c>
      <c r="AH56" s="966">
        <f t="shared" ref="AH56" si="291">SUM(AH52:AH55)</f>
        <v>167.48649800000001</v>
      </c>
      <c r="AI56" s="966">
        <f t="shared" ref="AI56" si="292">SUM(AI52:AI55)</f>
        <v>172.96300000000002</v>
      </c>
      <c r="AJ56" s="966">
        <f t="shared" ref="AJ56" si="293">SUM(AJ52:AJ55)</f>
        <v>151.03100000000001</v>
      </c>
      <c r="AK56" s="966">
        <f t="shared" ref="AK56" si="294">SUM(AK52:AK55)</f>
        <v>163.4</v>
      </c>
      <c r="AL56" s="966">
        <f t="shared" ref="AL56" si="295">SUM(AL52:AL55)</f>
        <v>188.10650600000002</v>
      </c>
      <c r="AM56" s="966">
        <f t="shared" ref="AM56" si="296">SUM(AM52:AM55)</f>
        <v>195.261</v>
      </c>
      <c r="AN56" s="966">
        <f t="shared" ref="AN56" si="297">SUM(AN52:AN55)</f>
        <v>173.27699999999999</v>
      </c>
      <c r="AO56" s="966">
        <f t="shared" ref="AO56" si="298">SUM(AO52:AO55)</f>
        <v>166.02500000000001</v>
      </c>
      <c r="AP56" s="966">
        <f t="shared" ref="AP56" si="299">SUM(AP52:AP55)</f>
        <v>193.02500000000001</v>
      </c>
      <c r="AQ56" s="966">
        <f t="shared" ref="AQ56" si="300">SUM(AQ52:AQ55)</f>
        <v>199.19199999999998</v>
      </c>
      <c r="AR56" s="966">
        <f t="shared" ref="AR56" si="301">SUM(AR52:AR55)</f>
        <v>176.14700000000002</v>
      </c>
      <c r="AS56" s="966">
        <f t="shared" ref="AS56" si="302">SUM(AS52:AS55)</f>
        <v>168.71600000000001</v>
      </c>
      <c r="AT56" s="966">
        <f t="shared" ref="AT56" si="303">SUM(AT52:AT55)</f>
        <v>197.72300000000001</v>
      </c>
      <c r="AU56" s="966">
        <f t="shared" ref="AU56" si="304">SUM(AU52:AU55)</f>
        <v>208.155</v>
      </c>
      <c r="AV56" s="966">
        <f t="shared" ref="AV56" si="305">SUM(AV52:AV55)</f>
        <v>184.15200000000002</v>
      </c>
      <c r="AW56" s="966">
        <f t="shared" ref="AW56" si="306">SUM(AW52:AW55)</f>
        <v>174.48500000000001</v>
      </c>
      <c r="AX56" s="966">
        <f t="shared" ref="AX56" si="307">SUM(AX52:AX55)</f>
        <v>201.476</v>
      </c>
      <c r="AY56" s="966">
        <f t="shared" ref="AY56" si="308">SUM(AY52:AY55)</f>
        <v>209.38</v>
      </c>
      <c r="AZ56" s="966">
        <f t="shared" ref="AZ56" si="309">SUM(AZ52:AZ55)</f>
        <v>186.34100000000001</v>
      </c>
      <c r="BA56" s="966">
        <f t="shared" ref="BA56" si="310">SUM(BA52:BA55)</f>
        <v>175.88800000000001</v>
      </c>
      <c r="BB56" s="966">
        <f t="shared" ref="BB56" si="311">SUM(BB52:BB55)</f>
        <v>207.87800000000001</v>
      </c>
      <c r="BC56" s="966">
        <f t="shared" ref="BC56" si="312">SUM(BC52:BC55)</f>
        <v>213.75</v>
      </c>
      <c r="BD56" s="966">
        <f t="shared" ref="BD56" si="313">SUM(BD52:BD55)</f>
        <v>191.846</v>
      </c>
      <c r="BE56" s="966">
        <f t="shared" ref="BE56" si="314">SUM(BE52:BE55)</f>
        <v>182.50899999999999</v>
      </c>
      <c r="BF56" s="966">
        <f t="shared" ref="BF56" si="315">SUM(BF52:BF55)</f>
        <v>215.273</v>
      </c>
      <c r="BG56" s="966">
        <f t="shared" ref="BG56" si="316">SUM(BG52:BG55)</f>
        <v>222.602</v>
      </c>
      <c r="BH56" s="966">
        <f t="shared" ref="BH56" si="317">SUM(BH52:BH55)</f>
        <v>199.495</v>
      </c>
      <c r="BI56" s="966">
        <f t="shared" ref="BI56" si="318">SUM(BI52:BI55)</f>
        <v>190.22</v>
      </c>
      <c r="BJ56" s="966">
        <f t="shared" ref="BJ56" si="319">SUM(BJ52:BJ55)</f>
        <v>223.35999999999999</v>
      </c>
      <c r="BK56" s="966">
        <f t="shared" ref="BK56" si="320">SUM(BK52:BK55)</f>
        <v>229.25400000000002</v>
      </c>
      <c r="BL56" s="966">
        <f t="shared" ref="BL56" si="321">SUM(BL52:BL55)</f>
        <v>206.80199999999999</v>
      </c>
      <c r="BM56" s="966">
        <f t="shared" ref="BM56" si="322">SUM(BM52:BM55)</f>
        <v>155.39699999999999</v>
      </c>
      <c r="BN56" s="966">
        <f t="shared" ref="BN56" si="323">SUM(BN52:BN55)</f>
        <v>19.436</v>
      </c>
      <c r="BO56" s="966">
        <f t="shared" ref="BO56" si="324">SUM(BO52:BO55)</f>
        <v>52.166999999999994</v>
      </c>
      <c r="BP56" s="966">
        <f t="shared" ref="BP56" si="325">SUM(BP52:BP55)</f>
        <v>66.341000000000008</v>
      </c>
      <c r="BQ56" s="966">
        <f t="shared" ref="BQ56" si="326">SUM(BQ52:BQ55)</f>
        <v>72.534999999999997</v>
      </c>
      <c r="BR56" s="966">
        <f t="shared" ref="BR56" si="327">SUM(BR52:BR55)</f>
        <v>131.51</v>
      </c>
      <c r="BS56" s="966">
        <f t="shared" ref="BS56" si="328">SUM(BS52:BS55)</f>
        <v>163.44200000000001</v>
      </c>
      <c r="BT56" s="966">
        <f t="shared" ref="BT56" si="329">SUM(BT52:BT55)</f>
        <v>160.995</v>
      </c>
      <c r="BU56" s="966">
        <f t="shared" ref="BU56" si="330">SUM(BU52:BU55)</f>
        <v>148.11700000000002</v>
      </c>
      <c r="BW56" s="297"/>
      <c r="BX56" s="441"/>
    </row>
    <row r="57" spans="3:76">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row>
    <row r="58" spans="3:76" s="278" customFormat="1">
      <c r="C58" s="478" t="s">
        <v>1542</v>
      </c>
      <c r="O58" s="699"/>
      <c r="BW58" s="1193" t="s">
        <v>465</v>
      </c>
    </row>
    <row r="59" spans="3:76" s="278" customFormat="1">
      <c r="C59" s="441" t="str">
        <f>C$11</f>
        <v xml:space="preserve">  AAL</v>
      </c>
      <c r="E59" s="297">
        <f t="shared" ref="E59:AJ59" si="331">E52/E39</f>
        <v>0.74747651299978157</v>
      </c>
      <c r="F59" s="297">
        <f t="shared" si="331"/>
        <v>0.79022994463911755</v>
      </c>
      <c r="G59" s="297">
        <f t="shared" si="331"/>
        <v>0.81172034288470385</v>
      </c>
      <c r="H59" s="297">
        <f t="shared" si="331"/>
        <v>0.77547506973500702</v>
      </c>
      <c r="I59" s="297">
        <f t="shared" si="331"/>
        <v>0.767067312917038</v>
      </c>
      <c r="J59" s="297">
        <f t="shared" si="331"/>
        <v>0.82277874927137984</v>
      </c>
      <c r="K59" s="297">
        <f t="shared" si="331"/>
        <v>0.81154831587060228</v>
      </c>
      <c r="L59" s="297">
        <f t="shared" si="331"/>
        <v>0.78313014827018124</v>
      </c>
      <c r="M59" s="297">
        <f t="shared" si="331"/>
        <v>0.77475814522406317</v>
      </c>
      <c r="N59" s="297">
        <f t="shared" si="331"/>
        <v>0.83637770534855904</v>
      </c>
      <c r="O59" s="297">
        <f t="shared" si="331"/>
        <v>0.832766039432278</v>
      </c>
      <c r="P59" s="297">
        <f t="shared" si="331"/>
        <v>0.79576893565713025</v>
      </c>
      <c r="Q59" s="297">
        <f t="shared" si="331"/>
        <v>0.78422935821368722</v>
      </c>
      <c r="R59" s="297">
        <f t="shared" si="331"/>
        <v>0.81790096017069702</v>
      </c>
      <c r="S59" s="297">
        <f t="shared" si="331"/>
        <v>0.81254694057874965</v>
      </c>
      <c r="T59" s="297">
        <f t="shared" si="331"/>
        <v>0.77648327939590067</v>
      </c>
      <c r="U59" s="297">
        <f t="shared" si="331"/>
        <v>0.75008004728947564</v>
      </c>
      <c r="V59" s="297">
        <f t="shared" si="331"/>
        <v>0.81341143008653316</v>
      </c>
      <c r="W59" s="297">
        <f t="shared" si="331"/>
        <v>0.83166622478247254</v>
      </c>
      <c r="X59" s="297">
        <f t="shared" si="331"/>
        <v>0.8039383346326987</v>
      </c>
      <c r="Y59" s="297">
        <f t="shared" si="331"/>
        <v>0.77142280219086801</v>
      </c>
      <c r="Z59" s="297">
        <f t="shared" si="331"/>
        <v>0.8318641775545198</v>
      </c>
      <c r="AA59" s="297">
        <f t="shared" si="331"/>
        <v>0.83216653530529938</v>
      </c>
      <c r="AB59" s="297">
        <f t="shared" si="331"/>
        <v>0.80933682373472948</v>
      </c>
      <c r="AC59" s="297">
        <f t="shared" si="331"/>
        <v>0.76334593342275325</v>
      </c>
      <c r="AD59" s="297">
        <f t="shared" si="331"/>
        <v>0.82957317073170722</v>
      </c>
      <c r="AE59" s="297">
        <f t="shared" si="331"/>
        <v>0.84111159717265671</v>
      </c>
      <c r="AF59" s="297">
        <f t="shared" si="331"/>
        <v>0.81423768741871361</v>
      </c>
      <c r="AG59" s="297">
        <f t="shared" si="331"/>
        <v>0.78373857603452035</v>
      </c>
      <c r="AH59" s="297">
        <f t="shared" si="331"/>
        <v>0.8450498370711137</v>
      </c>
      <c r="AI59" s="297">
        <f t="shared" si="331"/>
        <v>0.84744124649364727</v>
      </c>
      <c r="AJ59" s="297">
        <f t="shared" si="331"/>
        <v>0.81025653590767654</v>
      </c>
      <c r="AK59" s="297">
        <f t="shared" ref="AK59:BU59" si="332">AK52/AK39</f>
        <v>0.80511516361119606</v>
      </c>
      <c r="AL59" s="297">
        <f t="shared" si="332"/>
        <v>0.84523358824865602</v>
      </c>
      <c r="AM59" s="297">
        <f t="shared" si="332"/>
        <v>0.84741787500184373</v>
      </c>
      <c r="AN59" s="297">
        <f t="shared" si="332"/>
        <v>0.81704895476648376</v>
      </c>
      <c r="AO59" s="297">
        <f t="shared" si="332"/>
        <v>0.8027195860676426</v>
      </c>
      <c r="AP59" s="297">
        <f t="shared" si="332"/>
        <v>0.83997650168894111</v>
      </c>
      <c r="AQ59" s="297">
        <f t="shared" si="332"/>
        <v>0.83405671296296291</v>
      </c>
      <c r="AR59" s="297">
        <f t="shared" si="332"/>
        <v>0.80150031512766517</v>
      </c>
      <c r="AS59" s="297">
        <f t="shared" si="332"/>
        <v>0.79931837365227498</v>
      </c>
      <c r="AT59" s="297">
        <f t="shared" si="332"/>
        <v>0.83314361464532216</v>
      </c>
      <c r="AU59" s="297">
        <f t="shared" si="332"/>
        <v>0.85615821752095878</v>
      </c>
      <c r="AV59" s="297">
        <f t="shared" si="332"/>
        <v>0.8270514720486456</v>
      </c>
      <c r="AW59" s="297">
        <f t="shared" si="332"/>
        <v>0.79569347104389532</v>
      </c>
      <c r="AX59" s="297">
        <f t="shared" si="332"/>
        <v>0.82452544840355602</v>
      </c>
      <c r="AY59" s="297">
        <f t="shared" si="332"/>
        <v>0.83323830846462987</v>
      </c>
      <c r="AZ59" s="297">
        <f t="shared" si="332"/>
        <v>0.81156339674779465</v>
      </c>
      <c r="BA59" s="297">
        <f t="shared" si="332"/>
        <v>0.79240297788346481</v>
      </c>
      <c r="BB59" s="297">
        <f t="shared" si="332"/>
        <v>0.83024127789470759</v>
      </c>
      <c r="BC59" s="297">
        <f t="shared" si="332"/>
        <v>0.82776888012812611</v>
      </c>
      <c r="BD59" s="297">
        <f t="shared" si="332"/>
        <v>0.82142379927251119</v>
      </c>
      <c r="BE59" s="297">
        <f t="shared" si="332"/>
        <v>0.80435410115005401</v>
      </c>
      <c r="BF59" s="297">
        <f t="shared" si="332"/>
        <v>0.83381120272179776</v>
      </c>
      <c r="BG59" s="297">
        <f t="shared" si="332"/>
        <v>0.82443795892802407</v>
      </c>
      <c r="BH59" s="297">
        <f t="shared" si="332"/>
        <v>0.81364022372543854</v>
      </c>
      <c r="BI59" s="297">
        <f t="shared" si="332"/>
        <v>0.82193958664546896</v>
      </c>
      <c r="BJ59" s="297">
        <f t="shared" si="332"/>
        <v>0.86637537678714638</v>
      </c>
      <c r="BK59" s="297">
        <f t="shared" si="332"/>
        <v>0.85563175943022951</v>
      </c>
      <c r="BL59" s="297">
        <f t="shared" si="332"/>
        <v>0.83841359289617479</v>
      </c>
      <c r="BM59" s="297">
        <f t="shared" si="332"/>
        <v>0.72740301776196081</v>
      </c>
      <c r="BN59" s="297">
        <f t="shared" si="332"/>
        <v>0.42333587026520697</v>
      </c>
      <c r="BO59" s="297">
        <f t="shared" si="332"/>
        <v>0.58895605824232966</v>
      </c>
      <c r="BP59" s="297">
        <f t="shared" si="332"/>
        <v>0.64128962340829043</v>
      </c>
      <c r="BQ59" s="297">
        <f t="shared" si="332"/>
        <v>0.59485224022878924</v>
      </c>
      <c r="BR59" s="297">
        <f t="shared" si="332"/>
        <v>0.7702685363394739</v>
      </c>
      <c r="BS59" s="297">
        <f t="shared" si="332"/>
        <v>0.78658506651830284</v>
      </c>
      <c r="BT59" s="297">
        <f t="shared" si="332"/>
        <v>0.8016169154228856</v>
      </c>
      <c r="BU59" s="297">
        <f t="shared" si="332"/>
        <v>0.74395713301866184</v>
      </c>
      <c r="BW59" s="297">
        <f>AVERAGE(E59:BL59)</f>
        <v>0.81371834096506435</v>
      </c>
    </row>
    <row r="60" spans="3:76" s="278" customFormat="1">
      <c r="C60" s="441" t="str">
        <f>C$12</f>
        <v xml:space="preserve">  DAL</v>
      </c>
      <c r="E60" s="297">
        <f t="shared" ref="E60:AJ60" si="333">E53/E40</f>
        <v>0.74388151120732893</v>
      </c>
      <c r="F60" s="297">
        <f t="shared" si="333"/>
        <v>0.78231006794317481</v>
      </c>
      <c r="G60" s="297">
        <f t="shared" si="333"/>
        <v>0.78524332810047093</v>
      </c>
      <c r="H60" s="297">
        <f t="shared" si="333"/>
        <v>0.74532886920833774</v>
      </c>
      <c r="I60" s="297">
        <f t="shared" si="333"/>
        <v>0.7713654015136483</v>
      </c>
      <c r="J60" s="297">
        <f t="shared" si="333"/>
        <v>0.79678137759160073</v>
      </c>
      <c r="K60" s="297">
        <f t="shared" si="333"/>
        <v>0.80175566934893927</v>
      </c>
      <c r="L60" s="297">
        <f t="shared" si="333"/>
        <v>0.77464476021314388</v>
      </c>
      <c r="M60" s="297">
        <f t="shared" si="333"/>
        <v>0.7713654015136483</v>
      </c>
      <c r="N60" s="297">
        <f t="shared" si="333"/>
        <v>0.82823196160201429</v>
      </c>
      <c r="O60" s="297">
        <f t="shared" si="333"/>
        <v>0.83130205407517777</v>
      </c>
      <c r="P60" s="297">
        <f t="shared" si="333"/>
        <v>0.78145128958973664</v>
      </c>
      <c r="Q60" s="297">
        <f t="shared" si="333"/>
        <v>0.78147511913997558</v>
      </c>
      <c r="R60" s="297">
        <f t="shared" si="333"/>
        <v>0.83304935976869066</v>
      </c>
      <c r="S60" s="297">
        <f t="shared" si="333"/>
        <v>0.8419657675063783</v>
      </c>
      <c r="T60" s="297">
        <f t="shared" si="333"/>
        <v>0.80636166477331406</v>
      </c>
      <c r="U60" s="297">
        <f t="shared" si="333"/>
        <v>0.77072120559741653</v>
      </c>
      <c r="V60" s="297">
        <f t="shared" si="333"/>
        <v>0.8319849386862056</v>
      </c>
      <c r="W60" s="297">
        <f t="shared" si="333"/>
        <v>0.85758588552881065</v>
      </c>
      <c r="X60" s="297">
        <f t="shared" si="333"/>
        <v>0.81687420298552249</v>
      </c>
      <c r="Y60" s="297">
        <f t="shared" si="333"/>
        <v>0.79486313577606416</v>
      </c>
      <c r="Z60" s="297">
        <f t="shared" si="333"/>
        <v>0.85001192544890791</v>
      </c>
      <c r="AA60" s="297">
        <f t="shared" si="333"/>
        <v>0.85888655000157088</v>
      </c>
      <c r="AB60" s="297">
        <f t="shared" si="333"/>
        <v>0.81072123730864321</v>
      </c>
      <c r="AC60" s="297">
        <f t="shared" si="333"/>
        <v>0.76360305234885006</v>
      </c>
      <c r="AD60" s="297">
        <f t="shared" si="333"/>
        <v>0.83746528990206348</v>
      </c>
      <c r="AE60" s="297">
        <f t="shared" si="333"/>
        <v>0.86144921121684426</v>
      </c>
      <c r="AF60" s="297">
        <f t="shared" si="333"/>
        <v>0.81722208089544646</v>
      </c>
      <c r="AG60" s="297">
        <f t="shared" si="333"/>
        <v>0.79677620938097338</v>
      </c>
      <c r="AH60" s="297">
        <f t="shared" si="333"/>
        <v>0.85076285743154501</v>
      </c>
      <c r="AI60" s="297">
        <f t="shared" si="333"/>
        <v>0.86424867138705586</v>
      </c>
      <c r="AJ60" s="297">
        <f t="shared" si="333"/>
        <v>0.83314931360641864</v>
      </c>
      <c r="AK60" s="297">
        <f t="shared" ref="AK60:BU60" si="334">AK53/AK40</f>
        <v>0.81245520727245302</v>
      </c>
      <c r="AL60" s="297">
        <f t="shared" si="334"/>
        <v>0.84804609218436866</v>
      </c>
      <c r="AM60" s="297">
        <f t="shared" si="334"/>
        <v>0.85985945252218554</v>
      </c>
      <c r="AN60" s="297">
        <f t="shared" si="334"/>
        <v>0.82563231745464294</v>
      </c>
      <c r="AO60" s="297">
        <f t="shared" si="334"/>
        <v>0.82741540516473722</v>
      </c>
      <c r="AP60" s="297">
        <f t="shared" si="334"/>
        <v>0.86288561398967922</v>
      </c>
      <c r="AQ60" s="297">
        <f t="shared" si="334"/>
        <v>0.86392318660316103</v>
      </c>
      <c r="AR60" s="297">
        <f t="shared" si="334"/>
        <v>0.82765513794826717</v>
      </c>
      <c r="AS60" s="297">
        <f t="shared" si="334"/>
        <v>0.81666872802445356</v>
      </c>
      <c r="AT60" s="297">
        <f t="shared" si="334"/>
        <v>0.85638988379185765</v>
      </c>
      <c r="AU60" s="297">
        <f t="shared" si="334"/>
        <v>0.8683688318560655</v>
      </c>
      <c r="AV60" s="297">
        <f t="shared" si="334"/>
        <v>0.85178439492087499</v>
      </c>
      <c r="AW60" s="297">
        <f t="shared" si="334"/>
        <v>0.82079284547252551</v>
      </c>
      <c r="AX60" s="297">
        <f t="shared" si="334"/>
        <v>0.85504478697767472</v>
      </c>
      <c r="AY60" s="297">
        <f t="shared" si="334"/>
        <v>0.85433447296749132</v>
      </c>
      <c r="AZ60" s="297">
        <f t="shared" si="334"/>
        <v>0.85131567742484882</v>
      </c>
      <c r="BA60" s="297">
        <f t="shared" si="334"/>
        <v>0.82860154481519233</v>
      </c>
      <c r="BB60" s="297">
        <f t="shared" si="334"/>
        <v>0.86935841877179998</v>
      </c>
      <c r="BC60" s="297">
        <f t="shared" si="334"/>
        <v>0.86944005016603243</v>
      </c>
      <c r="BD60" s="297">
        <f t="shared" si="334"/>
        <v>0.85214785214785216</v>
      </c>
      <c r="BE60" s="297">
        <f t="shared" si="334"/>
        <v>0.82882276756429452</v>
      </c>
      <c r="BF60" s="297">
        <f t="shared" si="334"/>
        <v>0.8670636658201244</v>
      </c>
      <c r="BG60" s="297">
        <f t="shared" si="334"/>
        <v>0.86888507718696395</v>
      </c>
      <c r="BH60" s="297">
        <f t="shared" si="334"/>
        <v>0.85154263231130933</v>
      </c>
      <c r="BI60" s="297">
        <f t="shared" si="334"/>
        <v>0.82698346577800563</v>
      </c>
      <c r="BJ60" s="297">
        <f t="shared" si="334"/>
        <v>0.88041084817571147</v>
      </c>
      <c r="BK60" s="297">
        <f t="shared" si="334"/>
        <v>0.88275989543450117</v>
      </c>
      <c r="BL60" s="297">
        <f t="shared" si="334"/>
        <v>0.8558074173642084</v>
      </c>
      <c r="BM60" s="297">
        <f t="shared" si="334"/>
        <v>0.73128980215674622</v>
      </c>
      <c r="BN60" s="297">
        <f t="shared" si="334"/>
        <v>0.3417327293318233</v>
      </c>
      <c r="BO60" s="297">
        <f t="shared" si="334"/>
        <v>0.40809473312124428</v>
      </c>
      <c r="BP60" s="297">
        <f t="shared" si="334"/>
        <v>0.41518772731001663</v>
      </c>
      <c r="BQ60" s="297">
        <f t="shared" si="334"/>
        <v>0.44738022832643698</v>
      </c>
      <c r="BR60" s="297">
        <f t="shared" si="334"/>
        <v>0.6858785468482762</v>
      </c>
      <c r="BS60" s="297">
        <f t="shared" si="334"/>
        <v>0.7961281733631641</v>
      </c>
      <c r="BT60" s="297">
        <f t="shared" si="334"/>
        <v>0.78080550401978976</v>
      </c>
      <c r="BU60" s="297">
        <f t="shared" si="334"/>
        <v>0.74696004632310364</v>
      </c>
      <c r="BW60" s="297">
        <f t="shared" ref="BW60:BW63" si="335">AVERAGE(E60:BL60)</f>
        <v>0.82795391734515367</v>
      </c>
    </row>
    <row r="61" spans="3:76" s="278" customFormat="1">
      <c r="C61" s="441" t="str">
        <f>C$13</f>
        <v xml:space="preserve">  UAL</v>
      </c>
      <c r="E61" s="297">
        <f t="shared" ref="E61:AJ61" si="336">E54/E41</f>
        <v>0.78180915963688369</v>
      </c>
      <c r="F61" s="297">
        <f t="shared" si="336"/>
        <v>0.83402595923943978</v>
      </c>
      <c r="G61" s="297">
        <f t="shared" si="336"/>
        <v>0.83910623805963958</v>
      </c>
      <c r="H61" s="297">
        <f t="shared" si="336"/>
        <v>0.80136238215681765</v>
      </c>
      <c r="I61" s="297">
        <f t="shared" si="336"/>
        <v>0.79627696590118302</v>
      </c>
      <c r="J61" s="297">
        <f t="shared" si="336"/>
        <v>0.84946533668591628</v>
      </c>
      <c r="K61" s="297">
        <f t="shared" si="336"/>
        <v>0.83639255006603597</v>
      </c>
      <c r="L61" s="297">
        <f t="shared" si="336"/>
        <v>0.79949030157157031</v>
      </c>
      <c r="M61" s="297">
        <f t="shared" si="336"/>
        <v>0.80292456927754463</v>
      </c>
      <c r="N61" s="297">
        <f t="shared" si="336"/>
        <v>0.85945644599303128</v>
      </c>
      <c r="O61" s="297">
        <f t="shared" si="336"/>
        <v>0.84656145644981751</v>
      </c>
      <c r="P61" s="297">
        <f t="shared" si="336"/>
        <v>0.79344253876964155</v>
      </c>
      <c r="Q61" s="297">
        <f t="shared" si="336"/>
        <v>0.77419354838709686</v>
      </c>
      <c r="R61" s="297">
        <f t="shared" si="336"/>
        <v>0.82441801619433197</v>
      </c>
      <c r="S61" s="297">
        <f t="shared" si="336"/>
        <v>0.82431262729124233</v>
      </c>
      <c r="T61" s="297">
        <f t="shared" si="336"/>
        <v>0.7904411764705882</v>
      </c>
      <c r="U61" s="297">
        <f t="shared" si="336"/>
        <v>0.75743257124409358</v>
      </c>
      <c r="V61" s="297">
        <f t="shared" si="336"/>
        <v>0.81995052669612833</v>
      </c>
      <c r="W61" s="297">
        <f t="shared" si="336"/>
        <v>0.82431262729124233</v>
      </c>
      <c r="X61" s="297">
        <f t="shared" si="336"/>
        <v>0.81804936068986012</v>
      </c>
      <c r="Y61" s="297">
        <f t="shared" si="336"/>
        <v>0.80369066407672696</v>
      </c>
      <c r="Z61" s="297">
        <f t="shared" si="336"/>
        <v>0.84265934444834567</v>
      </c>
      <c r="AA61" s="297">
        <f t="shared" si="336"/>
        <v>0.83475713426471787</v>
      </c>
      <c r="AB61" s="297">
        <f t="shared" si="336"/>
        <v>0.82049017088526277</v>
      </c>
      <c r="AC61" s="297">
        <f t="shared" si="336"/>
        <v>0.78049591171973676</v>
      </c>
      <c r="AD61" s="297">
        <f t="shared" si="336"/>
        <v>0.83446143432913877</v>
      </c>
      <c r="AE61" s="297">
        <f t="shared" si="336"/>
        <v>0.8532002701283109</v>
      </c>
      <c r="AF61" s="297">
        <f t="shared" si="336"/>
        <v>0.81478736370524096</v>
      </c>
      <c r="AG61" s="297">
        <f t="shared" si="336"/>
        <v>0.78064099164788547</v>
      </c>
      <c r="AH61" s="297">
        <f t="shared" si="336"/>
        <v>0.84330506376129755</v>
      </c>
      <c r="AI61" s="297">
        <f t="shared" si="336"/>
        <v>0.85223780691879403</v>
      </c>
      <c r="AJ61" s="297">
        <f t="shared" si="336"/>
        <v>0.82292060653990307</v>
      </c>
      <c r="AK61" s="297">
        <f t="shared" ref="AK61:BU61" si="337">AK54/AK41</f>
        <v>0.81126682005159301</v>
      </c>
      <c r="AL61" s="297">
        <f t="shared" si="337"/>
        <v>0.84711704162780044</v>
      </c>
      <c r="AM61" s="297">
        <f t="shared" si="337"/>
        <v>0.85890221402214018</v>
      </c>
      <c r="AN61" s="297">
        <f t="shared" si="337"/>
        <v>0.82389304920339745</v>
      </c>
      <c r="AO61" s="297">
        <f t="shared" si="337"/>
        <v>0.81066484899328861</v>
      </c>
      <c r="AP61" s="297">
        <f t="shared" si="337"/>
        <v>0.85265922105862624</v>
      </c>
      <c r="AQ61" s="297">
        <f t="shared" si="337"/>
        <v>0.85755146991342646</v>
      </c>
      <c r="AR61" s="297">
        <f t="shared" si="337"/>
        <v>0.81728198229618187</v>
      </c>
      <c r="AS61" s="297">
        <f t="shared" si="337"/>
        <v>0.81097976217499879</v>
      </c>
      <c r="AT61" s="297">
        <f t="shared" si="337"/>
        <v>0.83928267759140451</v>
      </c>
      <c r="AU61" s="297">
        <f t="shared" si="337"/>
        <v>0.85639373735860358</v>
      </c>
      <c r="AV61" s="297">
        <f t="shared" si="337"/>
        <v>0.82731958762886604</v>
      </c>
      <c r="AW61" s="297">
        <f t="shared" si="337"/>
        <v>0.79935819333138847</v>
      </c>
      <c r="AX61" s="297">
        <f t="shared" si="337"/>
        <v>0.83456160679799163</v>
      </c>
      <c r="AY61" s="297">
        <f t="shared" si="337"/>
        <v>0.85454064694303256</v>
      </c>
      <c r="AZ61" s="297">
        <f t="shared" si="337"/>
        <v>0.82437058127259344</v>
      </c>
      <c r="BA61" s="297">
        <f t="shared" si="337"/>
        <v>0.79606407169609417</v>
      </c>
      <c r="BB61" s="297">
        <f t="shared" si="337"/>
        <v>0.83531207849763589</v>
      </c>
      <c r="BC61" s="297">
        <f t="shared" si="337"/>
        <v>0.84392791404477552</v>
      </c>
      <c r="BD61" s="297">
        <f t="shared" si="337"/>
        <v>0.81732484468229061</v>
      </c>
      <c r="BE61" s="297">
        <f t="shared" si="337"/>
        <v>0.80431450376752667</v>
      </c>
      <c r="BF61" s="297">
        <f t="shared" si="337"/>
        <v>0.8478543746994428</v>
      </c>
      <c r="BG61" s="297">
        <f t="shared" si="337"/>
        <v>0.86037105902471467</v>
      </c>
      <c r="BH61" s="297">
        <f t="shared" si="337"/>
        <v>0.82679748047952173</v>
      </c>
      <c r="BI61" s="297">
        <f t="shared" si="337"/>
        <v>0.80885063599664875</v>
      </c>
      <c r="BJ61" s="297">
        <f t="shared" si="337"/>
        <v>0.86019934462042602</v>
      </c>
      <c r="BK61" s="297">
        <f t="shared" si="337"/>
        <v>0.8608476743566521</v>
      </c>
      <c r="BL61" s="297">
        <f t="shared" si="337"/>
        <v>0.82537515132745864</v>
      </c>
      <c r="BM61" s="297">
        <f t="shared" si="337"/>
        <v>0.70939315369720035</v>
      </c>
      <c r="BN61" s="297">
        <f t="shared" si="337"/>
        <v>0.33136226709806987</v>
      </c>
      <c r="BO61" s="297">
        <f t="shared" si="337"/>
        <v>0.47780479020349359</v>
      </c>
      <c r="BP61" s="297">
        <f t="shared" si="337"/>
        <v>0.55622169365612073</v>
      </c>
      <c r="BQ61" s="297">
        <f t="shared" si="337"/>
        <v>0.56792887718142904</v>
      </c>
      <c r="BR61" s="297">
        <f t="shared" si="337"/>
        <v>0.7198142024083003</v>
      </c>
      <c r="BS61" s="297">
        <f t="shared" si="337"/>
        <v>0.76144081950784981</v>
      </c>
      <c r="BT61" s="297">
        <f t="shared" si="337"/>
        <v>0.76960685943628571</v>
      </c>
      <c r="BU61" s="297">
        <f t="shared" si="337"/>
        <v>0.72551817362571336</v>
      </c>
      <c r="BW61" s="297">
        <f t="shared" si="335"/>
        <v>0.82450756156593319</v>
      </c>
    </row>
    <row r="62" spans="3:76" s="278" customFormat="1">
      <c r="C62" s="441" t="str">
        <f>C$14</f>
        <v xml:space="preserve">  LUV</v>
      </c>
      <c r="E62" s="297">
        <f t="shared" ref="E62:AJ63" si="338">E55/E42</f>
        <v>0.65431000395413208</v>
      </c>
      <c r="F62" s="297">
        <f t="shared" si="338"/>
        <v>0.72543230704344164</v>
      </c>
      <c r="G62" s="297">
        <f t="shared" si="338"/>
        <v>0.74886681032887115</v>
      </c>
      <c r="H62" s="297">
        <f t="shared" si="338"/>
        <v>0.69607798059680903</v>
      </c>
      <c r="I62" s="297">
        <f t="shared" si="338"/>
        <v>0.69206032881923996</v>
      </c>
      <c r="J62" s="297">
        <f t="shared" si="338"/>
        <v>0.77975878342947036</v>
      </c>
      <c r="K62" s="297">
        <f t="shared" si="338"/>
        <v>0.74698339289468152</v>
      </c>
      <c r="L62" s="297">
        <f t="shared" si="338"/>
        <v>0.70248797825632459</v>
      </c>
      <c r="M62" s="297">
        <f t="shared" si="338"/>
        <v>0.68033617704197991</v>
      </c>
      <c r="N62" s="297">
        <f t="shared" si="338"/>
        <v>0.76127829540758551</v>
      </c>
      <c r="O62" s="297">
        <f t="shared" si="338"/>
        <v>0.76551563229118058</v>
      </c>
      <c r="P62" s="297">
        <f t="shared" si="338"/>
        <v>0.6930203095926204</v>
      </c>
      <c r="Q62" s="297">
        <f t="shared" si="338"/>
        <v>0.6982892073194934</v>
      </c>
      <c r="R62" s="297">
        <f t="shared" si="338"/>
        <v>0.75230681602430227</v>
      </c>
      <c r="S62" s="297">
        <f t="shared" si="338"/>
        <v>0.71605736675923459</v>
      </c>
      <c r="T62" s="297">
        <f t="shared" si="338"/>
        <v>0.67822910119421753</v>
      </c>
      <c r="U62" s="297">
        <f t="shared" si="338"/>
        <v>0.69882508687737876</v>
      </c>
      <c r="V62" s="297">
        <f t="shared" si="338"/>
        <v>0.77028137596368329</v>
      </c>
      <c r="W62" s="297">
        <f t="shared" si="338"/>
        <v>0.79556739735981596</v>
      </c>
      <c r="X62" s="297">
        <f t="shared" si="338"/>
        <v>0.77320684080660262</v>
      </c>
      <c r="Y62" s="297">
        <f t="shared" si="338"/>
        <v>0.75874264998452623</v>
      </c>
      <c r="Z62" s="297">
        <f t="shared" si="338"/>
        <v>0.79326319095477382</v>
      </c>
      <c r="AA62" s="297">
        <f t="shared" si="338"/>
        <v>0.80886610845919082</v>
      </c>
      <c r="AB62" s="297">
        <f t="shared" si="338"/>
        <v>0.80708407293851869</v>
      </c>
      <c r="AC62" s="297">
        <f t="shared" si="338"/>
        <v>0.78331837101118096</v>
      </c>
      <c r="AD62" s="297">
        <f t="shared" si="338"/>
        <v>0.8228375242394379</v>
      </c>
      <c r="AE62" s="297">
        <f t="shared" si="338"/>
        <v>0.82003721711987521</v>
      </c>
      <c r="AF62" s="297">
        <f t="shared" si="338"/>
        <v>0.80455620167422848</v>
      </c>
      <c r="AG62" s="297">
        <f t="shared" si="338"/>
        <v>0.77318420431266477</v>
      </c>
      <c r="AH62" s="297">
        <f t="shared" si="338"/>
        <v>0.81871850059594187</v>
      </c>
      <c r="AI62" s="297">
        <f t="shared" si="338"/>
        <v>0.821130592503023</v>
      </c>
      <c r="AJ62" s="297">
        <f t="shared" si="338"/>
        <v>0.79572339948065274</v>
      </c>
      <c r="AK62" s="297">
        <f t="shared" ref="AK62:BU63" si="339">AK55/AK42</f>
        <v>0.77130612642446683</v>
      </c>
      <c r="AL62" s="297">
        <f t="shared" si="339"/>
        <v>0.81590686029134263</v>
      </c>
      <c r="AM62" s="297">
        <f t="shared" si="339"/>
        <v>0.80807778608825742</v>
      </c>
      <c r="AN62" s="297">
        <f t="shared" si="339"/>
        <v>0.80449099918459521</v>
      </c>
      <c r="AO62" s="297">
        <f t="shared" si="339"/>
        <v>0.79261689909762101</v>
      </c>
      <c r="AP62" s="297">
        <f t="shared" si="339"/>
        <v>0.83851478179258576</v>
      </c>
      <c r="AQ62" s="297">
        <f t="shared" si="339"/>
        <v>0.84419582075415844</v>
      </c>
      <c r="AR62" s="297">
        <f t="shared" si="339"/>
        <v>0.81992219805801458</v>
      </c>
      <c r="AS62" s="297">
        <f t="shared" si="339"/>
        <v>0.80072452549772433</v>
      </c>
      <c r="AT62" s="297">
        <f t="shared" si="339"/>
        <v>0.84598091896041239</v>
      </c>
      <c r="AU62" s="297">
        <f t="shared" si="339"/>
        <v>0.85404290429042906</v>
      </c>
      <c r="AV62" s="297">
        <f t="shared" si="339"/>
        <v>0.84053381587876042</v>
      </c>
      <c r="AW62" s="297">
        <f t="shared" si="339"/>
        <v>0.80548939548599297</v>
      </c>
      <c r="AX62" s="297">
        <f t="shared" si="339"/>
        <v>0.85567037279267488</v>
      </c>
      <c r="AY62" s="297">
        <f t="shared" si="339"/>
        <v>0.853070059658941</v>
      </c>
      <c r="AZ62" s="297">
        <f t="shared" si="339"/>
        <v>0.84437505047513939</v>
      </c>
      <c r="BA62" s="297">
        <f t="shared" si="339"/>
        <v>0.79948228882833783</v>
      </c>
      <c r="BB62" s="297">
        <f t="shared" si="339"/>
        <v>0.85591595927410324</v>
      </c>
      <c r="BC62" s="297">
        <f t="shared" si="339"/>
        <v>0.84828310245051608</v>
      </c>
      <c r="BD62" s="297">
        <f t="shared" si="339"/>
        <v>0.84963179982579773</v>
      </c>
      <c r="BE62" s="297">
        <f t="shared" si="339"/>
        <v>0.81461756677193176</v>
      </c>
      <c r="BF62" s="297">
        <f t="shared" si="339"/>
        <v>0.84698255085317664</v>
      </c>
      <c r="BG62" s="297">
        <f t="shared" si="339"/>
        <v>0.83864924821296527</v>
      </c>
      <c r="BH62" s="297">
        <f t="shared" si="339"/>
        <v>0.83523670324770238</v>
      </c>
      <c r="BI62" s="297">
        <f t="shared" si="339"/>
        <v>0.81045268575953544</v>
      </c>
      <c r="BJ62" s="297">
        <f t="shared" si="339"/>
        <v>0.86352382143303741</v>
      </c>
      <c r="BK62" s="297">
        <f t="shared" si="339"/>
        <v>0.83519134564107789</v>
      </c>
      <c r="BL62" s="297">
        <f t="shared" si="339"/>
        <v>0.83051694830516942</v>
      </c>
      <c r="BM62" s="297">
        <f t="shared" si="339"/>
        <v>0.67708628005657701</v>
      </c>
      <c r="BN62" s="297">
        <f t="shared" si="339"/>
        <v>0.3138592273718343</v>
      </c>
      <c r="BO62" s="297">
        <f t="shared" si="339"/>
        <v>0.44921402660217657</v>
      </c>
      <c r="BP62" s="297">
        <f t="shared" si="339"/>
        <v>0.53813773362518946</v>
      </c>
      <c r="BQ62" s="297">
        <f t="shared" si="339"/>
        <v>0.64265963881448196</v>
      </c>
      <c r="BR62" s="297">
        <f t="shared" si="339"/>
        <v>0.82866463159154846</v>
      </c>
      <c r="BS62" s="297">
        <f t="shared" si="339"/>
        <v>0.80722984828155642</v>
      </c>
      <c r="BT62" s="297">
        <f t="shared" si="339"/>
        <v>0.80198964295448361</v>
      </c>
      <c r="BU62" s="297">
        <f t="shared" si="339"/>
        <v>0.7702128897161471</v>
      </c>
      <c r="BW62" s="297">
        <f t="shared" si="335"/>
        <v>0.78932926267615888</v>
      </c>
    </row>
    <row r="63" spans="3:76" s="392" customFormat="1">
      <c r="C63" s="1192" t="s">
        <v>47</v>
      </c>
      <c r="E63" s="598">
        <f t="shared" si="338"/>
        <v>0.74136008918617613</v>
      </c>
      <c r="F63" s="598">
        <f t="shared" si="338"/>
        <v>0.7890959187187877</v>
      </c>
      <c r="G63" s="598">
        <f t="shared" si="338"/>
        <v>0.80150740700755474</v>
      </c>
      <c r="H63" s="598">
        <f t="shared" si="338"/>
        <v>0.76154590757537721</v>
      </c>
      <c r="I63" s="598">
        <f t="shared" si="338"/>
        <v>0.76346160821152653</v>
      </c>
      <c r="J63" s="598">
        <f t="shared" si="338"/>
        <v>0.81587941641522077</v>
      </c>
      <c r="K63" s="598">
        <f t="shared" si="338"/>
        <v>0.80480152959551898</v>
      </c>
      <c r="L63" s="598">
        <f t="shared" si="338"/>
        <v>0.77136383330847325</v>
      </c>
      <c r="M63" s="598">
        <f t="shared" si="338"/>
        <v>0.76477173418462052</v>
      </c>
      <c r="N63" s="598">
        <f t="shared" si="338"/>
        <v>0.82678375563387396</v>
      </c>
      <c r="O63" s="598">
        <f t="shared" si="338"/>
        <v>0.82420429876422929</v>
      </c>
      <c r="P63" s="598">
        <f t="shared" si="338"/>
        <v>0.77388835686682</v>
      </c>
      <c r="Q63" s="598">
        <f t="shared" si="338"/>
        <v>0.76580791368906931</v>
      </c>
      <c r="R63" s="598">
        <f t="shared" si="338"/>
        <v>0.81199735264034012</v>
      </c>
      <c r="S63" s="598">
        <f t="shared" si="338"/>
        <v>0.8066835088090577</v>
      </c>
      <c r="T63" s="598">
        <f t="shared" si="338"/>
        <v>0.77473842021426109</v>
      </c>
      <c r="U63" s="598">
        <f t="shared" si="338"/>
        <v>0.75112882149741889</v>
      </c>
      <c r="V63" s="598">
        <f t="shared" si="338"/>
        <v>0.81482053118324704</v>
      </c>
      <c r="W63" s="598">
        <f t="shared" si="338"/>
        <v>0.8342293799992847</v>
      </c>
      <c r="X63" s="598">
        <f t="shared" si="338"/>
        <v>0.80688043774921281</v>
      </c>
      <c r="Y63" s="598">
        <f t="shared" si="338"/>
        <v>0.78506535925703935</v>
      </c>
      <c r="Z63" s="598">
        <f t="shared" si="338"/>
        <v>0.83479507408159281</v>
      </c>
      <c r="AA63" s="598">
        <f t="shared" si="338"/>
        <v>0.83917376288752932</v>
      </c>
      <c r="AB63" s="598">
        <f t="shared" si="338"/>
        <v>0.81320851431192154</v>
      </c>
      <c r="AC63" s="598">
        <f t="shared" si="338"/>
        <v>0.7717892051764137</v>
      </c>
      <c r="AD63" s="598">
        <f t="shared" si="338"/>
        <v>0.83248680010439458</v>
      </c>
      <c r="AE63" s="598">
        <f t="shared" si="338"/>
        <v>0.84783786922689808</v>
      </c>
      <c r="AF63" s="598">
        <f t="shared" si="338"/>
        <v>0.81367646980516206</v>
      </c>
      <c r="AG63" s="598">
        <f t="shared" si="338"/>
        <v>0.78480546611685253</v>
      </c>
      <c r="AH63" s="598">
        <f t="shared" si="338"/>
        <v>0.8417904856426488</v>
      </c>
      <c r="AI63" s="598">
        <f t="shared" si="338"/>
        <v>0.84985750786163539</v>
      </c>
      <c r="AJ63" s="598">
        <f t="shared" si="338"/>
        <v>0.81853409497382312</v>
      </c>
      <c r="AK63" s="598">
        <f t="shared" si="339"/>
        <v>0.80364344592866566</v>
      </c>
      <c r="AL63" s="598">
        <f t="shared" si="339"/>
        <v>0.84202698061049941</v>
      </c>
      <c r="AM63" s="598">
        <f t="shared" si="339"/>
        <v>0.84840387397838801</v>
      </c>
      <c r="AN63" s="598">
        <f t="shared" si="339"/>
        <v>0.81935795043479487</v>
      </c>
      <c r="AO63" s="598">
        <f t="shared" si="339"/>
        <v>0.80992941015771736</v>
      </c>
      <c r="AP63" s="598">
        <f t="shared" si="339"/>
        <v>0.84951830188762278</v>
      </c>
      <c r="AQ63" s="598">
        <f t="shared" si="339"/>
        <v>0.85048460783057933</v>
      </c>
      <c r="AR63" s="598">
        <f t="shared" si="339"/>
        <v>0.81571440479388002</v>
      </c>
      <c r="AS63" s="598">
        <f t="shared" si="339"/>
        <v>0.80743130066904678</v>
      </c>
      <c r="AT63" s="598">
        <f t="shared" si="339"/>
        <v>0.84317203911317329</v>
      </c>
      <c r="AU63" s="598">
        <f t="shared" si="339"/>
        <v>0.85933500668791385</v>
      </c>
      <c r="AV63" s="598">
        <f t="shared" si="339"/>
        <v>0.83582360523592525</v>
      </c>
      <c r="AW63" s="598">
        <f t="shared" si="339"/>
        <v>0.80500576701268745</v>
      </c>
      <c r="AX63" s="598">
        <f t="shared" si="339"/>
        <v>0.84060413885180241</v>
      </c>
      <c r="AY63" s="598">
        <f t="shared" si="339"/>
        <v>0.84805281597440196</v>
      </c>
      <c r="AZ63" s="598">
        <f t="shared" si="339"/>
        <v>0.83097800154296908</v>
      </c>
      <c r="BA63" s="598">
        <f t="shared" si="339"/>
        <v>0.80416971470373089</v>
      </c>
      <c r="BB63" s="598">
        <f t="shared" si="339"/>
        <v>0.84638122536725191</v>
      </c>
      <c r="BC63" s="598">
        <f t="shared" si="339"/>
        <v>0.8470177051466975</v>
      </c>
      <c r="BD63" s="598">
        <f t="shared" si="339"/>
        <v>0.83291798723570531</v>
      </c>
      <c r="BE63" s="598">
        <f t="shared" si="339"/>
        <v>0.81252699014776131</v>
      </c>
      <c r="BF63" s="598">
        <f t="shared" si="339"/>
        <v>0.84886494927070488</v>
      </c>
      <c r="BG63" s="598">
        <f t="shared" si="339"/>
        <v>0.8490912211775028</v>
      </c>
      <c r="BH63" s="598">
        <f t="shared" si="339"/>
        <v>0.83091757257695031</v>
      </c>
      <c r="BI63" s="598">
        <f t="shared" si="339"/>
        <v>0.81772848422319666</v>
      </c>
      <c r="BJ63" s="598">
        <f t="shared" si="339"/>
        <v>0.86808834788827072</v>
      </c>
      <c r="BK63" s="598">
        <f t="shared" si="339"/>
        <v>0.86180206528154224</v>
      </c>
      <c r="BL63" s="598">
        <f t="shared" si="339"/>
        <v>0.83799466735823513</v>
      </c>
      <c r="BM63" s="598">
        <f t="shared" si="339"/>
        <v>0.71521871202916154</v>
      </c>
      <c r="BN63" s="598">
        <f t="shared" si="339"/>
        <v>0.35644726465787591</v>
      </c>
      <c r="BO63" s="598">
        <f t="shared" si="339"/>
        <v>0.48422039467577549</v>
      </c>
      <c r="BP63" s="598">
        <f t="shared" si="339"/>
        <v>0.53399605586187471</v>
      </c>
      <c r="BQ63" s="598">
        <f t="shared" si="339"/>
        <v>0.55202514497937549</v>
      </c>
      <c r="BR63" s="598">
        <f t="shared" si="339"/>
        <v>0.74674495062772905</v>
      </c>
      <c r="BS63" s="598">
        <f t="shared" si="339"/>
        <v>0.78639889143363051</v>
      </c>
      <c r="BT63" s="598">
        <f t="shared" si="339"/>
        <v>0.78782792520785105</v>
      </c>
      <c r="BU63" s="598">
        <f t="shared" si="339"/>
        <v>0.74434019629028458</v>
      </c>
      <c r="BW63" s="297">
        <f t="shared" si="335"/>
        <v>0.81674922352972656</v>
      </c>
    </row>
    <row r="64" spans="3:76" s="392" customFormat="1">
      <c r="C64" s="1192"/>
      <c r="E64" s="598"/>
      <c r="F64" s="598"/>
      <c r="G64" s="598"/>
      <c r="H64" s="598"/>
      <c r="I64" s="598"/>
      <c r="J64" s="598"/>
      <c r="K64" s="598"/>
      <c r="L64" s="598"/>
      <c r="M64" s="598"/>
      <c r="N64" s="598"/>
      <c r="O64" s="598"/>
      <c r="P64" s="598"/>
      <c r="Q64" s="598"/>
      <c r="R64" s="598"/>
      <c r="S64" s="598"/>
      <c r="T64" s="598"/>
      <c r="U64" s="598"/>
      <c r="V64" s="598"/>
      <c r="W64" s="598"/>
      <c r="X64" s="598"/>
      <c r="Y64" s="598"/>
      <c r="Z64" s="598"/>
      <c r="AA64" s="598"/>
      <c r="AB64" s="598"/>
      <c r="AC64" s="598"/>
      <c r="AD64" s="598"/>
      <c r="AE64" s="598"/>
      <c r="AF64" s="598"/>
      <c r="AG64" s="598"/>
      <c r="AH64" s="598"/>
      <c r="AI64" s="598"/>
      <c r="AJ64" s="598"/>
      <c r="AK64" s="598"/>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row>
    <row r="65" spans="2:76" s="392" customFormat="1">
      <c r="C65" s="478" t="s">
        <v>1722</v>
      </c>
      <c r="E65" s="598"/>
      <c r="F65" s="598"/>
      <c r="G65" s="598"/>
      <c r="H65" s="598"/>
      <c r="I65" s="598"/>
      <c r="J65" s="598"/>
      <c r="K65" s="598"/>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c r="AJ65" s="598"/>
      <c r="AK65" s="598"/>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row>
    <row r="66" spans="2:76" s="392" customFormat="1">
      <c r="C66" s="441" t="str">
        <f>C$11</f>
        <v xml:space="preserve">  AAL</v>
      </c>
      <c r="E66" s="494">
        <f>E11/E39/10</f>
        <v>9.377321389556478</v>
      </c>
      <c r="F66" s="494">
        <f t="shared" ref="F66:BQ66" si="340">F11/F39/10</f>
        <v>10.00435422671007</v>
      </c>
      <c r="G66" s="494">
        <f t="shared" si="340"/>
        <v>10.95740249490277</v>
      </c>
      <c r="H66" s="494">
        <f t="shared" si="340"/>
        <v>10.124651324965132</v>
      </c>
      <c r="I66" s="494">
        <f t="shared" si="340"/>
        <v>10.460996761503184</v>
      </c>
      <c r="J66" s="494">
        <f t="shared" si="340"/>
        <v>11.287367807477725</v>
      </c>
      <c r="K66" s="494">
        <f t="shared" si="340"/>
        <v>11.042139687962173</v>
      </c>
      <c r="L66" s="494">
        <f t="shared" si="340"/>
        <v>10.605161998901703</v>
      </c>
      <c r="M66" s="494">
        <f t="shared" si="340"/>
        <v>10.528188591126431</v>
      </c>
      <c r="N66" s="494">
        <f t="shared" si="340"/>
        <v>12.500293103852558</v>
      </c>
      <c r="O66" s="494">
        <f t="shared" si="340"/>
        <v>11.230278509194443</v>
      </c>
      <c r="P66" s="494">
        <f t="shared" si="340"/>
        <v>10.869231612408198</v>
      </c>
      <c r="Q66" s="494">
        <f t="shared" si="340"/>
        <v>11.23239277141175</v>
      </c>
      <c r="R66" s="494">
        <f t="shared" si="340"/>
        <v>12.042140825035563</v>
      </c>
      <c r="S66" s="494">
        <f t="shared" si="340"/>
        <v>12.40114866357411</v>
      </c>
      <c r="T66" s="494">
        <f t="shared" si="340"/>
        <v>11.334052499101041</v>
      </c>
      <c r="U66" s="494">
        <f t="shared" si="340"/>
        <v>10.18940420186695</v>
      </c>
      <c r="V66" s="494">
        <f t="shared" si="340"/>
        <v>10.099549256393569</v>
      </c>
      <c r="W66" s="494">
        <f t="shared" si="340"/>
        <v>10.617272048012726</v>
      </c>
      <c r="X66" s="494">
        <f t="shared" si="340"/>
        <v>10.856826698186756</v>
      </c>
      <c r="Y66" s="494">
        <f t="shared" si="340"/>
        <v>10.926575632903404</v>
      </c>
      <c r="Z66" s="494">
        <f t="shared" si="340"/>
        <v>11.783031854517352</v>
      </c>
      <c r="AA66" s="494">
        <f t="shared" si="340"/>
        <v>11.759933237516808</v>
      </c>
      <c r="AB66" s="494">
        <f t="shared" si="340"/>
        <v>11.649214659685864</v>
      </c>
      <c r="AC66" s="494">
        <f t="shared" si="340"/>
        <v>11.488842824045847</v>
      </c>
      <c r="AD66" s="494">
        <f t="shared" si="340"/>
        <v>12.354596622889305</v>
      </c>
      <c r="AE66" s="494">
        <f t="shared" si="340"/>
        <v>12.780604609398384</v>
      </c>
      <c r="AF66" s="494">
        <f t="shared" si="340"/>
        <v>12.613187406444014</v>
      </c>
      <c r="AG66" s="494">
        <f t="shared" si="340"/>
        <v>12.671207970715862</v>
      </c>
      <c r="AH66" s="494">
        <f t="shared" si="340"/>
        <v>13.482365344067471</v>
      </c>
      <c r="AI66" s="494">
        <f t="shared" si="340"/>
        <v>13.334747660467198</v>
      </c>
      <c r="AJ66" s="494">
        <f t="shared" si="340"/>
        <v>12.608727611300321</v>
      </c>
      <c r="AK66" s="494">
        <f t="shared" si="340"/>
        <v>8.5193709861739286</v>
      </c>
      <c r="AL66" s="494">
        <f t="shared" si="340"/>
        <v>8.5409252669039155</v>
      </c>
      <c r="AM66" s="494">
        <f t="shared" si="340"/>
        <v>8.8784977800067857</v>
      </c>
      <c r="AN66" s="494">
        <f t="shared" si="340"/>
        <v>10.002032615663648</v>
      </c>
      <c r="AO66" s="494">
        <f t="shared" si="340"/>
        <v>13.66891721352852</v>
      </c>
      <c r="AP66" s="494">
        <f t="shared" si="340"/>
        <v>14.568952856513437</v>
      </c>
      <c r="AQ66" s="494">
        <f t="shared" si="340"/>
        <v>14.117476851851851</v>
      </c>
      <c r="AR66" s="494">
        <f t="shared" si="340"/>
        <v>13.498224524618388</v>
      </c>
      <c r="AS66" s="494">
        <f t="shared" si="340"/>
        <v>13.443009348473506</v>
      </c>
      <c r="AT66" s="494">
        <f t="shared" si="340"/>
        <v>13.564646042564229</v>
      </c>
      <c r="AU66" s="494">
        <f t="shared" si="340"/>
        <v>13.156191976593709</v>
      </c>
      <c r="AV66" s="494">
        <f t="shared" si="340"/>
        <v>12.68696622003575</v>
      </c>
      <c r="AW66" s="494">
        <f t="shared" si="340"/>
        <v>12.429300381163163</v>
      </c>
      <c r="AX66" s="494">
        <f t="shared" si="340"/>
        <v>12.713601221184152</v>
      </c>
      <c r="AY66" s="494">
        <f t="shared" si="340"/>
        <v>12.724061687363546</v>
      </c>
      <c r="AZ66" s="494">
        <f t="shared" si="340"/>
        <v>12.673276346355312</v>
      </c>
      <c r="BA66" s="494">
        <f t="shared" si="340"/>
        <v>13.983307688721036</v>
      </c>
      <c r="BB66" s="494">
        <f t="shared" si="340"/>
        <v>14.430676163528151</v>
      </c>
      <c r="BC66" s="494">
        <f t="shared" si="340"/>
        <v>13.820103212735958</v>
      </c>
      <c r="BD66" s="494">
        <f t="shared" si="340"/>
        <v>14.377551777893251</v>
      </c>
      <c r="BE66" s="494">
        <f t="shared" si="340"/>
        <v>14.402260607994169</v>
      </c>
      <c r="BF66" s="494">
        <f t="shared" si="340"/>
        <v>14.643381394646948</v>
      </c>
      <c r="BG66" s="494">
        <f t="shared" si="340"/>
        <v>14.074014845613613</v>
      </c>
      <c r="BH66" s="494">
        <f t="shared" si="340"/>
        <v>14.586078655304695</v>
      </c>
      <c r="BI66" s="494">
        <f t="shared" si="340"/>
        <v>14.48540660527342</v>
      </c>
      <c r="BJ66" s="494">
        <f t="shared" si="340"/>
        <v>15.224966123724453</v>
      </c>
      <c r="BK66" s="494">
        <f t="shared" si="340"/>
        <v>14.501450804537063</v>
      </c>
      <c r="BL66" s="494">
        <f t="shared" si="340"/>
        <v>14.724214480874315</v>
      </c>
      <c r="BM66" s="494">
        <f t="shared" si="340"/>
        <v>12.36895924249988</v>
      </c>
      <c r="BN66" s="494">
        <f t="shared" si="340"/>
        <v>6.4867396522451859</v>
      </c>
      <c r="BO66" s="494">
        <f t="shared" si="340"/>
        <v>8.2553302132085271</v>
      </c>
      <c r="BP66" s="494">
        <f t="shared" si="340"/>
        <v>9.6029380776061881</v>
      </c>
      <c r="BQ66" s="494">
        <f t="shared" si="340"/>
        <v>8.4180701196907091</v>
      </c>
      <c r="BR66" s="494">
        <f t="shared" ref="BR66:BU66" si="341">BR11/BR39/10</f>
        <v>11.997067179910182</v>
      </c>
      <c r="BS66" s="494">
        <f t="shared" si="341"/>
        <v>13.020569128307505</v>
      </c>
      <c r="BT66" s="494">
        <f t="shared" si="341"/>
        <v>13.715959675307673</v>
      </c>
      <c r="BU66" s="494">
        <f t="shared" si="341"/>
        <v>13.13221238640754</v>
      </c>
    </row>
    <row r="67" spans="2:76" s="392" customFormat="1">
      <c r="C67" s="441" t="str">
        <f>C$12</f>
        <v xml:space="preserve">  DAL</v>
      </c>
      <c r="E67" s="494">
        <f>E12/E40/10</f>
        <v>8.8153760857512466</v>
      </c>
      <c r="F67" s="494">
        <f t="shared" ref="F67:BQ67" si="342">F12/F40/10</f>
        <v>9.573810994441013</v>
      </c>
      <c r="G67" s="494">
        <f t="shared" si="342"/>
        <v>9.3974157710421444</v>
      </c>
      <c r="H67" s="494">
        <f t="shared" si="342"/>
        <v>9.4151636245814885</v>
      </c>
      <c r="I67" s="494">
        <f t="shared" si="342"/>
        <v>9.4985685535304292</v>
      </c>
      <c r="J67" s="494">
        <f t="shared" si="342"/>
        <v>11.164430775756932</v>
      </c>
      <c r="K67" s="494">
        <f t="shared" si="342"/>
        <v>10.652574224957748</v>
      </c>
      <c r="L67" s="494">
        <f t="shared" si="342"/>
        <v>10.290852575488454</v>
      </c>
      <c r="M67" s="494">
        <f t="shared" si="342"/>
        <v>10.572862042574901</v>
      </c>
      <c r="N67" s="494">
        <f t="shared" si="342"/>
        <v>11.784299840008392</v>
      </c>
      <c r="O67" s="494">
        <f t="shared" si="342"/>
        <v>11.32794372664436</v>
      </c>
      <c r="P67" s="494">
        <f t="shared" si="342"/>
        <v>10.869971936389147</v>
      </c>
      <c r="Q67" s="494">
        <f t="shared" si="342"/>
        <v>11.359858140308102</v>
      </c>
      <c r="R67" s="494">
        <f t="shared" si="342"/>
        <v>12.314126394052046</v>
      </c>
      <c r="S67" s="494">
        <f t="shared" si="342"/>
        <v>12.330633375442769</v>
      </c>
      <c r="T67" s="494">
        <f t="shared" si="342"/>
        <v>9.8712520224448355</v>
      </c>
      <c r="U67" s="494">
        <f t="shared" si="342"/>
        <v>10.048439181916038</v>
      </c>
      <c r="V67" s="494">
        <f t="shared" si="342"/>
        <v>10.012042266659881</v>
      </c>
      <c r="W67" s="494">
        <f t="shared" si="342"/>
        <v>10.483015714882539</v>
      </c>
      <c r="X67" s="494">
        <f t="shared" si="342"/>
        <v>10.837521566274098</v>
      </c>
      <c r="Y67" s="494">
        <f t="shared" si="342"/>
        <v>10.892853792611771</v>
      </c>
      <c r="Z67" s="494">
        <f t="shared" si="342"/>
        <v>11.94078162799414</v>
      </c>
      <c r="AA67" s="494">
        <f t="shared" si="342"/>
        <v>12.213704483332808</v>
      </c>
      <c r="AB67" s="494">
        <f t="shared" si="342"/>
        <v>11.692706963368229</v>
      </c>
      <c r="AC67" s="494">
        <f t="shared" si="342"/>
        <v>11.695334317579466</v>
      </c>
      <c r="AD67" s="494">
        <f t="shared" si="342"/>
        <v>13.120832709798639</v>
      </c>
      <c r="AE67" s="494">
        <f t="shared" si="342"/>
        <v>13.543675508203979</v>
      </c>
      <c r="AF67" s="494">
        <f t="shared" si="342"/>
        <v>13.124613875059055</v>
      </c>
      <c r="AG67" s="494">
        <f t="shared" si="342"/>
        <v>13.281135127187179</v>
      </c>
      <c r="AH67" s="494">
        <f t="shared" si="342"/>
        <v>14.197905089084236</v>
      </c>
      <c r="AI67" s="494">
        <f t="shared" si="342"/>
        <v>13.925148114252684</v>
      </c>
      <c r="AJ67" s="494">
        <f t="shared" si="342"/>
        <v>13.659784328880056</v>
      </c>
      <c r="AK67" s="494">
        <f t="shared" si="342"/>
        <v>13.805590132397873</v>
      </c>
      <c r="AL67" s="494">
        <f t="shared" si="342"/>
        <v>14.185036740146961</v>
      </c>
      <c r="AM67" s="494">
        <f t="shared" si="342"/>
        <v>14.483589751615984</v>
      </c>
      <c r="AN67" s="494">
        <f t="shared" si="342"/>
        <v>14.07453749217982</v>
      </c>
      <c r="AO67" s="494">
        <f t="shared" si="342"/>
        <v>14.241985752448798</v>
      </c>
      <c r="AP67" s="494">
        <f t="shared" si="342"/>
        <v>14.989404209198117</v>
      </c>
      <c r="AQ67" s="494">
        <f t="shared" si="342"/>
        <v>14.828747383429905</v>
      </c>
      <c r="AR67" s="494">
        <f t="shared" si="342"/>
        <v>14.191180271932998</v>
      </c>
      <c r="AS67" s="494">
        <f t="shared" si="342"/>
        <v>13.998975210700214</v>
      </c>
      <c r="AT67" s="494">
        <f t="shared" si="342"/>
        <v>14.293757917950483</v>
      </c>
      <c r="AU67" s="494">
        <f t="shared" si="342"/>
        <v>14.103864414752099</v>
      </c>
      <c r="AV67" s="494">
        <f t="shared" si="342"/>
        <v>13.960720974587193</v>
      </c>
      <c r="AW67" s="494">
        <f t="shared" si="342"/>
        <v>13.349385157795165</v>
      </c>
      <c r="AX67" s="494">
        <f t="shared" si="342"/>
        <v>13.595234847451461</v>
      </c>
      <c r="AY67" s="494">
        <f t="shared" si="342"/>
        <v>13.141044213942166</v>
      </c>
      <c r="AZ67" s="494">
        <f t="shared" si="342"/>
        <v>17.050157540662521</v>
      </c>
      <c r="BA67" s="494">
        <f t="shared" si="342"/>
        <v>14.131430250038878</v>
      </c>
      <c r="BB67" s="494">
        <f t="shared" si="342"/>
        <v>14.74927144518097</v>
      </c>
      <c r="BC67" s="494">
        <f t="shared" si="342"/>
        <v>14.221785169666651</v>
      </c>
      <c r="BD67" s="494">
        <f t="shared" si="342"/>
        <v>15.021645021645019</v>
      </c>
      <c r="BE67" s="494">
        <f t="shared" si="342"/>
        <v>14.742737961078499</v>
      </c>
      <c r="BF67" s="494">
        <f t="shared" si="342"/>
        <v>15.392474530752841</v>
      </c>
      <c r="BG67" s="494">
        <f t="shared" si="342"/>
        <v>14.814408233276158</v>
      </c>
      <c r="BH67" s="494">
        <f t="shared" si="342"/>
        <v>15.431121347344178</v>
      </c>
      <c r="BI67" s="494">
        <f t="shared" si="342"/>
        <v>14.826326582927456</v>
      </c>
      <c r="BJ67" s="494">
        <f t="shared" si="342"/>
        <v>15.843019204504278</v>
      </c>
      <c r="BK67" s="494">
        <f t="shared" si="342"/>
        <v>15.06429721950833</v>
      </c>
      <c r="BL67" s="494">
        <f t="shared" si="342"/>
        <v>15.64886662186106</v>
      </c>
      <c r="BM67" s="494">
        <f t="shared" si="342"/>
        <v>12.853867708244886</v>
      </c>
      <c r="BN67" s="494">
        <f t="shared" si="342"/>
        <v>6.3986409966024915</v>
      </c>
      <c r="BO67" s="494">
        <f t="shared" si="342"/>
        <v>6.8504772004241783</v>
      </c>
      <c r="BP67" s="494">
        <f t="shared" si="342"/>
        <v>7.3778336842680954</v>
      </c>
      <c r="BQ67" s="494">
        <f t="shared" si="342"/>
        <v>6.8497931103245424</v>
      </c>
      <c r="BR67" s="494">
        <f t="shared" ref="BR67:BU67" si="343">BR12/BR40/10</f>
        <v>11.001669105071194</v>
      </c>
      <c r="BS67" s="494">
        <f t="shared" si="343"/>
        <v>13.296229868905201</v>
      </c>
      <c r="BT67" s="494">
        <f t="shared" si="343"/>
        <v>13.993893011750155</v>
      </c>
      <c r="BU67" s="494">
        <f t="shared" si="343"/>
        <v>13.331403204014668</v>
      </c>
    </row>
    <row r="68" spans="2:76" s="392" customFormat="1">
      <c r="C68" s="441" t="str">
        <f>C$13</f>
        <v xml:space="preserve">  UAL</v>
      </c>
      <c r="E68" s="494">
        <f>E13/E41/10</f>
        <v>10.04115706821565</v>
      </c>
      <c r="F68" s="494">
        <f t="shared" ref="F68:BQ68" si="344">F13/F41/10</f>
        <v>11.194922008425369</v>
      </c>
      <c r="G68" s="494">
        <f t="shared" si="344"/>
        <v>11.432289503557882</v>
      </c>
      <c r="H68" s="494">
        <f t="shared" si="344"/>
        <v>11.039894228558289</v>
      </c>
      <c r="I68" s="494">
        <f t="shared" si="344"/>
        <v>11.380770122941312</v>
      </c>
      <c r="J68" s="494">
        <f t="shared" si="344"/>
        <v>12.619159459534137</v>
      </c>
      <c r="K68" s="494">
        <f t="shared" si="344"/>
        <v>12.638473356513302</v>
      </c>
      <c r="L68" s="494">
        <f t="shared" si="344"/>
        <v>11.572985983293218</v>
      </c>
      <c r="M68" s="494">
        <f t="shared" si="344"/>
        <v>11.405820182423628</v>
      </c>
      <c r="N68" s="494">
        <f t="shared" si="344"/>
        <v>13.301742160278746</v>
      </c>
      <c r="O68" s="494">
        <f t="shared" si="344"/>
        <v>13.774387923848826</v>
      </c>
      <c r="P68" s="494">
        <f t="shared" si="344"/>
        <v>11.713053301838348</v>
      </c>
      <c r="Q68" s="494">
        <f t="shared" si="344"/>
        <v>11.091150511598844</v>
      </c>
      <c r="R68" s="494">
        <f t="shared" si="344"/>
        <v>12.388663967611334</v>
      </c>
      <c r="S68" s="494">
        <f t="shared" si="344"/>
        <v>13.019348268839105</v>
      </c>
      <c r="T68" s="494">
        <f t="shared" si="344"/>
        <v>11.962890624999998</v>
      </c>
      <c r="U68" s="494">
        <f t="shared" si="344"/>
        <v>9.8611804067736912</v>
      </c>
      <c r="V68" s="494">
        <f t="shared" si="344"/>
        <v>10.255982656549653</v>
      </c>
      <c r="W68" s="494">
        <f t="shared" si="344"/>
        <v>10.465885947046843</v>
      </c>
      <c r="X68" s="494">
        <f t="shared" si="344"/>
        <v>10.779066309842403</v>
      </c>
      <c r="Y68" s="494">
        <f t="shared" si="344"/>
        <v>11.099308000485614</v>
      </c>
      <c r="Z68" s="494">
        <f t="shared" si="344"/>
        <v>13.0117664802215</v>
      </c>
      <c r="AA68" s="494">
        <f t="shared" si="344"/>
        <v>12.379259418063146</v>
      </c>
      <c r="AB68" s="494">
        <f t="shared" si="344"/>
        <v>11.886483361171784</v>
      </c>
      <c r="AC68" s="494">
        <f t="shared" si="344"/>
        <v>11.827760420128964</v>
      </c>
      <c r="AD68" s="494">
        <f t="shared" si="344"/>
        <v>13.183398455527183</v>
      </c>
      <c r="AE68" s="494">
        <f t="shared" si="344"/>
        <v>13.519921962932392</v>
      </c>
      <c r="AF68" s="494">
        <f t="shared" si="344"/>
        <v>12.870178212603355</v>
      </c>
      <c r="AG68" s="494">
        <f t="shared" si="344"/>
        <v>12.441999204560521</v>
      </c>
      <c r="AH68" s="494">
        <f t="shared" si="344"/>
        <v>13.569394577194505</v>
      </c>
      <c r="AI68" s="494">
        <f t="shared" si="344"/>
        <v>13.347734809991787</v>
      </c>
      <c r="AJ68" s="494">
        <f t="shared" si="344"/>
        <v>12.950864766358354</v>
      </c>
      <c r="AK68" s="494">
        <f t="shared" si="344"/>
        <v>13.175416579516142</v>
      </c>
      <c r="AL68" s="494">
        <f t="shared" si="344"/>
        <v>13.70413115998166</v>
      </c>
      <c r="AM68" s="494">
        <f t="shared" si="344"/>
        <v>13.711562115621154</v>
      </c>
      <c r="AN68" s="494">
        <f t="shared" si="344"/>
        <v>13.36382369201387</v>
      </c>
      <c r="AO68" s="494">
        <f t="shared" si="344"/>
        <v>12.905480984340045</v>
      </c>
      <c r="AP68" s="494">
        <f t="shared" si="344"/>
        <v>14.207295852184643</v>
      </c>
      <c r="AQ68" s="494">
        <f t="shared" si="344"/>
        <v>14.246382575178194</v>
      </c>
      <c r="AR68" s="494">
        <f t="shared" si="344"/>
        <v>13.424011426103997</v>
      </c>
      <c r="AS68" s="494">
        <f t="shared" si="344"/>
        <v>12.956398749759904</v>
      </c>
      <c r="AT68" s="494">
        <f t="shared" si="344"/>
        <v>13.412692277962432</v>
      </c>
      <c r="AU68" s="494">
        <f t="shared" si="344"/>
        <v>13.424226533822758</v>
      </c>
      <c r="AV68" s="494">
        <f t="shared" si="344"/>
        <v>12.607660185306015</v>
      </c>
      <c r="AW68" s="494">
        <f t="shared" si="344"/>
        <v>11.99526367271292</v>
      </c>
      <c r="AX68" s="494">
        <f t="shared" si="344"/>
        <v>12.519119351100812</v>
      </c>
      <c r="AY68" s="494">
        <f t="shared" si="344"/>
        <v>12.63771777771249</v>
      </c>
      <c r="AZ68" s="494">
        <f t="shared" si="344"/>
        <v>12.41402476086887</v>
      </c>
      <c r="BA68" s="494">
        <f t="shared" si="344"/>
        <v>12.795947030497592</v>
      </c>
      <c r="BB68" s="494">
        <f t="shared" si="344"/>
        <v>13.563668163694842</v>
      </c>
      <c r="BC68" s="494">
        <f t="shared" si="344"/>
        <v>12.940370703308934</v>
      </c>
      <c r="BD68" s="494">
        <f t="shared" si="344"/>
        <v>13.205080888232761</v>
      </c>
      <c r="BE68" s="494">
        <f t="shared" si="344"/>
        <v>13.148426029010761</v>
      </c>
      <c r="BF68" s="494">
        <f t="shared" si="344"/>
        <v>13.974145002970213</v>
      </c>
      <c r="BG68" s="494">
        <f t="shared" si="344"/>
        <v>13.734884162809951</v>
      </c>
      <c r="BH68" s="494">
        <f t="shared" si="344"/>
        <v>13.868973324431801</v>
      </c>
      <c r="BI68" s="494">
        <f t="shared" si="344"/>
        <v>13.291187447635007</v>
      </c>
      <c r="BJ68" s="494">
        <f t="shared" si="344"/>
        <v>14.31731294374659</v>
      </c>
      <c r="BK68" s="494">
        <f t="shared" si="344"/>
        <v>13.960520006393523</v>
      </c>
      <c r="BL68" s="494">
        <f t="shared" si="344"/>
        <v>13.982657169402293</v>
      </c>
      <c r="BM68" s="494">
        <f t="shared" si="344"/>
        <v>11.59375102563261</v>
      </c>
      <c r="BN68" s="494">
        <f t="shared" si="344"/>
        <v>7.5979024880062482</v>
      </c>
      <c r="BO68" s="494">
        <f t="shared" si="344"/>
        <v>7.4239150009004149</v>
      </c>
      <c r="BP68" s="494">
        <f t="shared" si="344"/>
        <v>7.8524648919878803</v>
      </c>
      <c r="BQ68" s="494">
        <f t="shared" si="344"/>
        <v>7.6259466578860708</v>
      </c>
      <c r="BR68" s="494">
        <f t="shared" ref="BR68:BU68" si="345">BR13/BR41/10</f>
        <v>11.021634311968294</v>
      </c>
      <c r="BS68" s="494">
        <f t="shared" si="345"/>
        <v>12.31674275321976</v>
      </c>
      <c r="BT68" s="494">
        <f t="shared" si="345"/>
        <v>12.547660311958406</v>
      </c>
      <c r="BU68" s="494">
        <f t="shared" si="345"/>
        <v>11.917993391408832</v>
      </c>
    </row>
    <row r="69" spans="2:76" s="278" customFormat="1">
      <c r="C69" s="441" t="str">
        <f>C$14</f>
        <v xml:space="preserve">  LUV</v>
      </c>
      <c r="E69" s="494">
        <f>E14/E42/10</f>
        <v>7.8736654804270474</v>
      </c>
      <c r="F69" s="494">
        <f t="shared" ref="F69:BQ69" si="346">F14/F42/10</f>
        <v>8.7539247387412722</v>
      </c>
      <c r="G69" s="494">
        <f t="shared" si="346"/>
        <v>8.7491389854265975</v>
      </c>
      <c r="H69" s="494">
        <f t="shared" si="346"/>
        <v>8.7636213159225722</v>
      </c>
      <c r="I69" s="494">
        <f t="shared" si="346"/>
        <v>8.7775714479822451</v>
      </c>
      <c r="J69" s="494">
        <f t="shared" si="346"/>
        <v>10.321622094039503</v>
      </c>
      <c r="K69" s="494">
        <f t="shared" si="346"/>
        <v>9.4933781795249104</v>
      </c>
      <c r="L69" s="494">
        <f t="shared" si="346"/>
        <v>9.1657955258206147</v>
      </c>
      <c r="M69" s="494">
        <f t="shared" si="346"/>
        <v>8.9196722696173669</v>
      </c>
      <c r="N69" s="494">
        <f t="shared" si="346"/>
        <v>9.9068650612128177</v>
      </c>
      <c r="O69" s="494">
        <f t="shared" si="346"/>
        <v>9.651578783636646</v>
      </c>
      <c r="P69" s="494">
        <f t="shared" si="346"/>
        <v>9.4540559800467161</v>
      </c>
      <c r="Q69" s="494">
        <f t="shared" si="346"/>
        <v>9.5820267534632642</v>
      </c>
      <c r="R69" s="494">
        <f t="shared" si="346"/>
        <v>10.430985380672109</v>
      </c>
      <c r="S69" s="494">
        <f t="shared" si="346"/>
        <v>10.526115570434055</v>
      </c>
      <c r="T69" s="494">
        <f t="shared" si="346"/>
        <v>10.300125707102451</v>
      </c>
      <c r="U69" s="494">
        <f t="shared" si="346"/>
        <v>9.3165646202217438</v>
      </c>
      <c r="V69" s="494">
        <f t="shared" si="346"/>
        <v>9.807067663288068</v>
      </c>
      <c r="W69" s="494">
        <f t="shared" si="346"/>
        <v>10.294295749061401</v>
      </c>
      <c r="X69" s="494">
        <f t="shared" si="346"/>
        <v>10.992937973283416</v>
      </c>
      <c r="Y69" s="494">
        <f t="shared" si="346"/>
        <v>11.030549537999027</v>
      </c>
      <c r="Z69" s="494">
        <f t="shared" si="346"/>
        <v>11.840452261306533</v>
      </c>
      <c r="AA69" s="494">
        <f t="shared" si="346"/>
        <v>11.863213083965881</v>
      </c>
      <c r="AB69" s="494">
        <f t="shared" si="346"/>
        <v>11.880748749394868</v>
      </c>
      <c r="AC69" s="494">
        <f t="shared" si="346"/>
        <v>12.033787643842324</v>
      </c>
      <c r="AD69" s="494">
        <f t="shared" si="346"/>
        <v>12.372444924818005</v>
      </c>
      <c r="AE69" s="494">
        <f t="shared" si="346"/>
        <v>12.107569481961702</v>
      </c>
      <c r="AF69" s="494">
        <f t="shared" si="346"/>
        <v>12.393763179755895</v>
      </c>
      <c r="AG69" s="494">
        <f t="shared" si="346"/>
        <v>12.241742887294388</v>
      </c>
      <c r="AH69" s="494">
        <f t="shared" si="346"/>
        <v>13.054237467774044</v>
      </c>
      <c r="AI69" s="494">
        <f t="shared" si="346"/>
        <v>12.264207980652964</v>
      </c>
      <c r="AJ69" s="494">
        <f t="shared" si="346"/>
        <v>12.627833167697881</v>
      </c>
      <c r="AK69" s="494">
        <f t="shared" si="346"/>
        <v>12.460634394987176</v>
      </c>
      <c r="AL69" s="494">
        <f t="shared" si="346"/>
        <v>12.795328524880034</v>
      </c>
      <c r="AM69" s="494">
        <f t="shared" si="346"/>
        <v>12.882572924457742</v>
      </c>
      <c r="AN69" s="494">
        <f t="shared" si="346"/>
        <v>13.162516464906229</v>
      </c>
      <c r="AO69" s="494">
        <f t="shared" si="346"/>
        <v>12.90566037735849</v>
      </c>
      <c r="AP69" s="494">
        <f t="shared" si="346"/>
        <v>13.937118723603941</v>
      </c>
      <c r="AQ69" s="494">
        <f t="shared" si="346"/>
        <v>13.508553838868171</v>
      </c>
      <c r="AR69" s="494">
        <f t="shared" si="346"/>
        <v>13.505069378503384</v>
      </c>
      <c r="AS69" s="494">
        <f t="shared" si="346"/>
        <v>12.936186023469674</v>
      </c>
      <c r="AT69" s="494">
        <f t="shared" si="346"/>
        <v>13.301897137844062</v>
      </c>
      <c r="AU69" s="494">
        <f t="shared" si="346"/>
        <v>12.970297029702971</v>
      </c>
      <c r="AV69" s="494">
        <f t="shared" si="346"/>
        <v>12.87321872879439</v>
      </c>
      <c r="AW69" s="494">
        <f t="shared" si="346"/>
        <v>12.470227968696836</v>
      </c>
      <c r="AX69" s="494">
        <f t="shared" si="346"/>
        <v>12.831916285153696</v>
      </c>
      <c r="AY69" s="494">
        <f t="shared" si="346"/>
        <v>12.325114830262395</v>
      </c>
      <c r="AZ69" s="494">
        <f t="shared" si="346"/>
        <v>12.445150348614963</v>
      </c>
      <c r="BA69" s="494">
        <f t="shared" si="346"/>
        <v>12.38692098092643</v>
      </c>
      <c r="BB69" s="494">
        <f t="shared" si="346"/>
        <v>13.390256652809239</v>
      </c>
      <c r="BC69" s="494">
        <f t="shared" si="346"/>
        <v>12.65971884362277</v>
      </c>
      <c r="BD69" s="494">
        <f t="shared" si="346"/>
        <v>12.917359516456832</v>
      </c>
      <c r="BE69" s="494">
        <f t="shared" si="346"/>
        <v>12.270513300861747</v>
      </c>
      <c r="BF69" s="494">
        <f t="shared" si="346"/>
        <v>12.913332690639161</v>
      </c>
      <c r="BG69" s="494">
        <f t="shared" si="346"/>
        <v>12.802563470544737</v>
      </c>
      <c r="BH69" s="494">
        <f t="shared" si="346"/>
        <v>13.174127381276787</v>
      </c>
      <c r="BI69" s="494">
        <f t="shared" si="346"/>
        <v>12.524745941665568</v>
      </c>
      <c r="BJ69" s="494">
        <f t="shared" si="346"/>
        <v>13.722645992247092</v>
      </c>
      <c r="BK69" s="494">
        <f t="shared" si="346"/>
        <v>13.281190482236727</v>
      </c>
      <c r="BL69" s="494">
        <f t="shared" si="346"/>
        <v>13.283671632836718</v>
      </c>
      <c r="BM69" s="494">
        <f t="shared" si="346"/>
        <v>10.876944837340876</v>
      </c>
      <c r="BN69" s="494">
        <f t="shared" si="346"/>
        <v>3.93581931011349</v>
      </c>
      <c r="BO69" s="494">
        <f t="shared" si="346"/>
        <v>5.4942563482466751</v>
      </c>
      <c r="BP69" s="494">
        <f t="shared" si="346"/>
        <v>6.9961272941572661</v>
      </c>
      <c r="BQ69" s="494">
        <f t="shared" si="346"/>
        <v>7.3965263976497013</v>
      </c>
      <c r="BR69" s="494">
        <f t="shared" ref="BR69:BU69" si="347">BR14/BR42/10</f>
        <v>10.681151613096308</v>
      </c>
      <c r="BS69" s="494">
        <f t="shared" si="347"/>
        <v>10.906698317679844</v>
      </c>
      <c r="BT69" s="494">
        <f t="shared" si="347"/>
        <v>12.423003543199783</v>
      </c>
      <c r="BU69" s="494">
        <f t="shared" si="347"/>
        <v>12.025942298743601</v>
      </c>
    </row>
    <row r="70" spans="2:76" s="279" customFormat="1">
      <c r="C70" s="1192" t="s">
        <v>47</v>
      </c>
      <c r="E70" s="840">
        <f>E15/E43/10</f>
        <v>9.1676439502526446</v>
      </c>
      <c r="F70" s="840">
        <f t="shared" ref="F70:BQ70" si="348">F15/F43/10</f>
        <v>9.9886344067504726</v>
      </c>
      <c r="G70" s="840">
        <f t="shared" si="348"/>
        <v>10.297362801245194</v>
      </c>
      <c r="H70" s="840">
        <f t="shared" si="348"/>
        <v>9.9523177858244001</v>
      </c>
      <c r="I70" s="840">
        <f t="shared" si="348"/>
        <v>10.175184070218707</v>
      </c>
      <c r="J70" s="840">
        <f t="shared" si="348"/>
        <v>11.435555033867526</v>
      </c>
      <c r="K70" s="840">
        <f t="shared" si="348"/>
        <v>11.088894274788604</v>
      </c>
      <c r="L70" s="840">
        <f t="shared" si="348"/>
        <v>10.522988628211413</v>
      </c>
      <c r="M70" s="840">
        <f t="shared" si="348"/>
        <v>10.483399178084172</v>
      </c>
      <c r="N70" s="840">
        <f t="shared" si="348"/>
        <v>12.053094676363218</v>
      </c>
      <c r="O70" s="840">
        <f t="shared" si="348"/>
        <v>11.607387330654735</v>
      </c>
      <c r="P70" s="840">
        <f t="shared" si="348"/>
        <v>10.849854316510115</v>
      </c>
      <c r="Q70" s="840">
        <f t="shared" si="348"/>
        <v>10.937630342296249</v>
      </c>
      <c r="R70" s="840">
        <f t="shared" si="348"/>
        <v>11.920472246177708</v>
      </c>
      <c r="S70" s="840">
        <f t="shared" si="348"/>
        <v>12.216946193323105</v>
      </c>
      <c r="T70" s="840">
        <f t="shared" si="348"/>
        <v>10.77552550207702</v>
      </c>
      <c r="U70" s="840">
        <f t="shared" si="348"/>
        <v>9.9297478426248169</v>
      </c>
      <c r="V70" s="840">
        <f t="shared" si="348"/>
        <v>10.056303942510711</v>
      </c>
      <c r="W70" s="840">
        <f t="shared" si="348"/>
        <v>10.484342031542432</v>
      </c>
      <c r="X70" s="840">
        <f t="shared" si="348"/>
        <v>10.853863922302178</v>
      </c>
      <c r="Y70" s="840">
        <f t="shared" si="348"/>
        <v>10.968636985055932</v>
      </c>
      <c r="Z70" s="840">
        <f t="shared" si="348"/>
        <v>12.12521488419185</v>
      </c>
      <c r="AA70" s="840">
        <f t="shared" si="348"/>
        <v>12.087090530912231</v>
      </c>
      <c r="AB70" s="840">
        <f t="shared" si="348"/>
        <v>11.773275420185069</v>
      </c>
      <c r="AC70" s="840">
        <f t="shared" si="348"/>
        <v>11.738188695011598</v>
      </c>
      <c r="AD70" s="840">
        <f t="shared" si="348"/>
        <v>12.859107426070546</v>
      </c>
      <c r="AE70" s="840">
        <f t="shared" si="348"/>
        <v>13.144090433974682</v>
      </c>
      <c r="AF70" s="840">
        <f t="shared" si="348"/>
        <v>12.809576297810935</v>
      </c>
      <c r="AG70" s="840">
        <f t="shared" si="348"/>
        <v>12.704415864959053</v>
      </c>
      <c r="AH70" s="840">
        <f t="shared" si="348"/>
        <v>13.652680678771437</v>
      </c>
      <c r="AI70" s="840">
        <f t="shared" si="348"/>
        <v>13.345617138364782</v>
      </c>
      <c r="AJ70" s="840">
        <f t="shared" si="348"/>
        <v>13.029363625524349</v>
      </c>
      <c r="AK70" s="840">
        <f t="shared" si="348"/>
        <v>11.80873876177923</v>
      </c>
      <c r="AL70" s="840">
        <f t="shared" si="348"/>
        <v>12.167562873638508</v>
      </c>
      <c r="AM70" s="840">
        <f t="shared" si="348"/>
        <v>12.381871032496056</v>
      </c>
      <c r="AN70" s="840">
        <f t="shared" si="348"/>
        <v>12.504787709417956</v>
      </c>
      <c r="AO70" s="840">
        <f t="shared" si="348"/>
        <v>13.493050778829877</v>
      </c>
      <c r="AP70" s="840">
        <f t="shared" si="348"/>
        <v>14.487912436129339</v>
      </c>
      <c r="AQ70" s="840">
        <f t="shared" si="348"/>
        <v>14.265829810853509</v>
      </c>
      <c r="AR70" s="840">
        <f t="shared" si="348"/>
        <v>13.664780357688638</v>
      </c>
      <c r="AS70" s="840">
        <f t="shared" si="348"/>
        <v>13.381892665371325</v>
      </c>
      <c r="AT70" s="840">
        <f t="shared" si="348"/>
        <v>13.680655354607058</v>
      </c>
      <c r="AU70" s="840">
        <f t="shared" si="348"/>
        <v>13.468302590947371</v>
      </c>
      <c r="AV70" s="840">
        <f t="shared" si="348"/>
        <v>13.031263048964252</v>
      </c>
      <c r="AW70" s="840">
        <f t="shared" si="348"/>
        <v>12.566089965397925</v>
      </c>
      <c r="AX70" s="840">
        <f t="shared" si="348"/>
        <v>12.92264686248331</v>
      </c>
      <c r="AY70" s="840">
        <f t="shared" si="348"/>
        <v>12.755624860770771</v>
      </c>
      <c r="AZ70" s="840">
        <f t="shared" si="348"/>
        <v>13.709235070882926</v>
      </c>
      <c r="BA70" s="840">
        <f t="shared" si="348"/>
        <v>13.429956108266278</v>
      </c>
      <c r="BB70" s="840">
        <f t="shared" si="348"/>
        <v>14.108253802807727</v>
      </c>
      <c r="BC70" s="840">
        <f t="shared" si="348"/>
        <v>13.507901535925438</v>
      </c>
      <c r="BD70" s="840">
        <f t="shared" si="348"/>
        <v>13.974297746711239</v>
      </c>
      <c r="BE70" s="840">
        <f t="shared" si="348"/>
        <v>13.79179855666707</v>
      </c>
      <c r="BF70" s="840">
        <f t="shared" si="348"/>
        <v>14.376126277104586</v>
      </c>
      <c r="BG70" s="840">
        <f t="shared" si="348"/>
        <v>13.987755802643374</v>
      </c>
      <c r="BH70" s="840">
        <f t="shared" si="348"/>
        <v>14.362947228122787</v>
      </c>
      <c r="BI70" s="840">
        <f t="shared" si="348"/>
        <v>13.920557131802941</v>
      </c>
      <c r="BJ70" s="840">
        <f t="shared" si="348"/>
        <v>14.90549978429932</v>
      </c>
      <c r="BK70" s="840">
        <f t="shared" si="348"/>
        <v>14.32840758297402</v>
      </c>
      <c r="BL70" s="840">
        <f t="shared" si="348"/>
        <v>14.522534058399719</v>
      </c>
      <c r="BM70" s="840">
        <f t="shared" si="348"/>
        <v>12.040207665967083</v>
      </c>
      <c r="BN70" s="840">
        <f t="shared" si="348"/>
        <v>5.8154675665266744</v>
      </c>
      <c r="BO70" s="840">
        <f t="shared" si="348"/>
        <v>7.0367757625262231</v>
      </c>
      <c r="BP70" s="840">
        <f t="shared" si="348"/>
        <v>8.017064434338149</v>
      </c>
      <c r="BQ70" s="840">
        <f t="shared" si="348"/>
        <v>7.5762188161159214</v>
      </c>
      <c r="BR70" s="840">
        <f t="shared" ref="BR70:BU70" si="349">BR15/BR43/10</f>
        <v>11.253697951859907</v>
      </c>
      <c r="BS70" s="840">
        <f t="shared" si="349"/>
        <v>12.515637329432824</v>
      </c>
      <c r="BT70" s="840">
        <f t="shared" si="349"/>
        <v>13.240813690036358</v>
      </c>
      <c r="BU70" s="840">
        <f t="shared" si="349"/>
        <v>12.667909603951937</v>
      </c>
      <c r="BW70" s="392"/>
      <c r="BX70" s="392"/>
    </row>
    <row r="71" spans="2:76" s="392" customFormat="1">
      <c r="C71" s="1192"/>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row>
    <row r="72" spans="2:76" s="392" customFormat="1">
      <c r="C72" s="478" t="s">
        <v>1723</v>
      </c>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row>
    <row r="73" spans="2:76" s="392" customFormat="1">
      <c r="C73" s="441" t="str">
        <f>C$11</f>
        <v xml:space="preserve">  AAL</v>
      </c>
      <c r="E73" s="494">
        <f>E11/E52/10</f>
        <v>12.545305740675785</v>
      </c>
      <c r="F73" s="494">
        <f t="shared" ref="F73:BQ74" si="350">F11/F52/10</f>
        <v>12.660054575986566</v>
      </c>
      <c r="G73" s="494">
        <f t="shared" si="350"/>
        <v>13.498987170830521</v>
      </c>
      <c r="H73" s="494">
        <f t="shared" si="350"/>
        <v>13.056062947871293</v>
      </c>
      <c r="I73" s="494">
        <f t="shared" si="350"/>
        <v>13.637651592428877</v>
      </c>
      <c r="J73" s="494">
        <f t="shared" si="350"/>
        <v>13.718594236267489</v>
      </c>
      <c r="K73" s="494">
        <f t="shared" si="350"/>
        <v>13.606262833675563</v>
      </c>
      <c r="L73" s="494">
        <f t="shared" si="350"/>
        <v>13.542017278133065</v>
      </c>
      <c r="M73" s="494">
        <f t="shared" si="350"/>
        <v>13.589000200935786</v>
      </c>
      <c r="N73" s="494">
        <f t="shared" si="350"/>
        <v>14.945751212537498</v>
      </c>
      <c r="O73" s="494">
        <f t="shared" si="350"/>
        <v>13.485514511195083</v>
      </c>
      <c r="P73" s="494">
        <f t="shared" si="350"/>
        <v>13.658778478745973</v>
      </c>
      <c r="Q73" s="494">
        <f t="shared" si="350"/>
        <v>14.322841466936183</v>
      </c>
      <c r="R73" s="494">
        <f t="shared" si="350"/>
        <v>14.72322617462431</v>
      </c>
      <c r="S73" s="494">
        <f t="shared" si="350"/>
        <v>15.262070465419749</v>
      </c>
      <c r="T73" s="494">
        <f t="shared" si="350"/>
        <v>14.596647216819488</v>
      </c>
      <c r="U73" s="494">
        <f t="shared" si="350"/>
        <v>13.584422407565508</v>
      </c>
      <c r="V73" s="494">
        <f t="shared" si="350"/>
        <v>12.416286374681443</v>
      </c>
      <c r="W73" s="494">
        <f t="shared" si="350"/>
        <v>12.766265758585712</v>
      </c>
      <c r="X73" s="494">
        <f t="shared" si="350"/>
        <v>13.504551568805331</v>
      </c>
      <c r="Y73" s="494">
        <f t="shared" si="350"/>
        <v>14.164185452998726</v>
      </c>
      <c r="Z73" s="494">
        <f t="shared" si="350"/>
        <v>14.164610248221802</v>
      </c>
      <c r="AA73" s="494">
        <f t="shared" si="350"/>
        <v>14.131706501754971</v>
      </c>
      <c r="AB73" s="494">
        <f t="shared" si="350"/>
        <v>14.393530997304584</v>
      </c>
      <c r="AC73" s="494">
        <f t="shared" si="350"/>
        <v>15.050637359828761</v>
      </c>
      <c r="AD73" s="494">
        <f t="shared" si="350"/>
        <v>14.892714782461201</v>
      </c>
      <c r="AE73" s="494">
        <f t="shared" si="350"/>
        <v>15.194897624000877</v>
      </c>
      <c r="AF73" s="494">
        <f t="shared" si="350"/>
        <v>15.490792923661132</v>
      </c>
      <c r="AG73" s="494">
        <f t="shared" si="350"/>
        <v>16.167646149087538</v>
      </c>
      <c r="AH73" s="494">
        <f t="shared" si="350"/>
        <v>15.954520967421818</v>
      </c>
      <c r="AI73" s="494">
        <f t="shared" si="350"/>
        <v>15.735306389252036</v>
      </c>
      <c r="AJ73" s="494">
        <f t="shared" si="350"/>
        <v>15.561401917203423</v>
      </c>
      <c r="AK73" s="494">
        <f t="shared" si="350"/>
        <v>10.581555746586433</v>
      </c>
      <c r="AL73" s="494">
        <f t="shared" si="350"/>
        <v>10.104810534802473</v>
      </c>
      <c r="AM73" s="494">
        <f t="shared" si="350"/>
        <v>10.477118835837004</v>
      </c>
      <c r="AN73" s="494">
        <f t="shared" si="350"/>
        <v>12.241656460502144</v>
      </c>
      <c r="AO73" s="494">
        <f t="shared" si="350"/>
        <v>17.028259246158079</v>
      </c>
      <c r="AP73" s="494">
        <f t="shared" si="350"/>
        <v>17.344476693359443</v>
      </c>
      <c r="AQ73" s="494">
        <f t="shared" si="350"/>
        <v>16.926279271465742</v>
      </c>
      <c r="AR73" s="494">
        <f t="shared" si="350"/>
        <v>16.84119677790564</v>
      </c>
      <c r="AS73" s="494">
        <f t="shared" si="350"/>
        <v>16.818091253237696</v>
      </c>
      <c r="AT73" s="494">
        <f t="shared" si="350"/>
        <v>16.281281887203612</v>
      </c>
      <c r="AU73" s="494">
        <f t="shared" si="350"/>
        <v>15.366542897512568</v>
      </c>
      <c r="AV73" s="494">
        <f t="shared" si="350"/>
        <v>15.339995935935566</v>
      </c>
      <c r="AW73" s="494">
        <f t="shared" si="350"/>
        <v>15.62071429951131</v>
      </c>
      <c r="AX73" s="494">
        <f t="shared" si="350"/>
        <v>15.419295117937466</v>
      </c>
      <c r="AY73" s="494">
        <f t="shared" si="350"/>
        <v>15.27061533069644</v>
      </c>
      <c r="AZ73" s="494">
        <f t="shared" si="350"/>
        <v>15.615879667739282</v>
      </c>
      <c r="BA73" s="494">
        <f t="shared" si="350"/>
        <v>17.646712694178568</v>
      </c>
      <c r="BB73" s="494">
        <f t="shared" si="350"/>
        <v>17.381304143442346</v>
      </c>
      <c r="BC73" s="494">
        <f t="shared" si="350"/>
        <v>16.695606158323827</v>
      </c>
      <c r="BD73" s="494">
        <f t="shared" si="350"/>
        <v>17.503208198528746</v>
      </c>
      <c r="BE73" s="494">
        <f t="shared" si="350"/>
        <v>17.905373500802718</v>
      </c>
      <c r="BF73" s="494">
        <f t="shared" si="350"/>
        <v>17.561986870465127</v>
      </c>
      <c r="BG73" s="494">
        <f t="shared" si="350"/>
        <v>17.071041784530831</v>
      </c>
      <c r="BH73" s="494">
        <f t="shared" si="350"/>
        <v>17.926938995861075</v>
      </c>
      <c r="BI73" s="494">
        <f t="shared" si="350"/>
        <v>17.623444399839421</v>
      </c>
      <c r="BJ73" s="494">
        <f t="shared" si="350"/>
        <v>17.573175013565706</v>
      </c>
      <c r="BK73" s="494">
        <f t="shared" si="350"/>
        <v>16.948238123130995</v>
      </c>
      <c r="BL73" s="494">
        <f t="shared" si="350"/>
        <v>17.561993991547432</v>
      </c>
      <c r="BM73" s="494">
        <f t="shared" si="350"/>
        <v>17.004272652808218</v>
      </c>
      <c r="BN73" s="494">
        <f t="shared" si="350"/>
        <v>15.322915226109805</v>
      </c>
      <c r="BO73" s="494">
        <f t="shared" si="350"/>
        <v>14.016886485293307</v>
      </c>
      <c r="BP73" s="494">
        <f t="shared" si="350"/>
        <v>14.974416748814722</v>
      </c>
      <c r="BQ73" s="494">
        <f t="shared" si="350"/>
        <v>14.15153133903134</v>
      </c>
      <c r="BR73" s="494">
        <f t="shared" ref="BR73:BU77" si="351">BR11/BR52/10</f>
        <v>15.575174908381324</v>
      </c>
      <c r="BS73" s="494">
        <f t="shared" si="351"/>
        <v>16.553287981859409</v>
      </c>
      <c r="BT73" s="494">
        <f t="shared" si="351"/>
        <v>17.110367073618882</v>
      </c>
      <c r="BU73" s="494">
        <f t="shared" si="351"/>
        <v>17.651840144502145</v>
      </c>
    </row>
    <row r="74" spans="2:76" s="392" customFormat="1">
      <c r="C74" s="441" t="str">
        <f>C$12</f>
        <v xml:space="preserve">  DAL</v>
      </c>
      <c r="E74" s="494">
        <f t="shared" ref="E74:T77" si="352">E12/E53/10</f>
        <v>11.850511073253834</v>
      </c>
      <c r="F74" s="494">
        <f t="shared" si="352"/>
        <v>12.237872662961092</v>
      </c>
      <c r="G74" s="494">
        <f t="shared" si="352"/>
        <v>11.96752068403408</v>
      </c>
      <c r="H74" s="494">
        <f t="shared" si="352"/>
        <v>12.632227213447326</v>
      </c>
      <c r="I74" s="494">
        <f t="shared" si="352"/>
        <v>12.313967589019953</v>
      </c>
      <c r="J74" s="494">
        <f t="shared" si="352"/>
        <v>14.011912288290684</v>
      </c>
      <c r="K74" s="494">
        <f t="shared" si="352"/>
        <v>13.286559275106972</v>
      </c>
      <c r="L74" s="494">
        <f t="shared" si="352"/>
        <v>13.284608770421324</v>
      </c>
      <c r="M74" s="494">
        <f t="shared" si="352"/>
        <v>13.706684305295264</v>
      </c>
      <c r="N74" s="494">
        <f t="shared" si="352"/>
        <v>14.228260181138769</v>
      </c>
      <c r="O74" s="494">
        <f t="shared" si="352"/>
        <v>13.626748149018686</v>
      </c>
      <c r="P74" s="494">
        <f t="shared" si="352"/>
        <v>13.909980162801833</v>
      </c>
      <c r="Q74" s="494">
        <f t="shared" si="352"/>
        <v>14.536429711044141</v>
      </c>
      <c r="R74" s="494">
        <f t="shared" si="352"/>
        <v>14.781988905760949</v>
      </c>
      <c r="S74" s="494">
        <f t="shared" si="352"/>
        <v>14.645053102291783</v>
      </c>
      <c r="T74" s="494">
        <f t="shared" si="352"/>
        <v>12.241717896174864</v>
      </c>
      <c r="U74" s="494">
        <f t="shared" si="350"/>
        <v>13.037709497206702</v>
      </c>
      <c r="V74" s="494">
        <f t="shared" si="350"/>
        <v>12.033922491998451</v>
      </c>
      <c r="W74" s="494">
        <f t="shared" si="350"/>
        <v>12.223866894006107</v>
      </c>
      <c r="X74" s="494">
        <f t="shared" si="350"/>
        <v>13.267063063890356</v>
      </c>
      <c r="Y74" s="494">
        <f t="shared" si="350"/>
        <v>13.704062123822789</v>
      </c>
      <c r="Z74" s="494">
        <f t="shared" si="350"/>
        <v>14.047781296348258</v>
      </c>
      <c r="AA74" s="494">
        <f t="shared" si="350"/>
        <v>14.22039323273891</v>
      </c>
      <c r="AB74" s="494">
        <f t="shared" si="350"/>
        <v>14.422598576774167</v>
      </c>
      <c r="AC74" s="494">
        <f t="shared" si="350"/>
        <v>15.315986862027998</v>
      </c>
      <c r="AD74" s="494">
        <f t="shared" si="350"/>
        <v>15.667315252352779</v>
      </c>
      <c r="AE74" s="494">
        <f t="shared" si="350"/>
        <v>15.721966346771381</v>
      </c>
      <c r="AF74" s="494">
        <f t="shared" si="350"/>
        <v>16.060033351862145</v>
      </c>
      <c r="AG74" s="494">
        <f t="shared" si="350"/>
        <v>16.668588959885586</v>
      </c>
      <c r="AH74" s="494">
        <f t="shared" si="350"/>
        <v>16.688440221694378</v>
      </c>
      <c r="AI74" s="494">
        <f t="shared" si="350"/>
        <v>16.112432191424539</v>
      </c>
      <c r="AJ74" s="494">
        <f t="shared" si="350"/>
        <v>16.395361678630589</v>
      </c>
      <c r="AK74" s="494">
        <f t="shared" si="350"/>
        <v>16.992432332048843</v>
      </c>
      <c r="AL74" s="494">
        <f t="shared" si="350"/>
        <v>16.726728500817238</v>
      </c>
      <c r="AM74" s="494">
        <f t="shared" si="350"/>
        <v>16.844136223811866</v>
      </c>
      <c r="AN74" s="494">
        <f t="shared" si="350"/>
        <v>17.04697986577181</v>
      </c>
      <c r="AO74" s="494">
        <f t="shared" si="350"/>
        <v>17.212618551153561</v>
      </c>
      <c r="AP74" s="494">
        <f t="shared" si="350"/>
        <v>17.371252882398156</v>
      </c>
      <c r="AQ74" s="494">
        <f t="shared" si="350"/>
        <v>17.164428057238172</v>
      </c>
      <c r="AR74" s="494">
        <f t="shared" si="350"/>
        <v>17.146248021987173</v>
      </c>
      <c r="AS74" s="494">
        <f t="shared" si="350"/>
        <v>17.14155903160901</v>
      </c>
      <c r="AT74" s="494">
        <f t="shared" si="350"/>
        <v>16.690713176878823</v>
      </c>
      <c r="AU74" s="494">
        <f t="shared" si="350"/>
        <v>16.241790236305775</v>
      </c>
      <c r="AV74" s="494">
        <f t="shared" si="350"/>
        <v>16.389970346761341</v>
      </c>
      <c r="AW74" s="494">
        <f t="shared" si="350"/>
        <v>16.264012572027237</v>
      </c>
      <c r="AX74" s="494">
        <f t="shared" si="350"/>
        <v>15.900026588673224</v>
      </c>
      <c r="AY74" s="494">
        <f t="shared" si="350"/>
        <v>15.381615315483355</v>
      </c>
      <c r="AZ74" s="494">
        <f t="shared" si="350"/>
        <v>20.028008402520758</v>
      </c>
      <c r="BA74" s="494">
        <f t="shared" si="350"/>
        <v>17.054554554554556</v>
      </c>
      <c r="BB74" s="494">
        <f t="shared" si="350"/>
        <v>16.965696917064697</v>
      </c>
      <c r="BC74" s="494">
        <f t="shared" si="350"/>
        <v>16.357407468117891</v>
      </c>
      <c r="BD74" s="494">
        <f t="shared" si="350"/>
        <v>17.62797967956233</v>
      </c>
      <c r="BE74" s="494">
        <f t="shared" si="350"/>
        <v>17.787563925643315</v>
      </c>
      <c r="BF74" s="494">
        <f t="shared" si="350"/>
        <v>17.752415580917752</v>
      </c>
      <c r="BG74" s="494">
        <f t="shared" si="350"/>
        <v>17.049905243209096</v>
      </c>
      <c r="BH74" s="494">
        <f t="shared" si="350"/>
        <v>18.121372626359385</v>
      </c>
      <c r="BI74" s="494">
        <f t="shared" si="350"/>
        <v>17.928201948970301</v>
      </c>
      <c r="BJ74" s="494">
        <f t="shared" si="350"/>
        <v>17.995029522105963</v>
      </c>
      <c r="BK74" s="494">
        <f t="shared" si="350"/>
        <v>17.064999551314649</v>
      </c>
      <c r="BL74" s="494">
        <f t="shared" si="350"/>
        <v>18.285500107089312</v>
      </c>
      <c r="BM74" s="494">
        <f t="shared" si="350"/>
        <v>17.57698202591612</v>
      </c>
      <c r="BN74" s="494">
        <f t="shared" si="350"/>
        <v>18.724109362054683</v>
      </c>
      <c r="BO74" s="494">
        <f t="shared" si="350"/>
        <v>16.786487656994371</v>
      </c>
      <c r="BP74" s="494">
        <f t="shared" si="350"/>
        <v>17.769874201409472</v>
      </c>
      <c r="BQ74" s="494">
        <f t="shared" si="350"/>
        <v>15.310898150211722</v>
      </c>
      <c r="BR74" s="494">
        <f t="shared" si="351"/>
        <v>16.040258374643237</v>
      </c>
      <c r="BS74" s="494">
        <f t="shared" si="351"/>
        <v>16.701117123812619</v>
      </c>
      <c r="BT74" s="494">
        <f t="shared" si="351"/>
        <v>17.922380080194049</v>
      </c>
      <c r="BU74" s="494">
        <f t="shared" si="351"/>
        <v>17.847545219638242</v>
      </c>
    </row>
    <row r="75" spans="2:76" s="392" customFormat="1">
      <c r="C75" s="441" t="str">
        <f>C$13</f>
        <v xml:space="preserve">  UAL</v>
      </c>
      <c r="E75" s="494">
        <f t="shared" si="352"/>
        <v>12.843488649940264</v>
      </c>
      <c r="F75" s="494">
        <f t="shared" ref="F75:BQ77" si="353">F13/F54/10</f>
        <v>13.422750076789189</v>
      </c>
      <c r="G75" s="494">
        <f t="shared" si="353"/>
        <v>13.624364812248398</v>
      </c>
      <c r="H75" s="494">
        <f t="shared" si="353"/>
        <v>13.776406872063413</v>
      </c>
      <c r="I75" s="494">
        <f t="shared" si="353"/>
        <v>14.292476877139318</v>
      </c>
      <c r="J75" s="494">
        <f t="shared" si="353"/>
        <v>14.855414240640147</v>
      </c>
      <c r="K75" s="494">
        <f t="shared" si="353"/>
        <v>15.110695755857046</v>
      </c>
      <c r="L75" s="494">
        <f t="shared" si="353"/>
        <v>14.475455125026562</v>
      </c>
      <c r="M75" s="494">
        <f t="shared" si="353"/>
        <v>14.205344585091421</v>
      </c>
      <c r="N75" s="494">
        <f t="shared" si="353"/>
        <v>15.476924074854864</v>
      </c>
      <c r="O75" s="494">
        <f t="shared" si="353"/>
        <v>16.270984012919495</v>
      </c>
      <c r="P75" s="494">
        <f t="shared" si="353"/>
        <v>14.76232081027732</v>
      </c>
      <c r="Q75" s="494">
        <f t="shared" si="353"/>
        <v>14.326069410815174</v>
      </c>
      <c r="R75" s="494">
        <f t="shared" si="353"/>
        <v>15.027163070501212</v>
      </c>
      <c r="S75" s="494">
        <f t="shared" si="353"/>
        <v>15.794187590722382</v>
      </c>
      <c r="T75" s="494">
        <f t="shared" si="353"/>
        <v>15.134447674418604</v>
      </c>
      <c r="U75" s="494">
        <f t="shared" si="353"/>
        <v>13.019218846869189</v>
      </c>
      <c r="V75" s="494">
        <f t="shared" si="353"/>
        <v>12.508050574556794</v>
      </c>
      <c r="W75" s="494">
        <f t="shared" si="353"/>
        <v>12.6965008184317</v>
      </c>
      <c r="X75" s="494">
        <f t="shared" si="353"/>
        <v>13.176547562793065</v>
      </c>
      <c r="Y75" s="494">
        <f t="shared" si="353"/>
        <v>13.810422960725074</v>
      </c>
      <c r="Z75" s="494">
        <f t="shared" si="353"/>
        <v>15.441312751049793</v>
      </c>
      <c r="AA75" s="494">
        <f t="shared" si="353"/>
        <v>14.829773726902271</v>
      </c>
      <c r="AB75" s="494">
        <f t="shared" si="353"/>
        <v>14.487051500381702</v>
      </c>
      <c r="AC75" s="494">
        <f t="shared" si="353"/>
        <v>15.154160633676858</v>
      </c>
      <c r="AD75" s="494">
        <f t="shared" si="353"/>
        <v>15.798691123605863</v>
      </c>
      <c r="AE75" s="494">
        <f t="shared" si="353"/>
        <v>15.846129491847396</v>
      </c>
      <c r="AF75" s="494">
        <f t="shared" si="353"/>
        <v>15.795750874284906</v>
      </c>
      <c r="AG75" s="494">
        <f t="shared" si="353"/>
        <v>15.938183284862124</v>
      </c>
      <c r="AH75" s="494">
        <f t="shared" si="353"/>
        <v>16.090730579361729</v>
      </c>
      <c r="AI75" s="494">
        <f t="shared" si="353"/>
        <v>15.661983898895055</v>
      </c>
      <c r="AJ75" s="494">
        <f t="shared" si="353"/>
        <v>15.737684368863077</v>
      </c>
      <c r="AK75" s="494">
        <f t="shared" si="353"/>
        <v>16.240546579580613</v>
      </c>
      <c r="AL75" s="494">
        <f t="shared" si="353"/>
        <v>16.177376308766164</v>
      </c>
      <c r="AM75" s="494">
        <f t="shared" si="353"/>
        <v>15.96405492007232</v>
      </c>
      <c r="AN75" s="494">
        <f t="shared" si="353"/>
        <v>16.220337949124627</v>
      </c>
      <c r="AO75" s="494">
        <f t="shared" si="353"/>
        <v>15.919625724942327</v>
      </c>
      <c r="AP75" s="494">
        <f t="shared" si="353"/>
        <v>16.662337662337663</v>
      </c>
      <c r="AQ75" s="494">
        <f t="shared" si="353"/>
        <v>16.612860073129404</v>
      </c>
      <c r="AR75" s="494">
        <f t="shared" si="353"/>
        <v>16.42518949015464</v>
      </c>
      <c r="AS75" s="494">
        <f t="shared" si="353"/>
        <v>15.976229437602274</v>
      </c>
      <c r="AT75" s="494">
        <f t="shared" si="353"/>
        <v>15.981137983753616</v>
      </c>
      <c r="AU75" s="494">
        <f t="shared" si="353"/>
        <v>15.675297410776768</v>
      </c>
      <c r="AV75" s="494">
        <f t="shared" si="353"/>
        <v>15.239165582239048</v>
      </c>
      <c r="AW75" s="494">
        <f t="shared" si="353"/>
        <v>15.006118374444515</v>
      </c>
      <c r="AX75" s="494">
        <f t="shared" si="353"/>
        <v>15.000833071070218</v>
      </c>
      <c r="AY75" s="494">
        <f t="shared" si="353"/>
        <v>14.788901877191776</v>
      </c>
      <c r="AZ75" s="494">
        <f t="shared" si="353"/>
        <v>15.058791571267804</v>
      </c>
      <c r="BA75" s="494">
        <f t="shared" si="353"/>
        <v>16.074016508789988</v>
      </c>
      <c r="BB75" s="494">
        <f t="shared" si="353"/>
        <v>16.237845127404359</v>
      </c>
      <c r="BC75" s="494">
        <f t="shared" si="353"/>
        <v>15.333502409332993</v>
      </c>
      <c r="BD75" s="494">
        <f t="shared" si="353"/>
        <v>16.156465784868953</v>
      </c>
      <c r="BE75" s="494">
        <f t="shared" si="353"/>
        <v>16.347369054544725</v>
      </c>
      <c r="BF75" s="494">
        <f t="shared" si="353"/>
        <v>16.481774960380349</v>
      </c>
      <c r="BG75" s="494">
        <f t="shared" si="353"/>
        <v>15.963907686968593</v>
      </c>
      <c r="BH75" s="494">
        <f t="shared" si="353"/>
        <v>16.774329448111221</v>
      </c>
      <c r="BI75" s="494">
        <f t="shared" si="353"/>
        <v>16.432190142569262</v>
      </c>
      <c r="BJ75" s="494">
        <f t="shared" si="353"/>
        <v>16.644180251107123</v>
      </c>
      <c r="BK75" s="494">
        <f t="shared" si="353"/>
        <v>16.217178047006762</v>
      </c>
      <c r="BL75" s="494">
        <f t="shared" si="353"/>
        <v>16.940971807685091</v>
      </c>
      <c r="BM75" s="494">
        <f t="shared" si="353"/>
        <v>16.343195540030997</v>
      </c>
      <c r="BN75" s="494">
        <f t="shared" si="353"/>
        <v>22.929292929292927</v>
      </c>
      <c r="BO75" s="494">
        <f t="shared" si="353"/>
        <v>15.537548289833225</v>
      </c>
      <c r="BP75" s="494">
        <f t="shared" si="353"/>
        <v>14.117509226173041</v>
      </c>
      <c r="BQ75" s="494">
        <f t="shared" si="353"/>
        <v>13.427643784786643</v>
      </c>
      <c r="BR75" s="494">
        <f t="shared" si="351"/>
        <v>15.31177667110893</v>
      </c>
      <c r="BS75" s="494">
        <f t="shared" si="351"/>
        <v>16.175574565572372</v>
      </c>
      <c r="BT75" s="494">
        <f t="shared" si="351"/>
        <v>16.303987104726687</v>
      </c>
      <c r="BU75" s="494">
        <f t="shared" si="351"/>
        <v>16.426870924334956</v>
      </c>
    </row>
    <row r="76" spans="2:76" s="278" customFormat="1">
      <c r="C76" s="441" t="str">
        <f>C$14</f>
        <v xml:space="preserve">  LUV</v>
      </c>
      <c r="E76" s="494">
        <f t="shared" si="352"/>
        <v>12.033539809638919</v>
      </c>
      <c r="F76" s="494">
        <f t="shared" si="353"/>
        <v>12.0671834625323</v>
      </c>
      <c r="G76" s="494">
        <f t="shared" si="353"/>
        <v>11.683170978807755</v>
      </c>
      <c r="H76" s="494">
        <f t="shared" si="353"/>
        <v>12.589999339454391</v>
      </c>
      <c r="I76" s="494">
        <f t="shared" si="353"/>
        <v>12.683246073298431</v>
      </c>
      <c r="J76" s="494">
        <f t="shared" si="353"/>
        <v>13.236942389598743</v>
      </c>
      <c r="K76" s="494">
        <f t="shared" si="353"/>
        <v>12.708954803849835</v>
      </c>
      <c r="L76" s="494">
        <f t="shared" si="353"/>
        <v>13.047619047619047</v>
      </c>
      <c r="M76" s="494">
        <f t="shared" si="353"/>
        <v>13.110683468868334</v>
      </c>
      <c r="N76" s="494">
        <f t="shared" si="353"/>
        <v>13.013460545211945</v>
      </c>
      <c r="O76" s="494">
        <f t="shared" si="353"/>
        <v>12.607944732297064</v>
      </c>
      <c r="P76" s="494">
        <f t="shared" si="353"/>
        <v>13.641816623821764</v>
      </c>
      <c r="Q76" s="494">
        <f t="shared" si="353"/>
        <v>13.722146430195545</v>
      </c>
      <c r="R76" s="494">
        <f t="shared" si="353"/>
        <v>13.865334140924691</v>
      </c>
      <c r="S76" s="494">
        <f t="shared" si="353"/>
        <v>14.700100940338947</v>
      </c>
      <c r="T76" s="494">
        <f t="shared" si="353"/>
        <v>15.18679409209383</v>
      </c>
      <c r="U76" s="494">
        <f t="shared" si="353"/>
        <v>13.331754676770069</v>
      </c>
      <c r="V76" s="494">
        <f t="shared" si="353"/>
        <v>12.73179901437789</v>
      </c>
      <c r="W76" s="494">
        <f t="shared" si="353"/>
        <v>12.939564621708021</v>
      </c>
      <c r="X76" s="494">
        <f t="shared" si="353"/>
        <v>14.217331499312241</v>
      </c>
      <c r="Y76" s="494">
        <f t="shared" si="353"/>
        <v>14.537932641883231</v>
      </c>
      <c r="Z76" s="494">
        <f t="shared" si="353"/>
        <v>14.926259526873206</v>
      </c>
      <c r="AA76" s="494">
        <f t="shared" si="353"/>
        <v>14.666473177574616</v>
      </c>
      <c r="AB76" s="494">
        <f t="shared" si="353"/>
        <v>14.720583824852545</v>
      </c>
      <c r="AC76" s="494">
        <f t="shared" si="353"/>
        <v>15.362575536570116</v>
      </c>
      <c r="AD76" s="494">
        <f t="shared" si="353"/>
        <v>15.03631587080822</v>
      </c>
      <c r="AE76" s="494">
        <f t="shared" si="353"/>
        <v>14.764658516946051</v>
      </c>
      <c r="AF76" s="494">
        <f t="shared" si="353"/>
        <v>15.404471625431873</v>
      </c>
      <c r="AG76" s="494">
        <f t="shared" si="353"/>
        <v>15.832893143719733</v>
      </c>
      <c r="AH76" s="494">
        <f t="shared" si="353"/>
        <v>15.944720264989636</v>
      </c>
      <c r="AI76" s="494">
        <f t="shared" si="353"/>
        <v>14.93575820049332</v>
      </c>
      <c r="AJ76" s="494">
        <f t="shared" si="353"/>
        <v>15.869626525925629</v>
      </c>
      <c r="AK76" s="494">
        <f t="shared" si="353"/>
        <v>16.155238456034009</v>
      </c>
      <c r="AL76" s="494">
        <f t="shared" si="353"/>
        <v>15.68233967331896</v>
      </c>
      <c r="AM76" s="494">
        <f t="shared" si="353"/>
        <v>15.942243613476489</v>
      </c>
      <c r="AN76" s="494">
        <f t="shared" si="353"/>
        <v>16.361297364727896</v>
      </c>
      <c r="AO76" s="494">
        <f t="shared" si="353"/>
        <v>16.282343200165595</v>
      </c>
      <c r="AP76" s="494">
        <f t="shared" si="353"/>
        <v>16.621196222455403</v>
      </c>
      <c r="AQ76" s="494">
        <f t="shared" si="353"/>
        <v>16.001682911436784</v>
      </c>
      <c r="AR76" s="494">
        <f t="shared" si="353"/>
        <v>16.471159593544531</v>
      </c>
      <c r="AS76" s="494">
        <f t="shared" si="353"/>
        <v>16.155601098178725</v>
      </c>
      <c r="AT76" s="494">
        <f t="shared" si="353"/>
        <v>15.723637306371121</v>
      </c>
      <c r="AU76" s="494">
        <f t="shared" si="353"/>
        <v>15.18693846005217</v>
      </c>
      <c r="AV76" s="494">
        <f t="shared" si="353"/>
        <v>15.315527448869753</v>
      </c>
      <c r="AW76" s="494">
        <f t="shared" si="353"/>
        <v>15.481554491692481</v>
      </c>
      <c r="AX76" s="494">
        <f t="shared" si="353"/>
        <v>14.996331172801764</v>
      </c>
      <c r="AY76" s="494">
        <f t="shared" si="353"/>
        <v>14.447951479143459</v>
      </c>
      <c r="AZ76" s="494">
        <f t="shared" si="353"/>
        <v>14.738889243129503</v>
      </c>
      <c r="BA76" s="494">
        <f t="shared" si="353"/>
        <v>15.493677788759754</v>
      </c>
      <c r="BB76" s="494">
        <f t="shared" si="353"/>
        <v>15.644359130965885</v>
      </c>
      <c r="BC76" s="494">
        <f t="shared" si="353"/>
        <v>14.923931417531998</v>
      </c>
      <c r="BD76" s="494">
        <f t="shared" si="353"/>
        <v>15.203479341410377</v>
      </c>
      <c r="BE76" s="494">
        <f t="shared" si="353"/>
        <v>15.062912710667238</v>
      </c>
      <c r="BF76" s="494">
        <f t="shared" si="353"/>
        <v>15.246279486668751</v>
      </c>
      <c r="BG76" s="494">
        <f t="shared" si="353"/>
        <v>15.265694803667998</v>
      </c>
      <c r="BH76" s="494">
        <f t="shared" si="353"/>
        <v>15.772926800332186</v>
      </c>
      <c r="BI76" s="494">
        <f t="shared" si="353"/>
        <v>15.454012506513809</v>
      </c>
      <c r="BJ76" s="494">
        <f t="shared" si="353"/>
        <v>15.891450417052827</v>
      </c>
      <c r="BK76" s="494">
        <f t="shared" si="353"/>
        <v>15.90197330414424</v>
      </c>
      <c r="BL76" s="494">
        <f t="shared" si="353"/>
        <v>15.994461834818205</v>
      </c>
      <c r="BM76" s="494">
        <f t="shared" si="353"/>
        <v>16.064340923334029</v>
      </c>
      <c r="BN76" s="494">
        <f t="shared" si="353"/>
        <v>12.540078375489847</v>
      </c>
      <c r="BO76" s="494">
        <f t="shared" si="353"/>
        <v>12.230820995962315</v>
      </c>
      <c r="BP76" s="494">
        <f t="shared" si="353"/>
        <v>13.000625782227782</v>
      </c>
      <c r="BQ76" s="494">
        <f t="shared" si="353"/>
        <v>11.509243697478992</v>
      </c>
      <c r="BR76" s="494">
        <f t="shared" si="351"/>
        <v>12.889595146086894</v>
      </c>
      <c r="BS76" s="494">
        <f t="shared" si="351"/>
        <v>13.511267380533804</v>
      </c>
      <c r="BT76" s="494">
        <f t="shared" si="351"/>
        <v>15.490229396771451</v>
      </c>
      <c r="BU76" s="494">
        <f t="shared" si="351"/>
        <v>15.61378997847676</v>
      </c>
    </row>
    <row r="77" spans="2:76" s="279" customFormat="1">
      <c r="C77" s="1192" t="s">
        <v>47</v>
      </c>
      <c r="E77" s="840">
        <f t="shared" si="352"/>
        <v>12.365979884776879</v>
      </c>
      <c r="F77" s="840">
        <f t="shared" si="353"/>
        <v>12.65832729558211</v>
      </c>
      <c r="G77" s="840">
        <f t="shared" si="353"/>
        <v>12.847495495631938</v>
      </c>
      <c r="H77" s="840">
        <f t="shared" si="353"/>
        <v>13.068572343210088</v>
      </c>
      <c r="I77" s="840">
        <f t="shared" si="353"/>
        <v>13.3276958013055</v>
      </c>
      <c r="J77" s="840">
        <f t="shared" si="353"/>
        <v>14.016231815373677</v>
      </c>
      <c r="K77" s="840">
        <f t="shared" si="353"/>
        <v>13.778420973381738</v>
      </c>
      <c r="L77" s="840">
        <f t="shared" si="353"/>
        <v>13.642056023131181</v>
      </c>
      <c r="M77" s="840">
        <f t="shared" si="353"/>
        <v>13.707880024176486</v>
      </c>
      <c r="N77" s="840">
        <f t="shared" si="353"/>
        <v>14.57829159587493</v>
      </c>
      <c r="O77" s="840">
        <f t="shared" si="353"/>
        <v>14.083143400317459</v>
      </c>
      <c r="P77" s="840">
        <f t="shared" si="353"/>
        <v>14.019921892140946</v>
      </c>
      <c r="Q77" s="840">
        <f t="shared" si="353"/>
        <v>14.282472336446901</v>
      </c>
      <c r="R77" s="840">
        <f t="shared" si="353"/>
        <v>14.680432402170243</v>
      </c>
      <c r="S77" s="840">
        <f t="shared" si="353"/>
        <v>15.144658419210179</v>
      </c>
      <c r="T77" s="840">
        <f t="shared" si="353"/>
        <v>13.908598335805973</v>
      </c>
      <c r="U77" s="840">
        <f t="shared" si="353"/>
        <v>13.219766780922196</v>
      </c>
      <c r="V77" s="840">
        <f t="shared" si="353"/>
        <v>12.341740981793109</v>
      </c>
      <c r="W77" s="840">
        <f t="shared" si="353"/>
        <v>12.567696946314001</v>
      </c>
      <c r="X77" s="840">
        <f t="shared" si="353"/>
        <v>13.451638451638454</v>
      </c>
      <c r="Y77" s="840">
        <f t="shared" si="353"/>
        <v>13.971622688124077</v>
      </c>
      <c r="Z77" s="840">
        <f t="shared" si="353"/>
        <v>14.524780105502552</v>
      </c>
      <c r="AA77" s="840">
        <f t="shared" si="353"/>
        <v>14.403561056677376</v>
      </c>
      <c r="AB77" s="840">
        <f t="shared" si="353"/>
        <v>14.477560444810109</v>
      </c>
      <c r="AC77" s="840">
        <f t="shared" si="353"/>
        <v>15.209060474392762</v>
      </c>
      <c r="AD77" s="840">
        <f t="shared" si="353"/>
        <v>15.446620204017654</v>
      </c>
      <c r="AE77" s="840">
        <f t="shared" si="353"/>
        <v>15.503070706148261</v>
      </c>
      <c r="AF77" s="840">
        <f t="shared" si="353"/>
        <v>15.74283732314176</v>
      </c>
      <c r="AG77" s="840">
        <f t="shared" si="353"/>
        <v>16.187980860810477</v>
      </c>
      <c r="AH77" s="840">
        <f t="shared" si="353"/>
        <v>16.218620798913594</v>
      </c>
      <c r="AI77" s="840">
        <f t="shared" si="353"/>
        <v>15.70335852176477</v>
      </c>
      <c r="AJ77" s="840">
        <f t="shared" si="353"/>
        <v>15.917924134780275</v>
      </c>
      <c r="AK77" s="840">
        <f t="shared" si="353"/>
        <v>14.694002447980415</v>
      </c>
      <c r="AL77" s="840">
        <f t="shared" si="353"/>
        <v>14.450324222172304</v>
      </c>
      <c r="AM77" s="840">
        <f t="shared" si="353"/>
        <v>14.594312228248345</v>
      </c>
      <c r="AN77" s="840">
        <f t="shared" si="353"/>
        <v>15.261690818746862</v>
      </c>
      <c r="AO77" s="840">
        <f t="shared" si="353"/>
        <v>16.659539226020179</v>
      </c>
      <c r="AP77" s="840">
        <f t="shared" si="353"/>
        <v>17.05426758191944</v>
      </c>
      <c r="AQ77" s="840">
        <f t="shared" si="353"/>
        <v>16.773766014699387</v>
      </c>
      <c r="AR77" s="840">
        <f t="shared" si="353"/>
        <v>16.751917432598908</v>
      </c>
      <c r="AS77" s="840">
        <f t="shared" si="353"/>
        <v>16.573413309940968</v>
      </c>
      <c r="AT77" s="840">
        <f t="shared" si="353"/>
        <v>16.225224177258081</v>
      </c>
      <c r="AU77" s="840">
        <f t="shared" si="353"/>
        <v>15.672936033244458</v>
      </c>
      <c r="AV77" s="840">
        <f t="shared" si="353"/>
        <v>15.590924888135888</v>
      </c>
      <c r="AW77" s="840">
        <f t="shared" si="353"/>
        <v>15.609937817004326</v>
      </c>
      <c r="AX77" s="840">
        <f t="shared" si="353"/>
        <v>15.37304691377633</v>
      </c>
      <c r="AY77" s="840">
        <f t="shared" si="353"/>
        <v>15.041073646002484</v>
      </c>
      <c r="AZ77" s="840">
        <f t="shared" si="353"/>
        <v>16.497711185407397</v>
      </c>
      <c r="BA77" s="840">
        <f t="shared" si="353"/>
        <v>16.700400254707539</v>
      </c>
      <c r="BB77" s="840">
        <f t="shared" si="353"/>
        <v>16.668911573134242</v>
      </c>
      <c r="BC77" s="840">
        <f t="shared" si="353"/>
        <v>15.947602339181287</v>
      </c>
      <c r="BD77" s="840">
        <f t="shared" si="353"/>
        <v>16.777519468740554</v>
      </c>
      <c r="BE77" s="840">
        <f t="shared" si="353"/>
        <v>16.973957448673765</v>
      </c>
      <c r="BF77" s="840">
        <f t="shared" si="353"/>
        <v>16.935704895644136</v>
      </c>
      <c r="BG77" s="840">
        <f t="shared" si="353"/>
        <v>16.473796282153799</v>
      </c>
      <c r="BH77" s="840">
        <f t="shared" si="353"/>
        <v>17.285646256798415</v>
      </c>
      <c r="BI77" s="840">
        <f t="shared" si="353"/>
        <v>17.02344653559037</v>
      </c>
      <c r="BJ77" s="840">
        <f t="shared" si="353"/>
        <v>17.170487106017195</v>
      </c>
      <c r="BK77" s="840">
        <f t="shared" si="353"/>
        <v>16.626100307955365</v>
      </c>
      <c r="BL77" s="840">
        <f t="shared" si="353"/>
        <v>17.330103190491389</v>
      </c>
      <c r="BM77" s="840">
        <f t="shared" si="353"/>
        <v>16.834301820498467</v>
      </c>
      <c r="BN77" s="840">
        <f t="shared" si="353"/>
        <v>16.315085408520272</v>
      </c>
      <c r="BO77" s="840">
        <f t="shared" si="353"/>
        <v>14.532175513255506</v>
      </c>
      <c r="BP77" s="840">
        <f t="shared" si="353"/>
        <v>15.013340166714396</v>
      </c>
      <c r="BQ77" s="840">
        <f t="shared" si="353"/>
        <v>13.724408906045358</v>
      </c>
      <c r="BR77" s="840">
        <f t="shared" si="351"/>
        <v>15.070336856512814</v>
      </c>
      <c r="BS77" s="840">
        <f t="shared" si="351"/>
        <v>15.91512585504338</v>
      </c>
      <c r="BT77" s="840">
        <f t="shared" si="351"/>
        <v>16.806733128358026</v>
      </c>
      <c r="BU77" s="840">
        <f t="shared" si="351"/>
        <v>17.018978240174995</v>
      </c>
      <c r="BW77" s="392"/>
      <c r="BX77" s="392"/>
    </row>
    <row r="78" spans="2:76">
      <c r="C78" s="1192"/>
    </row>
    <row r="79" spans="2:76" s="255" customFormat="1">
      <c r="B79" s="258" t="s">
        <v>133</v>
      </c>
      <c r="C79" s="259" t="s">
        <v>1816</v>
      </c>
      <c r="D79" s="259"/>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W79" s="441"/>
      <c r="BX79" s="441"/>
    </row>
    <row r="81" spans="3:76">
      <c r="C81" s="397" t="s">
        <v>1817</v>
      </c>
      <c r="AI81" s="383"/>
      <c r="AJ81" s="383"/>
    </row>
    <row r="82" spans="3:76">
      <c r="C82" s="255" t="str">
        <f>C$11</f>
        <v xml:space="preserve">  AAL</v>
      </c>
      <c r="E82" s="277">
        <v>1097</v>
      </c>
      <c r="F82" s="277">
        <v>1350</v>
      </c>
      <c r="G82" s="277">
        <v>1582</v>
      </c>
      <c r="H82" s="277">
        <v>1585</v>
      </c>
      <c r="I82" s="277">
        <v>1473</v>
      </c>
      <c r="J82" s="277">
        <v>1708</v>
      </c>
      <c r="K82" s="277">
        <v>1771</v>
      </c>
      <c r="L82" s="277">
        <v>1450</v>
      </c>
      <c r="M82" s="277">
        <v>1410</v>
      </c>
      <c r="N82" s="277">
        <v>1644</v>
      </c>
      <c r="O82" s="277">
        <v>1743</v>
      </c>
      <c r="P82" s="277">
        <v>1873</v>
      </c>
      <c r="Q82" s="277">
        <v>2050</v>
      </c>
      <c r="R82" s="277">
        <v>2423</v>
      </c>
      <c r="S82" s="277">
        <v>2722</v>
      </c>
      <c r="T82" s="277">
        <v>1819</v>
      </c>
      <c r="U82" s="277">
        <v>1298</v>
      </c>
      <c r="V82" s="277">
        <v>1334</v>
      </c>
      <c r="W82" s="277">
        <v>1453</v>
      </c>
      <c r="X82" s="277">
        <v>1468</v>
      </c>
      <c r="Y82" s="277">
        <v>1476</v>
      </c>
      <c r="Z82" s="277">
        <v>1655</v>
      </c>
      <c r="AA82" s="277">
        <v>1613</v>
      </c>
      <c r="AB82" s="277">
        <v>1656</v>
      </c>
      <c r="AC82" s="277">
        <v>1842</v>
      </c>
      <c r="AD82" s="277">
        <v>2202</v>
      </c>
      <c r="AE82" s="277">
        <v>2255</v>
      </c>
      <c r="AF82" s="277">
        <v>2006</v>
      </c>
      <c r="AG82" s="277">
        <v>2165</v>
      </c>
      <c r="AH82" s="277">
        <v>2209</v>
      </c>
      <c r="AI82" s="277">
        <v>2180</v>
      </c>
      <c r="AJ82" s="277">
        <v>2163</v>
      </c>
      <c r="AK82" s="277">
        <v>2199</v>
      </c>
      <c r="AL82" s="277">
        <v>2140</v>
      </c>
      <c r="AM82" s="277">
        <v>2184</v>
      </c>
      <c r="AN82" s="277">
        <v>2075</v>
      </c>
      <c r="AO82" s="277">
        <v>3211</v>
      </c>
      <c r="AP82" s="277">
        <v>3365</v>
      </c>
      <c r="AQ82" s="277">
        <v>3367</v>
      </c>
      <c r="AR82" s="277">
        <v>2658</v>
      </c>
      <c r="AS82" s="277">
        <v>1855</v>
      </c>
      <c r="AT82" s="277">
        <v>2123</v>
      </c>
      <c r="AU82" s="277">
        <v>1903</v>
      </c>
      <c r="AV82" s="277">
        <v>1574</v>
      </c>
      <c r="AW82" s="277">
        <v>1248</v>
      </c>
      <c r="AX82" s="277">
        <v>1593</v>
      </c>
      <c r="AY82" s="277">
        <v>1696</v>
      </c>
      <c r="AZ82" s="277">
        <v>1335</v>
      </c>
      <c r="BA82" s="277">
        <v>1720</v>
      </c>
      <c r="BB82" s="277">
        <v>1839</v>
      </c>
      <c r="BC82" s="277">
        <v>1922</v>
      </c>
      <c r="BD82" s="277">
        <v>2030</v>
      </c>
      <c r="BE82" s="277">
        <v>2161</v>
      </c>
      <c r="BF82" s="277">
        <v>2568</v>
      </c>
      <c r="BG82" s="277">
        <v>2740</v>
      </c>
      <c r="BH82" s="277">
        <v>2427</v>
      </c>
      <c r="BI82" s="277">
        <v>2149</v>
      </c>
      <c r="BJ82" s="277">
        <v>2482</v>
      </c>
      <c r="BK82" s="277">
        <v>2474</v>
      </c>
      <c r="BL82" s="277">
        <v>2290</v>
      </c>
      <c r="BM82" s="277">
        <v>1784</v>
      </c>
      <c r="BN82" s="277">
        <v>309</v>
      </c>
      <c r="BO82" s="277">
        <v>611</v>
      </c>
      <c r="BP82" s="277">
        <v>699</v>
      </c>
      <c r="BQ82" s="277">
        <v>1034</v>
      </c>
      <c r="BR82" s="277">
        <v>1611</v>
      </c>
      <c r="BS82" s="277">
        <v>1952</v>
      </c>
      <c r="BT82" s="277">
        <v>2196</v>
      </c>
      <c r="BU82" s="277">
        <v>2502</v>
      </c>
    </row>
    <row r="83" spans="3:76">
      <c r="C83" s="255" t="str">
        <f>C$12</f>
        <v xml:space="preserve">  DAL</v>
      </c>
      <c r="E83" s="277">
        <v>884</v>
      </c>
      <c r="F83" s="277">
        <v>1054</v>
      </c>
      <c r="G83" s="277">
        <v>1203</v>
      </c>
      <c r="H83" s="277">
        <v>1325</v>
      </c>
      <c r="I83" s="277">
        <v>959</v>
      </c>
      <c r="J83" s="277">
        <v>1142</v>
      </c>
      <c r="K83" s="277">
        <v>1276</v>
      </c>
      <c r="L83" s="277">
        <v>1056</v>
      </c>
      <c r="M83" s="277">
        <v>948</v>
      </c>
      <c r="N83" s="277">
        <v>1112</v>
      </c>
      <c r="O83" s="277">
        <v>1270</v>
      </c>
      <c r="P83" s="277">
        <v>1356</v>
      </c>
      <c r="Q83" s="277">
        <v>1422</v>
      </c>
      <c r="R83" s="277">
        <v>1678</v>
      </c>
      <c r="S83" s="277">
        <v>1952</v>
      </c>
      <c r="T83" s="277">
        <v>2294</v>
      </c>
      <c r="U83" s="277">
        <v>1893</v>
      </c>
      <c r="V83" s="277">
        <v>1812</v>
      </c>
      <c r="W83" s="277">
        <v>1973</v>
      </c>
      <c r="X83" s="277">
        <v>1706</v>
      </c>
      <c r="Y83" s="277">
        <v>1683</v>
      </c>
      <c r="Z83" s="277">
        <v>1960</v>
      </c>
      <c r="AA83" s="277">
        <v>2023</v>
      </c>
      <c r="AB83" s="277">
        <v>1928</v>
      </c>
      <c r="AC83" s="277">
        <v>2166</v>
      </c>
      <c r="AD83" s="277">
        <v>2663</v>
      </c>
      <c r="AE83" s="277">
        <v>2881</v>
      </c>
      <c r="AF83" s="277">
        <v>2020</v>
      </c>
      <c r="AG83" s="277">
        <v>2037</v>
      </c>
      <c r="AH83" s="277">
        <v>3305</v>
      </c>
      <c r="AI83" s="277">
        <v>2826.3309528667619</v>
      </c>
      <c r="AJ83" s="277">
        <v>1981.6690471332381</v>
      </c>
      <c r="AK83" s="277">
        <v>2910</v>
      </c>
      <c r="AL83" s="277">
        <v>2595</v>
      </c>
      <c r="AM83" s="277">
        <v>4267</v>
      </c>
      <c r="AN83" s="277">
        <v>2222</v>
      </c>
      <c r="AO83" s="277">
        <v>2699</v>
      </c>
      <c r="AP83" s="277">
        <v>2434</v>
      </c>
      <c r="AQ83" s="277">
        <v>2952</v>
      </c>
      <c r="AR83" s="277">
        <v>4056</v>
      </c>
      <c r="AS83" s="277">
        <v>1835</v>
      </c>
      <c r="AT83" s="277">
        <v>1457</v>
      </c>
      <c r="AU83" s="277">
        <v>1819</v>
      </c>
      <c r="AV83" s="277">
        <v>1433</v>
      </c>
      <c r="AW83" s="277">
        <v>1227</v>
      </c>
      <c r="AX83" s="277">
        <v>1228</v>
      </c>
      <c r="AY83" s="277">
        <v>1422</v>
      </c>
      <c r="AZ83" s="277">
        <v>2108</v>
      </c>
      <c r="BA83" s="277">
        <v>1482</v>
      </c>
      <c r="BB83" s="277">
        <v>1687</v>
      </c>
      <c r="BC83" s="277">
        <v>1785</v>
      </c>
      <c r="BD83" s="277">
        <v>1802</v>
      </c>
      <c r="BE83" s="277">
        <v>1856</v>
      </c>
      <c r="BF83" s="277">
        <v>2341</v>
      </c>
      <c r="BG83" s="277">
        <v>2498</v>
      </c>
      <c r="BH83" s="277">
        <v>2327</v>
      </c>
      <c r="BI83" s="277">
        <v>1978</v>
      </c>
      <c r="BJ83" s="277">
        <v>2291</v>
      </c>
      <c r="BK83" s="277">
        <v>2239</v>
      </c>
      <c r="BL83" s="277">
        <v>2011</v>
      </c>
      <c r="BM83" s="277">
        <v>1595</v>
      </c>
      <c r="BN83" s="277">
        <v>372</v>
      </c>
      <c r="BO83" s="277">
        <v>486</v>
      </c>
      <c r="BP83" s="277">
        <v>723</v>
      </c>
      <c r="BQ83" s="277">
        <v>1017</v>
      </c>
      <c r="BR83" s="277">
        <v>1487</v>
      </c>
      <c r="BS83" s="277">
        <v>1552</v>
      </c>
      <c r="BT83" s="277">
        <v>1577</v>
      </c>
      <c r="BU83" s="277">
        <v>2092</v>
      </c>
    </row>
    <row r="84" spans="3:76">
      <c r="C84" s="255" t="str">
        <f>C$13</f>
        <v xml:space="preserve">  UAL</v>
      </c>
      <c r="E84" s="277">
        <v>805</v>
      </c>
      <c r="F84" s="277">
        <v>955</v>
      </c>
      <c r="G84" s="277">
        <v>1106</v>
      </c>
      <c r="H84" s="277">
        <v>1166</v>
      </c>
      <c r="I84" s="277">
        <v>1067</v>
      </c>
      <c r="J84" s="277">
        <v>1250</v>
      </c>
      <c r="K84" s="277">
        <v>1368</v>
      </c>
      <c r="L84" s="277">
        <v>1139</v>
      </c>
      <c r="M84" s="277">
        <v>1041</v>
      </c>
      <c r="N84" s="277">
        <v>1206</v>
      </c>
      <c r="O84" s="277">
        <v>1324</v>
      </c>
      <c r="P84" s="277">
        <v>1432</v>
      </c>
      <c r="Q84" s="277">
        <v>1575</v>
      </c>
      <c r="R84" s="277">
        <v>1848</v>
      </c>
      <c r="S84" s="277">
        <v>2461</v>
      </c>
      <c r="T84" s="277">
        <v>1838</v>
      </c>
      <c r="U84" s="277">
        <v>799</v>
      </c>
      <c r="V84" s="277">
        <v>843</v>
      </c>
      <c r="W84" s="277">
        <v>1064</v>
      </c>
      <c r="X84" s="277">
        <v>1112</v>
      </c>
      <c r="Y84" s="277">
        <v>1207</v>
      </c>
      <c r="Z84" s="277">
        <v>1486</v>
      </c>
      <c r="AA84" s="277">
        <v>1242</v>
      </c>
      <c r="AB84" s="277">
        <v>2459</v>
      </c>
      <c r="AC84" s="277">
        <v>2672</v>
      </c>
      <c r="AD84" s="277">
        <v>3227</v>
      </c>
      <c r="AE84" s="277">
        <v>3371</v>
      </c>
      <c r="AF84" s="277">
        <v>3105</v>
      </c>
      <c r="AG84" s="277">
        <v>3229</v>
      </c>
      <c r="AH84" s="277">
        <v>3408</v>
      </c>
      <c r="AI84" s="277">
        <v>3406</v>
      </c>
      <c r="AJ84" s="277">
        <v>3095</v>
      </c>
      <c r="AK84" s="277">
        <v>3050</v>
      </c>
      <c r="AL84" s="277">
        <v>3068</v>
      </c>
      <c r="AM84" s="277">
        <v>3262</v>
      </c>
      <c r="AN84" s="277">
        <v>2965</v>
      </c>
      <c r="AO84" s="277">
        <v>2917</v>
      </c>
      <c r="AP84" s="277">
        <v>3101</v>
      </c>
      <c r="AQ84" s="277">
        <v>3127</v>
      </c>
      <c r="AR84" s="277">
        <v>2530</v>
      </c>
      <c r="AS84" s="277">
        <v>1864</v>
      </c>
      <c r="AT84" s="277">
        <v>2106</v>
      </c>
      <c r="AU84" s="277">
        <v>1934</v>
      </c>
      <c r="AV84" s="277">
        <v>1618</v>
      </c>
      <c r="AW84" s="277">
        <v>1218</v>
      </c>
      <c r="AX84" s="277">
        <v>1437</v>
      </c>
      <c r="AY84" s="277">
        <v>1603</v>
      </c>
      <c r="AZ84" s="277">
        <v>1555</v>
      </c>
      <c r="BA84" s="277">
        <v>1560</v>
      </c>
      <c r="BB84" s="277">
        <v>1669</v>
      </c>
      <c r="BC84" s="277">
        <v>1809</v>
      </c>
      <c r="BD84" s="277">
        <v>1875</v>
      </c>
      <c r="BE84" s="277">
        <v>1965</v>
      </c>
      <c r="BF84" s="277">
        <v>2390</v>
      </c>
      <c r="BG84" s="277">
        <v>2572</v>
      </c>
      <c r="BH84" s="277">
        <v>2380</v>
      </c>
      <c r="BI84" s="277">
        <v>2023</v>
      </c>
      <c r="BJ84" s="277">
        <v>2385</v>
      </c>
      <c r="BK84" s="277">
        <v>2296</v>
      </c>
      <c r="BL84" s="277">
        <v>2249</v>
      </c>
      <c r="BM84" s="277">
        <v>1726</v>
      </c>
      <c r="BN84" s="277">
        <v>240</v>
      </c>
      <c r="BO84" s="277">
        <v>508</v>
      </c>
      <c r="BP84" s="277">
        <v>679</v>
      </c>
      <c r="BQ84" s="277">
        <v>851</v>
      </c>
      <c r="BR84" s="277">
        <v>1232</v>
      </c>
      <c r="BS84" s="277">
        <v>1710</v>
      </c>
      <c r="BT84" s="277">
        <v>1962</v>
      </c>
      <c r="BU84" s="277">
        <v>2230</v>
      </c>
    </row>
    <row r="85" spans="3:76">
      <c r="C85" s="255" t="str">
        <f>C$14</f>
        <v xml:space="preserve">  LUV</v>
      </c>
      <c r="E85" s="277">
        <v>279</v>
      </c>
      <c r="F85" s="277">
        <v>330</v>
      </c>
      <c r="G85" s="277">
        <v>337</v>
      </c>
      <c r="H85" s="277">
        <v>395</v>
      </c>
      <c r="I85" s="277">
        <v>501</v>
      </c>
      <c r="J85" s="277">
        <v>518</v>
      </c>
      <c r="K85" s="277">
        <v>563</v>
      </c>
      <c r="L85" s="277">
        <v>556</v>
      </c>
      <c r="M85" s="277">
        <v>564</v>
      </c>
      <c r="N85" s="277">
        <v>607</v>
      </c>
      <c r="O85" s="277">
        <v>660</v>
      </c>
      <c r="P85" s="277">
        <v>705</v>
      </c>
      <c r="Q85" s="277">
        <v>800</v>
      </c>
      <c r="R85" s="277">
        <v>945</v>
      </c>
      <c r="S85" s="277">
        <v>1051</v>
      </c>
      <c r="T85" s="277">
        <v>918</v>
      </c>
      <c r="U85" s="277">
        <v>698</v>
      </c>
      <c r="V85" s="277">
        <v>726</v>
      </c>
      <c r="W85" s="277">
        <v>826</v>
      </c>
      <c r="X85" s="277">
        <v>794</v>
      </c>
      <c r="Y85" s="277">
        <v>821</v>
      </c>
      <c r="Z85" s="277">
        <v>933</v>
      </c>
      <c r="AA85" s="277">
        <v>926</v>
      </c>
      <c r="AB85" s="277">
        <v>940</v>
      </c>
      <c r="AC85" s="277">
        <v>1038</v>
      </c>
      <c r="AD85" s="277">
        <v>1527</v>
      </c>
      <c r="AE85" s="277">
        <v>1586</v>
      </c>
      <c r="AF85" s="277">
        <v>1493</v>
      </c>
      <c r="AG85" s="277">
        <v>1510</v>
      </c>
      <c r="AH85" s="277">
        <v>1577</v>
      </c>
      <c r="AI85" s="277">
        <v>1528</v>
      </c>
      <c r="AJ85" s="277">
        <v>1505</v>
      </c>
      <c r="AK85" s="277">
        <v>1457</v>
      </c>
      <c r="AL85" s="277">
        <v>1489</v>
      </c>
      <c r="AM85" s="277">
        <v>1450</v>
      </c>
      <c r="AN85" s="277">
        <v>1367</v>
      </c>
      <c r="AO85" s="277">
        <v>1314</v>
      </c>
      <c r="AP85" s="277">
        <v>1425</v>
      </c>
      <c r="AQ85" s="277">
        <v>1386</v>
      </c>
      <c r="AR85" s="277">
        <v>1168</v>
      </c>
      <c r="AS85" s="277">
        <v>877</v>
      </c>
      <c r="AT85" s="277">
        <v>1005</v>
      </c>
      <c r="AU85" s="277">
        <v>936</v>
      </c>
      <c r="AV85" s="277">
        <v>798</v>
      </c>
      <c r="AW85" s="277">
        <v>852</v>
      </c>
      <c r="AX85" s="277">
        <v>903</v>
      </c>
      <c r="AY85" s="277">
        <v>941</v>
      </c>
      <c r="AZ85" s="277">
        <v>951</v>
      </c>
      <c r="BA85" s="277">
        <v>956</v>
      </c>
      <c r="BB85" s="277">
        <v>1024</v>
      </c>
      <c r="BC85" s="277">
        <v>1037</v>
      </c>
      <c r="BD85" s="277">
        <v>1060</v>
      </c>
      <c r="BE85" s="277">
        <v>1018</v>
      </c>
      <c r="BF85" s="277">
        <v>1202</v>
      </c>
      <c r="BG85" s="277">
        <v>1205</v>
      </c>
      <c r="BH85" s="277">
        <v>1191</v>
      </c>
      <c r="BI85" s="277">
        <v>1015</v>
      </c>
      <c r="BJ85" s="277">
        <v>1136</v>
      </c>
      <c r="BK85" s="277">
        <v>1090</v>
      </c>
      <c r="BL85" s="277">
        <v>1105</v>
      </c>
      <c r="BM85" s="277">
        <v>870</v>
      </c>
      <c r="BN85" s="277">
        <v>257</v>
      </c>
      <c r="BO85" s="277">
        <v>379</v>
      </c>
      <c r="BP85" s="277">
        <v>342</v>
      </c>
      <c r="BQ85" s="277">
        <v>469</v>
      </c>
      <c r="BR85" s="277">
        <v>803</v>
      </c>
      <c r="BS85" s="277">
        <v>990</v>
      </c>
      <c r="BT85" s="277">
        <v>1049</v>
      </c>
      <c r="BU85" s="277">
        <v>1004</v>
      </c>
    </row>
    <row r="86" spans="3:76" s="255" customFormat="1">
      <c r="C86" s="1191" t="s">
        <v>393</v>
      </c>
      <c r="E86" s="966">
        <f t="shared" ref="E86:P86" si="354">SUM(E82:E85)</f>
        <v>3065</v>
      </c>
      <c r="F86" s="966">
        <f t="shared" si="354"/>
        <v>3689</v>
      </c>
      <c r="G86" s="966">
        <f t="shared" si="354"/>
        <v>4228</v>
      </c>
      <c r="H86" s="966">
        <f t="shared" si="354"/>
        <v>4471</v>
      </c>
      <c r="I86" s="966">
        <f t="shared" si="354"/>
        <v>4000</v>
      </c>
      <c r="J86" s="966">
        <f t="shared" si="354"/>
        <v>4618</v>
      </c>
      <c r="K86" s="966">
        <f t="shared" si="354"/>
        <v>4978</v>
      </c>
      <c r="L86" s="966">
        <f t="shared" si="354"/>
        <v>4201</v>
      </c>
      <c r="M86" s="966">
        <f t="shared" si="354"/>
        <v>3963</v>
      </c>
      <c r="N86" s="966">
        <f t="shared" si="354"/>
        <v>4569</v>
      </c>
      <c r="O86" s="966">
        <f t="shared" si="354"/>
        <v>4997</v>
      </c>
      <c r="P86" s="966">
        <f t="shared" si="354"/>
        <v>5366</v>
      </c>
      <c r="Q86" s="966">
        <f>SUM(Q82:Q85)</f>
        <v>5847</v>
      </c>
      <c r="R86" s="966">
        <f t="shared" ref="R86" si="355">SUM(R82:R85)</f>
        <v>6894</v>
      </c>
      <c r="S86" s="966">
        <f t="shared" ref="S86" si="356">SUM(S82:S85)</f>
        <v>8186</v>
      </c>
      <c r="T86" s="966">
        <f t="shared" ref="T86" si="357">SUM(T82:T85)</f>
        <v>6869</v>
      </c>
      <c r="U86" s="966">
        <f t="shared" ref="U86" si="358">SUM(U82:U85)</f>
        <v>4688</v>
      </c>
      <c r="V86" s="966">
        <f t="shared" ref="V86" si="359">SUM(V82:V85)</f>
        <v>4715</v>
      </c>
      <c r="W86" s="966">
        <f t="shared" ref="W86" si="360">SUM(W82:W85)</f>
        <v>5316</v>
      </c>
      <c r="X86" s="966">
        <f t="shared" ref="X86" si="361">SUM(X82:X85)</f>
        <v>5080</v>
      </c>
      <c r="Y86" s="966">
        <f t="shared" ref="Y86" si="362">SUM(Y82:Y85)</f>
        <v>5187</v>
      </c>
      <c r="Z86" s="966">
        <f t="shared" ref="Z86" si="363">SUM(Z82:Z85)</f>
        <v>6034</v>
      </c>
      <c r="AA86" s="966">
        <f t="shared" ref="AA86" si="364">SUM(AA82:AA85)</f>
        <v>5804</v>
      </c>
      <c r="AB86" s="966">
        <f t="shared" ref="AB86" si="365">SUM(AB82:AB85)</f>
        <v>6983</v>
      </c>
      <c r="AC86" s="966">
        <f t="shared" ref="AC86" si="366">SUM(AC82:AC85)</f>
        <v>7718</v>
      </c>
      <c r="AD86" s="966">
        <f t="shared" ref="AD86" si="367">SUM(AD82:AD85)</f>
        <v>9619</v>
      </c>
      <c r="AE86" s="966">
        <f t="shared" ref="AE86" si="368">SUM(AE82:AE85)</f>
        <v>10093</v>
      </c>
      <c r="AF86" s="966">
        <f t="shared" ref="AF86" si="369">SUM(AF82:AF85)</f>
        <v>8624</v>
      </c>
      <c r="AG86" s="966">
        <f t="shared" ref="AG86" si="370">SUM(AG82:AG85)</f>
        <v>8941</v>
      </c>
      <c r="AH86" s="966">
        <f t="shared" ref="AH86" si="371">SUM(AH82:AH85)</f>
        <v>10499</v>
      </c>
      <c r="AI86" s="966">
        <f t="shared" ref="AI86" si="372">SUM(AI82:AI85)</f>
        <v>9940.3309528667614</v>
      </c>
      <c r="AJ86" s="966">
        <f t="shared" ref="AJ86" si="373">SUM(AJ82:AJ85)</f>
        <v>8744.6690471332386</v>
      </c>
      <c r="AK86" s="966">
        <f t="shared" ref="AK86" si="374">SUM(AK82:AK85)</f>
        <v>9616</v>
      </c>
      <c r="AL86" s="966">
        <f t="shared" ref="AL86" si="375">SUM(AL82:AL85)</f>
        <v>9292</v>
      </c>
      <c r="AM86" s="966">
        <f t="shared" ref="AM86" si="376">SUM(AM82:AM85)</f>
        <v>11163</v>
      </c>
      <c r="AN86" s="966">
        <f t="shared" ref="AN86" si="377">SUM(AN82:AN85)</f>
        <v>8629</v>
      </c>
      <c r="AO86" s="966">
        <f t="shared" ref="AO86" si="378">SUM(AO82:AO85)</f>
        <v>10141</v>
      </c>
      <c r="AP86" s="966">
        <f t="shared" ref="AP86" si="379">SUM(AP82:AP85)</f>
        <v>10325</v>
      </c>
      <c r="AQ86" s="966">
        <f t="shared" ref="AQ86" si="380">SUM(AQ82:AQ85)</f>
        <v>10832</v>
      </c>
      <c r="AR86" s="966">
        <f t="shared" ref="AR86" si="381">SUM(AR82:AR85)</f>
        <v>10412</v>
      </c>
      <c r="AS86" s="966">
        <f t="shared" ref="AS86" si="382">SUM(AS82:AS85)</f>
        <v>6431</v>
      </c>
      <c r="AT86" s="966">
        <f t="shared" ref="AT86" si="383">SUM(AT82:AT85)</f>
        <v>6691</v>
      </c>
      <c r="AU86" s="966">
        <f t="shared" ref="AU86" si="384">SUM(AU82:AU85)</f>
        <v>6592</v>
      </c>
      <c r="AV86" s="966">
        <f t="shared" ref="AV86" si="385">SUM(AV82:AV85)</f>
        <v>5423</v>
      </c>
      <c r="AW86" s="966">
        <f t="shared" ref="AW86" si="386">SUM(AW82:AW85)</f>
        <v>4545</v>
      </c>
      <c r="AX86" s="966">
        <f t="shared" ref="AX86" si="387">SUM(AX82:AX85)</f>
        <v>5161</v>
      </c>
      <c r="AY86" s="966">
        <f t="shared" ref="AY86" si="388">SUM(AY82:AY85)</f>
        <v>5662</v>
      </c>
      <c r="AZ86" s="966">
        <f t="shared" ref="AZ86" si="389">SUM(AZ82:AZ85)</f>
        <v>5949</v>
      </c>
      <c r="BA86" s="966">
        <f t="shared" ref="BA86" si="390">SUM(BA82:BA85)</f>
        <v>5718</v>
      </c>
      <c r="BB86" s="966">
        <f t="shared" ref="BB86" si="391">SUM(BB82:BB85)</f>
        <v>6219</v>
      </c>
      <c r="BC86" s="966">
        <f t="shared" ref="BC86" si="392">SUM(BC82:BC85)</f>
        <v>6553</v>
      </c>
      <c r="BD86" s="966">
        <f t="shared" ref="BD86" si="393">SUM(BD82:BD85)</f>
        <v>6767</v>
      </c>
      <c r="BE86" s="966">
        <f t="shared" ref="BE86" si="394">SUM(BE82:BE85)</f>
        <v>7000</v>
      </c>
      <c r="BF86" s="966">
        <f t="shared" ref="BF86" si="395">SUM(BF82:BF85)</f>
        <v>8501</v>
      </c>
      <c r="BG86" s="966">
        <f t="shared" ref="BG86" si="396">SUM(BG82:BG85)</f>
        <v>9015</v>
      </c>
      <c r="BH86" s="966">
        <f t="shared" ref="BH86" si="397">SUM(BH82:BH85)</f>
        <v>8325</v>
      </c>
      <c r="BI86" s="966">
        <f t="shared" ref="BI86" si="398">SUM(BI82:BI85)</f>
        <v>7165</v>
      </c>
      <c r="BJ86" s="966">
        <f t="shared" ref="BJ86" si="399">SUM(BJ82:BJ85)</f>
        <v>8294</v>
      </c>
      <c r="BK86" s="966">
        <f t="shared" ref="BK86" si="400">SUM(BK82:BK85)</f>
        <v>8099</v>
      </c>
      <c r="BL86" s="966">
        <f t="shared" ref="BL86" si="401">SUM(BL82:BL85)</f>
        <v>7655</v>
      </c>
      <c r="BM86" s="966">
        <f t="shared" ref="BM86" si="402">SUM(BM82:BM85)</f>
        <v>5975</v>
      </c>
      <c r="BN86" s="966">
        <f t="shared" ref="BN86" si="403">SUM(BN82:BN85)</f>
        <v>1178</v>
      </c>
      <c r="BO86" s="966">
        <f t="shared" ref="BO86" si="404">SUM(BO82:BO85)</f>
        <v>1984</v>
      </c>
      <c r="BP86" s="966">
        <f t="shared" ref="BP86" si="405">SUM(BP82:BP85)</f>
        <v>2443</v>
      </c>
      <c r="BQ86" s="966">
        <f t="shared" ref="BQ86" si="406">SUM(BQ82:BQ85)</f>
        <v>3371</v>
      </c>
      <c r="BR86" s="966">
        <f t="shared" ref="BR86" si="407">SUM(BR82:BR85)</f>
        <v>5133</v>
      </c>
      <c r="BS86" s="966">
        <f t="shared" ref="BS86" si="408">SUM(BS82:BS85)</f>
        <v>6204</v>
      </c>
      <c r="BT86" s="966">
        <f t="shared" ref="BT86" si="409">SUM(BT82:BT85)</f>
        <v>6784</v>
      </c>
      <c r="BU86" s="966">
        <f t="shared" ref="BU86" si="410">SUM(BU82:BU85)</f>
        <v>7828</v>
      </c>
      <c r="BW86" s="297"/>
      <c r="BX86" s="441"/>
    </row>
    <row r="88" spans="3:76">
      <c r="C88" s="397" t="s">
        <v>538</v>
      </c>
      <c r="AN88" s="1158"/>
    </row>
    <row r="89" spans="3:76">
      <c r="C89" s="255" t="str">
        <f>C$11</f>
        <v xml:space="preserve">  AAL</v>
      </c>
      <c r="E89" s="277">
        <v>729</v>
      </c>
      <c r="F89" s="277">
        <v>749</v>
      </c>
      <c r="G89" s="277">
        <v>763</v>
      </c>
      <c r="H89" s="277">
        <v>707</v>
      </c>
      <c r="I89" s="277">
        <v>705</v>
      </c>
      <c r="J89" s="277">
        <v>737</v>
      </c>
      <c r="K89" s="277">
        <v>741</v>
      </c>
      <c r="L89" s="277">
        <v>697</v>
      </c>
      <c r="M89" s="277">
        <v>692</v>
      </c>
      <c r="N89" s="277">
        <v>713</v>
      </c>
      <c r="O89" s="277">
        <v>725</v>
      </c>
      <c r="P89" s="277">
        <v>704</v>
      </c>
      <c r="Q89" s="277">
        <v>680</v>
      </c>
      <c r="R89" s="277">
        <v>688</v>
      </c>
      <c r="S89" s="277">
        <v>690</v>
      </c>
      <c r="T89" s="277">
        <v>637</v>
      </c>
      <c r="U89" s="277">
        <v>617</v>
      </c>
      <c r="V89" s="277">
        <v>638</v>
      </c>
      <c r="W89" s="277">
        <v>636</v>
      </c>
      <c r="X89" s="277">
        <v>609</v>
      </c>
      <c r="Y89" s="277">
        <v>598</v>
      </c>
      <c r="Z89" s="277">
        <v>627</v>
      </c>
      <c r="AA89" s="277">
        <v>645</v>
      </c>
      <c r="AB89" s="277">
        <v>610</v>
      </c>
      <c r="AC89" s="277">
        <v>597</v>
      </c>
      <c r="AD89" s="277">
        <v>627</v>
      </c>
      <c r="AE89" s="277">
        <v>635</v>
      </c>
      <c r="AF89" s="277">
        <v>898</v>
      </c>
      <c r="AG89" s="277">
        <v>592</v>
      </c>
      <c r="AH89" s="277">
        <v>604</v>
      </c>
      <c r="AI89" s="277">
        <f>618</f>
        <v>618</v>
      </c>
      <c r="AJ89" s="277">
        <v>595</v>
      </c>
      <c r="AK89" s="277">
        <v>592</v>
      </c>
      <c r="AL89" s="277">
        <v>629</v>
      </c>
      <c r="AM89" s="277">
        <v>643</v>
      </c>
      <c r="AN89" s="277">
        <v>649</v>
      </c>
      <c r="AO89" s="277">
        <v>1035</v>
      </c>
      <c r="AP89" s="277">
        <v>1111</v>
      </c>
      <c r="AQ89" s="277">
        <v>1130</v>
      </c>
      <c r="AR89" s="277">
        <v>1055</v>
      </c>
      <c r="AS89" s="277">
        <v>1013</v>
      </c>
      <c r="AT89" s="277">
        <v>1118</v>
      </c>
      <c r="AU89" s="277">
        <v>1140</v>
      </c>
      <c r="AV89" s="277">
        <v>1052</v>
      </c>
      <c r="AW89" s="277">
        <v>1033</v>
      </c>
      <c r="AX89" s="277">
        <v>1122</v>
      </c>
      <c r="AY89" s="277">
        <v>1149</v>
      </c>
      <c r="AZ89" s="277">
        <v>1044</v>
      </c>
      <c r="BA89" s="277">
        <v>1013</v>
      </c>
      <c r="BB89" s="277">
        <v>1129</v>
      </c>
      <c r="BC89" s="277">
        <v>1148</v>
      </c>
      <c r="BD89" s="277">
        <v>1060</v>
      </c>
      <c r="BE89" s="277">
        <v>1030</v>
      </c>
      <c r="BF89" s="277">
        <v>1147</v>
      </c>
      <c r="BG89" s="277">
        <v>1190</v>
      </c>
      <c r="BH89" s="277">
        <v>1080</v>
      </c>
      <c r="BI89" s="277">
        <v>1053</v>
      </c>
      <c r="BJ89" s="277">
        <v>1158</v>
      </c>
      <c r="BK89" s="277">
        <v>1209</v>
      </c>
      <c r="BL89" s="277">
        <v>1117</v>
      </c>
      <c r="BM89" s="277">
        <v>972</v>
      </c>
      <c r="BN89" s="277">
        <v>275</v>
      </c>
      <c r="BO89" s="277">
        <v>499</v>
      </c>
      <c r="BP89" s="277">
        <v>552</v>
      </c>
      <c r="BQ89" s="277">
        <v>608</v>
      </c>
      <c r="BR89" s="277">
        <v>844</v>
      </c>
      <c r="BS89" s="277">
        <v>941</v>
      </c>
      <c r="BT89" s="277">
        <v>931</v>
      </c>
      <c r="BU89" s="277">
        <v>894</v>
      </c>
    </row>
    <row r="90" spans="3:76">
      <c r="C90" s="255" t="str">
        <f>C$12</f>
        <v xml:space="preserve">  DAL</v>
      </c>
      <c r="E90" s="277">
        <v>624</v>
      </c>
      <c r="F90" s="277">
        <v>657</v>
      </c>
      <c r="G90" s="277">
        <v>660</v>
      </c>
      <c r="H90" s="277">
        <v>551</v>
      </c>
      <c r="I90" s="277">
        <v>500</v>
      </c>
      <c r="J90" s="277">
        <v>534</v>
      </c>
      <c r="K90" s="277">
        <v>566</v>
      </c>
      <c r="L90" s="277">
        <v>511</v>
      </c>
      <c r="M90" s="277">
        <v>491</v>
      </c>
      <c r="N90" s="277">
        <v>531</v>
      </c>
      <c r="O90" s="277">
        <v>575</v>
      </c>
      <c r="P90" s="277">
        <v>1052</v>
      </c>
      <c r="Q90" s="277">
        <v>602</v>
      </c>
      <c r="R90" s="277">
        <v>1071</v>
      </c>
      <c r="S90" s="277">
        <v>660</v>
      </c>
      <c r="T90" s="277">
        <v>976</v>
      </c>
      <c r="U90" s="277">
        <v>871</v>
      </c>
      <c r="V90" s="277">
        <v>1105</v>
      </c>
      <c r="W90" s="277">
        <v>1043</v>
      </c>
      <c r="X90" s="277">
        <v>902</v>
      </c>
      <c r="Y90" s="277">
        <v>871</v>
      </c>
      <c r="Z90" s="277">
        <v>965</v>
      </c>
      <c r="AA90" s="277">
        <v>1051</v>
      </c>
      <c r="AB90" s="277">
        <v>936</v>
      </c>
      <c r="AC90" s="277">
        <v>744</v>
      </c>
      <c r="AD90" s="277">
        <v>992</v>
      </c>
      <c r="AE90" s="277">
        <v>1044</v>
      </c>
      <c r="AF90" s="277">
        <v>901</v>
      </c>
      <c r="AG90" s="277">
        <v>886</v>
      </c>
      <c r="AH90" s="277">
        <v>968</v>
      </c>
      <c r="AI90" s="277">
        <v>1021</v>
      </c>
      <c r="AJ90" s="277">
        <v>894</v>
      </c>
      <c r="AK90" s="277">
        <v>875</v>
      </c>
      <c r="AL90" s="277">
        <v>981</v>
      </c>
      <c r="AM90" s="277">
        <v>1050</v>
      </c>
      <c r="AN90" s="277">
        <v>922</v>
      </c>
      <c r="AO90" s="277">
        <v>881</v>
      </c>
      <c r="AP90" s="277">
        <v>1001</v>
      </c>
      <c r="AQ90" s="277">
        <v>1067</v>
      </c>
      <c r="AR90" s="277">
        <v>944</v>
      </c>
      <c r="AS90" s="277">
        <v>918</v>
      </c>
      <c r="AT90" s="277">
        <v>1029</v>
      </c>
      <c r="AU90" s="277">
        <v>1096</v>
      </c>
      <c r="AV90" s="277">
        <v>945</v>
      </c>
      <c r="AW90" s="277">
        <v>930</v>
      </c>
      <c r="AX90" s="277">
        <v>1046</v>
      </c>
      <c r="AY90" s="277">
        <v>1099</v>
      </c>
      <c r="AZ90" s="277">
        <v>941</v>
      </c>
      <c r="BA90" s="277">
        <v>918</v>
      </c>
      <c r="BB90" s="277">
        <v>1047</v>
      </c>
      <c r="BC90" s="277">
        <v>1108</v>
      </c>
      <c r="BD90" s="277">
        <v>959</v>
      </c>
      <c r="BE90" s="277">
        <v>936</v>
      </c>
      <c r="BF90" s="277">
        <v>1067</v>
      </c>
      <c r="BG90" s="277">
        <v>1135</v>
      </c>
      <c r="BH90" s="277">
        <v>975</v>
      </c>
      <c r="BI90" s="277">
        <v>962</v>
      </c>
      <c r="BJ90" s="277">
        <v>1099</v>
      </c>
      <c r="BK90" s="277">
        <v>1154</v>
      </c>
      <c r="BL90" s="277">
        <v>999</v>
      </c>
      <c r="BM90" s="277">
        <v>880</v>
      </c>
      <c r="BN90" s="277">
        <v>165</v>
      </c>
      <c r="BO90" s="277">
        <v>391</v>
      </c>
      <c r="BP90" s="277">
        <v>498</v>
      </c>
      <c r="BQ90" s="277">
        <v>545</v>
      </c>
      <c r="BR90" s="277">
        <v>690</v>
      </c>
      <c r="BS90" s="277">
        <v>789</v>
      </c>
      <c r="BT90" s="277">
        <v>755</v>
      </c>
      <c r="BU90" s="277">
        <v>751</v>
      </c>
    </row>
    <row r="91" spans="3:76">
      <c r="C91" s="255" t="str">
        <f>C$13</f>
        <v xml:space="preserve">  UAL</v>
      </c>
      <c r="E91" s="277">
        <v>695</v>
      </c>
      <c r="F91" s="277">
        <v>724</v>
      </c>
      <c r="G91" s="277">
        <v>727</v>
      </c>
      <c r="H91" s="277">
        <v>647</v>
      </c>
      <c r="I91" s="277">
        <v>642</v>
      </c>
      <c r="J91" s="277">
        <v>689</v>
      </c>
      <c r="K91" s="277">
        <v>718</v>
      </c>
      <c r="L91" s="277">
        <v>656</v>
      </c>
      <c r="M91" s="277">
        <v>634</v>
      </c>
      <c r="N91" s="277">
        <v>694</v>
      </c>
      <c r="O91" s="277">
        <v>722</v>
      </c>
      <c r="P91" s="277">
        <v>1152</v>
      </c>
      <c r="Q91" s="277">
        <v>648</v>
      </c>
      <c r="R91" s="277">
        <v>665</v>
      </c>
      <c r="S91" s="277">
        <v>657</v>
      </c>
      <c r="T91" s="277">
        <v>583</v>
      </c>
      <c r="U91" s="277">
        <v>562</v>
      </c>
      <c r="V91" s="277">
        <v>596</v>
      </c>
      <c r="W91" s="277">
        <v>616</v>
      </c>
      <c r="X91" s="277">
        <v>564</v>
      </c>
      <c r="Y91" s="277">
        <v>548</v>
      </c>
      <c r="Z91" s="277">
        <v>610</v>
      </c>
      <c r="AA91" s="277">
        <v>642</v>
      </c>
      <c r="AB91" s="277">
        <v>998</v>
      </c>
      <c r="AC91" s="277">
        <v>919</v>
      </c>
      <c r="AD91" s="277">
        <v>1043</v>
      </c>
      <c r="AE91" s="277">
        <v>1066</v>
      </c>
      <c r="AF91" s="277">
        <v>969</v>
      </c>
      <c r="AG91" s="277">
        <v>967</v>
      </c>
      <c r="AH91" s="277">
        <v>1035</v>
      </c>
      <c r="AI91" s="277">
        <v>1069</v>
      </c>
      <c r="AJ91" s="277">
        <v>945</v>
      </c>
      <c r="AK91" s="277">
        <v>924</v>
      </c>
      <c r="AL91" s="277">
        <v>1016</v>
      </c>
      <c r="AM91" s="277">
        <v>1046</v>
      </c>
      <c r="AN91" s="277">
        <v>961</v>
      </c>
      <c r="AO91" s="277">
        <v>916</v>
      </c>
      <c r="AP91" s="277">
        <v>1004</v>
      </c>
      <c r="AQ91" s="277">
        <v>1037</v>
      </c>
      <c r="AR91" s="277">
        <v>948</v>
      </c>
      <c r="AS91" s="277">
        <v>896</v>
      </c>
      <c r="AT91" s="277">
        <v>1004</v>
      </c>
      <c r="AU91" s="277">
        <v>1035</v>
      </c>
      <c r="AV91" s="277">
        <v>951</v>
      </c>
      <c r="AW91" s="277">
        <v>890</v>
      </c>
      <c r="AX91" s="277">
        <v>995</v>
      </c>
      <c r="AY91" s="277">
        <v>1057</v>
      </c>
      <c r="AZ91" s="277">
        <v>962</v>
      </c>
      <c r="BA91" s="277">
        <v>910</v>
      </c>
      <c r="BB91" s="277">
        <v>1023</v>
      </c>
      <c r="BC91" s="277">
        <v>1065</v>
      </c>
      <c r="BD91" s="277">
        <v>980</v>
      </c>
      <c r="BE91" s="277">
        <v>932</v>
      </c>
      <c r="BF91" s="277">
        <v>1058</v>
      </c>
      <c r="BG91" s="277">
        <v>1111</v>
      </c>
      <c r="BH91" s="277">
        <v>1071</v>
      </c>
      <c r="BI91" s="277">
        <v>985</v>
      </c>
      <c r="BJ91" s="277">
        <v>1102</v>
      </c>
      <c r="BK91" s="277">
        <v>1134</v>
      </c>
      <c r="BL91" s="277">
        <v>1071</v>
      </c>
      <c r="BM91" s="277">
        <v>910</v>
      </c>
      <c r="BN91" s="277">
        <v>204</v>
      </c>
      <c r="BO91" s="277">
        <v>387</v>
      </c>
      <c r="BP91" s="277">
        <v>503</v>
      </c>
      <c r="BQ91" s="277">
        <v>490</v>
      </c>
      <c r="BR91" s="277">
        <v>625</v>
      </c>
      <c r="BS91" s="277">
        <v>800</v>
      </c>
      <c r="BT91" s="277">
        <v>814</v>
      </c>
      <c r="BU91" s="277">
        <v>775</v>
      </c>
    </row>
    <row r="92" spans="3:76">
      <c r="C92" s="255" t="str">
        <f>C$14</f>
        <v xml:space="preserve">  LUV</v>
      </c>
      <c r="E92" s="277">
        <v>306</v>
      </c>
      <c r="F92" s="277">
        <v>322</v>
      </c>
      <c r="G92" s="277">
        <v>332</v>
      </c>
      <c r="H92" s="277">
        <f>AVERAGE(L92,P92,T92)</f>
        <v>367</v>
      </c>
      <c r="I92" s="277">
        <v>329</v>
      </c>
      <c r="J92" s="277">
        <v>344</v>
      </c>
      <c r="K92" s="277">
        <v>359</v>
      </c>
      <c r="L92" s="277">
        <v>357</v>
      </c>
      <c r="M92" s="277">
        <v>352</v>
      </c>
      <c r="N92" s="277">
        <v>374</v>
      </c>
      <c r="O92" s="277">
        <v>388</v>
      </c>
      <c r="P92" s="277">
        <v>376</v>
      </c>
      <c r="Q92" s="277">
        <v>373</v>
      </c>
      <c r="R92" s="277">
        <v>388</v>
      </c>
      <c r="S92" s="277">
        <v>382</v>
      </c>
      <c r="T92" s="277">
        <v>368</v>
      </c>
      <c r="U92" s="277">
        <v>349</v>
      </c>
      <c r="V92" s="277">
        <v>371</v>
      </c>
      <c r="W92" s="277">
        <v>363</v>
      </c>
      <c r="X92" s="277">
        <v>345</v>
      </c>
      <c r="Y92" s="277">
        <v>329</v>
      </c>
      <c r="Z92" s="277">
        <v>372</v>
      </c>
      <c r="AA92" s="277">
        <v>375</v>
      </c>
      <c r="AB92" s="277">
        <v>361</v>
      </c>
      <c r="AC92" s="277">
        <v>356</v>
      </c>
      <c r="AD92" s="277">
        <v>462</v>
      </c>
      <c r="AE92" s="277">
        <v>490</v>
      </c>
      <c r="AF92" s="277">
        <v>458</v>
      </c>
      <c r="AG92" s="277">
        <v>443</v>
      </c>
      <c r="AH92" s="277">
        <v>483</v>
      </c>
      <c r="AI92" s="277">
        <v>478</v>
      </c>
      <c r="AJ92" s="277">
        <v>443</v>
      </c>
      <c r="AK92" s="277">
        <v>432</v>
      </c>
      <c r="AL92" s="277">
        <v>478</v>
      </c>
      <c r="AM92" s="277">
        <v>466</v>
      </c>
      <c r="AN92" s="277">
        <v>442</v>
      </c>
      <c r="AO92" s="277">
        <v>422</v>
      </c>
      <c r="AP92" s="277">
        <v>469</v>
      </c>
      <c r="AQ92" s="277">
        <v>466</v>
      </c>
      <c r="AR92" s="277">
        <v>443</v>
      </c>
      <c r="AS92" s="277">
        <v>434</v>
      </c>
      <c r="AT92" s="277">
        <v>493</v>
      </c>
      <c r="AU92" s="277">
        <v>493</v>
      </c>
      <c r="AV92" s="277">
        <v>481</v>
      </c>
      <c r="AW92" s="277">
        <v>472</v>
      </c>
      <c r="AX92" s="277">
        <v>513</v>
      </c>
      <c r="AY92" s="277">
        <v>513</v>
      </c>
      <c r="AZ92" s="277">
        <v>498</v>
      </c>
      <c r="BA92" s="277">
        <v>487</v>
      </c>
      <c r="BB92" s="277">
        <v>535</v>
      </c>
      <c r="BC92" s="277">
        <v>521</v>
      </c>
      <c r="BD92" s="277">
        <v>501</v>
      </c>
      <c r="BE92" s="277">
        <v>489</v>
      </c>
      <c r="BF92" s="277">
        <v>543</v>
      </c>
      <c r="BG92" s="277">
        <v>535</v>
      </c>
      <c r="BH92" s="277">
        <v>527</v>
      </c>
      <c r="BI92" s="277">
        <v>493</v>
      </c>
      <c r="BJ92" s="277">
        <v>532</v>
      </c>
      <c r="BK92" s="277">
        <v>524</v>
      </c>
      <c r="BL92" s="277">
        <v>527</v>
      </c>
      <c r="BM92" s="277">
        <v>457</v>
      </c>
      <c r="BN92" s="277">
        <v>208</v>
      </c>
      <c r="BO92" s="277">
        <v>320</v>
      </c>
      <c r="BP92" s="277">
        <v>288</v>
      </c>
      <c r="BQ92" s="277">
        <v>286</v>
      </c>
      <c r="BR92" s="277">
        <v>426</v>
      </c>
      <c r="BS92" s="277">
        <v>491</v>
      </c>
      <c r="BT92" s="277">
        <v>465</v>
      </c>
      <c r="BU92" s="277">
        <v>436</v>
      </c>
    </row>
    <row r="93" spans="3:76" s="255" customFormat="1">
      <c r="C93" s="1191" t="s">
        <v>393</v>
      </c>
      <c r="E93" s="966">
        <f t="shared" ref="E93:P93" si="411">SUM(E89:E92)</f>
        <v>2354</v>
      </c>
      <c r="F93" s="966">
        <f t="shared" si="411"/>
        <v>2452</v>
      </c>
      <c r="G93" s="966">
        <f t="shared" si="411"/>
        <v>2482</v>
      </c>
      <c r="H93" s="966">
        <f t="shared" si="411"/>
        <v>2272</v>
      </c>
      <c r="I93" s="966">
        <f t="shared" si="411"/>
        <v>2176</v>
      </c>
      <c r="J93" s="966">
        <f t="shared" si="411"/>
        <v>2304</v>
      </c>
      <c r="K93" s="966">
        <f t="shared" si="411"/>
        <v>2384</v>
      </c>
      <c r="L93" s="966">
        <f t="shared" si="411"/>
        <v>2221</v>
      </c>
      <c r="M93" s="966">
        <f t="shared" si="411"/>
        <v>2169</v>
      </c>
      <c r="N93" s="966">
        <f t="shared" si="411"/>
        <v>2312</v>
      </c>
      <c r="O93" s="966">
        <f t="shared" si="411"/>
        <v>2410</v>
      </c>
      <c r="P93" s="966">
        <f t="shared" si="411"/>
        <v>3284</v>
      </c>
      <c r="Q93" s="966">
        <f>SUM(Q89:Q92)</f>
        <v>2303</v>
      </c>
      <c r="R93" s="966">
        <f t="shared" ref="R93" si="412">SUM(R89:R92)</f>
        <v>2812</v>
      </c>
      <c r="S93" s="966">
        <f t="shared" ref="S93" si="413">SUM(S89:S92)</f>
        <v>2389</v>
      </c>
      <c r="T93" s="966">
        <f t="shared" ref="T93" si="414">SUM(T89:T92)</f>
        <v>2564</v>
      </c>
      <c r="U93" s="966">
        <f t="shared" ref="U93" si="415">SUM(U89:U92)</f>
        <v>2399</v>
      </c>
      <c r="V93" s="966">
        <f t="shared" ref="V93" si="416">SUM(V89:V92)</f>
        <v>2710</v>
      </c>
      <c r="W93" s="966">
        <f t="shared" ref="W93" si="417">SUM(W89:W92)</f>
        <v>2658</v>
      </c>
      <c r="X93" s="966">
        <f t="shared" ref="X93" si="418">SUM(X89:X92)</f>
        <v>2420</v>
      </c>
      <c r="Y93" s="966">
        <f t="shared" ref="Y93" si="419">SUM(Y89:Y92)</f>
        <v>2346</v>
      </c>
      <c r="Z93" s="966">
        <f t="shared" ref="Z93" si="420">SUM(Z89:Z92)</f>
        <v>2574</v>
      </c>
      <c r="AA93" s="966">
        <f t="shared" ref="AA93" si="421">SUM(AA89:AA92)</f>
        <v>2713</v>
      </c>
      <c r="AB93" s="966">
        <f t="shared" ref="AB93" si="422">SUM(AB89:AB92)</f>
        <v>2905</v>
      </c>
      <c r="AC93" s="966">
        <f t="shared" ref="AC93" si="423">SUM(AC89:AC92)</f>
        <v>2616</v>
      </c>
      <c r="AD93" s="966">
        <f t="shared" ref="AD93" si="424">SUM(AD89:AD92)</f>
        <v>3124</v>
      </c>
      <c r="AE93" s="966">
        <f t="shared" ref="AE93" si="425">SUM(AE89:AE92)</f>
        <v>3235</v>
      </c>
      <c r="AF93" s="966">
        <f t="shared" ref="AF93" si="426">SUM(AF89:AF92)</f>
        <v>3226</v>
      </c>
      <c r="AG93" s="966">
        <f t="shared" ref="AG93" si="427">SUM(AG89:AG92)</f>
        <v>2888</v>
      </c>
      <c r="AH93" s="966">
        <f t="shared" ref="AH93" si="428">SUM(AH89:AH92)</f>
        <v>3090</v>
      </c>
      <c r="AI93" s="966">
        <f t="shared" ref="AI93" si="429">SUM(AI89:AI92)</f>
        <v>3186</v>
      </c>
      <c r="AJ93" s="966">
        <f t="shared" ref="AJ93" si="430">SUM(AJ89:AJ92)</f>
        <v>2877</v>
      </c>
      <c r="AK93" s="966">
        <f t="shared" ref="AK93" si="431">SUM(AK89:AK92)</f>
        <v>2823</v>
      </c>
      <c r="AL93" s="966">
        <f t="shared" ref="AL93" si="432">SUM(AL89:AL92)</f>
        <v>3104</v>
      </c>
      <c r="AM93" s="966">
        <f t="shared" ref="AM93" si="433">SUM(AM89:AM92)</f>
        <v>3205</v>
      </c>
      <c r="AN93" s="966">
        <f t="shared" ref="AN93" si="434">SUM(AN89:AN92)</f>
        <v>2974</v>
      </c>
      <c r="AO93" s="966">
        <f t="shared" ref="AO93" si="435">SUM(AO89:AO92)</f>
        <v>3254</v>
      </c>
      <c r="AP93" s="966">
        <f t="shared" ref="AP93" si="436">SUM(AP89:AP92)</f>
        <v>3585</v>
      </c>
      <c r="AQ93" s="966">
        <f t="shared" ref="AQ93" si="437">SUM(AQ89:AQ92)</f>
        <v>3700</v>
      </c>
      <c r="AR93" s="966">
        <f t="shared" ref="AR93" si="438">SUM(AR89:AR92)</f>
        <v>3390</v>
      </c>
      <c r="AS93" s="966">
        <f t="shared" ref="AS93" si="439">SUM(AS89:AS92)</f>
        <v>3261</v>
      </c>
      <c r="AT93" s="966">
        <f t="shared" ref="AT93" si="440">SUM(AT89:AT92)</f>
        <v>3644</v>
      </c>
      <c r="AU93" s="966">
        <f t="shared" ref="AU93" si="441">SUM(AU89:AU92)</f>
        <v>3764</v>
      </c>
      <c r="AV93" s="966">
        <f t="shared" ref="AV93" si="442">SUM(AV89:AV92)</f>
        <v>3429</v>
      </c>
      <c r="AW93" s="966">
        <f t="shared" ref="AW93" si="443">SUM(AW89:AW92)</f>
        <v>3325</v>
      </c>
      <c r="AX93" s="966">
        <f t="shared" ref="AX93" si="444">SUM(AX89:AX92)</f>
        <v>3676</v>
      </c>
      <c r="AY93" s="966">
        <f t="shared" ref="AY93" si="445">SUM(AY89:AY92)</f>
        <v>3818</v>
      </c>
      <c r="AZ93" s="966">
        <f t="shared" ref="AZ93" si="446">SUM(AZ89:AZ92)</f>
        <v>3445</v>
      </c>
      <c r="BA93" s="966">
        <f t="shared" ref="BA93" si="447">SUM(BA89:BA92)</f>
        <v>3328</v>
      </c>
      <c r="BB93" s="966">
        <f t="shared" ref="BB93" si="448">SUM(BB89:BB92)</f>
        <v>3734</v>
      </c>
      <c r="BC93" s="966">
        <f t="shared" ref="BC93" si="449">SUM(BC89:BC92)</f>
        <v>3842</v>
      </c>
      <c r="BD93" s="966">
        <f t="shared" ref="BD93" si="450">SUM(BD89:BD92)</f>
        <v>3500</v>
      </c>
      <c r="BE93" s="966">
        <f t="shared" ref="BE93" si="451">SUM(BE89:BE92)</f>
        <v>3387</v>
      </c>
      <c r="BF93" s="966">
        <f t="shared" ref="BF93" si="452">SUM(BF89:BF92)</f>
        <v>3815</v>
      </c>
      <c r="BG93" s="966">
        <f t="shared" ref="BG93" si="453">SUM(BG89:BG92)</f>
        <v>3971</v>
      </c>
      <c r="BH93" s="966">
        <f t="shared" ref="BH93" si="454">SUM(BH89:BH92)</f>
        <v>3653</v>
      </c>
      <c r="BI93" s="966">
        <f t="shared" ref="BI93" si="455">SUM(BI89:BI92)</f>
        <v>3493</v>
      </c>
      <c r="BJ93" s="966">
        <f t="shared" ref="BJ93" si="456">SUM(BJ89:BJ92)</f>
        <v>3891</v>
      </c>
      <c r="BK93" s="966">
        <f t="shared" ref="BK93" si="457">SUM(BK89:BK92)</f>
        <v>4021</v>
      </c>
      <c r="BL93" s="966">
        <f t="shared" ref="BL93" si="458">SUM(BL89:BL92)</f>
        <v>3714</v>
      </c>
      <c r="BM93" s="966">
        <f t="shared" ref="BM93" si="459">SUM(BM89:BM92)</f>
        <v>3219</v>
      </c>
      <c r="BN93" s="966">
        <f t="shared" ref="BN93" si="460">SUM(BN89:BN92)</f>
        <v>852</v>
      </c>
      <c r="BO93" s="966">
        <f t="shared" ref="BO93" si="461">SUM(BO89:BO92)</f>
        <v>1597</v>
      </c>
      <c r="BP93" s="966">
        <f t="shared" ref="BP93" si="462">SUM(BP89:BP92)</f>
        <v>1841</v>
      </c>
      <c r="BQ93" s="966">
        <f t="shared" ref="BQ93" si="463">SUM(BQ89:BQ92)</f>
        <v>1929</v>
      </c>
      <c r="BR93" s="966">
        <f t="shared" ref="BR93" si="464">SUM(BR89:BR92)</f>
        <v>2585</v>
      </c>
      <c r="BS93" s="966">
        <f t="shared" ref="BS93" si="465">SUM(BS89:BS92)</f>
        <v>3021</v>
      </c>
      <c r="BT93" s="966">
        <f t="shared" ref="BT93" si="466">SUM(BT89:BT92)</f>
        <v>2965</v>
      </c>
      <c r="BU93" s="966">
        <f t="shared" ref="BU93" si="467">SUM(BU89:BU92)</f>
        <v>2856</v>
      </c>
      <c r="BW93" s="297"/>
      <c r="BX93" s="441"/>
    </row>
    <row r="94" spans="3:76">
      <c r="C94" s="255"/>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row>
    <row r="96" spans="3:76">
      <c r="C96" s="397" t="s">
        <v>1818</v>
      </c>
      <c r="BL96" s="380"/>
      <c r="BM96" s="380"/>
      <c r="BN96" s="380"/>
      <c r="BO96" s="380"/>
      <c r="BP96" s="380"/>
      <c r="BQ96" s="380"/>
      <c r="BR96" s="380"/>
      <c r="BS96" s="380"/>
      <c r="BT96" s="380"/>
      <c r="BU96" s="380"/>
    </row>
    <row r="97" spans="3:76">
      <c r="C97" s="255" t="str">
        <f>C$11</f>
        <v xml:space="preserve">  AAL</v>
      </c>
      <c r="E97" s="387">
        <f t="shared" ref="E97:AJ97" si="468">E82/E89</f>
        <v>1.5048010973936901</v>
      </c>
      <c r="F97" s="387">
        <f t="shared" si="468"/>
        <v>1.8024032042723632</v>
      </c>
      <c r="G97" s="387">
        <f t="shared" si="468"/>
        <v>2.073394495412844</v>
      </c>
      <c r="H97" s="387">
        <f t="shared" si="468"/>
        <v>2.2418670438472419</v>
      </c>
      <c r="I97" s="387">
        <f t="shared" si="468"/>
        <v>2.0893617021276594</v>
      </c>
      <c r="J97" s="387">
        <f t="shared" si="468"/>
        <v>2.3175033921302579</v>
      </c>
      <c r="K97" s="387">
        <f t="shared" si="468"/>
        <v>2.3900134952766532</v>
      </c>
      <c r="L97" s="387">
        <f t="shared" si="468"/>
        <v>2.0803443328550935</v>
      </c>
      <c r="M97" s="387">
        <f t="shared" si="468"/>
        <v>2.0375722543352599</v>
      </c>
      <c r="N97" s="387">
        <f t="shared" si="468"/>
        <v>2.3057503506311359</v>
      </c>
      <c r="O97" s="387">
        <f t="shared" si="468"/>
        <v>2.4041379310344828</v>
      </c>
      <c r="P97" s="387">
        <f t="shared" si="468"/>
        <v>2.6605113636363638</v>
      </c>
      <c r="Q97" s="387">
        <f t="shared" si="468"/>
        <v>3.0147058823529411</v>
      </c>
      <c r="R97" s="387">
        <f t="shared" si="468"/>
        <v>3.5218023255813953</v>
      </c>
      <c r="S97" s="387">
        <f t="shared" si="468"/>
        <v>3.9449275362318841</v>
      </c>
      <c r="T97" s="387">
        <f t="shared" si="468"/>
        <v>2.8555729984301412</v>
      </c>
      <c r="U97" s="387">
        <f t="shared" si="468"/>
        <v>2.1037277147487843</v>
      </c>
      <c r="V97" s="387">
        <f t="shared" si="468"/>
        <v>2.0909090909090908</v>
      </c>
      <c r="W97" s="387">
        <f t="shared" si="468"/>
        <v>2.2845911949685536</v>
      </c>
      <c r="X97" s="387">
        <f t="shared" si="468"/>
        <v>2.4105090311986865</v>
      </c>
      <c r="Y97" s="387">
        <f t="shared" si="468"/>
        <v>2.468227424749164</v>
      </c>
      <c r="Z97" s="387">
        <f t="shared" si="468"/>
        <v>2.6395534290271132</v>
      </c>
      <c r="AA97" s="387">
        <f t="shared" si="468"/>
        <v>2.5007751937984497</v>
      </c>
      <c r="AB97" s="387">
        <f t="shared" si="468"/>
        <v>2.7147540983606557</v>
      </c>
      <c r="AC97" s="387">
        <f t="shared" si="468"/>
        <v>3.0854271356783918</v>
      </c>
      <c r="AD97" s="387">
        <f t="shared" si="468"/>
        <v>3.5119617224880382</v>
      </c>
      <c r="AE97" s="387">
        <f t="shared" si="468"/>
        <v>3.5511811023622046</v>
      </c>
      <c r="AF97" s="387">
        <f t="shared" si="468"/>
        <v>2.2338530066815143</v>
      </c>
      <c r="AG97" s="387">
        <f t="shared" si="468"/>
        <v>3.6570945945945947</v>
      </c>
      <c r="AH97" s="387">
        <f t="shared" si="468"/>
        <v>3.6572847682119205</v>
      </c>
      <c r="AI97" s="387">
        <f t="shared" si="468"/>
        <v>3.5275080906148868</v>
      </c>
      <c r="AJ97" s="387">
        <f t="shared" si="468"/>
        <v>3.6352941176470588</v>
      </c>
      <c r="AK97" s="387">
        <f t="shared" ref="AK97:BU97" si="469">AK82/AK89</f>
        <v>3.7145270270270272</v>
      </c>
      <c r="AL97" s="387">
        <f t="shared" si="469"/>
        <v>3.4022257551669317</v>
      </c>
      <c r="AM97" s="387">
        <f t="shared" si="469"/>
        <v>3.3965785381026437</v>
      </c>
      <c r="AN97" s="387">
        <f t="shared" si="469"/>
        <v>3.1972265023112483</v>
      </c>
      <c r="AO97" s="387">
        <f t="shared" si="469"/>
        <v>3.1024154589371982</v>
      </c>
      <c r="AP97" s="387">
        <f t="shared" si="469"/>
        <v>3.0288028802880289</v>
      </c>
      <c r="AQ97" s="387">
        <f t="shared" si="469"/>
        <v>2.9796460176991149</v>
      </c>
      <c r="AR97" s="387">
        <f t="shared" si="469"/>
        <v>2.5194312796208531</v>
      </c>
      <c r="AS97" s="387">
        <f t="shared" si="469"/>
        <v>1.8311944718657454</v>
      </c>
      <c r="AT97" s="387">
        <f t="shared" si="469"/>
        <v>1.8989266547406083</v>
      </c>
      <c r="AU97" s="387">
        <f t="shared" si="469"/>
        <v>1.6692982456140351</v>
      </c>
      <c r="AV97" s="387">
        <f t="shared" si="469"/>
        <v>1.4961977186311788</v>
      </c>
      <c r="AW97" s="387">
        <f t="shared" si="469"/>
        <v>1.2081316553727008</v>
      </c>
      <c r="AX97" s="387">
        <f t="shared" si="469"/>
        <v>1.4197860962566844</v>
      </c>
      <c r="AY97" s="387">
        <f t="shared" si="469"/>
        <v>1.4760661444734551</v>
      </c>
      <c r="AZ97" s="387">
        <f t="shared" si="469"/>
        <v>1.2787356321839081</v>
      </c>
      <c r="BA97" s="387">
        <f t="shared" si="469"/>
        <v>1.6979269496544915</v>
      </c>
      <c r="BB97" s="387">
        <f t="shared" si="469"/>
        <v>1.6288751107174491</v>
      </c>
      <c r="BC97" s="387">
        <f t="shared" si="469"/>
        <v>1.6742160278745644</v>
      </c>
      <c r="BD97" s="387">
        <f t="shared" si="469"/>
        <v>1.9150943396226414</v>
      </c>
      <c r="BE97" s="387">
        <f t="shared" si="469"/>
        <v>2.0980582524271845</v>
      </c>
      <c r="BF97" s="387">
        <f t="shared" si="469"/>
        <v>2.2388840453356584</v>
      </c>
      <c r="BG97" s="387">
        <f t="shared" si="469"/>
        <v>2.3025210084033612</v>
      </c>
      <c r="BH97" s="387">
        <f t="shared" si="469"/>
        <v>2.2472222222222222</v>
      </c>
      <c r="BI97" s="387">
        <f t="shared" si="469"/>
        <v>2.040835707502374</v>
      </c>
      <c r="BJ97" s="387">
        <f t="shared" si="469"/>
        <v>2.1433506044905011</v>
      </c>
      <c r="BK97" s="387">
        <f t="shared" si="469"/>
        <v>2.0463192721257237</v>
      </c>
      <c r="BL97" s="387">
        <f t="shared" si="469"/>
        <v>2.0501342882721576</v>
      </c>
      <c r="BM97" s="387">
        <f t="shared" si="469"/>
        <v>1.8353909465020577</v>
      </c>
      <c r="BN97" s="387">
        <f t="shared" si="469"/>
        <v>1.1236363636363635</v>
      </c>
      <c r="BO97" s="387">
        <f t="shared" si="469"/>
        <v>1.2244488977955912</v>
      </c>
      <c r="BP97" s="387">
        <f t="shared" si="469"/>
        <v>1.2663043478260869</v>
      </c>
      <c r="BQ97" s="387">
        <f t="shared" si="469"/>
        <v>1.700657894736842</v>
      </c>
      <c r="BR97" s="387">
        <f t="shared" si="469"/>
        <v>1.9087677725118484</v>
      </c>
      <c r="BS97" s="387">
        <f t="shared" si="469"/>
        <v>2.0743889479277366</v>
      </c>
      <c r="BT97" s="387">
        <f t="shared" si="469"/>
        <v>2.3587540279269601</v>
      </c>
      <c r="BU97" s="387">
        <f t="shared" si="469"/>
        <v>2.7986577181208054</v>
      </c>
    </row>
    <row r="98" spans="3:76">
      <c r="C98" s="255" t="str">
        <f>C$12</f>
        <v xml:space="preserve">  DAL</v>
      </c>
      <c r="E98" s="387">
        <f t="shared" ref="E98:T99" si="470">E83/E90</f>
        <v>1.4166666666666667</v>
      </c>
      <c r="F98" s="387">
        <f t="shared" si="470"/>
        <v>1.604261796042618</v>
      </c>
      <c r="G98" s="387">
        <f t="shared" si="470"/>
        <v>1.8227272727272728</v>
      </c>
      <c r="H98" s="387">
        <f t="shared" si="470"/>
        <v>2.4047186932849365</v>
      </c>
      <c r="I98" s="387">
        <f t="shared" si="470"/>
        <v>1.9179999999999999</v>
      </c>
      <c r="J98" s="387">
        <f t="shared" si="470"/>
        <v>2.1385767790262173</v>
      </c>
      <c r="K98" s="387">
        <f t="shared" si="470"/>
        <v>2.2544169611307421</v>
      </c>
      <c r="L98" s="387">
        <f t="shared" si="470"/>
        <v>2.0665362035225048</v>
      </c>
      <c r="M98" s="387">
        <f t="shared" si="470"/>
        <v>1.9307535641547862</v>
      </c>
      <c r="N98" s="387">
        <f t="shared" si="470"/>
        <v>2.0941619585687383</v>
      </c>
      <c r="O98" s="387">
        <f t="shared" si="470"/>
        <v>2.2086956521739132</v>
      </c>
      <c r="P98" s="387">
        <f t="shared" si="470"/>
        <v>1.2889733840304183</v>
      </c>
      <c r="Q98" s="387">
        <f t="shared" si="470"/>
        <v>2.3621262458471759</v>
      </c>
      <c r="R98" s="387">
        <f t="shared" si="470"/>
        <v>1.5667600373482726</v>
      </c>
      <c r="S98" s="387">
        <f t="shared" si="470"/>
        <v>2.9575757575757575</v>
      </c>
      <c r="T98" s="387">
        <f t="shared" si="470"/>
        <v>2.3504098360655736</v>
      </c>
      <c r="U98" s="387">
        <f t="shared" ref="U98:AZ98" si="471">U83/U90</f>
        <v>2.1733639494833525</v>
      </c>
      <c r="V98" s="387">
        <f t="shared" si="471"/>
        <v>1.6398190045248868</v>
      </c>
      <c r="W98" s="387">
        <f t="shared" si="471"/>
        <v>1.8916586768935761</v>
      </c>
      <c r="X98" s="387">
        <f t="shared" si="471"/>
        <v>1.8913525498891353</v>
      </c>
      <c r="Y98" s="387">
        <f t="shared" si="471"/>
        <v>1.9322617680826637</v>
      </c>
      <c r="Z98" s="387">
        <f t="shared" si="471"/>
        <v>2.0310880829015545</v>
      </c>
      <c r="AA98" s="387">
        <f t="shared" si="471"/>
        <v>1.9248334919124643</v>
      </c>
      <c r="AB98" s="387">
        <f t="shared" si="471"/>
        <v>2.0598290598290596</v>
      </c>
      <c r="AC98" s="387">
        <f t="shared" si="471"/>
        <v>2.911290322580645</v>
      </c>
      <c r="AD98" s="387">
        <f t="shared" si="471"/>
        <v>2.684475806451613</v>
      </c>
      <c r="AE98" s="387">
        <f t="shared" si="471"/>
        <v>2.7595785440613025</v>
      </c>
      <c r="AF98" s="387">
        <f t="shared" si="471"/>
        <v>2.2419533851276361</v>
      </c>
      <c r="AG98" s="387">
        <f t="shared" si="471"/>
        <v>2.2990970654627541</v>
      </c>
      <c r="AH98" s="387">
        <f t="shared" si="471"/>
        <v>3.4142561983471076</v>
      </c>
      <c r="AI98" s="387">
        <f t="shared" si="471"/>
        <v>2.7681987785178861</v>
      </c>
      <c r="AJ98" s="387">
        <f t="shared" si="471"/>
        <v>2.2166320437731968</v>
      </c>
      <c r="AK98" s="387">
        <f t="shared" si="471"/>
        <v>3.3257142857142856</v>
      </c>
      <c r="AL98" s="387">
        <f t="shared" si="471"/>
        <v>2.6452599388379205</v>
      </c>
      <c r="AM98" s="387">
        <f t="shared" si="471"/>
        <v>4.0638095238095238</v>
      </c>
      <c r="AN98" s="387">
        <f t="shared" si="471"/>
        <v>2.4099783080260302</v>
      </c>
      <c r="AO98" s="387">
        <f t="shared" si="471"/>
        <v>3.0635641316685587</v>
      </c>
      <c r="AP98" s="387">
        <f t="shared" si="471"/>
        <v>2.4315684315684316</v>
      </c>
      <c r="AQ98" s="387">
        <f t="shared" si="471"/>
        <v>2.7666354264292408</v>
      </c>
      <c r="AR98" s="387">
        <f t="shared" si="471"/>
        <v>4.2966101694915251</v>
      </c>
      <c r="AS98" s="387">
        <f t="shared" si="471"/>
        <v>1.9989106753812635</v>
      </c>
      <c r="AT98" s="387">
        <f t="shared" si="471"/>
        <v>1.4159378036929058</v>
      </c>
      <c r="AU98" s="387">
        <f t="shared" si="471"/>
        <v>1.6596715328467153</v>
      </c>
      <c r="AV98" s="387">
        <f t="shared" si="471"/>
        <v>1.5164021164021164</v>
      </c>
      <c r="AW98" s="387">
        <f t="shared" si="471"/>
        <v>1.3193548387096774</v>
      </c>
      <c r="AX98" s="387">
        <f t="shared" si="471"/>
        <v>1.1739961759082218</v>
      </c>
      <c r="AY98" s="387">
        <f t="shared" si="471"/>
        <v>1.2939035486806187</v>
      </c>
      <c r="AZ98" s="387">
        <f t="shared" si="471"/>
        <v>2.2401700318809779</v>
      </c>
      <c r="BA98" s="387">
        <f t="shared" ref="BA98:BU98" si="472">BA83/BA90</f>
        <v>1.6143790849673203</v>
      </c>
      <c r="BB98" s="387">
        <f t="shared" si="472"/>
        <v>1.6112702960840497</v>
      </c>
      <c r="BC98" s="387">
        <f t="shared" si="472"/>
        <v>1.6110108303249098</v>
      </c>
      <c r="BD98" s="387">
        <f t="shared" si="472"/>
        <v>1.8790406673618352</v>
      </c>
      <c r="BE98" s="387">
        <f t="shared" si="472"/>
        <v>1.982905982905983</v>
      </c>
      <c r="BF98" s="387">
        <f t="shared" si="472"/>
        <v>2.1940018744142455</v>
      </c>
      <c r="BG98" s="387">
        <f t="shared" si="472"/>
        <v>2.2008810572687225</v>
      </c>
      <c r="BH98" s="387">
        <f t="shared" si="472"/>
        <v>2.3866666666666667</v>
      </c>
      <c r="BI98" s="387">
        <f t="shared" si="472"/>
        <v>2.056133056133056</v>
      </c>
      <c r="BJ98" s="387">
        <f t="shared" si="472"/>
        <v>2.0846223839854412</v>
      </c>
      <c r="BK98" s="387">
        <f t="shared" si="472"/>
        <v>1.940207972270364</v>
      </c>
      <c r="BL98" s="387">
        <f t="shared" si="472"/>
        <v>2.0130130130130128</v>
      </c>
      <c r="BM98" s="387">
        <f t="shared" si="472"/>
        <v>1.8125</v>
      </c>
      <c r="BN98" s="387">
        <f t="shared" si="472"/>
        <v>2.2545454545454544</v>
      </c>
      <c r="BO98" s="387">
        <f t="shared" si="472"/>
        <v>1.2429667519181586</v>
      </c>
      <c r="BP98" s="387">
        <f t="shared" si="472"/>
        <v>1.4518072289156627</v>
      </c>
      <c r="BQ98" s="387">
        <f t="shared" si="472"/>
        <v>1.8660550458715597</v>
      </c>
      <c r="BR98" s="387">
        <f t="shared" si="472"/>
        <v>2.155072463768116</v>
      </c>
      <c r="BS98" s="387">
        <f t="shared" si="472"/>
        <v>1.9670468948035489</v>
      </c>
      <c r="BT98" s="387">
        <f t="shared" si="472"/>
        <v>2.0887417218543045</v>
      </c>
      <c r="BU98" s="387">
        <f t="shared" si="472"/>
        <v>2.7856191744340877</v>
      </c>
    </row>
    <row r="99" spans="3:76">
      <c r="C99" s="255" t="str">
        <f>C$13</f>
        <v xml:space="preserve">  UAL</v>
      </c>
      <c r="E99" s="387">
        <f t="shared" si="470"/>
        <v>1.1582733812949639</v>
      </c>
      <c r="F99" s="387">
        <f t="shared" si="470"/>
        <v>1.319060773480663</v>
      </c>
      <c r="G99" s="387">
        <f t="shared" si="470"/>
        <v>1.5213204951856947</v>
      </c>
      <c r="H99" s="387">
        <f t="shared" si="470"/>
        <v>1.8021638330757341</v>
      </c>
      <c r="I99" s="387">
        <f t="shared" si="470"/>
        <v>1.661993769470405</v>
      </c>
      <c r="J99" s="387">
        <f t="shared" si="470"/>
        <v>1.8142235123367199</v>
      </c>
      <c r="K99" s="387">
        <f t="shared" si="470"/>
        <v>1.9052924791086352</v>
      </c>
      <c r="L99" s="387">
        <f t="shared" si="470"/>
        <v>1.7362804878048781</v>
      </c>
      <c r="M99" s="387">
        <f t="shared" si="470"/>
        <v>1.6419558359621451</v>
      </c>
      <c r="N99" s="387">
        <f t="shared" si="470"/>
        <v>1.7377521613832854</v>
      </c>
      <c r="O99" s="387">
        <f t="shared" si="470"/>
        <v>1.8337950138504155</v>
      </c>
      <c r="P99" s="387">
        <f t="shared" si="470"/>
        <v>1.2430555555555556</v>
      </c>
      <c r="Q99" s="387">
        <f t="shared" ref="Q99:AV99" si="473">Q84/Q91</f>
        <v>2.4305555555555554</v>
      </c>
      <c r="R99" s="387">
        <f t="shared" si="473"/>
        <v>2.7789473684210528</v>
      </c>
      <c r="S99" s="387">
        <f t="shared" si="473"/>
        <v>3.7458143074581431</v>
      </c>
      <c r="T99" s="387">
        <f t="shared" si="473"/>
        <v>3.1526586620926245</v>
      </c>
      <c r="U99" s="387">
        <f t="shared" si="473"/>
        <v>1.4217081850533808</v>
      </c>
      <c r="V99" s="387">
        <f t="shared" si="473"/>
        <v>1.4144295302013423</v>
      </c>
      <c r="W99" s="387">
        <f t="shared" si="473"/>
        <v>1.7272727272727273</v>
      </c>
      <c r="X99" s="387">
        <f t="shared" si="473"/>
        <v>1.9716312056737588</v>
      </c>
      <c r="Y99" s="387">
        <f t="shared" si="473"/>
        <v>2.2025547445255476</v>
      </c>
      <c r="Z99" s="387">
        <f t="shared" si="473"/>
        <v>2.4360655737704917</v>
      </c>
      <c r="AA99" s="387">
        <f t="shared" si="473"/>
        <v>1.9345794392523366</v>
      </c>
      <c r="AB99" s="387">
        <f t="shared" si="473"/>
        <v>2.463927855711423</v>
      </c>
      <c r="AC99" s="387">
        <f t="shared" si="473"/>
        <v>2.9075081610446136</v>
      </c>
      <c r="AD99" s="387">
        <f t="shared" si="473"/>
        <v>3.0939597315436242</v>
      </c>
      <c r="AE99" s="387">
        <f t="shared" si="473"/>
        <v>3.1622889305816133</v>
      </c>
      <c r="AF99" s="387">
        <f t="shared" si="473"/>
        <v>3.2043343653250775</v>
      </c>
      <c r="AG99" s="387">
        <f t="shared" si="473"/>
        <v>3.3391933815925543</v>
      </c>
      <c r="AH99" s="387">
        <f t="shared" si="473"/>
        <v>3.2927536231884056</v>
      </c>
      <c r="AI99" s="387">
        <f t="shared" si="473"/>
        <v>3.1861552853133768</v>
      </c>
      <c r="AJ99" s="387">
        <f t="shared" si="473"/>
        <v>3.2751322751322753</v>
      </c>
      <c r="AK99" s="387">
        <f t="shared" si="473"/>
        <v>3.3008658008658007</v>
      </c>
      <c r="AL99" s="387">
        <f t="shared" si="473"/>
        <v>3.0196850393700787</v>
      </c>
      <c r="AM99" s="387">
        <f t="shared" si="473"/>
        <v>3.1185468451242828</v>
      </c>
      <c r="AN99" s="387">
        <f t="shared" si="473"/>
        <v>3.0853277835587929</v>
      </c>
      <c r="AO99" s="387">
        <f t="shared" si="473"/>
        <v>3.1844978165938866</v>
      </c>
      <c r="AP99" s="387">
        <f t="shared" si="473"/>
        <v>3.0886454183266934</v>
      </c>
      <c r="AQ99" s="387">
        <f t="shared" si="473"/>
        <v>3.0154291224686598</v>
      </c>
      <c r="AR99" s="387">
        <f t="shared" si="473"/>
        <v>2.668776371308017</v>
      </c>
      <c r="AS99" s="387">
        <f t="shared" si="473"/>
        <v>2.0803571428571428</v>
      </c>
      <c r="AT99" s="387">
        <f t="shared" si="473"/>
        <v>2.097609561752988</v>
      </c>
      <c r="AU99" s="387">
        <f t="shared" si="473"/>
        <v>1.8685990338164251</v>
      </c>
      <c r="AV99" s="387">
        <f t="shared" si="473"/>
        <v>1.70136698212408</v>
      </c>
      <c r="AW99" s="387">
        <f t="shared" ref="AW99:BQ99" si="474">AW84/AW91</f>
        <v>1.3685393258426966</v>
      </c>
      <c r="AX99" s="387">
        <f t="shared" si="474"/>
        <v>1.4442211055276382</v>
      </c>
      <c r="AY99" s="387">
        <f t="shared" si="474"/>
        <v>1.5165562913907285</v>
      </c>
      <c r="AZ99" s="387">
        <f t="shared" si="474"/>
        <v>1.6164241164241164</v>
      </c>
      <c r="BA99" s="387">
        <f t="shared" si="474"/>
        <v>1.7142857142857142</v>
      </c>
      <c r="BB99" s="387">
        <f t="shared" si="474"/>
        <v>1.6314760508308896</v>
      </c>
      <c r="BC99" s="387">
        <f t="shared" si="474"/>
        <v>1.6985915492957746</v>
      </c>
      <c r="BD99" s="387">
        <f t="shared" si="474"/>
        <v>1.9132653061224489</v>
      </c>
      <c r="BE99" s="387">
        <f t="shared" si="474"/>
        <v>2.1083690987124464</v>
      </c>
      <c r="BF99" s="387">
        <f t="shared" si="474"/>
        <v>2.2589792060491494</v>
      </c>
      <c r="BG99" s="387">
        <f t="shared" si="474"/>
        <v>2.315031503150315</v>
      </c>
      <c r="BH99" s="387">
        <f t="shared" si="474"/>
        <v>2.2222222222222223</v>
      </c>
      <c r="BI99" s="387">
        <f t="shared" si="474"/>
        <v>2.0538071065989847</v>
      </c>
      <c r="BJ99" s="387">
        <f t="shared" si="474"/>
        <v>2.164246823956443</v>
      </c>
      <c r="BK99" s="387">
        <f t="shared" si="474"/>
        <v>2.0246913580246915</v>
      </c>
      <c r="BL99" s="387">
        <f t="shared" si="474"/>
        <v>2.0999066293183941</v>
      </c>
      <c r="BM99" s="387">
        <f t="shared" si="474"/>
        <v>1.8967032967032966</v>
      </c>
      <c r="BN99" s="387">
        <f t="shared" si="474"/>
        <v>1.1764705882352942</v>
      </c>
      <c r="BO99" s="387">
        <f t="shared" si="474"/>
        <v>1.3126614987080103</v>
      </c>
      <c r="BP99" s="387">
        <f t="shared" si="474"/>
        <v>1.3499005964214712</v>
      </c>
      <c r="BQ99" s="387">
        <f t="shared" si="474"/>
        <v>1.736734693877551</v>
      </c>
      <c r="BR99" s="387">
        <f t="shared" ref="BR99:BU101" si="475">BR84/BR91</f>
        <v>1.9712000000000001</v>
      </c>
      <c r="BS99" s="387">
        <f t="shared" si="475"/>
        <v>2.1375000000000002</v>
      </c>
      <c r="BT99" s="387">
        <f t="shared" si="475"/>
        <v>2.4103194103194103</v>
      </c>
      <c r="BU99" s="387">
        <f t="shared" si="475"/>
        <v>2.8774193548387097</v>
      </c>
    </row>
    <row r="100" spans="3:76">
      <c r="C100" s="255" t="str">
        <f>C$14</f>
        <v xml:space="preserve">  LUV</v>
      </c>
      <c r="E100" s="387">
        <f t="shared" ref="E100:P101" si="476">E85/E92</f>
        <v>0.91176470588235292</v>
      </c>
      <c r="F100" s="387">
        <f t="shared" si="476"/>
        <v>1.0248447204968945</v>
      </c>
      <c r="G100" s="387">
        <f t="shared" si="476"/>
        <v>1.0150602409638554</v>
      </c>
      <c r="H100" s="387">
        <f t="shared" si="476"/>
        <v>1.0762942779291553</v>
      </c>
      <c r="I100" s="387">
        <f t="shared" si="476"/>
        <v>1.5227963525835866</v>
      </c>
      <c r="J100" s="387">
        <f t="shared" si="476"/>
        <v>1.5058139534883721</v>
      </c>
      <c r="K100" s="387">
        <f t="shared" si="476"/>
        <v>1.5682451253481895</v>
      </c>
      <c r="L100" s="387">
        <f t="shared" si="476"/>
        <v>1.5574229691876751</v>
      </c>
      <c r="M100" s="387">
        <f t="shared" si="476"/>
        <v>1.6022727272727273</v>
      </c>
      <c r="N100" s="387">
        <f t="shared" si="476"/>
        <v>1.6229946524064172</v>
      </c>
      <c r="O100" s="387">
        <f t="shared" si="476"/>
        <v>1.7010309278350515</v>
      </c>
      <c r="P100" s="387">
        <f t="shared" si="476"/>
        <v>1.875</v>
      </c>
      <c r="Q100" s="387">
        <f t="shared" ref="Q100:AV101" si="477">Q85/Q92</f>
        <v>2.1447721179624666</v>
      </c>
      <c r="R100" s="387">
        <f t="shared" si="477"/>
        <v>2.4355670103092781</v>
      </c>
      <c r="S100" s="387">
        <f t="shared" si="477"/>
        <v>2.75130890052356</v>
      </c>
      <c r="T100" s="387">
        <f t="shared" si="477"/>
        <v>2.4945652173913042</v>
      </c>
      <c r="U100" s="387">
        <f t="shared" si="477"/>
        <v>2</v>
      </c>
      <c r="V100" s="387">
        <f t="shared" si="477"/>
        <v>1.9568733153638813</v>
      </c>
      <c r="W100" s="387">
        <f t="shared" si="477"/>
        <v>2.275482093663912</v>
      </c>
      <c r="X100" s="387">
        <f t="shared" si="477"/>
        <v>2.301449275362319</v>
      </c>
      <c r="Y100" s="387">
        <f t="shared" si="477"/>
        <v>2.4954407294832825</v>
      </c>
      <c r="Z100" s="387">
        <f t="shared" si="477"/>
        <v>2.5080645161290325</v>
      </c>
      <c r="AA100" s="387">
        <f t="shared" si="477"/>
        <v>2.4693333333333332</v>
      </c>
      <c r="AB100" s="387">
        <f t="shared" si="477"/>
        <v>2.6038781163434903</v>
      </c>
      <c r="AC100" s="387">
        <f t="shared" si="477"/>
        <v>2.9157303370786516</v>
      </c>
      <c r="AD100" s="387">
        <f t="shared" si="477"/>
        <v>3.3051948051948052</v>
      </c>
      <c r="AE100" s="387">
        <f t="shared" si="477"/>
        <v>3.2367346938775512</v>
      </c>
      <c r="AF100" s="387">
        <f t="shared" si="477"/>
        <v>3.2598253275109172</v>
      </c>
      <c r="AG100" s="387">
        <f t="shared" si="477"/>
        <v>3.4085778781038374</v>
      </c>
      <c r="AH100" s="387">
        <f t="shared" si="477"/>
        <v>3.2650103519668736</v>
      </c>
      <c r="AI100" s="387">
        <f t="shared" si="477"/>
        <v>3.1966527196652721</v>
      </c>
      <c r="AJ100" s="387">
        <f t="shared" si="477"/>
        <v>3.3972911963882617</v>
      </c>
      <c r="AK100" s="387">
        <f t="shared" si="477"/>
        <v>3.3726851851851851</v>
      </c>
      <c r="AL100" s="387">
        <f t="shared" si="477"/>
        <v>3.1150627615062763</v>
      </c>
      <c r="AM100" s="387">
        <f t="shared" si="477"/>
        <v>3.1115879828326181</v>
      </c>
      <c r="AN100" s="387">
        <f t="shared" si="477"/>
        <v>3.0927601809954752</v>
      </c>
      <c r="AO100" s="387">
        <f t="shared" si="477"/>
        <v>3.1137440758293837</v>
      </c>
      <c r="AP100" s="387">
        <f t="shared" si="477"/>
        <v>3.0383795309168442</v>
      </c>
      <c r="AQ100" s="387">
        <f t="shared" si="477"/>
        <v>2.9742489270386265</v>
      </c>
      <c r="AR100" s="387">
        <f t="shared" si="477"/>
        <v>2.6365688487584649</v>
      </c>
      <c r="AS100" s="387">
        <f t="shared" si="477"/>
        <v>2.0207373271889399</v>
      </c>
      <c r="AT100" s="387">
        <f t="shared" si="477"/>
        <v>2.0385395537525355</v>
      </c>
      <c r="AU100" s="387">
        <f t="shared" si="477"/>
        <v>1.898580121703854</v>
      </c>
      <c r="AV100" s="387">
        <f t="shared" si="477"/>
        <v>1.659043659043659</v>
      </c>
      <c r="AW100" s="387">
        <f t="shared" ref="AW100:BQ101" si="478">AW85/AW92</f>
        <v>1.8050847457627119</v>
      </c>
      <c r="AX100" s="387">
        <f t="shared" si="478"/>
        <v>1.760233918128655</v>
      </c>
      <c r="AY100" s="387">
        <f t="shared" si="478"/>
        <v>1.834307992202729</v>
      </c>
      <c r="AZ100" s="387">
        <f t="shared" si="478"/>
        <v>1.9096385542168675</v>
      </c>
      <c r="BA100" s="387">
        <f t="shared" si="478"/>
        <v>1.9630390143737166</v>
      </c>
      <c r="BB100" s="387">
        <f t="shared" si="478"/>
        <v>1.9140186915887851</v>
      </c>
      <c r="BC100" s="387">
        <f t="shared" si="478"/>
        <v>1.9904030710172744</v>
      </c>
      <c r="BD100" s="387">
        <f t="shared" si="478"/>
        <v>2.1157684630738522</v>
      </c>
      <c r="BE100" s="387">
        <f t="shared" si="478"/>
        <v>2.0817995910020448</v>
      </c>
      <c r="BF100" s="387">
        <f t="shared" si="478"/>
        <v>2.2136279926335174</v>
      </c>
      <c r="BG100" s="387">
        <f t="shared" si="478"/>
        <v>2.2523364485981308</v>
      </c>
      <c r="BH100" s="387">
        <f t="shared" si="478"/>
        <v>2.2599620493358632</v>
      </c>
      <c r="BI100" s="387">
        <f t="shared" si="478"/>
        <v>2.0588235294117645</v>
      </c>
      <c r="BJ100" s="387">
        <f t="shared" si="478"/>
        <v>2.1353383458646618</v>
      </c>
      <c r="BK100" s="387">
        <f t="shared" si="478"/>
        <v>2.0801526717557253</v>
      </c>
      <c r="BL100" s="387">
        <f t="shared" si="478"/>
        <v>2.096774193548387</v>
      </c>
      <c r="BM100" s="387">
        <f t="shared" si="478"/>
        <v>1.9037199124726476</v>
      </c>
      <c r="BN100" s="387">
        <f t="shared" si="478"/>
        <v>1.2355769230769231</v>
      </c>
      <c r="BO100" s="387">
        <f t="shared" si="478"/>
        <v>1.184375</v>
      </c>
      <c r="BP100" s="387">
        <f t="shared" si="478"/>
        <v>1.1875</v>
      </c>
      <c r="BQ100" s="387">
        <f t="shared" si="478"/>
        <v>1.6398601398601398</v>
      </c>
      <c r="BR100" s="387">
        <f t="shared" si="475"/>
        <v>1.8849765258215962</v>
      </c>
      <c r="BS100" s="387">
        <f t="shared" si="475"/>
        <v>2.0162932790224031</v>
      </c>
      <c r="BT100" s="387">
        <f t="shared" si="475"/>
        <v>2.2559139784946236</v>
      </c>
      <c r="BU100" s="387">
        <f t="shared" si="475"/>
        <v>2.3027522935779818</v>
      </c>
    </row>
    <row r="101" spans="3:76" s="279" customFormat="1">
      <c r="C101" s="286" t="s">
        <v>47</v>
      </c>
      <c r="E101" s="658">
        <f t="shared" si="476"/>
        <v>1.3020390824129142</v>
      </c>
      <c r="F101" s="658">
        <f t="shared" si="476"/>
        <v>1.5044861337683524</v>
      </c>
      <c r="G101" s="658">
        <f t="shared" si="476"/>
        <v>1.7034649476228847</v>
      </c>
      <c r="H101" s="658">
        <f t="shared" si="476"/>
        <v>1.9678697183098592</v>
      </c>
      <c r="I101" s="658">
        <f t="shared" si="476"/>
        <v>1.838235294117647</v>
      </c>
      <c r="J101" s="658">
        <f t="shared" si="476"/>
        <v>2.0043402777777777</v>
      </c>
      <c r="K101" s="658">
        <f t="shared" si="476"/>
        <v>2.0880872483221475</v>
      </c>
      <c r="L101" s="658">
        <f t="shared" si="476"/>
        <v>1.8914903196758217</v>
      </c>
      <c r="M101" s="658">
        <f t="shared" si="476"/>
        <v>1.8271092669432918</v>
      </c>
      <c r="N101" s="658">
        <f t="shared" si="476"/>
        <v>1.9762110726643598</v>
      </c>
      <c r="O101" s="658">
        <f t="shared" si="476"/>
        <v>2.0734439834024898</v>
      </c>
      <c r="P101" s="658">
        <f t="shared" si="476"/>
        <v>1.6339829476248477</v>
      </c>
      <c r="Q101" s="658">
        <f t="shared" si="477"/>
        <v>2.5388623534520192</v>
      </c>
      <c r="R101" s="658">
        <f t="shared" si="477"/>
        <v>2.4516358463726884</v>
      </c>
      <c r="S101" s="658">
        <f t="shared" si="477"/>
        <v>3.4265383005441605</v>
      </c>
      <c r="T101" s="658">
        <f t="shared" si="477"/>
        <v>2.6790171606864273</v>
      </c>
      <c r="U101" s="658">
        <f t="shared" si="477"/>
        <v>1.9541475614839516</v>
      </c>
      <c r="V101" s="658">
        <f t="shared" si="477"/>
        <v>1.7398523985239853</v>
      </c>
      <c r="W101" s="658">
        <f t="shared" si="477"/>
        <v>2</v>
      </c>
      <c r="X101" s="658">
        <f t="shared" si="477"/>
        <v>2.0991735537190084</v>
      </c>
      <c r="Y101" s="658">
        <f t="shared" si="477"/>
        <v>2.210997442455243</v>
      </c>
      <c r="Z101" s="658">
        <f t="shared" si="477"/>
        <v>2.3442113442113444</v>
      </c>
      <c r="AA101" s="658">
        <f t="shared" si="477"/>
        <v>2.1393291559159602</v>
      </c>
      <c r="AB101" s="658">
        <f t="shared" si="477"/>
        <v>2.4037865748709124</v>
      </c>
      <c r="AC101" s="658">
        <f t="shared" si="477"/>
        <v>2.9503058103975537</v>
      </c>
      <c r="AD101" s="658">
        <f t="shared" si="477"/>
        <v>3.0790653008962869</v>
      </c>
      <c r="AE101" s="658">
        <f t="shared" si="477"/>
        <v>3.1199381761978362</v>
      </c>
      <c r="AF101" s="658">
        <f t="shared" si="477"/>
        <v>2.6732796032238064</v>
      </c>
      <c r="AG101" s="658">
        <f t="shared" si="477"/>
        <v>3.0959141274238227</v>
      </c>
      <c r="AH101" s="658">
        <f t="shared" si="477"/>
        <v>3.3977346278317153</v>
      </c>
      <c r="AI101" s="658">
        <f t="shared" si="477"/>
        <v>3.1200034378112873</v>
      </c>
      <c r="AJ101" s="658">
        <f t="shared" si="477"/>
        <v>3.0395095749507259</v>
      </c>
      <c r="AK101" s="658">
        <f t="shared" si="477"/>
        <v>3.4063053489195889</v>
      </c>
      <c r="AL101" s="658">
        <f t="shared" si="477"/>
        <v>2.9935567010309279</v>
      </c>
      <c r="AM101" s="658">
        <f t="shared" si="477"/>
        <v>3.4829953198127925</v>
      </c>
      <c r="AN101" s="658">
        <f t="shared" si="477"/>
        <v>2.9014794889038331</v>
      </c>
      <c r="AO101" s="658">
        <f t="shared" si="477"/>
        <v>3.1164720344191763</v>
      </c>
      <c r="AP101" s="658">
        <f t="shared" si="477"/>
        <v>2.8800557880055786</v>
      </c>
      <c r="AQ101" s="658">
        <f t="shared" si="477"/>
        <v>2.9275675675675674</v>
      </c>
      <c r="AR101" s="658">
        <f t="shared" si="477"/>
        <v>3.0713864306784662</v>
      </c>
      <c r="AS101" s="658">
        <f t="shared" si="477"/>
        <v>1.9720944495553512</v>
      </c>
      <c r="AT101" s="658">
        <f t="shared" si="477"/>
        <v>1.8361690450054884</v>
      </c>
      <c r="AU101" s="658">
        <f t="shared" si="477"/>
        <v>1.7513283740701382</v>
      </c>
      <c r="AV101" s="658">
        <f t="shared" si="477"/>
        <v>1.5815106445027705</v>
      </c>
      <c r="AW101" s="658">
        <f t="shared" si="478"/>
        <v>1.3669172932330826</v>
      </c>
      <c r="AX101" s="658">
        <f t="shared" si="478"/>
        <v>1.4039717083786725</v>
      </c>
      <c r="AY101" s="658">
        <f t="shared" si="478"/>
        <v>1.4829753797799896</v>
      </c>
      <c r="AZ101" s="658">
        <f t="shared" si="478"/>
        <v>1.7268505079825835</v>
      </c>
      <c r="BA101" s="658">
        <f t="shared" si="478"/>
        <v>1.7181490384615385</v>
      </c>
      <c r="BB101" s="658">
        <f t="shared" si="478"/>
        <v>1.6655061596143546</v>
      </c>
      <c r="BC101" s="658">
        <f t="shared" si="478"/>
        <v>1.7056220718375845</v>
      </c>
      <c r="BD101" s="658">
        <f t="shared" si="478"/>
        <v>1.9334285714285715</v>
      </c>
      <c r="BE101" s="658">
        <f t="shared" si="478"/>
        <v>2.0667257159728374</v>
      </c>
      <c r="BF101" s="658">
        <f t="shared" si="478"/>
        <v>2.2283093053735255</v>
      </c>
      <c r="BG101" s="658">
        <f t="shared" si="478"/>
        <v>2.2702090153613699</v>
      </c>
      <c r="BH101" s="658">
        <f t="shared" si="478"/>
        <v>2.2789488091979195</v>
      </c>
      <c r="BI101" s="658">
        <f t="shared" si="478"/>
        <v>2.0512453478385342</v>
      </c>
      <c r="BJ101" s="658">
        <f t="shared" si="478"/>
        <v>2.131585710614238</v>
      </c>
      <c r="BK101" s="658">
        <f t="shared" si="478"/>
        <v>2.0141755782143744</v>
      </c>
      <c r="BL101" s="658">
        <f t="shared" si="478"/>
        <v>2.0611200861604737</v>
      </c>
      <c r="BM101" s="658">
        <f t="shared" si="478"/>
        <v>1.8561665113389252</v>
      </c>
      <c r="BN101" s="658">
        <f t="shared" si="478"/>
        <v>1.3826291079812207</v>
      </c>
      <c r="BO101" s="658">
        <f t="shared" si="478"/>
        <v>1.2423293675641829</v>
      </c>
      <c r="BP101" s="658">
        <f t="shared" si="478"/>
        <v>1.3269961977186311</v>
      </c>
      <c r="BQ101" s="658">
        <f t="shared" si="478"/>
        <v>1.7475375842405392</v>
      </c>
      <c r="BR101" s="658">
        <f t="shared" si="475"/>
        <v>1.9856866537717601</v>
      </c>
      <c r="BS101" s="658">
        <f t="shared" si="475"/>
        <v>2.0536246276067529</v>
      </c>
      <c r="BT101" s="658">
        <f t="shared" si="475"/>
        <v>2.288026981450253</v>
      </c>
      <c r="BU101" s="658">
        <f t="shared" si="475"/>
        <v>2.7408963585434174</v>
      </c>
      <c r="BW101" s="392"/>
      <c r="BX101" s="392"/>
    </row>
    <row r="102" spans="3:76" ht="10.5" customHeight="1"/>
    <row r="103" spans="3:76">
      <c r="C103" s="253" t="s">
        <v>1822</v>
      </c>
      <c r="E103" s="387">
        <f>SUMIF(Data[Period],Historical!E$6,Data[Column1])</f>
        <v>1.4100000000000001</v>
      </c>
      <c r="F103" s="387">
        <f>SUMIF(Data[Period],Historical!F$6,Data[Column1])</f>
        <v>1.5660000000000001</v>
      </c>
      <c r="G103" s="387">
        <f>SUMIF(Data[Period],Historical!G$6,Data[Column1])</f>
        <v>1.9236666666666669</v>
      </c>
      <c r="H103" s="387">
        <f>SUMIF(Data[Period],Historical!H$6,Data[Column1])</f>
        <v>1.9410000000000001</v>
      </c>
      <c r="I103" s="387">
        <f>SUMIF(Data[Period],Historical!I$6,Data[Column1])</f>
        <v>1.8150000000000002</v>
      </c>
      <c r="J103" s="387">
        <f>SUMIF(Data[Period],Historical!J$6,Data[Column1])</f>
        <v>2.0749999999999997</v>
      </c>
      <c r="K103" s="387">
        <f>SUMIF(Data[Period],Historical!K$6,Data[Column1])</f>
        <v>2.0323333333333333</v>
      </c>
      <c r="L103" s="387">
        <f>SUMIF(Data[Period],Historical!L$6,Data[Column1])</f>
        <v>1.7606666666666666</v>
      </c>
      <c r="M103" s="387">
        <f>SUMIF(Data[Period],Historical!M$6,Data[Column1])</f>
        <v>1.7466666666666668</v>
      </c>
      <c r="N103" s="387">
        <f>SUMIF(Data[Period],Historical!N$6,Data[Column1])</f>
        <v>2.0596666666666668</v>
      </c>
      <c r="O103" s="387">
        <f>SUMIF(Data[Period],Historical!O$6,Data[Column1])</f>
        <v>2.1646666666666667</v>
      </c>
      <c r="P103" s="387">
        <f>SUMIF(Data[Period],Historical!P$6,Data[Column1])</f>
        <v>2.5486666666666666</v>
      </c>
      <c r="Q103" s="387">
        <f>SUMIF(Data[Period],Historical!Q$6,Data[Column1])</f>
        <v>2.8190000000000004</v>
      </c>
      <c r="R103" s="387">
        <f>SUMIF(Data[Period],Historical!R$6,Data[Column1])</f>
        <v>3.6603333333333334</v>
      </c>
      <c r="S103" s="387">
        <f>SUMIF(Data[Period],Historical!S$6,Data[Column1])</f>
        <v>3.5106666666666668</v>
      </c>
      <c r="T103" s="387">
        <f>SUMIF(Data[Period],Historical!T$6,Data[Column1])</f>
        <v>1.8566666666666667</v>
      </c>
      <c r="U103" s="387">
        <f>SUMIF(Data[Period],Historical!U$6,Data[Column1])</f>
        <v>1.3319999999999999</v>
      </c>
      <c r="V103" s="387">
        <f>SUMIF(Data[Period],Historical!V$6,Data[Column1])</f>
        <v>1.554</v>
      </c>
      <c r="W103" s="387">
        <f>SUMIF(Data[Period],Historical!W$6,Data[Column1])</f>
        <v>1.782</v>
      </c>
      <c r="X103" s="387">
        <f>SUMIF(Data[Period],Historical!X$6,Data[Column1])</f>
        <v>1.9690000000000001</v>
      </c>
      <c r="Y103" s="387">
        <f>SUMIF(Data[Period],Historical!Y$6,Data[Column1])</f>
        <v>2.049666666666667</v>
      </c>
      <c r="Z103" s="387">
        <f>SUMIF(Data[Period],Historical!Z$6,Data[Column1])</f>
        <v>2.1213333333333333</v>
      </c>
      <c r="AA103" s="387">
        <f>SUMIF(Data[Period],Historical!AA$6,Data[Column1])</f>
        <v>2.0720000000000001</v>
      </c>
      <c r="AB103" s="387">
        <f>SUMIF(Data[Period],Historical!AB$6,Data[Column1])</f>
        <v>2.341333333333333</v>
      </c>
      <c r="AC103" s="387">
        <f>SUMIF(Data[Period],Historical!AC$6,Data[Column1])</f>
        <v>2.8610000000000002</v>
      </c>
      <c r="AD103" s="387">
        <f>SUMIF(Data[Period],Historical!AD$6,Data[Column1])</f>
        <v>3.1326666666666667</v>
      </c>
      <c r="AE103" s="387">
        <f>SUMIF(Data[Period],Historical!AE$6,Data[Column1])</f>
        <v>3.0289999999999999</v>
      </c>
      <c r="AF103" s="387">
        <f>SUMIF(Data[Period],Historical!AF$6,Data[Column1])</f>
        <v>2.9616666666666673</v>
      </c>
      <c r="AG103" s="387">
        <f>SUMIF(Data[Period],Historical!AG$6,Data[Column1])</f>
        <v>3.1833333333333336</v>
      </c>
      <c r="AH103" s="387">
        <f>SUMIF(Data[Period],Historical!AH$6,Data[Column1])</f>
        <v>2.9593333333333334</v>
      </c>
      <c r="AI103" s="387">
        <f>SUMIF(Data[Period],Historical!AI$6,Data[Column1])</f>
        <v>3.0796666666666668</v>
      </c>
      <c r="AJ103" s="387">
        <f>SUMIF(Data[Period],Historical!AJ$6,Data[Column1])</f>
        <v>3.0036666666666663</v>
      </c>
      <c r="AK103" s="387">
        <f>SUMIF(Data[Period],Historical!AK$6,Data[Column1])</f>
        <v>3.0926666666666667</v>
      </c>
      <c r="AL103" s="387">
        <f>SUMIF(Data[Period],Historical!AL$6,Data[Column1])</f>
        <v>2.7673333333333332</v>
      </c>
      <c r="AM103" s="387">
        <f>SUMIF(Data[Period],Historical!AM$6,Data[Column1])</f>
        <v>2.9436666666666667</v>
      </c>
      <c r="AN103" s="387">
        <f>SUMIF(Data[Period],Historical!AN$6,Data[Column1])</f>
        <v>2.89</v>
      </c>
      <c r="AO103" s="387">
        <f>SUMIF(Data[Period],Historical!AO$6,Data[Column1])</f>
        <v>2.9253333333333331</v>
      </c>
      <c r="AP103" s="387">
        <f>SUMIF(Data[Period],Historical!AP$6,Data[Column1])</f>
        <v>2.8796666666666666</v>
      </c>
      <c r="AQ103" s="387">
        <f>SUMIF(Data[Period],Historical!AQ$6,Data[Column1])</f>
        <v>2.7950000000000004</v>
      </c>
      <c r="AR103" s="387">
        <f>SUMIF(Data[Period],Historical!AR$6,Data[Column1])</f>
        <v>2.1859999999999999</v>
      </c>
      <c r="AS103" s="387">
        <f>SUMIF(Data[Period],Historical!AS$6,Data[Column1])</f>
        <v>1.6303333333333334</v>
      </c>
      <c r="AT103" s="387">
        <f>SUMIF(Data[Period],Historical!AT$6,Data[Column1])</f>
        <v>1.7610000000000001</v>
      </c>
      <c r="AU103" s="387">
        <f>SUMIF(Data[Period],Historical!AU$6,Data[Column1])</f>
        <v>1.4443333333333335</v>
      </c>
      <c r="AV103" s="387">
        <f>SUMIF(Data[Period],Historical!AV$6,Data[Column1])</f>
        <v>1.2663333333333335</v>
      </c>
      <c r="AW103" s="387">
        <f>SUMIF(Data[Period],Historical!AW$6,Data[Column1])</f>
        <v>0.9906666666666667</v>
      </c>
      <c r="AX103" s="387">
        <f>SUMIF(Data[Period],Historical!AX$6,Data[Column1])</f>
        <v>1.2759999999999998</v>
      </c>
      <c r="AY103" s="387">
        <f>SUMIF(Data[Period],Historical!AY$6,Data[Column1])</f>
        <v>1.2953333333333334</v>
      </c>
      <c r="AZ103" s="387">
        <f>SUMIF(Data[Period],Historical!AZ$6,Data[Column1])</f>
        <v>1.4346666666666668</v>
      </c>
      <c r="BA103" s="387">
        <f>SUMIF(Data[Period],Historical!BA$6,Data[Column1])</f>
        <v>1.502</v>
      </c>
      <c r="BB103" s="387">
        <f>SUMIF(Data[Period],Historical!BB$6,Data[Column1])</f>
        <v>1.4056666666666666</v>
      </c>
      <c r="BC103" s="387">
        <f>SUMIF(Data[Period],Historical!BC$6,Data[Column1])</f>
        <v>1.5926666666666665</v>
      </c>
      <c r="BD103" s="387">
        <f>SUMIF(Data[Period],Historical!BD$6,Data[Column1])</f>
        <v>1.7453333333333332</v>
      </c>
      <c r="BE103" s="387">
        <f>SUMIF(Data[Period],Historical!BE$6,Data[Column1])</f>
        <v>1.8863333333333336</v>
      </c>
      <c r="BF103" s="387">
        <f>SUMIF(Data[Period],Historical!BF$6,Data[Column1])</f>
        <v>2.0866666666666664</v>
      </c>
      <c r="BG103" s="387">
        <f>SUMIF(Data[Period],Historical!BG$6,Data[Column1])</f>
        <v>2.1349999999999998</v>
      </c>
      <c r="BH103" s="387">
        <f>SUMIF(Data[Period],Historical!BH$6,Data[Column1])</f>
        <v>1.9633333333333332</v>
      </c>
      <c r="BI103" s="387">
        <f>SUMIF(Data[Period],Historical!BI$6,Data[Column1])</f>
        <v>1.8666666666666665</v>
      </c>
      <c r="BJ103" s="387">
        <f>SUMIF(Data[Period],Historical!BJ$6,Data[Column1])</f>
        <v>1.9219999999999999</v>
      </c>
      <c r="BK103" s="387">
        <f>SUMIF(Data[Period],Historical!BK$6,Data[Column1])</f>
        <v>1.8623333333333332</v>
      </c>
      <c r="BL103" s="387">
        <f>SUMIF(Data[Period],Historical!BL$6,Data[Column1])</f>
        <v>1.8593333333333335</v>
      </c>
      <c r="BM103" s="387">
        <f>SUMIF(Data[Period],Historical!BM$6,Data[Column1])</f>
        <v>1.4106666666666667</v>
      </c>
      <c r="BN103" s="387">
        <f>SUMIF(Data[Period],Historical!BN$6,Data[Column1])</f>
        <v>0.7583333333333333</v>
      </c>
      <c r="BO103" s="387">
        <f>SUMIF(Data[Period],Historical!BO$6,Data[Column1])</f>
        <v>1.0673333333333332</v>
      </c>
      <c r="BP103" s="387">
        <f>SUMIF(Data[Period],Historical!BP$6,Data[Column1])</f>
        <v>1.1679999999999999</v>
      </c>
      <c r="BQ103" s="387">
        <f>SUMIF(Data[Period],Historical!BQ$6,Data[Column1])</f>
        <v>1.5606666666666669</v>
      </c>
      <c r="BR103" s="387">
        <f>SUMIF(Data[Period],Historical!BR$6,Data[Column1])</f>
        <v>1.7593333333333334</v>
      </c>
      <c r="BS103" s="387">
        <f>SUMIF(Data[Period],Historical!BS$6,Data[Column1])</f>
        <v>1.9023333333333332</v>
      </c>
      <c r="BT103" s="387">
        <f>SUMIF(Data[Period],Historical!BT$6,Data[Column1])</f>
        <v>2.1946666666666665</v>
      </c>
      <c r="BU103" s="387">
        <f>SUMIF(Data[Period],Historical!BU$6,Data[Column1])</f>
        <v>2.8743333333333339</v>
      </c>
    </row>
    <row r="104" spans="3:76">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c r="AF104" s="387"/>
      <c r="AG104" s="387"/>
      <c r="AH104" s="387"/>
      <c r="AI104" s="387"/>
      <c r="AJ104" s="387"/>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row>
  </sheetData>
  <pageMargins left="0.7" right="0.7" top="0.75" bottom="0.75" header="0.3" footer="0.3"/>
  <pageSetup orientation="portrait" r:id="rId1"/>
  <ignoredErrors>
    <ignoredError sqref="E46:BR4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D574-B3A6-4253-B35D-AB222FA41759}">
  <sheetPr codeName="Sheet7">
    <tabColor theme="3"/>
    <pageSetUpPr fitToPage="1"/>
  </sheetPr>
  <dimension ref="A1:Z196"/>
  <sheetViews>
    <sheetView showGridLines="0" zoomScaleNormal="100" zoomScaleSheetLayoutView="100" workbookViewId="0">
      <pane ySplit="6" topLeftCell="A75" activePane="bottomLeft" state="frozen"/>
      <selection activeCell="J23" sqref="J23"/>
      <selection pane="bottomLeft" activeCell="E95" sqref="E95"/>
    </sheetView>
  </sheetViews>
  <sheetFormatPr defaultColWidth="9.19921875" defaultRowHeight="10.5"/>
  <cols>
    <col min="1" max="2" width="1.796875" style="253" customWidth="1"/>
    <col min="3" max="3" width="17" style="253" bestFit="1" customWidth="1"/>
    <col min="4" max="23" width="9.19921875" style="253"/>
    <col min="24" max="24" width="1.796875" style="253" customWidth="1"/>
    <col min="25" max="16384" width="9.19921875" style="253"/>
  </cols>
  <sheetData>
    <row r="1" spans="1:19" s="294" customFormat="1">
      <c r="A1" s="378" t="str">
        <f ca="1">'UAL One Pager'!$D$2</f>
        <v>#N/A Requesting Data...</v>
      </c>
      <c r="D1" s="299" t="s">
        <v>252</v>
      </c>
      <c r="H1" s="299" t="s">
        <v>253</v>
      </c>
      <c r="J1" s="299"/>
      <c r="K1" s="299"/>
      <c r="L1" s="299" t="s">
        <v>254</v>
      </c>
      <c r="P1" s="299" t="s">
        <v>255</v>
      </c>
    </row>
    <row r="2" spans="1:19">
      <c r="A2" s="278" t="str">
        <f>'UAL Financials'!$A$2</f>
        <v>(All Values in US$ millions)</v>
      </c>
      <c r="D2" s="299" t="s">
        <v>256</v>
      </c>
      <c r="H2" s="299" t="s">
        <v>257</v>
      </c>
      <c r="L2" s="299" t="s">
        <v>258</v>
      </c>
      <c r="P2" s="299" t="s">
        <v>259</v>
      </c>
    </row>
    <row r="3" spans="1:19">
      <c r="E3" s="253" t="s">
        <v>260</v>
      </c>
      <c r="F3" s="367" t="str">
        <f>'AAL One Pager'!D3</f>
        <v>AAL US</v>
      </c>
      <c r="N3" s="253" t="s">
        <v>261</v>
      </c>
      <c r="O3" s="331">
        <f>5%</f>
        <v>0.05</v>
      </c>
    </row>
    <row r="4" spans="1:19">
      <c r="E4" s="253" t="s">
        <v>260</v>
      </c>
      <c r="F4" s="367" t="str">
        <f>'DAL One Pager'!D3</f>
        <v>DAL US</v>
      </c>
    </row>
    <row r="5" spans="1:19">
      <c r="E5" s="253" t="s">
        <v>260</v>
      </c>
      <c r="F5" s="367" t="str">
        <f>'UAL One Pager'!D3</f>
        <v>UAL US</v>
      </c>
    </row>
    <row r="7" spans="1:19" s="255" customFormat="1">
      <c r="B7" s="368" t="s">
        <v>133</v>
      </c>
      <c r="C7" s="259" t="s">
        <v>1234</v>
      </c>
      <c r="D7" s="258"/>
      <c r="E7" s="258"/>
      <c r="F7" s="258"/>
      <c r="G7" s="258"/>
      <c r="H7" s="258"/>
      <c r="I7" s="258"/>
      <c r="J7" s="258"/>
      <c r="K7" s="258"/>
      <c r="L7" s="258"/>
      <c r="M7" s="258"/>
      <c r="N7" s="258"/>
      <c r="O7" s="258"/>
      <c r="P7" s="253"/>
      <c r="Q7" s="253"/>
      <c r="R7" s="253"/>
      <c r="S7" s="253"/>
    </row>
    <row r="8" spans="1:19" ht="10.9" thickBot="1"/>
    <row r="9" spans="1:19">
      <c r="B9" s="1078" t="s">
        <v>133</v>
      </c>
      <c r="C9" s="1079" t="s">
        <v>262</v>
      </c>
      <c r="D9" s="1257">
        <v>2022</v>
      </c>
      <c r="E9" s="1259"/>
      <c r="F9" s="1257" t="s">
        <v>263</v>
      </c>
      <c r="G9" s="1259"/>
      <c r="H9" s="1257">
        <f>+D9+1</f>
        <v>2023</v>
      </c>
      <c r="I9" s="1259"/>
      <c r="J9" s="1257" t="s">
        <v>263</v>
      </c>
      <c r="K9" s="1259"/>
      <c r="L9" s="1257">
        <f>+H9+1</f>
        <v>2024</v>
      </c>
      <c r="M9" s="1259"/>
      <c r="N9" s="1257" t="s">
        <v>263</v>
      </c>
      <c r="O9" s="1258"/>
    </row>
    <row r="10" spans="1:19">
      <c r="B10" s="1060"/>
      <c r="C10" s="262"/>
      <c r="D10" s="300" t="s">
        <v>264</v>
      </c>
      <c r="E10" s="300" t="s">
        <v>265</v>
      </c>
      <c r="F10" s="300" t="s">
        <v>266</v>
      </c>
      <c r="G10" s="301" t="s">
        <v>267</v>
      </c>
      <c r="H10" s="300" t="s">
        <v>264</v>
      </c>
      <c r="I10" s="300" t="s">
        <v>265</v>
      </c>
      <c r="J10" s="300" t="s">
        <v>266</v>
      </c>
      <c r="K10" s="301" t="s">
        <v>267</v>
      </c>
      <c r="L10" s="300" t="s">
        <v>264</v>
      </c>
      <c r="M10" s="300" t="s">
        <v>265</v>
      </c>
      <c r="N10" s="300" t="s">
        <v>266</v>
      </c>
      <c r="O10" s="1061" t="s">
        <v>267</v>
      </c>
    </row>
    <row r="11" spans="1:19">
      <c r="B11" s="425"/>
      <c r="O11" s="426"/>
    </row>
    <row r="12" spans="1:19">
      <c r="A12" s="302"/>
      <c r="B12" s="425"/>
      <c r="C12" s="253" t="s">
        <v>268</v>
      </c>
      <c r="D12" s="255" cm="1">
        <f t="array" aca="1" ref="D12" ca="1">IF(BBswitch=1,_xll.BDP($F$3&amp;" EQUITY","BEST_SALES", "BEST_FPERIOD_OVERRIDE="&amp;D$1),D12)</f>
        <v>47557.158000000003</v>
      </c>
      <c r="E12" s="287">
        <f>'AAL KPI'!AA13</f>
        <v>46467.995620916234</v>
      </c>
      <c r="F12" s="254">
        <f ca="1">E12-D12</f>
        <v>-1089.1623790837693</v>
      </c>
      <c r="G12" s="257">
        <f ca="1">F12/D12</f>
        <v>-2.2902175506025177E-2</v>
      </c>
      <c r="H12" s="255" cm="1">
        <f t="array" aca="1" ref="H12" ca="1">IF(BBswitch=1,_xll.BDP($F$3&amp;" EQUITY","BEST_SALES", "BEST_FPERIOD_OVERRIDE="&amp;H$1),H12)</f>
        <v>50781.824000000001</v>
      </c>
      <c r="I12" s="287">
        <f>'AAL KPI'!AB13</f>
        <v>49978.865943105717</v>
      </c>
      <c r="J12" s="254">
        <f ca="1">I12-H12</f>
        <v>-802.9580568942838</v>
      </c>
      <c r="K12" s="257">
        <f ca="1">J12/H12</f>
        <v>-1.5811918392184647E-2</v>
      </c>
      <c r="L12" s="255" cm="1">
        <f t="array" aca="1" ref="L12" ca="1">IF(BBswitch=1,_xll.BDP($F$3&amp;" EQUITY","BEST_SALES", "BEST_FPERIOD_OVERRIDE="&amp;L$1),L12)</f>
        <v>53532.455000000002</v>
      </c>
      <c r="M12" s="287">
        <f>'AAL KPI'!AC13</f>
        <v>52616.816252840959</v>
      </c>
      <c r="N12" s="254">
        <f ca="1">M12-L12</f>
        <v>-915.6387471590424</v>
      </c>
      <c r="O12" s="1062">
        <f ca="1">N12/L12</f>
        <v>-1.7104366821193654E-2</v>
      </c>
    </row>
    <row r="13" spans="1:19">
      <c r="A13" s="302"/>
      <c r="B13" s="425"/>
      <c r="C13" s="253" t="s">
        <v>88</v>
      </c>
      <c r="D13" s="255" cm="1">
        <f t="array" aca="1" ref="D13" ca="1">IF(BBswitch=1,_xll.BDP($F$3&amp;" EQUITY","BEST_EBITDA", "BEST_FPERIOD_OVERRIDE="&amp;D$1),D13)</f>
        <v>3297.375</v>
      </c>
      <c r="E13" s="287">
        <f>'AAL KPI'!AA25</f>
        <v>325.45481581396871</v>
      </c>
      <c r="F13" s="254">
        <f ca="1">E13-D13</f>
        <v>-2971.9201841860313</v>
      </c>
      <c r="G13" s="257">
        <f ca="1">F13/D13</f>
        <v>-0.90129881623595476</v>
      </c>
      <c r="H13" s="255" cm="1">
        <f t="array" aca="1" ref="H13" ca="1">IF(BBswitch=1,_xll.BDP($F$3&amp;" EQUITY","BEST_EBITDA", "BEST_FPERIOD_OVERRIDE="&amp;H$1),H13)</f>
        <v>5697.3130000000001</v>
      </c>
      <c r="I13" s="287">
        <f>'AAL KPI'!AB25</f>
        <v>4450.5951015236624</v>
      </c>
      <c r="J13" s="254">
        <f ca="1">I13-H13</f>
        <v>-1246.7178984763377</v>
      </c>
      <c r="K13" s="257">
        <f ca="1">J13/H13</f>
        <v>-0.21882559348175845</v>
      </c>
      <c r="L13" s="255" cm="1">
        <f t="array" aca="1" ref="L13" ca="1">IF(BBswitch=1,_xll.BDP($F$3&amp;" EQUITY","BEST_EBITDA", "BEST_FPERIOD_OVERRIDE="&amp;L$1),L13)</f>
        <v>7141.8180000000002</v>
      </c>
      <c r="M13" s="287">
        <f>'AAL KPI'!AC25</f>
        <v>6359.4163424893832</v>
      </c>
      <c r="N13" s="254">
        <f ca="1">M13-L13</f>
        <v>-782.40165751061704</v>
      </c>
      <c r="O13" s="1062">
        <f ca="1">N13/L13</f>
        <v>-0.1095521697011345</v>
      </c>
    </row>
    <row r="14" spans="1:19" ht="10.5" hidden="1" customHeight="1">
      <c r="A14" s="302"/>
      <c r="B14" s="425"/>
      <c r="C14" s="253" t="s">
        <v>157</v>
      </c>
      <c r="D14" s="255" cm="1">
        <f t="array" aca="1" ref="D14" ca="1">IF(BBswitch=1,_xll.BDP($F$3&amp;" EQUITY","BEST_EBIT", "BEST_FPERIOD_OVERRIDE="&amp;D$1),D14)</f>
        <v>631.06700000000001</v>
      </c>
      <c r="E14" s="287">
        <f>'AAL KPI'!AA28</f>
        <v>-1684.1440085571519</v>
      </c>
      <c r="F14" s="254">
        <f ca="1">E14-D14</f>
        <v>-2315.2110085571521</v>
      </c>
      <c r="G14" s="257">
        <f ca="1">F14/D14</f>
        <v>-3.6687245705402947</v>
      </c>
      <c r="H14" s="255" cm="1">
        <f t="array" aca="1" ref="H14" ca="1">IF(BBswitch=1,_xll.BDP($F$3&amp;" EQUITY","BEST_EBIT", "BEST_FPERIOD_OVERRIDE="&amp;H$1),H14)</f>
        <v>2977.7330000000002</v>
      </c>
      <c r="I14" s="287">
        <f>'AAL KPI'!AB28</f>
        <v>2318.7533836089983</v>
      </c>
      <c r="J14" s="254">
        <f ca="1">I14-H14</f>
        <v>-658.97961639100185</v>
      </c>
      <c r="K14" s="257">
        <f ca="1">J14/H14</f>
        <v>-0.22130245270177071</v>
      </c>
      <c r="L14" s="255" cm="1">
        <f t="array" aca="1" ref="L14" ca="1">IF(BBswitch=1,_xll.BDP($F$3&amp;" EQUITY","BEST_EBIT", "BEST_FPERIOD_OVERRIDE="&amp;L$1),L14)</f>
        <v>4136.6670000000004</v>
      </c>
      <c r="M14" s="287">
        <f>'AAL KPI'!AC28</f>
        <v>4046.7550628653025</v>
      </c>
      <c r="N14" s="254">
        <f ca="1">M14-L14</f>
        <v>-89.911937134697837</v>
      </c>
      <c r="O14" s="1062">
        <f ca="1">N14/L14</f>
        <v>-2.1735357749293773E-2</v>
      </c>
    </row>
    <row r="15" spans="1:19" ht="10.5" hidden="1" customHeight="1">
      <c r="A15" s="302"/>
      <c r="B15" s="425"/>
      <c r="C15" s="253" t="s">
        <v>269</v>
      </c>
      <c r="D15" s="255" cm="1">
        <f t="array" aca="1" ref="D15" ca="1">IF(BBswitch=1,_xll.BDP($F$3&amp;" EQUITY","BEST_PTP", "BEST_FPERIOD_OVERRIDE="&amp;D$1),D15)</f>
        <v>-756.88099999999997</v>
      </c>
      <c r="E15" s="287">
        <f ca="1">'AAL KPI'!AA33</f>
        <v>-3042.7923502695085</v>
      </c>
      <c r="F15" s="254">
        <f ca="1">E15-D15</f>
        <v>-2285.9113502695086</v>
      </c>
      <c r="G15" s="257">
        <f ca="1">F15/D15</f>
        <v>3.0201727223559698</v>
      </c>
      <c r="H15" s="255" cm="1">
        <f t="array" aca="1" ref="H15" ca="1">IF(BBswitch=1,_xll.BDP($F$3&amp;" EQUITY","BEST_PTP", "BEST_FPERIOD_OVERRIDE="&amp;H$1),H15)</f>
        <v>1847.6000000000001</v>
      </c>
      <c r="I15" s="287">
        <f ca="1">'AAL KPI'!AB33</f>
        <v>1005.2592737107384</v>
      </c>
      <c r="J15" s="254">
        <f ca="1">I15-H15</f>
        <v>-842.34072628926174</v>
      </c>
      <c r="K15" s="257">
        <f ca="1">J15/H15</f>
        <v>-0.45591076330875824</v>
      </c>
      <c r="L15" s="255" cm="1">
        <f t="array" aca="1" ref="L15" ca="1">IF(BBswitch=1,_xll.BDP($F$3&amp;" EQUITY","BEST_PTP", "BEST_FPERIOD_OVERRIDE="&amp;L$1),L15)</f>
        <v>2895.8180000000002</v>
      </c>
      <c r="M15" s="287">
        <f ca="1">'AAL KPI'!AC33</f>
        <v>2785.621897535189</v>
      </c>
      <c r="N15" s="254">
        <f ca="1">M15-L15</f>
        <v>-110.19610246481125</v>
      </c>
      <c r="O15" s="1062">
        <f ca="1">N15/L15</f>
        <v>-3.8053531839642975E-2</v>
      </c>
    </row>
    <row r="16" spans="1:19" ht="10.5" hidden="1" customHeight="1">
      <c r="A16" s="302"/>
      <c r="B16" s="425"/>
      <c r="C16" s="253" t="s">
        <v>270</v>
      </c>
      <c r="D16" s="255" cm="1">
        <f t="array" aca="1" ref="D16" ca="1">IF(BBswitch=1,_xll.BDP($F$3&amp;" EQUITY","BEST_NET_INCOME", "BEST_FPERIOD_OVERRIDE="&amp;D$1),D16)</f>
        <v>-628.96500000000003</v>
      </c>
      <c r="E16" s="287">
        <f ca="1">'AAL KPI'!AA37</f>
        <v>-2626.7923502695085</v>
      </c>
      <c r="F16" s="254">
        <f ca="1">E16-D16</f>
        <v>-1997.8273502695083</v>
      </c>
      <c r="G16" s="257">
        <f ca="1">F16/D16</f>
        <v>3.1763728510640625</v>
      </c>
      <c r="H16" s="255" cm="1">
        <f t="array" aca="1" ref="H16" ca="1">IF(BBswitch=1,_xll.BDP($F$3&amp;" EQUITY","BEST_NET_INCOME", "BEST_FPERIOD_OVERRIDE="&amp;H$1),H16)</f>
        <v>1254.4280000000001</v>
      </c>
      <c r="I16" s="287">
        <f ca="1">'AAL KPI'!AB37</f>
        <v>1005.2592737107384</v>
      </c>
      <c r="J16" s="254">
        <f ca="1">I16-H16</f>
        <v>-249.16872628926171</v>
      </c>
      <c r="K16" s="257">
        <f ca="1">J16/H16</f>
        <v>-0.19863134933950907</v>
      </c>
      <c r="L16" s="255" cm="1">
        <f t="array" aca="1" ref="L16" ca="1">IF(BBswitch=1,_xll.BDP($F$3&amp;" EQUITY","BEST_NET_INCOME", "BEST_FPERIOD_OVERRIDE="&amp;L$1),L16)</f>
        <v>2221.8180000000002</v>
      </c>
      <c r="M16" s="287">
        <f ca="1">'AAL KPI'!AC37</f>
        <v>2785.621897535189</v>
      </c>
      <c r="N16" s="254">
        <f ca="1">M16-L16</f>
        <v>563.80389753518875</v>
      </c>
      <c r="O16" s="1062">
        <f ca="1">N16/L16</f>
        <v>0.25375791245511048</v>
      </c>
    </row>
    <row r="17" spans="2:20" s="279" customFormat="1">
      <c r="B17" s="576"/>
      <c r="D17" s="284"/>
      <c r="E17" s="284"/>
      <c r="F17" s="293"/>
      <c r="G17" s="293"/>
      <c r="H17" s="284"/>
      <c r="I17" s="284"/>
      <c r="J17" s="293"/>
      <c r="K17" s="293"/>
      <c r="L17" s="284"/>
      <c r="M17" s="284"/>
      <c r="N17" s="293"/>
      <c r="O17" s="1063"/>
      <c r="P17" s="253"/>
      <c r="Q17" s="253"/>
      <c r="R17" s="253"/>
      <c r="S17" s="253"/>
    </row>
    <row r="18" spans="2:20">
      <c r="B18" s="425"/>
      <c r="C18" s="253" t="s">
        <v>271</v>
      </c>
      <c r="D18" s="257">
        <f ca="1">D13/D12</f>
        <v>6.933498843644105E-2</v>
      </c>
      <c r="E18" s="257">
        <f>E13/E12</f>
        <v>7.0038488095982036E-3</v>
      </c>
      <c r="F18" s="254">
        <f ca="1">E18-D18</f>
        <v>-6.2331139626842849E-2</v>
      </c>
      <c r="G18" s="257">
        <f ca="1">F18/D18</f>
        <v>-0.89898536125063921</v>
      </c>
      <c r="H18" s="257">
        <f ca="1">H13/H12</f>
        <v>0.11219197246636907</v>
      </c>
      <c r="I18" s="257">
        <f>I13/I12</f>
        <v>8.9049541592041564E-2</v>
      </c>
      <c r="J18" s="254">
        <f ca="1">I18-H18</f>
        <v>-2.3142430874327505E-2</v>
      </c>
      <c r="K18" s="257">
        <f ca="1">J18/H18</f>
        <v>-0.20627528303118778</v>
      </c>
      <c r="L18" s="257">
        <f ca="1">L13/L12</f>
        <v>0.13341099338709572</v>
      </c>
      <c r="M18" s="257">
        <f>M13/M12</f>
        <v>0.12086281146183976</v>
      </c>
      <c r="N18" s="254">
        <f ca="1">M18-L18</f>
        <v>-1.2548181925255961E-2</v>
      </c>
      <c r="O18" s="1062">
        <f ca="1">N18/L18</f>
        <v>-9.4056581145806034E-2</v>
      </c>
    </row>
    <row r="19" spans="2:20" hidden="1">
      <c r="B19" s="425"/>
      <c r="C19" s="253" t="s">
        <v>272</v>
      </c>
      <c r="D19" s="257">
        <f ca="1">D14/D12</f>
        <v>1.3269653329578694E-2</v>
      </c>
      <c r="E19" s="257">
        <f>E14/E12</f>
        <v>-3.6243095619968656E-2</v>
      </c>
      <c r="F19" s="254">
        <f ca="1">E19-D19</f>
        <v>-4.9512748949547353E-2</v>
      </c>
      <c r="G19" s="257">
        <f ca="1">F19/D19</f>
        <v>-3.7312767500248905</v>
      </c>
      <c r="H19" s="257">
        <f ca="1">H14/H12</f>
        <v>5.8637771656252446E-2</v>
      </c>
      <c r="I19" s="257">
        <f>I14/I12</f>
        <v>4.639467782739589E-2</v>
      </c>
      <c r="J19" s="254">
        <f ca="1">I19-H19</f>
        <v>-1.2243093828856556E-2</v>
      </c>
      <c r="K19" s="257">
        <f ca="1">J19/H19</f>
        <v>-0.20879193535232329</v>
      </c>
      <c r="L19" s="257">
        <f ca="1">L14/L12</f>
        <v>7.7274001351142971E-2</v>
      </c>
      <c r="M19" s="257">
        <f>M14/M12</f>
        <v>7.6909918749536746E-2</v>
      </c>
      <c r="N19" s="254">
        <f ca="1">M19-L19</f>
        <v>-3.6408260160622485E-4</v>
      </c>
      <c r="O19" s="1062">
        <f ca="1">N19/L19</f>
        <v>-4.7115795123871844E-3</v>
      </c>
      <c r="P19" s="257"/>
      <c r="Q19" s="257"/>
      <c r="R19" s="254"/>
    </row>
    <row r="20" spans="2:20" hidden="1">
      <c r="B20" s="425"/>
      <c r="C20" s="253" t="s">
        <v>273</v>
      </c>
      <c r="D20" s="257">
        <f ca="1">D15/D12</f>
        <v>-1.5915185680355413E-2</v>
      </c>
      <c r="E20" s="257">
        <f ca="1">E15/E12</f>
        <v>-6.5481463308477261E-2</v>
      </c>
      <c r="F20" s="254">
        <f ca="1">E20-D20</f>
        <v>-4.9566277628121852E-2</v>
      </c>
      <c r="G20" s="257">
        <f ca="1">F20/D20</f>
        <v>3.1144014668520632</v>
      </c>
      <c r="H20" s="257">
        <f ca="1">H15/H12</f>
        <v>3.6383096440175136E-2</v>
      </c>
      <c r="I20" s="257">
        <f ca="1">I15/I12</f>
        <v>2.0113687150386569E-2</v>
      </c>
      <c r="J20" s="254">
        <f ca="1">I20-H20</f>
        <v>-1.6269409289788567E-2</v>
      </c>
      <c r="K20" s="257">
        <f ca="1">J20/H20</f>
        <v>-0.44716945179584749</v>
      </c>
      <c r="L20" s="257">
        <f ca="1">L15/L12</f>
        <v>5.4094623532584117E-2</v>
      </c>
      <c r="M20" s="257">
        <f ca="1">M15/M12</f>
        <v>5.2941665724306988E-2</v>
      </c>
      <c r="N20" s="254">
        <f ca="1">M20-L20</f>
        <v>-1.1529578082771288E-3</v>
      </c>
      <c r="O20" s="1062">
        <f ca="1">N20/L20</f>
        <v>-2.1313722750702573E-2</v>
      </c>
      <c r="P20" s="257"/>
      <c r="Q20" s="257"/>
      <c r="R20" s="254"/>
    </row>
    <row r="21" spans="2:20" hidden="1">
      <c r="B21" s="425"/>
      <c r="C21" s="253" t="s">
        <v>274</v>
      </c>
      <c r="D21" s="257">
        <f ca="1">D16/D12</f>
        <v>-1.3225453884355327E-2</v>
      </c>
      <c r="E21" s="257">
        <f ca="1">E16/E12</f>
        <v>-5.6529065116101833E-2</v>
      </c>
      <c r="F21" s="254">
        <f ca="1">E21-D21</f>
        <v>-4.3303611231746503E-2</v>
      </c>
      <c r="G21" s="257">
        <f ca="1">F21/D21</f>
        <v>3.2742627671154088</v>
      </c>
      <c r="H21" s="257">
        <f ca="1">H16/H12</f>
        <v>2.4702302934215204E-2</v>
      </c>
      <c r="I21" s="257">
        <f ca="1">I16/I12</f>
        <v>2.0113687150386569E-2</v>
      </c>
      <c r="J21" s="254">
        <f ca="1">I21-H21</f>
        <v>-4.5886157838286347E-3</v>
      </c>
      <c r="K21" s="257">
        <f ca="1">J21/H21</f>
        <v>-0.18575659913363521</v>
      </c>
      <c r="L21" s="257">
        <f ca="1">L16/L12</f>
        <v>4.1504130531655983E-2</v>
      </c>
      <c r="M21" s="257">
        <f ca="1">M16/M12</f>
        <v>5.2941665724306988E-2</v>
      </c>
      <c r="N21" s="254">
        <f ca="1">M21-L21</f>
        <v>1.1437535192651005E-2</v>
      </c>
      <c r="O21" s="1062">
        <f ca="1">N21/L21</f>
        <v>0.27557582934853631</v>
      </c>
      <c r="P21" s="257"/>
      <c r="Q21" s="257"/>
      <c r="R21" s="254"/>
    </row>
    <row r="22" spans="2:20">
      <c r="B22" s="425"/>
      <c r="O22" s="426"/>
    </row>
    <row r="23" spans="2:20">
      <c r="B23" s="1059" t="s">
        <v>133</v>
      </c>
      <c r="C23" s="1048" t="s">
        <v>262</v>
      </c>
      <c r="D23" s="937">
        <v>2022</v>
      </c>
      <c r="E23" s="938"/>
      <c r="F23" s="937" t="s">
        <v>263</v>
      </c>
      <c r="G23" s="945"/>
      <c r="H23" s="946">
        <v>2022</v>
      </c>
      <c r="I23" s="938"/>
      <c r="J23" s="1252" t="s">
        <v>263</v>
      </c>
      <c r="K23" s="1253"/>
      <c r="L23" s="1254">
        <v>2022</v>
      </c>
      <c r="M23" s="1255"/>
      <c r="N23" s="1252" t="s">
        <v>263</v>
      </c>
      <c r="O23" s="1256"/>
    </row>
    <row r="24" spans="2:20">
      <c r="B24" s="1060"/>
      <c r="C24" s="262"/>
      <c r="D24" s="300" t="s">
        <v>264</v>
      </c>
      <c r="E24" s="300" t="s">
        <v>265</v>
      </c>
      <c r="F24" s="300" t="s">
        <v>266</v>
      </c>
      <c r="G24" s="301" t="s">
        <v>267</v>
      </c>
      <c r="H24" s="300" t="s">
        <v>264</v>
      </c>
      <c r="I24" s="300" t="s">
        <v>265</v>
      </c>
      <c r="J24" s="300" t="s">
        <v>266</v>
      </c>
      <c r="K24" s="301" t="s">
        <v>267</v>
      </c>
      <c r="L24" s="300" t="s">
        <v>264</v>
      </c>
      <c r="M24" s="300" t="s">
        <v>265</v>
      </c>
      <c r="N24" s="300" t="s">
        <v>266</v>
      </c>
      <c r="O24" s="1061" t="s">
        <v>267</v>
      </c>
    </row>
    <row r="25" spans="2:20">
      <c r="B25" s="425"/>
      <c r="O25" s="426"/>
    </row>
    <row r="26" spans="2:20">
      <c r="B26" s="425"/>
      <c r="C26" s="253" t="str">
        <f>+C12</f>
        <v>Revenue</v>
      </c>
      <c r="D26" s="255" cm="1">
        <f t="array" aca="1" ref="D26" ca="1">IF(BBswitch=1,_xll.BDP($F$3&amp;" EQUITY","BEST_SALES", "BEST_FPERIOD_OVERRIDE="&amp;D$2),D26)</f>
        <v>13177.286</v>
      </c>
      <c r="E26" s="287">
        <f>'AAL KPI'!R13</f>
        <v>12795.926602840585</v>
      </c>
      <c r="F26" s="254">
        <f ca="1">E26-D26</f>
        <v>-381.35939715941458</v>
      </c>
      <c r="G26" s="257">
        <f ca="1">F26/D26</f>
        <v>-2.8940663286765922E-2</v>
      </c>
      <c r="H26" s="255" cm="1">
        <f t="array" aca="1" ref="H26" ca="1">IF(BBswitch=1,_xll.BDP($F$3&amp;" EQUITY","BEST_SALES", "BEST_FPERIOD_OVERRIDE="&amp;$H$2),H26)</f>
        <v>13179.143</v>
      </c>
      <c r="I26" s="287">
        <f>'AAL KPI'!S13</f>
        <v>12897.359881803524</v>
      </c>
      <c r="J26" s="254">
        <f ca="1">I26-H26</f>
        <v>-281.7831181964757</v>
      </c>
      <c r="K26" s="257">
        <f ca="1">J26/H26</f>
        <v>-2.1380989507168692E-2</v>
      </c>
      <c r="L26" s="255" cm="1">
        <f t="array" aca="1" ref="L26" ca="1">IF(BBswitch=1,_xll.BDP($F$3&amp;" EQUITY","BEST_SALES", "BEST_FPERIOD_OVERRIDE="&amp;L$2),L26)</f>
        <v>12468</v>
      </c>
      <c r="M26" s="287">
        <f>'AAL KPI'!T13</f>
        <v>11875.709136272122</v>
      </c>
      <c r="N26" s="254">
        <f ca="1">M26-L26</f>
        <v>-592.29086372787788</v>
      </c>
      <c r="O26" s="1062">
        <f ca="1">N26/L26</f>
        <v>-4.7504881595113721E-2</v>
      </c>
      <c r="T26" s="255"/>
    </row>
    <row r="27" spans="2:20">
      <c r="B27" s="425"/>
      <c r="C27" s="253" t="str">
        <f>+C13</f>
        <v>EBITDA</v>
      </c>
      <c r="D27" s="255" cm="1">
        <f t="array" aca="1" ref="D27" ca="1">IF(BBswitch=1,_xll.BDP($F$3&amp;" EQUITY","BEST_EBITDA", "BEST_FPERIOD_OVERRIDE="&amp;D$2),D27)</f>
        <v>1582</v>
      </c>
      <c r="E27" s="287">
        <f>'AAL KPI'!R25</f>
        <v>317.49717594836989</v>
      </c>
      <c r="F27" s="254">
        <f ca="1">E27-D27</f>
        <v>-1264.5028240516301</v>
      </c>
      <c r="G27" s="257">
        <f ca="1">F27/D27</f>
        <v>-0.79930646273807215</v>
      </c>
      <c r="H27" s="255" cm="1">
        <f t="array" aca="1" ref="H27" ca="1">IF(BBswitch=1,_xll.BDP($F$3&amp;" EQUITY","BEST_EBITDA", "BEST_FPERIOD_OVERRIDE="&amp;H$2),H27)</f>
        <v>1441.875</v>
      </c>
      <c r="I27" s="287">
        <f>'AAL KPI'!S25</f>
        <v>593.03004082847974</v>
      </c>
      <c r="J27" s="254">
        <f ca="1">I27-H27</f>
        <v>-848.84495917152026</v>
      </c>
      <c r="K27" s="257">
        <f ca="1">J27/H27</f>
        <v>-0.58870911776091561</v>
      </c>
      <c r="L27" s="255" cm="1">
        <f t="array" aca="1" ref="L27" ca="1">IF(BBswitch=1,_xll.BDP($F$3&amp;" EQUITY","BEST_EBITDA", "BEST_FPERIOD_OVERRIDE="&amp;L$2),L27)</f>
        <v>1297.875</v>
      </c>
      <c r="M27" s="287">
        <f>'AAL KPI'!T25</f>
        <v>488.92759903711749</v>
      </c>
      <c r="N27" s="254">
        <f ca="1">M27-L27</f>
        <v>-808.94740096288251</v>
      </c>
      <c r="O27" s="1062">
        <f ca="1">N27/L27</f>
        <v>-0.6232860644999576</v>
      </c>
      <c r="T27" s="255"/>
    </row>
    <row r="28" spans="2:20" hidden="1">
      <c r="B28" s="425"/>
      <c r="C28" s="253" t="str">
        <f>+C14</f>
        <v>EBIT</v>
      </c>
      <c r="D28" s="255" cm="1">
        <f t="array" aca="1" ref="D28" ca="1">IF(BBswitch=1,_xll.BDP($F$3&amp;" EQUITY","BEST_EBIT", "BEST_FPERIOD_OVERRIDE="&amp;D$2),D28)</f>
        <v>905</v>
      </c>
      <c r="E28" s="287">
        <f>'AAL KPI'!R28</f>
        <v>-162.95370920898608</v>
      </c>
      <c r="F28" s="254">
        <f ca="1">E28-D28</f>
        <v>-1067.9537092089861</v>
      </c>
      <c r="G28" s="257">
        <f ca="1">F28/D28</f>
        <v>-1.1800593471922498</v>
      </c>
      <c r="H28" s="255" cm="1">
        <f t="array" aca="1" ref="H28" ca="1">IF(BBswitch=1,_xll.BDP($F$3&amp;" EQUITY","BEST_EBIT", "BEST_FPERIOD_OVERRIDE="&amp;H$2),H28)</f>
        <v>732.41700000000003</v>
      </c>
      <c r="I28" s="287">
        <f>'AAL KPI'!S28</f>
        <v>69.478368281381904</v>
      </c>
      <c r="J28" s="254">
        <f ca="1">I28-H28</f>
        <v>-662.93863171861813</v>
      </c>
      <c r="K28" s="257">
        <f ca="1">J28/H28</f>
        <v>-0.90513823643992164</v>
      </c>
      <c r="L28" s="255" cm="1">
        <f t="array" aca="1" ref="L28" ca="1">IF(BBswitch=1,_xll.BDP($F$3&amp;" EQUITY","BEST_EBIT", "BEST_FPERIOD_OVERRIDE="&amp;L$2),L28)</f>
        <v>644.54499999999996</v>
      </c>
      <c r="M28" s="287">
        <f>'AAL KPI'!T28</f>
        <v>-24.668667629549191</v>
      </c>
      <c r="N28" s="254">
        <f ca="1">M28-L28</f>
        <v>-669.21366762954915</v>
      </c>
      <c r="O28" s="1062">
        <f ca="1">N28/L28</f>
        <v>-1.0382729951043748</v>
      </c>
      <c r="T28" s="255"/>
    </row>
    <row r="29" spans="2:20" hidden="1">
      <c r="B29" s="425"/>
      <c r="C29" s="253" t="str">
        <f>+C15</f>
        <v>Pre-Tax Profit</v>
      </c>
      <c r="D29" s="255" cm="1">
        <f t="array" aca="1" ref="D29" ca="1">IF(BBswitch=1,_xll.BDP($F$3&amp;" EQUITY","BEST_PTP", "BEST_FPERIOD_OVERRIDE="&amp;D$2),D29)</f>
        <v>559.54499999999996</v>
      </c>
      <c r="E29" s="287">
        <f ca="1">'AAL KPI'!R33</f>
        <v>-494.48574857609452</v>
      </c>
      <c r="F29" s="254">
        <f ca="1">E29-D29</f>
        <v>-1054.0307485760945</v>
      </c>
      <c r="G29" s="257">
        <f ca="1">F29/D29</f>
        <v>-1.8837282945537797</v>
      </c>
      <c r="H29" s="255" cm="1">
        <f t="array" aca="1" ref="H29" ca="1">IF(BBswitch=1,_xll.BDP($F$3&amp;" EQUITY","BEST_PTP", "BEST_FPERIOD_OVERRIDE="&amp;H$2),H29)</f>
        <v>424.45499999999998</v>
      </c>
      <c r="I29" s="287">
        <f ca="1">'AAL KPI'!S33</f>
        <v>-259.84302349031492</v>
      </c>
      <c r="J29" s="254">
        <f ca="1">I29-H29</f>
        <v>-684.2980234903149</v>
      </c>
      <c r="K29" s="257">
        <f ca="1">J29/H29</f>
        <v>-1.6121803807006985</v>
      </c>
      <c r="L29" s="255" cm="1">
        <f t="array" aca="1" ref="L29" ca="1">IF(BBswitch=1,_xll.BDP($F$3&amp;" EQUITY","BEST_PTP", "BEST_FPERIOD_OVERRIDE="&amp;L$2),L29)</f>
        <v>308.464</v>
      </c>
      <c r="M29" s="287">
        <f ca="1">'AAL KPI'!T33</f>
        <v>-362.46357820310033</v>
      </c>
      <c r="N29" s="254">
        <f ca="1">M29-L29</f>
        <v>-670.92757820310032</v>
      </c>
      <c r="O29" s="1062">
        <f ca="1">N29/L29</f>
        <v>-2.175059579734103</v>
      </c>
      <c r="T29" s="255"/>
    </row>
    <row r="30" spans="2:20" hidden="1">
      <c r="B30" s="425"/>
      <c r="C30" s="253" t="str">
        <f>+C16</f>
        <v>Net Income</v>
      </c>
      <c r="D30" s="255" cm="1">
        <f t="array" aca="1" ref="D30" ca="1">IF(BBswitch=1,_xll.BDP($F$3&amp;" EQUITY","BEST_NET_INCOME", "BEST_FPERIOD_OVERRIDE="&amp;D$2),D30)</f>
        <v>446.83300000000003</v>
      </c>
      <c r="E30" s="287">
        <f ca="1">'AAL KPI'!R37</f>
        <v>-494.48574857609452</v>
      </c>
      <c r="F30" s="254">
        <f ca="1">E30-D30</f>
        <v>-941.31874857609455</v>
      </c>
      <c r="G30" s="257">
        <f ca="1">F30/D30</f>
        <v>-2.1066455444787975</v>
      </c>
      <c r="H30" s="255" cm="1">
        <f t="array" aca="1" ref="H30" ca="1">IF(BBswitch=1,_xll.BDP($F$3&amp;" EQUITY","BEST_NET_INCOME", "BEST_FPERIOD_OVERRIDE="&amp;H$2),H30)</f>
        <v>310.93299999999999</v>
      </c>
      <c r="I30" s="287">
        <f ca="1">'AAL KPI'!S37</f>
        <v>-259.84302349031492</v>
      </c>
      <c r="J30" s="254">
        <f ca="1">I30-H30</f>
        <v>-570.77602349031486</v>
      </c>
      <c r="K30" s="257">
        <f ca="1">J30/H30</f>
        <v>-1.8356881498275026</v>
      </c>
      <c r="L30" s="255" cm="1">
        <f t="array" aca="1" ref="L30" ca="1">IF(BBswitch=1,_xll.BDP($F$3&amp;" EQUITY","BEST_NET_INCOME", "BEST_FPERIOD_OVERRIDE="&amp;L$2),L30)</f>
        <v>217.583</v>
      </c>
      <c r="M30" s="287">
        <f ca="1">'AAL KPI'!T37</f>
        <v>-362.46357820310033</v>
      </c>
      <c r="N30" s="254">
        <f ca="1">M30-L30</f>
        <v>-580.04657820310035</v>
      </c>
      <c r="O30" s="1062">
        <f ca="1">N30/L30</f>
        <v>-2.6658635012988166</v>
      </c>
      <c r="T30" s="255"/>
    </row>
    <row r="31" spans="2:20">
      <c r="B31" s="425"/>
      <c r="O31" s="426"/>
    </row>
    <row r="32" spans="2:20">
      <c r="B32" s="425"/>
      <c r="C32" s="253" t="str">
        <f>+C18</f>
        <v>EBITDA Margin</v>
      </c>
      <c r="D32" s="257">
        <f ca="1">D27/D26</f>
        <v>0.12005507052059126</v>
      </c>
      <c r="E32" s="257">
        <f>E27/E26</f>
        <v>2.4812363012295509E-2</v>
      </c>
      <c r="F32" s="254">
        <f ca="1">E32-D32</f>
        <v>-9.5242707508295749E-2</v>
      </c>
      <c r="G32" s="257">
        <f ca="1">F32/D32</f>
        <v>-0.79332515565812922</v>
      </c>
      <c r="H32" s="257">
        <f ca="1">H27/H26</f>
        <v>0.10940582403575104</v>
      </c>
      <c r="I32" s="257">
        <f>I27/I26</f>
        <v>4.5980731425907327E-2</v>
      </c>
      <c r="J32" s="254">
        <f ca="1">I32-H32</f>
        <v>-6.342509260984372E-2</v>
      </c>
      <c r="K32" s="257">
        <f ca="1">J32/H32</f>
        <v>-0.57972318355847319</v>
      </c>
      <c r="L32" s="257">
        <f ca="1">L27/L26</f>
        <v>0.10409648700673725</v>
      </c>
      <c r="M32" s="257">
        <f>M27/M26</f>
        <v>4.1170391883696443E-2</v>
      </c>
      <c r="N32" s="254">
        <f ca="1">M32-L32</f>
        <v>-6.2926095123040815E-2</v>
      </c>
      <c r="O32" s="1062">
        <f ca="1">N32/L32</f>
        <v>-0.60449777828687112</v>
      </c>
    </row>
    <row r="33" spans="1:26" hidden="1">
      <c r="B33" s="425"/>
      <c r="C33" s="253" t="str">
        <f>+C19</f>
        <v>EBIT. Margin</v>
      </c>
      <c r="D33" s="257">
        <f ca="1">D28/D26</f>
        <v>6.8678785601223202E-2</v>
      </c>
      <c r="E33" s="257">
        <f>E28/E26</f>
        <v>-1.273481118380374E-2</v>
      </c>
      <c r="F33" s="254">
        <f ca="1">E33-D33</f>
        <v>-8.1413596785026937E-2</v>
      </c>
      <c r="G33" s="257">
        <f ca="1">F33/D33</f>
        <v>-1.1854256896408624</v>
      </c>
      <c r="H33" s="257">
        <f ca="1">H28/H26</f>
        <v>5.5573947410692791E-2</v>
      </c>
      <c r="I33" s="257">
        <f>I28/I26</f>
        <v>5.3870225315963095E-3</v>
      </c>
      <c r="J33" s="254">
        <f ca="1">I33-H33</f>
        <v>-5.0186924879096484E-2</v>
      </c>
      <c r="K33" s="257">
        <f ca="1">J33/H33</f>
        <v>-0.90306568486513861</v>
      </c>
      <c r="L33" s="257">
        <f ca="1">L28/L26</f>
        <v>5.1695941610522933E-2</v>
      </c>
      <c r="M33" s="257">
        <f>M28/M26</f>
        <v>-2.0772374387482582E-3</v>
      </c>
      <c r="N33" s="254">
        <f ca="1">M33-L33</f>
        <v>-5.3773179049271189E-2</v>
      </c>
      <c r="O33" s="1062">
        <f ca="1">N33/L33</f>
        <v>-1.0401818280900685</v>
      </c>
    </row>
    <row r="34" spans="1:26" hidden="1">
      <c r="B34" s="425"/>
      <c r="C34" s="253" t="str">
        <f>+C20</f>
        <v>Pre- Tax. Margin</v>
      </c>
      <c r="D34" s="257">
        <f ca="1">D29/D26</f>
        <v>4.2462840982581691E-2</v>
      </c>
      <c r="E34" s="257">
        <f ca="1">E29/E26</f>
        <v>-3.8643996947147458E-2</v>
      </c>
      <c r="F34" s="254">
        <f ca="1">E34-D34</f>
        <v>-8.1106837929729142E-2</v>
      </c>
      <c r="G34" s="257">
        <f ca="1">F34/D34</f>
        <v>-1.9100662144343867</v>
      </c>
      <c r="H34" s="257">
        <f ca="1">H29/H26</f>
        <v>3.2206570639684233E-2</v>
      </c>
      <c r="I34" s="257">
        <f ca="1">I29/I26</f>
        <v>-2.0146993328217445E-2</v>
      </c>
      <c r="J34" s="254">
        <f ca="1">I34-H34</f>
        <v>-5.2353563967901681E-2</v>
      </c>
      <c r="K34" s="257">
        <f ca="1">J34/H34</f>
        <v>-1.6255553735793515</v>
      </c>
      <c r="L34" s="257">
        <f ca="1">L29/L26</f>
        <v>2.4740455566249597E-2</v>
      </c>
      <c r="M34" s="257">
        <f ca="1">M29/M26</f>
        <v>-3.0521426050763016E-2</v>
      </c>
      <c r="N34" s="254">
        <f ca="1">M34-L34</f>
        <v>-5.5261881617012613E-2</v>
      </c>
      <c r="O34" s="1062">
        <f ca="1">N34/L34</f>
        <v>-2.233664674000575</v>
      </c>
    </row>
    <row r="35" spans="1:26" hidden="1">
      <c r="B35" s="425"/>
      <c r="C35" s="253" t="str">
        <f>+C21</f>
        <v>Net Margin</v>
      </c>
      <c r="D35" s="257">
        <f ca="1">D30/D26</f>
        <v>3.3909334592874436E-2</v>
      </c>
      <c r="E35" s="257">
        <f ca="1">E30/E26</f>
        <v>-3.8643996947147458E-2</v>
      </c>
      <c r="F35" s="254">
        <f ca="1">E35-D35</f>
        <v>-7.2553331540021887E-2</v>
      </c>
      <c r="G35" s="257">
        <f ca="1">F35/D35</f>
        <v>-2.139627108910239</v>
      </c>
      <c r="H35" s="257">
        <f ca="1">H30/H26</f>
        <v>2.3592808728154783E-2</v>
      </c>
      <c r="I35" s="257">
        <f ca="1">I30/I26</f>
        <v>-2.0146993328217445E-2</v>
      </c>
      <c r="J35" s="254">
        <f ca="1">I35-H35</f>
        <v>-4.3739802056372228E-2</v>
      </c>
      <c r="K35" s="257">
        <f ca="1">J35/H35</f>
        <v>-1.8539463681649218</v>
      </c>
      <c r="L35" s="257">
        <f ca="1">L30/L26</f>
        <v>1.7451315367340393E-2</v>
      </c>
      <c r="M35" s="257">
        <f ca="1">M30/M26</f>
        <v>-3.0521426050763016E-2</v>
      </c>
      <c r="N35" s="254">
        <f ca="1">M35-L35</f>
        <v>-4.7972741418103412E-2</v>
      </c>
      <c r="O35" s="1062">
        <f ca="1">N35/L35</f>
        <v>-2.7489470225197432</v>
      </c>
    </row>
    <row r="36" spans="1:26">
      <c r="B36" s="425"/>
      <c r="L36" s="1070">
        <f ca="1">L27-L28</f>
        <v>653.33000000000004</v>
      </c>
      <c r="O36" s="426"/>
    </row>
    <row r="37" spans="1:26" s="255" customFormat="1" hidden="1">
      <c r="B37" s="1064" t="s">
        <v>133</v>
      </c>
      <c r="C37" s="259" t="s">
        <v>1234</v>
      </c>
      <c r="D37" s="258"/>
      <c r="E37" s="258"/>
      <c r="F37" s="258"/>
      <c r="G37" s="258"/>
      <c r="H37" s="258"/>
      <c r="I37" s="258"/>
      <c r="J37" s="258"/>
      <c r="K37" s="258"/>
      <c r="L37" s="258"/>
      <c r="M37" s="258"/>
      <c r="N37" s="258"/>
      <c r="O37" s="1065"/>
      <c r="P37" s="258"/>
      <c r="Q37" s="258"/>
      <c r="R37" s="258"/>
      <c r="S37" s="258"/>
    </row>
    <row r="38" spans="1:26" hidden="1">
      <c r="B38" s="425"/>
      <c r="O38" s="426"/>
    </row>
    <row r="39" spans="1:26" hidden="1">
      <c r="B39" s="1059" t="s">
        <v>133</v>
      </c>
      <c r="C39" s="1048" t="s">
        <v>262</v>
      </c>
      <c r="D39" s="1252">
        <v>2022</v>
      </c>
      <c r="E39" s="1253"/>
      <c r="F39" s="1252" t="s">
        <v>263</v>
      </c>
      <c r="G39" s="1253"/>
      <c r="H39" s="1252">
        <f>+D39+1</f>
        <v>2023</v>
      </c>
      <c r="I39" s="1253"/>
      <c r="J39" s="1252" t="s">
        <v>263</v>
      </c>
      <c r="K39" s="1253"/>
      <c r="L39" s="1252">
        <f>+H39+1</f>
        <v>2024</v>
      </c>
      <c r="M39" s="1253"/>
      <c r="N39" s="1252" t="s">
        <v>263</v>
      </c>
      <c r="O39" s="1256"/>
      <c r="P39" s="1260">
        <f>+L39+1</f>
        <v>2025</v>
      </c>
      <c r="Q39" s="1253"/>
      <c r="R39" s="1252" t="s">
        <v>263</v>
      </c>
      <c r="S39" s="1260"/>
    </row>
    <row r="40" spans="1:26" hidden="1">
      <c r="B40" s="1060"/>
      <c r="C40" s="262"/>
      <c r="D40" s="300" t="s">
        <v>264</v>
      </c>
      <c r="E40" s="300" t="s">
        <v>265</v>
      </c>
      <c r="F40" s="300" t="s">
        <v>266</v>
      </c>
      <c r="G40" s="301" t="s">
        <v>267</v>
      </c>
      <c r="H40" s="300" t="s">
        <v>264</v>
      </c>
      <c r="I40" s="300" t="s">
        <v>265</v>
      </c>
      <c r="J40" s="300" t="s">
        <v>266</v>
      </c>
      <c r="K40" s="301" t="s">
        <v>267</v>
      </c>
      <c r="L40" s="300" t="s">
        <v>264</v>
      </c>
      <c r="M40" s="300" t="s">
        <v>265</v>
      </c>
      <c r="N40" s="300" t="s">
        <v>266</v>
      </c>
      <c r="O40" s="1061" t="s">
        <v>267</v>
      </c>
      <c r="P40" s="1077" t="s">
        <v>264</v>
      </c>
      <c r="Q40" s="300" t="s">
        <v>265</v>
      </c>
      <c r="R40" s="300" t="s">
        <v>266</v>
      </c>
      <c r="S40" s="301" t="s">
        <v>267</v>
      </c>
    </row>
    <row r="41" spans="1:26" hidden="1">
      <c r="B41" s="425"/>
      <c r="O41" s="426"/>
    </row>
    <row r="42" spans="1:26" hidden="1">
      <c r="A42" s="302"/>
      <c r="B42" s="425"/>
      <c r="C42" s="253" t="s">
        <v>268</v>
      </c>
      <c r="D42" s="277">
        <v>46379.62</v>
      </c>
      <c r="E42" s="287">
        <f>'AAL KPI'!AA13</f>
        <v>46467.995620916234</v>
      </c>
      <c r="F42" s="254">
        <f>E42-D42</f>
        <v>88.375620916231128</v>
      </c>
      <c r="G42" s="257">
        <f>F42/D42</f>
        <v>1.905483937044571E-3</v>
      </c>
      <c r="H42" s="277">
        <v>49937.29</v>
      </c>
      <c r="I42" s="287">
        <f>'AAL KPI'!AB13</f>
        <v>49978.865943105717</v>
      </c>
      <c r="J42" s="254">
        <f>I42-H42</f>
        <v>41.575943105715851</v>
      </c>
      <c r="K42" s="257">
        <f>J42/H42</f>
        <v>8.3256306270756487E-4</v>
      </c>
      <c r="L42" s="277">
        <v>52487.82</v>
      </c>
      <c r="M42" s="287">
        <f>'AAL KPI'!AC13</f>
        <v>52616.816252840959</v>
      </c>
      <c r="N42" s="254">
        <f>M42-L42</f>
        <v>128.99625284095964</v>
      </c>
      <c r="O42" s="1062">
        <f>N42/L42</f>
        <v>2.457641655549033E-3</v>
      </c>
      <c r="P42" s="277">
        <v>53099</v>
      </c>
      <c r="Q42" s="287">
        <f>'AAL KPI'!AD13</f>
        <v>53076.431957318819</v>
      </c>
      <c r="R42" s="254">
        <f>Q42-P42</f>
        <v>-22.568042681181396</v>
      </c>
      <c r="S42" s="257">
        <f>R42/P42</f>
        <v>-4.2501822409426538E-4</v>
      </c>
    </row>
    <row r="43" spans="1:26" hidden="1">
      <c r="A43" s="302"/>
      <c r="B43" s="425"/>
      <c r="C43" s="253" t="s">
        <v>88</v>
      </c>
      <c r="D43" s="277">
        <v>2715.5</v>
      </c>
      <c r="E43" s="287">
        <f>'AAL KPI'!AA25</f>
        <v>325.45481581396871</v>
      </c>
      <c r="F43" s="254">
        <f>E43-D43</f>
        <v>-2390.0451841860313</v>
      </c>
      <c r="G43" s="257">
        <f>F43/D43</f>
        <v>-0.88014921163175519</v>
      </c>
      <c r="H43" s="277">
        <v>6841.89</v>
      </c>
      <c r="I43" s="287">
        <f>'AAL KPI'!AB25</f>
        <v>4450.5951015236624</v>
      </c>
      <c r="J43" s="254">
        <f>I43-H43</f>
        <v>-2391.2948984763379</v>
      </c>
      <c r="K43" s="257">
        <f>J43/H43</f>
        <v>-0.34950794275797153</v>
      </c>
      <c r="L43" s="277">
        <v>7688.23</v>
      </c>
      <c r="M43" s="287">
        <f>'AAL KPI'!AC25</f>
        <v>6359.4163424893832</v>
      </c>
      <c r="N43" s="254">
        <f>M43-L43</f>
        <v>-1328.8136575106164</v>
      </c>
      <c r="O43" s="1062">
        <f>N43/L43</f>
        <v>-0.17283739658030736</v>
      </c>
      <c r="P43" s="277">
        <v>9274</v>
      </c>
      <c r="Q43" s="287">
        <f>'AAL KPI'!AD25</f>
        <v>7002.7509591692287</v>
      </c>
      <c r="R43" s="254">
        <f>Q43-P43</f>
        <v>-2271.2490408307713</v>
      </c>
      <c r="S43" s="257">
        <f>R43/P43</f>
        <v>-0.24490500763756429</v>
      </c>
    </row>
    <row r="44" spans="1:26" hidden="1">
      <c r="A44" s="302"/>
      <c r="B44" s="425"/>
      <c r="C44" s="253" t="s">
        <v>157</v>
      </c>
      <c r="D44" s="277">
        <v>-84.12</v>
      </c>
      <c r="E44" s="287">
        <f>'AAL KPI'!AA28</f>
        <v>-1684.1440085571519</v>
      </c>
      <c r="F44" s="254">
        <f>E44-D44</f>
        <v>-1600.0240085571518</v>
      </c>
      <c r="G44" s="257">
        <f>F44/D44</f>
        <v>19.020732388934281</v>
      </c>
      <c r="H44" s="277">
        <v>3379.31</v>
      </c>
      <c r="I44" s="287">
        <f>'AAL KPI'!AB28</f>
        <v>2318.7533836089983</v>
      </c>
      <c r="J44" s="254">
        <f>I44-H44</f>
        <v>-1060.5566163910016</v>
      </c>
      <c r="K44" s="257">
        <f>J44/H44</f>
        <v>-0.31383821442572646</v>
      </c>
      <c r="L44" s="277">
        <v>4618.49</v>
      </c>
      <c r="M44" s="287">
        <f>'AAL KPI'!AC28</f>
        <v>4046.7550628653025</v>
      </c>
      <c r="N44" s="254">
        <f>M44-L44</f>
        <v>-571.73493713469725</v>
      </c>
      <c r="O44" s="1062">
        <f>N44/L44</f>
        <v>-0.12379261125058132</v>
      </c>
      <c r="P44" s="277">
        <v>5853.6</v>
      </c>
      <c r="Q44" s="287">
        <f>'AAL KPI'!AD28</f>
        <v>4509.2701178357311</v>
      </c>
      <c r="R44" s="254">
        <f>Q44-P44</f>
        <v>-1344.3298821642693</v>
      </c>
      <c r="S44" s="257">
        <f>R44/P44</f>
        <v>-0.2296586514562439</v>
      </c>
    </row>
    <row r="45" spans="1:26" hidden="1">
      <c r="A45" s="302"/>
      <c r="B45" s="425"/>
      <c r="C45" s="253" t="s">
        <v>269</v>
      </c>
      <c r="D45" s="277">
        <v>-1241.3699999999999</v>
      </c>
      <c r="E45" s="287">
        <f ca="1">'AAL KPI'!AA33</f>
        <v>-3042.7923502695085</v>
      </c>
      <c r="F45" s="254">
        <f ca="1">E45-D45</f>
        <v>-1801.4223502695086</v>
      </c>
      <c r="G45" s="257">
        <f ca="1">F45/D45</f>
        <v>1.4511566658365425</v>
      </c>
      <c r="H45" s="277">
        <v>2121.4499999999998</v>
      </c>
      <c r="I45" s="287">
        <f ca="1">'AAL KPI'!AB33</f>
        <v>1005.2592737107384</v>
      </c>
      <c r="J45" s="254">
        <f ca="1">I45-H45</f>
        <v>-1116.1907262892614</v>
      </c>
      <c r="K45" s="257">
        <f ca="1">J45/H45</f>
        <v>-0.52614519611080224</v>
      </c>
      <c r="L45" s="277">
        <v>3578.79</v>
      </c>
      <c r="M45" s="287">
        <f ca="1">'AAL KPI'!AC33</f>
        <v>2785.621897535189</v>
      </c>
      <c r="N45" s="254">
        <f ca="1">M45-L45</f>
        <v>-793.168102464811</v>
      </c>
      <c r="O45" s="1062">
        <f ca="1">N45/L45</f>
        <v>-0.22163024443032728</v>
      </c>
      <c r="P45" s="277">
        <v>5272.33</v>
      </c>
      <c r="Q45" s="287">
        <f ca="1">'AAL KPI'!AD33</f>
        <v>3443.1198053369631</v>
      </c>
      <c r="R45" s="254">
        <f ca="1">Q45-P45</f>
        <v>-1829.2101946630369</v>
      </c>
      <c r="S45" s="257">
        <f ca="1">R45/P45</f>
        <v>-0.34694531538485585</v>
      </c>
    </row>
    <row r="46" spans="1:26" hidden="1">
      <c r="A46" s="302"/>
      <c r="B46" s="425"/>
      <c r="C46" s="253" t="s">
        <v>270</v>
      </c>
      <c r="D46" s="277">
        <v>-1186.67</v>
      </c>
      <c r="E46" s="287">
        <f ca="1">'AAL KPI'!AA37</f>
        <v>-2626.7923502695085</v>
      </c>
      <c r="F46" s="254">
        <f ca="1">E46-D46</f>
        <v>-1440.1223502695084</v>
      </c>
      <c r="G46" s="257">
        <f ca="1">F46/D46</f>
        <v>1.2135828412865484</v>
      </c>
      <c r="H46" s="277">
        <v>1588.53</v>
      </c>
      <c r="I46" s="287">
        <f ca="1">'AAL KPI'!AB37</f>
        <v>1005.2592737107384</v>
      </c>
      <c r="J46" s="254">
        <f ca="1">I46-H46</f>
        <v>-583.27072628926157</v>
      </c>
      <c r="K46" s="257">
        <f ca="1">J46/H46</f>
        <v>-0.36717639974647098</v>
      </c>
      <c r="L46" s="277">
        <v>2719.74</v>
      </c>
      <c r="M46" s="287">
        <f ca="1">'AAL KPI'!AC37</f>
        <v>2785.621897535189</v>
      </c>
      <c r="N46" s="254">
        <f ca="1">M46-L46</f>
        <v>65.881897535189182</v>
      </c>
      <c r="O46" s="1062">
        <f ca="1">N46/L46</f>
        <v>2.4223601349830936E-2</v>
      </c>
      <c r="P46" s="277">
        <v>3961</v>
      </c>
      <c r="Q46" s="287">
        <f ca="1">'AAL KPI'!AD37</f>
        <v>3443.1198053369631</v>
      </c>
      <c r="R46" s="254">
        <f ca="1">Q46-P46</f>
        <v>-517.88019466303695</v>
      </c>
      <c r="S46" s="257">
        <f ca="1">R46/P46</f>
        <v>-0.13074481056880508</v>
      </c>
    </row>
    <row r="47" spans="1:26" s="279" customFormat="1" hidden="1">
      <c r="B47" s="576"/>
      <c r="D47" s="284"/>
      <c r="E47" s="284"/>
      <c r="F47" s="293"/>
      <c r="G47" s="293"/>
      <c r="H47" s="284"/>
      <c r="I47" s="284"/>
      <c r="J47" s="293"/>
      <c r="K47" s="293"/>
      <c r="L47" s="284"/>
      <c r="M47" s="284"/>
      <c r="N47" s="293"/>
      <c r="O47" s="1063"/>
      <c r="P47" s="256"/>
      <c r="Q47" s="256"/>
      <c r="R47" s="293"/>
      <c r="S47" s="293"/>
      <c r="U47" s="253"/>
      <c r="V47" s="253"/>
      <c r="W47" s="253"/>
      <c r="X47" s="253"/>
      <c r="Y47" s="253"/>
      <c r="Z47" s="253"/>
    </row>
    <row r="48" spans="1:26" hidden="1">
      <c r="B48" s="425"/>
      <c r="C48" s="253" t="s">
        <v>271</v>
      </c>
      <c r="D48" s="257">
        <f>D43/D42</f>
        <v>5.8549423216490343E-2</v>
      </c>
      <c r="E48" s="257">
        <f>E43/E42</f>
        <v>7.0038488095982036E-3</v>
      </c>
      <c r="F48" s="254">
        <f>E48-D48</f>
        <v>-5.1545574406892142E-2</v>
      </c>
      <c r="G48" s="257">
        <f>F48/D48</f>
        <v>-0.88037715104893499</v>
      </c>
      <c r="H48" s="257">
        <f>H43/H42</f>
        <v>0.13700963748733663</v>
      </c>
      <c r="I48" s="257">
        <f>I43/I42</f>
        <v>8.9049541592041564E-2</v>
      </c>
      <c r="J48" s="254">
        <f>I48-H48</f>
        <v>-4.7960095895295068E-2</v>
      </c>
      <c r="K48" s="257">
        <f>J48/H48</f>
        <v>-0.35004906789661322</v>
      </c>
      <c r="L48" s="257">
        <f>L43/L42</f>
        <v>0.14647645872890128</v>
      </c>
      <c r="M48" s="257">
        <f>M43/M42</f>
        <v>0.12086281146183976</v>
      </c>
      <c r="N48" s="254">
        <f>M48-L48</f>
        <v>-2.5613647267061515E-2</v>
      </c>
      <c r="O48" s="1062">
        <f>N48/L48</f>
        <v>-0.17486528203461876</v>
      </c>
      <c r="P48" s="257">
        <f>P43/P42</f>
        <v>0.17465488992259742</v>
      </c>
      <c r="Q48" s="257">
        <f>Q43/Q42</f>
        <v>0.1319371084476903</v>
      </c>
      <c r="R48" s="254">
        <f>Q48-P48</f>
        <v>-4.2717781474907124E-2</v>
      </c>
      <c r="S48" s="257">
        <f>R48/P48</f>
        <v>-0.24458394204616057</v>
      </c>
    </row>
    <row r="49" spans="2:19" hidden="1">
      <c r="B49" s="425"/>
      <c r="C49" s="253" t="s">
        <v>272</v>
      </c>
      <c r="D49" s="257">
        <f>D44/D42</f>
        <v>-1.8137276674539378E-3</v>
      </c>
      <c r="E49" s="257">
        <f>E44/E42</f>
        <v>-3.6243095619968656E-2</v>
      </c>
      <c r="F49" s="254">
        <f>E49-D49</f>
        <v>-3.4429367952514715E-2</v>
      </c>
      <c r="G49" s="257">
        <f>F49/D49</f>
        <v>18.982655759365318</v>
      </c>
      <c r="H49" s="257">
        <f>H44/H42</f>
        <v>6.7671073059831638E-2</v>
      </c>
      <c r="I49" s="257">
        <f>I44/I42</f>
        <v>4.639467782739589E-2</v>
      </c>
      <c r="J49" s="254">
        <f>I49-H49</f>
        <v>-2.1276395232435748E-2</v>
      </c>
      <c r="K49" s="257">
        <f>J49/H49</f>
        <v>-0.31440901215832862</v>
      </c>
      <c r="L49" s="257">
        <f>L44/L42</f>
        <v>8.7991652158538866E-2</v>
      </c>
      <c r="M49" s="257">
        <f>M44/M42</f>
        <v>7.6909918749536746E-2</v>
      </c>
      <c r="N49" s="254">
        <f>M49-L49</f>
        <v>-1.108173340900212E-2</v>
      </c>
      <c r="O49" s="1062">
        <f>N49/L49</f>
        <v>-0.12594073570792397</v>
      </c>
      <c r="P49" s="257">
        <f>P44/P42</f>
        <v>0.11023936420648224</v>
      </c>
      <c r="Q49" s="257">
        <f>Q44/Q42</f>
        <v>8.495804920462327E-2</v>
      </c>
      <c r="R49" s="254">
        <f>Q49-P49</f>
        <v>-2.528131500185897E-2</v>
      </c>
      <c r="S49" s="257">
        <f>R49/P49</f>
        <v>-0.22933110313033164</v>
      </c>
    </row>
    <row r="50" spans="2:19" hidden="1">
      <c r="B50" s="425"/>
      <c r="C50" s="253" t="s">
        <v>273</v>
      </c>
      <c r="D50" s="257">
        <f>D45/D42</f>
        <v>-2.6765419811546533E-2</v>
      </c>
      <c r="E50" s="257">
        <f ca="1">E45/E42</f>
        <v>-6.5481463308477261E-2</v>
      </c>
      <c r="F50" s="254">
        <f ca="1">E50-D50</f>
        <v>-3.8716043496930724E-2</v>
      </c>
      <c r="G50" s="257">
        <f ca="1">F50/D50</f>
        <v>1.446494909085219</v>
      </c>
      <c r="H50" s="257">
        <f>H45/H42</f>
        <v>4.2482281277177833E-2</v>
      </c>
      <c r="I50" s="257">
        <f ca="1">I45/I42</f>
        <v>2.0113687150386569E-2</v>
      </c>
      <c r="J50" s="254">
        <f ca="1">I50-H50</f>
        <v>-2.2368594126791264E-2</v>
      </c>
      <c r="K50" s="257">
        <f ca="1">J50/H50</f>
        <v>-0.5265393819330515</v>
      </c>
      <c r="L50" s="257">
        <f>L45/L42</f>
        <v>6.8183247084752235E-2</v>
      </c>
      <c r="M50" s="257">
        <f ca="1">M45/M42</f>
        <v>5.2941665724306988E-2</v>
      </c>
      <c r="N50" s="254">
        <f ca="1">M50-L50</f>
        <v>-1.5241581360445247E-2</v>
      </c>
      <c r="O50" s="1062">
        <f ca="1">N50/L50</f>
        <v>-0.22353850853567972</v>
      </c>
      <c r="P50" s="257">
        <f>P45/P42</f>
        <v>9.9292453718525769E-2</v>
      </c>
      <c r="Q50" s="257">
        <f ca="1">Q45/Q42</f>
        <v>6.487097339372272E-2</v>
      </c>
      <c r="R50" s="254">
        <f ca="1">Q50-P50</f>
        <v>-3.442148032480305E-2</v>
      </c>
      <c r="S50" s="257">
        <f ca="1">R50/P50</f>
        <v>-0.34666763722428551</v>
      </c>
    </row>
    <row r="51" spans="2:19" hidden="1">
      <c r="B51" s="425"/>
      <c r="C51" s="253" t="s">
        <v>274</v>
      </c>
      <c r="D51" s="257">
        <f>D46/D42</f>
        <v>-2.5586022481426111E-2</v>
      </c>
      <c r="E51" s="257">
        <f ca="1">E46/E42</f>
        <v>-5.6529065116101833E-2</v>
      </c>
      <c r="F51" s="254">
        <f ca="1">E51-D51</f>
        <v>-3.0943042634675722E-2</v>
      </c>
      <c r="G51" s="257">
        <f ca="1">F51/D51</f>
        <v>1.2093729166828677</v>
      </c>
      <c r="H51" s="257">
        <f>H46/H42</f>
        <v>3.1810496724992483E-2</v>
      </c>
      <c r="I51" s="257">
        <f ca="1">I46/I42</f>
        <v>2.0113687150386569E-2</v>
      </c>
      <c r="J51" s="254">
        <f ca="1">I51-H51</f>
        <v>-1.1696809574605914E-2</v>
      </c>
      <c r="K51" s="257">
        <f ca="1">J51/H51</f>
        <v>-0.36770282701735074</v>
      </c>
      <c r="L51" s="257">
        <f>L46/L42</f>
        <v>5.1816592878119148E-2</v>
      </c>
      <c r="M51" s="257">
        <f ca="1">M46/M42</f>
        <v>5.2941665724306988E-2</v>
      </c>
      <c r="N51" s="254">
        <f ca="1">M51-L51</f>
        <v>1.1250728461878398E-3</v>
      </c>
      <c r="O51" s="1062">
        <f ca="1">N51/L51</f>
        <v>2.1712597909210082E-2</v>
      </c>
      <c r="P51" s="257">
        <f>P46/P42</f>
        <v>7.459650840882126E-2</v>
      </c>
      <c r="Q51" s="257">
        <f ca="1">Q46/Q42</f>
        <v>6.487097339372272E-2</v>
      </c>
      <c r="R51" s="254">
        <f ca="1">Q51-P51</f>
        <v>-9.7255350150985409E-3</v>
      </c>
      <c r="S51" s="257">
        <f ca="1">R51/P51</f>
        <v>-0.13037520418245832</v>
      </c>
    </row>
    <row r="52" spans="2:19" hidden="1">
      <c r="B52" s="425"/>
      <c r="O52" s="426"/>
    </row>
    <row r="53" spans="2:19" hidden="1">
      <c r="B53" s="1059" t="s">
        <v>133</v>
      </c>
      <c r="C53" s="1048" t="s">
        <v>262</v>
      </c>
      <c r="D53" s="937">
        <v>2022</v>
      </c>
      <c r="E53" s="938"/>
      <c r="F53" s="937" t="s">
        <v>263</v>
      </c>
      <c r="G53" s="945"/>
      <c r="H53" s="946">
        <v>2022</v>
      </c>
      <c r="I53" s="938"/>
      <c r="J53" s="1252" t="s">
        <v>263</v>
      </c>
      <c r="K53" s="1253"/>
      <c r="L53" s="1254">
        <v>2022</v>
      </c>
      <c r="M53" s="1255"/>
      <c r="N53" s="1252" t="s">
        <v>263</v>
      </c>
      <c r="O53" s="1256"/>
    </row>
    <row r="54" spans="2:19" hidden="1">
      <c r="B54" s="1060"/>
      <c r="C54" s="262"/>
      <c r="D54" s="300" t="s">
        <v>264</v>
      </c>
      <c r="E54" s="300" t="s">
        <v>265</v>
      </c>
      <c r="F54" s="300" t="s">
        <v>266</v>
      </c>
      <c r="G54" s="301" t="s">
        <v>267</v>
      </c>
      <c r="H54" s="300" t="s">
        <v>264</v>
      </c>
      <c r="I54" s="300" t="s">
        <v>265</v>
      </c>
      <c r="J54" s="300" t="s">
        <v>266</v>
      </c>
      <c r="K54" s="301" t="s">
        <v>267</v>
      </c>
      <c r="L54" s="300" t="s">
        <v>264</v>
      </c>
      <c r="M54" s="300" t="s">
        <v>265</v>
      </c>
      <c r="N54" s="300" t="s">
        <v>266</v>
      </c>
      <c r="O54" s="1061" t="s">
        <v>267</v>
      </c>
    </row>
    <row r="55" spans="2:19" hidden="1">
      <c r="B55" s="425"/>
      <c r="O55" s="426"/>
    </row>
    <row r="56" spans="2:19" hidden="1">
      <c r="B56" s="425"/>
      <c r="C56" s="253" t="str">
        <f>+C42</f>
        <v>Revenue</v>
      </c>
      <c r="D56" s="277">
        <v>12805.35</v>
      </c>
      <c r="E56" s="287">
        <f>'AAL KPI'!R13</f>
        <v>12795.926602840585</v>
      </c>
      <c r="F56" s="254">
        <f>E56-D56</f>
        <v>-9.4233971594148898</v>
      </c>
      <c r="G56" s="257">
        <f>F56/D56</f>
        <v>-7.3589532183149144E-4</v>
      </c>
      <c r="H56" s="277">
        <v>12886.78</v>
      </c>
      <c r="I56" s="287">
        <f>'AAL KPI'!S13</f>
        <v>12897.359881803524</v>
      </c>
      <c r="J56" s="254">
        <f>I56-H56</f>
        <v>10.579881803523676</v>
      </c>
      <c r="K56" s="257">
        <f>J56/H56</f>
        <v>8.209872290458653E-4</v>
      </c>
      <c r="L56" s="277">
        <v>11874.87</v>
      </c>
      <c r="M56" s="287">
        <f>'AAL KPI'!T13</f>
        <v>11875.709136272122</v>
      </c>
      <c r="N56" s="254">
        <f>M56-L56</f>
        <v>0.83913627212132269</v>
      </c>
      <c r="O56" s="1062">
        <f>N56/L56</f>
        <v>7.0664880720489796E-5</v>
      </c>
      <c r="Q56" s="255"/>
    </row>
    <row r="57" spans="2:19" hidden="1">
      <c r="B57" s="425"/>
      <c r="C57" s="253" t="str">
        <f>+C43</f>
        <v>EBITDA</v>
      </c>
      <c r="D57" s="277">
        <v>1263.0999999999999</v>
      </c>
      <c r="E57" s="287">
        <f>'AAL KPI'!R25</f>
        <v>317.49717594836989</v>
      </c>
      <c r="F57" s="254">
        <f>E57-D57</f>
        <v>-945.60282405163002</v>
      </c>
      <c r="G57" s="257">
        <f>F57/D57</f>
        <v>-0.74863654821600034</v>
      </c>
      <c r="H57" s="277">
        <v>1268.4000000000001</v>
      </c>
      <c r="I57" s="287">
        <f>'AAL KPI'!S25</f>
        <v>593.03004082847974</v>
      </c>
      <c r="J57" s="254">
        <f>I57-H57</f>
        <v>-675.36995917152035</v>
      </c>
      <c r="K57" s="257">
        <f>J57/H57</f>
        <v>-0.5324581828851469</v>
      </c>
      <c r="L57" s="277">
        <v>1271.8499999999999</v>
      </c>
      <c r="M57" s="287">
        <f>'AAL KPI'!T25</f>
        <v>488.92759903711749</v>
      </c>
      <c r="N57" s="254">
        <f>M57-L57</f>
        <v>-782.92240096288242</v>
      </c>
      <c r="O57" s="1062">
        <f>N57/L57</f>
        <v>-0.61557762390445614</v>
      </c>
      <c r="Q57" s="255"/>
    </row>
    <row r="58" spans="2:19" hidden="1">
      <c r="B58" s="425"/>
      <c r="C58" s="253" t="str">
        <f>+C44</f>
        <v>EBIT</v>
      </c>
      <c r="D58" s="277">
        <v>787.82500000000005</v>
      </c>
      <c r="E58" s="287">
        <f>'AAL KPI'!R28</f>
        <v>-162.95370920898608</v>
      </c>
      <c r="F58" s="254">
        <f>E58-D58</f>
        <v>-950.77870920898613</v>
      </c>
      <c r="G58" s="257">
        <f>F58/D58</f>
        <v>-1.2068399824948257</v>
      </c>
      <c r="H58" s="277">
        <v>754.64</v>
      </c>
      <c r="I58" s="287">
        <f>'AAL KPI'!S28</f>
        <v>69.478368281381904</v>
      </c>
      <c r="J58" s="254">
        <f>I58-H58</f>
        <v>-685.16163171861808</v>
      </c>
      <c r="K58" s="257">
        <f>J58/H58</f>
        <v>-0.90793177106781786</v>
      </c>
      <c r="L58" s="277">
        <v>773.10699999999997</v>
      </c>
      <c r="M58" s="287">
        <f>'AAL KPI'!T28</f>
        <v>-24.668667629549191</v>
      </c>
      <c r="N58" s="254">
        <f>M58-L58</f>
        <v>-797.77566762954916</v>
      </c>
      <c r="O58" s="1062">
        <f>N58/L58</f>
        <v>-1.0319084779073908</v>
      </c>
      <c r="Q58" s="255"/>
    </row>
    <row r="59" spans="2:19" hidden="1">
      <c r="B59" s="425"/>
      <c r="C59" s="253" t="str">
        <f>+C45</f>
        <v>Pre-Tax Profit</v>
      </c>
      <c r="D59" s="277">
        <v>441.03</v>
      </c>
      <c r="E59" s="287">
        <f ca="1">'AAL KPI'!R33</f>
        <v>-494.48574857609452</v>
      </c>
      <c r="F59" s="254">
        <f ca="1">E59-D59</f>
        <v>-935.51574857609444</v>
      </c>
      <c r="G59" s="257">
        <f ca="1">F59/D59</f>
        <v>-2.1212066040316859</v>
      </c>
      <c r="H59" s="277">
        <v>454.9</v>
      </c>
      <c r="I59" s="287">
        <f ca="1">'AAL KPI'!S33</f>
        <v>-259.84302349031492</v>
      </c>
      <c r="J59" s="254">
        <f ca="1">I59-H59</f>
        <v>-714.74302349031495</v>
      </c>
      <c r="K59" s="257">
        <f ca="1">J59/H59</f>
        <v>-1.5712091085740052</v>
      </c>
      <c r="L59" s="277">
        <v>105.66</v>
      </c>
      <c r="M59" s="287">
        <f ca="1">'AAL KPI'!T33</f>
        <v>-362.46357820310033</v>
      </c>
      <c r="N59" s="254">
        <f ca="1">M59-L59</f>
        <v>-468.12357820310035</v>
      </c>
      <c r="O59" s="1062">
        <f ca="1">N59/L59</f>
        <v>-4.4304711168190458</v>
      </c>
      <c r="Q59" s="255"/>
    </row>
    <row r="60" spans="2:19" hidden="1">
      <c r="B60" s="425"/>
      <c r="C60" s="253" t="str">
        <f>+C46</f>
        <v>Net Income</v>
      </c>
      <c r="D60" s="277">
        <v>341.72</v>
      </c>
      <c r="E60" s="287">
        <f ca="1">'AAL KPI'!R37</f>
        <v>-494.48574857609452</v>
      </c>
      <c r="F60" s="254">
        <f ca="1">E60-D60</f>
        <v>-836.20574857609449</v>
      </c>
      <c r="G60" s="257">
        <f ca="1">F60/D60</f>
        <v>-2.4470494807915673</v>
      </c>
      <c r="H60" s="277">
        <v>332.55</v>
      </c>
      <c r="I60" s="287">
        <f ca="1">'AAL KPI'!S37</f>
        <v>-259.84302349031492</v>
      </c>
      <c r="J60" s="254">
        <f ca="1">I60-H60</f>
        <v>-592.39302349031493</v>
      </c>
      <c r="K60" s="257">
        <f ca="1">J60/H60</f>
        <v>-1.7813652788763041</v>
      </c>
      <c r="L60" s="277">
        <v>75.42</v>
      </c>
      <c r="M60" s="287">
        <f ca="1">'AAL KPI'!T37</f>
        <v>-362.46357820310033</v>
      </c>
      <c r="N60" s="254">
        <f ca="1">M60-L60</f>
        <v>-437.88357820310034</v>
      </c>
      <c r="O60" s="1062">
        <f ca="1">N60/L60</f>
        <v>-5.8059344763073497</v>
      </c>
      <c r="Q60" s="255"/>
    </row>
    <row r="61" spans="2:19" hidden="1">
      <c r="B61" s="425"/>
      <c r="O61" s="426"/>
      <c r="Q61" s="255"/>
    </row>
    <row r="62" spans="2:19" hidden="1">
      <c r="B62" s="425"/>
      <c r="C62" s="253" t="str">
        <f>+C48</f>
        <v>EBITDA Margin</v>
      </c>
      <c r="D62" s="257">
        <f>D57/D56</f>
        <v>9.8638459706294632E-2</v>
      </c>
      <c r="E62" s="257">
        <f>E57/E56</f>
        <v>2.4812363012295509E-2</v>
      </c>
      <c r="F62" s="254">
        <f>E62-D62</f>
        <v>-7.3826096693999116E-2</v>
      </c>
      <c r="G62" s="257">
        <f>F62/D62</f>
        <v>-0.74845143480365894</v>
      </c>
      <c r="H62" s="257">
        <f>H57/H56</f>
        <v>9.8426449431122442E-2</v>
      </c>
      <c r="I62" s="257">
        <f>I57/I56</f>
        <v>4.5980731425907327E-2</v>
      </c>
      <c r="J62" s="254">
        <f>I62-H62</f>
        <v>-5.2445718005215115E-2</v>
      </c>
      <c r="K62" s="257">
        <f>J62/H62</f>
        <v>-0.53284171387200097</v>
      </c>
      <c r="L62" s="257">
        <f>L57/L56</f>
        <v>0.10710433040530126</v>
      </c>
      <c r="M62" s="257">
        <f>M57/M56</f>
        <v>4.1170391883696443E-2</v>
      </c>
      <c r="N62" s="254">
        <f>M62-L62</f>
        <v>-6.5933938521604812E-2</v>
      </c>
      <c r="O62" s="1062">
        <f>N62/L62</f>
        <v>-0.61560478714632183</v>
      </c>
    </row>
    <row r="63" spans="2:19" hidden="1">
      <c r="B63" s="425"/>
      <c r="C63" s="253" t="str">
        <f>+C49</f>
        <v>EBIT. Margin</v>
      </c>
      <c r="D63" s="257">
        <f>D58/D56</f>
        <v>6.1523113386201859E-2</v>
      </c>
      <c r="E63" s="257">
        <f>E58/E56</f>
        <v>-1.273481118380374E-2</v>
      </c>
      <c r="F63" s="254">
        <f>E63-D63</f>
        <v>-7.4257924570005601E-2</v>
      </c>
      <c r="G63" s="257">
        <f>F63/D63</f>
        <v>-1.2069923071653239</v>
      </c>
      <c r="H63" s="257">
        <f>H58/H56</f>
        <v>5.8559236675104251E-2</v>
      </c>
      <c r="I63" s="257">
        <f>I58/I56</f>
        <v>5.3870225315963095E-3</v>
      </c>
      <c r="J63" s="254">
        <f>I63-H63</f>
        <v>-5.3172214143507944E-2</v>
      </c>
      <c r="K63" s="257">
        <f>J63/H63</f>
        <v>-0.90800729590304696</v>
      </c>
      <c r="L63" s="257">
        <f>L58/L56</f>
        <v>6.5104460090931515E-2</v>
      </c>
      <c r="M63" s="257">
        <f>M58/M56</f>
        <v>-2.0772374387482582E-3</v>
      </c>
      <c r="N63" s="254">
        <f>M63-L63</f>
        <v>-6.7181697529679771E-2</v>
      </c>
      <c r="O63" s="1062">
        <f>N63/L63</f>
        <v>-1.0319062232579299</v>
      </c>
    </row>
    <row r="64" spans="2:19" hidden="1">
      <c r="B64" s="425"/>
      <c r="C64" s="253" t="str">
        <f>+C50</f>
        <v>Pre- Tax. Margin</v>
      </c>
      <c r="D64" s="257">
        <f>D59/D56</f>
        <v>3.4441073457578276E-2</v>
      </c>
      <c r="E64" s="257">
        <f ca="1">E59/E56</f>
        <v>-3.8643996947147458E-2</v>
      </c>
      <c r="F64" s="254">
        <f ca="1">E64-D64</f>
        <v>-7.3085070404725727E-2</v>
      </c>
      <c r="G64" s="257">
        <f ca="1">F64/D64</f>
        <v>-2.122032302353932</v>
      </c>
      <c r="H64" s="257">
        <f>H59/H56</f>
        <v>3.5299741285255121E-2</v>
      </c>
      <c r="I64" s="257">
        <f ca="1">I59/I56</f>
        <v>-2.0146993328217445E-2</v>
      </c>
      <c r="J64" s="254">
        <f ca="1">I64-H64</f>
        <v>-5.5446734613472562E-2</v>
      </c>
      <c r="K64" s="257">
        <f ca="1">J64/H64</f>
        <v>-1.5707405378813057</v>
      </c>
      <c r="L64" s="257">
        <f>L59/L56</f>
        <v>8.8977816178198148E-3</v>
      </c>
      <c r="M64" s="257">
        <f ca="1">M59/M56</f>
        <v>-3.0521426050763016E-2</v>
      </c>
      <c r="N64" s="254">
        <f ca="1">M64-L64</f>
        <v>-3.9419207668582833E-2</v>
      </c>
      <c r="O64" s="1062">
        <f ca="1">N64/L64</f>
        <v>-4.4302287201156947</v>
      </c>
    </row>
    <row r="65" spans="2:20" hidden="1">
      <c r="B65" s="425"/>
      <c r="C65" s="253" t="str">
        <f>+C51</f>
        <v>Net Margin</v>
      </c>
      <c r="D65" s="257">
        <f>D60/D56</f>
        <v>2.6685721202466157E-2</v>
      </c>
      <c r="E65" s="257">
        <f ca="1">E60/E56</f>
        <v>-3.8643996947147458E-2</v>
      </c>
      <c r="F65" s="254">
        <f ca="1">E65-D65</f>
        <v>-6.5329718149613608E-2</v>
      </c>
      <c r="G65" s="257">
        <f ca="1">F65/D65</f>
        <v>-2.4481151419500016</v>
      </c>
      <c r="H65" s="257">
        <f>H60/H56</f>
        <v>2.5805515419678151E-2</v>
      </c>
      <c r="I65" s="257">
        <f ca="1">I60/I56</f>
        <v>-2.0146993328217445E-2</v>
      </c>
      <c r="J65" s="254">
        <f ca="1">I65-H65</f>
        <v>-4.5952508747895596E-2</v>
      </c>
      <c r="K65" s="257">
        <f ca="1">J65/H65</f>
        <v>-1.7807243141849527</v>
      </c>
      <c r="L65" s="257">
        <f>L60/L56</f>
        <v>6.3512274239633775E-3</v>
      </c>
      <c r="M65" s="257">
        <f ca="1">M60/M56</f>
        <v>-3.0521426050763016E-2</v>
      </c>
      <c r="N65" s="254">
        <f ca="1">M65-L65</f>
        <v>-3.6872653474726395E-2</v>
      </c>
      <c r="O65" s="1062">
        <f ca="1">N65/L65</f>
        <v>-5.8055948895176916</v>
      </c>
    </row>
    <row r="66" spans="2:20" hidden="1">
      <c r="B66" s="425"/>
      <c r="O66" s="426"/>
    </row>
    <row r="67" spans="2:20" s="255" customFormat="1">
      <c r="B67" s="1064" t="s">
        <v>133</v>
      </c>
      <c r="C67" s="259" t="s">
        <v>1787</v>
      </c>
      <c r="D67" s="258"/>
      <c r="E67" s="258"/>
      <c r="F67" s="258"/>
      <c r="G67" s="258"/>
      <c r="H67" s="258"/>
      <c r="I67" s="258"/>
      <c r="J67" s="258"/>
      <c r="K67" s="258"/>
      <c r="L67" s="258"/>
      <c r="M67" s="258"/>
      <c r="N67" s="258"/>
      <c r="O67" s="1065"/>
      <c r="P67" s="253"/>
      <c r="Q67" s="253"/>
      <c r="R67" s="253"/>
      <c r="S67" s="253"/>
      <c r="T67" s="253"/>
    </row>
    <row r="68" spans="2:20">
      <c r="B68" s="425"/>
      <c r="O68" s="426"/>
    </row>
    <row r="69" spans="2:20">
      <c r="B69" s="1059" t="s">
        <v>133</v>
      </c>
      <c r="C69" s="1048" t="s">
        <v>262</v>
      </c>
      <c r="D69" s="937">
        <v>2022</v>
      </c>
      <c r="E69" s="938"/>
      <c r="F69" s="938"/>
      <c r="G69" s="938"/>
      <c r="H69" s="937" t="s">
        <v>263</v>
      </c>
      <c r="I69" s="938"/>
      <c r="O69" s="426"/>
    </row>
    <row r="70" spans="2:20">
      <c r="B70" s="1060"/>
      <c r="C70" s="262"/>
      <c r="D70" s="300" t="s">
        <v>1779</v>
      </c>
      <c r="E70" s="300" t="s">
        <v>1780</v>
      </c>
      <c r="F70" s="300" t="s">
        <v>465</v>
      </c>
      <c r="G70" s="300" t="s">
        <v>265</v>
      </c>
      <c r="H70" s="300" t="s">
        <v>266</v>
      </c>
      <c r="I70" s="301" t="s">
        <v>267</v>
      </c>
      <c r="O70" s="426"/>
    </row>
    <row r="71" spans="2:20">
      <c r="B71" s="425"/>
      <c r="O71" s="426"/>
    </row>
    <row r="72" spans="2:20">
      <c r="B72" s="425"/>
      <c r="C72" s="253" t="s">
        <v>1781</v>
      </c>
      <c r="D72" s="277">
        <v>8237</v>
      </c>
      <c r="E72" s="277">
        <v>8390</v>
      </c>
      <c r="F72" s="255">
        <f>AVERAGE(D72:E72)</f>
        <v>8313.5</v>
      </c>
      <c r="G72" s="287">
        <f>'AAL KPI'!R252</f>
        <v>8319.0234563251888</v>
      </c>
      <c r="H72" s="254">
        <f>G72-F72</f>
        <v>5.5234563251888176</v>
      </c>
      <c r="I72" s="257">
        <f>H72/F72</f>
        <v>6.6439602155395658E-4</v>
      </c>
      <c r="O72" s="426"/>
    </row>
    <row r="73" spans="2:20">
      <c r="B73" s="425"/>
      <c r="C73" s="253" t="s">
        <v>366</v>
      </c>
      <c r="D73" s="277">
        <v>3637</v>
      </c>
      <c r="E73" s="277">
        <v>3687</v>
      </c>
      <c r="F73" s="255">
        <f>AVERAGE(D73:E73)</f>
        <v>3662</v>
      </c>
      <c r="G73" s="287">
        <f>'AAL KPI'!R211</f>
        <v>4639.8568557243807</v>
      </c>
      <c r="H73" s="254">
        <f>G73-F73</f>
        <v>977.85685572438069</v>
      </c>
      <c r="I73" s="257">
        <f>H73/F73</f>
        <v>0.2670280873086785</v>
      </c>
      <c r="O73" s="426"/>
    </row>
    <row r="74" spans="2:20">
      <c r="B74" s="425"/>
      <c r="D74" s="277"/>
      <c r="E74" s="277"/>
      <c r="F74" s="699"/>
      <c r="G74" s="277"/>
      <c r="H74" s="699"/>
      <c r="I74" s="699"/>
      <c r="O74" s="426"/>
    </row>
    <row r="75" spans="2:20">
      <c r="B75" s="425"/>
      <c r="C75" s="253" t="s">
        <v>1782</v>
      </c>
      <c r="D75" s="1080">
        <v>17.649999999999999</v>
      </c>
      <c r="E75" s="1080">
        <v>17.96</v>
      </c>
      <c r="F75" s="1081">
        <f t="shared" ref="F75:F82" si="0">AVERAGE(D75:E75)</f>
        <v>17.805</v>
      </c>
      <c r="G75" s="1005">
        <f>('AAL KPI'!R252+'AAL KPI'!R211)/'AAL KPI'!R121/10</f>
        <v>19.266902833564135</v>
      </c>
      <c r="H75" s="254">
        <f>G75-F75</f>
        <v>1.4619028335641353</v>
      </c>
      <c r="I75" s="257">
        <f>H75/F75</f>
        <v>8.2106309102169914E-2</v>
      </c>
      <c r="O75" s="426"/>
    </row>
    <row r="76" spans="2:20">
      <c r="B76" s="425"/>
      <c r="C76" s="253" t="s">
        <v>1783</v>
      </c>
      <c r="D76" s="1080">
        <v>12.25</v>
      </c>
      <c r="E76" s="1080">
        <v>12.47</v>
      </c>
      <c r="F76" s="1081">
        <f t="shared" si="0"/>
        <v>12.36</v>
      </c>
      <c r="G76" s="1005">
        <f>'AAL KPI'!R264</f>
        <v>12.368492704892358</v>
      </c>
      <c r="H76" s="254">
        <f>G76-F76</f>
        <v>8.4927048923582049E-3</v>
      </c>
      <c r="I76" s="257">
        <f>H76/F76</f>
        <v>6.871120463072982E-4</v>
      </c>
      <c r="O76" s="426"/>
    </row>
    <row r="77" spans="2:20">
      <c r="B77" s="425"/>
      <c r="D77" s="277"/>
      <c r="E77" s="277"/>
      <c r="F77" s="1067"/>
      <c r="G77" s="277"/>
      <c r="H77" s="1067"/>
      <c r="I77" s="1067"/>
      <c r="O77" s="426"/>
    </row>
    <row r="78" spans="2:20">
      <c r="B78" s="425"/>
      <c r="C78" s="253" t="s">
        <v>1784</v>
      </c>
      <c r="D78" s="277"/>
      <c r="E78" s="277"/>
      <c r="F78" s="277">
        <v>1013</v>
      </c>
      <c r="G78" s="287">
        <f>'AAL KPI'!R222</f>
        <v>1014.0729227745908</v>
      </c>
      <c r="H78" s="254">
        <f>G78-F78</f>
        <v>1.0729227745907792</v>
      </c>
      <c r="I78" s="257">
        <f>H78/F78</f>
        <v>1.0591537755091601E-3</v>
      </c>
      <c r="O78" s="426"/>
    </row>
    <row r="79" spans="2:20">
      <c r="B79" s="425"/>
      <c r="C79" s="253" t="s">
        <v>1785</v>
      </c>
      <c r="D79" s="1067">
        <v>3.59</v>
      </c>
      <c r="E79" s="1067">
        <v>3.64</v>
      </c>
      <c r="F79" s="1081">
        <f>AVERAGE(D79:E79)</f>
        <v>3.6150000000000002</v>
      </c>
      <c r="G79" s="1005">
        <f>'AAL KPI'!R220</f>
        <v>4.5754666666666663</v>
      </c>
      <c r="H79" s="254">
        <f>G79-F79</f>
        <v>0.96046666666666614</v>
      </c>
      <c r="I79" s="257">
        <f>H79/F79</f>
        <v>0.26568925772245255</v>
      </c>
      <c r="O79" s="426"/>
    </row>
    <row r="80" spans="2:20">
      <c r="B80" s="425"/>
      <c r="D80" s="277"/>
      <c r="E80" s="277"/>
      <c r="F80" s="277"/>
      <c r="G80" s="287"/>
      <c r="H80" s="287"/>
      <c r="I80" s="287"/>
      <c r="O80" s="426"/>
    </row>
    <row r="81" spans="1:19">
      <c r="B81" s="425"/>
      <c r="C81" s="253" t="s">
        <v>1173</v>
      </c>
      <c r="D81" s="699">
        <v>0.06</v>
      </c>
      <c r="E81" s="699">
        <v>0.08</v>
      </c>
      <c r="F81" s="257">
        <f t="shared" si="0"/>
        <v>7.0000000000000007E-2</v>
      </c>
      <c r="G81" s="1066">
        <f>'AAL KPI'!R44</f>
        <v>6.9893528665600835E-2</v>
      </c>
      <c r="H81" s="254">
        <f>G81-F81</f>
        <v>-1.0647133439917189E-4</v>
      </c>
      <c r="I81" s="257">
        <f>H81/F81</f>
        <v>-1.5210190628453125E-3</v>
      </c>
      <c r="O81" s="426"/>
    </row>
    <row r="82" spans="1:19" ht="10.9" thickBot="1">
      <c r="B82" s="429"/>
      <c r="C82" s="430" t="s">
        <v>393</v>
      </c>
      <c r="D82" s="778">
        <v>67.3</v>
      </c>
      <c r="E82" s="778">
        <v>67.3</v>
      </c>
      <c r="F82" s="498">
        <f t="shared" si="0"/>
        <v>67.3</v>
      </c>
      <c r="G82" s="1072">
        <f>'AAL KPI'!R121</f>
        <v>67.259799999999998</v>
      </c>
      <c r="H82" s="513">
        <f>G82-F82</f>
        <v>-4.0199999999998681E-2</v>
      </c>
      <c r="I82" s="503">
        <f>H82/F82</f>
        <v>-5.9732540861810821E-4</v>
      </c>
      <c r="J82" s="430"/>
      <c r="K82" s="430"/>
      <c r="L82" s="430"/>
      <c r="M82" s="430"/>
      <c r="N82" s="430"/>
      <c r="O82" s="428"/>
    </row>
    <row r="83" spans="1:19" ht="10.9" thickBot="1"/>
    <row r="84" spans="1:19" s="255" customFormat="1">
      <c r="B84" s="1055" t="s">
        <v>133</v>
      </c>
      <c r="C84" s="1056" t="s">
        <v>1235</v>
      </c>
      <c r="D84" s="1057"/>
      <c r="E84" s="1057"/>
      <c r="F84" s="1057"/>
      <c r="G84" s="1057"/>
      <c r="H84" s="1057"/>
      <c r="I84" s="1057"/>
      <c r="J84" s="1057"/>
      <c r="K84" s="1057"/>
      <c r="L84" s="1057"/>
      <c r="M84" s="1057"/>
      <c r="N84" s="1057"/>
      <c r="O84" s="1058"/>
      <c r="P84" s="253"/>
      <c r="Q84" s="253"/>
      <c r="R84" s="253"/>
      <c r="S84" s="253"/>
    </row>
    <row r="85" spans="1:19">
      <c r="B85" s="425"/>
      <c r="O85" s="426"/>
    </row>
    <row r="86" spans="1:19">
      <c r="B86" s="1059" t="s">
        <v>133</v>
      </c>
      <c r="C86" s="1048" t="s">
        <v>262</v>
      </c>
      <c r="D86" s="1252">
        <v>2022</v>
      </c>
      <c r="E86" s="1253"/>
      <c r="F86" s="1252" t="s">
        <v>263</v>
      </c>
      <c r="G86" s="1253"/>
      <c r="H86" s="1252">
        <f>+D86+1</f>
        <v>2023</v>
      </c>
      <c r="I86" s="1253"/>
      <c r="J86" s="1252" t="s">
        <v>263</v>
      </c>
      <c r="K86" s="1253"/>
      <c r="L86" s="1252">
        <f>+H86+1</f>
        <v>2024</v>
      </c>
      <c r="M86" s="1253"/>
      <c r="N86" s="1252" t="s">
        <v>263</v>
      </c>
      <c r="O86" s="1256"/>
    </row>
    <row r="87" spans="1:19">
      <c r="B87" s="1060"/>
      <c r="C87" s="262"/>
      <c r="D87" s="300" t="s">
        <v>264</v>
      </c>
      <c r="E87" s="300" t="s">
        <v>265</v>
      </c>
      <c r="F87" s="300" t="s">
        <v>266</v>
      </c>
      <c r="G87" s="301" t="s">
        <v>267</v>
      </c>
      <c r="H87" s="300" t="s">
        <v>264</v>
      </c>
      <c r="I87" s="300" t="s">
        <v>265</v>
      </c>
      <c r="J87" s="300" t="s">
        <v>266</v>
      </c>
      <c r="K87" s="301" t="s">
        <v>267</v>
      </c>
      <c r="L87" s="300" t="s">
        <v>264</v>
      </c>
      <c r="M87" s="300" t="s">
        <v>265</v>
      </c>
      <c r="N87" s="300" t="s">
        <v>266</v>
      </c>
      <c r="O87" s="1061" t="s">
        <v>267</v>
      </c>
    </row>
    <row r="88" spans="1:19">
      <c r="B88" s="425"/>
      <c r="O88" s="426"/>
    </row>
    <row r="89" spans="1:19">
      <c r="A89" s="302"/>
      <c r="B89" s="425"/>
      <c r="C89" s="253" t="s">
        <v>268</v>
      </c>
      <c r="D89" s="255" cm="1">
        <f t="array" aca="1" ref="D89" ca="1">IF(BBswitch=1,_xll.BDP($F$4&amp;" EQUITY","BEST_SALES", "BEST_FPERIOD_OVERRIDE="&amp;D$1),D89)</f>
        <v>45381.777999999998</v>
      </c>
      <c r="E89" s="287">
        <f>'DAL KPI'!AA13</f>
        <v>45286.221224842295</v>
      </c>
      <c r="F89" s="254">
        <f ca="1">E89-D89</f>
        <v>-95.556775157703669</v>
      </c>
      <c r="G89" s="257">
        <f ca="1">F89/D89</f>
        <v>-2.1056199066881794E-3</v>
      </c>
      <c r="H89" s="255" cm="1">
        <f t="array" aca="1" ref="H89" ca="1">IF(BBswitch=1,_xll.BDP($F$4&amp;" EQUITY","BEST_SALES", "BEST_FPERIOD_OVERRIDE="&amp;H$1),H89)</f>
        <v>50296.222000000002</v>
      </c>
      <c r="I89" s="287">
        <f>'DAL KPI'!AB13</f>
        <v>50990.138280343876</v>
      </c>
      <c r="J89" s="254">
        <f ca="1">I89-H89</f>
        <v>693.91628034387395</v>
      </c>
      <c r="K89" s="257">
        <f ca="1">J89/H89</f>
        <v>1.3796588545833004E-2</v>
      </c>
      <c r="L89" s="255" cm="1">
        <f t="array" aca="1" ref="L89" ca="1">IF(BBswitch=1,_xll.BDP($F$4&amp;" EQUITY","BEST_SALES", "BEST_FPERIOD_OVERRIDE="&amp;L$1),L89)</f>
        <v>53564.857000000004</v>
      </c>
      <c r="M89" s="287">
        <f>'DAL KPI'!AC13</f>
        <v>55086.722898727377</v>
      </c>
      <c r="N89" s="254">
        <f ca="1">M89-L89</f>
        <v>1521.8658987273739</v>
      </c>
      <c r="O89" s="1062">
        <f ca="1">N89/L89</f>
        <v>2.8411648680913566E-2</v>
      </c>
    </row>
    <row r="90" spans="1:19">
      <c r="A90" s="302"/>
      <c r="B90" s="425"/>
      <c r="C90" s="253" t="s">
        <v>88</v>
      </c>
      <c r="D90" s="255" cm="1">
        <f t="array" aca="1" ref="D90" ca="1">IF(BBswitch=1,_xll.BDP($F$4&amp;" EQUITY","BEST_EBITDA", "BEST_FPERIOD_OVERRIDE="&amp;D$1),D90)</f>
        <v>5478.3330000000005</v>
      </c>
      <c r="E90" s="287">
        <f ca="1">'DAL KPI'!AA28</f>
        <v>5460.9977133320263</v>
      </c>
      <c r="F90" s="254">
        <f ca="1">E90-D90</f>
        <v>-17.335286667974287</v>
      </c>
      <c r="G90" s="257">
        <f ca="1">F90/D90</f>
        <v>-3.1643360613482761E-3</v>
      </c>
      <c r="H90" s="255" cm="1">
        <f t="array" aca="1" ref="H90" ca="1">IF(BBswitch=1,_xll.BDP($F$4&amp;" EQUITY","BEST_EBITDA", "BEST_FPERIOD_OVERRIDE="&amp;H$1),H90)</f>
        <v>7778.7690000000002</v>
      </c>
      <c r="I90" s="287">
        <f>'DAL KPI'!AB28</f>
        <v>7847.0717927105297</v>
      </c>
      <c r="J90" s="254">
        <f ca="1">I90-H90</f>
        <v>68.302792710529502</v>
      </c>
      <c r="K90" s="257">
        <f ca="1">J90/H90</f>
        <v>8.7806686007168358E-3</v>
      </c>
      <c r="L90" s="255" cm="1">
        <f t="array" aca="1" ref="L90" ca="1">IF(BBswitch=1,_xll.BDP($F$4&amp;" EQUITY","BEST_EBITDA", "BEST_FPERIOD_OVERRIDE="&amp;L$1),L90)</f>
        <v>9927.6669999999995</v>
      </c>
      <c r="M90" s="287">
        <f>'DAL KPI'!AC28</f>
        <v>9517.6592319808351</v>
      </c>
      <c r="N90" s="254">
        <f ca="1">M90-L90</f>
        <v>-410.00776801916436</v>
      </c>
      <c r="O90" s="1062">
        <f ca="1">N90/L90</f>
        <v>-4.1299508537017242E-2</v>
      </c>
    </row>
    <row r="91" spans="1:19">
      <c r="A91" s="302"/>
      <c r="B91" s="425"/>
      <c r="C91" s="253" t="s">
        <v>157</v>
      </c>
      <c r="D91" s="255" cm="1">
        <f t="array" aca="1" ref="D91" ca="1">IF(BBswitch=1,_xll.BDP($F$4&amp;" EQUITY","BEST_EBIT", "BEST_FPERIOD_OVERRIDE="&amp;D$1),D91)</f>
        <v>3015.0590000000002</v>
      </c>
      <c r="E91" s="287">
        <f ca="1">'DAL KPI'!AA34</f>
        <v>2994.4850641642006</v>
      </c>
      <c r="F91" s="254">
        <f ca="1">E91-D91</f>
        <v>-20.573935835799603</v>
      </c>
      <c r="G91" s="257">
        <f ca="1">F91/D91</f>
        <v>-6.8237257830774129E-3</v>
      </c>
      <c r="H91" s="255" cm="1">
        <f t="array" aca="1" ref="H91" ca="1">IF(BBswitch=1,_xll.BDP($F$4&amp;" EQUITY","BEST_EBIT", "BEST_FPERIOD_OVERRIDE="&amp;H$1),H91)</f>
        <v>5316.5290000000005</v>
      </c>
      <c r="I91" s="287">
        <f ca="1">'DAL KPI'!AB34</f>
        <v>5395.2721208779394</v>
      </c>
      <c r="J91" s="254">
        <f ca="1">I91-H91</f>
        <v>78.743120877938964</v>
      </c>
      <c r="K91" s="257">
        <f ca="1">J91/H91</f>
        <v>1.4811001854393902E-2</v>
      </c>
      <c r="L91" s="255" cm="1">
        <f t="array" aca="1" ref="L91" ca="1">IF(BBswitch=1,_xll.BDP($F$4&amp;" EQUITY","BEST_EBIT", "BEST_FPERIOD_OVERRIDE="&amp;L$1),L91)</f>
        <v>7351.8460000000005</v>
      </c>
      <c r="M91" s="287">
        <f ca="1">'DAL KPI'!AC34</f>
        <v>7229.6156264795727</v>
      </c>
      <c r="N91" s="254">
        <f ca="1">M91-L91</f>
        <v>-122.23037352042775</v>
      </c>
      <c r="O91" s="1062">
        <f ca="1">N91/L91</f>
        <v>-1.6625807112992809E-2</v>
      </c>
    </row>
    <row r="92" spans="1:19" hidden="1">
      <c r="A92" s="302"/>
      <c r="B92" s="425"/>
      <c r="C92" s="253" t="s">
        <v>269</v>
      </c>
      <c r="D92" s="255" cm="1">
        <f t="array" aca="1" ref="D92" ca="1">IF(BBswitch=1,_xll.BDP($F$4&amp;" EQUITY","BEST_PTP", "BEST_FPERIOD_OVERRIDE="&amp;D$1),D92)</f>
        <v>2387.0709999999999</v>
      </c>
      <c r="E92" s="287">
        <f ca="1">'DAL KPI'!AA39</f>
        <v>534.51835977916744</v>
      </c>
      <c r="F92" s="254">
        <f ca="1">E92-D92</f>
        <v>-1852.5526402208325</v>
      </c>
      <c r="G92" s="257">
        <f ca="1">F92/D92</f>
        <v>-0.77607772882366399</v>
      </c>
      <c r="H92" s="255" cm="1">
        <f t="array" aca="1" ref="H92" ca="1">IF(BBswitch=1,_xll.BDP($F$4&amp;" EQUITY","BEST_PTP", "BEST_FPERIOD_OVERRIDE="&amp;H$1),H92)</f>
        <v>5023.7860000000001</v>
      </c>
      <c r="I92" s="287">
        <f ca="1">'DAL KPI'!AB39</f>
        <v>161.37844829247388</v>
      </c>
      <c r="J92" s="254">
        <f ca="1">I92-H92</f>
        <v>-4862.4075517075262</v>
      </c>
      <c r="K92" s="257">
        <f ca="1">J92/H92</f>
        <v>-0.96787712528111791</v>
      </c>
      <c r="L92" s="255" cm="1">
        <f t="array" aca="1" ref="L92" ca="1">IF(BBswitch=1,_xll.BDP($F$4&amp;" EQUITY","BEST_PTP", "BEST_FPERIOD_OVERRIDE="&amp;L$1),L92)</f>
        <v>7441.2</v>
      </c>
      <c r="M92" s="287">
        <f ca="1">'DAL KPI'!AC39</f>
        <v>1769.3924269655317</v>
      </c>
      <c r="N92" s="254">
        <f ca="1">M92-L92</f>
        <v>-5671.8075730344681</v>
      </c>
      <c r="O92" s="1062">
        <f ca="1">N92/L92</f>
        <v>-0.7622167893665629</v>
      </c>
    </row>
    <row r="93" spans="1:19" hidden="1">
      <c r="A93" s="302"/>
      <c r="B93" s="425"/>
      <c r="C93" s="253" t="s">
        <v>270</v>
      </c>
      <c r="D93" s="255" cm="1">
        <f t="array" aca="1" ref="D93" ca="1">IF(BBswitch=1,_xll.BDP($F$4&amp;" EQUITY","BEST_NET_INCOME", "BEST_FPERIOD_OVERRIDE="&amp;D$1),D93)</f>
        <v>1737.471</v>
      </c>
      <c r="E93" s="287">
        <f ca="1">'DAL KPI'!AA43</f>
        <v>487.51835977916744</v>
      </c>
      <c r="F93" s="254">
        <f ca="1">E93-D93</f>
        <v>-1249.9526402208326</v>
      </c>
      <c r="G93" s="257">
        <f ca="1">F93/D93</f>
        <v>-0.71940921041032202</v>
      </c>
      <c r="H93" s="255" cm="1">
        <f t="array" aca="1" ref="H93" ca="1">IF(BBswitch=1,_xll.BDP($F$4&amp;" EQUITY","BEST_NET_INCOME", "BEST_FPERIOD_OVERRIDE="&amp;H$1),H93)</f>
        <v>3459.4210000000003</v>
      </c>
      <c r="I93" s="287">
        <f ca="1">'DAL KPI'!AB43</f>
        <v>161.37844829247388</v>
      </c>
      <c r="J93" s="254">
        <f ca="1">I93-H93</f>
        <v>-3298.0425517075264</v>
      </c>
      <c r="K93" s="257">
        <f ca="1">J93/H93</f>
        <v>-0.95335102368504043</v>
      </c>
      <c r="L93" s="255" cm="1">
        <f t="array" aca="1" ref="L93" ca="1">IF(BBswitch=1,_xll.BDP($F$4&amp;" EQUITY","BEST_NET_INCOME", "BEST_FPERIOD_OVERRIDE="&amp;L$1),L93)</f>
        <v>5142.6670000000004</v>
      </c>
      <c r="M93" s="287">
        <f ca="1">'DAL KPI'!AC43</f>
        <v>1769.3924269655317</v>
      </c>
      <c r="N93" s="254">
        <f ca="1">M93-L93</f>
        <v>-3373.2745730344686</v>
      </c>
      <c r="O93" s="1062">
        <f ca="1">N93/L93</f>
        <v>-0.65593875182555439</v>
      </c>
    </row>
    <row r="94" spans="1:19" s="279" customFormat="1">
      <c r="B94" s="576"/>
      <c r="D94" s="284"/>
      <c r="E94" s="284"/>
      <c r="F94" s="293"/>
      <c r="G94" s="293"/>
      <c r="H94" s="284"/>
      <c r="I94" s="284"/>
      <c r="J94" s="293"/>
      <c r="K94" s="293"/>
      <c r="L94" s="284"/>
      <c r="M94" s="284"/>
      <c r="N94" s="293"/>
      <c r="O94" s="1063"/>
      <c r="P94" s="253"/>
      <c r="Q94" s="253"/>
      <c r="R94" s="253"/>
      <c r="S94" s="253"/>
    </row>
    <row r="95" spans="1:19">
      <c r="B95" s="425"/>
      <c r="C95" s="253" t="s">
        <v>271</v>
      </c>
      <c r="D95" s="257">
        <f ca="1">D90/D89</f>
        <v>0.12071657924024044</v>
      </c>
      <c r="E95" s="257">
        <f ca="1">E90/E89</f>
        <v>0.12058850497193462</v>
      </c>
      <c r="F95" s="254">
        <f ca="1">E95-D95</f>
        <v>-1.280742683058278E-4</v>
      </c>
      <c r="G95" s="257">
        <f ca="1">F95/D95</f>
        <v>-1.0609501123366382E-3</v>
      </c>
      <c r="H95" s="257">
        <f ca="1">H90/H89</f>
        <v>0.15465911137421018</v>
      </c>
      <c r="I95" s="257">
        <f>I90/I89</f>
        <v>0.15389391081011222</v>
      </c>
      <c r="J95" s="254">
        <f ca="1">I95-H95</f>
        <v>-7.6520056409795645E-4</v>
      </c>
      <c r="K95" s="257">
        <f ca="1">J95/H95</f>
        <v>-4.9476591278640675E-3</v>
      </c>
      <c r="L95" s="257">
        <f ca="1">L90/L89</f>
        <v>0.1853391861010662</v>
      </c>
      <c r="M95" s="257">
        <f>M90/M89</f>
        <v>0.17277592006114259</v>
      </c>
      <c r="N95" s="254">
        <f ca="1">M95-L95</f>
        <v>-1.256326603992361E-2</v>
      </c>
      <c r="O95" s="1062">
        <f ca="1">N95/L95</f>
        <v>-6.7785266053088253E-2</v>
      </c>
    </row>
    <row r="96" spans="1:19">
      <c r="B96" s="425"/>
      <c r="C96" s="253" t="s">
        <v>272</v>
      </c>
      <c r="D96" s="257">
        <f ca="1">D91/D89</f>
        <v>6.643765698206007E-2</v>
      </c>
      <c r="E96" s="257">
        <f ca="1">E91/E89</f>
        <v>6.6123535662135136E-2</v>
      </c>
      <c r="F96" s="254">
        <f ca="1">E96-D96</f>
        <v>-3.1412131992493431E-4</v>
      </c>
      <c r="G96" s="257">
        <f ca="1">F96/D96</f>
        <v>-4.7280613765436578E-3</v>
      </c>
      <c r="H96" s="257">
        <f ca="1">H91/H89</f>
        <v>0.10570434097415905</v>
      </c>
      <c r="I96" s="257">
        <f ca="1">I91/I89</f>
        <v>0.10581010961795638</v>
      </c>
      <c r="J96" s="254">
        <f ca="1">I96-H96</f>
        <v>1.0576864379732709E-4</v>
      </c>
      <c r="K96" s="257">
        <f ca="1">J96/H96</f>
        <v>1.0006083271753593E-3</v>
      </c>
      <c r="L96" s="257">
        <f ca="1">L91/L89</f>
        <v>0.13725129519154694</v>
      </c>
      <c r="M96" s="257">
        <f ca="1">M91/M89</f>
        <v>0.13124061926447603</v>
      </c>
      <c r="N96" s="254">
        <f ca="1">M96-L96</f>
        <v>-6.0106759270709131E-3</v>
      </c>
      <c r="O96" s="1062">
        <f ca="1">N96/L96</f>
        <v>-4.3793218262038663E-2</v>
      </c>
    </row>
    <row r="97" spans="2:20" hidden="1">
      <c r="B97" s="425"/>
      <c r="C97" s="253" t="s">
        <v>273</v>
      </c>
      <c r="D97" s="257">
        <f ca="1">D92/D89</f>
        <v>5.2599768127198542E-2</v>
      </c>
      <c r="E97" s="257">
        <f ca="1">E92/E89</f>
        <v>1.1803112410844096E-2</v>
      </c>
      <c r="F97" s="254">
        <f ca="1">E97-D97</f>
        <v>-4.0796655716354449E-2</v>
      </c>
      <c r="G97" s="257">
        <f ca="1">F97/D97</f>
        <v>-0.77560523874741416</v>
      </c>
      <c r="H97" s="257">
        <f ca="1">H92/H89</f>
        <v>9.9883963451568983E-2</v>
      </c>
      <c r="I97" s="257">
        <f ca="1">I92/I89</f>
        <v>3.1648952863240899E-3</v>
      </c>
      <c r="J97" s="254">
        <f ca="1">I97-H97</f>
        <v>-9.6719068165244892E-2</v>
      </c>
      <c r="K97" s="257">
        <f ca="1">J97/H97</f>
        <v>-0.96831428012106602</v>
      </c>
      <c r="L97" s="257">
        <f ca="1">L92/L89</f>
        <v>0.13891944115523353</v>
      </c>
      <c r="M97" s="257">
        <f ca="1">M92/M89</f>
        <v>3.2120125029372705E-2</v>
      </c>
      <c r="N97" s="254">
        <f ca="1">M97-L97</f>
        <v>-0.10679931612586083</v>
      </c>
      <c r="O97" s="1062">
        <f ca="1">N97/L97</f>
        <v>-0.76878596140132371</v>
      </c>
    </row>
    <row r="98" spans="2:20" hidden="1">
      <c r="B98" s="425"/>
      <c r="C98" s="253" t="s">
        <v>274</v>
      </c>
      <c r="D98" s="257">
        <f ca="1">D93/D89</f>
        <v>3.8285652889139779E-2</v>
      </c>
      <c r="E98" s="257">
        <f ca="1">E93/E89</f>
        <v>1.0765269139120254E-2</v>
      </c>
      <c r="F98" s="254">
        <f ca="1">E98-D98</f>
        <v>-2.7520383750019525E-2</v>
      </c>
      <c r="G98" s="257">
        <f ca="1">F98/D98</f>
        <v>-0.71881714619593273</v>
      </c>
      <c r="H98" s="257">
        <f ca="1">H93/H89</f>
        <v>6.8780931498194836E-2</v>
      </c>
      <c r="I98" s="257">
        <f ca="1">I93/I89</f>
        <v>3.1648952863240899E-3</v>
      </c>
      <c r="J98" s="254">
        <f ca="1">I98-H98</f>
        <v>-6.5616036211870746E-2</v>
      </c>
      <c r="K98" s="257">
        <f ca="1">J98/H98</f>
        <v>-0.95398586181684453</v>
      </c>
      <c r="L98" s="257">
        <f ca="1">L93/L89</f>
        <v>9.6008227931981605E-2</v>
      </c>
      <c r="M98" s="257">
        <f ca="1">M93/M89</f>
        <v>3.2120125029372705E-2</v>
      </c>
      <c r="N98" s="254">
        <f ca="1">M98-L98</f>
        <v>-6.3888102902608906E-2</v>
      </c>
      <c r="O98" s="1062">
        <f ca="1">N98/L98</f>
        <v>-0.66544403827421272</v>
      </c>
    </row>
    <row r="99" spans="2:20">
      <c r="B99" s="425"/>
      <c r="O99" s="426"/>
    </row>
    <row r="100" spans="2:20">
      <c r="B100" s="1059" t="s">
        <v>133</v>
      </c>
      <c r="C100" s="1048" t="s">
        <v>262</v>
      </c>
      <c r="D100" s="937">
        <v>2022</v>
      </c>
      <c r="E100" s="938"/>
      <c r="F100" s="937" t="s">
        <v>263</v>
      </c>
      <c r="G100" s="938"/>
      <c r="H100" s="1250">
        <v>2022</v>
      </c>
      <c r="I100" s="1251"/>
      <c r="J100" s="1252" t="s">
        <v>263</v>
      </c>
      <c r="K100" s="1253"/>
      <c r="L100" s="1254">
        <v>2022</v>
      </c>
      <c r="M100" s="1255"/>
      <c r="N100" s="1252" t="s">
        <v>263</v>
      </c>
      <c r="O100" s="1256"/>
    </row>
    <row r="101" spans="2:20">
      <c r="B101" s="1060"/>
      <c r="C101" s="262"/>
      <c r="D101" s="300" t="s">
        <v>264</v>
      </c>
      <c r="E101" s="300" t="s">
        <v>265</v>
      </c>
      <c r="F101" s="300" t="s">
        <v>266</v>
      </c>
      <c r="G101" s="301" t="s">
        <v>267</v>
      </c>
      <c r="H101" s="300" t="s">
        <v>264</v>
      </c>
      <c r="I101" s="300" t="s">
        <v>265</v>
      </c>
      <c r="J101" s="300" t="s">
        <v>266</v>
      </c>
      <c r="K101" s="301" t="s">
        <v>267</v>
      </c>
      <c r="L101" s="300" t="s">
        <v>264</v>
      </c>
      <c r="M101" s="300" t="s">
        <v>265</v>
      </c>
      <c r="N101" s="300" t="s">
        <v>266</v>
      </c>
      <c r="O101" s="1061" t="s">
        <v>267</v>
      </c>
    </row>
    <row r="102" spans="2:20">
      <c r="B102" s="425"/>
      <c r="O102" s="426"/>
    </row>
    <row r="103" spans="2:20">
      <c r="B103" s="425"/>
      <c r="C103" s="253" t="str">
        <f>+C89</f>
        <v>Revenue</v>
      </c>
      <c r="D103" s="255" cm="1">
        <f t="array" aca="1" ref="D103" ca="1">IF(BBswitch=1,_xll.BDP($F$4&amp;" EQUITY","BEST_SALES", "BEST_FPERIOD_OVERRIDE="&amp;D$2),D103)</f>
        <v>12919</v>
      </c>
      <c r="E103" s="287">
        <f>'DAL KPI'!R13</f>
        <v>12310</v>
      </c>
      <c r="F103" s="254">
        <f ca="1">E103-D103</f>
        <v>-609</v>
      </c>
      <c r="G103" s="257">
        <f ca="1">F103/D103</f>
        <v>-4.7139871507082591E-2</v>
      </c>
      <c r="H103" s="255" cm="1">
        <f t="array" aca="1" ref="H103" ca="1">IF(BBswitch=1,_xll.BDP($F$4&amp;" EQUITY","BEST_SALES", "BEST_FPERIOD_OVERRIDE="&amp;$H$2),H103)</f>
        <v>11871.875</v>
      </c>
      <c r="I103" s="287">
        <f>'DAL KPI'!S13</f>
        <v>12936.428907457415</v>
      </c>
      <c r="J103" s="254">
        <f ca="1">I103-H103</f>
        <v>1064.5539074574153</v>
      </c>
      <c r="K103" s="257">
        <f ca="1">J103/H103</f>
        <v>8.9670242270695685E-2</v>
      </c>
      <c r="L103" s="255" cm="1">
        <f t="array" aca="1" ref="L103" ca="1">IF(BBswitch=1,_xll.BDP($F$4&amp;" EQUITY","BEST_SALES", "BEST_FPERIOD_OVERRIDE="&amp;L$2),L103)</f>
        <v>11242</v>
      </c>
      <c r="M103" s="287">
        <f>'DAL KPI'!T13</f>
        <v>11878.792317384879</v>
      </c>
      <c r="N103" s="254">
        <f ca="1">M103-L103</f>
        <v>636.79231738487942</v>
      </c>
      <c r="O103" s="1062">
        <f ca="1">N103/L103</f>
        <v>5.6644041752791266E-2</v>
      </c>
      <c r="T103" s="255"/>
    </row>
    <row r="104" spans="2:20">
      <c r="B104" s="425"/>
      <c r="C104" s="253" t="str">
        <f>+C90</f>
        <v>EBITDA</v>
      </c>
      <c r="D104" s="255" cm="1">
        <f t="array" aca="1" ref="D104" ca="1">IF(BBswitch=1,_xll.BDP($F$4&amp;" EQUITY","BEST_EBITDA", "BEST_FPERIOD_OVERRIDE="&amp;D$2),D104)</f>
        <v>2079.5</v>
      </c>
      <c r="E104" s="287">
        <f ca="1">'DAL KPI'!R28</f>
        <v>2009</v>
      </c>
      <c r="F104" s="254">
        <f ca="1">E104-D104</f>
        <v>-70.5</v>
      </c>
      <c r="G104" s="257">
        <f ca="1">F104/D104</f>
        <v>-3.3902380379899011E-2</v>
      </c>
      <c r="H104" s="255" cm="1">
        <f t="array" aca="1" ref="H104" ca="1">IF(BBswitch=1,_xll.BDP($F$4&amp;" EQUITY","BEST_EBITDA", "BEST_FPERIOD_OVERRIDE="&amp;H$2),H104)</f>
        <v>1540.75</v>
      </c>
      <c r="I104" s="287">
        <f ca="1">'DAL KPI'!S28</f>
        <v>2142.4057690845657</v>
      </c>
      <c r="J104" s="254">
        <f ca="1">I104-H104</f>
        <v>601.65576908456569</v>
      </c>
      <c r="K104" s="257">
        <f ca="1">J104/H104</f>
        <v>0.39049538801529493</v>
      </c>
      <c r="L104" s="255" cm="1">
        <f t="array" aca="1" ref="L104" ca="1">IF(BBswitch=1,_xll.BDP($F$4&amp;" EQUITY","BEST_EBITDA", "BEST_FPERIOD_OVERRIDE="&amp;L$2),L104)</f>
        <v>1126.3330000000001</v>
      </c>
      <c r="M104" s="287">
        <f ca="1">'DAL KPI'!T28</f>
        <v>1595.591944247466</v>
      </c>
      <c r="N104" s="254">
        <f ca="1">M104-L104</f>
        <v>469.25894424746593</v>
      </c>
      <c r="O104" s="1062">
        <f ca="1">N104/L104</f>
        <v>0.41662540673803033</v>
      </c>
      <c r="T104" s="255"/>
    </row>
    <row r="105" spans="2:20">
      <c r="B105" s="425"/>
      <c r="C105" s="253" t="str">
        <f>+C91</f>
        <v>EBIT</v>
      </c>
      <c r="D105" s="255" cm="1">
        <f t="array" aca="1" ref="D105" ca="1">IF(BBswitch=1,_xll.BDP($F$4&amp;" EQUITY","BEST_EBIT", "BEST_FPERIOD_OVERRIDE="&amp;D$2),D105)</f>
        <v>1571.7860000000001</v>
      </c>
      <c r="E105" s="287">
        <f ca="1">'DAL KPI'!R31</f>
        <v>1499</v>
      </c>
      <c r="F105" s="254">
        <f ca="1">E105-D105</f>
        <v>-72.786000000000058</v>
      </c>
      <c r="G105" s="257">
        <f ca="1">F105/D105</f>
        <v>-4.6307830709778591E-2</v>
      </c>
      <c r="H105" s="255" cm="1">
        <f t="array" aca="1" ref="H105" ca="1">IF(BBswitch=1,_xll.BDP($F$4&amp;" EQUITY","BEST_EBIT", "BEST_FPERIOD_OVERRIDE="&amp;H$2),H105)</f>
        <v>983.14300000000003</v>
      </c>
      <c r="I105" s="287">
        <f ca="1">'DAL KPI'!S31</f>
        <v>1676.8806181715083</v>
      </c>
      <c r="J105" s="254">
        <f ca="1">I105-H105</f>
        <v>693.7376181715083</v>
      </c>
      <c r="K105" s="257">
        <f ca="1">J105/H105</f>
        <v>0.7056324646277381</v>
      </c>
      <c r="L105" s="255" cm="1">
        <f t="array" aca="1" ref="L105" ca="1">IF(BBswitch=1,_xll.BDP($F$4&amp;" EQUITY","BEST_EBIT", "BEST_FPERIOD_OVERRIDE="&amp;L$2),L105)</f>
        <v>548.71400000000006</v>
      </c>
      <c r="M105" s="287">
        <f ca="1">'DAL KPI'!T31</f>
        <v>1114.2257120337481</v>
      </c>
      <c r="N105" s="254">
        <f ca="1">M105-L105</f>
        <v>565.51171203374804</v>
      </c>
      <c r="O105" s="1062">
        <f ca="1">N105/L105</f>
        <v>1.0306128730700292</v>
      </c>
      <c r="T105" s="255"/>
    </row>
    <row r="106" spans="2:20" hidden="1">
      <c r="B106" s="425"/>
      <c r="C106" s="253" t="str">
        <f>+C92</f>
        <v>Pre-Tax Profit</v>
      </c>
      <c r="D106" s="255" cm="1">
        <f t="array" aca="1" ref="D106" ca="1">IF(BBswitch=1,_xll.BDP($F$4&amp;" EQUITY","BEST_PTP", "BEST_FPERIOD_OVERRIDE="&amp;D$2),D106)</f>
        <v>1312.25</v>
      </c>
      <c r="E106" s="287">
        <f ca="1">'DAL KPI'!R39</f>
        <v>1221</v>
      </c>
      <c r="F106" s="254">
        <f ca="1">E106-D106</f>
        <v>-91.25</v>
      </c>
      <c r="G106" s="257">
        <f ca="1">F106/D106</f>
        <v>-6.953705467708135E-2</v>
      </c>
      <c r="H106" s="255" cm="1">
        <f t="array" aca="1" ref="H106" ca="1">IF(BBswitch=1,_xll.BDP($F$4&amp;" EQUITY","BEST_PTP", "BEST_FPERIOD_OVERRIDE="&amp;H$2),H106)</f>
        <v>797.58299999999997</v>
      </c>
      <c r="I106" s="287">
        <f ca="1">'DAL KPI'!S39</f>
        <v>665.77640580168895</v>
      </c>
      <c r="J106" s="254">
        <f ca="1">I106-H106</f>
        <v>-131.80659419831102</v>
      </c>
      <c r="K106" s="257">
        <f ca="1">J106/H106</f>
        <v>-0.1652575270514931</v>
      </c>
      <c r="L106" s="255" cm="1">
        <f t="array" aca="1" ref="L106" ca="1">IF(BBswitch=1,_xll.BDP($F$4&amp;" EQUITY","BEST_PTP", "BEST_FPERIOD_OVERRIDE="&amp;L$2),L106)</f>
        <v>660.14300000000003</v>
      </c>
      <c r="M106" s="287">
        <f ca="1">'DAL KPI'!T39</f>
        <v>-315.25804602251583</v>
      </c>
      <c r="N106" s="254">
        <f ca="1">M106-L106</f>
        <v>-975.40104602251586</v>
      </c>
      <c r="O106" s="1062">
        <f ca="1">N106/L106</f>
        <v>-1.4775602347105337</v>
      </c>
      <c r="T106" s="255"/>
    </row>
    <row r="107" spans="2:20" hidden="1">
      <c r="B107" s="425"/>
      <c r="C107" s="253" t="str">
        <f>+C93</f>
        <v>Net Income</v>
      </c>
      <c r="D107" s="255" cm="1">
        <f t="array" aca="1" ref="D107" ca="1">IF(BBswitch=1,_xll.BDP($F$4&amp;" EQUITY","BEST_NET_INCOME", "BEST_FPERIOD_OVERRIDE="&amp;D$2),D107)</f>
        <v>996.35699999999997</v>
      </c>
      <c r="E107" s="287">
        <f ca="1">'DAL KPI'!R43</f>
        <v>921</v>
      </c>
      <c r="F107" s="254">
        <f ca="1">E107-D107</f>
        <v>-75.356999999999971</v>
      </c>
      <c r="G107" s="257">
        <f ca="1">F107/D107</f>
        <v>-7.5632529304255375E-2</v>
      </c>
      <c r="H107" s="255" cm="1">
        <f t="array" aca="1" ref="H107" ca="1">IF(BBswitch=1,_xll.BDP($F$4&amp;" EQUITY","BEST_NET_INCOME", "BEST_FPERIOD_OVERRIDE="&amp;H$2),H107)</f>
        <v>594.5</v>
      </c>
      <c r="I107" s="287">
        <f ca="1">'DAL KPI'!S43</f>
        <v>665.77640580168895</v>
      </c>
      <c r="J107" s="254">
        <f ca="1">I107-H107</f>
        <v>71.276405801688952</v>
      </c>
      <c r="K107" s="257">
        <f ca="1">J107/H107</f>
        <v>0.11989302910292507</v>
      </c>
      <c r="L107" s="255" cm="1">
        <f t="array" aca="1" ref="L107" ca="1">IF(BBswitch=1,_xll.BDP($F$4&amp;" EQUITY","BEST_NET_INCOME", "BEST_FPERIOD_OVERRIDE="&amp;L$2),L107)</f>
        <v>533</v>
      </c>
      <c r="M107" s="287">
        <f ca="1">'DAL KPI'!T43</f>
        <v>-315.25804602251583</v>
      </c>
      <c r="N107" s="254">
        <f ca="1">M107-L107</f>
        <v>-848.25804602251583</v>
      </c>
      <c r="O107" s="1062">
        <f ca="1">N107/L107</f>
        <v>-1.591478510361193</v>
      </c>
      <c r="T107" s="255"/>
    </row>
    <row r="108" spans="2:20">
      <c r="B108" s="425"/>
      <c r="O108" s="426"/>
    </row>
    <row r="109" spans="2:20">
      <c r="B109" s="425"/>
      <c r="C109" s="253" t="str">
        <f>+C95</f>
        <v>EBITDA Margin</v>
      </c>
      <c r="D109" s="257">
        <f ca="1">D104/D103</f>
        <v>0.16096447093428284</v>
      </c>
      <c r="E109" s="257">
        <f ca="1">E104/E103</f>
        <v>0.16320064987814784</v>
      </c>
      <c r="F109" s="254">
        <f ca="1">E109-D109</f>
        <v>2.2361789438649915E-3</v>
      </c>
      <c r="G109" s="257">
        <f ca="1">F109/D109</f>
        <v>1.3892375944117252E-2</v>
      </c>
      <c r="H109" s="257">
        <f ca="1">H104/H103</f>
        <v>0.12978152145301394</v>
      </c>
      <c r="I109" s="257">
        <f ca="1">I104/I103</f>
        <v>0.16561029202189956</v>
      </c>
      <c r="J109" s="254">
        <f ca="1">I109-H109</f>
        <v>3.5828770568885615E-2</v>
      </c>
      <c r="K109" s="257">
        <f ca="1">J109/H109</f>
        <v>0.27606989167450197</v>
      </c>
      <c r="L109" s="257">
        <f ca="1">L104/L103</f>
        <v>0.10018973492261164</v>
      </c>
      <c r="M109" s="257">
        <f ca="1">M104/M103</f>
        <v>0.13432274103422798</v>
      </c>
      <c r="N109" s="254">
        <f ca="1">M109-L109</f>
        <v>3.4133006111616335E-2</v>
      </c>
      <c r="O109" s="1062">
        <f ca="1">N109/L109</f>
        <v>0.34068366522759325</v>
      </c>
    </row>
    <row r="110" spans="2:20">
      <c r="B110" s="425"/>
      <c r="C110" s="253" t="str">
        <f>+C96</f>
        <v>EBIT. Margin</v>
      </c>
      <c r="D110" s="257">
        <f ca="1">D105/D103</f>
        <v>0.12166467992878706</v>
      </c>
      <c r="E110" s="257">
        <f ca="1">E105/E103</f>
        <v>0.12177091795288383</v>
      </c>
      <c r="F110" s="254">
        <f ca="1">E110-D110</f>
        <v>1.0623802409677474E-4</v>
      </c>
      <c r="G110" s="257">
        <f ca="1">F110/D110</f>
        <v>8.7320349799923963E-4</v>
      </c>
      <c r="H110" s="257">
        <f ca="1">H105/H103</f>
        <v>8.2812782311134508E-2</v>
      </c>
      <c r="I110" s="257">
        <f ca="1">I105/I103</f>
        <v>0.12962469242225289</v>
      </c>
      <c r="J110" s="254">
        <f ca="1">I110-H110</f>
        <v>4.6811910111118377E-2</v>
      </c>
      <c r="K110" s="257">
        <f ca="1">J110/H110</f>
        <v>0.56527396863979451</v>
      </c>
      <c r="L110" s="257">
        <f ca="1">L105/L103</f>
        <v>4.8809286603807157E-2</v>
      </c>
      <c r="M110" s="257">
        <f ca="1">M105/M103</f>
        <v>9.3799578464138458E-2</v>
      </c>
      <c r="N110" s="254">
        <f ca="1">M110-L110</f>
        <v>4.4990291860331301E-2</v>
      </c>
      <c r="O110" s="1062">
        <f ca="1">N110/L110</f>
        <v>0.92175680061716014</v>
      </c>
    </row>
    <row r="111" spans="2:20" hidden="1">
      <c r="B111" s="425"/>
      <c r="C111" s="253" t="str">
        <f>+C97</f>
        <v>Pre- Tax. Margin</v>
      </c>
      <c r="D111" s="257">
        <f ca="1">D106/D103</f>
        <v>0.10157519931883273</v>
      </c>
      <c r="E111" s="257">
        <f ca="1">E106/E103</f>
        <v>9.9187652315190902E-2</v>
      </c>
      <c r="F111" s="254">
        <f ca="1">E111-D111</f>
        <v>-2.3875470036418267E-3</v>
      </c>
      <c r="G111" s="257">
        <f ca="1">F111/D111</f>
        <v>-2.3505216033567353E-2</v>
      </c>
      <c r="H111" s="257">
        <f ca="1">H106/H103</f>
        <v>6.7182563832587527E-2</v>
      </c>
      <c r="I111" s="257">
        <f ca="1">I106/I103</f>
        <v>5.1465239021094247E-2</v>
      </c>
      <c r="J111" s="254">
        <f ca="1">I111-H111</f>
        <v>-1.571732481149328E-2</v>
      </c>
      <c r="K111" s="257">
        <f ca="1">J111/H111</f>
        <v>-0.2339494641892402</v>
      </c>
      <c r="L111" s="257">
        <f ca="1">L106/L103</f>
        <v>5.8721135029354207E-2</v>
      </c>
      <c r="M111" s="257">
        <f ca="1">M106/M103</f>
        <v>-2.6539570488249769E-2</v>
      </c>
      <c r="N111" s="254">
        <f ca="1">M111-L111</f>
        <v>-8.526070551760398E-2</v>
      </c>
      <c r="O111" s="1062">
        <f ca="1">N111/L111</f>
        <v>-1.4519594261075313</v>
      </c>
    </row>
    <row r="112" spans="2:20" hidden="1">
      <c r="B112" s="425"/>
      <c r="C112" s="253" t="str">
        <f>+C98</f>
        <v>Net Margin</v>
      </c>
      <c r="D112" s="257">
        <f ca="1">D107/D103</f>
        <v>7.7123384162860895E-2</v>
      </c>
      <c r="E112" s="257">
        <f ca="1">E107/E103</f>
        <v>7.4817221770917958E-2</v>
      </c>
      <c r="F112" s="254">
        <f ca="1">E112-D112</f>
        <v>-2.3061623919429369E-3</v>
      </c>
      <c r="G112" s="257">
        <f ca="1">F112/D112</f>
        <v>-2.9902245823044155E-2</v>
      </c>
      <c r="H112" s="257">
        <f ca="1">H107/H103</f>
        <v>5.0076335877862595E-2</v>
      </c>
      <c r="I112" s="257">
        <f ca="1">I107/I103</f>
        <v>5.1465239021094247E-2</v>
      </c>
      <c r="J112" s="254">
        <f ca="1">I112-H112</f>
        <v>1.3889031432316526E-3</v>
      </c>
      <c r="K112" s="257">
        <f ca="1">J112/H112</f>
        <v>2.7735718256607696E-2</v>
      </c>
      <c r="L112" s="257">
        <f ca="1">L107/L103</f>
        <v>4.741149261697207E-2</v>
      </c>
      <c r="M112" s="257">
        <f ca="1">M107/M103</f>
        <v>-2.6539570488249769E-2</v>
      </c>
      <c r="N112" s="254">
        <f ca="1">M112-L112</f>
        <v>-7.3951063105221843E-2</v>
      </c>
      <c r="O112" s="1062">
        <f ca="1">N112/L112</f>
        <v>-1.5597708281968179</v>
      </c>
    </row>
    <row r="113" spans="2:20">
      <c r="B113" s="425"/>
      <c r="O113" s="426"/>
    </row>
    <row r="114" spans="2:20" s="255" customFormat="1">
      <c r="B114" s="1064" t="s">
        <v>133</v>
      </c>
      <c r="C114" s="259" t="s">
        <v>1778</v>
      </c>
      <c r="D114" s="258"/>
      <c r="E114" s="258"/>
      <c r="F114" s="258"/>
      <c r="G114" s="258"/>
      <c r="H114" s="258"/>
      <c r="I114" s="258"/>
      <c r="J114" s="258"/>
      <c r="K114" s="258"/>
      <c r="L114" s="258"/>
      <c r="M114" s="258"/>
      <c r="N114" s="258"/>
      <c r="O114" s="1065"/>
      <c r="P114" s="253"/>
      <c r="Q114" s="253"/>
      <c r="R114" s="253"/>
      <c r="S114" s="253"/>
      <c r="T114" s="253"/>
    </row>
    <row r="115" spans="2:20">
      <c r="B115" s="425"/>
      <c r="O115" s="426"/>
    </row>
    <row r="116" spans="2:20">
      <c r="B116" s="1059" t="s">
        <v>133</v>
      </c>
      <c r="C116" s="1048" t="s">
        <v>262</v>
      </c>
      <c r="D116" s="937">
        <v>2022</v>
      </c>
      <c r="E116" s="938"/>
      <c r="F116" s="937" t="s">
        <v>263</v>
      </c>
      <c r="G116" s="938"/>
      <c r="O116" s="426"/>
    </row>
    <row r="117" spans="2:20">
      <c r="B117" s="1060"/>
      <c r="C117" s="262"/>
      <c r="D117" s="300" t="s">
        <v>1772</v>
      </c>
      <c r="E117" s="300" t="s">
        <v>265</v>
      </c>
      <c r="F117" s="300" t="s">
        <v>266</v>
      </c>
      <c r="G117" s="301" t="s">
        <v>267</v>
      </c>
      <c r="O117" s="426"/>
    </row>
    <row r="118" spans="2:20">
      <c r="B118" s="425"/>
      <c r="O118" s="426"/>
    </row>
    <row r="119" spans="2:20">
      <c r="B119" s="425"/>
      <c r="C119" s="253" t="s">
        <v>1337</v>
      </c>
      <c r="O119" s="426"/>
    </row>
    <row r="120" spans="2:20">
      <c r="B120" s="425"/>
      <c r="C120" s="253" t="s">
        <v>1774</v>
      </c>
      <c r="D120" s="699">
        <v>0.84</v>
      </c>
      <c r="E120" s="1066">
        <f>1+'DAL KPI'!$R$177</f>
        <v>0.82090197062184678</v>
      </c>
      <c r="F120" s="254">
        <f>E120-D120</f>
        <v>-1.9098029378153192E-2</v>
      </c>
      <c r="G120" s="257">
        <f>F120/D120</f>
        <v>-2.2735749259706183E-2</v>
      </c>
      <c r="O120" s="426"/>
    </row>
    <row r="121" spans="2:20">
      <c r="B121" s="425"/>
      <c r="C121" s="253" t="s">
        <v>1775</v>
      </c>
      <c r="D121" s="699">
        <f>AVERAGE(93%,97%)</f>
        <v>0.95</v>
      </c>
      <c r="E121" s="1066">
        <f>'DAL KPI'!$R$13/'DAL KPI'!$F$13</f>
        <v>0.98899333172652049</v>
      </c>
      <c r="F121" s="254">
        <f>E121-D121</f>
        <v>3.899333172652053E-2</v>
      </c>
      <c r="G121" s="257">
        <f>F121/D121</f>
        <v>4.1045612343705823E-2</v>
      </c>
      <c r="O121" s="426"/>
    </row>
    <row r="122" spans="2:20">
      <c r="B122" s="425"/>
      <c r="D122" s="922"/>
      <c r="O122" s="426"/>
    </row>
    <row r="123" spans="2:20">
      <c r="B123" s="425"/>
      <c r="C123" s="253" t="s">
        <v>1769</v>
      </c>
      <c r="D123" s="699">
        <v>0.17</v>
      </c>
      <c r="E123" s="1066">
        <f ca="1">'DAL KPI'!$R$272</f>
        <v>0.21784813801030012</v>
      </c>
      <c r="F123" s="254">
        <f ca="1">E123-D123</f>
        <v>4.7848138010300106E-2</v>
      </c>
      <c r="G123" s="257">
        <f ca="1">F123/D123</f>
        <v>0.28145963535470647</v>
      </c>
      <c r="O123" s="426"/>
    </row>
    <row r="124" spans="2:20">
      <c r="B124" s="425"/>
      <c r="C124" s="253" t="s">
        <v>1777</v>
      </c>
      <c r="D124" s="1067">
        <f>AVERAGE(3.2,3.35)</f>
        <v>3.2750000000000004</v>
      </c>
      <c r="E124" s="564">
        <f ca="1">'DAL KPI'!R302</f>
        <v>3.8192352259559676</v>
      </c>
      <c r="F124" s="254">
        <f ca="1">E124-D124</f>
        <v>0.54423522595596729</v>
      </c>
      <c r="G124" s="257">
        <f ca="1">F124/D124</f>
        <v>0.16617869494838694</v>
      </c>
      <c r="O124" s="426"/>
    </row>
    <row r="125" spans="2:20" ht="10.9" thickBot="1">
      <c r="B125" s="429"/>
      <c r="C125" s="430" t="s">
        <v>1771</v>
      </c>
      <c r="D125" s="1068">
        <v>0.13</v>
      </c>
      <c r="E125" s="1069">
        <f ca="1">'DAL KPI'!R73</f>
        <v>0.12177091795288383</v>
      </c>
      <c r="F125" s="513">
        <f ca="1">E125-D125</f>
        <v>-8.2290820471161708E-3</v>
      </c>
      <c r="G125" s="503">
        <f ca="1">F125/D125</f>
        <v>-6.3300631131662843E-2</v>
      </c>
      <c r="H125" s="430"/>
      <c r="I125" s="430"/>
      <c r="J125" s="430"/>
      <c r="K125" s="430"/>
      <c r="L125" s="430"/>
      <c r="M125" s="430"/>
      <c r="N125" s="430"/>
      <c r="O125" s="428"/>
    </row>
    <row r="126" spans="2:20" ht="10.9" thickBot="1"/>
    <row r="127" spans="2:20" s="255" customFormat="1">
      <c r="B127" s="1055" t="s">
        <v>133</v>
      </c>
      <c r="C127" s="1056" t="s">
        <v>1236</v>
      </c>
      <c r="D127" s="1057"/>
      <c r="E127" s="1057"/>
      <c r="F127" s="1057"/>
      <c r="G127" s="1057"/>
      <c r="H127" s="1057"/>
      <c r="I127" s="1057"/>
      <c r="J127" s="1057"/>
      <c r="K127" s="1057"/>
      <c r="L127" s="1057"/>
      <c r="M127" s="1057"/>
      <c r="N127" s="1057"/>
      <c r="O127" s="1058"/>
      <c r="P127" s="253"/>
      <c r="Q127" s="253"/>
      <c r="R127" s="253"/>
      <c r="S127" s="253"/>
      <c r="T127" s="253"/>
    </row>
    <row r="128" spans="2:20">
      <c r="B128" s="425"/>
      <c r="O128" s="426"/>
    </row>
    <row r="129" spans="1:19">
      <c r="B129" s="1059" t="s">
        <v>133</v>
      </c>
      <c r="C129" s="1048" t="s">
        <v>262</v>
      </c>
      <c r="D129" s="1252">
        <v>2022</v>
      </c>
      <c r="E129" s="1253"/>
      <c r="F129" s="1252" t="s">
        <v>263</v>
      </c>
      <c r="G129" s="1253"/>
      <c r="H129" s="1252">
        <f>+D129+1</f>
        <v>2023</v>
      </c>
      <c r="I129" s="1253"/>
      <c r="J129" s="1252" t="s">
        <v>263</v>
      </c>
      <c r="K129" s="1253"/>
      <c r="L129" s="1252">
        <f>+H129+1</f>
        <v>2024</v>
      </c>
      <c r="M129" s="1253"/>
      <c r="N129" s="1252" t="s">
        <v>263</v>
      </c>
      <c r="O129" s="1256"/>
    </row>
    <row r="130" spans="1:19">
      <c r="B130" s="1060"/>
      <c r="C130" s="262"/>
      <c r="D130" s="300" t="s">
        <v>264</v>
      </c>
      <c r="E130" s="300" t="s">
        <v>265</v>
      </c>
      <c r="F130" s="300" t="s">
        <v>266</v>
      </c>
      <c r="G130" s="301" t="s">
        <v>267</v>
      </c>
      <c r="H130" s="300" t="s">
        <v>264</v>
      </c>
      <c r="I130" s="300" t="s">
        <v>265</v>
      </c>
      <c r="J130" s="300" t="s">
        <v>266</v>
      </c>
      <c r="K130" s="301" t="s">
        <v>267</v>
      </c>
      <c r="L130" s="300" t="s">
        <v>264</v>
      </c>
      <c r="M130" s="300" t="s">
        <v>265</v>
      </c>
      <c r="N130" s="300" t="s">
        <v>266</v>
      </c>
      <c r="O130" s="1061" t="s">
        <v>267</v>
      </c>
    </row>
    <row r="131" spans="1:19">
      <c r="B131" s="425"/>
      <c r="O131" s="426"/>
    </row>
    <row r="132" spans="1:19">
      <c r="A132" s="302"/>
      <c r="B132" s="425"/>
      <c r="C132" s="253" t="s">
        <v>268</v>
      </c>
      <c r="D132" s="255" cm="1">
        <f t="array" aca="1" ref="D132" ca="1">IF(BBswitch=1,_xll.BDP($F$5&amp;" EQUITY","BEST_SALES", "BEST_FPERIOD_OVERRIDE="&amp;D$1),D132)</f>
        <v>44070.294000000002</v>
      </c>
      <c r="E132" s="287">
        <f>'UAL KPI'!AA13</f>
        <v>43084.056852334972</v>
      </c>
      <c r="F132" s="254">
        <f ca="1">E132-D132</f>
        <v>-986.23714766502962</v>
      </c>
      <c r="G132" s="257">
        <f ca="1">F132/D132</f>
        <v>-2.2378728575421565E-2</v>
      </c>
      <c r="H132" s="255" cm="1">
        <f t="array" aca="1" ref="H132" ca="1">IF(BBswitch=1,_xll.BDP($F$5&amp;" EQUITY","BEST_SALES", "BEST_FPERIOD_OVERRIDE="&amp;H$1),H132)</f>
        <v>49052.529000000002</v>
      </c>
      <c r="I132" s="287">
        <f>'UAL KPI'!AB13</f>
        <v>48822.237694488678</v>
      </c>
      <c r="J132" s="254">
        <f ca="1">I132-H132</f>
        <v>-230.29130551132403</v>
      </c>
      <c r="K132" s="257">
        <f ca="1">J132/H132</f>
        <v>-4.6947896511375393E-3</v>
      </c>
      <c r="L132" s="255" cm="1">
        <f t="array" aca="1" ref="L132" ca="1">IF(BBswitch=1,_xll.BDP($F$5&amp;" EQUITY","BEST_SALES", "BEST_FPERIOD_OVERRIDE="&amp;L$1),L132)</f>
        <v>51912.364000000001</v>
      </c>
      <c r="M132" s="287">
        <f>'UAL KPI'!AC13</f>
        <v>51428.107109504563</v>
      </c>
      <c r="N132" s="254">
        <f ca="1">M132-L132</f>
        <v>-484.25689049543871</v>
      </c>
      <c r="O132" s="1062">
        <f ca="1">N132/L132</f>
        <v>-9.3283536557001862E-3</v>
      </c>
    </row>
    <row r="133" spans="1:19">
      <c r="A133" s="302"/>
      <c r="B133" s="425"/>
      <c r="C133" s="253" t="s">
        <v>88</v>
      </c>
      <c r="D133" s="255" cm="1">
        <f t="array" aca="1" ref="D133" ca="1">IF(BBswitch=1,_xll.BDP($F$5&amp;" EQUITY","BEST_EBITDA", "BEST_FPERIOD_OVERRIDE="&amp;D$1),D133)</f>
        <v>4489.2860000000001</v>
      </c>
      <c r="E133" s="287">
        <f>'UAL KPI'!AA28</f>
        <v>2332.7302271760864</v>
      </c>
      <c r="F133" s="254">
        <f ca="1">E133-D133</f>
        <v>-2156.5557728239137</v>
      </c>
      <c r="G133" s="257">
        <f ca="1">F133/D133</f>
        <v>-0.48037834364393661</v>
      </c>
      <c r="H133" s="255" cm="1">
        <f t="array" aca="1" ref="H133" ca="1">IF(BBswitch=1,_xll.BDP($F$5&amp;" EQUITY","BEST_EBITDA", "BEST_FPERIOD_OVERRIDE="&amp;H$1),H133)</f>
        <v>7116.143</v>
      </c>
      <c r="I133" s="287">
        <f>'UAL KPI'!AB28</f>
        <v>5893.2643915403924</v>
      </c>
      <c r="J133" s="254">
        <f ca="1">I133-H133</f>
        <v>-1222.8786084596077</v>
      </c>
      <c r="K133" s="257">
        <f ca="1">J133/H133</f>
        <v>-0.17184570468294519</v>
      </c>
      <c r="L133" s="255" cm="1">
        <f t="array" aca="1" ref="L133" ca="1">IF(BBswitch=1,_xll.BDP($F$5&amp;" EQUITY","BEST_EBITDA", "BEST_FPERIOD_OVERRIDE="&amp;L$1),L133)</f>
        <v>8319.4439999999995</v>
      </c>
      <c r="M133" s="287">
        <f>'UAL KPI'!AC28</f>
        <v>7848.0840485969511</v>
      </c>
      <c r="N133" s="254">
        <f ca="1">M133-L133</f>
        <v>-471.3599514030484</v>
      </c>
      <c r="O133" s="1062">
        <f ca="1">N133/L133</f>
        <v>-5.6657626567718757E-2</v>
      </c>
    </row>
    <row r="134" spans="1:19">
      <c r="A134" s="302"/>
      <c r="B134" s="425"/>
      <c r="C134" s="253" t="s">
        <v>157</v>
      </c>
      <c r="D134" s="255" cm="1">
        <f t="array" aca="1" ref="D134" ca="1">IF(BBswitch=1,_xll.BDP($F$5&amp;" EQUITY","BEST_EBIT", "BEST_FPERIOD_OVERRIDE="&amp;D$1),D134)</f>
        <v>1741.3130000000001</v>
      </c>
      <c r="E134" s="287">
        <f>'UAL KPI'!AA31</f>
        <v>-472.87454528023409</v>
      </c>
      <c r="F134" s="254">
        <f ca="1">E134-D134</f>
        <v>-2214.1875452802342</v>
      </c>
      <c r="G134" s="257">
        <f ca="1">F134/D134</f>
        <v>-1.2715620599399615</v>
      </c>
      <c r="H134" s="255" cm="1">
        <f t="array" aca="1" ref="H134" ca="1">IF(BBswitch=1,_xll.BDP($F$5&amp;" EQUITY","BEST_EBIT", "BEST_FPERIOD_OVERRIDE="&amp;H$1),H134)</f>
        <v>4202.75</v>
      </c>
      <c r="I134" s="287">
        <f>'UAL KPI'!AB31</f>
        <v>3070.785391540393</v>
      </c>
      <c r="J134" s="254">
        <f ca="1">I134-H134</f>
        <v>-1131.964608459607</v>
      </c>
      <c r="K134" s="257">
        <f ca="1">J134/H134</f>
        <v>-0.26933903003024379</v>
      </c>
      <c r="L134" s="255" cm="1">
        <f t="array" aca="1" ref="L134" ca="1">IF(BBswitch=1,_xll.BDP($F$5&amp;" EQUITY","BEST_EBIT", "BEST_FPERIOD_OVERRIDE="&amp;L$1),L134)</f>
        <v>5304.1670000000004</v>
      </c>
      <c r="M134" s="287">
        <f>'UAL KPI'!AC31</f>
        <v>4675.0370485969506</v>
      </c>
      <c r="N134" s="254">
        <f ca="1">M134-L134</f>
        <v>-629.12995140304974</v>
      </c>
      <c r="O134" s="1062">
        <f ca="1">N134/L134</f>
        <v>-0.11861050969983594</v>
      </c>
    </row>
    <row r="135" spans="1:19" hidden="1">
      <c r="A135" s="302"/>
      <c r="B135" s="425"/>
      <c r="C135" s="253" t="s">
        <v>269</v>
      </c>
      <c r="D135" s="255" cm="1">
        <f t="array" aca="1" ref="D135" ca="1">IF(BBswitch=1,_xll.BDP($F$5&amp;" EQUITY","BEST_PTP", "BEST_FPERIOD_OVERRIDE="&amp;D$1),D135)</f>
        <v>176.13300000000001</v>
      </c>
      <c r="E135" s="287">
        <f ca="1">'UAL KPI'!AA36</f>
        <v>-1884.2666112653023</v>
      </c>
      <c r="F135" s="254">
        <f ca="1">E135-D135</f>
        <v>-2060.3996112653022</v>
      </c>
      <c r="G135" s="257">
        <f ca="1">F135/D135</f>
        <v>-11.697976025306456</v>
      </c>
      <c r="H135" s="255" cm="1">
        <f t="array" aca="1" ref="H135" ca="1">IF(BBswitch=1,_xll.BDP($F$5&amp;" EQUITY","BEST_PTP", "BEST_FPERIOD_OVERRIDE="&amp;H$1),H135)</f>
        <v>2873.3130000000001</v>
      </c>
      <c r="I135" s="287">
        <f ca="1">'UAL KPI'!AB36</f>
        <v>1594.8190966924185</v>
      </c>
      <c r="J135" s="254">
        <f ca="1">I135-H135</f>
        <v>-1278.4939033075816</v>
      </c>
      <c r="K135" s="257">
        <f ca="1">J135/H135</f>
        <v>-0.44495462321980989</v>
      </c>
      <c r="L135" s="255" cm="1">
        <f t="array" aca="1" ref="L135" ca="1">IF(BBswitch=1,_xll.BDP($F$5&amp;" EQUITY","BEST_PTP", "BEST_FPERIOD_OVERRIDE="&amp;L$1),L135)</f>
        <v>3924.3</v>
      </c>
      <c r="M135" s="287">
        <f ca="1">'UAL KPI'!AC36</f>
        <v>3131.6254943793165</v>
      </c>
      <c r="N135" s="254">
        <f ca="1">M135-L135</f>
        <v>-792.6745056206837</v>
      </c>
      <c r="O135" s="1062">
        <f ca="1">N135/L135</f>
        <v>-0.20199131198447715</v>
      </c>
    </row>
    <row r="136" spans="1:19" hidden="1">
      <c r="A136" s="302"/>
      <c r="B136" s="425"/>
      <c r="C136" s="253" t="s">
        <v>270</v>
      </c>
      <c r="D136" s="255" cm="1">
        <f t="array" aca="1" ref="D136" ca="1">IF(BBswitch=1,_xll.BDP($F$5&amp;" EQUITY","BEST_NET_INCOME", "BEST_FPERIOD_OVERRIDE="&amp;D$1),D136)</f>
        <v>196.625</v>
      </c>
      <c r="E136" s="287">
        <f ca="1">'UAL KPI'!AA40</f>
        <v>-1509.2666112653023</v>
      </c>
      <c r="F136" s="254">
        <f ca="1">E136-D136</f>
        <v>-1705.8916112653023</v>
      </c>
      <c r="G136" s="257">
        <f ca="1">F136/D136</f>
        <v>-8.6758632486474365</v>
      </c>
      <c r="H136" s="255" cm="1">
        <f t="array" aca="1" ref="H136" ca="1">IF(BBswitch=1,_xll.BDP($F$5&amp;" EQUITY","BEST_NET_INCOME", "BEST_FPERIOD_OVERRIDE="&amp;H$1),H136)</f>
        <v>2116.4120000000003</v>
      </c>
      <c r="I136" s="287">
        <f ca="1">'UAL KPI'!AB40</f>
        <v>1594.8190966924185</v>
      </c>
      <c r="J136" s="254">
        <f ca="1">I136-H136</f>
        <v>-521.59290330758176</v>
      </c>
      <c r="K136" s="257">
        <f ca="1">J136/H136</f>
        <v>-0.24645149588434656</v>
      </c>
      <c r="L136" s="255" cm="1">
        <f t="array" aca="1" ref="L136" ca="1">IF(BBswitch=1,_xll.BDP($F$5&amp;" EQUITY","BEST_NET_INCOME", "BEST_FPERIOD_OVERRIDE="&amp;L$1),L136)</f>
        <v>2945.8</v>
      </c>
      <c r="M136" s="287">
        <f ca="1">'UAL KPI'!AC40</f>
        <v>3131.6254943793165</v>
      </c>
      <c r="N136" s="254">
        <f ca="1">M136-L136</f>
        <v>185.8254943793163</v>
      </c>
      <c r="O136" s="1062">
        <f ca="1">N136/L136</f>
        <v>6.308150396473497E-2</v>
      </c>
    </row>
    <row r="137" spans="1:19" s="279" customFormat="1">
      <c r="B137" s="576"/>
      <c r="D137" s="284"/>
      <c r="E137" s="284"/>
      <c r="F137" s="293"/>
      <c r="G137" s="293"/>
      <c r="H137" s="284"/>
      <c r="I137" s="284"/>
      <c r="J137" s="284"/>
      <c r="K137" s="284"/>
      <c r="L137" s="284"/>
      <c r="M137" s="284"/>
      <c r="N137" s="284"/>
      <c r="O137" s="284"/>
      <c r="P137" s="253"/>
      <c r="Q137" s="253"/>
      <c r="R137" s="253"/>
      <c r="S137" s="253"/>
    </row>
    <row r="138" spans="1:19">
      <c r="B138" s="425"/>
      <c r="C138" s="253" t="s">
        <v>271</v>
      </c>
      <c r="D138" s="257">
        <f ca="1">D133/D132</f>
        <v>0.10186648630027292</v>
      </c>
      <c r="E138" s="257">
        <f>E133/E132</f>
        <v>5.4143699493555519E-2</v>
      </c>
      <c r="F138" s="254">
        <f ca="1">E138-D138</f>
        <v>-4.7722786806717404E-2</v>
      </c>
      <c r="G138" s="257">
        <f ca="1">F138/D138</f>
        <v>-0.4684836842810543</v>
      </c>
      <c r="H138" s="257">
        <f ca="1">H133/H132</f>
        <v>0.14507188813853003</v>
      </c>
      <c r="I138" s="257">
        <f>I133/I132</f>
        <v>0.12070860881916635</v>
      </c>
      <c r="J138" s="254">
        <f ca="1">I138-H138</f>
        <v>-2.4363279319363676E-2</v>
      </c>
      <c r="K138" s="257">
        <f ca="1">J138/H138</f>
        <v>-0.1679393549775752</v>
      </c>
      <c r="L138" s="257">
        <f ca="1">L133/L132</f>
        <v>0.1602593940819185</v>
      </c>
      <c r="M138" s="257">
        <f>M133/M132</f>
        <v>0.15260301204332147</v>
      </c>
      <c r="N138" s="254">
        <f ca="1">M138-L138</f>
        <v>-7.6563820385970316E-3</v>
      </c>
      <c r="O138" s="1062">
        <f ca="1">N138/L138</f>
        <v>-4.777493439594175E-2</v>
      </c>
    </row>
    <row r="139" spans="1:19">
      <c r="B139" s="425"/>
      <c r="C139" s="253" t="s">
        <v>272</v>
      </c>
      <c r="D139" s="257">
        <f ca="1">D134/D132</f>
        <v>3.9512171169087278E-2</v>
      </c>
      <c r="E139" s="257">
        <f>E134/E132</f>
        <v>-1.0975627176914894E-2</v>
      </c>
      <c r="F139" s="254">
        <f ca="1">E139-D139</f>
        <v>-5.0487798346002172E-2</v>
      </c>
      <c r="G139" s="257">
        <f ca="1">F139/D139</f>
        <v>-1.2777783870682808</v>
      </c>
      <c r="H139" s="257">
        <f ca="1">H134/H132</f>
        <v>8.5678558999475837E-2</v>
      </c>
      <c r="I139" s="257">
        <f>I134/I132</f>
        <v>6.2897268469262316E-2</v>
      </c>
      <c r="J139" s="254">
        <f ca="1">I139-H139</f>
        <v>-2.2781290530213522E-2</v>
      </c>
      <c r="K139" s="257">
        <f ca="1">J139/H139</f>
        <v>-0.26589254997102474</v>
      </c>
      <c r="L139" s="257">
        <f ca="1">L134/L132</f>
        <v>0.10217540854043942</v>
      </c>
      <c r="M139" s="257">
        <f>M134/M132</f>
        <v>9.0904318890106389E-2</v>
      </c>
      <c r="N139" s="254">
        <f ca="1">M139-L139</f>
        <v>-1.1271089650333035E-2</v>
      </c>
      <c r="O139" s="1062">
        <f ca="1">N139/L139</f>
        <v>-0.11031117772210439</v>
      </c>
    </row>
    <row r="140" spans="1:19" hidden="1">
      <c r="B140" s="425"/>
      <c r="C140" s="253" t="s">
        <v>273</v>
      </c>
      <c r="D140" s="257">
        <f ca="1">D135/D132</f>
        <v>3.9966377351601055E-3</v>
      </c>
      <c r="E140" s="257">
        <f ca="1">E135/E132</f>
        <v>-4.3734660775408926E-2</v>
      </c>
      <c r="F140" s="254">
        <f ca="1">E140-D140</f>
        <v>-4.773129851056903E-2</v>
      </c>
      <c r="G140" s="257">
        <f ca="1">F140/D140</f>
        <v>-11.942863395062478</v>
      </c>
      <c r="H140" s="257">
        <f ca="1">H135/H132</f>
        <v>5.8576245885303892E-2</v>
      </c>
      <c r="I140" s="257">
        <f ca="1">I135/I132</f>
        <v>3.2665833685711021E-2</v>
      </c>
      <c r="J140" s="254">
        <f ca="1">I140-H140</f>
        <v>-2.5910412199592871E-2</v>
      </c>
      <c r="K140" s="257">
        <f ca="1">J140/H140</f>
        <v>-0.44233651044020722</v>
      </c>
      <c r="L140" s="257">
        <f ca="1">L135/L132</f>
        <v>7.5594708035257266E-2</v>
      </c>
      <c r="M140" s="257">
        <f ca="1">M135/M132</f>
        <v>6.0893267716644245E-2</v>
      </c>
      <c r="N140" s="254">
        <f ca="1">M140-L140</f>
        <v>-1.4701440318613021E-2</v>
      </c>
      <c r="O140" s="1062">
        <f ca="1">N140/L140</f>
        <v>-0.19447710958492345</v>
      </c>
    </row>
    <row r="141" spans="1:19" hidden="1">
      <c r="B141" s="425"/>
      <c r="C141" s="253" t="s">
        <v>274</v>
      </c>
      <c r="D141" s="257">
        <f ca="1">D136/D132</f>
        <v>4.4616221530085548E-3</v>
      </c>
      <c r="E141" s="257">
        <f ca="1">E136/E132</f>
        <v>-3.5030745048873144E-2</v>
      </c>
      <c r="F141" s="254">
        <f ca="1">E141-D141</f>
        <v>-3.9492367201881699E-2</v>
      </c>
      <c r="G141" s="257">
        <f ca="1">F141/D141</f>
        <v>-8.8515714346745522</v>
      </c>
      <c r="H141" s="257">
        <f ca="1">H136/H132</f>
        <v>4.3145828424055364E-2</v>
      </c>
      <c r="I141" s="257">
        <f ca="1">I136/I132</f>
        <v>3.2665833685711021E-2</v>
      </c>
      <c r="J141" s="254">
        <f ca="1">I141-H141</f>
        <v>-1.0479994738344343E-2</v>
      </c>
      <c r="K141" s="257">
        <f ca="1">J141/H141</f>
        <v>-0.24289705682186799</v>
      </c>
      <c r="L141" s="257">
        <f ca="1">L136/L132</f>
        <v>5.6745633853237741E-2</v>
      </c>
      <c r="M141" s="257">
        <f ca="1">M136/M132</f>
        <v>6.0893267716644245E-2</v>
      </c>
      <c r="N141" s="254">
        <f ca="1">M141-L141</f>
        <v>4.1476338634065038E-3</v>
      </c>
      <c r="O141" s="1062">
        <f ca="1">N141/L141</f>
        <v>7.3091682685818685E-2</v>
      </c>
    </row>
    <row r="142" spans="1:19">
      <c r="B142" s="425"/>
      <c r="O142" s="426"/>
    </row>
    <row r="143" spans="1:19">
      <c r="B143" s="1059" t="s">
        <v>133</v>
      </c>
      <c r="C143" s="1048" t="s">
        <v>262</v>
      </c>
      <c r="D143" s="937">
        <v>2022</v>
      </c>
      <c r="E143" s="938"/>
      <c r="F143" s="937" t="s">
        <v>263</v>
      </c>
      <c r="G143" s="938"/>
      <c r="H143" s="1250">
        <v>2022</v>
      </c>
      <c r="I143" s="1251"/>
      <c r="J143" s="1252" t="s">
        <v>263</v>
      </c>
      <c r="K143" s="1253"/>
      <c r="L143" s="1254">
        <v>2022</v>
      </c>
      <c r="M143" s="1255"/>
      <c r="N143" s="1252" t="s">
        <v>263</v>
      </c>
      <c r="O143" s="1256"/>
    </row>
    <row r="144" spans="1:19">
      <c r="B144" s="1060"/>
      <c r="C144" s="262"/>
      <c r="D144" s="300" t="s">
        <v>264</v>
      </c>
      <c r="E144" s="300" t="s">
        <v>265</v>
      </c>
      <c r="F144" s="300" t="s">
        <v>266</v>
      </c>
      <c r="G144" s="301" t="s">
        <v>267</v>
      </c>
      <c r="H144" s="300" t="s">
        <v>264</v>
      </c>
      <c r="I144" s="300" t="s">
        <v>265</v>
      </c>
      <c r="J144" s="300" t="s">
        <v>266</v>
      </c>
      <c r="K144" s="301" t="s">
        <v>267</v>
      </c>
      <c r="L144" s="300" t="s">
        <v>264</v>
      </c>
      <c r="M144" s="300" t="s">
        <v>265</v>
      </c>
      <c r="N144" s="300" t="s">
        <v>266</v>
      </c>
      <c r="O144" s="1061" t="s">
        <v>267</v>
      </c>
    </row>
    <row r="145" spans="2:20">
      <c r="B145" s="425"/>
      <c r="O145" s="426"/>
    </row>
    <row r="146" spans="2:20">
      <c r="B146" s="425"/>
      <c r="C146" s="253" t="str">
        <f>+C132</f>
        <v>Revenue</v>
      </c>
      <c r="D146" s="255" cm="1">
        <f t="array" aca="1" ref="D146" ca="1">IF(BBswitch=1,_xll.BDP($F$5&amp;" EQUITY","BEST_SALES", "BEST_FPERIOD_OVERRIDE="&amp;D$2),D146)</f>
        <v>12014.286</v>
      </c>
      <c r="E146" s="287">
        <f>'UAL KPI'!R13</f>
        <v>11583.696193334967</v>
      </c>
      <c r="F146" s="254">
        <f ca="1">E146-D146</f>
        <v>-430.58980666503339</v>
      </c>
      <c r="G146" s="257">
        <f ca="1">F146/D146</f>
        <v>-3.5839816587105833E-2</v>
      </c>
      <c r="H146" s="255" cm="1">
        <f t="array" aca="1" ref="H146" ca="1">IF(BBswitch=1,_xll.BDP($F$5&amp;" EQUITY","BEST_SALES", "BEST_FPERIOD_OVERRIDE="&amp;$H$2),H146)</f>
        <v>12477.214</v>
      </c>
      <c r="I146" s="287">
        <f>'UAL KPI'!S13</f>
        <v>12149.925324</v>
      </c>
      <c r="J146" s="254">
        <f ca="1">I146-H146</f>
        <v>-327.28867600000012</v>
      </c>
      <c r="K146" s="257">
        <f ca="1">J146/H146</f>
        <v>-2.6230909881003895E-2</v>
      </c>
      <c r="L146" s="255" cm="1">
        <f t="array" aca="1" ref="L146" ca="1">IF(BBswitch=1,_xll.BDP($F$5&amp;" EQUITY","BEST_SALES", "BEST_FPERIOD_OVERRIDE="&amp;L$2),L146)</f>
        <v>11988.231</v>
      </c>
      <c r="M146" s="287">
        <f>'UAL KPI'!T13</f>
        <v>11784.435335000004</v>
      </c>
      <c r="N146" s="254">
        <f ca="1">M146-L146</f>
        <v>-203.79566499999601</v>
      </c>
      <c r="O146" s="1062">
        <f ca="1">N146/L146</f>
        <v>-1.6999644484661333E-2</v>
      </c>
      <c r="T146" s="255"/>
    </row>
    <row r="147" spans="2:20">
      <c r="B147" s="425"/>
      <c r="C147" s="253" t="str">
        <f>+C133</f>
        <v>EBITDA</v>
      </c>
      <c r="D147" s="255" cm="1">
        <f t="array" aca="1" ref="D147" ca="1">IF(BBswitch=1,_xll.BDP($F$5&amp;" EQUITY","BEST_EBITDA", "BEST_FPERIOD_OVERRIDE="&amp;D$2),D147)</f>
        <v>1796.1110000000001</v>
      </c>
      <c r="E147" s="287">
        <f>'UAL KPI'!R28</f>
        <v>798.35144811609848</v>
      </c>
      <c r="F147" s="254">
        <f ca="1">E147-D147</f>
        <v>-997.75955188390162</v>
      </c>
      <c r="G147" s="257">
        <f ca="1">F147/D147</f>
        <v>-0.55551107469633088</v>
      </c>
      <c r="H147" s="255" cm="1">
        <f t="array" aca="1" ref="H147" ca="1">IF(BBswitch=1,_xll.BDP($F$5&amp;" EQUITY","BEST_EBITDA", "BEST_FPERIOD_OVERRIDE="&amp;H$2),H147)</f>
        <v>1831.6670000000001</v>
      </c>
      <c r="I147" s="287">
        <f>'UAL KPI'!S28</f>
        <v>1201.0732199733502</v>
      </c>
      <c r="J147" s="254">
        <f ca="1">I147-H147</f>
        <v>-630.59378002664994</v>
      </c>
      <c r="K147" s="257">
        <f ca="1">J147/H147</f>
        <v>-0.34427315665273756</v>
      </c>
      <c r="L147" s="255" cm="1">
        <f t="array" aca="1" ref="L147" ca="1">IF(BBswitch=1,_xll.BDP($F$5&amp;" EQUITY","BEST_EBITDA", "BEST_FPERIOD_OVERRIDE="&amp;L$2),L147)</f>
        <v>1644.3330000000001</v>
      </c>
      <c r="M147" s="287">
        <f>'UAL KPI'!T28</f>
        <v>1080.3055590866354</v>
      </c>
      <c r="N147" s="254">
        <f ca="1">M147-L147</f>
        <v>-564.02744091336467</v>
      </c>
      <c r="O147" s="1062">
        <f ca="1">N147/L147</f>
        <v>-0.34301290609223595</v>
      </c>
      <c r="T147" s="255"/>
    </row>
    <row r="148" spans="2:20">
      <c r="B148" s="425"/>
      <c r="C148" s="253" t="str">
        <f>+C134</f>
        <v>EBIT</v>
      </c>
      <c r="D148" s="255" cm="1">
        <f t="array" aca="1" ref="D148" ca="1">IF(BBswitch=1,_xll.BDP($F$5&amp;" EQUITY","BEST_EBIT", "BEST_FPERIOD_OVERRIDE="&amp;D$2),D148)</f>
        <v>1103.0709999999999</v>
      </c>
      <c r="E148" s="287">
        <f>'UAL KPI'!R31</f>
        <v>137.08787483757851</v>
      </c>
      <c r="F148" s="254">
        <f ca="1">E148-D148</f>
        <v>-965.9831251624214</v>
      </c>
      <c r="G148" s="257">
        <f ca="1">F148/D148</f>
        <v>-0.87572162187422342</v>
      </c>
      <c r="H148" s="255" cm="1">
        <f t="array" aca="1" ref="H148" ca="1">IF(BBswitch=1,_xll.BDP($F$5&amp;" EQUITY","BEST_EBIT", "BEST_FPERIOD_OVERRIDE="&amp;H$2),H148)</f>
        <v>1175.9290000000001</v>
      </c>
      <c r="I148" s="287">
        <f>'UAL KPI'!S31</f>
        <v>449.50782079554961</v>
      </c>
      <c r="J148" s="254">
        <f ca="1">I148-H148</f>
        <v>-726.42117920445048</v>
      </c>
      <c r="K148" s="257">
        <f ca="1">J148/H148</f>
        <v>-0.61774238002842896</v>
      </c>
      <c r="L148" s="255" cm="1">
        <f t="array" aca="1" ref="L148" ca="1">IF(BBswitch=1,_xll.BDP($F$5&amp;" EQUITY","BEST_EBIT", "BEST_FPERIOD_OVERRIDE="&amp;L$2),L148)</f>
        <v>879.2</v>
      </c>
      <c r="M148" s="287">
        <f>'UAL KPI'!T31</f>
        <v>298.52975908663552</v>
      </c>
      <c r="N148" s="254">
        <f ca="1">M148-L148</f>
        <v>-580.67024091336452</v>
      </c>
      <c r="O148" s="1062">
        <f ca="1">N148/L148</f>
        <v>-0.66045295827270756</v>
      </c>
      <c r="T148" s="255"/>
    </row>
    <row r="149" spans="2:20" hidden="1">
      <c r="B149" s="425"/>
      <c r="C149" s="253" t="str">
        <f>+C135</f>
        <v>Pre-Tax Profit</v>
      </c>
      <c r="D149" s="255" cm="1">
        <f t="array" aca="1" ref="D149" ca="1">IF(BBswitch=1,_xll.BDP($F$5&amp;" EQUITY","BEST_PTP", "BEST_FPERIOD_OVERRIDE="&amp;D$2),D149)</f>
        <v>733.46199999999999</v>
      </c>
      <c r="E149" s="287">
        <f ca="1">'UAL KPI'!R36</f>
        <v>-194.17380985330726</v>
      </c>
      <c r="F149" s="254">
        <f ca="1">E149-D149</f>
        <v>-927.63580985330725</v>
      </c>
      <c r="G149" s="257">
        <f ca="1">F149/D149</f>
        <v>-1.2647360188439309</v>
      </c>
      <c r="H149" s="255" cm="1">
        <f t="array" aca="1" ref="H149" ca="1">IF(BBswitch=1,_xll.BDP($F$5&amp;" EQUITY","BEST_PTP", "BEST_FPERIOD_OVERRIDE="&amp;H$2),H149)</f>
        <v>828.846</v>
      </c>
      <c r="I149" s="287">
        <f ca="1">'UAL KPI'!S36</f>
        <v>110.92218126856579</v>
      </c>
      <c r="J149" s="254">
        <f ca="1">I149-H149</f>
        <v>-717.92381873143427</v>
      </c>
      <c r="K149" s="257">
        <f ca="1">J149/H149</f>
        <v>-0.86617274949922451</v>
      </c>
      <c r="L149" s="255" cm="1">
        <f t="array" aca="1" ref="L149" ca="1">IF(BBswitch=1,_xll.BDP($F$5&amp;" EQUITY","BEST_PTP", "BEST_FPERIOD_OVERRIDE="&amp;L$2),L149)</f>
        <v>402.63600000000002</v>
      </c>
      <c r="M149" s="287">
        <f ca="1">'UAL KPI'!T36</f>
        <v>-48.014982680563321</v>
      </c>
      <c r="N149" s="254">
        <f ca="1">M149-L149</f>
        <v>-450.65098268056335</v>
      </c>
      <c r="O149" s="1062">
        <f ca="1">N149/L149</f>
        <v>-1.1192515887316665</v>
      </c>
      <c r="T149" s="255"/>
    </row>
    <row r="150" spans="2:20" hidden="1">
      <c r="B150" s="425"/>
      <c r="C150" s="253" t="str">
        <f>+C136</f>
        <v>Net Income</v>
      </c>
      <c r="D150" s="255" cm="1">
        <f t="array" aca="1" ref="D150" ca="1">IF(BBswitch=1,_xll.BDP($F$5&amp;" EQUITY","BEST_NET_INCOME", "BEST_FPERIOD_OVERRIDE="&amp;D$2),D150)</f>
        <v>588.92899999999997</v>
      </c>
      <c r="E150" s="287">
        <f ca="1">'UAL KPI'!R40</f>
        <v>-194.17380985330726</v>
      </c>
      <c r="F150" s="254">
        <f ca="1">E150-D150</f>
        <v>-783.10280985330724</v>
      </c>
      <c r="G150" s="257">
        <f ca="1">F150/D150</f>
        <v>-1.329706653693921</v>
      </c>
      <c r="H150" s="255" cm="1">
        <f t="array" aca="1" ref="H150" ca="1">IF(BBswitch=1,_xll.BDP($F$5&amp;" EQUITY","BEST_NET_INCOME", "BEST_FPERIOD_OVERRIDE="&amp;H$2),H150)</f>
        <v>657.42899999999997</v>
      </c>
      <c r="I150" s="287">
        <f ca="1">'UAL KPI'!S40</f>
        <v>110.92218126856579</v>
      </c>
      <c r="J150" s="254">
        <f ca="1">I150-H150</f>
        <v>-546.50681873143412</v>
      </c>
      <c r="K150" s="257">
        <f ca="1">J150/H150</f>
        <v>-0.83127884339059299</v>
      </c>
      <c r="L150" s="255" cm="1">
        <f t="array" aca="1" ref="L150" ca="1">IF(BBswitch=1,_xll.BDP($F$5&amp;" EQUITY","BEST_NET_INCOME", "BEST_FPERIOD_OVERRIDE="&amp;L$2),L150)</f>
        <v>381.69200000000001</v>
      </c>
      <c r="M150" s="287">
        <f ca="1">'UAL KPI'!T40</f>
        <v>-48.014982680563321</v>
      </c>
      <c r="N150" s="254">
        <f ca="1">M150-L150</f>
        <v>-429.70698268056333</v>
      </c>
      <c r="O150" s="1062">
        <f ca="1">N150/L150</f>
        <v>-1.1257950983530263</v>
      </c>
      <c r="T150" s="255"/>
    </row>
    <row r="151" spans="2:20">
      <c r="B151" s="425"/>
      <c r="D151" s="1070"/>
      <c r="E151" s="1070"/>
      <c r="F151" s="1070"/>
      <c r="G151" s="1070"/>
      <c r="H151" s="1070"/>
      <c r="I151" s="1070"/>
      <c r="J151" s="1070"/>
      <c r="K151" s="1070"/>
      <c r="L151" s="1070"/>
      <c r="M151" s="1070"/>
      <c r="N151" s="1070"/>
      <c r="O151" s="1071"/>
    </row>
    <row r="152" spans="2:20">
      <c r="B152" s="425"/>
      <c r="C152" s="253" t="str">
        <f>+C138</f>
        <v>EBITDA Margin</v>
      </c>
      <c r="D152" s="257">
        <f t="shared" ref="D152:E155" ca="1" si="1">D147/D$146</f>
        <v>0.14949793936984687</v>
      </c>
      <c r="E152" s="257">
        <f t="shared" si="1"/>
        <v>6.8920268176184935E-2</v>
      </c>
      <c r="F152" s="254">
        <f ca="1">E152-D152</f>
        <v>-8.0577671193661937E-2</v>
      </c>
      <c r="G152" s="257">
        <f ca="1">F152/D152</f>
        <v>-0.5389885073554006</v>
      </c>
      <c r="H152" s="257">
        <f t="shared" ref="H152:I155" ca="1" si="2">H147/H$146</f>
        <v>0.14680096053493993</v>
      </c>
      <c r="I152" s="257">
        <f t="shared" si="2"/>
        <v>9.8854370536816824E-2</v>
      </c>
      <c r="J152" s="254">
        <f ca="1">I152-H152</f>
        <v>-4.794658999812311E-2</v>
      </c>
      <c r="K152" s="257">
        <f ca="1">J152/H152</f>
        <v>-0.32660951143239553</v>
      </c>
      <c r="L152" s="257">
        <f t="shared" ref="L152:M155" ca="1" si="3">L147/L$146</f>
        <v>0.13716227189816413</v>
      </c>
      <c r="M152" s="257">
        <f t="shared" si="3"/>
        <v>9.1672237860910208E-2</v>
      </c>
      <c r="N152" s="254">
        <f ca="1">M152-L152</f>
        <v>-4.5490034037253921E-2</v>
      </c>
      <c r="O152" s="1062">
        <f ca="1">N152/L152</f>
        <v>-0.33165121434433453</v>
      </c>
    </row>
    <row r="153" spans="2:20">
      <c r="B153" s="425"/>
      <c r="C153" s="253" t="str">
        <f>+C139</f>
        <v>EBIT. Margin</v>
      </c>
      <c r="D153" s="257">
        <f t="shared" ca="1" si="1"/>
        <v>9.1813279623941021E-2</v>
      </c>
      <c r="E153" s="257">
        <f t="shared" si="1"/>
        <v>1.1834553716667414E-2</v>
      </c>
      <c r="F153" s="254">
        <f ca="1">E153-D153</f>
        <v>-7.9978725907273604E-2</v>
      </c>
      <c r="G153" s="257">
        <f ca="1">F153/D153</f>
        <v>-0.87110193900990474</v>
      </c>
      <c r="H153" s="257">
        <f t="shared" ca="1" si="2"/>
        <v>9.4246119366070025E-2</v>
      </c>
      <c r="I153" s="257">
        <f t="shared" si="2"/>
        <v>3.6996755848995012E-2</v>
      </c>
      <c r="J153" s="254">
        <f ca="1">I153-H153</f>
        <v>-5.7249363517075012E-2</v>
      </c>
      <c r="K153" s="257">
        <f ca="1">J153/H153</f>
        <v>-0.6074453134214205</v>
      </c>
      <c r="L153" s="257">
        <f t="shared" ca="1" si="3"/>
        <v>7.3338593492234178E-2</v>
      </c>
      <c r="M153" s="257">
        <f t="shared" si="3"/>
        <v>2.5332546753427911E-2</v>
      </c>
      <c r="N153" s="254">
        <f ca="1">M153-L153</f>
        <v>-4.8006046738806263E-2</v>
      </c>
      <c r="O153" s="1062">
        <f ca="1">N153/L153</f>
        <v>-0.65458095734941557</v>
      </c>
    </row>
    <row r="154" spans="2:20" hidden="1">
      <c r="B154" s="425"/>
      <c r="C154" s="253" t="str">
        <f>+C140</f>
        <v>Pre- Tax. Margin</v>
      </c>
      <c r="D154" s="257">
        <f t="shared" ca="1" si="1"/>
        <v>6.104915431512118E-2</v>
      </c>
      <c r="E154" s="257">
        <f t="shared" ca="1" si="1"/>
        <v>-1.6762681497554388E-2</v>
      </c>
      <c r="F154" s="254">
        <f ca="1">E154-D154</f>
        <v>-7.7811835812675562E-2</v>
      </c>
      <c r="G154" s="257">
        <f ca="1">F154/D154</f>
        <v>-1.2745768010319916</v>
      </c>
      <c r="H154" s="257">
        <f t="shared" ca="1" si="2"/>
        <v>6.6428771679318793E-2</v>
      </c>
      <c r="I154" s="257">
        <f t="shared" ca="1" si="2"/>
        <v>9.129453746473561E-3</v>
      </c>
      <c r="J154" s="254">
        <f ca="1">I154-H154</f>
        <v>-5.7299317932845234E-2</v>
      </c>
      <c r="K154" s="257">
        <f ca="1">J154/H154</f>
        <v>-0.86256777724951039</v>
      </c>
      <c r="L154" s="257">
        <f t="shared" ca="1" si="3"/>
        <v>3.3585939410076433E-2</v>
      </c>
      <c r="M154" s="257">
        <f t="shared" ca="1" si="3"/>
        <v>-4.0744406766744165E-3</v>
      </c>
      <c r="N154" s="254">
        <f ca="1">M154-L154</f>
        <v>-3.766038008675085E-2</v>
      </c>
      <c r="O154" s="1062">
        <f ca="1">N154/L154</f>
        <v>-1.1213138815897465</v>
      </c>
    </row>
    <row r="155" spans="2:20" hidden="1">
      <c r="B155" s="425"/>
      <c r="C155" s="253" t="str">
        <f>+C141</f>
        <v>Net Margin</v>
      </c>
      <c r="D155" s="257">
        <f t="shared" ca="1" si="1"/>
        <v>4.9019059476360059E-2</v>
      </c>
      <c r="E155" s="257">
        <f t="shared" ca="1" si="1"/>
        <v>-1.6762681497554388E-2</v>
      </c>
      <c r="F155" s="254">
        <f ca="1">E155-D155</f>
        <v>-6.5781740973914454E-2</v>
      </c>
      <c r="G155" s="257">
        <f ca="1">F155/D155</f>
        <v>-1.3419625279762533</v>
      </c>
      <c r="H155" s="257">
        <f t="shared" ca="1" si="2"/>
        <v>5.2690368218417986E-2</v>
      </c>
      <c r="I155" s="257">
        <f t="shared" ca="1" si="2"/>
        <v>9.129453746473561E-3</v>
      </c>
      <c r="J155" s="254">
        <f ca="1">I155-H155</f>
        <v>-4.3560914471944427E-2</v>
      </c>
      <c r="K155" s="257">
        <f ca="1">J155/H155</f>
        <v>-0.82673391636533777</v>
      </c>
      <c r="L155" s="257">
        <f t="shared" ca="1" si="3"/>
        <v>3.1838892660643596E-2</v>
      </c>
      <c r="M155" s="257">
        <f t="shared" ca="1" si="3"/>
        <v>-4.0744406766744165E-3</v>
      </c>
      <c r="N155" s="254">
        <f ca="1">M155-L155</f>
        <v>-3.5913333337318012E-2</v>
      </c>
      <c r="O155" s="1062">
        <f ca="1">N155/L155</f>
        <v>-1.1279705522457091</v>
      </c>
    </row>
    <row r="156" spans="2:20">
      <c r="B156" s="425"/>
      <c r="O156" s="426"/>
    </row>
    <row r="157" spans="2:20" s="255" customFormat="1">
      <c r="B157" s="1064" t="s">
        <v>133</v>
      </c>
      <c r="C157" s="259" t="s">
        <v>1768</v>
      </c>
      <c r="D157" s="258"/>
      <c r="E157" s="258"/>
      <c r="F157" s="258"/>
      <c r="G157" s="258"/>
      <c r="H157" s="258"/>
      <c r="I157" s="258"/>
      <c r="J157" s="258"/>
      <c r="K157" s="258"/>
      <c r="L157" s="258"/>
      <c r="M157" s="258"/>
      <c r="N157" s="258"/>
      <c r="O157" s="1065"/>
      <c r="P157" s="253"/>
      <c r="Q157" s="253"/>
      <c r="R157" s="253"/>
      <c r="S157" s="253"/>
      <c r="T157" s="253"/>
    </row>
    <row r="158" spans="2:20">
      <c r="B158" s="425"/>
      <c r="O158" s="426"/>
    </row>
    <row r="159" spans="2:20">
      <c r="B159" s="1059" t="s">
        <v>133</v>
      </c>
      <c r="C159" s="1048" t="s">
        <v>262</v>
      </c>
      <c r="D159" s="937">
        <v>2022</v>
      </c>
      <c r="E159" s="938"/>
      <c r="F159" s="937" t="s">
        <v>263</v>
      </c>
      <c r="G159" s="938"/>
      <c r="O159" s="426"/>
    </row>
    <row r="160" spans="2:20">
      <c r="B160" s="1060"/>
      <c r="C160" s="262"/>
      <c r="D160" s="300" t="s">
        <v>1772</v>
      </c>
      <c r="E160" s="300" t="s">
        <v>265</v>
      </c>
      <c r="F160" s="300" t="s">
        <v>266</v>
      </c>
      <c r="G160" s="301" t="s">
        <v>267</v>
      </c>
      <c r="O160" s="426"/>
    </row>
    <row r="161" spans="2:15">
      <c r="B161" s="425"/>
      <c r="O161" s="426"/>
    </row>
    <row r="162" spans="2:15">
      <c r="B162" s="425"/>
      <c r="C162" s="253" t="s">
        <v>1773</v>
      </c>
      <c r="O162" s="426"/>
    </row>
    <row r="163" spans="2:15">
      <c r="B163" s="425"/>
      <c r="C163" s="253" t="s">
        <v>1774</v>
      </c>
      <c r="D163" s="699">
        <v>-0.13</v>
      </c>
      <c r="E163" s="1066">
        <f>'UAL KPI'!$R$121</f>
        <v>-0.1294797924631349</v>
      </c>
      <c r="F163" s="254">
        <f>E163-D163</f>
        <v>5.2020753686510268E-4</v>
      </c>
      <c r="G163" s="257">
        <f>F163/D163</f>
        <v>-4.0015964374238667E-3</v>
      </c>
      <c r="O163" s="426"/>
    </row>
    <row r="164" spans="2:15">
      <c r="B164" s="425"/>
      <c r="C164" s="253" t="s">
        <v>1775</v>
      </c>
      <c r="D164" s="699">
        <v>0.17</v>
      </c>
      <c r="E164" s="1066">
        <f>'UAL KPI'!$R$184</f>
        <v>0.16704409395835418</v>
      </c>
      <c r="F164" s="254">
        <f>E164-D164</f>
        <v>-2.9559060416458338E-3</v>
      </c>
      <c r="G164" s="257">
        <f>F164/D164</f>
        <v>-1.7387682597916669E-2</v>
      </c>
      <c r="O164" s="426"/>
    </row>
    <row r="165" spans="2:15">
      <c r="B165" s="425"/>
      <c r="C165" s="253" t="s">
        <v>1776</v>
      </c>
      <c r="D165" s="699">
        <v>0.16</v>
      </c>
      <c r="E165" s="1066">
        <f>'UAL KPI'!$R$257</f>
        <v>0.15963269254994983</v>
      </c>
      <c r="F165" s="254">
        <f>E165-D165</f>
        <v>-3.6730745005017496E-4</v>
      </c>
      <c r="G165" s="257">
        <f>F165/D165</f>
        <v>-2.2956715628135935E-3</v>
      </c>
      <c r="O165" s="426"/>
    </row>
    <row r="166" spans="2:15">
      <c r="B166" s="425"/>
      <c r="D166" s="699"/>
      <c r="E166" s="1066"/>
      <c r="F166" s="254"/>
      <c r="G166" s="257"/>
      <c r="O166" s="426"/>
    </row>
    <row r="167" spans="2:15" ht="10.9" thickBot="1">
      <c r="B167" s="429"/>
      <c r="C167" s="430" t="s">
        <v>1770</v>
      </c>
      <c r="D167" s="1073">
        <v>3.43</v>
      </c>
      <c r="E167" s="1074">
        <f>'UAL KPI'!$R$205</f>
        <v>4.3367466666666674</v>
      </c>
      <c r="F167" s="513">
        <f>E167-D167</f>
        <v>0.90674666666666726</v>
      </c>
      <c r="G167" s="503">
        <f>F167/D167</f>
        <v>0.26435762876579216</v>
      </c>
      <c r="H167" s="430"/>
      <c r="I167" s="430"/>
      <c r="J167" s="430"/>
      <c r="K167" s="430"/>
      <c r="L167" s="430"/>
      <c r="M167" s="430"/>
      <c r="N167" s="430"/>
      <c r="O167" s="428"/>
    </row>
    <row r="193" spans="2:9">
      <c r="B193" s="253" t="s">
        <v>133</v>
      </c>
    </row>
    <row r="196" spans="2:9">
      <c r="H196" s="255"/>
      <c r="I196" s="255"/>
    </row>
  </sheetData>
  <mergeCells count="40">
    <mergeCell ref="D39:E39"/>
    <mergeCell ref="F39:G39"/>
    <mergeCell ref="H39:I39"/>
    <mergeCell ref="J39:K39"/>
    <mergeCell ref="L39:M39"/>
    <mergeCell ref="N39:O39"/>
    <mergeCell ref="P39:Q39"/>
    <mergeCell ref="R39:S39"/>
    <mergeCell ref="J53:K53"/>
    <mergeCell ref="L53:M53"/>
    <mergeCell ref="N53:O53"/>
    <mergeCell ref="H143:I143"/>
    <mergeCell ref="J143:K143"/>
    <mergeCell ref="L143:M143"/>
    <mergeCell ref="N129:O129"/>
    <mergeCell ref="N143:O143"/>
    <mergeCell ref="D129:E129"/>
    <mergeCell ref="F129:G129"/>
    <mergeCell ref="H129:I129"/>
    <mergeCell ref="J129:K129"/>
    <mergeCell ref="L129:M129"/>
    <mergeCell ref="J23:K23"/>
    <mergeCell ref="L23:M23"/>
    <mergeCell ref="N23:O23"/>
    <mergeCell ref="N9:O9"/>
    <mergeCell ref="D9:E9"/>
    <mergeCell ref="F9:G9"/>
    <mergeCell ref="H9:I9"/>
    <mergeCell ref="J9:K9"/>
    <mergeCell ref="L9:M9"/>
    <mergeCell ref="D86:E86"/>
    <mergeCell ref="F86:G86"/>
    <mergeCell ref="H86:I86"/>
    <mergeCell ref="J86:K86"/>
    <mergeCell ref="L86:M86"/>
    <mergeCell ref="H100:I100"/>
    <mergeCell ref="J100:K100"/>
    <mergeCell ref="L100:M100"/>
    <mergeCell ref="N100:O100"/>
    <mergeCell ref="N86:O86"/>
  </mergeCells>
  <conditionalFormatting sqref="G12:G16 K12:K16 O12:O16 G26:G30 K26:K30 O26:O30">
    <cfRule type="expression" dxfId="65" priority="68">
      <formula>ABS(G12)&lt;$O$3</formula>
    </cfRule>
    <cfRule type="expression" dxfId="64" priority="67">
      <formula>ABS(G12)&gt;=$O$3</formula>
    </cfRule>
  </conditionalFormatting>
  <conditionalFormatting sqref="G18:G21">
    <cfRule type="expression" dxfId="63" priority="46">
      <formula>ABS(G18)&lt;$O$3</formula>
    </cfRule>
    <cfRule type="expression" dxfId="62" priority="45">
      <formula>ABS(G18)&gt;=$O$3</formula>
    </cfRule>
  </conditionalFormatting>
  <conditionalFormatting sqref="G32:G35">
    <cfRule type="expression" dxfId="61" priority="44">
      <formula>ABS(G32)&lt;$O$3</formula>
    </cfRule>
    <cfRule type="expression" dxfId="60" priority="43">
      <formula>ABS(G32)&gt;=$O$3</formula>
    </cfRule>
  </conditionalFormatting>
  <conditionalFormatting sqref="G42:G46 K42:K46 O42:O46 S42:S46 G56:G60 K56:K60 O56:O60">
    <cfRule type="expression" dxfId="59" priority="31">
      <formula>ABS(G42)&gt;=$O$3</formula>
    </cfRule>
    <cfRule type="expression" dxfId="58" priority="32">
      <formula>ABS(G42)&lt;$O$3</formula>
    </cfRule>
  </conditionalFormatting>
  <conditionalFormatting sqref="G48:G51">
    <cfRule type="expression" dxfId="57" priority="30">
      <formula>ABS(G48)&lt;$O$3</formula>
    </cfRule>
    <cfRule type="expression" dxfId="56" priority="29">
      <formula>ABS(G48)&gt;=$O$3</formula>
    </cfRule>
  </conditionalFormatting>
  <conditionalFormatting sqref="G62:G65">
    <cfRule type="expression" dxfId="55" priority="27">
      <formula>ABS(G62)&gt;=$O$3</formula>
    </cfRule>
    <cfRule type="expression" dxfId="54" priority="28">
      <formula>ABS(G62)&lt;$O$3</formula>
    </cfRule>
  </conditionalFormatting>
  <conditionalFormatting sqref="G89:G93 K89:K93 O89:O93 G103:G107 K103:K107 O103:O107">
    <cfRule type="expression" dxfId="53" priority="66">
      <formula>ABS(G89)&lt;$O$3</formula>
    </cfRule>
    <cfRule type="expression" dxfId="52" priority="65">
      <formula>ABS(G89)&gt;=$O$3</formula>
    </cfRule>
  </conditionalFormatting>
  <conditionalFormatting sqref="G95:G98">
    <cfRule type="expression" dxfId="51" priority="52">
      <formula>ABS(G95)&lt;$O$3</formula>
    </cfRule>
    <cfRule type="expression" dxfId="50" priority="51">
      <formula>ABS(G95)&gt;=$O$3</formula>
    </cfRule>
  </conditionalFormatting>
  <conditionalFormatting sqref="G109:G112">
    <cfRule type="expression" dxfId="49" priority="58">
      <formula>ABS(G109)&lt;$O$3</formula>
    </cfRule>
    <cfRule type="expression" dxfId="48" priority="57">
      <formula>ABS(G109)&gt;=$O$3</formula>
    </cfRule>
  </conditionalFormatting>
  <conditionalFormatting sqref="G120:G121 G123:G125 G132:G136 K132:K136 O132:O136 G138:G141 G146:G150 K146:K150 O146:O150 G152:G155 K152:K155 O152:O155">
    <cfRule type="expression" dxfId="47" priority="153">
      <formula>ABS(G120)&gt;=$O$3</formula>
    </cfRule>
    <cfRule type="expression" dxfId="46" priority="154">
      <formula>ABS(G120)&lt;$O$3</formula>
    </cfRule>
  </conditionalFormatting>
  <conditionalFormatting sqref="G163:G167">
    <cfRule type="expression" dxfId="45" priority="15">
      <formula>ABS(G163)&gt;=$O$3</formula>
    </cfRule>
    <cfRule type="expression" dxfId="44" priority="16">
      <formula>ABS(G163)&lt;$O$3</formula>
    </cfRule>
  </conditionalFormatting>
  <conditionalFormatting sqref="I72:I73">
    <cfRule type="expression" dxfId="43" priority="10">
      <formula>ABS(I72)&lt;$O$3</formula>
    </cfRule>
    <cfRule type="expression" dxfId="42" priority="9">
      <formula>ABS(I72)&gt;=$O$3</formula>
    </cfRule>
  </conditionalFormatting>
  <conditionalFormatting sqref="I75:I76">
    <cfRule type="expression" dxfId="41" priority="7">
      <formula>ABS(I75)&gt;=$O$3</formula>
    </cfRule>
    <cfRule type="expression" dxfId="40" priority="8">
      <formula>ABS(I75)&lt;$O$3</formula>
    </cfRule>
  </conditionalFormatting>
  <conditionalFormatting sqref="I78:I79">
    <cfRule type="expression" dxfId="39" priority="3">
      <formula>ABS(I78)&gt;=$O$3</formula>
    </cfRule>
    <cfRule type="expression" dxfId="38" priority="4">
      <formula>ABS(I78)&lt;$O$3</formula>
    </cfRule>
  </conditionalFormatting>
  <conditionalFormatting sqref="I81:I82">
    <cfRule type="expression" dxfId="37" priority="2">
      <formula>ABS(I81)&lt;$O$3</formula>
    </cfRule>
    <cfRule type="expression" dxfId="36" priority="1">
      <formula>ABS(I81)&gt;=$O$3</formula>
    </cfRule>
  </conditionalFormatting>
  <conditionalFormatting sqref="K18:K21">
    <cfRule type="expression" dxfId="35" priority="36">
      <formula>ABS(K18)&lt;$O$3</formula>
    </cfRule>
    <cfRule type="expression" dxfId="34" priority="35">
      <formula>ABS(K18)&gt;=$O$3</formula>
    </cfRule>
  </conditionalFormatting>
  <conditionalFormatting sqref="K32:K35">
    <cfRule type="expression" dxfId="33" priority="41">
      <formula>ABS(K32)&gt;=$O$3</formula>
    </cfRule>
    <cfRule type="expression" dxfId="32" priority="42">
      <formula>ABS(K32)&lt;$O$3</formula>
    </cfRule>
  </conditionalFormatting>
  <conditionalFormatting sqref="K48:K51">
    <cfRule type="expression" dxfId="31" priority="20">
      <formula>ABS(K48)&lt;$O$3</formula>
    </cfRule>
    <cfRule type="expression" dxfId="30" priority="19">
      <formula>ABS(K48)&gt;=$O$3</formula>
    </cfRule>
  </conditionalFormatting>
  <conditionalFormatting sqref="K62:K65">
    <cfRule type="expression" dxfId="29" priority="26">
      <formula>ABS(K62)&lt;$O$3</formula>
    </cfRule>
    <cfRule type="expression" dxfId="28" priority="25">
      <formula>ABS(K62)&gt;=$O$3</formula>
    </cfRule>
  </conditionalFormatting>
  <conditionalFormatting sqref="K95:K98">
    <cfRule type="expression" dxfId="27" priority="49">
      <formula>ABS(K95)&gt;=$O$3</formula>
    </cfRule>
    <cfRule type="expression" dxfId="26" priority="50">
      <formula>ABS(K95)&lt;$O$3</formula>
    </cfRule>
  </conditionalFormatting>
  <conditionalFormatting sqref="K109:K112">
    <cfRule type="expression" dxfId="25" priority="55">
      <formula>ABS(K109)&gt;=$O$3</formula>
    </cfRule>
    <cfRule type="expression" dxfId="24" priority="56">
      <formula>ABS(K109)&lt;$O$3</formula>
    </cfRule>
  </conditionalFormatting>
  <conditionalFormatting sqref="K138:K141">
    <cfRule type="expression" dxfId="23" priority="61">
      <formula>ABS(K138)&gt;=$O$3</formula>
    </cfRule>
    <cfRule type="expression" dxfId="22" priority="62">
      <formula>ABS(K138)&lt;$O$3</formula>
    </cfRule>
  </conditionalFormatting>
  <conditionalFormatting sqref="O18:O21">
    <cfRule type="expression" dxfId="21" priority="38">
      <formula>ABS(O18)&lt;$O$3</formula>
    </cfRule>
    <cfRule type="expression" dxfId="20" priority="37">
      <formula>ABS(O18)&gt;=$O$3</formula>
    </cfRule>
  </conditionalFormatting>
  <conditionalFormatting sqref="O32:O35">
    <cfRule type="expression" dxfId="19" priority="40">
      <formula>ABS(O32)&lt;$O$3</formula>
    </cfRule>
    <cfRule type="expression" dxfId="18" priority="39">
      <formula>ABS(O32)&gt;=$O$3</formula>
    </cfRule>
  </conditionalFormatting>
  <conditionalFormatting sqref="O48:O51">
    <cfRule type="expression" dxfId="17" priority="22">
      <formula>ABS(O48)&lt;$O$3</formula>
    </cfRule>
    <cfRule type="expression" dxfId="16" priority="21">
      <formula>ABS(O48)&gt;=$O$3</formula>
    </cfRule>
  </conditionalFormatting>
  <conditionalFormatting sqref="O62:O65">
    <cfRule type="expression" dxfId="15" priority="24">
      <formula>ABS(O62)&lt;$O$3</formula>
    </cfRule>
    <cfRule type="expression" dxfId="14" priority="23">
      <formula>ABS(O62)&gt;=$O$3</formula>
    </cfRule>
  </conditionalFormatting>
  <conditionalFormatting sqref="O95:O98">
    <cfRule type="expression" dxfId="13" priority="47">
      <formula>ABS(O95)&gt;=$O$3</formula>
    </cfRule>
    <cfRule type="expression" dxfId="12" priority="48">
      <formula>ABS(O95)&lt;$O$3</formula>
    </cfRule>
  </conditionalFormatting>
  <conditionalFormatting sqref="O109:O112">
    <cfRule type="expression" dxfId="11" priority="53">
      <formula>ABS(O109)&gt;=$O$3</formula>
    </cfRule>
    <cfRule type="expression" dxfId="10" priority="54">
      <formula>ABS(O109)&lt;$O$3</formula>
    </cfRule>
  </conditionalFormatting>
  <conditionalFormatting sqref="O138:O141">
    <cfRule type="expression" dxfId="9" priority="59">
      <formula>ABS(O138)&gt;=$O$3</formula>
    </cfRule>
    <cfRule type="expression" dxfId="8" priority="60">
      <formula>ABS(O138)&lt;$O$3</formula>
    </cfRule>
  </conditionalFormatting>
  <conditionalFormatting sqref="S48:S51">
    <cfRule type="expression" dxfId="7" priority="17">
      <formula>ABS(S48)&gt;=$O$3</formula>
    </cfRule>
    <cfRule type="expression" dxfId="6" priority="18">
      <formula>ABS(S48)&lt;$O$3</formula>
    </cfRule>
  </conditionalFormatting>
  <pageMargins left="0.25" right="0.25" top="0.75" bottom="0.75" header="0.3" footer="0.3"/>
  <pageSetup scale="80" orientation="landscape" r:id="rId1"/>
  <headerFooter>
    <oddFooter>&amp;CPage &amp;P</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FA8E-7B4D-4747-9274-6B20DF2BD91F}">
  <sheetPr>
    <tabColor theme="8" tint="0.39997558519241921"/>
    <pageSetUpPr fitToPage="1"/>
  </sheetPr>
  <dimension ref="C1:AL156"/>
  <sheetViews>
    <sheetView showGridLines="0" view="pageBreakPreview" zoomScale="70" zoomScaleNormal="70" zoomScaleSheetLayoutView="70" workbookViewId="0">
      <selection activeCell="R15" sqref="R15"/>
    </sheetView>
  </sheetViews>
  <sheetFormatPr defaultColWidth="9.19921875" defaultRowHeight="18" outlineLevelRow="1" outlineLevelCol="1"/>
  <cols>
    <col min="1" max="1" width="1.796875" style="206" customWidth="1"/>
    <col min="2" max="2" width="2.46484375" style="206" customWidth="1"/>
    <col min="3" max="3" width="30.796875" style="6" customWidth="1"/>
    <col min="4" max="4" width="14.19921875" style="6" customWidth="1"/>
    <col min="5" max="5" width="13.19921875" style="6" customWidth="1"/>
    <col min="6" max="11" width="11.796875" style="6" customWidth="1"/>
    <col min="12" max="12" width="13" style="6" customWidth="1"/>
    <col min="13" max="16" width="11.796875" style="6" customWidth="1" outlineLevel="1"/>
    <col min="17" max="17" width="10.46484375" style="6" customWidth="1" outlineLevel="1"/>
    <col min="18" max="18" width="17.796875" style="6" customWidth="1" outlineLevel="1"/>
    <col min="19" max="23" width="19" style="6" customWidth="1" outlineLevel="1"/>
    <col min="24" max="24" width="16.19921875" style="6" customWidth="1" outlineLevel="1"/>
    <col min="25" max="25" width="23.19921875" style="206" bestFit="1" customWidth="1"/>
    <col min="26" max="26" width="21.19921875" style="206" bestFit="1" customWidth="1"/>
    <col min="27" max="28" width="16.19921875" style="206" customWidth="1"/>
    <col min="29" max="31" width="12.19921875" style="206" bestFit="1" customWidth="1"/>
    <col min="32" max="16384" width="9.19921875" style="206"/>
  </cols>
  <sheetData>
    <row r="1" spans="3:26" ht="6" customHeight="1" thickBot="1">
      <c r="C1" s="1"/>
      <c r="E1" s="1"/>
      <c r="F1" s="1"/>
      <c r="G1" s="1"/>
      <c r="H1" s="1"/>
      <c r="I1" s="1"/>
      <c r="J1" s="1"/>
      <c r="K1" s="1"/>
      <c r="L1" s="1"/>
      <c r="M1" s="1"/>
      <c r="N1" s="1"/>
      <c r="O1" s="1"/>
      <c r="P1" s="1"/>
      <c r="Q1" s="1"/>
      <c r="R1" s="1"/>
      <c r="S1" s="1"/>
      <c r="T1" s="1"/>
      <c r="U1" s="1"/>
      <c r="V1" s="1"/>
      <c r="W1" s="1"/>
      <c r="X1" s="1"/>
    </row>
    <row r="2" spans="3:26" ht="21.4" thickBot="1">
      <c r="C2" s="208" t="s">
        <v>0</v>
      </c>
      <c r="D2" s="377" t="str">
        <f ca="1">IF(BBswitch=1,_xll.BDP($D$3&amp;" EQUITY","SECURITY_NAME"),D2)</f>
        <v>American Airlines Group Inc</v>
      </c>
      <c r="E2" s="209"/>
      <c r="F2" s="209"/>
      <c r="G2" s="209"/>
      <c r="H2" s="209"/>
      <c r="I2" s="209"/>
      <c r="J2" s="209"/>
      <c r="K2" s="209"/>
      <c r="L2" s="209"/>
      <c r="M2" s="209"/>
      <c r="N2" s="209"/>
      <c r="O2" s="209"/>
      <c r="P2" s="209"/>
      <c r="Q2" s="209"/>
      <c r="R2" s="209"/>
      <c r="S2" s="209"/>
      <c r="T2" s="209"/>
      <c r="U2" s="210"/>
      <c r="V2" s="210"/>
      <c r="W2" s="211" t="str">
        <f ca="1">"Period Ending: "&amp;TEXT(W3,"m/dd/yy")</f>
        <v>Period Ending: 3/31/2022</v>
      </c>
      <c r="X2" s="2"/>
    </row>
    <row r="3" spans="3:26" ht="18.75" customHeight="1">
      <c r="C3" s="3" t="s">
        <v>1</v>
      </c>
      <c r="D3" s="4" t="s">
        <v>861</v>
      </c>
      <c r="E3" s="5"/>
      <c r="G3" s="1" t="s">
        <v>2</v>
      </c>
      <c r="I3" s="8" t="str">
        <f ca="1">IFERROR(IF(BBswitch=1,_xll.BDP($D$3&amp;" EQUITY","INDUSTRY_SECTOR"),I3)," NA")</f>
        <v>Consumer, Cyclical</v>
      </c>
      <c r="J3" s="1"/>
      <c r="L3" s="1" t="s">
        <v>3</v>
      </c>
      <c r="M3" s="8" t="str">
        <f ca="1">IFERROR(IF(BBswitch=1,_xll.BDP($D$3&amp;" EQUITY","NAME_OF_CHIEF_EXECUTIVE_OFFICER"),M3)," NA")</f>
        <v>Robert D Isom Jr</v>
      </c>
      <c r="Q3" s="206" t="s">
        <v>4</v>
      </c>
      <c r="S3" s="241"/>
      <c r="T3" s="7"/>
      <c r="V3" s="1" t="s">
        <v>5</v>
      </c>
      <c r="W3" s="376" t="str">
        <f ca="1">IFERROR(IF(BBswitch=1,_xll.BDP($D$3&amp;" EQUITY","LATEST_PERIOD_END_DT_FULL_RECORD"),W3)," NA")</f>
        <v>3/31/2022</v>
      </c>
      <c r="X3" s="1"/>
      <c r="Y3" s="206" t="s">
        <v>6</v>
      </c>
      <c r="Z3" s="356" cm="1">
        <f t="array" aca="1" ref="Z3" ca="1">IF(ISERROR(_xll.BDP($D$3&amp;" EQUITY","px_last")),0,1)</f>
        <v>0</v>
      </c>
    </row>
    <row r="4" spans="3:26" ht="18.75" customHeight="1">
      <c r="C4" s="306" t="s">
        <v>7</v>
      </c>
      <c r="D4" s="202"/>
      <c r="E4" s="202"/>
      <c r="G4" s="1" t="s">
        <v>8</v>
      </c>
      <c r="I4" s="8" t="str">
        <f ca="1">IFERROR(IF(BBswitch=1,_xll.BDP($D$3&amp;" EQUITY","INDUSTRY_SUBGROUP"),I4)," NA")</f>
        <v>Airlines</v>
      </c>
      <c r="J4" s="1"/>
      <c r="L4" s="1" t="s">
        <v>9</v>
      </c>
      <c r="M4" s="8" t="str">
        <f ca="1">IFERROR(IF(BBswitch=1,_xll.BDP($D$3&amp;" EQUITY","CHIEF_FINANCIAL_OFFICER_NAME"),M4)," NA")</f>
        <v>Derek J Kerr</v>
      </c>
      <c r="Q4" s="203" t="s">
        <v>10</v>
      </c>
      <c r="S4" s="204"/>
      <c r="T4" s="7"/>
      <c r="V4" s="1" t="s">
        <v>11</v>
      </c>
      <c r="W4" s="376" t="str">
        <f ca="1">IFERROR(IF(BBswitch=1,_xll.BDP($D$3&amp;" EQUITY","EXPECTED_REPORT_PERIOD_END_DATE"),W4)," NA")</f>
        <v>6/30/2022</v>
      </c>
      <c r="X4" s="1"/>
    </row>
    <row r="5" spans="3:26" ht="18.75" customHeight="1" thickBot="1">
      <c r="C5" s="304" t="s">
        <v>12</v>
      </c>
      <c r="D5" s="307"/>
      <c r="E5" s="207"/>
      <c r="G5" s="9" t="s">
        <v>13</v>
      </c>
      <c r="H5" s="10"/>
      <c r="I5" s="375" t="str">
        <f ca="1">IFERROR(IF(BBswitch=1,_xll.BDP($D$3&amp;" EQUITY","CITY_OF_DOMICILE"),I5)," NA")</f>
        <v>Fort Worth</v>
      </c>
      <c r="J5" s="9"/>
      <c r="L5" s="9" t="s">
        <v>14</v>
      </c>
      <c r="M5" s="375" t="str">
        <f ca="1">IFERROR(IF(BBswitch=1,_xll.BDP($D$3&amp;" EQUITY","IR_CONTACT_NAME"),M5)," NA")</f>
        <v>#N/A Field Not Applicable</v>
      </c>
      <c r="N5" s="10"/>
      <c r="Q5" s="206" t="s">
        <v>15</v>
      </c>
      <c r="S5" s="242" t="s">
        <v>16</v>
      </c>
      <c r="T5" s="11"/>
      <c r="U5" s="12"/>
      <c r="V5" s="9" t="s">
        <v>17</v>
      </c>
      <c r="W5" s="13" t="str">
        <f ca="1">IFERROR(IF(BBswitch=1,TEXT(_xll.BDP($D$3&amp;" EQUITY","EQY_FISCAL_YR_END"),"MMMM"),W5)," NA")</f>
        <v>December</v>
      </c>
      <c r="X5" s="1"/>
    </row>
    <row r="6" spans="3:26" ht="18.399999999999999" thickBot="1">
      <c r="C6" s="212" t="s">
        <v>18</v>
      </c>
      <c r="D6" s="213"/>
      <c r="E6" s="213"/>
      <c r="F6" s="213"/>
      <c r="G6" s="213"/>
      <c r="H6" s="213"/>
      <c r="I6" s="213"/>
      <c r="J6" s="209"/>
      <c r="K6" s="209"/>
      <c r="L6" s="214"/>
      <c r="M6" s="215" t="s">
        <v>19</v>
      </c>
      <c r="N6" s="216"/>
      <c r="O6" s="216"/>
      <c r="P6" s="216"/>
      <c r="Q6" s="216"/>
      <c r="R6" s="216"/>
      <c r="S6" s="216"/>
      <c r="T6" s="216"/>
      <c r="U6" s="216"/>
      <c r="V6" s="216"/>
      <c r="W6" s="217"/>
      <c r="X6" s="1"/>
      <c r="Y6" s="1200" t="str">
        <f>+Q3</f>
        <v xml:space="preserve">Opportunity Type: </v>
      </c>
      <c r="Z6" s="1200" t="str">
        <f>+Q5</f>
        <v xml:space="preserve">Rimrock Analyst: </v>
      </c>
    </row>
    <row r="7" spans="3:26" ht="18.399999999999999" thickBot="1">
      <c r="C7" s="14" t="s">
        <v>20</v>
      </c>
      <c r="D7" s="15" t="s">
        <v>21</v>
      </c>
      <c r="E7" s="16" t="s">
        <v>22</v>
      </c>
      <c r="F7" s="17" t="s">
        <v>23</v>
      </c>
      <c r="G7" s="17" t="s">
        <v>24</v>
      </c>
      <c r="H7" s="17" t="s">
        <v>25</v>
      </c>
      <c r="I7" s="16" t="s">
        <v>26</v>
      </c>
      <c r="J7" s="17" t="s">
        <v>27</v>
      </c>
      <c r="K7" s="243" t="s">
        <v>28</v>
      </c>
      <c r="L7" s="244" t="s">
        <v>29</v>
      </c>
      <c r="M7" s="18" t="s">
        <v>30</v>
      </c>
      <c r="N7" s="19"/>
      <c r="O7" s="20"/>
      <c r="P7" s="19"/>
      <c r="Q7" s="891" t="s">
        <v>1841</v>
      </c>
      <c r="R7" s="891"/>
      <c r="S7" s="891"/>
      <c r="T7" s="891"/>
      <c r="U7" s="891"/>
      <c r="V7" s="891"/>
      <c r="W7" s="891"/>
      <c r="X7" s="1"/>
      <c r="Y7" s="206" t="s">
        <v>1857</v>
      </c>
      <c r="Z7" s="206" t="s">
        <v>16</v>
      </c>
    </row>
    <row r="8" spans="3:26" ht="18.399999999999999" thickBot="1">
      <c r="C8" s="308" t="str">
        <f>D76</f>
        <v>AAL 11 ¾ 07/15/25</v>
      </c>
      <c r="D8" s="309">
        <v>2</v>
      </c>
      <c r="E8" s="201">
        <f ca="1">H76</f>
        <v>1.08575</v>
      </c>
      <c r="F8" s="310">
        <f ca="1">E8*D8</f>
        <v>2.1715</v>
      </c>
      <c r="G8" s="311">
        <f ca="1">F76</f>
        <v>2500</v>
      </c>
      <c r="H8" s="201">
        <f ca="1">J76</f>
        <v>8.4826529356696365E-2</v>
      </c>
      <c r="I8" s="312">
        <f ca="1">S76</f>
        <v>522.60044504903021</v>
      </c>
      <c r="J8" s="312">
        <f ca="1">U76</f>
        <v>2.5083439999159585</v>
      </c>
      <c r="K8" s="313">
        <v>80</v>
      </c>
      <c r="L8" s="314">
        <v>0.06</v>
      </c>
      <c r="M8" s="21" t="s">
        <v>31</v>
      </c>
      <c r="N8" s="205" t="s">
        <v>1846</v>
      </c>
      <c r="O8" s="200" t="s">
        <v>1847</v>
      </c>
      <c r="P8" s="1"/>
      <c r="Q8" s="1087" t="s">
        <v>555</v>
      </c>
      <c r="R8" s="1090"/>
      <c r="S8" s="1088"/>
      <c r="T8" s="1088"/>
      <c r="U8" s="1088"/>
      <c r="V8" s="1088"/>
      <c r="W8" s="1090"/>
      <c r="X8" s="23"/>
      <c r="Y8" s="206" t="s">
        <v>1858</v>
      </c>
    </row>
    <row r="9" spans="3:26">
      <c r="C9" s="3">
        <f>D154</f>
        <v>0</v>
      </c>
      <c r="D9" s="309">
        <v>3</v>
      </c>
      <c r="E9" s="201" t="str">
        <f ca="1">H154</f>
        <v/>
      </c>
      <c r="F9" s="310" t="e">
        <f ca="1">E9*D9</f>
        <v>#VALUE!</v>
      </c>
      <c r="G9" s="311">
        <v>3500</v>
      </c>
      <c r="H9" s="1198" t="str">
        <f ca="1">J154</f>
        <v/>
      </c>
      <c r="I9" s="312" t="str">
        <f ca="1">T154</f>
        <v/>
      </c>
      <c r="J9" s="312" t="str">
        <f ca="1">U154</f>
        <v/>
      </c>
      <c r="K9" s="313">
        <v>80</v>
      </c>
      <c r="L9" s="314">
        <v>1.06</v>
      </c>
      <c r="M9" s="3" t="s">
        <v>32</v>
      </c>
      <c r="N9" s="379" t="str">
        <f ca="1">IF(BBswitch=1,IF(_xll.BDP($D$3&amp;" EQUITY","RTG_MOODY_LONG_TERM")="#N/A N/A","NA",_xll.BDP($D$3&amp;" EQUITY","RTG_MOODY_LONG_TERM")),N9)</f>
        <v>B2</v>
      </c>
      <c r="O9" s="379" t="str">
        <f ca="1">IF(BBswitch=1,IF(_xll.BDP($D$3&amp;" EQUITY","RTG_MDY_OUTLOOK")="#N/A N/A","NA",_xll.BDP($D$3&amp;" EQUITY","RTG_MDY_OUTLOOK")),O9)</f>
        <v>STABLE</v>
      </c>
      <c r="P9" s="1"/>
      <c r="Q9" s="1089" t="s">
        <v>268</v>
      </c>
      <c r="R9" s="1090"/>
      <c r="S9" s="1174">
        <f>'AAL KPI'!$AA$13</f>
        <v>46467.995620916234</v>
      </c>
      <c r="T9" s="1082">
        <f>'AAL KPI'!$AA$13</f>
        <v>46467.995620916234</v>
      </c>
      <c r="U9" s="1082">
        <f>'AAL KPI'!$AA$13</f>
        <v>46467.995620916234</v>
      </c>
      <c r="V9" s="1082">
        <f>'AAL KPI'!$AA$13</f>
        <v>46467.995620916234</v>
      </c>
      <c r="W9" s="1083">
        <f>'AAL KPI'!$AA$13</f>
        <v>46467.995620916234</v>
      </c>
      <c r="X9" s="25"/>
      <c r="Y9" s="206" t="s">
        <v>1859</v>
      </c>
    </row>
    <row r="10" spans="3:26">
      <c r="C10" s="3"/>
      <c r="D10" s="7"/>
      <c r="F10" s="1"/>
      <c r="J10" s="1"/>
      <c r="K10" s="1"/>
      <c r="L10" s="24"/>
      <c r="M10" s="3" t="s">
        <v>33</v>
      </c>
      <c r="N10" s="379" t="str">
        <f ca="1">IF(BBswitch=1,IF(_xll.BDP($D$3&amp;" EQUITY","RTG_SP_LT_LC_ISSUER_CREDIT")="#N/A N/A","NA",_xll.BDP($D$3&amp;" EQUITY","RTG_SP_LT_LC_ISSUER_CREDIT")),N10)</f>
        <v>B-</v>
      </c>
      <c r="O10" s="379" t="str">
        <f ca="1">IF(BBswitch=1,IF(_xll.BDP($D$3&amp;" EQUITY","RTG_SP_OUTLOOK")="#N/A N/A","NA",_xll.BDP($D$3&amp;" EQUITY","RTG_SP_OUTLOOK")),O10)</f>
        <v>STABLE</v>
      </c>
      <c r="P10" s="1"/>
      <c r="Q10" s="800" t="s">
        <v>565</v>
      </c>
      <c r="R10" s="802"/>
      <c r="S10" s="1195">
        <v>2.5</v>
      </c>
      <c r="T10" s="1196">
        <f>S10+1</f>
        <v>3.5</v>
      </c>
      <c r="U10" s="1196">
        <v>4</v>
      </c>
      <c r="V10" s="1196">
        <f>U10+1</f>
        <v>5</v>
      </c>
      <c r="W10" s="1197">
        <f>V10+1</f>
        <v>6</v>
      </c>
      <c r="X10" s="25"/>
    </row>
    <row r="11" spans="3:26">
      <c r="C11" s="315"/>
      <c r="D11" s="316"/>
      <c r="E11" s="317"/>
      <c r="F11" s="318"/>
      <c r="G11" s="317"/>
      <c r="H11" s="317"/>
      <c r="I11" s="317"/>
      <c r="J11" s="318"/>
      <c r="K11" s="318"/>
      <c r="L11" s="319"/>
      <c r="M11" s="26"/>
      <c r="P11" s="1"/>
      <c r="Q11" s="800" t="s">
        <v>366</v>
      </c>
      <c r="R11" s="802"/>
      <c r="S11" s="1175">
        <f>'AAL KPI'!$AA$222*'AAL One Pager'!S10</f>
        <v>10021.141216223537</v>
      </c>
      <c r="T11" s="808">
        <f>'AAL KPI'!$AA$222*'AAL One Pager'!T10</f>
        <v>14029.597702712952</v>
      </c>
      <c r="U11" s="808">
        <f>'AAL KPI'!$AA$222*'AAL One Pager'!U10</f>
        <v>16033.82594595766</v>
      </c>
      <c r="V11" s="808">
        <f>'AAL KPI'!$AA$222*'AAL One Pager'!V10</f>
        <v>20042.282432447075</v>
      </c>
      <c r="W11" s="809">
        <f>'AAL KPI'!$AA$222*'AAL One Pager'!W10</f>
        <v>24050.738918936491</v>
      </c>
      <c r="X11" s="1"/>
    </row>
    <row r="12" spans="3:26">
      <c r="C12" s="320" t="s">
        <v>34</v>
      </c>
      <c r="D12" s="317"/>
      <c r="E12" s="317"/>
      <c r="F12" s="317"/>
      <c r="G12" s="317"/>
      <c r="H12" s="317"/>
      <c r="I12" s="317"/>
      <c r="J12" s="317"/>
      <c r="K12" s="317"/>
      <c r="L12" s="319"/>
      <c r="M12" s="26"/>
      <c r="P12" s="1"/>
      <c r="Q12" s="959" t="s">
        <v>566</v>
      </c>
      <c r="R12" s="1094"/>
      <c r="S12" s="1176">
        <f>S11/'AAL KPI'!$AA$121/10</f>
        <v>3.7641496248950745</v>
      </c>
      <c r="T12" s="960">
        <f>T11/'AAL KPI'!$AA$121/10</f>
        <v>5.2698094748531039</v>
      </c>
      <c r="U12" s="960">
        <f>U11/'AAL KPI'!$AA$121/10</f>
        <v>6.0226393998321193</v>
      </c>
      <c r="V12" s="960">
        <f>V11/'AAL KPI'!$AA$121/10</f>
        <v>7.5282992497901491</v>
      </c>
      <c r="W12" s="961">
        <f>W11/'AAL KPI'!$AA$121/10</f>
        <v>9.0339590997481789</v>
      </c>
      <c r="X12" s="1"/>
    </row>
    <row r="13" spans="3:26" ht="18.399999999999999" thickBot="1">
      <c r="C13" s="218" t="s">
        <v>35</v>
      </c>
      <c r="D13" s="219"/>
      <c r="E13" s="220"/>
      <c r="F13" s="221"/>
      <c r="G13" s="220"/>
      <c r="H13" s="220"/>
      <c r="I13" s="220"/>
      <c r="J13" s="221"/>
      <c r="K13" s="221"/>
      <c r="L13" s="222"/>
      <c r="M13" s="27" t="s">
        <v>36</v>
      </c>
      <c r="N13" s="1"/>
      <c r="O13" s="28"/>
      <c r="P13" s="1"/>
      <c r="Q13" s="800" t="s">
        <v>593</v>
      </c>
      <c r="R13" s="802"/>
      <c r="S13" s="1175">
        <f>'AAL KPI'!$AA$252</f>
        <v>33271.452372143489</v>
      </c>
      <c r="T13" s="808">
        <f>'AAL KPI'!$AA$252</f>
        <v>33271.452372143489</v>
      </c>
      <c r="U13" s="808">
        <f>'AAL KPI'!$AA$252</f>
        <v>33271.452372143489</v>
      </c>
      <c r="V13" s="808">
        <f>'AAL KPI'!$AA$252</f>
        <v>33271.452372143489</v>
      </c>
      <c r="W13" s="809">
        <f>'AAL KPI'!$AA$252</f>
        <v>33271.452372143489</v>
      </c>
      <c r="X13" s="1"/>
    </row>
    <row r="14" spans="3:26">
      <c r="C14" s="26"/>
      <c r="L14" s="24"/>
      <c r="M14" s="30" t="s">
        <v>37</v>
      </c>
      <c r="N14" s="1"/>
      <c r="O14" s="31" t="s">
        <v>38</v>
      </c>
      <c r="P14" s="1"/>
      <c r="Q14" s="1098" t="s">
        <v>1796</v>
      </c>
      <c r="R14" s="1095"/>
      <c r="S14" s="1177">
        <f>S9-S11-S13+'AAL KPI'!$AA$27</f>
        <v>5185.0008569203301</v>
      </c>
      <c r="T14" s="1099">
        <f>T9-T11-T13+'AAL KPI'!$AA$27</f>
        <v>1176.5443704309134</v>
      </c>
      <c r="U14" s="1099">
        <f>U9-U11-U13+'AAL KPI'!$AA$27</f>
        <v>-827.68387281379296</v>
      </c>
      <c r="V14" s="1099">
        <f>V9-V11-V13+'AAL KPI'!$AA$27</f>
        <v>-4836.1403593032092</v>
      </c>
      <c r="W14" s="1100">
        <f>W9-W11-W13+'AAL KPI'!$AA$27</f>
        <v>-8844.5968457926265</v>
      </c>
      <c r="X14" s="1"/>
    </row>
    <row r="15" spans="3:26">
      <c r="C15" s="33"/>
      <c r="D15" s="34"/>
      <c r="E15" s="34"/>
      <c r="F15" s="34"/>
      <c r="G15" s="34"/>
      <c r="H15" s="34"/>
      <c r="I15" s="34"/>
      <c r="J15" s="34"/>
      <c r="K15" s="1"/>
      <c r="L15" s="24"/>
      <c r="M15" s="35" t="s">
        <v>39</v>
      </c>
      <c r="N15" s="1"/>
      <c r="O15" s="36"/>
      <c r="P15" s="1"/>
      <c r="Q15" s="959" t="s">
        <v>1711</v>
      </c>
      <c r="R15" s="1094"/>
      <c r="S15" s="1176">
        <f>S14/'AAL KPI'!$AA$121/10</f>
        <v>1.9475944515241868</v>
      </c>
      <c r="T15" s="960">
        <f>T14/'AAL KPI'!$AA$121/10</f>
        <v>0.44193460156615616</v>
      </c>
      <c r="U15" s="960">
        <f>U14/'AAL KPI'!$AA$121/10</f>
        <v>-0.31089532341285836</v>
      </c>
      <c r="V15" s="960">
        <f>V14/'AAL KPI'!$AA$121/10</f>
        <v>-1.8165551733708889</v>
      </c>
      <c r="W15" s="961">
        <f>W14/'AAL KPI'!$AA$121/10</f>
        <v>-3.3222150233289192</v>
      </c>
      <c r="X15" s="1"/>
    </row>
    <row r="16" spans="3:26">
      <c r="C16" s="33"/>
      <c r="D16" s="34"/>
      <c r="E16" s="34"/>
      <c r="F16" s="34"/>
      <c r="G16" s="34"/>
      <c r="H16" s="34"/>
      <c r="I16" s="34"/>
      <c r="J16" s="34"/>
      <c r="K16" s="1"/>
      <c r="L16" s="24"/>
      <c r="M16" s="38" t="s">
        <v>40</v>
      </c>
      <c r="N16" s="39"/>
      <c r="O16" s="40"/>
      <c r="P16" s="1"/>
      <c r="Q16" s="800" t="s">
        <v>1789</v>
      </c>
      <c r="R16" s="1095"/>
      <c r="S16" s="1175">
        <f ca="1">'AAL Financials'!$R$30</f>
        <v>430.0526781293654</v>
      </c>
      <c r="T16" s="808">
        <f ca="1">'AAL Financials'!$R$30</f>
        <v>430.0526781293654</v>
      </c>
      <c r="U16" s="808">
        <f ca="1">'AAL Financials'!$R$30</f>
        <v>430.0526781293654</v>
      </c>
      <c r="V16" s="808">
        <f ca="1">'AAL Financials'!$R$30</f>
        <v>430.0526781293654</v>
      </c>
      <c r="W16" s="809">
        <f ca="1">'AAL Financials'!$R$30</f>
        <v>430.0526781293654</v>
      </c>
      <c r="X16" s="1"/>
    </row>
    <row r="17" spans="3:27" ht="18.399999999999999" thickBot="1">
      <c r="C17" s="33"/>
      <c r="D17" s="34"/>
      <c r="E17" s="34"/>
      <c r="F17" s="34"/>
      <c r="G17" s="34"/>
      <c r="H17" s="34"/>
      <c r="I17" s="34"/>
      <c r="J17" s="34"/>
      <c r="K17" s="1"/>
      <c r="L17" s="24"/>
      <c r="M17" s="35" t="s">
        <v>41</v>
      </c>
      <c r="N17" s="1"/>
      <c r="O17" s="36"/>
      <c r="P17" s="1"/>
      <c r="Q17" s="805" t="s">
        <v>1829</v>
      </c>
      <c r="R17" s="1096"/>
      <c r="S17" s="1178">
        <f ca="1">S14-S16</f>
        <v>4754.9481787909644</v>
      </c>
      <c r="T17" s="1091">
        <f ca="1">T14-T16</f>
        <v>746.49169230154803</v>
      </c>
      <c r="U17" s="1091">
        <f ca="1">U14-U16</f>
        <v>-1257.7365509431584</v>
      </c>
      <c r="V17" s="1091">
        <f ca="1">V14-V16</f>
        <v>-5266.1930374325748</v>
      </c>
      <c r="W17" s="1092">
        <f ca="1">W14-W16</f>
        <v>-9274.6495239219912</v>
      </c>
      <c r="X17" s="1"/>
    </row>
    <row r="18" spans="3:27">
      <c r="C18" s="33"/>
      <c r="D18" s="34"/>
      <c r="E18" s="34"/>
      <c r="F18" s="34"/>
      <c r="G18" s="34"/>
      <c r="H18" s="34"/>
      <c r="I18" s="34"/>
      <c r="J18" s="34"/>
      <c r="K18" s="1"/>
      <c r="L18" s="24"/>
      <c r="M18" s="3" t="s">
        <v>42</v>
      </c>
      <c r="N18" s="1"/>
      <c r="O18" s="36"/>
      <c r="P18" s="1"/>
      <c r="Q18" s="807" t="s">
        <v>594</v>
      </c>
      <c r="R18" s="802"/>
      <c r="S18" s="808">
        <f>'AAL Financials'!$AA$216</f>
        <v>3377.541140348183</v>
      </c>
      <c r="T18" s="808">
        <f>'AAL Financials'!$AA$216</f>
        <v>3377.541140348183</v>
      </c>
      <c r="U18" s="808">
        <f>'AAL Financials'!$AA$216</f>
        <v>3377.541140348183</v>
      </c>
      <c r="V18" s="808">
        <f>'AAL Financials'!$AA$216</f>
        <v>3377.541140348183</v>
      </c>
      <c r="W18" s="809">
        <f>'AAL Financials'!$AA$216</f>
        <v>3377.541140348183</v>
      </c>
      <c r="X18" s="1"/>
    </row>
    <row r="19" spans="3:27">
      <c r="C19" s="33"/>
      <c r="D19" s="34"/>
      <c r="E19" s="34"/>
      <c r="F19" s="34"/>
      <c r="G19" s="34"/>
      <c r="H19" s="34"/>
      <c r="I19" s="34"/>
      <c r="J19" s="34"/>
      <c r="K19" s="1"/>
      <c r="L19" s="24"/>
      <c r="M19" s="3" t="s">
        <v>43</v>
      </c>
      <c r="N19" s="41"/>
      <c r="O19" s="36"/>
      <c r="P19" s="1"/>
      <c r="Q19" s="807" t="s">
        <v>1835</v>
      </c>
      <c r="R19" s="802"/>
      <c r="S19" s="808">
        <f>-SUM('AAL Financials'!$Q$170:$T$170)</f>
        <v>-2307</v>
      </c>
      <c r="T19" s="808">
        <f>-SUM('AAL Financials'!$Q$170:$T$170)</f>
        <v>-2307</v>
      </c>
      <c r="U19" s="808">
        <f>-SUM('AAL Financials'!$Q$170:$T$170)</f>
        <v>-2307</v>
      </c>
      <c r="V19" s="808">
        <f>-SUM('AAL Financials'!$Q$170:$T$170)</f>
        <v>-2307</v>
      </c>
      <c r="W19" s="809">
        <f>-SUM('AAL Financials'!$Q$170:$T$170)</f>
        <v>-2307</v>
      </c>
      <c r="X19" s="1"/>
    </row>
    <row r="20" spans="3:27">
      <c r="C20" s="33"/>
      <c r="D20" s="34"/>
      <c r="E20" s="34"/>
      <c r="F20" s="34"/>
      <c r="G20" s="34"/>
      <c r="H20" s="34"/>
      <c r="I20" s="34"/>
      <c r="J20" s="34"/>
      <c r="K20" s="1"/>
      <c r="L20" s="24"/>
      <c r="M20" s="3" t="s">
        <v>44</v>
      </c>
      <c r="N20" s="41"/>
      <c r="O20" s="36"/>
      <c r="P20" s="1"/>
      <c r="Q20" s="807" t="s">
        <v>1795</v>
      </c>
      <c r="R20" s="24"/>
      <c r="S20" s="808">
        <f>'AAL Financials'!$Q$240-'AAL Debt'!$AA$63+'AAL Debt'!$AA$53</f>
        <v>-1849.26</v>
      </c>
      <c r="T20" s="808">
        <f>'AAL Financials'!$Q$240-'AAL Debt'!$AA$63+'AAL Debt'!$AA$53</f>
        <v>-1849.26</v>
      </c>
      <c r="U20" s="808">
        <f>'AAL Financials'!$Q$240-'AAL Debt'!$AA$63+'AAL Debt'!$AA$53</f>
        <v>-1849.26</v>
      </c>
      <c r="V20" s="808">
        <f>'AAL Financials'!$Q$240-'AAL Debt'!$AA$63+'AAL Debt'!$AA$53</f>
        <v>-1849.26</v>
      </c>
      <c r="W20" s="809">
        <f>'AAL Financials'!$Q$240-'AAL Debt'!$AA$63+'AAL Debt'!$AA$53</f>
        <v>-1849.26</v>
      </c>
    </row>
    <row r="21" spans="3:27">
      <c r="C21" s="33"/>
      <c r="D21" s="34"/>
      <c r="E21" s="34"/>
      <c r="F21" s="34"/>
      <c r="G21" s="34"/>
      <c r="H21" s="34"/>
      <c r="I21" s="34"/>
      <c r="J21" s="34"/>
      <c r="K21" s="1"/>
      <c r="L21" s="24"/>
      <c r="M21" s="3" t="s">
        <v>45</v>
      </c>
      <c r="N21" s="41"/>
      <c r="O21" s="36"/>
      <c r="P21" s="1"/>
      <c r="Q21" s="806" t="s">
        <v>161</v>
      </c>
      <c r="R21" s="1095"/>
      <c r="S21" s="1093">
        <f ca="1">S17+SUM(S18:S20)</f>
        <v>3976.2293191391473</v>
      </c>
      <c r="T21" s="810">
        <f ca="1">T17+SUM(T18:T20)</f>
        <v>-32.227167350268928</v>
      </c>
      <c r="U21" s="810">
        <f ca="1">U17+SUM(U18:U20)</f>
        <v>-2036.4554105949753</v>
      </c>
      <c r="V21" s="810">
        <f ca="1">V17+SUM(V18:V20)</f>
        <v>-6044.911897084392</v>
      </c>
      <c r="W21" s="811">
        <f ca="1">W17+SUM(W18:W20)</f>
        <v>-10053.368383573808</v>
      </c>
    </row>
    <row r="22" spans="3:27">
      <c r="C22" s="33"/>
      <c r="D22" s="34"/>
      <c r="E22" s="34"/>
      <c r="F22" s="34"/>
      <c r="G22" s="34"/>
      <c r="H22" s="34"/>
      <c r="I22" s="34"/>
      <c r="J22" s="34"/>
      <c r="K22" s="1"/>
      <c r="L22" s="24"/>
      <c r="M22" s="1204" t="s">
        <v>46</v>
      </c>
      <c r="N22" s="42"/>
      <c r="O22" s="43"/>
      <c r="P22" s="1"/>
      <c r="Q22" s="800" t="s">
        <v>1713</v>
      </c>
      <c r="R22" s="802"/>
      <c r="S22" s="808">
        <f>'AAL Financials'!$Q$105+'AAL Financials'!$Q$112</f>
        <v>12484</v>
      </c>
      <c r="T22" s="808">
        <f>'AAL Financials'!$Q$105+'AAL Financials'!$Q$112</f>
        <v>12484</v>
      </c>
      <c r="U22" s="808">
        <f>'AAL Financials'!$Q$105+'AAL Financials'!$Q$112</f>
        <v>12484</v>
      </c>
      <c r="V22" s="808">
        <f>'AAL Financials'!$Q$105+'AAL Financials'!$Q$112</f>
        <v>12484</v>
      </c>
      <c r="W22" s="809">
        <f>'AAL Financials'!$Q$105+'AAL Financials'!$Q$112</f>
        <v>12484</v>
      </c>
      <c r="X22" s="44"/>
    </row>
    <row r="23" spans="3:27" ht="20.25">
      <c r="C23" s="33"/>
      <c r="D23" s="34"/>
      <c r="E23" s="34"/>
      <c r="F23" s="34"/>
      <c r="G23" s="34"/>
      <c r="H23" s="34"/>
      <c r="I23" s="34"/>
      <c r="J23" s="34"/>
      <c r="K23" s="1"/>
      <c r="L23" s="24"/>
      <c r="M23" s="1201" t="s">
        <v>1860</v>
      </c>
      <c r="N23" s="1"/>
      <c r="O23" s="1202"/>
      <c r="P23" s="46"/>
      <c r="Q23" s="800" t="s">
        <v>248</v>
      </c>
      <c r="R23" s="802"/>
      <c r="S23" s="803">
        <f>$S$29</f>
        <v>3063</v>
      </c>
      <c r="T23" s="803">
        <f>$S$29</f>
        <v>3063</v>
      </c>
      <c r="U23" s="803">
        <f>$S$29</f>
        <v>3063</v>
      </c>
      <c r="V23" s="803">
        <f>$S$29</f>
        <v>3063</v>
      </c>
      <c r="W23" s="804">
        <f>$S$29</f>
        <v>3063</v>
      </c>
      <c r="X23" s="44"/>
    </row>
    <row r="24" spans="3:27" ht="18.399999999999999" thickBot="1">
      <c r="C24" s="47"/>
      <c r="D24" s="48"/>
      <c r="E24" s="48"/>
      <c r="F24" s="48"/>
      <c r="G24" s="48"/>
      <c r="H24" s="48"/>
      <c r="I24" s="48"/>
      <c r="J24" s="48"/>
      <c r="K24" s="9"/>
      <c r="L24" s="49"/>
      <c r="M24" s="45" t="s">
        <v>47</v>
      </c>
      <c r="N24" s="51"/>
      <c r="O24" s="1203">
        <f>SUM(O15:O23)</f>
        <v>0</v>
      </c>
      <c r="P24" s="51"/>
      <c r="Q24" s="812" t="s">
        <v>1576</v>
      </c>
      <c r="R24" s="1097"/>
      <c r="S24" s="813">
        <f ca="1">SUM(S21,S22,S23)</f>
        <v>19523.229319139147</v>
      </c>
      <c r="T24" s="813">
        <f ca="1">SUM(T21,T22,T23)</f>
        <v>15514.772832649731</v>
      </c>
      <c r="U24" s="813">
        <f ca="1">SUM(U21,U22,U23)</f>
        <v>13510.544589405024</v>
      </c>
      <c r="V24" s="813">
        <f ca="1">SUM(V21,V22,V23)</f>
        <v>9502.088102915608</v>
      </c>
      <c r="W24" s="814">
        <f ca="1">SUM(W21,W22,W23)</f>
        <v>5493.6316164261916</v>
      </c>
      <c r="X24" s="44"/>
    </row>
    <row r="25" spans="3:27" ht="18.399999999999999" thickBot="1">
      <c r="C25" s="230" t="s">
        <v>48</v>
      </c>
      <c r="D25" s="1162"/>
      <c r="E25" s="1163"/>
      <c r="F25" s="231"/>
      <c r="G25" s="1163"/>
      <c r="H25" s="231"/>
      <c r="I25" s="231"/>
      <c r="J25" s="231"/>
      <c r="K25" s="231"/>
      <c r="L25" s="231"/>
      <c r="M25" s="231"/>
      <c r="N25" s="1164"/>
      <c r="O25" s="1164"/>
      <c r="P25" s="231"/>
      <c r="Q25" s="231"/>
      <c r="R25" s="1165"/>
      <c r="S25" s="1165"/>
      <c r="T25" s="1165"/>
      <c r="U25" s="1165"/>
      <c r="V25" s="1165"/>
      <c r="W25" s="1166" t="s">
        <v>49</v>
      </c>
      <c r="X25" s="44"/>
    </row>
    <row r="26" spans="3:27" ht="18.75" customHeight="1">
      <c r="C26" s="18"/>
      <c r="D26" s="19"/>
      <c r="E26" s="19"/>
      <c r="F26" s="19"/>
      <c r="G26" s="19"/>
      <c r="H26" s="19"/>
      <c r="I26" s="19"/>
      <c r="J26" s="20"/>
      <c r="K26" s="1167" t="s">
        <v>50</v>
      </c>
      <c r="L26" s="19"/>
      <c r="M26" s="20"/>
      <c r="N26" s="1167" t="s">
        <v>51</v>
      </c>
      <c r="O26" s="19"/>
      <c r="P26" s="19"/>
      <c r="Q26" s="1168" t="s">
        <v>45</v>
      </c>
      <c r="R26" s="1169"/>
      <c r="S26" s="1170"/>
      <c r="T26" s="20"/>
      <c r="U26" s="1171"/>
      <c r="V26" s="1171" t="s">
        <v>52</v>
      </c>
      <c r="W26" s="1172"/>
      <c r="X26" s="44"/>
    </row>
    <row r="27" spans="3:27" ht="18.75" customHeight="1">
      <c r="C27" s="57" t="s">
        <v>53</v>
      </c>
      <c r="D27" s="58" t="s">
        <v>54</v>
      </c>
      <c r="E27" s="58" t="s">
        <v>55</v>
      </c>
      <c r="F27" s="39" t="s">
        <v>56</v>
      </c>
      <c r="G27" s="39" t="s">
        <v>57</v>
      </c>
      <c r="H27" s="58" t="s">
        <v>58</v>
      </c>
      <c r="I27" s="58" t="s">
        <v>25</v>
      </c>
      <c r="J27" s="103" t="s">
        <v>59</v>
      </c>
      <c r="K27" s="58" t="s">
        <v>60</v>
      </c>
      <c r="L27" s="59" t="s">
        <v>61</v>
      </c>
      <c r="M27" s="59" t="s">
        <v>62</v>
      </c>
      <c r="N27" s="59" t="str">
        <f>K27</f>
        <v>Leverage</v>
      </c>
      <c r="O27" s="59" t="str">
        <f>L27</f>
        <v xml:space="preserve">x FCF </v>
      </c>
      <c r="P27" s="59" t="str">
        <f>M27</f>
        <v>Int. Cov.</v>
      </c>
      <c r="Q27" s="60" t="s">
        <v>63</v>
      </c>
      <c r="R27" s="1"/>
      <c r="S27" s="61" t="s">
        <v>64</v>
      </c>
      <c r="U27" s="62"/>
      <c r="V27" s="63" t="s">
        <v>65</v>
      </c>
      <c r="W27" s="1173" t="s">
        <v>64</v>
      </c>
      <c r="X27" s="44"/>
      <c r="Z27" s="1018">
        <f>'AAL Debt'!D14</f>
        <v>0.1075</v>
      </c>
      <c r="AA27" s="883">
        <f>'AAL Debt'!Q14</f>
        <v>1000</v>
      </c>
    </row>
    <row r="28" spans="3:27" ht="18.75" customHeight="1">
      <c r="C28" s="64" t="s">
        <v>1759</v>
      </c>
      <c r="D28" s="303"/>
      <c r="E28" s="1043">
        <f ca="1">SUM(F76:F93)</f>
        <v>27233.885999999999</v>
      </c>
      <c r="F28" s="1044">
        <f ca="1">SUMPRODUCT($F$76:$F$93,G76:G93)/SUM($F$76:$F$93)</f>
        <v>5.1690507946372401E-2</v>
      </c>
      <c r="G28" s="1044">
        <f ca="1">SUMPRODUCT($F$76:$F$93,H76:H93)/SUM($F$76:$F$93)</f>
        <v>0.98567983754136312</v>
      </c>
      <c r="H28" s="1044">
        <f ca="1">SUMPRODUCT($F$76:$F$93,I76:I93)/SUM($F$76:$F$93)</f>
        <v>5.1210322336784457E-2</v>
      </c>
      <c r="I28" s="1044">
        <f ca="1">SUMPRODUCT($F$76:$F$93,J76:J93)/SUM($F$76:$F$93)</f>
        <v>3.3009121253003669E-2</v>
      </c>
      <c r="J28" s="199">
        <f ca="1">IFERROR(K28/$K$35,"NM ")</f>
        <v>0.94952097657882395</v>
      </c>
      <c r="K28" s="65">
        <f ca="1">IF($E$36&lt;=0,"NM ",SUM(E28:E$28)/$E$36)</f>
        <v>83.679468475178439</v>
      </c>
      <c r="L28" s="65" t="str" cm="1">
        <f t="array" aca="1" ref="L28" ca="1">IF(($J$51*$J$43)&lt;=0,"NM ",SUM(E28:E$28/($J$51*$J$43)))</f>
        <v xml:space="preserve">NM </v>
      </c>
      <c r="M28" s="65">
        <f ca="1">IF($E$36&lt;0,"NM ",$E$36/SUMPRODUCT($E$28:E28,$F$28:F28))</f>
        <v>0.23119066128118779</v>
      </c>
      <c r="N28" s="65">
        <f ca="1">IFERROR(K28*G28,"NM ")</f>
        <v>82.481164892161502</v>
      </c>
      <c r="O28" s="65" t="str">
        <f ca="1">IFERROR(L28*G28,"NM ")</f>
        <v xml:space="preserve">NM </v>
      </c>
      <c r="P28" s="65">
        <f ca="1">IFERROR(M28*(F28/H28),"NM ")</f>
        <v>0.23335847479128954</v>
      </c>
      <c r="Q28" s="66" t="s">
        <v>67</v>
      </c>
      <c r="R28" s="67"/>
      <c r="S28" s="629">
        <f>-E31</f>
        <v>13300</v>
      </c>
      <c r="U28" s="68"/>
      <c r="V28" s="69">
        <v>2022</v>
      </c>
      <c r="W28" s="370">
        <f>'AAL Debt'!AA63-'AAL Debt'!AA53</f>
        <v>1188.26</v>
      </c>
      <c r="X28" s="44"/>
      <c r="Z28" s="1018">
        <f>'AAL Debt'!D15</f>
        <v>0.1075</v>
      </c>
      <c r="AA28" s="883">
        <f>'AAL Debt'!Q15</f>
        <v>200</v>
      </c>
    </row>
    <row r="29" spans="3:27" ht="18.75" customHeight="1">
      <c r="C29" s="64" t="s">
        <v>1766</v>
      </c>
      <c r="D29" s="322"/>
      <c r="E29" s="1043">
        <f ca="1">SUM(F94:F99)</f>
        <v>5246</v>
      </c>
      <c r="F29" s="1044">
        <f ca="1">SUMPRODUCT($F$94:$F$99,G94:G99)/SUM($F$94:$F$99)</f>
        <v>3.0245901639344264E-2</v>
      </c>
      <c r="G29" s="1044">
        <f ca="1">SUMPRODUCT($F$94:$F$99,H94:H99)/SUM($F$94:$F$99)</f>
        <v>1.0202945101029357</v>
      </c>
      <c r="H29" s="1044">
        <f ca="1">SUMPRODUCT($F$94:$F$99,I94:I99)/SUM($F$94:$F$99)</f>
        <v>2.8987679561667586E-2</v>
      </c>
      <c r="I29" s="1044">
        <f ca="1">SUMPRODUCT($F$94:$F$99,J94:J99)/SUM($F$94:$F$99)</f>
        <v>9.9229335111147531E-3</v>
      </c>
      <c r="J29" s="1052">
        <f t="shared" ref="J29:J35" ca="1" si="0">IFERROR(K29/$K$35,"NM ")</f>
        <v>1.1324249897311338</v>
      </c>
      <c r="K29" s="65">
        <f ca="1">IF($E$36&lt;=0,"NM ",SUM(E$28:E29)/$E$36)</f>
        <v>99.798449498334151</v>
      </c>
      <c r="L29" s="65" t="str" cm="1">
        <f t="array" aca="1" ref="L29" ca="1">IF(($J$51*$J$43)&lt;=0,"NM ",SUM(E$28:E29/($J$51*$J$43)))</f>
        <v xml:space="preserve">NM </v>
      </c>
      <c r="M29" s="65">
        <f ca="1">IF($E$36&lt;0,"NM ",$E$36/SUMPRODUCT($E$28:E29,$F$28:F29))</f>
        <v>0.2077720309275746</v>
      </c>
      <c r="N29" s="65">
        <f ca="1">IFERROR(K29*G29,"NM ")</f>
        <v>101.82381013993542</v>
      </c>
      <c r="O29" s="65" t="str">
        <f ca="1">IFERROR(L29*G29,"NM ")</f>
        <v xml:space="preserve">NM </v>
      </c>
      <c r="P29" s="65">
        <f ca="1">IFERROR(M29*(F29/H29),"NM ")</f>
        <v>0.21679046083951875</v>
      </c>
      <c r="Q29" s="70" t="s">
        <v>68</v>
      </c>
      <c r="R29" s="1"/>
      <c r="S29" s="1045">
        <v>3063</v>
      </c>
      <c r="U29" s="68"/>
      <c r="V29" s="69">
        <f>V28+1</f>
        <v>2023</v>
      </c>
      <c r="W29" s="370">
        <f>'AAL Debt'!AB63-'AAL Debt'!AB53</f>
        <v>3035.4299999999994</v>
      </c>
      <c r="X29" s="44"/>
    </row>
    <row r="30" spans="3:27" ht="18.75" customHeight="1">
      <c r="C30" s="74" t="s">
        <v>69</v>
      </c>
      <c r="D30" s="75"/>
      <c r="E30" s="76">
        <f ca="1">SUM(E28:E29)+'AAL Debt'!Q35</f>
        <v>32040.885999999999</v>
      </c>
      <c r="F30" s="77">
        <f ca="1">SUMPRODUCT($E$28:$E$29,F28:F29)/SUM($E$28:$E$29)</f>
        <v>4.8226874955583289E-2</v>
      </c>
      <c r="G30" s="77">
        <f ca="1">SUMPRODUCT($E$28:$E$29,G28:G29)/SUM($E$28:$E$29)</f>
        <v>0.99127063832982676</v>
      </c>
      <c r="H30" s="77">
        <f ca="1">SUMPRODUCT($E$28:$E$29,H28:H29)/SUM($E$28:$E$29)</f>
        <v>4.7621024517258151E-2</v>
      </c>
      <c r="I30" s="77">
        <f ca="1">SUMPRODUCT($E$28:$E$29,I28:I29)/SUM($E$28:$E$29)</f>
        <v>2.9280347670056078E-2</v>
      </c>
      <c r="J30" s="323">
        <f t="shared" ca="1" si="0"/>
        <v>1.1171190686915105</v>
      </c>
      <c r="K30" s="78">
        <f ca="1">IF($E$36&lt;=0,"NM ",E30/$E$36)</f>
        <v>98.449567937303769</v>
      </c>
      <c r="L30" s="78" t="str">
        <f ca="1">IF(($J$51*$J$43)&lt;=0,"NM ",E30/($J$51*$J$43))</f>
        <v xml:space="preserve">NM </v>
      </c>
      <c r="M30" s="78">
        <f ca="1">IF($E$36&lt;0,"NM ",$E$36/(E30*F30))</f>
        <v>0.21061876623873937</v>
      </c>
      <c r="N30" s="78">
        <f ca="1">IFERROR(K30*G30,"NM ")</f>
        <v>97.59016605250676</v>
      </c>
      <c r="O30" s="78" t="str">
        <f ca="1">IFERROR(L30*G30,"NM ")</f>
        <v xml:space="preserve">NM </v>
      </c>
      <c r="P30" s="78">
        <f ca="1">IFERROR(M30*(F30/H30),"NM ")</f>
        <v>0.21329832790585548</v>
      </c>
      <c r="Q30" s="70" t="s">
        <v>70</v>
      </c>
      <c r="R30" s="1"/>
      <c r="S30" s="373">
        <f>S29</f>
        <v>3063</v>
      </c>
      <c r="U30" s="68"/>
      <c r="V30" s="69">
        <f>V29+1</f>
        <v>2024</v>
      </c>
      <c r="W30" s="370">
        <f>'AAL Debt'!AC63-'AAL Debt'!AC53</f>
        <v>2817.0699999999997</v>
      </c>
      <c r="X30" s="44"/>
      <c r="Z30" s="958"/>
      <c r="AA30" s="958"/>
    </row>
    <row r="31" spans="3:27" ht="18.75" customHeight="1">
      <c r="C31" s="80" t="s">
        <v>71</v>
      </c>
      <c r="D31" s="62"/>
      <c r="E31" s="81">
        <f>-'AAL Calculation'!$U$26-'AAL Financials'!Q110</f>
        <v>-13300</v>
      </c>
      <c r="F31" s="81"/>
      <c r="G31" s="82"/>
      <c r="H31" s="82"/>
      <c r="I31" s="82"/>
      <c r="J31" s="199">
        <f t="shared" ca="1" si="0"/>
        <v>-0.46371013628016067</v>
      </c>
      <c r="K31" s="83">
        <f>IF($E$36&lt;=0,"NM ",E31/$E$36)</f>
        <v>-40.865887839872478</v>
      </c>
      <c r="L31" s="83" t="str">
        <f ca="1">IF(($J$51*$J$43)&lt;=0,"NM ",E31/($J$51*$J$43))</f>
        <v xml:space="preserve">NM </v>
      </c>
      <c r="M31" s="83"/>
      <c r="N31" s="83">
        <f>K31</f>
        <v>-40.865887839872478</v>
      </c>
      <c r="O31" s="83" t="str">
        <f ca="1">L31</f>
        <v xml:space="preserve">NM </v>
      </c>
      <c r="P31" s="83"/>
      <c r="Q31" s="70" t="s">
        <v>72</v>
      </c>
      <c r="R31" s="1"/>
      <c r="S31" s="374">
        <f>-'AAL Debt'!P135</f>
        <v>0</v>
      </c>
      <c r="U31" s="71"/>
      <c r="V31" s="69">
        <f>V30+1</f>
        <v>2025</v>
      </c>
      <c r="W31" s="370">
        <f>'AAL Debt'!AD63-'AAL Debt'!AC53</f>
        <v>7630.1074999999992</v>
      </c>
      <c r="X31" s="1"/>
      <c r="Z31" s="1018">
        <f>'AAL Debt'!D26</f>
        <v>0.03</v>
      </c>
      <c r="AA31" s="803">
        <f>'AAL Debt'!Q26</f>
        <v>80</v>
      </c>
    </row>
    <row r="32" spans="3:27" ht="18.75" customHeight="1">
      <c r="C32" s="85" t="s">
        <v>73</v>
      </c>
      <c r="D32" s="86"/>
      <c r="E32" s="87">
        <f ca="1">E30+E31</f>
        <v>18740.885999999999</v>
      </c>
      <c r="F32" s="86"/>
      <c r="G32" s="82"/>
      <c r="H32" s="82"/>
      <c r="I32" s="82"/>
      <c r="J32" s="199">
        <f t="shared" ca="1" si="0"/>
        <v>0.65340893241134979</v>
      </c>
      <c r="K32" s="65">
        <f ca="1">IFERROR(K30+K31,"NM ")</f>
        <v>57.583680097431291</v>
      </c>
      <c r="L32" s="65" t="str">
        <f ca="1">IFERROR(L30+L31,"NM ")</f>
        <v xml:space="preserve">NM </v>
      </c>
      <c r="M32" s="65"/>
      <c r="N32" s="65">
        <f ca="1">IFERROR(N30+N31,"NM ")</f>
        <v>56.724278212634282</v>
      </c>
      <c r="O32" s="65" t="str">
        <f ca="1">IFERROR(O30+O31,"NM ")</f>
        <v xml:space="preserve">NM </v>
      </c>
      <c r="P32" s="65"/>
      <c r="Q32" s="60" t="s">
        <v>74</v>
      </c>
      <c r="R32" s="1"/>
      <c r="S32" s="1046">
        <v>0</v>
      </c>
      <c r="U32" s="72"/>
      <c r="V32" s="73">
        <f>V31+1</f>
        <v>2026</v>
      </c>
      <c r="W32" s="1047">
        <v>4434</v>
      </c>
      <c r="X32" s="1"/>
      <c r="Z32" s="1018">
        <f>'AAL Debt'!D27</f>
        <v>0.02</v>
      </c>
      <c r="AA32" s="883">
        <f>'AAL Debt'!Q27</f>
        <v>1765</v>
      </c>
    </row>
    <row r="33" spans="3:27" ht="18.75" customHeight="1">
      <c r="C33" s="90" t="s">
        <v>75</v>
      </c>
      <c r="D33" s="86"/>
      <c r="E33" s="1012">
        <v>0</v>
      </c>
      <c r="F33" s="86"/>
      <c r="G33" s="86"/>
      <c r="H33" s="86"/>
      <c r="I33" s="86"/>
      <c r="J33" s="199">
        <f t="shared" ca="1" si="0"/>
        <v>0</v>
      </c>
      <c r="K33" s="65">
        <f>IF($E$36&lt;=0,"NM ",E33/$E$36)</f>
        <v>0</v>
      </c>
      <c r="L33" s="65" t="str">
        <f ca="1">IF(($J$51*$J$43)&lt;=0,"NM ",E33/($J$51*$J$43))</f>
        <v xml:space="preserve">NM </v>
      </c>
      <c r="M33" s="65"/>
      <c r="N33" s="65">
        <f>K33</f>
        <v>0</v>
      </c>
      <c r="O33" s="65" t="str">
        <f ca="1">L33</f>
        <v xml:space="preserve">NM </v>
      </c>
      <c r="P33" s="65"/>
      <c r="Q33" s="70" t="s">
        <v>76</v>
      </c>
      <c r="R33" s="206"/>
      <c r="S33" s="630">
        <f>S30+S31+S32</f>
        <v>3063</v>
      </c>
      <c r="T33" s="206"/>
      <c r="U33" s="1"/>
      <c r="V33" s="79" t="s">
        <v>77</v>
      </c>
      <c r="W33" s="371">
        <f ca="1">SUM(E28:E29)-SUM(W28:W32)</f>
        <v>13375.018499999998</v>
      </c>
      <c r="X33" s="1"/>
      <c r="Z33" s="958"/>
      <c r="AA33" s="958"/>
    </row>
    <row r="34" spans="3:27" ht="18.75" customHeight="1">
      <c r="C34" s="91" t="s">
        <v>78</v>
      </c>
      <c r="D34" s="62"/>
      <c r="E34" s="92">
        <f ca="1">IF(BBswitch=1,_xll.BDP($D$3&amp;" EQUITY","CUR MKT CAP")/10^6,E34)</f>
        <v>9940.8247486399996</v>
      </c>
      <c r="F34" s="88"/>
      <c r="G34" s="82"/>
      <c r="H34" s="82"/>
      <c r="I34" s="82"/>
      <c r="J34" s="199">
        <f t="shared" ca="1" si="0"/>
        <v>0.34659106758865016</v>
      </c>
      <c r="K34" s="83">
        <f ca="1">IF($E$36&lt;=0,"NM ",E34/$E$36)</f>
        <v>30.544408211560203</v>
      </c>
      <c r="L34" s="83" t="str">
        <f ca="1">IF(($J$51*$J$43)&lt;=0,"NM ",E34/($J$51*$J$43))</f>
        <v xml:space="preserve">NM </v>
      </c>
      <c r="M34" s="83"/>
      <c r="N34" s="83">
        <f ca="1">K34</f>
        <v>30.544408211560203</v>
      </c>
      <c r="O34" s="83" t="str">
        <f ca="1">L34</f>
        <v xml:space="preserve">NM </v>
      </c>
      <c r="P34" s="65"/>
      <c r="Q34" s="84" t="s">
        <v>79</v>
      </c>
      <c r="R34" s="67"/>
      <c r="S34" s="631">
        <f>S33+S28</f>
        <v>16363</v>
      </c>
      <c r="T34" s="206"/>
      <c r="U34" s="1"/>
      <c r="V34" s="1"/>
      <c r="W34" s="22"/>
      <c r="X34" s="1"/>
    </row>
    <row r="35" spans="3:27" ht="18.75" customHeight="1">
      <c r="C35" s="64" t="s">
        <v>80</v>
      </c>
      <c r="D35" s="86"/>
      <c r="E35" s="87">
        <f ca="1">E34+E32+E33</f>
        <v>28681.710748639998</v>
      </c>
      <c r="F35" s="93"/>
      <c r="G35" s="82"/>
      <c r="H35" s="82"/>
      <c r="I35" s="65"/>
      <c r="J35" s="199">
        <f t="shared" ca="1" si="0"/>
        <v>1</v>
      </c>
      <c r="K35" s="65">
        <f ca="1">IFERROR(K34+K32+K33,"NM ")</f>
        <v>88.128088308991494</v>
      </c>
      <c r="L35" s="65" t="str">
        <f ca="1">IFERROR(L34+L32+L33,"NM ")</f>
        <v xml:space="preserve">NM </v>
      </c>
      <c r="M35" s="65"/>
      <c r="N35" s="65">
        <f ca="1">IFERROR(N34+N32+N33,"NM ")</f>
        <v>87.268686424194485</v>
      </c>
      <c r="O35" s="65" t="str">
        <f ca="1">IFERROR(O34+O32+O33,"NM ")</f>
        <v xml:space="preserve">NM </v>
      </c>
      <c r="P35" s="94"/>
      <c r="Q35" s="32"/>
      <c r="U35" s="89"/>
      <c r="V35" s="89"/>
      <c r="W35" s="22"/>
      <c r="X35" s="1"/>
    </row>
    <row r="36" spans="3:27" ht="18.75" customHeight="1">
      <c r="C36" s="95" t="s">
        <v>1767</v>
      </c>
      <c r="D36" s="96"/>
      <c r="E36" s="97">
        <f>J48</f>
        <v>325.45481581396871</v>
      </c>
      <c r="P36" s="206"/>
      <c r="Q36" s="32"/>
      <c r="R36" s="206"/>
      <c r="S36" s="1"/>
      <c r="T36" s="206"/>
      <c r="U36" s="1"/>
      <c r="V36" s="1"/>
      <c r="W36" s="22"/>
      <c r="X36" s="1"/>
    </row>
    <row r="37" spans="3:27" ht="18.75" customHeight="1">
      <c r="C37" s="33"/>
      <c r="Q37" s="29"/>
      <c r="T37" s="206"/>
      <c r="U37" s="1"/>
      <c r="V37" s="1"/>
      <c r="W37" s="22"/>
      <c r="X37" s="1"/>
    </row>
    <row r="38" spans="3:27" ht="18.75" customHeight="1">
      <c r="C38" s="33"/>
      <c r="Q38" s="29"/>
      <c r="T38" s="206"/>
      <c r="U38" s="1"/>
      <c r="V38" s="1"/>
      <c r="W38" s="22"/>
      <c r="X38" s="1"/>
      <c r="Z38" s="1018">
        <f>'AAL Debt'!D19</f>
        <v>3.8100000000000002E-2</v>
      </c>
      <c r="AA38" s="883">
        <f>'AAL Debt'!Q19</f>
        <v>8604</v>
      </c>
    </row>
    <row r="39" spans="3:27" ht="18.75" customHeight="1">
      <c r="C39" s="33"/>
      <c r="Q39" s="29"/>
      <c r="T39" s="206"/>
      <c r="U39" s="1"/>
      <c r="V39" s="1"/>
      <c r="W39" s="22"/>
      <c r="X39" s="1"/>
    </row>
    <row r="40" spans="3:27" ht="18.75" customHeight="1" thickBot="1">
      <c r="C40" s="50"/>
      <c r="D40" s="51"/>
      <c r="E40" s="51"/>
      <c r="F40" s="10"/>
      <c r="G40" s="10"/>
      <c r="H40" s="10"/>
      <c r="I40" s="10"/>
      <c r="J40" s="10"/>
      <c r="K40" s="10"/>
      <c r="L40" s="10"/>
      <c r="M40" s="10"/>
      <c r="N40" s="10"/>
      <c r="O40" s="10"/>
      <c r="P40" s="51"/>
      <c r="Q40" s="98"/>
      <c r="R40" s="10"/>
      <c r="S40" s="10"/>
      <c r="T40" s="51"/>
      <c r="U40" s="9"/>
      <c r="V40" s="9"/>
      <c r="W40" s="99"/>
      <c r="X40" s="100"/>
    </row>
    <row r="41" spans="3:27" ht="18.75" customHeight="1">
      <c r="C41" s="230" t="s">
        <v>81</v>
      </c>
      <c r="D41" s="231"/>
      <c r="E41" s="232"/>
      <c r="F41" s="232"/>
      <c r="G41" s="232"/>
      <c r="H41" s="232"/>
      <c r="I41" s="232"/>
      <c r="J41" s="232"/>
      <c r="K41" s="232"/>
      <c r="L41" s="232"/>
      <c r="M41" s="232"/>
      <c r="N41" s="232"/>
      <c r="O41" s="232"/>
      <c r="P41" s="233"/>
      <c r="Q41" s="234" t="s">
        <v>82</v>
      </c>
      <c r="R41" s="235"/>
      <c r="S41" s="235"/>
      <c r="T41" s="235"/>
      <c r="U41" s="235"/>
      <c r="V41" s="235"/>
      <c r="W41" s="236"/>
      <c r="X41" s="1"/>
      <c r="Z41" s="1018">
        <f>'AAL Debt'!D22</f>
        <v>2.12E-2</v>
      </c>
      <c r="AA41" s="883">
        <f>'AAL Debt'!Q22</f>
        <v>3306</v>
      </c>
    </row>
    <row r="42" spans="3:27" ht="18.75" customHeight="1">
      <c r="C42" s="57"/>
      <c r="D42" s="39"/>
      <c r="E42" s="101" t="str">
        <f>+'AAL Calculation'!G5</f>
        <v>FY18A</v>
      </c>
      <c r="F42" s="102" t="str">
        <f>+'AAL Calculation'!H5</f>
        <v>FY19A</v>
      </c>
      <c r="G42" s="102" t="str">
        <f>+'AAL Calculation'!I5</f>
        <v>FY20A</v>
      </c>
      <c r="H42" s="102" t="str">
        <f>+'AAL Calculation'!J5</f>
        <v>FY21A</v>
      </c>
      <c r="I42" s="103" t="str">
        <f>+'AAL Calculation'!K5</f>
        <v>LTM</v>
      </c>
      <c r="J42" s="104" t="str">
        <f>+'AAL Calculation'!L5</f>
        <v>FY22E</v>
      </c>
      <c r="K42" s="105" t="str">
        <f>+'AAL Calculation'!M5</f>
        <v>FY23E</v>
      </c>
      <c r="L42" s="103" t="str">
        <f>+'AAL Calculation'!R5</f>
        <v>Q221A</v>
      </c>
      <c r="M42" s="103" t="str">
        <f>+'AAL Calculation'!S5</f>
        <v>Q321A</v>
      </c>
      <c r="N42" s="103" t="str">
        <f>+'AAL Calculation'!T5</f>
        <v>Q421A</v>
      </c>
      <c r="O42" s="103" t="str">
        <f>+'AAL Calculation'!U5</f>
        <v>Q122A</v>
      </c>
      <c r="P42" s="103" t="str">
        <f>+'AAL Calculation'!V5</f>
        <v>Q222E</v>
      </c>
      <c r="Q42" s="26"/>
      <c r="W42" s="22"/>
      <c r="X42" s="1"/>
      <c r="Z42" s="1020">
        <f>'AAL Debt'!D23</f>
        <v>3.8100000000000002E-2</v>
      </c>
      <c r="AA42" s="883">
        <f>'AAL Debt'!Q23</f>
        <v>0</v>
      </c>
    </row>
    <row r="43" spans="3:27" ht="18.75" customHeight="1">
      <c r="C43" s="106" t="str">
        <f>'AAL Calculation'!C36</f>
        <v xml:space="preserve">Revenue </v>
      </c>
      <c r="D43" s="67"/>
      <c r="E43" s="107">
        <f>'AAL Calculation'!G36</f>
        <v>44541</v>
      </c>
      <c r="F43" s="107">
        <f>'AAL Calculation'!H36</f>
        <v>45768</v>
      </c>
      <c r="G43" s="107">
        <f>'AAL Calculation'!I36</f>
        <v>17337</v>
      </c>
      <c r="H43" s="107">
        <f>'AAL Calculation'!J36</f>
        <v>29882</v>
      </c>
      <c r="I43" s="107">
        <f>'AAL Calculation'!K36</f>
        <v>34773</v>
      </c>
      <c r="J43" s="108">
        <f>'AAL Calculation'!L36</f>
        <v>46467.995620916234</v>
      </c>
      <c r="K43" s="109">
        <f>'AAL Calculation'!M36</f>
        <v>49978.865943105717</v>
      </c>
      <c r="L43" s="107">
        <f>'AAL Calculation'!R36</f>
        <v>7478</v>
      </c>
      <c r="M43" s="107">
        <f>'AAL Calculation'!S36</f>
        <v>8969</v>
      </c>
      <c r="N43" s="107">
        <f>'AAL Calculation'!T36</f>
        <v>9427</v>
      </c>
      <c r="O43" s="107">
        <f>'AAL Calculation'!U36</f>
        <v>8899</v>
      </c>
      <c r="P43" s="107">
        <f>'AAL Calculation'!V36</f>
        <v>12795.926602840585</v>
      </c>
      <c r="Q43" s="26"/>
      <c r="T43" s="206"/>
      <c r="U43" s="1"/>
      <c r="V43" s="1"/>
      <c r="W43" s="22"/>
      <c r="X43" s="1"/>
      <c r="Z43" s="1018">
        <f>'AAL Debt'!D24</f>
        <v>3.8150000000000003E-2</v>
      </c>
      <c r="AA43" s="883">
        <f>'AAL Debt'!Q24</f>
        <v>979</v>
      </c>
    </row>
    <row r="44" spans="3:27" ht="18.75" customHeight="1">
      <c r="C44" s="57" t="str">
        <f>'AAL Calculation'!C37</f>
        <v>Revenue Growth</v>
      </c>
      <c r="D44" s="39"/>
      <c r="E44" s="110">
        <f>'AAL Calculation'!G37</f>
        <v>4.502369668246442E-2</v>
      </c>
      <c r="F44" s="110">
        <f>'AAL Calculation'!H37</f>
        <v>2.7547652724456029E-2</v>
      </c>
      <c r="G44" s="110">
        <f>'AAL Calculation'!I37</f>
        <v>-0.62119821709491352</v>
      </c>
      <c r="H44" s="110">
        <f>'AAL Calculation'!J37</f>
        <v>0.72359693141835391</v>
      </c>
      <c r="I44" s="110">
        <f>'AAL Calculation'!K37</f>
        <v>1.7102883865939207</v>
      </c>
      <c r="J44" s="111">
        <f>'AAL Calculation'!L37</f>
        <v>0.55504971624778232</v>
      </c>
      <c r="K44" s="112">
        <f>'AAL Calculation'!M37</f>
        <v>7.5554589245273363E-2</v>
      </c>
      <c r="L44" s="110">
        <f>'AAL Calculation'!R37</f>
        <v>3.6103575832305799</v>
      </c>
      <c r="M44" s="110">
        <f>'AAL Calculation'!S37</f>
        <v>1.826662464544595</v>
      </c>
      <c r="N44" s="110">
        <f>'AAL Calculation'!T37</f>
        <v>1.3409485969704495</v>
      </c>
      <c r="O44" s="110">
        <f>'AAL Calculation'!U37</f>
        <v>1.220309381237525</v>
      </c>
      <c r="P44" s="110">
        <f>'AAL Calculation'!V37</f>
        <v>0.71114289955076027</v>
      </c>
      <c r="Q44" s="26"/>
      <c r="T44" s="206"/>
      <c r="U44" s="1"/>
      <c r="V44" s="1"/>
      <c r="W44" s="22"/>
      <c r="X44" s="1"/>
      <c r="Z44" s="1018">
        <f>'AAL Debt'!D25</f>
        <v>2.2499999999999999E-2</v>
      </c>
      <c r="AA44" s="803">
        <f>'AAL Debt'!Q25</f>
        <v>70</v>
      </c>
    </row>
    <row r="45" spans="3:27" ht="18.75" customHeight="1">
      <c r="C45" s="3" t="str">
        <f>'AAL Calculation'!C38</f>
        <v>Gross Profit (% of rev)</v>
      </c>
      <c r="D45" s="113"/>
      <c r="E45" s="324">
        <f>'AAL Calculation'!G38</f>
        <v>0.26707976920140991</v>
      </c>
      <c r="F45" s="324">
        <f>'AAL Calculation'!H38</f>
        <v>0.27040727145603916</v>
      </c>
      <c r="G45" s="324">
        <f>'AAL Calculation'!I38</f>
        <v>-0.31695218319201707</v>
      </c>
      <c r="H45" s="324">
        <f>'AAL Calculation'!J38</f>
        <v>5.3443544608794594E-2</v>
      </c>
      <c r="I45" s="324">
        <f>'AAL Calculation'!K38</f>
        <v>0.11598078969315273</v>
      </c>
      <c r="J45" s="111">
        <f>'AAL Calculation'!L38</f>
        <v>0.15379107848919019</v>
      </c>
      <c r="K45" s="112">
        <f>'AAL Calculation'!M38</f>
        <v>0.23404601185184237</v>
      </c>
      <c r="L45" s="324">
        <f>'AAL Calculation'!R38</f>
        <v>9.3875367745386462E-2</v>
      </c>
      <c r="M45" s="324">
        <f>'AAL Calculation'!S38</f>
        <v>0.16111049169361133</v>
      </c>
      <c r="N45" s="324">
        <f>'AAL Calculation'!T38</f>
        <v>0.14246313779569322</v>
      </c>
      <c r="O45" s="324">
        <f>'AAL Calculation'!U38</f>
        <v>6.1018091920440498E-2</v>
      </c>
      <c r="P45" s="324">
        <f>'AAL Calculation'!V38</f>
        <v>0.15707714601006578</v>
      </c>
      <c r="Q45" s="26"/>
      <c r="U45" s="1"/>
      <c r="V45" s="1"/>
      <c r="W45" s="22"/>
      <c r="X45" s="1"/>
      <c r="Z45" s="1018">
        <f>'AAL Debt'!D28</f>
        <v>0.02</v>
      </c>
      <c r="AA45" s="883">
        <f>'AAL Debt'!Q28</f>
        <v>1035</v>
      </c>
    </row>
    <row r="46" spans="3:27" ht="18.75" customHeight="1">
      <c r="C46" s="3" t="str">
        <f>'AAL Calculation'!C39</f>
        <v>SG&amp;A (% of rev)</v>
      </c>
      <c r="D46" s="113"/>
      <c r="E46" s="110">
        <f>'AAL Calculation'!G39</f>
        <v>3.4125861565748414E-2</v>
      </c>
      <c r="F46" s="110">
        <f>'AAL Calculation'!H39</f>
        <v>3.5002621919244886E-2</v>
      </c>
      <c r="G46" s="110">
        <f>'AAL Calculation'!I39</f>
        <v>3.835727057737786E-2</v>
      </c>
      <c r="H46" s="110">
        <f>'AAL Calculation'!J39</f>
        <v>3.6777993440867414E-2</v>
      </c>
      <c r="I46" s="110">
        <f>'AAL Calculation'!K39</f>
        <v>3.6810168809133521E-2</v>
      </c>
      <c r="J46" s="111">
        <f>'AAL Calculation'!L39</f>
        <v>3.239983491343916E-2</v>
      </c>
      <c r="K46" s="112">
        <f>'AAL Calculation'!M39</f>
        <v>3.2272023751504071E-2</v>
      </c>
      <c r="L46" s="110">
        <f>'AAL Calculation'!R39</f>
        <v>3.7041989836854777E-2</v>
      </c>
      <c r="M46" s="110">
        <f>'AAL Calculation'!S39</f>
        <v>3.5455457687590591E-2</v>
      </c>
      <c r="N46" s="110">
        <f>'AAL Calculation'!T39</f>
        <v>3.7445634878540364E-2</v>
      </c>
      <c r="O46" s="110">
        <f>'AAL Calculation'!U39</f>
        <v>3.7307562647488482E-2</v>
      </c>
      <c r="P46" s="110">
        <f>'AAL Calculation'!V39</f>
        <v>2.9727469896500221E-2</v>
      </c>
      <c r="Q46" s="114"/>
      <c r="R46" s="206"/>
      <c r="S46" s="206"/>
      <c r="U46" s="1"/>
      <c r="V46" s="1"/>
      <c r="W46" s="22"/>
      <c r="X46" s="1"/>
      <c r="Z46" s="1018">
        <f>'AAL Debt'!D29</f>
        <v>0.02</v>
      </c>
      <c r="AA46" s="883">
        <f>'AAL Debt'!Q29</f>
        <v>946</v>
      </c>
    </row>
    <row r="47" spans="3:27" ht="18.75" customHeight="1">
      <c r="C47" s="3" t="str">
        <f>'AAL Calculation'!C40</f>
        <v>EBIT (% of rev)</v>
      </c>
      <c r="E47" s="110">
        <f>'AAL Calculation'!G40</f>
        <v>7.7434274039648865E-2</v>
      </c>
      <c r="F47" s="110">
        <f>'AAL Calculation'!H40</f>
        <v>8.0973606012934796E-2</v>
      </c>
      <c r="G47" s="110">
        <f>'AAL Calculation'!I40</f>
        <v>-0.65680336851819809</v>
      </c>
      <c r="H47" s="110">
        <f>'AAL Calculation'!J40</f>
        <v>-0.18452580148584433</v>
      </c>
      <c r="I47" s="110">
        <f>'AAL Calculation'!K40</f>
        <v>-0.11048802231616484</v>
      </c>
      <c r="J47" s="111">
        <f>'AAL Calculation'!L40</f>
        <v>-3.6243095619968656E-2</v>
      </c>
      <c r="K47" s="112">
        <f>'AAL Calculation'!M40</f>
        <v>4.639467782739589E-2</v>
      </c>
      <c r="L47" s="110">
        <f>'AAL Calculation'!R40</f>
        <v>-0.13559775341000269</v>
      </c>
      <c r="M47" s="110">
        <f>'AAL Calculation'!S40</f>
        <v>-5.1510759281971234E-2</v>
      </c>
      <c r="N47" s="110">
        <f>'AAL Calculation'!T40</f>
        <v>-8.4862628619921499E-2</v>
      </c>
      <c r="O47" s="110">
        <f>'AAL Calculation'!U40</f>
        <v>-0.17597482863243061</v>
      </c>
      <c r="P47" s="110">
        <f>'AAL Calculation'!V40</f>
        <v>-1.273481118380374E-2</v>
      </c>
      <c r="Q47" s="114"/>
      <c r="R47" s="206"/>
      <c r="S47" s="206"/>
      <c r="U47" s="1"/>
      <c r="V47" s="1"/>
      <c r="W47" s="22"/>
      <c r="X47" s="1"/>
    </row>
    <row r="48" spans="3:27" ht="18.75" customHeight="1">
      <c r="C48" s="106" t="str">
        <f>'AAL Calculation'!C41</f>
        <v>EBITDA</v>
      </c>
      <c r="D48" s="115"/>
      <c r="E48" s="107">
        <f>'AAL Calculation'!G41</f>
        <v>5288</v>
      </c>
      <c r="F48" s="107">
        <f>'AAL Calculation'!H41</f>
        <v>5687</v>
      </c>
      <c r="G48" s="107">
        <f>'AAL Calculation'!I41</f>
        <v>-9346</v>
      </c>
      <c r="H48" s="107">
        <f>'AAL Calculation'!J41</f>
        <v>-3496</v>
      </c>
      <c r="I48" s="107">
        <f>'AAL Calculation'!K41</f>
        <v>-1810</v>
      </c>
      <c r="J48" s="108">
        <f>'AAL Calculation'!L41</f>
        <v>325.45481581396871</v>
      </c>
      <c r="K48" s="109">
        <f>'AAL Calculation'!M41</f>
        <v>4450.5951015236624</v>
      </c>
      <c r="L48" s="107">
        <f>'AAL Calculation'!R41</f>
        <v>-533</v>
      </c>
      <c r="M48" s="107">
        <f>'AAL Calculation'!S41</f>
        <v>18</v>
      </c>
      <c r="N48" s="107">
        <f>'AAL Calculation'!T41</f>
        <v>-221</v>
      </c>
      <c r="O48" s="107">
        <f>'AAL Calculation'!U41</f>
        <v>-1074</v>
      </c>
      <c r="P48" s="107">
        <f>'AAL Calculation'!V41</f>
        <v>317.49717594836989</v>
      </c>
      <c r="Q48" s="114"/>
      <c r="R48" s="206"/>
      <c r="S48" s="206"/>
      <c r="U48" s="1"/>
      <c r="W48" s="22"/>
      <c r="X48" s="1"/>
    </row>
    <row r="49" spans="3:24" ht="18.75" customHeight="1">
      <c r="C49" s="3" t="str">
        <f>'AAL Calculation'!C42</f>
        <v>EBITDA margin (% of rev)</v>
      </c>
      <c r="D49" s="1"/>
      <c r="E49" s="110">
        <f>'AAL Calculation'!G42</f>
        <v>0.11872207628926158</v>
      </c>
      <c r="F49" s="110">
        <f>'AAL Calculation'!H42</f>
        <v>0.12425712288061527</v>
      </c>
      <c r="G49" s="110">
        <f>'AAL Calculation'!I42</f>
        <v>-0.53907827190402036</v>
      </c>
      <c r="H49" s="110">
        <f>'AAL Calculation'!J42</f>
        <v>-0.11699350779733619</v>
      </c>
      <c r="I49" s="110">
        <f>'AAL Calculation'!K42</f>
        <v>-5.2051879331665371E-2</v>
      </c>
      <c r="J49" s="111">
        <f>'AAL Calculation'!L42</f>
        <v>7.0038488095982036E-3</v>
      </c>
      <c r="K49" s="112">
        <f>'AAL Calculation'!M42</f>
        <v>8.9049541592041564E-2</v>
      </c>
      <c r="L49" s="110">
        <f>'AAL Calculation'!R42</f>
        <v>-7.1275742177052681E-2</v>
      </c>
      <c r="M49" s="110">
        <f>'AAL Calculation'!S42</f>
        <v>2.0069126992975804E-3</v>
      </c>
      <c r="N49" s="110">
        <f>'AAL Calculation'!T42</f>
        <v>-2.3443301156253316E-2</v>
      </c>
      <c r="O49" s="110">
        <f>'AAL Calculation'!U42</f>
        <v>-0.12068771772109226</v>
      </c>
      <c r="P49" s="110">
        <f>'AAL Calculation'!V42</f>
        <v>2.4812363012295509E-2</v>
      </c>
      <c r="Q49" s="114"/>
      <c r="R49" s="206"/>
      <c r="S49" s="206"/>
      <c r="U49" s="116"/>
      <c r="W49" s="22"/>
      <c r="X49" s="1"/>
    </row>
    <row r="50" spans="3:24" ht="18.75" customHeight="1">
      <c r="C50" s="3" t="str">
        <f>'AAL Calculation'!C43</f>
        <v>Capex (% of rev)</v>
      </c>
      <c r="D50" s="1"/>
      <c r="E50" s="110">
        <f>'AAL Calculation'!G43</f>
        <v>8.4079836555084081E-2</v>
      </c>
      <c r="F50" s="110">
        <f>'AAL Calculation'!H43</f>
        <v>9.5394161859814725E-2</v>
      </c>
      <c r="G50" s="110">
        <f>'AAL Calculation'!I43</f>
        <v>0.12291630616600334</v>
      </c>
      <c r="H50" s="110">
        <f>'AAL Calculation'!J43</f>
        <v>1.3787564420052205E-2</v>
      </c>
      <c r="I50" s="110">
        <f>'AAL Calculation'!K43</f>
        <v>3.5602335145083833E-2</v>
      </c>
      <c r="J50" s="111">
        <f>'AAL Calculation'!L43</f>
        <v>7.7235954597200548E-2</v>
      </c>
      <c r="K50" s="112">
        <f>'AAL Calculation'!M43</f>
        <v>8.115430239287974E-2</v>
      </c>
      <c r="L50" s="110">
        <f>'AAL Calculation'!R43</f>
        <v>-1.3238833912810912E-2</v>
      </c>
      <c r="M50" s="110">
        <f>'AAL Calculation'!S43</f>
        <v>1.5943806444419669E-2</v>
      </c>
      <c r="N50" s="110">
        <f>'AAL Calculation'!T43</f>
        <v>4.1052296594887024E-2</v>
      </c>
      <c r="O50" s="110">
        <f>'AAL Calculation'!U43</f>
        <v>9.0684346555792786E-2</v>
      </c>
      <c r="P50" s="110">
        <f>'AAL Calculation'!V43</f>
        <v>7.2394608185271575E-2</v>
      </c>
      <c r="Q50" s="114"/>
      <c r="R50" s="206"/>
      <c r="S50" s="206"/>
      <c r="U50" s="116"/>
      <c r="W50" s="22"/>
      <c r="X50" s="1"/>
    </row>
    <row r="51" spans="3:24" ht="18.75" customHeight="1">
      <c r="C51" s="3" t="str">
        <f>'AAL Calculation'!C44</f>
        <v>FCF (% of rev)</v>
      </c>
      <c r="D51" s="1"/>
      <c r="E51" s="110">
        <f>'AAL Calculation'!G44</f>
        <v>-4.7596596394333312E-3</v>
      </c>
      <c r="F51" s="110">
        <f>'AAL Calculation'!H44</f>
        <v>-1.2038979199440657E-2</v>
      </c>
      <c r="G51" s="110">
        <f>'AAL Calculation'!I44</f>
        <v>-0.50031724058372262</v>
      </c>
      <c r="H51" s="110">
        <f>'AAL Calculation'!J44</f>
        <v>9.771768957901078E-3</v>
      </c>
      <c r="I51" s="110">
        <f>'AAL Calculation'!K44</f>
        <v>1.3717539470278664E-2</v>
      </c>
      <c r="J51" s="111">
        <f ca="1">'AAL Calculation'!L44</f>
        <v>-3.1648225613411476E-2</v>
      </c>
      <c r="K51" s="112">
        <f ca="1">'AAL Calculation'!M44</f>
        <v>-3.7870102351473908E-2</v>
      </c>
      <c r="L51" s="110">
        <f>'AAL Calculation'!R44</f>
        <v>0.47726664883658731</v>
      </c>
      <c r="M51" s="110">
        <f>'AAL Calculation'!S44</f>
        <v>-0.20994536737651912</v>
      </c>
      <c r="N51" s="110">
        <f>'AAL Calculation'!T44</f>
        <v>-0.16834623952476929</v>
      </c>
      <c r="O51" s="110">
        <f>'AAL Calculation'!U44</f>
        <v>4.247668277334532E-2</v>
      </c>
      <c r="P51" s="110">
        <f ca="1">'AAL Calculation'!V44</f>
        <v>-2.642074571267837E-2</v>
      </c>
      <c r="Q51" s="114"/>
      <c r="R51" s="206"/>
      <c r="S51" s="206"/>
      <c r="U51" s="116"/>
      <c r="W51" s="22"/>
      <c r="X51" s="1"/>
    </row>
    <row r="52" spans="3:24" ht="18.75" customHeight="1">
      <c r="C52" s="3" t="str">
        <f>'AAL Calculation'!C45</f>
        <v>FCF (% of debt)**</v>
      </c>
      <c r="D52" s="1"/>
      <c r="E52" s="110">
        <f>'AAL Calculation'!G45</f>
        <v>-8.9154295807224865E-3</v>
      </c>
      <c r="F52" s="110">
        <f>'AAL Calculation'!H45</f>
        <v>-2.3303023895115245E-2</v>
      </c>
      <c r="G52" s="110">
        <f>'AAL Calculation'!I45</f>
        <v>-0.27088473189469409</v>
      </c>
      <c r="H52" s="110">
        <f>'AAL Calculation'!J45</f>
        <v>7.823594030490582E-3</v>
      </c>
      <c r="I52" s="110">
        <f>'AAL Calculation'!K45</f>
        <v>1.285956919095247E-2</v>
      </c>
      <c r="J52" s="111">
        <f ca="1">'AAL Calculation'!L45</f>
        <v>-3.9465291162558716E-2</v>
      </c>
      <c r="K52" s="112">
        <f ca="1">'AAL Calculation'!M45</f>
        <v>-5.203045405112753E-2</v>
      </c>
      <c r="L52" s="110">
        <f>'AAL Calculation'!R45</f>
        <v>-6.603079576875269E-2</v>
      </c>
      <c r="M52" s="110">
        <f>'AAL Calculation'!S45</f>
        <v>-3.4455445544554458E-2</v>
      </c>
      <c r="N52" s="110">
        <f>'AAL Calculation'!T45</f>
        <v>7.823594030490582E-3</v>
      </c>
      <c r="O52" s="110">
        <f>'AAL Calculation'!U45</f>
        <v>1.285956919095247E-2</v>
      </c>
      <c r="P52" s="110">
        <f ca="1">'AAL Calculation'!V45</f>
        <v>-9.3056123622213216E-2</v>
      </c>
      <c r="Q52" s="114"/>
      <c r="R52" s="88"/>
      <c r="S52" s="1"/>
      <c r="U52" s="116"/>
      <c r="W52" s="117"/>
      <c r="X52" s="1"/>
    </row>
    <row r="53" spans="3:24" ht="18.75" customHeight="1">
      <c r="C53" s="3" t="str">
        <f>'AAL Calculation'!C46</f>
        <v>Divs / Share Repo (% of debt)**</v>
      </c>
      <c r="D53" s="1"/>
      <c r="E53" s="110">
        <f>'AAL Calculation'!G46</f>
        <v>4.3021153118297656E-2</v>
      </c>
      <c r="F53" s="110">
        <f>'AAL Calculation'!H46</f>
        <v>5.3922605201945445E-2</v>
      </c>
      <c r="G53" s="110">
        <f>'AAL Calculation'!I46</f>
        <v>6.7455732175759654E-3</v>
      </c>
      <c r="H53" s="110">
        <f>'AAL Calculation'!J46</f>
        <v>4.8227634434530988E-4</v>
      </c>
      <c r="I53" s="110">
        <f>'AAL Calculation'!K46</f>
        <v>5.1222602647399776E-4</v>
      </c>
      <c r="J53" s="111">
        <f ca="1">'AAL Calculation'!L46</f>
        <v>3.7569900185214312E-4</v>
      </c>
      <c r="K53" s="112">
        <f ca="1">'AAL Calculation'!M46</f>
        <v>0</v>
      </c>
      <c r="L53" s="110">
        <f>'AAL Calculation'!R46</f>
        <v>3.2977347099261817E-4</v>
      </c>
      <c r="M53" s="110">
        <f>'AAL Calculation'!S46</f>
        <v>3.4323432343234323E-4</v>
      </c>
      <c r="N53" s="110">
        <f>'AAL Calculation'!T46</f>
        <v>4.8227634434530988E-4</v>
      </c>
      <c r="O53" s="110">
        <f>'AAL Calculation'!U46</f>
        <v>5.1222602647399776E-4</v>
      </c>
      <c r="P53" s="110">
        <f ca="1">'AAL Calculation'!V46</f>
        <v>5.1545952848524614E-4</v>
      </c>
      <c r="Q53" s="114"/>
      <c r="U53" s="116"/>
      <c r="W53" s="118"/>
      <c r="X53" s="54"/>
    </row>
    <row r="54" spans="3:24" ht="18.75" customHeight="1">
      <c r="C54" s="3" t="str">
        <f>'AAL Calculation'!C47</f>
        <v>ROA**</v>
      </c>
      <c r="D54" s="1"/>
      <c r="E54" s="110">
        <f>'AAL Calculation'!G47</f>
        <v>4.6170103957354103E-2</v>
      </c>
      <c r="F54" s="110">
        <f>'AAL Calculation'!H47</f>
        <v>4.6183601815407184E-2</v>
      </c>
      <c r="G54" s="110">
        <f>'AAL Calculation'!I47</f>
        <v>-0.22837780789110479</v>
      </c>
      <c r="H54" s="110">
        <f>'AAL Calculation'!J47</f>
        <v>-0.10499362300954485</v>
      </c>
      <c r="I54" s="110">
        <f>'AAL Calculation'!K47</f>
        <v>-6.9018449154540529E-2</v>
      </c>
      <c r="J54" s="111">
        <f ca="1">'AAL Calculation'!L47</f>
        <v>-2.8665464730168202E-2</v>
      </c>
      <c r="K54" s="112">
        <f ca="1">'AAL Calculation'!M47</f>
        <v>3.4773192964699315E-2</v>
      </c>
      <c r="L54" s="110">
        <f>'AAL Calculation'!R47</f>
        <v>-0.18136893468953824</v>
      </c>
      <c r="M54" s="110">
        <f>'AAL Calculation'!S47</f>
        <v>-0.13479587668900861</v>
      </c>
      <c r="N54" s="110">
        <f>'AAL Calculation'!T47</f>
        <v>-0.10499362300954485</v>
      </c>
      <c r="O54" s="110">
        <f>'AAL Calculation'!U47</f>
        <v>-6.9018449154540529E-2</v>
      </c>
      <c r="P54" s="110">
        <f ca="1">'AAL Calculation'!V47</f>
        <v>-5.1089851920124371E-2</v>
      </c>
      <c r="Q54" s="114"/>
      <c r="W54" s="118"/>
      <c r="X54" s="54"/>
    </row>
    <row r="55" spans="3:24" ht="18.75" customHeight="1" thickBot="1">
      <c r="C55" s="57" t="str">
        <f>'AAL Calculation'!C48</f>
        <v>ROIC**</v>
      </c>
      <c r="D55" s="39"/>
      <c r="E55" s="110">
        <f>'AAL Calculation'!G48</f>
        <v>0.11243016357617923</v>
      </c>
      <c r="F55" s="110">
        <f>'AAL Calculation'!H48</f>
        <v>0.11954376774060198</v>
      </c>
      <c r="G55" s="110">
        <f>'AAL Calculation'!I48</f>
        <v>-0.57859410449660398</v>
      </c>
      <c r="H55" s="110">
        <f>'AAL Calculation'!J48</f>
        <v>-0.24691830453827487</v>
      </c>
      <c r="I55" s="110">
        <f>'AAL Calculation'!K48</f>
        <v>-0.16002249539827262</v>
      </c>
      <c r="J55" s="111">
        <f ca="1">'AAL Calculation'!L48</f>
        <v>-6.755121700463193E-2</v>
      </c>
      <c r="K55" s="112">
        <f ca="1">'AAL Calculation'!M48</f>
        <v>8.5550602528187678E-2</v>
      </c>
      <c r="L55" s="110">
        <f>'AAL Calculation'!R48</f>
        <v>-0.42504524313133757</v>
      </c>
      <c r="M55" s="110">
        <f>'AAL Calculation'!S48</f>
        <v>-0.31266581187556031</v>
      </c>
      <c r="N55" s="110">
        <f>'AAL Calculation'!T48</f>
        <v>-0.24691830453827487</v>
      </c>
      <c r="O55" s="110">
        <f>'AAL Calculation'!U48</f>
        <v>-0.16002249539827262</v>
      </c>
      <c r="P55" s="110">
        <f ca="1">'AAL Calculation'!V48</f>
        <v>-0.12219380073225103</v>
      </c>
      <c r="Q55" s="121"/>
      <c r="R55" s="10"/>
      <c r="S55" s="10"/>
      <c r="T55" s="10"/>
      <c r="U55" s="10"/>
      <c r="V55" s="122"/>
      <c r="W55" s="123"/>
      <c r="X55" s="54"/>
    </row>
    <row r="56" spans="3:24" ht="18.75" customHeight="1">
      <c r="C56" s="3" t="str">
        <f>'AAL Calculation'!C49</f>
        <v>Gross Debt / EBITDA**</v>
      </c>
      <c r="D56" s="1"/>
      <c r="E56" s="325">
        <f>'AAL Calculation'!G49</f>
        <v>4.4967851739788198</v>
      </c>
      <c r="F56" s="325">
        <f>'AAL Calculation'!H49</f>
        <v>4.1577281519254443</v>
      </c>
      <c r="G56" s="325" t="str">
        <f>'AAL Calculation'!I49</f>
        <v xml:space="preserve">NM </v>
      </c>
      <c r="H56" s="325" t="str">
        <f>'AAL Calculation'!J49</f>
        <v xml:space="preserve">NM </v>
      </c>
      <c r="I56" s="325" t="str">
        <f>'AAL Calculation'!K49</f>
        <v xml:space="preserve">NM </v>
      </c>
      <c r="J56" s="119">
        <f ca="1">'AAL Calculation'!L49</f>
        <v>114.49783957344746</v>
      </c>
      <c r="K56" s="120">
        <f ca="1">'AAL Calculation'!M49</f>
        <v>8.1734832111893585</v>
      </c>
      <c r="L56" s="325" t="str">
        <f>'AAL Calculation'!R49</f>
        <v xml:space="preserve">NM </v>
      </c>
      <c r="M56" s="325" t="str">
        <f>'AAL Calculation'!S49</f>
        <v xml:space="preserve">NM </v>
      </c>
      <c r="N56" s="325" t="str">
        <f>'AAL Calculation'!T49</f>
        <v xml:space="preserve">NM </v>
      </c>
      <c r="O56" s="325" t="str">
        <f>'AAL Calculation'!U49</f>
        <v xml:space="preserve">NM </v>
      </c>
      <c r="P56" s="325" t="str">
        <f>'AAL Calculation'!V49</f>
        <v xml:space="preserve">NM </v>
      </c>
      <c r="Q56" s="237" t="s">
        <v>83</v>
      </c>
      <c r="R56" s="238"/>
      <c r="S56" s="238"/>
      <c r="T56" s="238"/>
      <c r="U56" s="238"/>
      <c r="V56" s="239"/>
      <c r="W56" s="240"/>
      <c r="X56" s="54"/>
    </row>
    <row r="57" spans="3:24" ht="18.75" customHeight="1">
      <c r="C57" s="124" t="str">
        <f>'AAL Calculation'!C50</f>
        <v>Net Debt / EBITDA**</v>
      </c>
      <c r="D57" s="100"/>
      <c r="E57" s="125">
        <f>'AAL Calculation'!G50</f>
        <v>4.4447806354009076</v>
      </c>
      <c r="F57" s="125">
        <f>'AAL Calculation'!H50</f>
        <v>4.1084930543344473</v>
      </c>
      <c r="G57" s="125" t="str">
        <f>'AAL Calculation'!I50</f>
        <v xml:space="preserve">NM </v>
      </c>
      <c r="H57" s="125" t="str">
        <f>'AAL Calculation'!J50</f>
        <v xml:space="preserve">NM </v>
      </c>
      <c r="I57" s="125" t="str">
        <f>'AAL Calculation'!K50</f>
        <v xml:space="preserve">NM </v>
      </c>
      <c r="J57" s="119">
        <f ca="1">'AAL Calculation'!L50</f>
        <v>113.42242147239818</v>
      </c>
      <c r="K57" s="120">
        <f ca="1">'AAL Calculation'!M50</f>
        <v>8.0948420425330188</v>
      </c>
      <c r="L57" s="125" t="str">
        <f>'AAL Calculation'!R50</f>
        <v xml:space="preserve">NM </v>
      </c>
      <c r="M57" s="125" t="str">
        <f>'AAL Calculation'!S50</f>
        <v xml:space="preserve">NM </v>
      </c>
      <c r="N57" s="125" t="str">
        <f>'AAL Calculation'!T50</f>
        <v xml:space="preserve">NM </v>
      </c>
      <c r="O57" s="125" t="str">
        <f>'AAL Calculation'!U50</f>
        <v xml:space="preserve">NM </v>
      </c>
      <c r="P57" s="125" t="str">
        <f>'AAL Calculation'!V50</f>
        <v xml:space="preserve">NM </v>
      </c>
      <c r="Q57" s="27" t="s">
        <v>84</v>
      </c>
      <c r="R57" s="1"/>
      <c r="S57" s="1"/>
      <c r="T57" s="1"/>
      <c r="U57" s="37" t="s">
        <v>85</v>
      </c>
      <c r="W57" s="24"/>
      <c r="X57" s="54"/>
    </row>
    <row r="58" spans="3:24" ht="18.75" customHeight="1">
      <c r="C58" s="3" t="str">
        <f>'AAL Calculation'!C51</f>
        <v>EBITDA / Interest**</v>
      </c>
      <c r="D58" s="126"/>
      <c r="E58" s="125">
        <f>'AAL Calculation'!G51</f>
        <v>5.0075757575757578</v>
      </c>
      <c r="F58" s="125">
        <f>'AAL Calculation'!H51</f>
        <v>5.193607305936073</v>
      </c>
      <c r="G58" s="125" t="str">
        <f>'AAL Calculation'!I51</f>
        <v xml:space="preserve">NM </v>
      </c>
      <c r="H58" s="125" t="str">
        <f>'AAL Calculation'!J51</f>
        <v xml:space="preserve">NM </v>
      </c>
      <c r="I58" s="125" t="str">
        <f>'AAL Calculation'!K51</f>
        <v xml:space="preserve">NM </v>
      </c>
      <c r="J58" s="119">
        <f ca="1">'AAL Calculation'!L51</f>
        <v>0.18588519111081422</v>
      </c>
      <c r="K58" s="120">
        <f ca="1">'AAL Calculation'!M51</f>
        <v>2.6205464917631267</v>
      </c>
      <c r="L58" s="125" t="str">
        <f>'AAL Calculation'!R51</f>
        <v xml:space="preserve">NM </v>
      </c>
      <c r="M58" s="125" t="str">
        <f>'AAL Calculation'!S51</f>
        <v xml:space="preserve">NM </v>
      </c>
      <c r="N58" s="125" t="str">
        <f>'AAL Calculation'!T51</f>
        <v xml:space="preserve">NM </v>
      </c>
      <c r="O58" s="125" t="str">
        <f>'AAL Calculation'!U51</f>
        <v xml:space="preserve">NM </v>
      </c>
      <c r="P58" s="125" t="str">
        <f>'AAL Calculation'!V51</f>
        <v xml:space="preserve">NM </v>
      </c>
      <c r="Q58" s="27"/>
      <c r="R58" s="127" t="s">
        <v>86</v>
      </c>
      <c r="S58" s="128" t="str">
        <f>I42</f>
        <v>LTM</v>
      </c>
      <c r="T58" s="129" t="str">
        <f>J42</f>
        <v>FY22E</v>
      </c>
      <c r="U58" s="130" t="s">
        <v>87</v>
      </c>
      <c r="W58" s="24"/>
      <c r="X58" s="54"/>
    </row>
    <row r="59" spans="3:24" ht="18.75" customHeight="1">
      <c r="C59" s="3" t="str">
        <f>'AAL Calculation'!C52</f>
        <v>EBIT / Interest**</v>
      </c>
      <c r="D59" s="126"/>
      <c r="E59" s="125">
        <f>'AAL Calculation'!G52</f>
        <v>3.2660984848484849</v>
      </c>
      <c r="F59" s="125">
        <f>'AAL Calculation'!H52</f>
        <v>3.3844748858447486</v>
      </c>
      <c r="G59" s="125" t="str">
        <f>'AAL Calculation'!I52</f>
        <v xml:space="preserve">NM </v>
      </c>
      <c r="H59" s="125" t="str">
        <f>'AAL Calculation'!J52</f>
        <v xml:space="preserve">NM </v>
      </c>
      <c r="I59" s="125" t="str">
        <f>'AAL Calculation'!K52</f>
        <v xml:space="preserve">NM </v>
      </c>
      <c r="J59" s="119" t="str">
        <f>'AAL Calculation'!L52</f>
        <v xml:space="preserve">NM </v>
      </c>
      <c r="K59" s="120">
        <f ca="1">'AAL Calculation'!M52</f>
        <v>1.3653007982236314</v>
      </c>
      <c r="L59" s="125" t="str">
        <f>'AAL Calculation'!R52</f>
        <v xml:space="preserve">NM </v>
      </c>
      <c r="M59" s="125" t="str">
        <f>'AAL Calculation'!S52</f>
        <v xml:space="preserve">NM </v>
      </c>
      <c r="N59" s="125" t="str">
        <f>'AAL Calculation'!T52</f>
        <v xml:space="preserve">NM </v>
      </c>
      <c r="O59" s="125" t="str">
        <f>'AAL Calculation'!U52</f>
        <v xml:space="preserve">NM </v>
      </c>
      <c r="P59" s="125" t="str">
        <f>'AAL Calculation'!V52</f>
        <v xml:space="preserve">NM </v>
      </c>
      <c r="Q59" s="3"/>
      <c r="R59" s="132" t="s">
        <v>88</v>
      </c>
      <c r="S59" s="132" t="s">
        <v>89</v>
      </c>
      <c r="T59" s="132" t="s">
        <v>89</v>
      </c>
      <c r="U59" s="70" t="s">
        <v>90</v>
      </c>
      <c r="W59" s="24"/>
      <c r="X59" s="54"/>
    </row>
    <row r="60" spans="3:24" ht="18.75" customHeight="1">
      <c r="C60" s="131" t="str">
        <f>'AAL Calculation'!C53</f>
        <v>EBITDA / Total Fixed Charges***</v>
      </c>
      <c r="D60" s="206"/>
      <c r="E60" s="340">
        <f>'AAL Calculation'!G53</f>
        <v>0.56028819665183305</v>
      </c>
      <c r="F60" s="340">
        <f>'AAL Calculation'!H53</f>
        <v>0.48828024383961532</v>
      </c>
      <c r="G60" s="340" t="str">
        <f>'AAL Calculation'!I53</f>
        <v xml:space="preserve">NM </v>
      </c>
      <c r="H60" s="340" t="str">
        <f>'AAL Calculation'!J53</f>
        <v xml:space="preserve">NM </v>
      </c>
      <c r="I60" s="340" t="str">
        <f>'AAL Calculation'!K53</f>
        <v xml:space="preserve">NM </v>
      </c>
      <c r="J60" s="361">
        <f ca="1">'AAL Calculation'!L53</f>
        <v>5.5589313219437844E-2</v>
      </c>
      <c r="K60" s="362">
        <f ca="1">'AAL Calculation'!M53</f>
        <v>0.66093600205488479</v>
      </c>
      <c r="L60" s="340" t="str">
        <f>'AAL Calculation'!R53</f>
        <v xml:space="preserve">NM </v>
      </c>
      <c r="M60" s="340" t="str">
        <f>'AAL Calculation'!S53</f>
        <v xml:space="preserve">NM </v>
      </c>
      <c r="N60" s="340" t="str">
        <f>'AAL Calculation'!T53</f>
        <v xml:space="preserve">NM </v>
      </c>
      <c r="O60" s="340" t="str">
        <f>'AAL Calculation'!U53</f>
        <v xml:space="preserve">NM </v>
      </c>
      <c r="P60" s="340" t="str">
        <f>'AAL Calculation'!V53</f>
        <v xml:space="preserve">NM </v>
      </c>
      <c r="Q60" s="133" t="str">
        <f>D3</f>
        <v>AAL US</v>
      </c>
      <c r="R60" s="134">
        <f ca="1">K35</f>
        <v>88.128088308991494</v>
      </c>
      <c r="S60" s="135" t="str">
        <f t="shared" ref="S60:S66" ca="1" si="1">IFERROR($I$57/$R60,"")</f>
        <v/>
      </c>
      <c r="T60" s="135">
        <f t="shared" ref="T60:T67" ca="1" si="2">IFERROR($J$57/$R60,"")</f>
        <v>1.2870178356158211</v>
      </c>
      <c r="U60" s="60" t="s">
        <v>91</v>
      </c>
      <c r="W60" s="136" t="s">
        <v>92</v>
      </c>
      <c r="X60" s="54"/>
    </row>
    <row r="61" spans="3:24" ht="18.75" customHeight="1">
      <c r="C61" s="3" t="str">
        <f>'AAL Calculation'!C54</f>
        <v>Debt / Book Capital</v>
      </c>
      <c r="D61" s="126"/>
      <c r="E61" s="125">
        <f>'AAL Calculation'!G54</f>
        <v>1.007157983905125</v>
      </c>
      <c r="F61" s="125">
        <f>'AAL Calculation'!H54</f>
        <v>1.0050155140901942</v>
      </c>
      <c r="G61" s="125">
        <f>'AAL Calculation'!I54</f>
        <v>1.2729983302854417</v>
      </c>
      <c r="H61" s="125">
        <f>'AAL Calculation'!J54</f>
        <v>1.2448053897208418</v>
      </c>
      <c r="I61" s="125">
        <f>'AAL Calculation'!K54</f>
        <v>1.3175505274748696</v>
      </c>
      <c r="J61" s="119">
        <f ca="1">'AAL Calculation'!L54</f>
        <v>1.3639883805217501</v>
      </c>
      <c r="K61" s="120">
        <f ca="1">'AAL Calculation'!M54</f>
        <v>1.3185768270261675</v>
      </c>
      <c r="L61" s="125">
        <f>'AAL Calculation'!R54</f>
        <v>1.2414498960760849</v>
      </c>
      <c r="M61" s="125">
        <f>'AAL Calculation'!S54</f>
        <v>1.2443327419672778</v>
      </c>
      <c r="N61" s="125">
        <f>'AAL Calculation'!T54</f>
        <v>1.2448053897208418</v>
      </c>
      <c r="O61" s="125">
        <f>'AAL Calculation'!U54</f>
        <v>1.3175505274748696</v>
      </c>
      <c r="P61" s="125">
        <f ca="1">'AAL Calculation'!V54</f>
        <v>1.3421214720773018</v>
      </c>
      <c r="Q61" s="138" t="str">
        <f ca="1">IF(ISBLANK('AAL Calculation'!C83),"",'AAL Calculation'!C83)</f>
        <v>UAL US</v>
      </c>
      <c r="R61" s="134" t="str">
        <f ca="1">IFERROR(IF(BBswitch=1,_xll.BDP(Q61&amp;" EQUITY", "EV EBITDA ADJUSTED")*1,R61),"")</f>
        <v/>
      </c>
      <c r="S61" s="135" t="str">
        <f t="shared" ca="1" si="1"/>
        <v/>
      </c>
      <c r="T61" s="135" t="str">
        <f t="shared" ca="1" si="2"/>
        <v/>
      </c>
      <c r="U61" s="70" t="str">
        <f ca="1">'AAL Calculation'!C60</f>
        <v>VANGUARD GROUP</v>
      </c>
      <c r="W61" s="139">
        <f>'AAL Calculation'!G60/100</f>
        <v>0.1067</v>
      </c>
      <c r="X61" s="54"/>
    </row>
    <row r="62" spans="3:24" ht="18.75" customHeight="1">
      <c r="C62" s="57" t="str">
        <f>'AAL Calculation'!C55</f>
        <v>Net Debt / Tangible Assets*</v>
      </c>
      <c r="D62" s="137"/>
      <c r="E62" s="341">
        <f>'AAL Calculation'!G55</f>
        <v>0.62969511868402717</v>
      </c>
      <c r="F62" s="341">
        <f>'AAL Calculation'!H55</f>
        <v>0.60537361384599442</v>
      </c>
      <c r="G62" s="341">
        <f>'AAL Calculation'!I55</f>
        <v>0.9169239647958447</v>
      </c>
      <c r="H62" s="341">
        <f>'AAL Calculation'!J55</f>
        <v>1.1283003928495294</v>
      </c>
      <c r="I62" s="341">
        <f>'AAL Calculation'!K55</f>
        <v>1.0994101266580831</v>
      </c>
      <c r="J62" s="342">
        <f ca="1">'AAL Calculation'!L55</f>
        <v>1.0572372418578861</v>
      </c>
      <c r="K62" s="120">
        <f ca="1">'AAL Calculation'!M55</f>
        <v>0.98006892886008101</v>
      </c>
      <c r="L62" s="341">
        <f>'AAL Calculation'!R55</f>
        <v>1.1760671419546973</v>
      </c>
      <c r="M62" s="341">
        <f>'AAL Calculation'!S55</f>
        <v>1.1395391146149181</v>
      </c>
      <c r="N62" s="341">
        <f>'AAL Calculation'!T55</f>
        <v>1.1283003928495294</v>
      </c>
      <c r="O62" s="341">
        <f>'AAL Calculation'!U55</f>
        <v>1.0994101266580831</v>
      </c>
      <c r="P62" s="341">
        <f ca="1">'AAL Calculation'!V55</f>
        <v>1.0699205573217889</v>
      </c>
      <c r="Q62" s="141" t="str">
        <f>IF(ISBLANK('AAL Calculation'!C86),"",'AAL Calculation'!C86)</f>
        <v>AC CN</v>
      </c>
      <c r="R62" s="145" t="str">
        <f ca="1">IFERROR(IF(BBswitch=1,_xll.BDP(Q62&amp;" EQUITY", "EV EBITDA ADJUSTED")*1,R62),"")</f>
        <v/>
      </c>
      <c r="S62" s="251" t="str">
        <f t="shared" ca="1" si="1"/>
        <v/>
      </c>
      <c r="T62" s="251" t="str">
        <f t="shared" ca="1" si="2"/>
        <v/>
      </c>
      <c r="U62" s="70" t="str">
        <f>'AAL Calculation'!C61</f>
        <v>PRIMECAP MANAGEMENT</v>
      </c>
      <c r="W62" s="139">
        <f>'AAL Calculation'!G61/100</f>
        <v>6.1699999999999998E-2</v>
      </c>
      <c r="X62" s="54"/>
    </row>
    <row r="63" spans="3:24" ht="18.75" customHeight="1">
      <c r="C63" s="26"/>
      <c r="D63" s="1"/>
      <c r="E63" s="1"/>
      <c r="F63" s="1"/>
      <c r="G63" s="1"/>
      <c r="H63" s="1"/>
      <c r="I63" s="140"/>
      <c r="J63" s="1"/>
      <c r="K63" s="326"/>
      <c r="L63" s="1"/>
      <c r="M63" s="1"/>
      <c r="N63" s="54"/>
      <c r="O63" s="1"/>
      <c r="P63" s="118"/>
      <c r="Q63" s="138" t="str">
        <f>IF(ISBLANK('AAL Calculation'!C87),"",'AAL Calculation'!C87)</f>
        <v>AEROMEX* MM</v>
      </c>
      <c r="R63" s="134" t="str">
        <f ca="1">IFERROR(IF(BBswitch=1,_xll.BDP(Q63&amp;" EQUITY", "EV EBITDA ADJUSTED")*1,R63),"")</f>
        <v/>
      </c>
      <c r="S63" s="251" t="str">
        <f t="shared" ca="1" si="1"/>
        <v/>
      </c>
      <c r="T63" s="251" t="str">
        <f t="shared" ca="1" si="2"/>
        <v/>
      </c>
      <c r="U63" s="142" t="str">
        <f>'AAL Calculation'!C62</f>
        <v>BLACKROCK</v>
      </c>
      <c r="V63" s="143"/>
      <c r="W63" s="144">
        <f>'AAL Calculation'!G62/100</f>
        <v>5.3499999999999999E-2</v>
      </c>
      <c r="X63" s="54"/>
    </row>
    <row r="64" spans="3:24" s="252" customFormat="1" ht="18.75" customHeight="1">
      <c r="C64" s="245" t="s">
        <v>93</v>
      </c>
      <c r="D64" s="246"/>
      <c r="E64" s="246"/>
      <c r="F64" s="246"/>
      <c r="G64" s="246"/>
      <c r="H64" s="247"/>
      <c r="I64" s="247"/>
      <c r="J64" s="248"/>
      <c r="K64" s="246"/>
      <c r="L64" s="247"/>
      <c r="M64" s="246"/>
      <c r="N64" s="249"/>
      <c r="O64" s="249"/>
      <c r="P64" s="250"/>
      <c r="Q64" s="252" t="str">
        <f>IF(ISBLANK('AAL Calculation'!C88),"",'AAL Calculation'!C88)</f>
        <v>HA US</v>
      </c>
      <c r="R64" s="134" t="str">
        <f ca="1">IFERROR(IF(BBswitch=1,_xll.BDP(Q64&amp;" EQUITY", "EV EBITDA ADJUSTED")*1,R64),"")</f>
        <v/>
      </c>
      <c r="S64" s="251" t="str">
        <f t="shared" ca="1" si="1"/>
        <v/>
      </c>
      <c r="T64" s="251" t="str">
        <f t="shared" ca="1" si="2"/>
        <v/>
      </c>
      <c r="U64" s="142" t="str">
        <f>'AAL Calculation'!C63</f>
        <v>STATE STREET CORP</v>
      </c>
      <c r="V64" s="143"/>
      <c r="W64" s="144">
        <f>'AAL Calculation'!G63/100</f>
        <v>3.3399999999999999E-2</v>
      </c>
      <c r="X64" s="249"/>
    </row>
    <row r="65" spans="3:38" ht="18.75" customHeight="1">
      <c r="C65" s="3" t="s">
        <v>94</v>
      </c>
      <c r="P65" s="118"/>
      <c r="Q65" s="252" t="str">
        <f>IF(ISBLANK('AAL Calculation'!C89),"",'AAL Calculation'!C89)</f>
        <v>CPA US</v>
      </c>
      <c r="R65" s="134" t="str">
        <f ca="1">IFERROR(IF(BBswitch=1,_xll.BDP(Q65&amp;" EQUITY", "EV EBITDA ADJUSTED")*1,R65),"")</f>
        <v/>
      </c>
      <c r="S65" s="251" t="str">
        <f t="shared" ca="1" si="1"/>
        <v/>
      </c>
      <c r="T65" s="251" t="str">
        <f t="shared" ca="1" si="2"/>
        <v/>
      </c>
      <c r="U65" s="70" t="str">
        <f>'AAL Calculation'!C64</f>
        <v>US GLOBAL INVESTORS</v>
      </c>
      <c r="W65" s="139">
        <f>'AAL Calculation'!G64/100</f>
        <v>3.1899999999999998E-2</v>
      </c>
      <c r="X65" s="1"/>
    </row>
    <row r="66" spans="3:38" ht="18.75" customHeight="1">
      <c r="C66" s="146" t="s">
        <v>95</v>
      </c>
      <c r="P66" s="118"/>
      <c r="Q66" s="147" t="str">
        <f>IF(ISBLANK('AAL Calculation'!C90),"",'AAL Calculation'!C90)</f>
        <v/>
      </c>
      <c r="R66" s="148" t="str">
        <f ca="1">IFERROR(IF(BBswitch=1,_xll.BDP(Q66&amp;" EQUITY", "EV EBITDA ADJUSTED")*1,R66),"")</f>
        <v/>
      </c>
      <c r="S66" s="149" t="str">
        <f t="shared" ca="1" si="1"/>
        <v/>
      </c>
      <c r="T66" s="149" t="str">
        <f t="shared" ca="1" si="2"/>
        <v/>
      </c>
      <c r="U66" s="29"/>
      <c r="W66" s="24"/>
      <c r="X66" s="1"/>
    </row>
    <row r="67" spans="3:38">
      <c r="C67" s="131" t="s">
        <v>96</v>
      </c>
      <c r="P67" s="22"/>
      <c r="Q67" s="150" t="s">
        <v>97</v>
      </c>
      <c r="R67" s="151">
        <f ca="1">AVERAGE(R60:R66)</f>
        <v>88.128088308991494</v>
      </c>
      <c r="S67" s="135" t="str">
        <f ca="1">IFERROR($I$57/R67,"")</f>
        <v/>
      </c>
      <c r="T67" s="135">
        <f t="shared" ca="1" si="2"/>
        <v>1.2870178356158211</v>
      </c>
      <c r="U67" s="32"/>
      <c r="W67" s="24"/>
      <c r="X67" s="206"/>
    </row>
    <row r="68" spans="3:38" ht="18.75" customHeight="1" thickBot="1">
      <c r="C68" s="50"/>
      <c r="D68" s="51"/>
      <c r="E68" s="51"/>
      <c r="F68" s="51"/>
      <c r="G68" s="51"/>
      <c r="H68" s="51"/>
      <c r="I68" s="51"/>
      <c r="J68" s="51"/>
      <c r="K68" s="51"/>
      <c r="L68" s="51"/>
      <c r="M68" s="51"/>
      <c r="N68" s="51"/>
      <c r="O68" s="51"/>
      <c r="P68" s="53"/>
      <c r="Q68" s="50"/>
      <c r="R68" s="51"/>
      <c r="S68" s="51"/>
      <c r="T68" s="51"/>
      <c r="U68" s="52"/>
      <c r="V68" s="152" t="s">
        <v>98</v>
      </c>
      <c r="W68" s="153" t="s">
        <v>99</v>
      </c>
      <c r="X68" s="206"/>
    </row>
    <row r="69" spans="3:38">
      <c r="C69" s="1"/>
      <c r="D69" s="86"/>
      <c r="E69" s="86"/>
      <c r="F69" s="86"/>
      <c r="G69" s="86"/>
      <c r="H69" s="86"/>
      <c r="I69" s="86"/>
      <c r="J69" s="86"/>
      <c r="K69" s="86"/>
      <c r="L69" s="86"/>
      <c r="M69" s="154"/>
      <c r="N69" s="154"/>
      <c r="O69" s="154"/>
      <c r="P69" s="1"/>
      <c r="Q69" s="206"/>
      <c r="R69" s="155"/>
      <c r="S69" s="206"/>
      <c r="T69" s="206"/>
      <c r="U69" s="206"/>
      <c r="V69" s="206"/>
      <c r="W69" s="206"/>
      <c r="X69" s="206"/>
    </row>
    <row r="70" spans="3:38">
      <c r="C70" s="206"/>
      <c r="D70" s="206"/>
      <c r="E70" s="206"/>
      <c r="F70" s="206"/>
      <c r="G70" s="206"/>
      <c r="H70" s="206"/>
      <c r="I70" s="206"/>
      <c r="J70" s="206"/>
      <c r="K70" s="206"/>
      <c r="L70" s="206"/>
      <c r="M70" s="206"/>
      <c r="N70" s="206"/>
      <c r="O70" s="206"/>
      <c r="P70" s="206"/>
      <c r="Q70" s="206"/>
      <c r="R70" s="206"/>
      <c r="S70" s="206"/>
      <c r="T70" s="206"/>
      <c r="U70" s="206"/>
      <c r="V70" s="206"/>
      <c r="W70" s="206"/>
      <c r="X70" s="206"/>
    </row>
    <row r="71" spans="3:38">
      <c r="C71" s="156"/>
      <c r="D71" s="206"/>
      <c r="E71" s="206"/>
      <c r="F71" s="206"/>
      <c r="G71" s="206"/>
      <c r="H71" s="206"/>
      <c r="I71" s="206"/>
      <c r="J71" s="206"/>
      <c r="K71" s="206"/>
      <c r="L71" s="206"/>
      <c r="M71" s="206"/>
      <c r="N71" s="206"/>
      <c r="O71" s="206"/>
      <c r="P71" s="206"/>
      <c r="Q71" s="206"/>
      <c r="R71" s="206"/>
      <c r="S71" s="157"/>
      <c r="T71" s="206"/>
      <c r="U71" s="206"/>
      <c r="V71" s="206"/>
      <c r="W71" s="206"/>
      <c r="X71" s="206"/>
    </row>
    <row r="72" spans="3:38" ht="31.9" outlineLevel="1">
      <c r="C72" s="206"/>
      <c r="D72" s="157" t="s">
        <v>100</v>
      </c>
      <c r="E72" s="157" t="s">
        <v>101</v>
      </c>
      <c r="F72" s="157" t="s">
        <v>102</v>
      </c>
      <c r="G72" s="157" t="s">
        <v>103</v>
      </c>
      <c r="H72" s="157" t="s">
        <v>104</v>
      </c>
      <c r="I72" s="157" t="s">
        <v>105</v>
      </c>
      <c r="J72" s="157" t="s">
        <v>106</v>
      </c>
      <c r="K72" s="157" t="s">
        <v>107</v>
      </c>
      <c r="L72" s="54"/>
      <c r="M72" s="158" t="s">
        <v>108</v>
      </c>
      <c r="N72" s="158" t="s">
        <v>109</v>
      </c>
      <c r="O72" s="158" t="s">
        <v>110</v>
      </c>
      <c r="Q72" s="158" t="s">
        <v>111</v>
      </c>
      <c r="R72" s="157" t="s">
        <v>112</v>
      </c>
      <c r="S72" s="157" t="s">
        <v>113</v>
      </c>
      <c r="T72" s="157" t="s">
        <v>114</v>
      </c>
      <c r="U72" s="157" t="s">
        <v>115</v>
      </c>
      <c r="V72" s="157" t="s">
        <v>116</v>
      </c>
      <c r="W72" s="159" t="s">
        <v>117</v>
      </c>
      <c r="X72" s="157" t="s">
        <v>100</v>
      </c>
    </row>
    <row r="73" spans="3:38" ht="47.65" outlineLevel="1">
      <c r="C73" s="206"/>
      <c r="D73" s="159" t="s">
        <v>118</v>
      </c>
      <c r="E73" s="157" t="s">
        <v>119</v>
      </c>
      <c r="F73" s="206"/>
      <c r="G73" s="206"/>
      <c r="H73" s="206"/>
      <c r="I73" s="206"/>
      <c r="J73" s="206"/>
      <c r="K73" s="206"/>
      <c r="L73" s="54"/>
      <c r="N73" s="54"/>
      <c r="O73" s="54"/>
      <c r="Q73" s="54"/>
      <c r="R73" s="206"/>
      <c r="S73" s="206"/>
      <c r="U73" s="206"/>
      <c r="V73" s="54"/>
      <c r="W73" s="160"/>
      <c r="X73" s="159" t="s">
        <v>118</v>
      </c>
    </row>
    <row r="74" spans="3:38" outlineLevel="1">
      <c r="C74" s="161" t="s">
        <v>120</v>
      </c>
      <c r="D74" s="206"/>
      <c r="E74" s="157"/>
      <c r="F74" s="206"/>
      <c r="G74" s="206"/>
      <c r="H74" s="206"/>
      <c r="I74" s="206"/>
      <c r="J74" s="206"/>
      <c r="K74" s="206"/>
      <c r="L74" s="54"/>
      <c r="N74" s="54"/>
      <c r="O74" s="54"/>
      <c r="Q74" s="54"/>
      <c r="R74" s="206"/>
      <c r="S74" s="206"/>
      <c r="U74" s="206"/>
      <c r="V74" s="54"/>
      <c r="W74" s="160"/>
      <c r="X74" s="206"/>
    </row>
    <row r="75" spans="3:38" s="156" customFormat="1">
      <c r="C75" s="363" t="str">
        <f ca="1">IF(BBswitch=1,_xll.BQL.Query("get(Name)for( bonds(['"&amp;$D$3&amp;" Equity'], IssuedBy=credit_family) )with(Dates="&amp;TEXT(TODAY(),"yyyy-mm-dd")&amp;")","cols=2;rows=7"),C75)</f>
        <v>ID</v>
      </c>
      <c r="D75" s="163" t="s">
        <v>121</v>
      </c>
      <c r="E75" s="162" t="str">
        <f t="shared" ref="E75:J75" si="3">D27</f>
        <v>Rating</v>
      </c>
      <c r="F75" s="162" t="str">
        <f t="shared" si="3"/>
        <v>Outs.(mm)</v>
      </c>
      <c r="G75" s="162" t="str">
        <f t="shared" si="3"/>
        <v>Coupon</v>
      </c>
      <c r="H75" s="162" t="str">
        <f t="shared" si="3"/>
        <v>Price</v>
      </c>
      <c r="I75" s="162" t="str">
        <f t="shared" si="3"/>
        <v>CY</v>
      </c>
      <c r="J75" s="162" t="str">
        <f t="shared" si="3"/>
        <v>YTW</v>
      </c>
      <c r="K75" s="163" t="s">
        <v>107</v>
      </c>
      <c r="L75" s="162" t="s">
        <v>65</v>
      </c>
      <c r="M75" s="163" t="s">
        <v>122</v>
      </c>
      <c r="N75" s="164" t="s">
        <v>123</v>
      </c>
      <c r="O75" s="164" t="s">
        <v>124</v>
      </c>
      <c r="P75" s="164" t="s">
        <v>125</v>
      </c>
      <c r="Q75" s="164" t="s">
        <v>126</v>
      </c>
      <c r="R75" s="162" t="s">
        <v>127</v>
      </c>
      <c r="S75" s="162" t="s">
        <v>128</v>
      </c>
      <c r="T75" s="162" t="s">
        <v>129</v>
      </c>
      <c r="U75" s="162" t="s">
        <v>130</v>
      </c>
      <c r="V75" s="163" t="s">
        <v>131</v>
      </c>
      <c r="W75" s="165" t="s">
        <v>132</v>
      </c>
      <c r="X75" s="163" t="s">
        <v>121</v>
      </c>
      <c r="AB75" s="206"/>
      <c r="AC75" s="206"/>
      <c r="AD75" s="206"/>
      <c r="AE75" s="206"/>
      <c r="AF75" s="206"/>
      <c r="AG75" s="206"/>
      <c r="AH75" s="206"/>
      <c r="AI75" s="206"/>
      <c r="AJ75" s="206"/>
      <c r="AK75" s="206"/>
      <c r="AL75" s="206"/>
    </row>
    <row r="76" spans="3:38" s="958" customFormat="1">
      <c r="C76" s="6" t="s">
        <v>1891</v>
      </c>
      <c r="D76" s="343" t="s">
        <v>1892</v>
      </c>
      <c r="E76" s="344" t="str">
        <f ca="1">IF(BBswitch=1,IF(ISBLANK($C76),"",IF(_xll.BDP($C76,E$73)="#N/A N/A","NA ",_xll.BDP($C76,E$73))),E76)</f>
        <v>B-</v>
      </c>
      <c r="F76" s="354">
        <f ca="1">IF(BBswitch=1,IF(ISBLANK($C76),"",IF(_xll.BDP($C76,F$72)="#N/A N/A","NA ",_xll.BDP($C76,F$72)/10^6)/P76),F76)</f>
        <v>2500</v>
      </c>
      <c r="G76" s="1022">
        <f ca="1">IF(BBswitch=1,IF(ISBLANK($C76),"",IF(_xll.BDP($C76,G$72)="#N/A N/A","NA ",_xll.BDP($C76,G$72)/100)),G76)</f>
        <v>0.11749999999999999</v>
      </c>
      <c r="H76" s="355">
        <f ca="1">IF(BBswitch=1,IF(ISBLANK($C76),"",IF(_xll.BDP($C76,H$72)="#N/A N/A","NA ",_xll.BDP($C76,H$72)/100)),H76)</f>
        <v>1.08575</v>
      </c>
      <c r="I76" s="355">
        <f t="shared" ref="I76:I81" ca="1" si="4">G76/H76</f>
        <v>0.10822012433801519</v>
      </c>
      <c r="J76" s="355">
        <f ca="1">IF(BBswitch=1,IF(ISBLANK($C76),"",IF(_xll.BDP($C76,J$72)="#N/A N/A","NA ",_xll.BDP($C76,J$72)/100)),J76)</f>
        <v>8.4826529356696365E-2</v>
      </c>
      <c r="K76" s="345" t="str">
        <f ca="1">IF(BBswitch=1,IF(ISBLANK($C76),"",IF(_xll.BDP($C76,K$72)="#N/A N/A","NA ",_xll.BDP($C76,K$72))),K76)</f>
        <v>7/15/2025</v>
      </c>
      <c r="L76" s="346" t="e">
        <f t="shared" ref="L76:L82" ca="1" si="5">IF(ISBLANK($C76),"",YEAR(K76))</f>
        <v>#VALUE!</v>
      </c>
      <c r="M76" s="950" t="str">
        <f ca="1">IF(BBswitch=1,IF(ISBLANK($C76),"",IF(_xll.BDP($C76,M$72)="#N/A N/A","NA ",_xll.BDP($C76,M$72))),M76)</f>
        <v>6/30/2020</v>
      </c>
      <c r="N76" s="951" t="str" cm="1">
        <f t="array" aca="1" ref="N76" ca="1">IF(BBswitch=1,IF(ISBLANK($C76),"",IF(_xll.BDP($C76,N$72)="#N/A Field Not Applicable","Notes",_xll.BDP($C76,N$72))),N76)</f>
        <v>Notes</v>
      </c>
      <c r="O76" s="952" cm="1">
        <f t="array" aca="1" ref="O76" ca="1">IF(BBswitch=1,IF(ISBLANK($C76),"",IFERROR(IF(_xll.BDP($C76,O$72)="#N/A N/A","NA ",_xll.BDP($C76,O$72)/10^6),0)/P76),O76)</f>
        <v>0</v>
      </c>
      <c r="P76" s="953" cm="1">
        <f t="array" aca="1" ref="P76" ca="1">+IF(BBswitch=1,IF(ISBLANK($C76),"",IF(_xll.BDP("USD"&amp;Q76&amp;" BGN Curncy","px last")="#N/A Invalid Security",1,_xll.BDP("USD"&amp;Q76&amp;" BGN Curncy","px last"))),P76)</f>
        <v>1</v>
      </c>
      <c r="Q76" s="954" t="str">
        <f ca="1">IF(BBswitch=1,IF(ISBLANK($C76),"",IF(_xll.BDP($C76,Q$72)="#N/A N/A","NA ",_xll.BDP($C76,Q$72))),Q76)</f>
        <v>USD</v>
      </c>
      <c r="R76" s="955" t="str" cm="1">
        <f t="array" aca="1" ref="R76" ca="1">IF(BBswitch=1,IF(ISBLANK($C76),"",IF(OR(_xll.BDP($C76,R$72)="#N/A Field Not Applicable",_xll.BDP($C76,R$72)="#N/A N/A"),"",_xll.BDP($C76,R$72))),R76)</f>
        <v/>
      </c>
      <c r="S76" s="955" cm="1">
        <f t="array" aca="1" ref="S76" ca="1">IF(BBswitch=1,IF(ISBLANK($C76),"",IF(OR(_xll.BDP($C76,S$72)="#N/A Field Not Applicable",_xll.BDP($C76,S$72)="#N/A N/A"),"",_xll.BDP($C76,S$72))),S76)</f>
        <v>522.60044504903021</v>
      </c>
      <c r="T76" s="955" t="str" cm="1">
        <f t="array" aca="1" ref="T76" ca="1">IF(BBswitch=1,IF(ISBLANK($C76),"",IF(OR(_xll.BDP($C76,T$72)="#N/A Field Not Applicable",_xll.BDP($C76,T$72)="#N/A N/A"),"",_xll.BDP($C76,T$72))),T76)</f>
        <v/>
      </c>
      <c r="U76" s="955" cm="1">
        <f t="array" aca="1" ref="U76" ca="1">IF(BBswitch=1,IF(ISBLANK($C76),"",IF(OR(_xll.BDP($C76,U$72)="#N/A Field Not Applicable",_xll.BDP($C76,U$72)="#N/A N/A"),"",_xll.BDP($C76,U$72))),U76)</f>
        <v>2.5083439999159585</v>
      </c>
      <c r="V76" s="956" t="str">
        <f ca="1">IF(BBswitch=1,IF(ISBLANK($C76),"",IF(_xll.BDP($C76,V$72)="#N/A N/A","NA ",_xll.BDP($C76,V$72))),V76)</f>
        <v>1st lien</v>
      </c>
      <c r="W76" s="957" t="str" cm="1">
        <f t="array" aca="1" ref="W76" ca="1">IF(BBswitch=1,IF(ISBLANK($C76),"",IF(_xll.BDP($C76,W$72)="#N/A N/A","NA ",_xll.BDP($C76,W$72))),W76)</f>
        <v>American Airlines Inc</v>
      </c>
      <c r="X76" s="949" t="str">
        <f ca="1">IF(BBswitch=1,IF(ISBLANK($C76),"",IF(_xll.BDP($C76,X$73)="#N/A N/A","NA ",_xll.BDP($C76,X$73))),X76)</f>
        <v>AAL 11.75 25</v>
      </c>
      <c r="Z76" s="1021">
        <f>'AAL Debt'!D10</f>
        <v>2.1999999999999999E-2</v>
      </c>
      <c r="AA76" s="1019">
        <f>'AAL Debt'!Q10</f>
        <v>1770</v>
      </c>
    </row>
    <row r="77" spans="3:38" s="958" customFormat="1">
      <c r="C77" s="6" t="s">
        <v>1893</v>
      </c>
      <c r="D77" s="343" t="s">
        <v>1894</v>
      </c>
      <c r="E77" s="344" t="str">
        <f ca="1">IF(BBswitch=1,IF(ISBLANK($C77),"",IF(_xll.BDP($C77,E$73)="#N/A N/A","NA ",_xll.BDP($C77,E$73))),E77)</f>
        <v xml:space="preserve">NA </v>
      </c>
      <c r="F77" s="354">
        <f ca="1">IF(BBswitch=1,IF(ISBLANK($C77),"",IF(_xll.BDP($C77,F$72)="#N/A N/A","NA ",_xll.BDP($C77,F$72)/10^6)/P77),F77)</f>
        <v>3500</v>
      </c>
      <c r="G77" s="1022">
        <f ca="1">IF(BBswitch=1,IF(ISBLANK($C77),"",IF(_xll.BDP($C77,G$72)="#N/A N/A","NA ",_xll.BDP($C77,G$72)/100)),G77)</f>
        <v>5.5E-2</v>
      </c>
      <c r="H77" s="355">
        <f ca="1">IF(BBswitch=1,IF(ISBLANK($C77),"",IF(_xll.BDP($C77,H$72)="#N/A N/A","NA ",_xll.BDP($C77,H$72)/100)),H77)</f>
        <v>0.95683000000000007</v>
      </c>
      <c r="I77" s="355">
        <f t="shared" ca="1" si="4"/>
        <v>5.7481475288191211E-2</v>
      </c>
      <c r="J77" s="355">
        <f ca="1">IF(BBswitch=1,IF(ISBLANK($C77),"",IF(_xll.BDP($C77,J$72)="#N/A N/A","NA ",_xll.BDP($C77,J$72)/100)),J77)</f>
        <v>7.5719352913414528E-2</v>
      </c>
      <c r="K77" s="345" t="str">
        <f ca="1">IF(BBswitch=1,IF(ISBLANK($C77),"",IF(_xll.BDP($C77,K$72)="#N/A N/A","NA ",_xll.BDP($C77,K$72))),K77)</f>
        <v>4/20/2026</v>
      </c>
      <c r="L77" s="346" t="e">
        <f t="shared" ca="1" si="5"/>
        <v>#VALUE!</v>
      </c>
      <c r="M77" s="950" t="str">
        <f ca="1">IF(BBswitch=1,IF(ISBLANK($C77),"",IF(_xll.BDP($C77,M$72)="#N/A N/A","NA ",_xll.BDP($C77,M$72))),M77)</f>
        <v>3/24/2021</v>
      </c>
      <c r="N77" s="951" t="str" cm="1">
        <f t="array" aca="1" ref="N77" ca="1">IF(BBswitch=1,IF(ISBLANK($C77),"",IF(_xll.BDP($C77,N$72)="#N/A Field Not Applicable","Notes",_xll.BDP($C77,N$72))),N77)</f>
        <v>Notes</v>
      </c>
      <c r="O77" s="952" cm="1">
        <f t="array" aca="1" ref="O77" ca="1">IF(BBswitch=1,IF(ISBLANK($C77),"",IFERROR(IF(_xll.BDP($C77,O$72)="#N/A N/A","NA ",_xll.BDP($C77,O$72)/10^6),0)/P77),O77)</f>
        <v>0</v>
      </c>
      <c r="P77" s="953" cm="1">
        <f t="array" aca="1" ref="P77" ca="1">+IF(BBswitch=1,IF(ISBLANK($C77),"",IF(_xll.BDP("USD"&amp;Q77&amp;" BGN Curncy","px last")="#N/A Invalid Security",1,_xll.BDP("USD"&amp;Q77&amp;" BGN Curncy","px last"))),P77)</f>
        <v>1</v>
      </c>
      <c r="Q77" s="954" t="str">
        <f ca="1">IF(BBswitch=1,IF(ISBLANK($C77),"",IF(_xll.BDP($C77,Q$72)="#N/A N/A","NA ",_xll.BDP($C77,Q$72))),Q77)</f>
        <v>USD</v>
      </c>
      <c r="R77" s="955" t="str" cm="1">
        <f t="array" aca="1" ref="R77" ca="1">IF(BBswitch=1,IF(ISBLANK($C77),"",IF(OR(_xll.BDP($C77,R$72)="#N/A Field Not Applicable",_xll.BDP($C77,R$72)="#N/A N/A"),"",_xll.BDP($C77,R$72))),R77)</f>
        <v/>
      </c>
      <c r="S77" s="955" cm="1">
        <f t="array" aca="1" ref="S77" ca="1">IF(BBswitch=1,IF(ISBLANK($C77),"",IF(OR(_xll.BDP($C77,S$72)="#N/A Field Not Applicable",_xll.BDP($C77,S$72)="#N/A N/A"),"",_xll.BDP($C77,S$72))),S77)</f>
        <v>439.85612128632329</v>
      </c>
      <c r="T77" s="955" t="str" cm="1">
        <f t="array" aca="1" ref="T77" ca="1">IF(BBswitch=1,IF(ISBLANK($C77),"",IF(OR(_xll.BDP($C77,T$72)="#N/A Field Not Applicable",_xll.BDP($C77,T$72)="#N/A N/A"),"",_xll.BDP($C77,T$72))),T77)</f>
        <v/>
      </c>
      <c r="U77" s="955" cm="1">
        <f t="array" aca="1" ref="U77" ca="1">IF(BBswitch=1,IF(ISBLANK($C77),"",IF(OR(_xll.BDP($C77,U$72)="#N/A Field Not Applicable",_xll.BDP($C77,U$72)="#N/A N/A"),"",_xll.BDP($C77,U$72))),U77)</f>
        <v>2.124698059561962</v>
      </c>
      <c r="V77" s="956" t="str">
        <f ca="1">IF(BBswitch=1,IF(ISBLANK($C77),"",IF(_xll.BDP($C77,V$72)="#N/A N/A","NA ",_xll.BDP($C77,V$72))),V77)</f>
        <v>1st lien</v>
      </c>
      <c r="W77" s="957" t="str" cm="1">
        <f t="array" aca="1" ref="W77" ca="1">IF(BBswitch=1,IF(ISBLANK($C77),"",IF(_xll.BDP($C77,W$72)="#N/A N/A","NA ",_xll.BDP($C77,W$72))),W77)</f>
        <v>American Airlines Inc/AAdvantage Loyalty IP Ltd</v>
      </c>
      <c r="X77" s="949" t="str">
        <f ca="1">IF(BBswitch=1,IF(ISBLANK($C77),"",IF(_xll.BDP($C77,X$73)="#N/A N/A","NA ",_xll.BDP($C77,X$73))),X77)</f>
        <v>AAL 5.5 26</v>
      </c>
      <c r="Z77" s="1021"/>
      <c r="AA77" s="1019"/>
    </row>
    <row r="78" spans="3:38" s="958" customFormat="1">
      <c r="C78" s="6" t="s">
        <v>1895</v>
      </c>
      <c r="D78" s="343" t="s">
        <v>1896</v>
      </c>
      <c r="E78" s="344" t="str">
        <f ca="1">IF(BBswitch=1,IF(ISBLANK($C78),"",IF(_xll.BDP($C78,E$73)="#N/A N/A","NA ",_xll.BDP($C78,E$73))),E78)</f>
        <v xml:space="preserve">NA </v>
      </c>
      <c r="F78" s="354">
        <f ca="1">IF(BBswitch=1,IF(ISBLANK($C78),"",IF(_xll.BDP($C78,F$72)="#N/A N/A","NA ",_xll.BDP($C78,F$72)/10^6)/P78),F78)</f>
        <v>3000</v>
      </c>
      <c r="G78" s="1022">
        <f ca="1">IF(BBswitch=1,IF(ISBLANK($C78),"",IF(_xll.BDP($C78,G$72)="#N/A N/A","NA ",_xll.BDP($C78,G$72)/100)),G78)</f>
        <v>5.7500000000000002E-2</v>
      </c>
      <c r="H78" s="355">
        <f ca="1">IF(BBswitch=1,IF(ISBLANK($C78),"",IF(_xll.BDP($C78,H$72)="#N/A N/A","NA ",_xll.BDP($C78,H$72)/100)),H78)</f>
        <v>0.90936000000000006</v>
      </c>
      <c r="I78" s="355">
        <f t="shared" ca="1" si="4"/>
        <v>6.3231283540072139E-2</v>
      </c>
      <c r="J78" s="355">
        <f ca="1">IF(BBswitch=1,IF(ISBLANK($C78),"",IF(_xll.BDP($C78,J$72)="#N/A N/A","NA ",_xll.BDP($C78,J$72)/100)),J78)</f>
        <v>7.8662078681582884E-2</v>
      </c>
      <c r="K78" s="345" t="str">
        <f ca="1">IF(BBswitch=1,IF(ISBLANK($C78),"",IF(_xll.BDP($C78,K$72)="#N/A N/A","NA ",_xll.BDP($C78,K$72))),K78)</f>
        <v>4/20/2029</v>
      </c>
      <c r="L78" s="346" t="e">
        <f t="shared" ca="1" si="5"/>
        <v>#VALUE!</v>
      </c>
      <c r="M78" s="950" t="str">
        <f ca="1">IF(BBswitch=1,IF(ISBLANK($C78),"",IF(_xll.BDP($C78,M$72)="#N/A N/A","NA ",_xll.BDP($C78,M$72))),M78)</f>
        <v>3/24/2021</v>
      </c>
      <c r="N78" s="951" t="str" cm="1">
        <f t="array" aca="1" ref="N78" ca="1">IF(BBswitch=1,IF(ISBLANK($C78),"",IF(_xll.BDP($C78,N$72)="#N/A Field Not Applicable","Notes",_xll.BDP($C78,N$72))),N78)</f>
        <v>Notes</v>
      </c>
      <c r="O78" s="952" cm="1">
        <f t="array" aca="1" ref="O78" ca="1">IF(BBswitch=1,IF(ISBLANK($C78),"",IFERROR(IF(_xll.BDP($C78,O$72)="#N/A N/A","NA ",_xll.BDP($C78,O$72)/10^6),0)/P78),O78)</f>
        <v>0</v>
      </c>
      <c r="P78" s="953" cm="1">
        <f t="array" aca="1" ref="P78" ca="1">+IF(BBswitch=1,IF(ISBLANK($C78),"",IF(_xll.BDP("USD"&amp;Q78&amp;" BGN Curncy","px last")="#N/A Invalid Security",1,_xll.BDP("USD"&amp;Q78&amp;" BGN Curncy","px last"))),P78)</f>
        <v>1</v>
      </c>
      <c r="Q78" s="954" t="str">
        <f ca="1">IF(BBswitch=1,IF(ISBLANK($C78),"",IF(_xll.BDP($C78,Q$72)="#N/A N/A","NA ",_xll.BDP($C78,Q$72))),Q78)</f>
        <v>USD</v>
      </c>
      <c r="R78" s="955" t="str" cm="1">
        <f t="array" aca="1" ref="R78" ca="1">IF(BBswitch=1,IF(ISBLANK($C78),"",IF(OR(_xll.BDP($C78,R$72)="#N/A Field Not Applicable",_xll.BDP($C78,R$72)="#N/A N/A"),"",_xll.BDP($C78,R$72))),R78)</f>
        <v/>
      </c>
      <c r="S78" s="955" cm="1">
        <f t="array" aca="1" ref="S78" ca="1">IF(BBswitch=1,IF(ISBLANK($C78),"",IF(OR(_xll.BDP($C78,S$72)="#N/A Field Not Applicable",_xll.BDP($C78,S$72)="#N/A N/A"),"",_xll.BDP($C78,S$72))),S78)</f>
        <v>478.3979041911129</v>
      </c>
      <c r="T78" s="955" t="str" cm="1">
        <f t="array" aca="1" ref="T78" ca="1">IF(BBswitch=1,IF(ISBLANK($C78),"",IF(OR(_xll.BDP($C78,T$72)="#N/A Field Not Applicable",_xll.BDP($C78,T$72)="#N/A N/A"),"",_xll.BDP($C78,T$72))),T78)</f>
        <v/>
      </c>
      <c r="U78" s="955" cm="1">
        <f t="array" aca="1" ref="U78" ca="1">IF(BBswitch=1,IF(ISBLANK($C78),"",IF(OR(_xll.BDP($C78,U$72)="#N/A Field Not Applicable",_xll.BDP($C78,U$72)="#N/A N/A"),"",_xll.BDP($C78,U$72))),U78)</f>
        <v>4.4111598406696473</v>
      </c>
      <c r="V78" s="956" t="str">
        <f ca="1">IF(BBswitch=1,IF(ISBLANK($C78),"",IF(_xll.BDP($C78,V$72)="#N/A N/A","NA ",_xll.BDP($C78,V$72))),V78)</f>
        <v>1st lien</v>
      </c>
      <c r="W78" s="957" t="str" cm="1">
        <f t="array" aca="1" ref="W78" ca="1">IF(BBswitch=1,IF(ISBLANK($C78),"",IF(_xll.BDP($C78,W$72)="#N/A N/A","NA ",_xll.BDP($C78,W$72))),W78)</f>
        <v>American Airlines Inc/AAdvantage Loyalty IP Ltd</v>
      </c>
      <c r="X78" s="949" t="str">
        <f ca="1">IF(BBswitch=1,IF(ISBLANK($C78),"",IF(_xll.BDP($C78,X$73)="#N/A N/A","NA ",_xll.BDP($C78,X$73))),X78)</f>
        <v>AAL 5.75 29</v>
      </c>
      <c r="Z78" s="1021"/>
      <c r="AA78" s="1019"/>
    </row>
    <row r="79" spans="3:38" s="958" customFormat="1">
      <c r="C79" s="6" t="s">
        <v>1616</v>
      </c>
      <c r="D79" s="343" t="s">
        <v>1617</v>
      </c>
      <c r="E79" s="344" t="str">
        <f ca="1">IF(BBswitch=1,IF(ISBLANK($C79),"",IF(_xll.BDP($C79,E$73)="#N/A N/A","NA ",_xll.BDP($C79,E$73))),E79)</f>
        <v>B-</v>
      </c>
      <c r="F79" s="354">
        <f ca="1">IF(BBswitch=1,IF(ISBLANK($C79),"",IF(_xll.BDP($C79,F$72)="#N/A N/A","NA ",_xll.BDP($C79,F$72)/10^6)/P79),F79)</f>
        <v>500</v>
      </c>
      <c r="G79" s="1022">
        <f ca="1">IF(BBswitch=1,IF(ISBLANK($C79),"",IF(_xll.BDP($C79,G$72)="#N/A N/A","NA ",_xll.BDP($C79,G$72)/100)),G79)</f>
        <v>3.7499999999999999E-2</v>
      </c>
      <c r="H79" s="355">
        <f ca="1">IF(BBswitch=1,IF(ISBLANK($C79),"",IF(_xll.BDP($C79,H$72)="#N/A N/A","NA ",_xll.BDP($C79,H$72)/100)),H79)</f>
        <v>0.85441</v>
      </c>
      <c r="I79" s="355">
        <f t="shared" ca="1" si="4"/>
        <v>4.388993574513407E-2</v>
      </c>
      <c r="J79" s="355">
        <f ca="1">IF(BBswitch=1,IF(ISBLANK($C79),"",IF(_xll.BDP($C79,J$72)="#N/A N/A","NA ",_xll.BDP($C79,J$72)/100)),J79)</f>
        <v>0.104111418398616</v>
      </c>
      <c r="K79" s="345" t="str">
        <f ca="1">IF(BBswitch=1,IF(ISBLANK($C79),"",IF(_xll.BDP($C79,K$72)="#N/A N/A","NA ",_xll.BDP($C79,K$72))),K79)</f>
        <v>3/1/2025</v>
      </c>
      <c r="L79" s="346">
        <f t="shared" ca="1" si="5"/>
        <v>2025</v>
      </c>
      <c r="M79" s="950" t="str">
        <f ca="1">IF(BBswitch=1,IF(ISBLANK($C79),"",IF(_xll.BDP($C79,M$72)="#N/A N/A","NA ",_xll.BDP($C79,M$72))),M79)</f>
        <v>2/25/2020</v>
      </c>
      <c r="N79" s="951" t="str" cm="1">
        <f t="array" aca="1" ref="N79" ca="1">IF(BBswitch=1,IF(ISBLANK($C79),"",IF(_xll.BDP($C79,N$72)="#N/A Field Not Applicable","Notes",_xll.BDP($C79,N$72))),N79)</f>
        <v>Notes</v>
      </c>
      <c r="O79" s="952" cm="1">
        <f t="array" aca="1" ref="O79" ca="1">IF(BBswitch=1,IF(ISBLANK($C79),"",IFERROR(IF(_xll.BDP($C79,O$72)="#N/A N/A","NA ",_xll.BDP($C79,O$72)/10^6),0)/P79),O79)</f>
        <v>0</v>
      </c>
      <c r="P79" s="953" cm="1">
        <f t="array" aca="1" ref="P79" ca="1">+IF(BBswitch=1,IF(ISBLANK($C79),"",IF(_xll.BDP("USD"&amp;Q79&amp;" BGN Curncy","px last")="#N/A Invalid Security",1,_xll.BDP("USD"&amp;Q79&amp;" BGN Curncy","px last"))),P79)</f>
        <v>1</v>
      </c>
      <c r="Q79" s="954" t="str">
        <f ca="1">IF(BBswitch=1,IF(ISBLANK($C79),"",IF(_xll.BDP($C79,Q$72)="#N/A N/A","NA ",_xll.BDP($C79,Q$72))),Q79)</f>
        <v>USD</v>
      </c>
      <c r="R79" s="955" t="str" cm="1">
        <f t="array" aca="1" ref="R79" ca="1">IF(BBswitch=1,IF(ISBLANK($C79),"",IF(OR(_xll.BDP($C79,R$72)="#N/A Field Not Applicable",_xll.BDP($C79,R$72)="#N/A N/A"),"",_xll.BDP($C79,R$72))),R79)</f>
        <v/>
      </c>
      <c r="S79" s="955" cm="1">
        <f t="array" aca="1" ref="S79" ca="1">IF(BBswitch=1,IF(ISBLANK($C79),"",IF(OR(_xll.BDP($C79,S$72)="#N/A Field Not Applicable",_xll.BDP($C79,S$72)="#N/A N/A"),"",_xll.BDP($C79,S$72))),S79)</f>
        <v>707.16414351685523</v>
      </c>
      <c r="T79" s="955" t="str" cm="1">
        <f t="array" aca="1" ref="T79" ca="1">IF(BBswitch=1,IF(ISBLANK($C79),"",IF(OR(_xll.BDP($C79,T$72)="#N/A Field Not Applicable",_xll.BDP($C79,T$72)="#N/A N/A"),"",_xll.BDP($C79,T$72))),T79)</f>
        <v/>
      </c>
      <c r="U79" s="955" cm="1">
        <f t="array" aca="1" ref="U79" ca="1">IF(BBswitch=1,IF(ISBLANK($C79),"",IF(OR(_xll.BDP($C79,U$72)="#N/A Field Not Applicable",_xll.BDP($C79,U$72)="#N/A N/A"),"",_xll.BDP($C79,U$72))),U79)</f>
        <v>2.340281172679056</v>
      </c>
      <c r="V79" s="956" t="str">
        <f ca="1">IF(BBswitch=1,IF(ISBLANK($C79),"",IF(_xll.BDP($C79,V$72)="#N/A N/A","NA ",_xll.BDP($C79,V$72))),V79)</f>
        <v>Sr Unsecured</v>
      </c>
      <c r="W79" s="957" t="str" cm="1">
        <f t="array" aca="1" ref="W79" ca="1">IF(BBswitch=1,IF(ISBLANK($C79),"",IF(_xll.BDP($C79,W$72)="#N/A N/A","NA ",_xll.BDP($C79,W$72))),W79)</f>
        <v>American Airlines Group Inc</v>
      </c>
      <c r="X79" s="949" t="str">
        <f ca="1">IF(BBswitch=1,IF(ISBLANK($C79),"",IF(_xll.BDP($C79,X$73)="#N/A N/A","NA ",_xll.BDP($C79,X$73))),X79)</f>
        <v>AAL 3.75 25</v>
      </c>
      <c r="Z79" s="1021">
        <f>'AAL Debt'!D18</f>
        <v>5.5E-2</v>
      </c>
      <c r="AA79" s="1019">
        <f>'AAL Debt'!Q18</f>
        <v>3500</v>
      </c>
    </row>
    <row r="80" spans="3:38">
      <c r="C80" s="6" t="s">
        <v>1618</v>
      </c>
      <c r="D80" s="343" t="s">
        <v>1619</v>
      </c>
      <c r="E80" s="344" t="str">
        <f ca="1">IF(BBswitch=1,IF(ISBLANK($C80),"",IF(_xll.BDP($C80,E$73)="#N/A N/A","NA ",_xll.BDP($C80,E$73))),E80)</f>
        <v>B-</v>
      </c>
      <c r="F80" s="1040">
        <f>'AAL Debt'!Q11</f>
        <v>1196</v>
      </c>
      <c r="G80" s="1022">
        <f ca="1">IF(BBswitch=1,IF(ISBLANK($C80),"",IF(_xll.BDP($C80,G$72)="#N/A N/A","NA ",_xll.BDP($C80,G$72)/100)),G80)</f>
        <v>6.5000000000000002E-2</v>
      </c>
      <c r="H80" s="355">
        <f ca="1">IF(BBswitch=1,IF(ISBLANK($C80),"",IF(_xll.BDP($C80,H$72)="#N/A N/A","NA ",_xll.BDP($C80,H$72)/100)),H80)</f>
        <v>1.17926</v>
      </c>
      <c r="I80" s="355">
        <f t="shared" ca="1" si="4"/>
        <v>5.5119312110984857E-2</v>
      </c>
      <c r="J80" s="355">
        <f ca="1">IF(BBswitch=1,IF(ISBLANK($C80),"",IF(_xll.BDP($C80,J$72)="#N/A N/A","NA ",_xll.BDP($C80,J$72)/100)),J80)</f>
        <v>3.6747755015185996E-3</v>
      </c>
      <c r="K80" s="345" t="str">
        <f ca="1">IF(BBswitch=1,IF(ISBLANK($C80),"",IF(_xll.BDP($C80,K$72)="#N/A N/A","NA ",_xll.BDP($C80,K$72))),K80)</f>
        <v>7/1/2025</v>
      </c>
      <c r="L80" s="346">
        <f t="shared" ca="1" si="5"/>
        <v>2025</v>
      </c>
      <c r="M80" s="345" t="str">
        <f ca="1">IF(BBswitch=1,IF(ISBLANK($C80),"",IF(_xll.BDP($C80,M$72)="#N/A N/A","NA ",_xll.BDP($C80,M$72))),M80)</f>
        <v>6/25/2020</v>
      </c>
      <c r="N80" s="347" t="str" cm="1">
        <f t="array" aca="1" ref="N80" ca="1">IF(BBswitch=1,IF(ISBLANK($C80),"",IF(_xll.BDP($C80,N$72)="#N/A Field Not Applicable","Notes",_xll.BDP($C80,N$72))),N80)</f>
        <v>Notes</v>
      </c>
      <c r="O80" s="348" cm="1">
        <f t="array" aca="1" ref="O80" ca="1">IF(BBswitch=1,IF(ISBLANK($C80),"",IFERROR(IF(_xll.BDP($C80,O$72)="#N/A N/A","NA ",_xll.BDP($C80,O$72)/10^6),0)/P80),O80)</f>
        <v>0</v>
      </c>
      <c r="P80" s="349" cm="1">
        <f t="array" aca="1" ref="P80" ca="1">+IF(BBswitch=1,IF(ISBLANK($C80),"",IF(_xll.BDP("USD"&amp;Q80&amp;" BGN Curncy","px last")="#N/A Invalid Security",1,_xll.BDP("USD"&amp;Q80&amp;" BGN Curncy","px last"))),P80)</f>
        <v>1</v>
      </c>
      <c r="Q80" s="350" t="str">
        <f ca="1">IF(BBswitch=1,IF(ISBLANK($C80),"",IF(_xll.BDP($C80,Q$72)="#N/A N/A","NA ",_xll.BDP($C80,Q$72))),Q80)</f>
        <v>USD</v>
      </c>
      <c r="R80" s="351" t="str" cm="1">
        <f t="array" aca="1" ref="R80" ca="1">IF(BBswitch=1,IF(ISBLANK($C80),"",IF(OR(_xll.BDP($C80,R$72)="#N/A Field Not Applicable",_xll.BDP($C80,R$72)="#N/A N/A"),"",_xll.BDP($C80,R$72))),R80)</f>
        <v/>
      </c>
      <c r="S80" s="351" t="str" cm="1">
        <f t="array" aca="1" ref="S80" ca="1">IF(BBswitch=1,IF(ISBLANK($C80),"",IF(OR(_xll.BDP($C80,S$72)="#N/A Field Not Applicable",_xll.BDP($C80,S$72)="#N/A N/A"),"",_xll.BDP($C80,S$72))),S80)</f>
        <v/>
      </c>
      <c r="T80" s="351" t="str" cm="1">
        <f t="array" aca="1" ref="T80" ca="1">IF(BBswitch=1,IF(ISBLANK($C80),"",IF(OR(_xll.BDP($C80,T$72)="#N/A Field Not Applicable",_xll.BDP($C80,T$72)="#N/A N/A"),"",_xll.BDP($C80,T$72))),T80)</f>
        <v/>
      </c>
      <c r="U80" s="351" t="str" cm="1">
        <f t="array" aca="1" ref="U80" ca="1">IF(BBswitch=1,IF(ISBLANK($C80),"",IF(OR(_xll.BDP($C80,U$72)="#N/A Field Not Applicable",_xll.BDP($C80,U$72)="#N/A N/A"),"",_xll.BDP($C80,U$72))),U80)</f>
        <v/>
      </c>
      <c r="V80" s="352" t="str">
        <f ca="1">IF(BBswitch=1,IF(ISBLANK($C80),"",IF(_xll.BDP($C80,V$72)="#N/A N/A","NA ",_xll.BDP($C80,V$72))),V80)</f>
        <v>Sr Unsecured</v>
      </c>
      <c r="W80" s="353" t="str" cm="1">
        <f t="array" aca="1" ref="W80" ca="1">IF(BBswitch=1,IF(ISBLANK($C80),"",IF(_xll.BDP($C80,W$72)="#N/A N/A","NA ",_xll.BDP($C80,W$72))),W80)</f>
        <v>American Airlines Group Inc</v>
      </c>
      <c r="X80" s="343" t="str">
        <f ca="1">IF(BBswitch=1,IF(ISBLANK($C80),"",IF(_xll.BDP($C80,X$73)="#N/A N/A","NA ",_xll.BDP($C80,X$73))),X80)</f>
        <v>AAL 6.5 25</v>
      </c>
      <c r="Z80" s="1021">
        <f>'AAL Debt'!D11</f>
        <v>2.1999999999999999E-2</v>
      </c>
      <c r="AA80" s="1019">
        <f>'AAL Debt'!Q11</f>
        <v>1196</v>
      </c>
    </row>
    <row r="81" spans="3:38">
      <c r="C81" s="6" t="s">
        <v>1985</v>
      </c>
      <c r="D81" s="343" t="s">
        <v>1986</v>
      </c>
      <c r="E81" s="344" t="str">
        <f ca="1">IF(BBswitch=1,IF(ISBLANK($C81),"",IF(_xll.BDP($C81,E$73)="#N/A N/A","NA ",_xll.BDP($C81,E$73))),E81)</f>
        <v>B-</v>
      </c>
      <c r="F81" s="1040">
        <f>'AAL Debt'!Q12</f>
        <v>1188</v>
      </c>
      <c r="G81" s="1022">
        <f ca="1">IF(BBswitch=1,IF(ISBLANK($C81),"",IF(_xll.BDP($C81,G$72)="#N/A N/A","NA ",_xll.BDP($C81,G$72)/100)),G81)</f>
        <v>3.4437099700000001E-2</v>
      </c>
      <c r="H81" s="355">
        <f ca="1">IF(BBswitch=1,IF(ISBLANK($C81),"",IF(_xll.BDP($C81,H$72)="#N/A N/A","NA ",_xll.BDP($C81,H$72)/100)),H81)</f>
        <v>0.98624999999999996</v>
      </c>
      <c r="I81" s="355">
        <f t="shared" ca="1" si="4"/>
        <v>3.4917211356147025E-2</v>
      </c>
      <c r="J81" s="355">
        <f ca="1">IF(BBswitch=1,IF(ISBLANK($C81),"",IF(_xll.BDP($C81,J$72)="#N/A N/A","NA ",_xll.BDP($C81,J$72)/100)),J81)</f>
        <v>6.0204422577404611E-2</v>
      </c>
      <c r="K81" s="345" t="str">
        <f ca="1">IF(BBswitch=1,IF(ISBLANK($C81),"",IF(_xll.BDP($C81,K$72)="#N/A N/A","NA ",_xll.BDP($C81,K$72))),K81)</f>
        <v>12/14/2023</v>
      </c>
      <c r="L81" s="346" t="e">
        <f t="shared" ca="1" si="5"/>
        <v>#VALUE!</v>
      </c>
      <c r="M81" s="345" t="str">
        <f ca="1">IF(BBswitch=1,IF(ISBLANK($C81),"",IF(_xll.BDP($C81,M$72)="#N/A N/A","NA ",_xll.BDP($C81,M$72))),M81)</f>
        <v>11/14/2017</v>
      </c>
      <c r="N81" s="347" t="str" cm="1">
        <f t="array" aca="1" ref="N81" ca="1">IF(BBswitch=1,IF(ISBLANK($C81),"",IF(_xll.BDP($C81,N$72)="#N/A Field Not Applicable","Notes",_xll.BDP($C81,N$72))),N81)</f>
        <v>TERM</v>
      </c>
      <c r="O81" s="348" cm="1">
        <f t="array" aca="1" ref="O81" ca="1">IF(BBswitch=1,IF(ISBLANK($C81),"",IFERROR(IF(_xll.BDP($C81,O$72)="#N/A N/A","NA ",_xll.BDP($C81,O$72)/10^6),0)/P81),O81)</f>
        <v>1250</v>
      </c>
      <c r="P81" s="349" cm="1">
        <f t="array" aca="1" ref="P81" ca="1">+IF(BBswitch=1,IF(ISBLANK($C81),"",IF(_xll.BDP("USD"&amp;Q81&amp;" BGN Curncy","px last")="#N/A Invalid Security",1,_xll.BDP("USD"&amp;Q81&amp;" BGN Curncy","px last"))),P81)</f>
        <v>1</v>
      </c>
      <c r="Q81" s="350" t="str">
        <f ca="1">IF(BBswitch=1,IF(ISBLANK($C81),"",IF(_xll.BDP($C81,Q$72)="#N/A N/A","NA ",_xll.BDP($C81,Q$72))),Q81)</f>
        <v>USD</v>
      </c>
      <c r="R81" s="351" cm="1">
        <f t="array" aca="1" ref="R81" ca="1">IF(BBswitch=1,IF(ISBLANK($C81),"",IF(OR(_xll.BDP($C81,R$72)="#N/A Field Not Applicable",_xll.BDP($C81,R$72)="#N/A N/A"),"",_xll.BDP($C81,R$72))),R81)</f>
        <v>1.3272741835974791</v>
      </c>
      <c r="S81" s="351" t="str" cm="1">
        <f t="array" aca="1" ref="S81" ca="1">IF(BBswitch=1,IF(ISBLANK($C81),"",IF(OR(_xll.BDP($C81,S$72)="#N/A Field Not Applicable",_xll.BDP($C81,S$72)="#N/A N/A"),"",_xll.BDP($C81,S$72))),S81)</f>
        <v/>
      </c>
      <c r="T81" s="351" cm="1">
        <f t="array" aca="1" ref="T81" ca="1">IF(BBswitch=1,IF(ISBLANK($C81),"",IF(OR(_xll.BDP($C81,T$72)="#N/A Field Not Applicable",_xll.BDP($C81,T$72)="#N/A N/A"),"",_xll.BDP($C81,T$72))),T81)</f>
        <v>300.22169671117643</v>
      </c>
      <c r="U81" s="351" t="str" cm="1">
        <f t="array" aca="1" ref="U81" ca="1">IF(BBswitch=1,IF(ISBLANK($C81),"",IF(OR(_xll.BDP($C81,U$72)="#N/A Field Not Applicable",_xll.BDP($C81,U$72)="#N/A N/A"),"",_xll.BDP($C81,U$72))),U81)</f>
        <v/>
      </c>
      <c r="V81" s="352" t="str">
        <f ca="1">IF(BBswitch=1,IF(ISBLANK($C81),"",IF(_xll.BDP($C81,V$72)="#N/A N/A","NA ",_xll.BDP($C81,V$72))),V81)</f>
        <v>1L Gtd Sr. Secd</v>
      </c>
      <c r="W81" s="353" t="str" cm="1">
        <f t="array" aca="1" ref="W81" ca="1">IF(BBswitch=1,IF(ISBLANK($C81),"",IF(_xll.BDP($C81,W$72)="#N/A N/A","NA ",_xll.BDP($C81,W$72))),W81)</f>
        <v>American Airlines Inc</v>
      </c>
      <c r="X81" s="343" t="str">
        <f ca="1">IF(BBswitch=1,IF(ISBLANK($C81),"",IF(_xll.BDP($C81,X$73)="#N/A N/A","NA ",_xll.BDP($C81,X$73))),X81)</f>
        <v>AAL TL B 1L USD</v>
      </c>
      <c r="Z81" s="1021">
        <f>'AAL Debt'!D12</f>
        <v>2.8400000000000002E-2</v>
      </c>
      <c r="AA81" s="1019">
        <f>'AAL Debt'!Q12</f>
        <v>1188</v>
      </c>
    </row>
    <row r="82" spans="3:38">
      <c r="D82" s="343"/>
      <c r="E82" s="344" t="str">
        <f ca="1">IF(BBswitch=1,IF(ISBLANK($C82),"",IF(_xll.BDP($C82,E$73)="#N/A N/A","NA ",_xll.BDP($C82,E$73))),E82)</f>
        <v/>
      </c>
      <c r="F82" s="354" t="str">
        <f ca="1">IF(BBswitch=1,IF(ISBLANK($C82),"",IF(_xll.BDP($C82,F$72)="#N/A N/A","NA ",_xll.BDP($C82,F$72)/10^6)/P82),F82)</f>
        <v/>
      </c>
      <c r="G82" s="1022" t="str">
        <f ca="1">IF(BBswitch=1,IF(ISBLANK($C82),"",IF(_xll.BDP($C82,G$72)="#N/A N/A","NA ",_xll.BDP($C82,G$72)/100)),G82)</f>
        <v/>
      </c>
      <c r="H82" s="355" t="str">
        <f ca="1">IF(BBswitch=1,IF(ISBLANK($C82),"",IF(_xll.BDP($C82,H$72)="#N/A N/A","NA ",_xll.BDP($C82,H$72)/100)),H82)</f>
        <v/>
      </c>
      <c r="I82" s="355" t="str">
        <f ca="1">IF(BBswitch=1,IF(ISBLANK($C82),"",IF(_xll.BDP($C82,I$72)="#N/A N/A","NA ",_xll.BDP($C82,I$72)/100)),I82)</f>
        <v/>
      </c>
      <c r="J82" s="355" t="str">
        <f ca="1">IF(BBswitch=1,IF(ISBLANK($C82),"",IF(_xll.BDP($C82,J$72)="#N/A N/A","NA ",_xll.BDP($C82,J$72)/100)),J82)</f>
        <v/>
      </c>
      <c r="K82" s="345" t="str">
        <f ca="1">IF(BBswitch=1,IF(ISBLANK($C82),"",IF(_xll.BDP($C82,K$72)="#N/A N/A","NA ",_xll.BDP($C82,K$72))),K82)</f>
        <v/>
      </c>
      <c r="L82" s="346" t="str">
        <f t="shared" si="5"/>
        <v/>
      </c>
      <c r="M82" s="345" t="str">
        <f ca="1">IF(BBswitch=1,IF(ISBLANK($C82),"",IF(_xll.BDP($C82,M$72)="#N/A N/A","NA ",_xll.BDP($C82,M$72))),M82)</f>
        <v/>
      </c>
      <c r="N82" s="347" t="str" cm="1">
        <f t="array" aca="1" ref="N82" ca="1">IF(BBswitch=1,IF(ISBLANK($C82),"",IF(_xll.BDP($C82,N$72)="#N/A Field Not Applicable","Notes",_xll.BDP($C82,N$72))),N82)</f>
        <v/>
      </c>
      <c r="O82" s="348" t="str" cm="1">
        <f t="array" aca="1" ref="O82" ca="1">IF(BBswitch=1,IF(ISBLANK($C82),"",IFERROR(IF(_xll.BDP($C82,O$72)="#N/A N/A","NA ",_xll.BDP($C82,O$72)/10^6),0)/P82),O82)</f>
        <v/>
      </c>
      <c r="P82" s="349" t="str" cm="1">
        <f t="array" aca="1" ref="P82" ca="1">+IF(BBswitch=1,IF(ISBLANK($C82),"",IF(_xll.BDP("USD"&amp;Q82&amp;" BGN Curncy","px last")="#N/A Invalid Security",1,_xll.BDP("USD"&amp;Q82&amp;" BGN Curncy","px last"))),P82)</f>
        <v/>
      </c>
      <c r="Q82" s="350" t="str">
        <f ca="1">IF(BBswitch=1,IF(ISBLANK($C82),"",IF(_xll.BDP($C82,Q$72)="#N/A N/A","NA ",_xll.BDP($C82,Q$72))),Q82)</f>
        <v/>
      </c>
      <c r="R82" s="351" t="str" cm="1">
        <f t="array" aca="1" ref="R82" ca="1">IF(BBswitch=1,IF(ISBLANK($C82),"",IF(OR(_xll.BDP($C82,R$72)="#N/A Field Not Applicable",_xll.BDP($C82,R$72)="#N/A N/A"),"",_xll.BDP($C82,R$72))),R82)</f>
        <v/>
      </c>
      <c r="S82" s="351" t="str" cm="1">
        <f t="array" aca="1" ref="S82" ca="1">IF(BBswitch=1,IF(ISBLANK($C82),"",IF(OR(_xll.BDP($C82,S$72)="#N/A Field Not Applicable",_xll.BDP($C82,S$72)="#N/A N/A"),"",_xll.BDP($C82,S$72))),S82)</f>
        <v/>
      </c>
      <c r="T82" s="351" t="str" cm="1">
        <f t="array" aca="1" ref="T82" ca="1">IF(BBswitch=1,IF(ISBLANK($C82),"",IF(OR(_xll.BDP($C82,T$72)="#N/A Field Not Applicable",_xll.BDP($C82,T$72)="#N/A N/A"),"",_xll.BDP($C82,T$72))),T82)</f>
        <v/>
      </c>
      <c r="U82" s="351" t="str" cm="1">
        <f t="array" aca="1" ref="U82" ca="1">IF(BBswitch=1,IF(ISBLANK($C82),"",IF(OR(_xll.BDP($C82,U$72)="#N/A Field Not Applicable",_xll.BDP($C82,U$72)="#N/A N/A"),"",_xll.BDP($C82,U$72))),U82)</f>
        <v/>
      </c>
      <c r="V82" s="352" t="str">
        <f ca="1">IF(BBswitch=1,IF(ISBLANK($C82),"",IF(_xll.BDP($C82,V$72)="#N/A N/A","NA ",_xll.BDP($C82,V$72))),V82)</f>
        <v/>
      </c>
      <c r="W82" s="353" t="str" cm="1">
        <f t="array" aca="1" ref="W82" ca="1">IF(BBswitch=1,IF(ISBLANK($C82),"",IF(_xll.BDP($C82,W$72)="#N/A N/A","NA ",_xll.BDP($C82,W$72))),W82)</f>
        <v/>
      </c>
      <c r="X82" s="343" t="str">
        <f ca="1">IF(BBswitch=1,IF(ISBLANK($C82),"",IF(_xll.BDP($C82,X$73)="#N/A N/A","NA ",_xll.BDP($C82,X$73))),X82)</f>
        <v/>
      </c>
      <c r="Z82" s="1021">
        <f>'AAL Debt'!D13</f>
        <v>0.11749999999999999</v>
      </c>
      <c r="AA82" s="1019">
        <f>'AAL Debt'!Q13</f>
        <v>2500</v>
      </c>
    </row>
    <row r="83" spans="3:38">
      <c r="C83" s="6" t="s">
        <v>1622</v>
      </c>
      <c r="D83" s="343" t="s">
        <v>1623</v>
      </c>
      <c r="E83" s="344" t="str">
        <f ca="1">IF(BBswitch=1,IF(ISBLANK($C83),"",IF(_xll.BDP($C83,E$73)="#N/A N/A","NA ",_xll.BDP($C83,E$73))),E83)</f>
        <v>B-</v>
      </c>
      <c r="F83" s="354">
        <f ca="1">IF(BBswitch=1,IF(ISBLANK($C83),"",IF(_xll.BDP($C83,F$72)="#N/A N/A","NA ",_xll.BDP($C83,F$72)/10^6)/P83),F83)</f>
        <v>75.498000000000005</v>
      </c>
      <c r="G83" s="1022">
        <f ca="1">IF(BBswitch=1,IF(ISBLANK($C83),"",IF(_xll.BDP($C83,G$72)="#N/A N/A","NA ",_xll.BDP($C83,G$72)/100)),G83)</f>
        <v>0.09</v>
      </c>
      <c r="H83" s="355" t="str">
        <f ca="1">IF(BBswitch=1,IF(ISBLANK($C83),"",IF(_xll.BDP($C83,H$72)="#N/A N/A","NA ",_xll.BDP($C83,H$72)/100)),H83)</f>
        <v xml:space="preserve">NA </v>
      </c>
      <c r="I83" s="355" t="str">
        <f ca="1">IF(BBswitch=1,IF(ISBLANK($C83),"",IF(_xll.BDP($C83,I$72)="#N/A N/A","NA ",_xll.BDP($C83,I$72)/100)),I83)</f>
        <v xml:space="preserve">NA </v>
      </c>
      <c r="J83" s="355" t="str">
        <f ca="1">IF(BBswitch=1,IF(ISBLANK($C83),"",IF(_xll.BDP($C83,J$72)="#N/A N/A","NA ",_xll.BDP($C83,J$72)/100)),J83)</f>
        <v xml:space="preserve">NA </v>
      </c>
      <c r="K83" s="345" t="str">
        <f ca="1">IF(BBswitch=1,IF(ISBLANK($C83),"",IF(_xll.BDP($C83,K$72)="#N/A N/A","NA ",_xll.BDP($C83,K$72))),K83)</f>
        <v>8/1/2012</v>
      </c>
      <c r="L83" s="346">
        <f t="shared" ref="L83:L111" ca="1" si="6">IF(ISBLANK($C83),"",YEAR(K83))</f>
        <v>2012</v>
      </c>
      <c r="M83" s="345" t="str">
        <f ca="1">IF(BBswitch=1,IF(ISBLANK($C83),"",IF(_xll.BDP($C83,M$72)="#N/A N/A","NA ",_xll.BDP($C83,M$72))),M83)</f>
        <v>7/29/1992</v>
      </c>
      <c r="N83" s="347" t="str" cm="1">
        <f t="array" aca="1" ref="N83" ca="1">IF(BBswitch=1,IF(ISBLANK($C83),"",IF(_xll.BDP($C83,N$72)="#N/A Field Not Applicable","Notes",_xll.BDP($C83,N$72))),N83)</f>
        <v>Notes</v>
      </c>
      <c r="O83" s="348" cm="1">
        <f t="array" aca="1" ref="O83" ca="1">IF(BBswitch=1,IF(ISBLANK($C83),"",IFERROR(IF(_xll.BDP($C83,O$72)="#N/A N/A","NA ",_xll.BDP($C83,O$72)/10^6),0)/P83),O83)</f>
        <v>0</v>
      </c>
      <c r="P83" s="349" cm="1">
        <f t="array" aca="1" ref="P83" ca="1">+IF(BBswitch=1,IF(ISBLANK($C83),"",IF(_xll.BDP("USD"&amp;Q83&amp;" BGN Curncy","px last")="#N/A Invalid Security",1,_xll.BDP("USD"&amp;Q83&amp;" BGN Curncy","px last"))),P83)</f>
        <v>1</v>
      </c>
      <c r="Q83" s="350" t="str">
        <f ca="1">IF(BBswitch=1,IF(ISBLANK($C83),"",IF(_xll.BDP($C83,Q$72)="#N/A N/A","NA ",_xll.BDP($C83,Q$72))),Q83)</f>
        <v>USD</v>
      </c>
      <c r="R83" s="351" t="str" cm="1">
        <f t="array" aca="1" ref="R83" ca="1">IF(BBswitch=1,IF(ISBLANK($C83),"",IF(OR(_xll.BDP($C83,R$72)="#N/A Field Not Applicable",_xll.BDP($C83,R$72)="#N/A N/A"),"",_xll.BDP($C83,R$72))),R83)</f>
        <v/>
      </c>
      <c r="S83" s="351" t="str" cm="1">
        <f t="array" aca="1" ref="S83" ca="1">IF(BBswitch=1,IF(ISBLANK($C83),"",IF(OR(_xll.BDP($C83,S$72)="#N/A Field Not Applicable",_xll.BDP($C83,S$72)="#N/A N/A"),"",_xll.BDP($C83,S$72))),S83)</f>
        <v/>
      </c>
      <c r="T83" s="351" t="str" cm="1">
        <f t="array" aca="1" ref="T83" ca="1">IF(BBswitch=1,IF(ISBLANK($C83),"",IF(OR(_xll.BDP($C83,T$72)="#N/A Field Not Applicable",_xll.BDP($C83,T$72)="#N/A N/A"),"",_xll.BDP($C83,T$72))),T83)</f>
        <v/>
      </c>
      <c r="U83" s="351" t="str" cm="1">
        <f t="array" aca="1" ref="U83" ca="1">IF(BBswitch=1,IF(ISBLANK($C83),"",IF(OR(_xll.BDP($C83,U$72)="#N/A Field Not Applicable",_xll.BDP($C83,U$72)="#N/A N/A"),"",_xll.BDP($C83,U$72))),U83)</f>
        <v/>
      </c>
      <c r="V83" s="352" t="str">
        <f ca="1">IF(BBswitch=1,IF(ISBLANK($C83),"",IF(_xll.BDP($C83,V$72)="#N/A N/A","NA ",_xll.BDP($C83,V$72))),V83)</f>
        <v>Sr Unsecured</v>
      </c>
      <c r="W83" s="353" t="str" cm="1">
        <f t="array" aca="1" ref="W83" ca="1">IF(BBswitch=1,IF(ISBLANK($C83),"",IF(_xll.BDP($C83,W$72)="#N/A N/A","NA ",_xll.BDP($C83,W$72))),W83)</f>
        <v>American Airlines Group Inc</v>
      </c>
      <c r="X83" s="343" t="str">
        <f ca="1">IF(BBswitch=1,IF(ISBLANK($C83),"",IF(_xll.BDP($C83,X$73)="#N/A N/A","NA ",_xll.BDP($C83,X$73))),X83)</f>
        <v>AAL 9 12</v>
      </c>
      <c r="Z83" s="1021">
        <f>'AAL Debt'!D16</f>
        <v>5.5E-2</v>
      </c>
      <c r="AA83" s="1019">
        <f>'AAL Debt'!Q16</f>
        <v>3500</v>
      </c>
    </row>
    <row r="84" spans="3:38">
      <c r="C84" s="6" t="s">
        <v>1622</v>
      </c>
      <c r="D84" s="343" t="s">
        <v>1623</v>
      </c>
      <c r="E84" s="344" t="str">
        <f ca="1">IF(BBswitch=1,IF(ISBLANK($C84),"",IF(_xll.BDP($C84,E$73)="#N/A N/A","NA ",_xll.BDP($C84,E$73))),E84)</f>
        <v>B-</v>
      </c>
      <c r="F84" s="354">
        <f ca="1">IF(BBswitch=1,IF(ISBLANK($C84),"",IF(_xll.BDP($C84,F$72)="#N/A N/A","NA ",_xll.BDP($C84,F$72)/10^6)/P84),F84)</f>
        <v>75.498000000000005</v>
      </c>
      <c r="G84" s="1022">
        <f ca="1">IF(BBswitch=1,IF(ISBLANK($C84),"",IF(_xll.BDP($C84,G$72)="#N/A N/A","NA ",_xll.BDP($C84,G$72)/100)),G84)</f>
        <v>0.09</v>
      </c>
      <c r="H84" s="355" t="str">
        <f ca="1">IF(BBswitch=1,IF(ISBLANK($C84),"",IF(_xll.BDP($C84,H$72)="#N/A N/A","NA ",_xll.BDP($C84,H$72)/100)),H84)</f>
        <v xml:space="preserve">NA </v>
      </c>
      <c r="I84" s="355" t="str">
        <f ca="1">IF(BBswitch=1,IF(ISBLANK($C84),"",IF(_xll.BDP($C84,I$72)="#N/A N/A","NA ",_xll.BDP($C84,I$72)/100)),I84)</f>
        <v xml:space="preserve">NA </v>
      </c>
      <c r="J84" s="355" t="str">
        <f ca="1">IF(BBswitch=1,IF(ISBLANK($C84),"",IF(_xll.BDP($C84,J$72)="#N/A N/A","NA ",_xll.BDP($C84,J$72)/100)),J84)</f>
        <v xml:space="preserve">NA </v>
      </c>
      <c r="K84" s="345" t="str">
        <f ca="1">IF(BBswitch=1,IF(ISBLANK($C84),"",IF(_xll.BDP($C84,K$72)="#N/A N/A","NA ",_xll.BDP($C84,K$72))),K84)</f>
        <v>8/1/2012</v>
      </c>
      <c r="L84" s="346">
        <f ca="1">IF(ISBLANK($C84),"",YEAR(K84))</f>
        <v>2012</v>
      </c>
      <c r="M84" s="345" t="str">
        <f ca="1">IF(BBswitch=1,IF(ISBLANK($C84),"",IF(_xll.BDP($C84,M$72)="#N/A N/A","NA ",_xll.BDP($C84,M$72))),M84)</f>
        <v>7/29/1992</v>
      </c>
      <c r="N84" s="347" t="str" cm="1">
        <f t="array" aca="1" ref="N84" ca="1">IF(BBswitch=1,IF(ISBLANK($C84),"",IF(_xll.BDP($C84,N$72)="#N/A Field Not Applicable","Notes",_xll.BDP($C84,N$72))),N84)</f>
        <v>Notes</v>
      </c>
      <c r="O84" s="348" cm="1">
        <f t="array" aca="1" ref="O84" ca="1">IF(BBswitch=1,IF(ISBLANK($C84),"",IFERROR(IF(_xll.BDP($C84,O$72)="#N/A N/A","NA ",_xll.BDP($C84,O$72)/10^6),0)/P84),O84)</f>
        <v>0</v>
      </c>
      <c r="P84" s="349" cm="1">
        <f t="array" aca="1" ref="P84" ca="1">+IF(BBswitch=1,IF(ISBLANK($C84),"",IF(_xll.BDP("USD"&amp;Q84&amp;" BGN Curncy","px last")="#N/A Invalid Security",1,_xll.BDP("USD"&amp;Q84&amp;" BGN Curncy","px last"))),P84)</f>
        <v>1</v>
      </c>
      <c r="Q84" s="350" t="str">
        <f ca="1">IF(BBswitch=1,IF(ISBLANK($C84),"",IF(_xll.BDP($C84,Q$72)="#N/A N/A","NA ",_xll.BDP($C84,Q$72))),Q84)</f>
        <v>USD</v>
      </c>
      <c r="R84" s="351" t="str" cm="1">
        <f t="array" aca="1" ref="R84" ca="1">IF(BBswitch=1,IF(ISBLANK($C84),"",IF(OR(_xll.BDP($C84,R$72)="#N/A Field Not Applicable",_xll.BDP($C84,R$72)="#N/A N/A"),"",_xll.BDP($C84,R$72))),R84)</f>
        <v/>
      </c>
      <c r="S84" s="351" t="str" cm="1">
        <f t="array" aca="1" ref="S84" ca="1">IF(BBswitch=1,IF(ISBLANK($C84),"",IF(OR(_xll.BDP($C84,S$72)="#N/A Field Not Applicable",_xll.BDP($C84,S$72)="#N/A N/A"),"",_xll.BDP($C84,S$72))),S84)</f>
        <v/>
      </c>
      <c r="T84" s="351" t="str" cm="1">
        <f t="array" aca="1" ref="T84" ca="1">IF(BBswitch=1,IF(ISBLANK($C84),"",IF(OR(_xll.BDP($C84,T$72)="#N/A Field Not Applicable",_xll.BDP($C84,T$72)="#N/A N/A"),"",_xll.BDP($C84,T$72))),T84)</f>
        <v/>
      </c>
      <c r="U84" s="351" t="str" cm="1">
        <f t="array" aca="1" ref="U84" ca="1">IF(BBswitch=1,IF(ISBLANK($C84),"",IF(OR(_xll.BDP($C84,U$72)="#N/A Field Not Applicable",_xll.BDP($C84,U$72)="#N/A N/A"),"",_xll.BDP($C84,U$72))),U84)</f>
        <v/>
      </c>
      <c r="V84" s="352" t="str">
        <f ca="1">IF(BBswitch=1,IF(ISBLANK($C84),"",IF(_xll.BDP($C84,V$72)="#N/A N/A","NA ",_xll.BDP($C84,V$72))),V84)</f>
        <v>Sr Unsecured</v>
      </c>
      <c r="W84" s="353" t="str" cm="1">
        <f t="array" aca="1" ref="W84" ca="1">IF(BBswitch=1,IF(ISBLANK($C84),"",IF(_xll.BDP($C84,W$72)="#N/A N/A","NA ",_xll.BDP($C84,W$72))),W84)</f>
        <v>American Airlines Group Inc</v>
      </c>
      <c r="X84" s="343" t="str">
        <f ca="1">IF(BBswitch=1,IF(ISBLANK($C84),"",IF(_xll.BDP($C84,X$73)="#N/A N/A","NA ",_xll.BDP($C84,X$73))),X84)</f>
        <v>AAL 9 12</v>
      </c>
      <c r="Z84" s="1021">
        <f>'AAL Debt'!D17</f>
        <v>5.7500000000000002E-2</v>
      </c>
      <c r="AA84" s="1019">
        <f>'AAL Debt'!Q17</f>
        <v>3000</v>
      </c>
    </row>
    <row r="85" spans="3:38" s="958" customFormat="1">
      <c r="C85" s="6" t="s">
        <v>1652</v>
      </c>
      <c r="D85" s="343" t="str">
        <f ca="1">IF(BBswitch=1,IF(ISBLANK($C85),"",IF(_xll.BDP($C85,D$73)="#N/A N/A","NA ",_xll.BDP($C85,D$73))),D85)</f>
        <v>AAL 2.875 34</v>
      </c>
      <c r="E85" s="344" t="str">
        <f ca="1">IF(BBswitch=1,IF(ISBLANK($C85),"",IF(_xll.BDP($C85,E$73)="#N/A N/A","NA ",_xll.BDP($C85,E$73))),E85)</f>
        <v xml:space="preserve">NA </v>
      </c>
      <c r="F85" s="354">
        <f ca="1">IF(BBswitch=1,IF(ISBLANK($C85),"",IF(_xll.BDP($C85,F$72)="#N/A N/A","NA ",_xll.BDP($C85,F$72)/10^6)/P85),F85)</f>
        <v>757.82500000000005</v>
      </c>
      <c r="G85" s="1022">
        <f ca="1">IF(BBswitch=1,IF(ISBLANK($C85),"",IF(_xll.BDP($C85,G$72)="#N/A N/A","NA ",_xll.BDP($C85,G$72)/100)),G85)</f>
        <v>2.8750000000000001E-2</v>
      </c>
      <c r="H85" s="355">
        <f ca="1">IF(BBswitch=1,IF(ISBLANK($C85),"",IF(_xll.BDP($C85,H$72)="#N/A N/A","NA ",_xll.BDP($C85,H$72)/100)),H85)</f>
        <v>0.84147000000000005</v>
      </c>
      <c r="I85" s="355">
        <f ca="1">IF(BBswitch=1,IF(ISBLANK($C85),"",IF(_xll.BDP($C85,I$72)="#N/A N/A","NA ",_xll.BDP($C85,I$72)/100)),I85)</f>
        <v>3.4253103629041867E-2</v>
      </c>
      <c r="J85" s="355">
        <f ca="1">IF(BBswitch=1,IF(ISBLANK($C85),"",IF(_xll.BDP($C85,J$72)="#N/A N/A","NA ",_xll.BDP($C85,J$72)/100)),J85)</f>
        <v>5.4153838077575539E-2</v>
      </c>
      <c r="K85" s="345" t="str">
        <f ca="1">IF(BBswitch=1,IF(ISBLANK($C85),"",IF(_xll.BDP($C85,K$72)="#N/A N/A","NA ",_xll.BDP($C85,K$72))),K85)</f>
        <v>7/11/2034</v>
      </c>
      <c r="L85" s="346">
        <f ca="1">IF(ISBLANK($C85),"",YEAR(K85))</f>
        <v>2034</v>
      </c>
      <c r="M85" s="950" t="str">
        <f ca="1">IF(BBswitch=1,IF(ISBLANK($C85),"",IF(_xll.BDP($C85,M$72)="#N/A N/A","NA ",_xll.BDP($C85,M$72))),M85)</f>
        <v>11/8/2021</v>
      </c>
      <c r="N85" s="951" t="str" cm="1">
        <f t="array" aca="1" ref="N85" ca="1">IF(BBswitch=1,IF(ISBLANK($C85),"",IF(_xll.BDP($C85,N$72)="#N/A Field Not Applicable","Notes",_xll.BDP($C85,N$72))),N85)</f>
        <v>Notes</v>
      </c>
      <c r="O85" s="952" cm="1">
        <f t="array" aca="1" ref="O85" ca="1">IF(BBswitch=1,IF(ISBLANK($C85),"",IFERROR(IF(_xll.BDP($C85,O$72)="#N/A N/A","NA ",_xll.BDP($C85,O$72)/10^6),0)/P85),O85)</f>
        <v>0</v>
      </c>
      <c r="P85" s="953" cm="1">
        <f t="array" aca="1" ref="P85" ca="1">+IF(BBswitch=1,IF(ISBLANK($C85),"",IF(_xll.BDP("USD"&amp;Q85&amp;" BGN Curncy","px last")="#N/A Invalid Security",1,_xll.BDP("USD"&amp;Q85&amp;" BGN Curncy","px last"))),P85)</f>
        <v>1</v>
      </c>
      <c r="Q85" s="954" t="str">
        <f ca="1">IF(BBswitch=1,IF(ISBLANK($C85),"",IF(_xll.BDP($C85,Q$72)="#N/A N/A","NA ",_xll.BDP($C85,Q$72))),Q85)</f>
        <v>USD</v>
      </c>
      <c r="R85" s="955" t="str" cm="1">
        <f t="array" aca="1" ref="R85" ca="1">IF(BBswitch=1,IF(ISBLANK($C85),"",IF(OR(_xll.BDP($C85,R$72)="#N/A Field Not Applicable",_xll.BDP($C85,R$72)="#N/A N/A"),"",_xll.BDP($C85,R$72))),R85)</f>
        <v/>
      </c>
      <c r="S85" s="955" cm="1">
        <f t="array" aca="1" ref="S85" ca="1">IF(BBswitch=1,IF(ISBLANK($C85),"",IF(OR(_xll.BDP($C85,S$72)="#N/A Field Not Applicable",_xll.BDP($C85,S$72)="#N/A N/A"),"",_xll.BDP($C85,S$72))),S85)</f>
        <v>229.95629346027721</v>
      </c>
      <c r="T85" s="955" t="str" cm="1">
        <f t="array" aca="1" ref="T85" ca="1">IF(BBswitch=1,IF(ISBLANK($C85),"",IF(OR(_xll.BDP($C85,T$72)="#N/A Field Not Applicable",_xll.BDP($C85,T$72)="#N/A N/A"),"",_xll.BDP($C85,T$72))),T85)</f>
        <v/>
      </c>
      <c r="U85" s="955" cm="1">
        <f t="array" aca="1" ref="U85" ca="1">IF(BBswitch=1,IF(ISBLANK($C85),"",IF(OR(_xll.BDP($C85,U$72)="#N/A Field Not Applicable",_xll.BDP($C85,U$72)="#N/A N/A"),"",_xll.BDP($C85,U$72))),U85)</f>
        <v>6.6557737312840572</v>
      </c>
      <c r="V85" s="956" t="str">
        <f ca="1">IF(BBswitch=1,IF(ISBLANK($C85),"",IF(_xll.BDP($C85,V$72)="#N/A N/A","NA ",_xll.BDP($C85,V$72))),V85)</f>
        <v>1st lien</v>
      </c>
      <c r="W85" s="957" t="str" cm="1">
        <f t="array" aca="1" ref="W85" ca="1">IF(BBswitch=1,IF(ISBLANK($C85),"",IF(_xll.BDP($C85,W$72)="#N/A N/A","NA ",_xll.BDP($C85,W$72))),W85)</f>
        <v>American Airlines 2021-1 Class A Pass Through Trust</v>
      </c>
      <c r="X85" s="949" t="str">
        <f ca="1">IF(BBswitch=1,IF(ISBLANK($C85),"",IF(_xll.BDP($C85,X$73)="#N/A N/A","NA ",_xll.BDP($C85,X$73))),X85)</f>
        <v>AAL 2.875 34</v>
      </c>
      <c r="Z85" s="1021">
        <f>'AAL Debt'!D20</f>
        <v>2.8570000000000002E-2</v>
      </c>
      <c r="AA85" s="1033">
        <f>'AAL Debt'!Q20</f>
        <v>758</v>
      </c>
      <c r="AB85" s="206"/>
      <c r="AC85" s="206"/>
      <c r="AD85" s="206"/>
      <c r="AE85" s="206"/>
      <c r="AF85" s="206"/>
      <c r="AG85" s="206"/>
      <c r="AH85" s="206"/>
      <c r="AI85" s="206"/>
      <c r="AJ85" s="206"/>
      <c r="AK85" s="206"/>
      <c r="AL85" s="206"/>
    </row>
    <row r="86" spans="3:38">
      <c r="C86" s="6" t="s">
        <v>1656</v>
      </c>
      <c r="D86" s="343" t="str">
        <f ca="1">IF(BBswitch=1,IF(ISBLANK($C86),"",IF(_xll.BDP($C86,D$73)="#N/A N/A","NA ",_xll.BDP($C86,D$73))),D86)</f>
        <v>AAL 3.95 30</v>
      </c>
      <c r="E86" s="344" t="str">
        <f ca="1">IF(BBswitch=1,IF(ISBLANK($C86),"",IF(_xll.BDP($C86,E$73)="#N/A N/A","NA ",_xll.BDP($C86,E$73))),E86)</f>
        <v xml:space="preserve">NA </v>
      </c>
      <c r="F86" s="354">
        <f ca="1">IF(BBswitch=1,IF(ISBLANK($C86),"",IF(_xll.BDP($C86,F$72)="#N/A N/A","NA ",_xll.BDP($C86,F$72)/10^6)/P86),F86)</f>
        <v>202.065</v>
      </c>
      <c r="G86" s="1022">
        <f ca="1">IF(BBswitch=1,IF(ISBLANK($C86),"",IF(_xll.BDP($C86,G$72)="#N/A N/A","NA ",_xll.BDP($C86,G$72)/100)),G86)</f>
        <v>3.95E-2</v>
      </c>
      <c r="H86" s="355">
        <f ca="1">IF(BBswitch=1,IF(ISBLANK($C86),"",IF(_xll.BDP($C86,H$72)="#N/A N/A","NA ",_xll.BDP($C86,H$72)/100)),H86)</f>
        <v>0.82438999999999996</v>
      </c>
      <c r="I86" s="355">
        <f ca="1">IF(BBswitch=1,IF(ISBLANK($C86),"",IF(_xll.BDP($C86,I$72)="#N/A N/A","NA ",_xll.BDP($C86,I$72)/100)),I86)</f>
        <v>4.7985227838721049E-2</v>
      </c>
      <c r="J86" s="355">
        <f ca="1">IF(BBswitch=1,IF(ISBLANK($C86),"",IF(_xll.BDP($C86,J$72)="#N/A N/A","NA ",_xll.BDP($C86,J$72)/100)),J86)</f>
        <v>8.3555407758983721E-2</v>
      </c>
      <c r="K86" s="345" t="str">
        <f ca="1">IF(BBswitch=1,IF(ISBLANK($C86),"",IF(_xll.BDP($C86,K$72)="#N/A N/A","NA ",_xll.BDP($C86,K$72))),K86)</f>
        <v>7/11/2030</v>
      </c>
      <c r="L86" s="346">
        <f ca="1">IF(ISBLANK($C86),"",YEAR(K86))</f>
        <v>2030</v>
      </c>
      <c r="M86" s="345" t="str">
        <f ca="1">IF(BBswitch=1,IF(ISBLANK($C86),"",IF(_xll.BDP($C86,M$72)="#N/A N/A","NA ",_xll.BDP($C86,M$72))),M86)</f>
        <v>11/8/2021</v>
      </c>
      <c r="N86" s="347" t="str" cm="1">
        <f t="array" aca="1" ref="N86" ca="1">IF(BBswitch=1,IF(ISBLANK($C86),"",IF(_xll.BDP($C86,N$72)="#N/A Field Not Applicable","Notes",_xll.BDP($C86,N$72))),N86)</f>
        <v>Notes</v>
      </c>
      <c r="O86" s="348" cm="1">
        <f t="array" aca="1" ref="O86" ca="1">IF(BBswitch=1,IF(ISBLANK($C86),"",IFERROR(IF(_xll.BDP($C86,O$72)="#N/A N/A","NA ",_xll.BDP($C86,O$72)/10^6),0)/P86),O86)</f>
        <v>0</v>
      </c>
      <c r="P86" s="349" cm="1">
        <f t="array" aca="1" ref="P86" ca="1">+IF(BBswitch=1,IF(ISBLANK($C86),"",IF(_xll.BDP("USD"&amp;Q86&amp;" BGN Curncy","px last")="#N/A Invalid Security",1,_xll.BDP("USD"&amp;Q86&amp;" BGN Curncy","px last"))),P86)</f>
        <v>1</v>
      </c>
      <c r="Q86" s="350" t="str">
        <f ca="1">IF(BBswitch=1,IF(ISBLANK($C86),"",IF(_xll.BDP($C86,Q$72)="#N/A N/A","NA ",_xll.BDP($C86,Q$72))),Q86)</f>
        <v>USD</v>
      </c>
      <c r="R86" s="351" t="str" cm="1">
        <f t="array" aca="1" ref="R86" ca="1">IF(BBswitch=1,IF(ISBLANK($C86),"",IF(OR(_xll.BDP($C86,R$72)="#N/A Field Not Applicable",_xll.BDP($C86,R$72)="#N/A N/A"),"",_xll.BDP($C86,R$72))),R86)</f>
        <v/>
      </c>
      <c r="S86" s="351" cm="1">
        <f t="array" aca="1" ref="S86" ca="1">IF(BBswitch=1,IF(ISBLANK($C86),"",IF(OR(_xll.BDP($C86,S$72)="#N/A Field Not Applicable",_xll.BDP($C86,S$72)="#N/A N/A"),"",_xll.BDP($C86,S$72))),S86)</f>
        <v>520.6906863799436</v>
      </c>
      <c r="T86" s="351" t="str" cm="1">
        <f t="array" aca="1" ref="T86" ca="1">IF(BBswitch=1,IF(ISBLANK($C86),"",IF(OR(_xll.BDP($C86,T$72)="#N/A Field Not Applicable",_xll.BDP($C86,T$72)="#N/A N/A"),"",_xll.BDP($C86,T$72))),T86)</f>
        <v/>
      </c>
      <c r="U86" s="351" cm="1">
        <f t="array" aca="1" ref="U86" ca="1">IF(BBswitch=1,IF(ISBLANK($C86),"",IF(OR(_xll.BDP($C86,U$72)="#N/A Field Not Applicable",_xll.BDP($C86,U$72)="#N/A N/A"),"",_xll.BDP($C86,U$72))),U86)</f>
        <v>4.2256837204981874</v>
      </c>
      <c r="V86" s="352" t="str">
        <f ca="1">IF(BBswitch=1,IF(ISBLANK($C86),"",IF(_xll.BDP($C86,V$72)="#N/A N/A","NA ",_xll.BDP($C86,V$72))),V86)</f>
        <v>Secured</v>
      </c>
      <c r="W86" s="353" t="str" cm="1">
        <f t="array" aca="1" ref="W86" ca="1">IF(BBswitch=1,IF(ISBLANK($C86),"",IF(_xll.BDP($C86,W$72)="#N/A N/A","NA ",_xll.BDP($C86,W$72))),W86)</f>
        <v>American Airlines 2021-1 Class B Pass Through Trust</v>
      </c>
      <c r="X86" s="343" t="str">
        <f ca="1">IF(BBswitch=1,IF(ISBLANK($C86),"",IF(_xll.BDP($C86,X$73)="#N/A N/A","NA ",_xll.BDP($C86,X$73))),X86)</f>
        <v>AAL 3.95 30</v>
      </c>
      <c r="Z86" s="1021">
        <f>'AAL Debt'!D21</f>
        <v>3.95E-2</v>
      </c>
      <c r="AA86" s="1033">
        <f>'AAL Debt'!Q21</f>
        <v>202</v>
      </c>
    </row>
    <row r="87" spans="3:38">
      <c r="D87" s="1036" t="str">
        <f>'AAL Debt'!C14</f>
        <v>10.75% senior secured IP notes, February 2026</v>
      </c>
      <c r="E87" s="344"/>
      <c r="F87" s="1040">
        <f>'AAL Debt'!Q14</f>
        <v>1000</v>
      </c>
      <c r="G87" s="1042">
        <f>'AAL Debt'!D14</f>
        <v>0.1075</v>
      </c>
      <c r="H87" s="936">
        <v>1</v>
      </c>
      <c r="I87" s="1042">
        <f t="shared" ref="I87:I93" si="7">G87/H87</f>
        <v>0.1075</v>
      </c>
      <c r="J87" s="355"/>
      <c r="K87" s="1038">
        <f>'AAL Debt'!AG14</f>
        <v>46068</v>
      </c>
      <c r="L87" s="346">
        <f>YEAR(K87)</f>
        <v>2026</v>
      </c>
      <c r="M87" s="345"/>
      <c r="N87" s="347"/>
      <c r="O87" s="348"/>
      <c r="P87" s="349"/>
      <c r="Q87" s="350"/>
      <c r="R87" s="351"/>
      <c r="S87" s="351"/>
      <c r="T87" s="351"/>
      <c r="U87" s="351"/>
      <c r="V87" s="1037" t="s">
        <v>1759</v>
      </c>
      <c r="W87" s="353"/>
      <c r="X87" s="343"/>
    </row>
    <row r="88" spans="3:38">
      <c r="D88" s="1036" t="str">
        <f>'AAL Debt'!C15</f>
        <v>10.75% senior secured LGA/DCA notes, February 2026</v>
      </c>
      <c r="E88" s="344"/>
      <c r="F88" s="1040">
        <f>'AAL Debt'!Q15</f>
        <v>200</v>
      </c>
      <c r="G88" s="1042">
        <f>'AAL Debt'!D15</f>
        <v>0.1075</v>
      </c>
      <c r="H88" s="936">
        <v>1</v>
      </c>
      <c r="I88" s="1042">
        <f t="shared" si="7"/>
        <v>0.1075</v>
      </c>
      <c r="J88" s="355"/>
      <c r="K88" s="1038">
        <f>'AAL Debt'!AG15</f>
        <v>46068</v>
      </c>
      <c r="L88" s="346">
        <f t="shared" ref="L88:L93" si="8">YEAR(K88)</f>
        <v>2026</v>
      </c>
      <c r="M88" s="345"/>
      <c r="N88" s="347"/>
      <c r="O88" s="348"/>
      <c r="P88" s="349"/>
      <c r="Q88" s="350"/>
      <c r="R88" s="351"/>
      <c r="S88" s="351"/>
      <c r="T88" s="351"/>
      <c r="U88" s="351"/>
      <c r="V88" s="1037" t="s">
        <v>1759</v>
      </c>
      <c r="W88" s="353"/>
      <c r="X88" s="343"/>
    </row>
    <row r="89" spans="3:38">
      <c r="D89" s="1036" t="str">
        <f>'AAL Debt'!C19</f>
        <v>Enhanced equipment trust certificates (EETCs), averaging 3.84%, 2022 - 2034</v>
      </c>
      <c r="E89" s="344"/>
      <c r="F89" s="1040">
        <f>'AAL Debt'!Q19</f>
        <v>8604</v>
      </c>
      <c r="G89" s="1042">
        <f>'AAL Debt'!D19</f>
        <v>3.8100000000000002E-2</v>
      </c>
      <c r="H89" s="936">
        <v>1</v>
      </c>
      <c r="I89" s="1042">
        <f t="shared" si="7"/>
        <v>3.8100000000000002E-2</v>
      </c>
      <c r="J89" s="355"/>
      <c r="K89" s="1038" t="str">
        <f>'AAL Debt'!AG19</f>
        <v>2022 - 2034</v>
      </c>
      <c r="L89" s="346"/>
      <c r="M89" s="345"/>
      <c r="N89" s="347"/>
      <c r="O89" s="348"/>
      <c r="P89" s="349"/>
      <c r="Q89" s="350"/>
      <c r="R89" s="351"/>
      <c r="S89" s="351"/>
      <c r="T89" s="351"/>
      <c r="U89" s="351"/>
      <c r="V89" s="1037" t="s">
        <v>1759</v>
      </c>
      <c r="W89" s="353"/>
      <c r="X89" s="343"/>
    </row>
    <row r="90" spans="3:38">
      <c r="D90" s="1036" t="str">
        <f>'AAL Debt'!C22</f>
        <v>Equipment loans and other notes payable, 1.82%, 2022 - 2032</v>
      </c>
      <c r="E90" s="344"/>
      <c r="F90" s="1040">
        <f>'AAL Debt'!Q22</f>
        <v>3306</v>
      </c>
      <c r="G90" s="1042">
        <f>'AAL Debt'!D22</f>
        <v>2.12E-2</v>
      </c>
      <c r="H90" s="936">
        <v>1</v>
      </c>
      <c r="I90" s="1042">
        <f t="shared" si="7"/>
        <v>2.12E-2</v>
      </c>
      <c r="J90" s="355"/>
      <c r="K90" s="1038" t="str">
        <f>'AAL Debt'!AG22</f>
        <v>2022 - 2032</v>
      </c>
      <c r="L90" s="346"/>
      <c r="M90" s="345"/>
      <c r="N90" s="347"/>
      <c r="O90" s="348"/>
      <c r="P90" s="349"/>
      <c r="Q90" s="350"/>
      <c r="R90" s="351"/>
      <c r="S90" s="351"/>
      <c r="T90" s="351"/>
      <c r="U90" s="351"/>
      <c r="V90" s="1037" t="s">
        <v>1759</v>
      </c>
      <c r="W90" s="353"/>
      <c r="X90" s="343"/>
    </row>
    <row r="91" spans="3:38">
      <c r="D91" s="1036" t="str">
        <f>'AAL Debt'!C24</f>
        <v>Special facility revenue bonds, 2.25% to 5.38%, 2026 - 2036</v>
      </c>
      <c r="E91" s="344"/>
      <c r="F91" s="1040">
        <f>'AAL Debt'!Q24</f>
        <v>979</v>
      </c>
      <c r="G91" s="1042">
        <f>'AAL Debt'!D24</f>
        <v>3.8150000000000003E-2</v>
      </c>
      <c r="H91" s="936">
        <v>1</v>
      </c>
      <c r="I91" s="1042">
        <f t="shared" si="7"/>
        <v>3.8150000000000003E-2</v>
      </c>
      <c r="J91" s="355"/>
      <c r="K91" s="1038">
        <f>'AAL Debt'!AG24</f>
        <v>49888</v>
      </c>
      <c r="L91" s="346">
        <f t="shared" si="8"/>
        <v>2036</v>
      </c>
      <c r="M91" s="345"/>
      <c r="N91" s="347"/>
      <c r="O91" s="348"/>
      <c r="P91" s="349"/>
      <c r="Q91" s="350"/>
      <c r="R91" s="351"/>
      <c r="S91" s="351"/>
      <c r="T91" s="351"/>
      <c r="U91" s="351"/>
      <c r="V91" s="1037" t="s">
        <v>1759</v>
      </c>
      <c r="W91" s="353"/>
      <c r="X91" s="343"/>
    </row>
    <row r="92" spans="3:38">
      <c r="D92" s="1036" t="str">
        <f>'AAL Debt'!C25</f>
        <v>Term Bonds</v>
      </c>
      <c r="E92" s="344"/>
      <c r="F92" s="1040">
        <f>'AAL Debt'!Q25</f>
        <v>70</v>
      </c>
      <c r="G92" s="1042">
        <f>'AAL Debt'!D25</f>
        <v>2.2499999999999999E-2</v>
      </c>
      <c r="H92" s="936">
        <v>1</v>
      </c>
      <c r="I92" s="1042">
        <f t="shared" si="7"/>
        <v>2.2499999999999999E-2</v>
      </c>
      <c r="J92" s="355"/>
      <c r="K92" s="1038">
        <f>'AAL Debt'!AG25</f>
        <v>46235</v>
      </c>
      <c r="L92" s="346">
        <f t="shared" si="8"/>
        <v>2026</v>
      </c>
      <c r="M92" s="345"/>
      <c r="N92" s="347"/>
      <c r="O92" s="348"/>
      <c r="P92" s="349"/>
      <c r="Q92" s="350"/>
      <c r="R92" s="351"/>
      <c r="S92" s="351"/>
      <c r="T92" s="351"/>
      <c r="U92" s="351"/>
      <c r="V92" s="1037" t="s">
        <v>1759</v>
      </c>
      <c r="W92" s="353"/>
      <c r="X92" s="343"/>
    </row>
    <row r="93" spans="3:38">
      <c r="D93" s="1036" t="str">
        <f>'AAL Debt'!C26</f>
        <v>Term Bonds</v>
      </c>
      <c r="E93" s="344"/>
      <c r="F93" s="1040">
        <f>'AAL Debt'!Q26</f>
        <v>80</v>
      </c>
      <c r="G93" s="1042">
        <f>'AAL Debt'!D26</f>
        <v>0.03</v>
      </c>
      <c r="H93" s="936">
        <v>1</v>
      </c>
      <c r="I93" s="1042">
        <f t="shared" si="7"/>
        <v>0.03</v>
      </c>
      <c r="J93" s="355"/>
      <c r="K93" s="1038">
        <f>'AAL Debt'!AG26</f>
        <v>48061</v>
      </c>
      <c r="L93" s="346">
        <f t="shared" si="8"/>
        <v>2031</v>
      </c>
      <c r="M93" s="345"/>
      <c r="N93" s="347"/>
      <c r="O93" s="348"/>
      <c r="P93" s="349"/>
      <c r="Q93" s="350"/>
      <c r="R93" s="351"/>
      <c r="S93" s="351"/>
      <c r="T93" s="351"/>
      <c r="U93" s="351"/>
      <c r="V93" s="1037" t="s">
        <v>1759</v>
      </c>
      <c r="W93" s="353"/>
      <c r="X93" s="343"/>
    </row>
    <row r="94" spans="3:38">
      <c r="C94" s="6" t="s">
        <v>1616</v>
      </c>
      <c r="D94" s="343" t="s">
        <v>1617</v>
      </c>
      <c r="E94" s="344" t="str">
        <f ca="1">IF(BBswitch=1,IF(ISBLANK($C94),"",IF(_xll.BDP($C94,E$73)="#N/A N/A","NA ",_xll.BDP($C94,E$73))),E94)</f>
        <v>B-</v>
      </c>
      <c r="F94" s="1041">
        <f ca="1">IF(BBswitch=1,IF(ISBLANK($C94),"",IF(_xll.BDP($C94,F$72)="#N/A N/A","NA ",_xll.BDP($C94,F$72)/10^6)/P94),F94)</f>
        <v>500</v>
      </c>
      <c r="G94" s="1022">
        <f ca="1">IF(BBswitch=1,IF(ISBLANK($C94),"",IF(_xll.BDP($C94,G$72)="#N/A N/A","NA ",_xll.BDP($C94,G$72)/100)),G94)</f>
        <v>3.7499999999999999E-2</v>
      </c>
      <c r="H94" s="355">
        <f ca="1">IF(BBswitch=1,IF(ISBLANK($C94),"",IF(_xll.BDP($C94,H$72)="#N/A N/A","NA ",_xll.BDP($C94,H$72)/100)),H94)</f>
        <v>0.85441</v>
      </c>
      <c r="I94" s="355">
        <f ca="1">IF(BBswitch=1,IF(ISBLANK($C94),"",IF(_xll.BDP($C94,I$72)="#N/A N/A","NA ",_xll.BDP($C94,I$72)/100)),I94)</f>
        <v>4.4060109739046657E-2</v>
      </c>
      <c r="J94" s="355">
        <f ca="1">IF(BBswitch=1,IF(ISBLANK($C94),"",IF(_xll.BDP($C94,J$72)="#N/A N/A","NA ",_xll.BDP($C94,J$72)/100)),J94)</f>
        <v>0.104111418398616</v>
      </c>
      <c r="K94" s="1039" t="str">
        <f ca="1">IF(BBswitch=1,IF(ISBLANK($C94),"",IF(_xll.BDP($C94,K$72)="#N/A N/A","NA ",_xll.BDP($C94,K$72))),K94)</f>
        <v>3/1/2025</v>
      </c>
      <c r="L94" s="346">
        <f t="shared" ca="1" si="6"/>
        <v>2025</v>
      </c>
      <c r="M94" s="345" t="str">
        <f ca="1">IF(BBswitch=1,IF(ISBLANK($C94),"",IF(_xll.BDP($C94,M$72)="#N/A N/A","NA ",_xll.BDP($C94,M$72))),M94)</f>
        <v>2/25/2020</v>
      </c>
      <c r="N94" s="347" t="str" cm="1">
        <f t="array" aca="1" ref="N94" ca="1">IF(BBswitch=1,IF(ISBLANK($C94),"",IF(_xll.BDP($C94,N$72)="#N/A Field Not Applicable","Notes",_xll.BDP($C94,N$72))),N94)</f>
        <v>Notes</v>
      </c>
      <c r="O94" s="348" cm="1">
        <f t="array" aca="1" ref="O94" ca="1">IF(BBswitch=1,IF(ISBLANK($C94),"",IFERROR(IF(_xll.BDP($C94,O$72)="#N/A N/A","NA ",_xll.BDP($C94,O$72)/10^6),0)/P94),O94)</f>
        <v>0</v>
      </c>
      <c r="P94" s="349" cm="1">
        <f t="array" aca="1" ref="P94" ca="1">+IF(BBswitch=1,IF(ISBLANK($C94),"",IF(_xll.BDP("USD"&amp;Q94&amp;" BGN Curncy","px last")="#N/A Invalid Security",1,_xll.BDP("USD"&amp;Q94&amp;" BGN Curncy","px last"))),P94)</f>
        <v>1</v>
      </c>
      <c r="Q94" s="350" t="str">
        <f ca="1">IF(BBswitch=1,IF(ISBLANK($C94),"",IF(_xll.BDP($C94,Q$72)="#N/A N/A","NA ",_xll.BDP($C94,Q$72))),Q94)</f>
        <v>USD</v>
      </c>
      <c r="R94" s="351" t="str" cm="1">
        <f t="array" aca="1" ref="R94" ca="1">IF(BBswitch=1,IF(ISBLANK($C94),"",IF(OR(_xll.BDP($C94,R$72)="#N/A Field Not Applicable",_xll.BDP($C94,R$72)="#N/A N/A"),"",_xll.BDP($C94,R$72))),R94)</f>
        <v/>
      </c>
      <c r="S94" s="351" cm="1">
        <f t="array" aca="1" ref="S94" ca="1">IF(BBswitch=1,IF(ISBLANK($C94),"",IF(OR(_xll.BDP($C94,S$72)="#N/A Field Not Applicable",_xll.BDP($C94,S$72)="#N/A N/A"),"",_xll.BDP($C94,S$72))),S94)</f>
        <v>707.16414351685523</v>
      </c>
      <c r="T94" s="351" t="str" cm="1">
        <f t="array" aca="1" ref="T94" ca="1">IF(BBswitch=1,IF(ISBLANK($C94),"",IF(OR(_xll.BDP($C94,T$72)="#N/A Field Not Applicable",_xll.BDP($C94,T$72)="#N/A N/A"),"",_xll.BDP($C94,T$72))),T94)</f>
        <v/>
      </c>
      <c r="U94" s="351" cm="1">
        <f t="array" aca="1" ref="U94" ca="1">IF(BBswitch=1,IF(ISBLANK($C94),"",IF(OR(_xll.BDP($C94,U$72)="#N/A Field Not Applicable",_xll.BDP($C94,U$72)="#N/A N/A"),"",_xll.BDP($C94,U$72))),U94)</f>
        <v>2.340281172679056</v>
      </c>
      <c r="V94" s="352" t="str">
        <f ca="1">IF(BBswitch=1,IF(ISBLANK($C94),"",IF(_xll.BDP($C94,V$72)="#N/A N/A","NA ",_xll.BDP($C94,V$72))),V94)</f>
        <v>Sr Unsecured</v>
      </c>
      <c r="W94" s="353" t="str" cm="1">
        <f t="array" aca="1" ref="W94" ca="1">IF(BBswitch=1,IF(ISBLANK($C94),"",IF(_xll.BDP($C94,W$72)="#N/A N/A","NA ",_xll.BDP($C94,W$72))),W94)</f>
        <v>American Airlines Group Inc</v>
      </c>
      <c r="X94" s="343" t="str">
        <f ca="1">IF(BBswitch=1,IF(ISBLANK($C94),"",IF(_xll.BDP($C94,X$73)="#N/A N/A","NA ",_xll.BDP($C94,X$73))),X94)</f>
        <v>AAL 3.75 25</v>
      </c>
      <c r="Z94" s="1021">
        <f>'AAL Debt'!D32</f>
        <v>3.7499999999999999E-2</v>
      </c>
      <c r="AA94" s="1019">
        <f>'AAL Debt'!Q32</f>
        <v>500</v>
      </c>
    </row>
    <row r="95" spans="3:38">
      <c r="C95" s="6" t="s">
        <v>1618</v>
      </c>
      <c r="D95" s="343" t="s">
        <v>1619</v>
      </c>
      <c r="E95" s="344" t="str">
        <f ca="1">IF(BBswitch=1,IF(ISBLANK($C95),"",IF(_xll.BDP($C95,E$73)="#N/A N/A","NA ",_xll.BDP($C95,E$73))),E95)</f>
        <v>B-</v>
      </c>
      <c r="F95" s="1041">
        <f ca="1">IF(BBswitch=1,IF(ISBLANK($C95),"",IF(_xll.BDP($C95,F$72)="#N/A N/A","NA ",_xll.BDP($C95,F$72)/10^6)/P95),F95)</f>
        <v>1000</v>
      </c>
      <c r="G95" s="1022">
        <f ca="1">IF(BBswitch=1,IF(ISBLANK($C95),"",IF(_xll.BDP($C95,G$72)="#N/A N/A","NA ",_xll.BDP($C95,G$72)/100)),G95)</f>
        <v>6.5000000000000002E-2</v>
      </c>
      <c r="H95" s="355">
        <f ca="1">IF(BBswitch=1,IF(ISBLANK($C95),"",IF(_xll.BDP($C95,H$72)="#N/A N/A","NA ",_xll.BDP($C95,H$72)/100)),H95)</f>
        <v>1.17926</v>
      </c>
      <c r="I95" s="355">
        <f ca="1">IF(BBswitch=1,IF(ISBLANK($C95),"",IF(_xll.BDP($C95,I$72)="#N/A N/A","NA ",_xll.BDP($C95,I$72)/100)),I95)</f>
        <v>5.5119312110984857E-2</v>
      </c>
      <c r="J95" s="355"/>
      <c r="K95" s="1039" t="str">
        <f ca="1">IF(BBswitch=1,IF(ISBLANK($C95),"",IF(_xll.BDP($C95,K$72)="#N/A N/A","NA ",_xll.BDP($C95,K$72))),K95)</f>
        <v>7/1/2025</v>
      </c>
      <c r="L95" s="346">
        <f t="shared" ca="1" si="6"/>
        <v>2025</v>
      </c>
      <c r="M95" s="345" t="str">
        <f ca="1">IF(BBswitch=1,IF(ISBLANK($C95),"",IF(_xll.BDP($C95,M$72)="#N/A N/A","NA ",_xll.BDP($C95,M$72))),M95)</f>
        <v>6/25/2020</v>
      </c>
      <c r="N95" s="347" t="str" cm="1">
        <f t="array" aca="1" ref="N95" ca="1">IF(BBswitch=1,IF(ISBLANK($C95),"",IF(_xll.BDP($C95,N$72)="#N/A Field Not Applicable","Notes",_xll.BDP($C95,N$72))),N95)</f>
        <v>Notes</v>
      </c>
      <c r="O95" s="348" cm="1">
        <f t="array" aca="1" ref="O95" ca="1">IF(BBswitch=1,IF(ISBLANK($C95),"",IFERROR(IF(_xll.BDP($C95,O$72)="#N/A N/A","NA ",_xll.BDP($C95,O$72)/10^6),0)/P95),O95)</f>
        <v>0</v>
      </c>
      <c r="P95" s="349" cm="1">
        <f t="array" aca="1" ref="P95" ca="1">+IF(BBswitch=1,IF(ISBLANK($C95),"",IF(_xll.BDP("USD"&amp;Q95&amp;" BGN Curncy","px last")="#N/A Invalid Security",1,_xll.BDP("USD"&amp;Q95&amp;" BGN Curncy","px last"))),P95)</f>
        <v>1</v>
      </c>
      <c r="Q95" s="350" t="str">
        <f ca="1">IF(BBswitch=1,IF(ISBLANK($C95),"",IF(_xll.BDP($C95,Q$72)="#N/A N/A","NA ",_xll.BDP($C95,Q$72))),Q95)</f>
        <v>USD</v>
      </c>
      <c r="R95" s="351" t="str" cm="1">
        <f t="array" aca="1" ref="R95" ca="1">IF(BBswitch=1,IF(ISBLANK($C95),"",IF(OR(_xll.BDP($C95,R$72)="#N/A Field Not Applicable",_xll.BDP($C95,R$72)="#N/A N/A"),"",_xll.BDP($C95,R$72))),R95)</f>
        <v/>
      </c>
      <c r="S95" s="351" t="str" cm="1">
        <f t="array" aca="1" ref="S95" ca="1">IF(BBswitch=1,IF(ISBLANK($C95),"",IF(OR(_xll.BDP($C95,S$72)="#N/A Field Not Applicable",_xll.BDP($C95,S$72)="#N/A N/A"),"",_xll.BDP($C95,S$72))),S95)</f>
        <v/>
      </c>
      <c r="T95" s="351" t="str" cm="1">
        <f t="array" aca="1" ref="T95" ca="1">IF(BBswitch=1,IF(ISBLANK($C95),"",IF(OR(_xll.BDP($C95,T$72)="#N/A Field Not Applicable",_xll.BDP($C95,T$72)="#N/A N/A"),"",_xll.BDP($C95,T$72))),T95)</f>
        <v/>
      </c>
      <c r="U95" s="351" t="str" cm="1">
        <f t="array" aca="1" ref="U95" ca="1">IF(BBswitch=1,IF(ISBLANK($C95),"",IF(OR(_xll.BDP($C95,U$72)="#N/A Field Not Applicable",_xll.BDP($C95,U$72)="#N/A N/A"),"",_xll.BDP($C95,U$72))),U95)</f>
        <v/>
      </c>
      <c r="V95" s="352" t="str">
        <f ca="1">IF(BBswitch=1,IF(ISBLANK($C95),"",IF(_xll.BDP($C95,V$72)="#N/A N/A","NA ",_xll.BDP($C95,V$72))),V95)</f>
        <v>Sr Unsecured</v>
      </c>
      <c r="W95" s="353" t="str" cm="1">
        <f t="array" aca="1" ref="W95" ca="1">IF(BBswitch=1,IF(ISBLANK($C95),"",IF(_xll.BDP($C95,W$72)="#N/A N/A","NA ",_xll.BDP($C95,W$72))),W95)</f>
        <v>American Airlines Group Inc</v>
      </c>
      <c r="X95" s="343" t="str">
        <f ca="1">IF(BBswitch=1,IF(ISBLANK($C95),"",IF(_xll.BDP($C95,X$73)="#N/A N/A","NA ",_xll.BDP($C95,X$73))),X95)</f>
        <v>AAL 6.5 25</v>
      </c>
      <c r="Z95" s="1021">
        <f>'AAL Debt'!D30</f>
        <v>6.5000000000000002E-2</v>
      </c>
      <c r="AA95" s="1019">
        <f>'AAL Debt'!Q30</f>
        <v>1000</v>
      </c>
    </row>
    <row r="96" spans="3:38">
      <c r="C96" s="6" t="s">
        <v>1620</v>
      </c>
      <c r="D96" s="343" t="s">
        <v>1621</v>
      </c>
      <c r="E96" s="344" t="str">
        <f ca="1">IF(BBswitch=1,IF(ISBLANK($C96),"",IF(_xll.BDP($C96,E$73)="#N/A N/A","NA ",_xll.BDP($C96,E$73))),E96)</f>
        <v>B-</v>
      </c>
      <c r="F96" s="1041">
        <f ca="1">IF(BBswitch=1,IF(ISBLANK($C96),"",IF(_xll.BDP($C96,F$72)="#N/A N/A","NA ",_xll.BDP($C96,F$72)/10^6)/P96),F96)</f>
        <v>0</v>
      </c>
      <c r="G96" s="1022">
        <f ca="1">IF(BBswitch=1,IF(ISBLANK($C96),"",IF(_xll.BDP($C96,G$72)="#N/A N/A","NA ",_xll.BDP($C96,G$72)/100)),G96)</f>
        <v>0.05</v>
      </c>
      <c r="H96" s="355" t="str">
        <f ca="1">IF(BBswitch=1,IF(ISBLANK($C96),"",IF(_xll.BDP($C96,H$72)="#N/A N/A","NA ",_xll.BDP($C96,H$72)/100)),H96)</f>
        <v xml:space="preserve">NA </v>
      </c>
      <c r="I96" s="355">
        <f ca="1">IF(BBswitch=1,IF(ISBLANK($C96),"",IF(_xll.BDP($C96,I$72)="#N/A N/A","NA ",_xll.BDP($C96,I$72)/100)),I96)</f>
        <v>5.0016005121638923E-2</v>
      </c>
      <c r="J96" s="355" t="str">
        <f ca="1">IF(BBswitch=1,IF(ISBLANK($C96),"",IF(_xll.BDP($C96,J$72)="#N/A N/A","NA ",_xll.BDP($C96,J$72)/100)),J96)</f>
        <v xml:space="preserve">NA </v>
      </c>
      <c r="K96" s="1039" t="str">
        <f ca="1">IF(BBswitch=1,IF(ISBLANK($C96),"",IF(_xll.BDP($C96,K$72)="#N/A N/A","NA ",_xll.BDP($C96,K$72))),K96)</f>
        <v>6/1/2022</v>
      </c>
      <c r="L96" s="346">
        <f t="shared" ca="1" si="6"/>
        <v>2022</v>
      </c>
      <c r="M96" s="345" t="str">
        <f ca="1">IF(BBswitch=1,IF(ISBLANK($C96),"",IF(_xll.BDP($C96,M$72)="#N/A N/A","NA ",_xll.BDP($C96,M$72))),M96)</f>
        <v>5/20/2019</v>
      </c>
      <c r="N96" s="347" t="str" cm="1">
        <f t="array" aca="1" ref="N96" ca="1">IF(BBswitch=1,IF(ISBLANK($C96),"",IF(_xll.BDP($C96,N$72)="#N/A Field Not Applicable","Notes",_xll.BDP($C96,N$72))),N96)</f>
        <v>Notes</v>
      </c>
      <c r="O96" s="348" cm="1">
        <f t="array" aca="1" ref="O96" ca="1">IF(BBswitch=1,IF(ISBLANK($C96),"",IFERROR(IF(_xll.BDP($C96,O$72)="#N/A N/A","NA ",_xll.BDP($C96,O$72)/10^6),0)/P96),O96)</f>
        <v>0</v>
      </c>
      <c r="P96" s="349" cm="1">
        <f t="array" aca="1" ref="P96" ca="1">+IF(BBswitch=1,IF(ISBLANK($C96),"",IF(_xll.BDP("USD"&amp;Q96&amp;" BGN Curncy","px last")="#N/A Invalid Security",1,_xll.BDP("USD"&amp;Q96&amp;" BGN Curncy","px last"))),P96)</f>
        <v>1</v>
      </c>
      <c r="Q96" s="350" t="str">
        <f ca="1">IF(BBswitch=1,IF(ISBLANK($C96),"",IF(_xll.BDP($C96,Q$72)="#N/A N/A","NA ",_xll.BDP($C96,Q$72))),Q96)</f>
        <v>USD</v>
      </c>
      <c r="R96" s="351" t="str" cm="1">
        <f t="array" aca="1" ref="R96" ca="1">IF(BBswitch=1,IF(ISBLANK($C96),"",IF(OR(_xll.BDP($C96,R$72)="#N/A Field Not Applicable",_xll.BDP($C96,R$72)="#N/A N/A"),"",_xll.BDP($C96,R$72))),R96)</f>
        <v/>
      </c>
      <c r="S96" s="351" t="str" cm="1">
        <f t="array" aca="1" ref="S96" ca="1">IF(BBswitch=1,IF(ISBLANK($C96),"",IF(OR(_xll.BDP($C96,S$72)="#N/A Field Not Applicable",_xll.BDP($C96,S$72)="#N/A N/A"),"",_xll.BDP($C96,S$72))),S96)</f>
        <v/>
      </c>
      <c r="T96" s="351" t="str" cm="1">
        <f t="array" aca="1" ref="T96" ca="1">IF(BBswitch=1,IF(ISBLANK($C96),"",IF(OR(_xll.BDP($C96,T$72)="#N/A Field Not Applicable",_xll.BDP($C96,T$72)="#N/A N/A"),"",_xll.BDP($C96,T$72))),T96)</f>
        <v/>
      </c>
      <c r="U96" s="351" t="str" cm="1">
        <f t="array" aca="1" ref="U96" ca="1">IF(BBswitch=1,IF(ISBLANK($C96),"",IF(OR(_xll.BDP($C96,U$72)="#N/A Field Not Applicable",_xll.BDP($C96,U$72)="#N/A N/A"),"",_xll.BDP($C96,U$72))),U96)</f>
        <v/>
      </c>
      <c r="V96" s="352" t="str">
        <f ca="1">IF(BBswitch=1,IF(ISBLANK($C96),"",IF(_xll.BDP($C96,V$72)="#N/A N/A","NA ",_xll.BDP($C96,V$72))),V96)</f>
        <v>Sr Unsecured</v>
      </c>
      <c r="W96" s="353" t="str" cm="1">
        <f t="array" aca="1" ref="W96" ca="1">IF(BBswitch=1,IF(ISBLANK($C96),"",IF(_xll.BDP($C96,W$72)="#N/A N/A","NA ",_xll.BDP($C96,W$72))),W96)</f>
        <v>American Airlines Group Inc</v>
      </c>
      <c r="X96" s="343" t="str">
        <f ca="1">IF(BBswitch=1,IF(ISBLANK($C96),"",IF(_xll.BDP($C96,X$73)="#N/A N/A","NA ",_xll.BDP($C96,X$73))),X96)</f>
        <v>AAL 5 22</v>
      </c>
      <c r="Z96" s="1021">
        <f>'AAL Debt'!D31</f>
        <v>0.05</v>
      </c>
      <c r="AA96" s="1019">
        <f>'AAL Debt'!Q31</f>
        <v>433</v>
      </c>
    </row>
    <row r="97" spans="3:24">
      <c r="D97" s="1036" t="str">
        <f>'AAL Debt'!C27</f>
        <v>PSP1 Promissory Note, April 2030</v>
      </c>
      <c r="E97" s="344"/>
      <c r="F97" s="1040">
        <f>'AAL Debt'!Q27</f>
        <v>1765</v>
      </c>
      <c r="G97" s="1042">
        <f>'AAL Debt'!D27</f>
        <v>0.02</v>
      </c>
      <c r="H97" s="936">
        <v>1</v>
      </c>
      <c r="I97" s="1042">
        <f>G97/H97</f>
        <v>0.02</v>
      </c>
      <c r="J97" s="355"/>
      <c r="K97" s="1038">
        <f>'AAL Debt'!AG27</f>
        <v>47574</v>
      </c>
      <c r="L97" s="346">
        <f>YEAR(K97)</f>
        <v>2030</v>
      </c>
      <c r="M97" s="345"/>
      <c r="N97" s="347"/>
      <c r="O97" s="348"/>
      <c r="P97" s="349"/>
      <c r="Q97" s="350"/>
      <c r="R97" s="351"/>
      <c r="S97" s="351"/>
      <c r="T97" s="351"/>
      <c r="U97" s="351"/>
      <c r="V97" s="352"/>
      <c r="W97" s="353"/>
      <c r="X97" s="343"/>
    </row>
    <row r="98" spans="3:24">
      <c r="D98" s="1036" t="str">
        <f>'AAL Debt'!C28</f>
        <v>PSP2 Promissory Note, January 2031</v>
      </c>
      <c r="E98" s="344"/>
      <c r="F98" s="1040">
        <f>'AAL Debt'!Q28</f>
        <v>1035</v>
      </c>
      <c r="G98" s="1042">
        <f>'AAL Debt'!D28</f>
        <v>0.02</v>
      </c>
      <c r="H98" s="936">
        <v>1</v>
      </c>
      <c r="I98" s="1042">
        <f>G98/H98</f>
        <v>0.02</v>
      </c>
      <c r="J98" s="355"/>
      <c r="K98" s="1038">
        <f>'AAL Debt'!AG28</f>
        <v>47863</v>
      </c>
      <c r="L98" s="346">
        <f>YEAR(K98)</f>
        <v>2031</v>
      </c>
      <c r="M98" s="345"/>
      <c r="N98" s="347"/>
      <c r="O98" s="348"/>
      <c r="P98" s="349"/>
      <c r="Q98" s="350"/>
      <c r="R98" s="351"/>
      <c r="S98" s="351"/>
      <c r="T98" s="351"/>
      <c r="U98" s="351"/>
      <c r="V98" s="352"/>
      <c r="W98" s="353"/>
      <c r="X98" s="343"/>
    </row>
    <row r="99" spans="3:24">
      <c r="D99" s="1036" t="str">
        <f>'AAL Debt'!C29</f>
        <v>PSP3 Promissory Note, April 2031</v>
      </c>
      <c r="E99" s="344"/>
      <c r="F99" s="1040">
        <f>'AAL Debt'!Q29</f>
        <v>946</v>
      </c>
      <c r="G99" s="1042">
        <f>'AAL Debt'!D29</f>
        <v>0.02</v>
      </c>
      <c r="H99" s="936">
        <v>1</v>
      </c>
      <c r="I99" s="1042">
        <f>G99/H99</f>
        <v>0.02</v>
      </c>
      <c r="J99" s="355"/>
      <c r="K99" s="1038">
        <f>'AAL Debt'!AG29</f>
        <v>47961</v>
      </c>
      <c r="L99" s="346">
        <f>YEAR(K99)</f>
        <v>2031</v>
      </c>
      <c r="M99" s="345"/>
      <c r="N99" s="347"/>
      <c r="O99" s="348"/>
      <c r="P99" s="349"/>
      <c r="Q99" s="350"/>
      <c r="R99" s="351"/>
      <c r="S99" s="351"/>
      <c r="T99" s="351"/>
      <c r="U99" s="351"/>
      <c r="V99" s="352"/>
      <c r="W99" s="353"/>
      <c r="X99" s="343"/>
    </row>
    <row r="100" spans="3:24">
      <c r="D100" s="343"/>
      <c r="E100" s="344"/>
      <c r="F100" s="354"/>
      <c r="G100" s="1022"/>
      <c r="H100" s="355"/>
      <c r="I100" s="355"/>
      <c r="J100" s="355"/>
      <c r="K100" s="345"/>
      <c r="L100" s="346"/>
      <c r="M100" s="345"/>
      <c r="N100" s="347"/>
      <c r="O100" s="348"/>
      <c r="P100" s="349"/>
      <c r="Q100" s="350"/>
      <c r="R100" s="351"/>
      <c r="S100" s="351"/>
      <c r="T100" s="351"/>
      <c r="U100" s="351"/>
      <c r="V100" s="352"/>
      <c r="W100" s="353"/>
      <c r="X100" s="343"/>
    </row>
    <row r="101" spans="3:24">
      <c r="C101" s="6" t="s">
        <v>1622</v>
      </c>
      <c r="D101" s="343" t="s">
        <v>1623</v>
      </c>
      <c r="E101" s="344" t="str">
        <f ca="1">IF(BBswitch=1,IF(ISBLANK($C101),"",IF(_xll.BDP($C101,E$73)="#N/A N/A","NA ",_xll.BDP($C101,E$73))),E101)</f>
        <v>B-</v>
      </c>
      <c r="F101" s="354">
        <f ca="1">IF(BBswitch=1,IF(ISBLANK($C101),"",IF(_xll.BDP($C101,F$72)="#N/A N/A","NA ",_xll.BDP($C101,F$72)/10^6)/P101),F101)</f>
        <v>75.498000000000005</v>
      </c>
      <c r="G101" s="1022">
        <f ca="1">IF(BBswitch=1,IF(ISBLANK($C101),"",IF(_xll.BDP($C101,G$72)="#N/A N/A","NA ",_xll.BDP($C101,G$72)/100)),G101)</f>
        <v>0.09</v>
      </c>
      <c r="H101" s="355" t="str">
        <f ca="1">IF(BBswitch=1,IF(ISBLANK($C101),"",IF(_xll.BDP($C101,H$72)="#N/A N/A","NA ",_xll.BDP($C101,H$72)/100)),H101)</f>
        <v xml:space="preserve">NA </v>
      </c>
      <c r="I101" s="355" t="str">
        <f ca="1">IF(BBswitch=1,IF(ISBLANK($C101),"",IF(_xll.BDP($C101,I$72)="#N/A N/A","NA ",_xll.BDP($C101,I$72)/100)),I101)</f>
        <v xml:space="preserve">NA </v>
      </c>
      <c r="J101" s="355" t="str">
        <f ca="1">IF(BBswitch=1,IF(ISBLANK($C101),"",IF(_xll.BDP($C101,J$72)="#N/A N/A","NA ",_xll.BDP($C101,J$72)/100)),J101)</f>
        <v xml:space="preserve">NA </v>
      </c>
      <c r="K101" s="345" t="str">
        <f ca="1">IF(BBswitch=1,IF(ISBLANK($C101),"",IF(_xll.BDP($C101,K$72)="#N/A N/A","NA ",_xll.BDP($C101,K$72))),K101)</f>
        <v>8/1/2012</v>
      </c>
      <c r="L101" s="346">
        <f t="shared" ca="1" si="6"/>
        <v>2012</v>
      </c>
      <c r="M101" s="345" t="str">
        <f ca="1">IF(BBswitch=1,IF(ISBLANK($C101),"",IF(_xll.BDP($C101,M$72)="#N/A N/A","NA ",_xll.BDP($C101,M$72))),M101)</f>
        <v>7/29/1992</v>
      </c>
      <c r="N101" s="347" t="str" cm="1">
        <f t="array" aca="1" ref="N101" ca="1">IF(BBswitch=1,IF(ISBLANK($C101),"",IF(_xll.BDP($C101,N$72)="#N/A Field Not Applicable","Notes",_xll.BDP($C101,N$72))),N101)</f>
        <v>Notes</v>
      </c>
      <c r="O101" s="348" cm="1">
        <f t="array" aca="1" ref="O101" ca="1">IF(BBswitch=1,IF(ISBLANK($C101),"",IFERROR(IF(_xll.BDP($C101,O$72)="#N/A N/A","NA ",_xll.BDP($C101,O$72)/10^6),0)/P101),O101)</f>
        <v>0</v>
      </c>
      <c r="P101" s="349" cm="1">
        <f t="array" aca="1" ref="P101" ca="1">+IF(BBswitch=1,IF(ISBLANK($C101),"",IF(_xll.BDP("USD"&amp;Q101&amp;" BGN Curncy","px last")="#N/A Invalid Security",1,_xll.BDP("USD"&amp;Q101&amp;" BGN Curncy","px last"))),P101)</f>
        <v>1</v>
      </c>
      <c r="Q101" s="350" t="str">
        <f ca="1">IF(BBswitch=1,IF(ISBLANK($C101),"",IF(_xll.BDP($C101,Q$72)="#N/A N/A","NA ",_xll.BDP($C101,Q$72))),Q101)</f>
        <v>USD</v>
      </c>
      <c r="R101" s="351" t="str" cm="1">
        <f t="array" aca="1" ref="R101" ca="1">IF(BBswitch=1,IF(ISBLANK($C101),"",IF(OR(_xll.BDP($C101,R$72)="#N/A Field Not Applicable",_xll.BDP($C101,R$72)="#N/A N/A"),"",_xll.BDP($C101,R$72))),R101)</f>
        <v/>
      </c>
      <c r="S101" s="351" t="str" cm="1">
        <f t="array" aca="1" ref="S101" ca="1">IF(BBswitch=1,IF(ISBLANK($C101),"",IF(OR(_xll.BDP($C101,S$72)="#N/A Field Not Applicable",_xll.BDP($C101,S$72)="#N/A N/A"),"",_xll.BDP($C101,S$72))),S101)</f>
        <v/>
      </c>
      <c r="T101" s="351" t="str" cm="1">
        <f t="array" aca="1" ref="T101" ca="1">IF(BBswitch=1,IF(ISBLANK($C101),"",IF(OR(_xll.BDP($C101,T$72)="#N/A Field Not Applicable",_xll.BDP($C101,T$72)="#N/A N/A"),"",_xll.BDP($C101,T$72))),T101)</f>
        <v/>
      </c>
      <c r="U101" s="351" t="str" cm="1">
        <f t="array" aca="1" ref="U101" ca="1">IF(BBswitch=1,IF(ISBLANK($C101),"",IF(OR(_xll.BDP($C101,U$72)="#N/A Field Not Applicable",_xll.BDP($C101,U$72)="#N/A N/A"),"",_xll.BDP($C101,U$72))),U101)</f>
        <v/>
      </c>
      <c r="V101" s="352" t="str">
        <f ca="1">IF(BBswitch=1,IF(ISBLANK($C101),"",IF(_xll.BDP($C101,V$72)="#N/A N/A","NA ",_xll.BDP($C101,V$72))),V101)</f>
        <v>Sr Unsecured</v>
      </c>
      <c r="W101" s="353" t="str" cm="1">
        <f t="array" aca="1" ref="W101" ca="1">IF(BBswitch=1,IF(ISBLANK($C101),"",IF(_xll.BDP($C101,W$72)="#N/A N/A","NA ",_xll.BDP($C101,W$72))),W101)</f>
        <v>American Airlines Group Inc</v>
      </c>
      <c r="X101" s="343" t="str">
        <f ca="1">IF(BBswitch=1,IF(ISBLANK($C101),"",IF(_xll.BDP($C101,X$73)="#N/A N/A","NA ",_xll.BDP($C101,X$73))),X101)</f>
        <v>AAL 9 12</v>
      </c>
    </row>
    <row r="102" spans="3:24">
      <c r="C102" s="6" t="s">
        <v>1645</v>
      </c>
      <c r="D102" s="343" t="str">
        <f ca="1">IF(BBswitch=1,IF(ISBLANK($C102),"",IF(_xll.BDP($C102,D$73)="#N/A N/A","NA ",_xll.BDP($C102,D$73))),D102)</f>
        <v>AAL 4 27</v>
      </c>
      <c r="E102" s="344" t="str">
        <f ca="1">IF(BBswitch=1,IF(ISBLANK($C102),"",IF(_xll.BDP($C102,E$73)="#N/A N/A","NA ",_xll.BDP($C102,E$73))),E102)</f>
        <v xml:space="preserve">NA </v>
      </c>
      <c r="F102" s="354">
        <f ca="1">IF(BBswitch=1,IF(ISBLANK($C102),"",IF(_xll.BDP($C102,F$72)="#N/A N/A","NA ",_xll.BDP($C102,F$72)/10^6)/P102),F102)</f>
        <v>171.26790535000004</v>
      </c>
      <c r="G102" s="1022">
        <f ca="1">IF(BBswitch=1,IF(ISBLANK($C102),"",IF(_xll.BDP($C102,G$72)="#N/A N/A","NA ",_xll.BDP($C102,G$72)/100)),G102)</f>
        <v>0.04</v>
      </c>
      <c r="H102" s="355">
        <f ca="1">IF(BBswitch=1,IF(ISBLANK($C102),"",IF(_xll.BDP($C102,H$72)="#N/A N/A","NA ",_xll.BDP($C102,H$72)/100)),H102)</f>
        <v>0.85970000000000002</v>
      </c>
      <c r="I102" s="355">
        <f ca="1">IF(BBswitch=1,IF(ISBLANK($C102),"",IF(_xll.BDP($C102,I$72)="#N/A N/A","NA ",_xll.BDP($C102,I$72)/100)),I102)</f>
        <v>4.6527858555309984E-2</v>
      </c>
      <c r="J102" s="355">
        <f ca="1">IF(BBswitch=1,IF(ISBLANK($C102),"",IF(_xll.BDP($C102,J$72)="#N/A N/A","NA ",_xll.BDP($C102,J$72)/100)),J102)</f>
        <v>8.0333630690279531E-2</v>
      </c>
      <c r="K102" s="345" t="str">
        <f ca="1">IF(BBswitch=1,IF(ISBLANK($C102),"",IF(_xll.BDP($C102,K$72)="#N/A N/A","NA ",_xll.BDP($C102,K$72))),K102)</f>
        <v>9/22/2027</v>
      </c>
      <c r="L102" s="346" t="e">
        <f t="shared" ca="1" si="6"/>
        <v>#VALUE!</v>
      </c>
      <c r="M102" s="345" t="str">
        <f ca="1">IF(BBswitch=1,IF(ISBLANK($C102),"",IF(_xll.BDP($C102,M$72)="#N/A N/A","NA ",_xll.BDP($C102,M$72))),M102)</f>
        <v>9/24/2015</v>
      </c>
      <c r="N102" s="347" t="str" cm="1">
        <f t="array" aca="1" ref="N102" ca="1">IF(BBswitch=1,IF(ISBLANK($C102),"",IF(_xll.BDP($C102,N$72)="#N/A Field Not Applicable","Notes",_xll.BDP($C102,N$72))),N102)</f>
        <v>Notes</v>
      </c>
      <c r="O102" s="348" cm="1">
        <f t="array" aca="1" ref="O102" ca="1">IF(BBswitch=1,IF(ISBLANK($C102),"",IFERROR(IF(_xll.BDP($C102,O$72)="#N/A N/A","NA ",_xll.BDP($C102,O$72)/10^6),0)/P102),O102)</f>
        <v>0</v>
      </c>
      <c r="P102" s="349" cm="1">
        <f t="array" aca="1" ref="P102" ca="1">+IF(BBswitch=1,IF(ISBLANK($C102),"",IF(_xll.BDP("USD"&amp;Q102&amp;" BGN Curncy","px last")="#N/A Invalid Security",1,_xll.BDP("USD"&amp;Q102&amp;" BGN Curncy","px last"))),P102)</f>
        <v>1</v>
      </c>
      <c r="Q102" s="350" t="str">
        <f ca="1">IF(BBswitch=1,IF(ISBLANK($C102),"",IF(_xll.BDP($C102,Q$72)="#N/A N/A","NA ",_xll.BDP($C102,Q$72))),Q102)</f>
        <v>USD</v>
      </c>
      <c r="R102" s="351" t="str" cm="1">
        <f t="array" aca="1" ref="R102" ca="1">IF(BBswitch=1,IF(ISBLANK($C102),"",IF(OR(_xll.BDP($C102,R$72)="#N/A Field Not Applicable",_xll.BDP($C102,R$72)="#N/A N/A"),"",_xll.BDP($C102,R$72))),R102)</f>
        <v/>
      </c>
      <c r="S102" s="351" cm="1">
        <f t="array" aca="1" ref="S102" ca="1">IF(BBswitch=1,IF(ISBLANK($C102),"",IF(OR(_xll.BDP($C102,S$72)="#N/A Field Not Applicable",_xll.BDP($C102,S$72)="#N/A N/A"),"",_xll.BDP($C102,S$72))),S102)</f>
        <v>489.01526940275011</v>
      </c>
      <c r="T102" s="351" t="str" cm="1">
        <f t="array" aca="1" ref="T102" ca="1">IF(BBswitch=1,IF(ISBLANK($C102),"",IF(OR(_xll.BDP($C102,T$72)="#N/A Field Not Applicable",_xll.BDP($C102,T$72)="#N/A N/A"),"",_xll.BDP($C102,T$72))),T102)</f>
        <v/>
      </c>
      <c r="U102" s="351" cm="1">
        <f t="array" aca="1" ref="U102" ca="1">IF(BBswitch=1,IF(ISBLANK($C102),"",IF(OR(_xll.BDP($C102,U$72)="#N/A Field Not Applicable",_xll.BDP($C102,U$72)="#N/A N/A"),"",_xll.BDP($C102,U$72))),U102)</f>
        <v>3.5993124565244696</v>
      </c>
      <c r="V102" s="352" t="str">
        <f ca="1">IF(BBswitch=1,IF(ISBLANK($C102),"",IF(_xll.BDP($C102,V$72)="#N/A N/A","NA ",_xll.BDP($C102,V$72))),V102)</f>
        <v>2nd lien</v>
      </c>
      <c r="W102" s="353" t="str" cm="1">
        <f t="array" aca="1" ref="W102" ca="1">IF(BBswitch=1,IF(ISBLANK($C102),"",IF(_xll.BDP($C102,W$72)="#N/A N/A","NA ",_xll.BDP($C102,W$72))),W102)</f>
        <v>American Airlines 2015-2 Class A Pass Through Trust</v>
      </c>
      <c r="X102" s="343" t="str">
        <f ca="1">IF(BBswitch=1,IF(ISBLANK($C102),"",IF(_xll.BDP($C102,X$73)="#N/A N/A","NA ",_xll.BDP($C102,X$73))),X102)</f>
        <v>AAL 4 27</v>
      </c>
    </row>
    <row r="103" spans="3:24">
      <c r="C103" s="6" t="s">
        <v>1653</v>
      </c>
      <c r="D103" s="343" t="str">
        <f ca="1">IF(BBswitch=1,IF(ISBLANK($C103),"",IF(_xll.BDP($C103,D$73)="#N/A N/A","NA ",_xll.BDP($C103,D$73))),D103)</f>
        <v>AAL 3.6 27</v>
      </c>
      <c r="E103" s="344" t="str">
        <f ca="1">IF(BBswitch=1,IF(ISBLANK($C103),"",IF(_xll.BDP($C103,E$73)="#N/A N/A","NA ",_xll.BDP($C103,E$73))),E103)</f>
        <v xml:space="preserve">NA </v>
      </c>
      <c r="F103" s="354">
        <f ca="1">IF(BBswitch=1,IF(ISBLANK($C103),"",IF(_xll.BDP($C103,F$72)="#N/A N/A","NA ",_xll.BDP($C103,F$72)/10^6)/P103),F103)</f>
        <v>417.46551926000006</v>
      </c>
      <c r="G103" s="1022">
        <f ca="1">IF(BBswitch=1,IF(ISBLANK($C103),"",IF(_xll.BDP($C103,G$72)="#N/A N/A","NA ",_xll.BDP($C103,G$72)/100)),G103)</f>
        <v>3.6000000000000004E-2</v>
      </c>
      <c r="H103" s="355">
        <f ca="1">IF(BBswitch=1,IF(ISBLANK($C103),"",IF(_xll.BDP($C103,H$72)="#N/A N/A","NA ",_xll.BDP($C103,H$72)/100)),H103)</f>
        <v>0.92186999999999997</v>
      </c>
      <c r="I103" s="355">
        <f ca="1">IF(BBswitch=1,IF(ISBLANK($C103),"",IF(_xll.BDP($C103,I$72)="#N/A N/A","NA ",_xll.BDP($C103,I$72)/100)),I103)</f>
        <v>3.9143624482162472E-2</v>
      </c>
      <c r="J103" s="355">
        <f ca="1">IF(BBswitch=1,IF(ISBLANK($C103),"",IF(_xll.BDP($C103,J$72)="#N/A N/A","NA ",_xll.BDP($C103,J$72)/100)),J103)</f>
        <v>5.7861190680398876E-2</v>
      </c>
      <c r="K103" s="345" t="str">
        <f ca="1">IF(BBswitch=1,IF(ISBLANK($C103),"",IF(_xll.BDP($C103,K$72)="#N/A N/A","NA ",_xll.BDP($C103,K$72))),K103)</f>
        <v>9/22/2027</v>
      </c>
      <c r="L103" s="346" t="e">
        <f t="shared" ca="1" si="6"/>
        <v>#VALUE!</v>
      </c>
      <c r="M103" s="345" t="str">
        <f ca="1">IF(BBswitch=1,IF(ISBLANK($C103),"",IF(_xll.BDP($C103,M$72)="#N/A N/A","NA ",_xll.BDP($C103,M$72))),M103)</f>
        <v>9/24/2015</v>
      </c>
      <c r="N103" s="347" t="str" cm="1">
        <f t="array" aca="1" ref="N103" ca="1">IF(BBswitch=1,IF(ISBLANK($C103),"",IF(_xll.BDP($C103,N$72)="#N/A Field Not Applicable","Notes",_xll.BDP($C103,N$72))),N103)</f>
        <v>Notes</v>
      </c>
      <c r="O103" s="348" cm="1">
        <f t="array" aca="1" ref="O103" ca="1">IF(BBswitch=1,IF(ISBLANK($C103),"",IFERROR(IF(_xll.BDP($C103,O$72)="#N/A N/A","NA ",_xll.BDP($C103,O$72)/10^6),0)/P103),O103)</f>
        <v>0</v>
      </c>
      <c r="P103" s="349" cm="1">
        <f t="array" aca="1" ref="P103" ca="1">+IF(BBswitch=1,IF(ISBLANK($C103),"",IF(_xll.BDP("USD"&amp;Q103&amp;" BGN Curncy","px last")="#N/A Invalid Security",1,_xll.BDP("USD"&amp;Q103&amp;" BGN Curncy","px last"))),P103)</f>
        <v>1</v>
      </c>
      <c r="Q103" s="350" t="str">
        <f ca="1">IF(BBswitch=1,IF(ISBLANK($C103),"",IF(_xll.BDP($C103,Q$72)="#N/A N/A","NA ",_xll.BDP($C103,Q$72))),Q103)</f>
        <v>USD</v>
      </c>
      <c r="R103" s="351" t="str" cm="1">
        <f t="array" aca="1" ref="R103" ca="1">IF(BBswitch=1,IF(ISBLANK($C103),"",IF(OR(_xll.BDP($C103,R$72)="#N/A Field Not Applicable",_xll.BDP($C103,R$72)="#N/A N/A"),"",_xll.BDP($C103,R$72))),R103)</f>
        <v/>
      </c>
      <c r="S103" s="351" cm="1">
        <f t="array" aca="1" ref="S103" ca="1">IF(BBswitch=1,IF(ISBLANK($C103),"",IF(OR(_xll.BDP($C103,S$72)="#N/A Field Not Applicable",_xll.BDP($C103,S$72)="#N/A N/A"),"",_xll.BDP($C103,S$72))),S103)</f>
        <v>258.59884057268226</v>
      </c>
      <c r="T103" s="351" t="str" cm="1">
        <f t="array" aca="1" ref="T103" ca="1">IF(BBswitch=1,IF(ISBLANK($C103),"",IF(OR(_xll.BDP($C103,T$72)="#N/A Field Not Applicable",_xll.BDP($C103,T$72)="#N/A N/A"),"",_xll.BDP($C103,T$72))),T103)</f>
        <v/>
      </c>
      <c r="U103" s="351" cm="1">
        <f t="array" aca="1" ref="U103" ca="1">IF(BBswitch=1,IF(ISBLANK($C103),"",IF(OR(_xll.BDP($C103,U$72)="#N/A Field Not Applicable",_xll.BDP($C103,U$72)="#N/A N/A"),"",_xll.BDP($C103,U$72))),U103)</f>
        <v>3.7320959711041022</v>
      </c>
      <c r="V103" s="352" t="str">
        <f ca="1">IF(BBswitch=1,IF(ISBLANK($C103),"",IF(_xll.BDP($C103,V$72)="#N/A N/A","NA ",_xll.BDP($C103,V$72))),V103)</f>
        <v>1st lien</v>
      </c>
      <c r="W103" s="353" t="str" cm="1">
        <f t="array" aca="1" ref="W103" ca="1">IF(BBswitch=1,IF(ISBLANK($C103),"",IF(_xll.BDP($C103,W$72)="#N/A N/A","NA ",_xll.BDP($C103,W$72))),W103)</f>
        <v>American Airlines 2015-2 Class AA Pass Through Trust</v>
      </c>
      <c r="X103" s="343" t="str">
        <f ca="1">IF(BBswitch=1,IF(ISBLANK($C103),"",IF(_xll.BDP($C103,X$73)="#N/A N/A","NA ",_xll.BDP($C103,X$73))),X103)</f>
        <v>AAL 3.6 27</v>
      </c>
    </row>
    <row r="104" spans="3:24">
      <c r="C104" s="6" t="s">
        <v>1659</v>
      </c>
      <c r="D104" s="343" t="str">
        <f ca="1">IF(BBswitch=1,IF(ISBLANK($C104),"",IF(_xll.BDP($C104,D$73)="#N/A N/A","NA ",_xll.BDP($C104,D$73))),D104)</f>
        <v>AAL 4.4 23</v>
      </c>
      <c r="E104" s="344" t="str">
        <f ca="1">IF(BBswitch=1,IF(ISBLANK($C104),"",IF(_xll.BDP($C104,E$73)="#N/A N/A","NA ",_xll.BDP($C104,E$73))),E104)</f>
        <v xml:space="preserve">NA </v>
      </c>
      <c r="F104" s="354">
        <f ca="1">IF(BBswitch=1,IF(ISBLANK($C104),"",IF(_xll.BDP($C104,F$72)="#N/A N/A","NA ",_xll.BDP($C104,F$72)/10^6)/P104),F104)</f>
        <v>125.00737845</v>
      </c>
      <c r="G104" s="1022">
        <f ca="1">IF(BBswitch=1,IF(ISBLANK($C104),"",IF(_xll.BDP($C104,G$72)="#N/A N/A","NA ",_xll.BDP($C104,G$72)/100)),G104)</f>
        <v>4.4000000000000004E-2</v>
      </c>
      <c r="H104" s="355">
        <f ca="1">IF(BBswitch=1,IF(ISBLANK($C104),"",IF(_xll.BDP($C104,H$72)="#N/A N/A","NA ",_xll.BDP($C104,H$72)/100)),H104)</f>
        <v>0.94142999999999999</v>
      </c>
      <c r="I104" s="355">
        <f ca="1">IF(BBswitch=1,IF(ISBLANK($C104),"",IF(_xll.BDP($C104,I$72)="#N/A N/A","NA ",_xll.BDP($C104,I$72)/100)),I104)</f>
        <v>4.6868342564976573E-2</v>
      </c>
      <c r="J104" s="355">
        <f ca="1">IF(BBswitch=1,IF(ISBLANK($C104),"",IF(_xll.BDP($C104,J$72)="#N/A N/A","NA ",_xll.BDP($C104,J$72)/100)),J104)</f>
        <v>0.10552369541248244</v>
      </c>
      <c r="K104" s="345" t="str">
        <f ca="1">IF(BBswitch=1,IF(ISBLANK($C104),"",IF(_xll.BDP($C104,K$72)="#N/A N/A","NA ",_xll.BDP($C104,K$72))),K104)</f>
        <v>9/22/2023</v>
      </c>
      <c r="L104" s="346" t="e">
        <f t="shared" ca="1" si="6"/>
        <v>#VALUE!</v>
      </c>
      <c r="M104" s="345" t="str">
        <f ca="1">IF(BBswitch=1,IF(ISBLANK($C104),"",IF(_xll.BDP($C104,M$72)="#N/A N/A","NA ",_xll.BDP($C104,M$72))),M104)</f>
        <v>9/24/2015</v>
      </c>
      <c r="N104" s="347" t="str" cm="1">
        <f t="array" aca="1" ref="N104" ca="1">IF(BBswitch=1,IF(ISBLANK($C104),"",IF(_xll.BDP($C104,N$72)="#N/A Field Not Applicable","Notes",_xll.BDP($C104,N$72))),N104)</f>
        <v>Notes</v>
      </c>
      <c r="O104" s="348" cm="1">
        <f t="array" aca="1" ref="O104" ca="1">IF(BBswitch=1,IF(ISBLANK($C104),"",IFERROR(IF(_xll.BDP($C104,O$72)="#N/A N/A","NA ",_xll.BDP($C104,O$72)/10^6),0)/P104),O104)</f>
        <v>0</v>
      </c>
      <c r="P104" s="349" cm="1">
        <f t="array" aca="1" ref="P104" ca="1">+IF(BBswitch=1,IF(ISBLANK($C104),"",IF(_xll.BDP("USD"&amp;Q104&amp;" BGN Curncy","px last")="#N/A Invalid Security",1,_xll.BDP("USD"&amp;Q104&amp;" BGN Curncy","px last"))),P104)</f>
        <v>1</v>
      </c>
      <c r="Q104" s="350" t="str">
        <f ca="1">IF(BBswitch=1,IF(ISBLANK($C104),"",IF(_xll.BDP($C104,Q$72)="#N/A N/A","NA ",_xll.BDP($C104,Q$72))),Q104)</f>
        <v>USD</v>
      </c>
      <c r="R104" s="351" t="str" cm="1">
        <f t="array" aca="1" ref="R104" ca="1">IF(BBswitch=1,IF(ISBLANK($C104),"",IF(OR(_xll.BDP($C104,R$72)="#N/A Field Not Applicable",_xll.BDP($C104,R$72)="#N/A N/A"),"",_xll.BDP($C104,R$72))),R104)</f>
        <v/>
      </c>
      <c r="S104" s="351" cm="1">
        <f t="array" aca="1" ref="S104" ca="1">IF(BBswitch=1,IF(ISBLANK($C104),"",IF(OR(_xll.BDP($C104,S$72)="#N/A Field Not Applicable",_xll.BDP($C104,S$72)="#N/A N/A"),"",_xll.BDP($C104,S$72))),S104)</f>
        <v>714.89941078169227</v>
      </c>
      <c r="T104" s="351" t="str" cm="1">
        <f t="array" aca="1" ref="T104" ca="1">IF(BBswitch=1,IF(ISBLANK($C104),"",IF(OR(_xll.BDP($C104,T$72)="#N/A Field Not Applicable",_xll.BDP($C104,T$72)="#N/A N/A"),"",_xll.BDP($C104,T$72))),T104)</f>
        <v/>
      </c>
      <c r="U104" s="351" cm="1">
        <f t="array" aca="1" ref="U104" ca="1">IF(BBswitch=1,IF(ISBLANK($C104),"",IF(OR(_xll.BDP($C104,U$72)="#N/A Field Not Applicable",_xll.BDP($C104,U$72)="#N/A N/A"),"",_xll.BDP($C104,U$72))),U104)</f>
        <v>0.99713918226544895</v>
      </c>
      <c r="V104" s="352" t="str">
        <f ca="1">IF(BBswitch=1,IF(ISBLANK($C104),"",IF(_xll.BDP($C104,V$72)="#N/A N/A","NA ",_xll.BDP($C104,V$72))),V104)</f>
        <v>3rd lien</v>
      </c>
      <c r="W104" s="353" t="str" cm="1">
        <f t="array" aca="1" ref="W104" ca="1">IF(BBswitch=1,IF(ISBLANK($C104),"",IF(_xll.BDP($C104,W$72)="#N/A N/A","NA ",_xll.BDP($C104,W$72))),W104)</f>
        <v>American Airlines 2015-2 Class B Pass Through Trust</v>
      </c>
      <c r="X104" s="343" t="str">
        <f ca="1">IF(BBswitch=1,IF(ISBLANK($C104),"",IF(_xll.BDP($C104,X$73)="#N/A N/A","NA ",_xll.BDP($C104,X$73))),X104)</f>
        <v>AAL 4.4 23</v>
      </c>
    </row>
    <row r="105" spans="3:24">
      <c r="C105" s="6" t="s">
        <v>1654</v>
      </c>
      <c r="D105" s="343" t="str">
        <f ca="1">IF(BBswitch=1,IF(ISBLANK($C105),"",IF(_xll.BDP($C105,D$73)="#N/A N/A","NA ",_xll.BDP($C105,D$73))),D105)</f>
        <v>AAL 7.346 23</v>
      </c>
      <c r="E105" s="344" t="str">
        <f ca="1">IF(BBswitch=1,IF(ISBLANK($C105),"",IF(_xll.BDP($C105,E$73)="#N/A N/A","NA ",_xll.BDP($C105,E$73))),E105)</f>
        <v xml:space="preserve">NA </v>
      </c>
      <c r="F105" s="354">
        <f ca="1">IF(BBswitch=1,IF(ISBLANK($C105),"",IF(_xll.BDP($C105,F$72)="#N/A N/A","NA ",_xll.BDP($C105,F$72)/10^6)/P105),F105)</f>
        <v>0.17887373499999998</v>
      </c>
      <c r="G105" s="1022">
        <f ca="1">IF(BBswitch=1,IF(ISBLANK($C105),"",IF(_xll.BDP($C105,G$72)="#N/A N/A","NA ",_xll.BDP($C105,G$72)/100)),G105)</f>
        <v>7.3459999999999998E-2</v>
      </c>
      <c r="H105" s="355" t="str">
        <f ca="1">IF(BBswitch=1,IF(ISBLANK($C105),"",IF(_xll.BDP($C105,H$72)="#N/A N/A","NA ",_xll.BDP($C105,H$72)/100)),H105)</f>
        <v xml:space="preserve">NA </v>
      </c>
      <c r="I105" s="355" t="str">
        <f ca="1">IF(BBswitch=1,IF(ISBLANK($C105),"",IF(_xll.BDP($C105,I$72)="#N/A N/A","NA ",_xll.BDP($C105,I$72)/100)),I105)</f>
        <v xml:space="preserve">NA </v>
      </c>
      <c r="J105" s="355" t="str">
        <f ca="1">IF(BBswitch=1,IF(ISBLANK($C105),"",IF(_xll.BDP($C105,J$72)="#N/A N/A","NA ",_xll.BDP($C105,J$72)/100)),J105)</f>
        <v xml:space="preserve">NA </v>
      </c>
      <c r="K105" s="345" t="str">
        <f ca="1">IF(BBswitch=1,IF(ISBLANK($C105),"",IF(_xll.BDP($C105,K$72)="#N/A N/A","NA ",_xll.BDP($C105,K$72))),K105)</f>
        <v>9/20/2023</v>
      </c>
      <c r="L105" s="346" t="e">
        <f t="shared" ca="1" si="6"/>
        <v>#VALUE!</v>
      </c>
      <c r="M105" s="345" t="str">
        <f ca="1">IF(BBswitch=1,IF(ISBLANK($C105),"",IF(_xll.BDP($C105,M$72)="#N/A N/A","NA ",_xll.BDP($C105,M$72))),M105)</f>
        <v>1/26/2001</v>
      </c>
      <c r="N105" s="347" t="str" cm="1">
        <f t="array" aca="1" ref="N105" ca="1">IF(BBswitch=1,IF(ISBLANK($C105),"",IF(_xll.BDP($C105,N$72)="#N/A Field Not Applicable","Notes",_xll.BDP($C105,N$72))),N105)</f>
        <v>Notes</v>
      </c>
      <c r="O105" s="348" cm="1">
        <f t="array" aca="1" ref="O105" ca="1">IF(BBswitch=1,IF(ISBLANK($C105),"",IFERROR(IF(_xll.BDP($C105,O$72)="#N/A N/A","NA ",_xll.BDP($C105,O$72)/10^6),0)/P105),O105)</f>
        <v>0</v>
      </c>
      <c r="P105" s="349" cm="1">
        <f t="array" aca="1" ref="P105" ca="1">+IF(BBswitch=1,IF(ISBLANK($C105),"",IF(_xll.BDP("USD"&amp;Q105&amp;" BGN Curncy","px last")="#N/A Invalid Security",1,_xll.BDP("USD"&amp;Q105&amp;" BGN Curncy","px last"))),P105)</f>
        <v>1</v>
      </c>
      <c r="Q105" s="350" t="str">
        <f ca="1">IF(BBswitch=1,IF(ISBLANK($C105),"",IF(_xll.BDP($C105,Q$72)="#N/A N/A","NA ",_xll.BDP($C105,Q$72))),Q105)</f>
        <v>USD</v>
      </c>
      <c r="R105" s="351" t="str" cm="1">
        <f t="array" aca="1" ref="R105" ca="1">IF(BBswitch=1,IF(ISBLANK($C105),"",IF(OR(_xll.BDP($C105,R$72)="#N/A Field Not Applicable",_xll.BDP($C105,R$72)="#N/A N/A"),"",_xll.BDP($C105,R$72))),R105)</f>
        <v/>
      </c>
      <c r="S105" s="351" t="str" cm="1">
        <f t="array" aca="1" ref="S105" ca="1">IF(BBswitch=1,IF(ISBLANK($C105),"",IF(OR(_xll.BDP($C105,S$72)="#N/A Field Not Applicable",_xll.BDP($C105,S$72)="#N/A N/A"),"",_xll.BDP($C105,S$72))),S105)</f>
        <v/>
      </c>
      <c r="T105" s="351" t="str" cm="1">
        <f t="array" aca="1" ref="T105" ca="1">IF(BBswitch=1,IF(ISBLANK($C105),"",IF(OR(_xll.BDP($C105,T$72)="#N/A Field Not Applicable",_xll.BDP($C105,T$72)="#N/A N/A"),"",_xll.BDP($C105,T$72))),T105)</f>
        <v/>
      </c>
      <c r="U105" s="351" t="str" cm="1">
        <f t="array" aca="1" ref="U105" ca="1">IF(BBswitch=1,IF(ISBLANK($C105),"",IF(OR(_xll.BDP($C105,U$72)="#N/A Field Not Applicable",_xll.BDP($C105,U$72)="#N/A N/A"),"",_xll.BDP($C105,U$72))),U105)</f>
        <v/>
      </c>
      <c r="V105" s="352" t="str">
        <f ca="1">IF(BBswitch=1,IF(ISBLANK($C105),"",IF(_xll.BDP($C105,V$72)="#N/A N/A","NA ",_xll.BDP($C105,V$72))),V105)</f>
        <v>2nd lien</v>
      </c>
      <c r="W105" s="353" t="str" cm="1">
        <f t="array" aca="1" ref="W105" ca="1">IF(BBswitch=1,IF(ISBLANK($C105),"",IF(_xll.BDP($C105,W$72)="#N/A N/A","NA ",_xll.BDP($C105,W$72))),W105)</f>
        <v>US Airways 2001-1C Pass Through Trust</v>
      </c>
      <c r="X105" s="343" t="str">
        <f ca="1">IF(BBswitch=1,IF(ISBLANK($C105),"",IF(_xll.BDP($C105,X$73)="#N/A N/A","NA ",_xll.BDP($C105,X$73))),X105)</f>
        <v>AAL 7.346 23</v>
      </c>
    </row>
    <row r="106" spans="3:24">
      <c r="C106" s="6" t="s">
        <v>1655</v>
      </c>
      <c r="D106" s="343" t="str">
        <f ca="1">IF(BBswitch=1,IF(ISBLANK($C106),"",IF(_xll.BDP($C106,D$73)="#N/A N/A","NA ",_xll.BDP($C106,D$73))),D106)</f>
        <v>AAL 8.39 23</v>
      </c>
      <c r="E106" s="344" t="str">
        <f ca="1">IF(BBswitch=1,IF(ISBLANK($C106),"",IF(_xll.BDP($C106,E$73)="#N/A N/A","NA ",_xll.BDP($C106,E$73))),E106)</f>
        <v xml:space="preserve">NA </v>
      </c>
      <c r="F106" s="354">
        <f ca="1">IF(BBswitch=1,IF(ISBLANK($C106),"",IF(_xll.BDP($C106,F$72)="#N/A N/A","NA ",_xll.BDP($C106,F$72)/10^6)/P106),F106)</f>
        <v>0.31226795499999993</v>
      </c>
      <c r="G106" s="1022">
        <f ca="1">IF(BBswitch=1,IF(ISBLANK($C106),"",IF(_xll.BDP($C106,G$72)="#N/A N/A","NA ",_xll.BDP($C106,G$72)/100)),G106)</f>
        <v>8.3900000000000002E-2</v>
      </c>
      <c r="H106" s="355" t="str">
        <f ca="1">IF(BBswitch=1,IF(ISBLANK($C106),"",IF(_xll.BDP($C106,H$72)="#N/A N/A","NA ",_xll.BDP($C106,H$72)/100)),H106)</f>
        <v xml:space="preserve">NA </v>
      </c>
      <c r="I106" s="355" t="str">
        <f ca="1">IF(BBswitch=1,IF(ISBLANK($C106),"",IF(_xll.BDP($C106,I$72)="#N/A N/A","NA ",_xll.BDP($C106,I$72)/100)),I106)</f>
        <v xml:space="preserve">NA </v>
      </c>
      <c r="J106" s="355" t="str">
        <f ca="1">IF(BBswitch=1,IF(ISBLANK($C106),"",IF(_xll.BDP($C106,J$72)="#N/A N/A","NA ",_xll.BDP($C106,J$72)/100)),J106)</f>
        <v xml:space="preserve">NA </v>
      </c>
      <c r="K106" s="345" t="str">
        <f ca="1">IF(BBswitch=1,IF(ISBLANK($C106),"",IF(_xll.BDP($C106,K$72)="#N/A N/A","NA ",_xll.BDP($C106,K$72))),K106)</f>
        <v>9/1/2023</v>
      </c>
      <c r="L106" s="346">
        <f t="shared" ca="1" si="6"/>
        <v>2023</v>
      </c>
      <c r="M106" s="345" t="str">
        <f ca="1">IF(BBswitch=1,IF(ISBLANK($C106),"",IF(_xll.BDP($C106,M$72)="#N/A N/A","NA ",_xll.BDP($C106,M$72))),M106)</f>
        <v>11/2/2000</v>
      </c>
      <c r="N106" s="347" t="str" cm="1">
        <f t="array" aca="1" ref="N106" ca="1">IF(BBswitch=1,IF(ISBLANK($C106),"",IF(_xll.BDP($C106,N$72)="#N/A Field Not Applicable","Notes",_xll.BDP($C106,N$72))),N106)</f>
        <v>Notes</v>
      </c>
      <c r="O106" s="348" cm="1">
        <f t="array" aca="1" ref="O106" ca="1">IF(BBswitch=1,IF(ISBLANK($C106),"",IFERROR(IF(_xll.BDP($C106,O$72)="#N/A N/A","NA ",_xll.BDP($C106,O$72)/10^6),0)/P106),O106)</f>
        <v>0</v>
      </c>
      <c r="P106" s="349" cm="1">
        <f t="array" aca="1" ref="P106" ca="1">+IF(BBswitch=1,IF(ISBLANK($C106),"",IF(_xll.BDP("USD"&amp;Q106&amp;" BGN Curncy","px last")="#N/A Invalid Security",1,_xll.BDP("USD"&amp;Q106&amp;" BGN Curncy","px last"))),P106)</f>
        <v>1</v>
      </c>
      <c r="Q106" s="350" t="str">
        <f ca="1">IF(BBswitch=1,IF(ISBLANK($C106),"",IF(_xll.BDP($C106,Q$72)="#N/A N/A","NA ",_xll.BDP($C106,Q$72))),Q106)</f>
        <v>USD</v>
      </c>
      <c r="R106" s="351" t="str" cm="1">
        <f t="array" aca="1" ref="R106" ca="1">IF(BBswitch=1,IF(ISBLANK($C106),"",IF(OR(_xll.BDP($C106,R$72)="#N/A Field Not Applicable",_xll.BDP($C106,R$72)="#N/A N/A"),"",_xll.BDP($C106,R$72))),R106)</f>
        <v/>
      </c>
      <c r="S106" s="351" t="str" cm="1">
        <f t="array" aca="1" ref="S106" ca="1">IF(BBswitch=1,IF(ISBLANK($C106),"",IF(OR(_xll.BDP($C106,S$72)="#N/A Field Not Applicable",_xll.BDP($C106,S$72)="#N/A N/A"),"",_xll.BDP($C106,S$72))),S106)</f>
        <v/>
      </c>
      <c r="T106" s="351" t="str" cm="1">
        <f t="array" aca="1" ref="T106" ca="1">IF(BBswitch=1,IF(ISBLANK($C106),"",IF(OR(_xll.BDP($C106,T$72)="#N/A Field Not Applicable",_xll.BDP($C106,T$72)="#N/A N/A"),"",_xll.BDP($C106,T$72))),T106)</f>
        <v/>
      </c>
      <c r="U106" s="351" t="str" cm="1">
        <f t="array" aca="1" ref="U106" ca="1">IF(BBswitch=1,IF(ISBLANK($C106),"",IF(OR(_xll.BDP($C106,U$72)="#N/A Field Not Applicable",_xll.BDP($C106,U$72)="#N/A N/A"),"",_xll.BDP($C106,U$72))),U106)</f>
        <v/>
      </c>
      <c r="V106" s="352" t="str">
        <f ca="1">IF(BBswitch=1,IF(ISBLANK($C106),"",IF(_xll.BDP($C106,V$72)="#N/A N/A","NA ",_xll.BDP($C106,V$72))),V106)</f>
        <v>2nd lien</v>
      </c>
      <c r="W106" s="353" t="str" cm="1">
        <f t="array" aca="1" ref="W106" ca="1">IF(BBswitch=1,IF(ISBLANK($C106),"",IF(_xll.BDP($C106,W$72)="#N/A N/A","NA ",_xll.BDP($C106,W$72))),W106)</f>
        <v>US Airways 2000-3C Pass Through Trust</v>
      </c>
      <c r="X106" s="343" t="str">
        <f ca="1">IF(BBswitch=1,IF(ISBLANK($C106),"",IF(_xll.BDP($C106,X$73)="#N/A N/A","NA ",_xll.BDP($C106,X$73))),X106)</f>
        <v>AAL 8.39 23</v>
      </c>
    </row>
    <row r="107" spans="3:24">
      <c r="C107" s="6" t="s">
        <v>1640</v>
      </c>
      <c r="D107" s="343" t="str">
        <f ca="1">IF(BBswitch=1,IF(ISBLANK($C107),"",IF(_xll.BDP($C107,D$73)="#N/A N/A","NA ",_xll.BDP($C107,D$73))),D107)</f>
        <v>AAL 4 25</v>
      </c>
      <c r="E107" s="344" t="str">
        <f ca="1">IF(BBswitch=1,IF(ISBLANK($C107),"",IF(_xll.BDP($C107,E$73)="#N/A N/A","NA ",_xll.BDP($C107,E$73))),E107)</f>
        <v xml:space="preserve">NA </v>
      </c>
      <c r="F107" s="354">
        <f ca="1">IF(BBswitch=1,IF(ISBLANK($C107),"",IF(_xll.BDP($C107,F$72)="#N/A N/A","NA ",_xll.BDP($C107,F$72)/10^6)/P107),F107)</f>
        <v>221.19912359829999</v>
      </c>
      <c r="G107" s="1022">
        <f ca="1">IF(BBswitch=1,IF(ISBLANK($C107),"",IF(_xll.BDP($C107,G$72)="#N/A N/A","NA ",_xll.BDP($C107,G$72)/100)),G107)</f>
        <v>0.04</v>
      </c>
      <c r="H107" s="355">
        <f ca="1">IF(BBswitch=1,IF(ISBLANK($C107),"",IF(_xll.BDP($C107,H$72)="#N/A N/A","NA ",_xll.BDP($C107,H$72)/100)),H107)</f>
        <v>0.88132999999999995</v>
      </c>
      <c r="I107" s="355">
        <f ca="1">IF(BBswitch=1,IF(ISBLANK($C107),"",IF(_xll.BDP($C107,I$72)="#N/A N/A","NA ",_xll.BDP($C107,I$72)/100)),I107)</f>
        <v>4.5472114225950939E-2</v>
      </c>
      <c r="J107" s="355">
        <f ca="1">IF(BBswitch=1,IF(ISBLANK($C107),"",IF(_xll.BDP($C107,J$72)="#N/A N/A","NA ",_xll.BDP($C107,J$72)/100)),J107)</f>
        <v>9.3826445237037787E-2</v>
      </c>
      <c r="K107" s="345" t="str">
        <f ca="1">IF(BBswitch=1,IF(ISBLANK($C107),"",IF(_xll.BDP($C107,K$72)="#N/A N/A","NA ",_xll.BDP($C107,K$72))),K107)</f>
        <v>7/15/2025</v>
      </c>
      <c r="L107" s="346" t="e">
        <f t="shared" ca="1" si="6"/>
        <v>#VALUE!</v>
      </c>
      <c r="M107" s="345" t="str">
        <f ca="1">IF(BBswitch=1,IF(ISBLANK($C107),"",IF(_xll.BDP($C107,M$72)="#N/A N/A","NA ",_xll.BDP($C107,M$72))),M107)</f>
        <v>7/25/2014</v>
      </c>
      <c r="N107" s="347" t="str" cm="1">
        <f t="array" aca="1" ref="N107" ca="1">IF(BBswitch=1,IF(ISBLANK($C107),"",IF(_xll.BDP($C107,N$72)="#N/A Field Not Applicable","Notes",_xll.BDP($C107,N$72))),N107)</f>
        <v>Notes</v>
      </c>
      <c r="O107" s="348" cm="1">
        <f t="array" aca="1" ref="O107" ca="1">IF(BBswitch=1,IF(ISBLANK($C107),"",IFERROR(IF(_xll.BDP($C107,O$72)="#N/A N/A","NA ",_xll.BDP($C107,O$72)/10^6),0)/P107),O107)</f>
        <v>0</v>
      </c>
      <c r="P107" s="349" cm="1">
        <f t="array" aca="1" ref="P107" ca="1">+IF(BBswitch=1,IF(ISBLANK($C107),"",IF(_xll.BDP("USD"&amp;Q107&amp;" BGN Curncy","px last")="#N/A Invalid Security",1,_xll.BDP("USD"&amp;Q107&amp;" BGN Curncy","px last"))),P107)</f>
        <v>1</v>
      </c>
      <c r="Q107" s="350" t="str">
        <f ca="1">IF(BBswitch=1,IF(ISBLANK($C107),"",IF(_xll.BDP($C107,Q$72)="#N/A N/A","NA ",_xll.BDP($C107,Q$72))),Q107)</f>
        <v>USD</v>
      </c>
      <c r="R107" s="351" t="str" cm="1">
        <f t="array" aca="1" ref="R107" ca="1">IF(BBswitch=1,IF(ISBLANK($C107),"",IF(OR(_xll.BDP($C107,R$72)="#N/A Field Not Applicable",_xll.BDP($C107,R$72)="#N/A N/A"),"",_xll.BDP($C107,R$72))),R107)</f>
        <v/>
      </c>
      <c r="S107" s="351" cm="1">
        <f t="array" aca="1" ref="S107" ca="1">IF(BBswitch=1,IF(ISBLANK($C107),"",IF(OR(_xll.BDP($C107,S$72)="#N/A Field Not Applicable",_xll.BDP($C107,S$72)="#N/A N/A"),"",_xll.BDP($C107,S$72))),S107)</f>
        <v>609.30211673995359</v>
      </c>
      <c r="T107" s="351" t="str" cm="1">
        <f t="array" aca="1" ref="T107" ca="1">IF(BBswitch=1,IF(ISBLANK($C107),"",IF(OR(_xll.BDP($C107,T$72)="#N/A Field Not Applicable",_xll.BDP($C107,T$72)="#N/A N/A"),"",_xll.BDP($C107,T$72))),T107)</f>
        <v/>
      </c>
      <c r="U107" s="351" cm="1">
        <f t="array" aca="1" ref="U107" ca="1">IF(BBswitch=1,IF(ISBLANK($C107),"",IF(OR(_xll.BDP($C107,U$72)="#N/A Field Not Applicable",_xll.BDP($C107,U$72)="#N/A N/A"),"",_xll.BDP($C107,U$72))),U107)</f>
        <v>2.3353318040595004</v>
      </c>
      <c r="V107" s="352" t="str">
        <f ca="1">IF(BBswitch=1,IF(ISBLANK($C107),"",IF(_xll.BDP($C107,V$72)="#N/A N/A","NA ",_xll.BDP($C107,V$72))),V107)</f>
        <v>1st lien</v>
      </c>
      <c r="W107" s="353" t="str" cm="1">
        <f t="array" aca="1" ref="W107" ca="1">IF(BBswitch=1,IF(ISBLANK($C107),"",IF(_xll.BDP($C107,W$72)="#N/A N/A","NA ",_xll.BDP($C107,W$72))),W107)</f>
        <v>American Airlines 2013-1 Class A Pass Through Trust</v>
      </c>
      <c r="X107" s="343" t="str">
        <f ca="1">IF(BBswitch=1,IF(ISBLANK($C107),"",IF(_xll.BDP($C107,X$73)="#N/A N/A","NA ",_xll.BDP($C107,X$73))),X107)</f>
        <v>AAL 4 25</v>
      </c>
    </row>
    <row r="108" spans="3:24">
      <c r="C108" s="6" t="s">
        <v>1638</v>
      </c>
      <c r="D108" s="343" t="str">
        <f ca="1">IF(BBswitch=1,IF(ISBLANK($C108),"",IF(_xll.BDP($C108,D$73)="#N/A N/A","NA ",_xll.BDP($C108,D$73))),D108)</f>
        <v>AAL 4.625 25</v>
      </c>
      <c r="E108" s="344" t="str">
        <f ca="1">IF(BBswitch=1,IF(ISBLANK($C108),"",IF(_xll.BDP($C108,E$73)="#N/A N/A","NA ",_xll.BDP($C108,E$73))),E108)</f>
        <v xml:space="preserve">NA </v>
      </c>
      <c r="F108" s="354">
        <f ca="1">IF(BBswitch=1,IF(ISBLANK($C108),"",IF(_xll.BDP($C108,F$72)="#N/A N/A","NA ",_xll.BDP($C108,F$72)/10^6)/P108),F108)</f>
        <v>188.52047109</v>
      </c>
      <c r="G108" s="1022">
        <f ca="1">IF(BBswitch=1,IF(ISBLANK($C108),"",IF(_xll.BDP($C108,G$72)="#N/A N/A","NA ",_xll.BDP($C108,G$72)/100)),G108)</f>
        <v>4.6249999999999999E-2</v>
      </c>
      <c r="H108" s="355">
        <f ca="1">IF(BBswitch=1,IF(ISBLANK($C108),"",IF(_xll.BDP($C108,H$72)="#N/A N/A","NA ",_xll.BDP($C108,H$72)/100)),H108)</f>
        <v>0.90073999999999999</v>
      </c>
      <c r="I108" s="355">
        <f ca="1">IF(BBswitch=1,IF(ISBLANK($C108),"",IF(_xll.BDP($C108,I$72)="#N/A N/A","NA ",_xll.BDP($C108,I$72)/100)),I108)</f>
        <v>5.1682329671803237E-2</v>
      </c>
      <c r="J108" s="355">
        <f ca="1">IF(BBswitch=1,IF(ISBLANK($C108),"",IF(_xll.BDP($C108,J$72)="#N/A N/A","NA ",_xll.BDP($C108,J$72)/100)),J108)</f>
        <v>9.4871474847416981E-2</v>
      </c>
      <c r="K108" s="345" t="str">
        <f ca="1">IF(BBswitch=1,IF(ISBLANK($C108),"",IF(_xll.BDP($C108,K$72)="#N/A N/A","NA ",_xll.BDP($C108,K$72))),K108)</f>
        <v>6/3/2025</v>
      </c>
      <c r="L108" s="346">
        <f t="shared" ca="1" si="6"/>
        <v>2025</v>
      </c>
      <c r="M108" s="345" t="str">
        <f ca="1">IF(BBswitch=1,IF(ISBLANK($C108),"",IF(_xll.BDP($C108,M$72)="#N/A N/A","NA ",_xll.BDP($C108,M$72))),M108)</f>
        <v>12/13/2012</v>
      </c>
      <c r="N108" s="347" t="str" cm="1">
        <f t="array" aca="1" ref="N108" ca="1">IF(BBswitch=1,IF(ISBLANK($C108),"",IF(_xll.BDP($C108,N$72)="#N/A Field Not Applicable","Notes",_xll.BDP($C108,N$72))),N108)</f>
        <v>Notes</v>
      </c>
      <c r="O108" s="348" cm="1">
        <f t="array" aca="1" ref="O108" ca="1">IF(BBswitch=1,IF(ISBLANK($C108),"",IFERROR(IF(_xll.BDP($C108,O$72)="#N/A N/A","NA ",_xll.BDP($C108,O$72)/10^6),0)/P108),O108)</f>
        <v>0</v>
      </c>
      <c r="P108" s="349" cm="1">
        <f t="array" aca="1" ref="P108" ca="1">+IF(BBswitch=1,IF(ISBLANK($C108),"",IF(_xll.BDP("USD"&amp;Q108&amp;" BGN Curncy","px last")="#N/A Invalid Security",1,_xll.BDP("USD"&amp;Q108&amp;" BGN Curncy","px last"))),P108)</f>
        <v>1</v>
      </c>
      <c r="Q108" s="350" t="str">
        <f ca="1">IF(BBswitch=1,IF(ISBLANK($C108),"",IF(_xll.BDP($C108,Q$72)="#N/A N/A","NA ",_xll.BDP($C108,Q$72))),Q108)</f>
        <v>USD</v>
      </c>
      <c r="R108" s="351" t="str" cm="1">
        <f t="array" aca="1" ref="R108" ca="1">IF(BBswitch=1,IF(ISBLANK($C108),"",IF(OR(_xll.BDP($C108,R$72)="#N/A Field Not Applicable",_xll.BDP($C108,R$72)="#N/A N/A"),"",_xll.BDP($C108,R$72))),R108)</f>
        <v/>
      </c>
      <c r="S108" s="351" cm="1">
        <f t="array" aca="1" ref="S108" ca="1">IF(BBswitch=1,IF(ISBLANK($C108),"",IF(OR(_xll.BDP($C108,S$72)="#N/A Field Not Applicable",_xll.BDP($C108,S$72)="#N/A N/A"),"",_xll.BDP($C108,S$72))),S108)</f>
        <v>598.58154104706296</v>
      </c>
      <c r="T108" s="351" t="str" cm="1">
        <f t="array" aca="1" ref="T108" ca="1">IF(BBswitch=1,IF(ISBLANK($C108),"",IF(OR(_xll.BDP($C108,T$72)="#N/A Field Not Applicable",_xll.BDP($C108,T$72)="#N/A N/A"),"",_xll.BDP($C108,T$72))),T108)</f>
        <v/>
      </c>
      <c r="U108" s="351" cm="1">
        <f t="array" aca="1" ref="U108" ca="1">IF(BBswitch=1,IF(ISBLANK($C108),"",IF(OR(_xll.BDP($C108,U$72)="#N/A Field Not Applicable",_xll.BDP($C108,U$72)="#N/A N/A"),"",_xll.BDP($C108,U$72))),U108)</f>
        <v>2.2339173781181474</v>
      </c>
      <c r="V108" s="352" t="str">
        <f ca="1">IF(BBswitch=1,IF(ISBLANK($C108),"",IF(_xll.BDP($C108,V$72)="#N/A N/A","NA ",_xll.BDP($C108,V$72))),V108)</f>
        <v>1st lien</v>
      </c>
      <c r="W108" s="353" t="str" cm="1">
        <f t="array" aca="1" ref="W108" ca="1">IF(BBswitch=1,IF(ISBLANK($C108),"",IF(_xll.BDP($C108,W$72)="#N/A N/A","NA ",_xll.BDP($C108,W$72))),W108)</f>
        <v>US Airways 2012-2 Class A Pass Through Trust</v>
      </c>
      <c r="X108" s="343" t="str">
        <f ca="1">IF(BBswitch=1,IF(ISBLANK($C108),"",IF(_xll.BDP($C108,X$73)="#N/A N/A","NA ",_xll.BDP($C108,X$73))),X108)</f>
        <v>AAL 4.625 25</v>
      </c>
    </row>
    <row r="109" spans="3:24">
      <c r="C109" s="6" t="s">
        <v>1647</v>
      </c>
      <c r="D109" s="343" t="str">
        <f ca="1">IF(BBswitch=1,IF(ISBLANK($C109),"",IF(_xll.BDP($C109,D$73)="#N/A N/A","NA ",_xll.BDP($C109,D$73))),D109)</f>
        <v>AAL 3.65 28</v>
      </c>
      <c r="E109" s="344" t="str">
        <f ca="1">IF(BBswitch=1,IF(ISBLANK($C109),"",IF(_xll.BDP($C109,E$73)="#N/A N/A","NA ",_xll.BDP($C109,E$73))),E109)</f>
        <v xml:space="preserve">NA </v>
      </c>
      <c r="F109" s="354">
        <f ca="1">IF(BBswitch=1,IF(ISBLANK($C109),"",IF(_xll.BDP($C109,F$72)="#N/A N/A","NA ",_xll.BDP($C109,F$72)/10^6)/P109),F109)</f>
        <v>193.872728</v>
      </c>
      <c r="G109" s="1022">
        <f ca="1">IF(BBswitch=1,IF(ISBLANK($C109),"",IF(_xll.BDP($C109,G$72)="#N/A N/A","NA ",_xll.BDP($C109,G$72)/100)),G109)</f>
        <v>3.6499999999999998E-2</v>
      </c>
      <c r="H109" s="355">
        <f ca="1">IF(BBswitch=1,IF(ISBLANK($C109),"",IF(_xll.BDP($C109,H$72)="#N/A N/A","NA ",_xll.BDP($C109,H$72)/100)),H109)</f>
        <v>0.76541999999999999</v>
      </c>
      <c r="I109" s="355">
        <f ca="1">IF(BBswitch=1,IF(ISBLANK($C109),"",IF(_xll.BDP($C109,I$72)="#N/A N/A","NA ",_xll.BDP($C109,I$72)/100)),I109)</f>
        <v>4.9146334895244247E-2</v>
      </c>
      <c r="J109" s="355">
        <f ca="1">IF(BBswitch=1,IF(ISBLANK($C109),"",IF(_xll.BDP($C109,J$72)="#N/A N/A","NA ",_xll.BDP($C109,J$72)/100)),J109)</f>
        <v>0.10717991095608229</v>
      </c>
      <c r="K109" s="345" t="str">
        <f ca="1">IF(BBswitch=1,IF(ISBLANK($C109),"",IF(_xll.BDP($C109,K$72)="#N/A N/A","NA ",_xll.BDP($C109,K$72))),K109)</f>
        <v>6/15/2028</v>
      </c>
      <c r="L109" s="346" t="e">
        <f t="shared" ca="1" si="6"/>
        <v>#VALUE!</v>
      </c>
      <c r="M109" s="345" t="str">
        <f ca="1">IF(BBswitch=1,IF(ISBLANK($C109),"",IF(_xll.BDP($C109,M$72)="#N/A N/A","NA ",_xll.BDP($C109,M$72))),M109)</f>
        <v>5/16/2016</v>
      </c>
      <c r="N109" s="347" t="str" cm="1">
        <f t="array" aca="1" ref="N109" ca="1">IF(BBswitch=1,IF(ISBLANK($C109),"",IF(_xll.BDP($C109,N$72)="#N/A Field Not Applicable","Notes",_xll.BDP($C109,N$72))),N109)</f>
        <v>Notes</v>
      </c>
      <c r="O109" s="348" cm="1">
        <f t="array" aca="1" ref="O109" ca="1">IF(BBswitch=1,IF(ISBLANK($C109),"",IFERROR(IF(_xll.BDP($C109,O$72)="#N/A N/A","NA ",_xll.BDP($C109,O$72)/10^6),0)/P109),O109)</f>
        <v>0</v>
      </c>
      <c r="P109" s="349" cm="1">
        <f t="array" aca="1" ref="P109" ca="1">+IF(BBswitch=1,IF(ISBLANK($C109),"",IF(_xll.BDP("USD"&amp;Q109&amp;" BGN Curncy","px last")="#N/A Invalid Security",1,_xll.BDP("USD"&amp;Q109&amp;" BGN Curncy","px last"))),P109)</f>
        <v>1</v>
      </c>
      <c r="Q109" s="350" t="str">
        <f ca="1">IF(BBswitch=1,IF(ISBLANK($C109),"",IF(_xll.BDP($C109,Q$72)="#N/A N/A","NA ",_xll.BDP($C109,Q$72))),Q109)</f>
        <v>USD</v>
      </c>
      <c r="R109" s="351" t="str" cm="1">
        <f t="array" aca="1" ref="R109" ca="1">IF(BBswitch=1,IF(ISBLANK($C109),"",IF(OR(_xll.BDP($C109,R$72)="#N/A Field Not Applicable",_xll.BDP($C109,R$72)="#N/A N/A"),"",_xll.BDP($C109,R$72))),R109)</f>
        <v/>
      </c>
      <c r="S109" s="351" cm="1">
        <f t="array" aca="1" ref="S109" ca="1">IF(BBswitch=1,IF(ISBLANK($C109),"",IF(OR(_xll.BDP($C109,S$72)="#N/A Field Not Applicable",_xll.BDP($C109,S$72)="#N/A N/A"),"",_xll.BDP($C109,S$72))),S109)</f>
        <v>712.78931690113041</v>
      </c>
      <c r="T109" s="351" t="str" cm="1">
        <f t="array" aca="1" ref="T109" ca="1">IF(BBswitch=1,IF(ISBLANK($C109),"",IF(OR(_xll.BDP($C109,T$72)="#N/A Field Not Applicable",_xll.BDP($C109,T$72)="#N/A N/A"),"",_xll.BDP($C109,T$72))),T109)</f>
        <v/>
      </c>
      <c r="U109" s="351" cm="1">
        <f t="array" aca="1" ref="U109" ca="1">IF(BBswitch=1,IF(ISBLANK($C109),"",IF(OR(_xll.BDP($C109,U$72)="#N/A Field Not Applicable",_xll.BDP($C109,U$72)="#N/A N/A"),"",_xll.BDP($C109,U$72))),U109)</f>
        <v>4.0200755525635179</v>
      </c>
      <c r="V109" s="352" t="str">
        <f ca="1">IF(BBswitch=1,IF(ISBLANK($C109),"",IF(_xll.BDP($C109,V$72)="#N/A N/A","NA ",_xll.BDP($C109,V$72))),V109)</f>
        <v>2nd lien</v>
      </c>
      <c r="W109" s="353" t="str" cm="1">
        <f t="array" aca="1" ref="W109" ca="1">IF(BBswitch=1,IF(ISBLANK($C109),"",IF(_xll.BDP($C109,W$72)="#N/A N/A","NA ",_xll.BDP($C109,W$72))),W109)</f>
        <v>American Airlines 2016-2 Class A Pass Through Trust</v>
      </c>
      <c r="X109" s="343" t="str">
        <f ca="1">IF(BBswitch=1,IF(ISBLANK($C109),"",IF(_xll.BDP($C109,X$73)="#N/A N/A","NA ",_xll.BDP($C109,X$73))),X109)</f>
        <v>AAL 3.65 28</v>
      </c>
    </row>
    <row r="110" spans="3:24">
      <c r="C110" s="6" t="s">
        <v>1657</v>
      </c>
      <c r="D110" s="343" t="str">
        <f ca="1">IF(BBswitch=1,IF(ISBLANK($C110),"",IF(_xll.BDP($C110,D$73)="#N/A N/A","NA ",_xll.BDP($C110,D$73))),D110)</f>
        <v>AAL 3.2 28</v>
      </c>
      <c r="E110" s="344" t="str">
        <f ca="1">IF(BBswitch=1,IF(ISBLANK($C110),"",IF(_xll.BDP($C110,E$73)="#N/A N/A","NA ",_xll.BDP($C110,E$73))),E110)</f>
        <v xml:space="preserve">NA </v>
      </c>
      <c r="F110" s="354">
        <f ca="1">IF(BBswitch=1,IF(ISBLANK($C110),"",IF(_xll.BDP($C110,F$72)="#N/A N/A","NA ",_xll.BDP($C110,F$72)/10^6)/P110),F110)</f>
        <v>420.98111999999998</v>
      </c>
      <c r="G110" s="1022">
        <f ca="1">IF(BBswitch=1,IF(ISBLANK($C110),"",IF(_xll.BDP($C110,G$72)="#N/A N/A","NA ",_xll.BDP($C110,G$72)/100)),G110)</f>
        <v>3.2000000000000001E-2</v>
      </c>
      <c r="H110" s="355">
        <f ca="1">IF(BBswitch=1,IF(ISBLANK($C110),"",IF(_xll.BDP($C110,H$72)="#N/A N/A","NA ",_xll.BDP($C110,H$72)/100)),H110)</f>
        <v>0.89910999999999996</v>
      </c>
      <c r="I110" s="355">
        <f ca="1">IF(BBswitch=1,IF(ISBLANK($C110),"",IF(_xll.BDP($C110,I$72)="#N/A N/A","NA ",_xll.BDP($C110,I$72)/100)),I110)</f>
        <v>3.5641888129023636E-2</v>
      </c>
      <c r="J110" s="355">
        <f ca="1">IF(BBswitch=1,IF(ISBLANK($C110),"",IF(_xll.BDP($C110,J$72)="#N/A N/A","NA ",_xll.BDP($C110,J$72)/100)),J110)</f>
        <v>5.6533334865472719E-2</v>
      </c>
      <c r="K110" s="345" t="str">
        <f ca="1">IF(BBswitch=1,IF(ISBLANK($C110),"",IF(_xll.BDP($C110,K$72)="#N/A N/A","NA ",_xll.BDP($C110,K$72))),K110)</f>
        <v>6/15/2028</v>
      </c>
      <c r="L110" s="346" t="e">
        <f t="shared" ca="1" si="6"/>
        <v>#VALUE!</v>
      </c>
      <c r="M110" s="345" t="str">
        <f ca="1">IF(BBswitch=1,IF(ISBLANK($C110),"",IF(_xll.BDP($C110,M$72)="#N/A N/A","NA ",_xll.BDP($C110,M$72))),M110)</f>
        <v>5/16/2016</v>
      </c>
      <c r="N110" s="347" t="str" cm="1">
        <f t="array" aca="1" ref="N110" ca="1">IF(BBswitch=1,IF(ISBLANK($C110),"",IF(_xll.BDP($C110,N$72)="#N/A Field Not Applicable","Notes",_xll.BDP($C110,N$72))),N110)</f>
        <v>Notes</v>
      </c>
      <c r="O110" s="348" cm="1">
        <f t="array" aca="1" ref="O110" ca="1">IF(BBswitch=1,IF(ISBLANK($C110),"",IFERROR(IF(_xll.BDP($C110,O$72)="#N/A N/A","NA ",_xll.BDP($C110,O$72)/10^6),0)/P110),O110)</f>
        <v>0</v>
      </c>
      <c r="P110" s="349" cm="1">
        <f t="array" aca="1" ref="P110" ca="1">+IF(BBswitch=1,IF(ISBLANK($C110),"",IF(_xll.BDP("USD"&amp;Q110&amp;" BGN Curncy","px last")="#N/A Invalid Security",1,_xll.BDP("USD"&amp;Q110&amp;" BGN Curncy","px last"))),P110)</f>
        <v>1</v>
      </c>
      <c r="Q110" s="350" t="str">
        <f ca="1">IF(BBswitch=1,IF(ISBLANK($C110),"",IF(_xll.BDP($C110,Q$72)="#N/A N/A","NA ",_xll.BDP($C110,Q$72))),Q110)</f>
        <v>USD</v>
      </c>
      <c r="R110" s="351" t="str" cm="1">
        <f t="array" aca="1" ref="R110" ca="1">IF(BBswitch=1,IF(ISBLANK($C110),"",IF(OR(_xll.BDP($C110,R$72)="#N/A Field Not Applicable",_xll.BDP($C110,R$72)="#N/A N/A"),"",_xll.BDP($C110,R$72))),R110)</f>
        <v/>
      </c>
      <c r="S110" s="351" cm="1">
        <f t="array" aca="1" ref="S110" ca="1">IF(BBswitch=1,IF(ISBLANK($C110),"",IF(OR(_xll.BDP($C110,S$72)="#N/A Field Not Applicable",_xll.BDP($C110,S$72)="#N/A N/A"),"",_xll.BDP($C110,S$72))),S110)</f>
        <v>248.97931384712663</v>
      </c>
      <c r="T110" s="351" t="str" cm="1">
        <f t="array" aca="1" ref="T110" ca="1">IF(BBswitch=1,IF(ISBLANK($C110),"",IF(OR(_xll.BDP($C110,T$72)="#N/A Field Not Applicable",_xll.BDP($C110,T$72)="#N/A N/A"),"",_xll.BDP($C110,T$72))),T110)</f>
        <v/>
      </c>
      <c r="U110" s="351" cm="1">
        <f t="array" aca="1" ref="U110" ca="1">IF(BBswitch=1,IF(ISBLANK($C110),"",IF(OR(_xll.BDP($C110,U$72)="#N/A Field Not Applicable",_xll.BDP($C110,U$72)="#N/A N/A"),"",_xll.BDP($C110,U$72))),U110)</f>
        <v>4.3110034347864703</v>
      </c>
      <c r="V110" s="352" t="str">
        <f ca="1">IF(BBswitch=1,IF(ISBLANK($C110),"",IF(_xll.BDP($C110,V$72)="#N/A N/A","NA ",_xll.BDP($C110,V$72))),V110)</f>
        <v>1st lien</v>
      </c>
      <c r="W110" s="353" t="str" cm="1">
        <f t="array" aca="1" ref="W110" ca="1">IF(BBswitch=1,IF(ISBLANK($C110),"",IF(_xll.BDP($C110,W$72)="#N/A N/A","NA ",_xll.BDP($C110,W$72))),W110)</f>
        <v>American Airlines 2016-2 Class AA Pass Through Trust</v>
      </c>
      <c r="X110" s="343" t="str">
        <f ca="1">IF(BBswitch=1,IF(ISBLANK($C110),"",IF(_xll.BDP($C110,X$73)="#N/A N/A","NA ",_xll.BDP($C110,X$73))),X110)</f>
        <v>AAL 3.2 28</v>
      </c>
    </row>
    <row r="111" spans="3:24">
      <c r="C111" s="6" t="s">
        <v>1658</v>
      </c>
      <c r="D111" s="343" t="str">
        <f ca="1">IF(BBswitch=1,IF(ISBLANK($C111),"",IF(_xll.BDP($C111,D$73)="#N/A N/A","NA ",_xll.BDP($C111,D$73))),D111)</f>
        <v>AAL 4.375 24</v>
      </c>
      <c r="E111" s="344" t="str">
        <f ca="1">IF(BBswitch=1,IF(ISBLANK($C111),"",IF(_xll.BDP($C111,E$73)="#N/A N/A","NA ",_xll.BDP($C111,E$73))),E111)</f>
        <v xml:space="preserve">NA </v>
      </c>
      <c r="F111" s="354">
        <f ca="1">IF(BBswitch=1,IF(ISBLANK($C111),"",IF(_xll.BDP($C111,F$72)="#N/A N/A","NA ",_xll.BDP($C111,F$72)/10^6)/P111),F111)</f>
        <v>114.609245</v>
      </c>
      <c r="G111" s="1022">
        <f ca="1">IF(BBswitch=1,IF(ISBLANK($C111),"",IF(_xll.BDP($C111,G$72)="#N/A N/A","NA ",_xll.BDP($C111,G$72)/100)),G111)</f>
        <v>4.3749999999999997E-2</v>
      </c>
      <c r="H111" s="355">
        <f ca="1">IF(BBswitch=1,IF(ISBLANK($C111),"",IF(_xll.BDP($C111,H$72)="#N/A N/A","NA ",_xll.BDP($C111,H$72)/100)),H111)</f>
        <v>0.91166999999999998</v>
      </c>
      <c r="I111" s="355">
        <f ca="1">IF(BBswitch=1,IF(ISBLANK($C111),"",IF(_xll.BDP($C111,I$72)="#N/A N/A","NA ",_xll.BDP($C111,I$72)/100)),I111)</f>
        <v>4.8169556840077073E-2</v>
      </c>
      <c r="J111" s="355">
        <f ca="1">IF(BBswitch=1,IF(ISBLANK($C111),"",IF(_xll.BDP($C111,J$72)="#N/A N/A","NA ",_xll.BDP($C111,J$72)/100)),J111)</f>
        <v>0.10697574912395268</v>
      </c>
      <c r="K111" s="345" t="str">
        <f ca="1">IF(BBswitch=1,IF(ISBLANK($C111),"",IF(_xll.BDP($C111,K$72)="#N/A N/A","NA ",_xll.BDP($C111,K$72))),K111)</f>
        <v>6/15/2024</v>
      </c>
      <c r="L111" s="346" t="e">
        <f t="shared" ca="1" si="6"/>
        <v>#VALUE!</v>
      </c>
      <c r="M111" s="345" t="str">
        <f ca="1">IF(BBswitch=1,IF(ISBLANK($C111),"",IF(_xll.BDP($C111,M$72)="#N/A N/A","NA ",_xll.BDP($C111,M$72))),M111)</f>
        <v>7/8/2016</v>
      </c>
      <c r="N111" s="347" t="str" cm="1">
        <f t="array" aca="1" ref="N111" ca="1">IF(BBswitch=1,IF(ISBLANK($C111),"",IF(_xll.BDP($C111,N$72)="#N/A Field Not Applicable","Notes",_xll.BDP($C111,N$72))),N111)</f>
        <v>Notes</v>
      </c>
      <c r="O111" s="348" cm="1">
        <f t="array" aca="1" ref="O111" ca="1">IF(BBswitch=1,IF(ISBLANK($C111),"",IFERROR(IF(_xll.BDP($C111,O$72)="#N/A N/A","NA ",_xll.BDP($C111,O$72)/10^6),0)/P111),O111)</f>
        <v>0</v>
      </c>
      <c r="P111" s="349" cm="1">
        <f t="array" aca="1" ref="P111" ca="1">+IF(BBswitch=1,IF(ISBLANK($C111),"",IF(_xll.BDP("USD"&amp;Q111&amp;" BGN Curncy","px last")="#N/A Invalid Security",1,_xll.BDP("USD"&amp;Q111&amp;" BGN Curncy","px last"))),P111)</f>
        <v>1</v>
      </c>
      <c r="Q111" s="350" t="str">
        <f ca="1">IF(BBswitch=1,IF(ISBLANK($C111),"",IF(_xll.BDP($C111,Q$72)="#N/A N/A","NA ",_xll.BDP($C111,Q$72))),Q111)</f>
        <v>USD</v>
      </c>
      <c r="R111" s="351" t="str" cm="1">
        <f t="array" aca="1" ref="R111" ca="1">IF(BBswitch=1,IF(ISBLANK($C111),"",IF(OR(_xll.BDP($C111,R$72)="#N/A Field Not Applicable",_xll.BDP($C111,R$72)="#N/A N/A"),"",_xll.BDP($C111,R$72))),R111)</f>
        <v/>
      </c>
      <c r="S111" s="351" cm="1">
        <f t="array" aca="1" ref="S111" ca="1">IF(BBswitch=1,IF(ISBLANK($C111),"",IF(OR(_xll.BDP($C111,S$72)="#N/A Field Not Applicable",_xll.BDP($C111,S$72)="#N/A N/A"),"",_xll.BDP($C111,S$72))),S111)</f>
        <v>724.80567201467056</v>
      </c>
      <c r="T111" s="351" t="str" cm="1">
        <f t="array" aca="1" ref="T111" ca="1">IF(BBswitch=1,IF(ISBLANK($C111),"",IF(OR(_xll.BDP($C111,T$72)="#N/A Field Not Applicable",_xll.BDP($C111,T$72)="#N/A N/A"),"",_xll.BDP($C111,T$72))),T111)</f>
        <v/>
      </c>
      <c r="U111" s="351" cm="1">
        <f t="array" aca="1" ref="U111" ca="1">IF(BBswitch=1,IF(ISBLANK($C111),"",IF(OR(_xll.BDP($C111,U$72)="#N/A Field Not Applicable",_xll.BDP($C111,U$72)="#N/A N/A"),"",_xll.BDP($C111,U$72))),U111)</f>
        <v>1.4890377088565385</v>
      </c>
      <c r="V111" s="352" t="str">
        <f ca="1">IF(BBswitch=1,IF(ISBLANK($C111),"",IF(_xll.BDP($C111,V$72)="#N/A N/A","NA ",_xll.BDP($C111,V$72))),V111)</f>
        <v>3rd lien</v>
      </c>
      <c r="W111" s="353" t="str" cm="1">
        <f t="array" aca="1" ref="W111" ca="1">IF(BBswitch=1,IF(ISBLANK($C111),"",IF(_xll.BDP($C111,W$72)="#N/A N/A","NA ",_xll.BDP($C111,W$72))),W111)</f>
        <v>American Airlines 2016-2 Class B Pass Through Trust</v>
      </c>
      <c r="X111" s="343" t="str">
        <f ca="1">IF(BBswitch=1,IF(ISBLANK($C111),"",IF(_xll.BDP($C111,X$73)="#N/A N/A","NA ",_xll.BDP($C111,X$73))),X111)</f>
        <v>AAL 4.375 24</v>
      </c>
    </row>
    <row r="112" spans="3:24">
      <c r="C112" s="6" t="s">
        <v>1644</v>
      </c>
      <c r="D112" s="343" t="str">
        <f ca="1">IF(BBswitch=1,IF(ISBLANK($C112),"",IF(_xll.BDP($C112,D$73)="#N/A N/A","NA ",_xll.BDP($C112,D$73))),D112)</f>
        <v>AAL 3.375 27</v>
      </c>
      <c r="E112" s="344" t="str">
        <f ca="1">IF(BBswitch=1,IF(ISBLANK($C112),"",IF(_xll.BDP($C112,E$73)="#N/A N/A","NA ",_xll.BDP($C112,E$73))),E112)</f>
        <v xml:space="preserve">NA </v>
      </c>
      <c r="F112" s="354">
        <f ca="1">IF(BBswitch=1,IF(ISBLANK($C112),"",IF(_xll.BDP($C112,F$72)="#N/A N/A","NA ",_xll.BDP($C112,F$72)/10^6)/P112),F112)</f>
        <v>617.06704266000008</v>
      </c>
      <c r="G112" s="1022">
        <f ca="1">IF(BBswitch=1,IF(ISBLANK($C112),"",IF(_xll.BDP($C112,G$72)="#N/A N/A","NA ",_xll.BDP($C112,G$72)/100)),G112)</f>
        <v>3.3750000000000002E-2</v>
      </c>
      <c r="H112" s="355">
        <f ca="1">IF(BBswitch=1,IF(ISBLANK($C112),"",IF(_xll.BDP($C112,H$72)="#N/A N/A","NA ",_xll.BDP($C112,H$72)/100)),H112)</f>
        <v>0.87778</v>
      </c>
      <c r="I112" s="355">
        <f ca="1">IF(BBswitch=1,IF(ISBLANK($C112),"",IF(_xll.BDP($C112,I$72)="#N/A N/A","NA ",_xll.BDP($C112,I$72)/100)),I112)</f>
        <v>3.9052556062113816E-2</v>
      </c>
      <c r="J112" s="355">
        <f ca="1">IF(BBswitch=1,IF(ISBLANK($C112),"",IF(_xll.BDP($C112,J$72)="#N/A N/A","NA ",_xll.BDP($C112,J$72)/100)),J112)</f>
        <v>7.5247697701586208E-2</v>
      </c>
      <c r="K112" s="345" t="str">
        <f ca="1">IF(BBswitch=1,IF(ISBLANK($C112),"",IF(_xll.BDP($C112,K$72)="#N/A N/A","NA ",_xll.BDP($C112,K$72))),K112)</f>
        <v>5/1/2027</v>
      </c>
      <c r="L112" s="346">
        <f ca="1">IF(ISBLANK($C112),"",YEAR(K112))</f>
        <v>2027</v>
      </c>
      <c r="M112" s="345" t="str">
        <f ca="1">IF(BBswitch=1,IF(ISBLANK($C112),"",IF(_xll.BDP($C112,M$72)="#N/A N/A","NA ",_xll.BDP($C112,M$72))),M112)</f>
        <v>3/16/2015</v>
      </c>
      <c r="N112" s="347" t="str" cm="1">
        <f t="array" aca="1" ref="N112" ca="1">IF(BBswitch=1,IF(ISBLANK($C112),"",IF(_xll.BDP($C112,N$72)="#N/A Field Not Applicable","Notes",_xll.BDP($C112,N$72))),N112)</f>
        <v>Notes</v>
      </c>
      <c r="O112" s="348" cm="1">
        <f t="array" aca="1" ref="O112" ca="1">IF(BBswitch=1,IF(ISBLANK($C112),"",IFERROR(IF(_xll.BDP($C112,O$72)="#N/A N/A","NA ",_xll.BDP($C112,O$72)/10^6),0)/P112),O112)</f>
        <v>0</v>
      </c>
      <c r="P112" s="349" cm="1">
        <f t="array" aca="1" ref="P112" ca="1">+IF(BBswitch=1,IF(ISBLANK($C112),"",IF(_xll.BDP("USD"&amp;Q112&amp;" BGN Curncy","px last")="#N/A Invalid Security",1,_xll.BDP("USD"&amp;Q112&amp;" BGN Curncy","px last"))),P112)</f>
        <v>1</v>
      </c>
      <c r="Q112" s="350" t="str">
        <f ca="1">IF(BBswitch=1,IF(ISBLANK($C112),"",IF(_xll.BDP($C112,Q$72)="#N/A N/A","NA ",_xll.BDP($C112,Q$72))),Q112)</f>
        <v>USD</v>
      </c>
      <c r="R112" s="351" t="str" cm="1">
        <f t="array" aca="1" ref="R112" ca="1">IF(BBswitch=1,IF(ISBLANK($C112),"",IF(OR(_xll.BDP($C112,R$72)="#N/A Field Not Applicable",_xll.BDP($C112,R$72)="#N/A N/A"),"",_xll.BDP($C112,R$72))),R112)</f>
        <v/>
      </c>
      <c r="S112" s="351" cm="1">
        <f t="array" aca="1" ref="S112" ca="1">IF(BBswitch=1,IF(ISBLANK($C112),"",IF(OR(_xll.BDP($C112,S$72)="#N/A Field Not Applicable",_xll.BDP($C112,S$72)="#N/A N/A"),"",_xll.BDP($C112,S$72))),S112)</f>
        <v>414.45279522250041</v>
      </c>
      <c r="T112" s="351" t="str" cm="1">
        <f t="array" aca="1" ref="T112" ca="1">IF(BBswitch=1,IF(ISBLANK($C112),"",IF(OR(_xll.BDP($C112,T$72)="#N/A Field Not Applicable",_xll.BDP($C112,T$72)="#N/A N/A"),"",_xll.BDP($C112,T$72))),T112)</f>
        <v/>
      </c>
      <c r="U112" s="351" cm="1">
        <f t="array" aca="1" ref="U112" ca="1">IF(BBswitch=1,IF(ISBLANK($C112),"",IF(OR(_xll.BDP($C112,U$72)="#N/A Field Not Applicable",_xll.BDP($C112,U$72)="#N/A N/A"),"",_xll.BDP($C112,U$72))),U112)</f>
        <v>3.4127218852732217</v>
      </c>
      <c r="V112" s="352" t="str">
        <f ca="1">IF(BBswitch=1,IF(ISBLANK($C112),"",IF(_xll.BDP($C112,V$72)="#N/A N/A","NA ",_xll.BDP($C112,V$72))),V112)</f>
        <v>1st lien</v>
      </c>
      <c r="W112" s="353" t="str" cm="1">
        <f t="array" aca="1" ref="W112" ca="1">IF(BBswitch=1,IF(ISBLANK($C112),"",IF(_xll.BDP($C112,W$72)="#N/A N/A","NA ",_xll.BDP($C112,W$72))),W112)</f>
        <v>American Airlines 2015-1 Class A Pass Through Trust</v>
      </c>
      <c r="X112" s="343" t="str">
        <f ca="1">IF(BBswitch=1,IF(ISBLANK($C112),"",IF(_xll.BDP($C112,X$73)="#N/A N/A","NA ",_xll.BDP($C112,X$73))),X112)</f>
        <v>AAL 3.375 27</v>
      </c>
    </row>
    <row r="113" spans="3:24">
      <c r="C113" s="6" t="s">
        <v>1660</v>
      </c>
      <c r="D113" s="343" t="str">
        <f ca="1">IF(BBswitch=1,IF(ISBLANK($C113),"",IF(_xll.BDP($C113,D$73)="#N/A N/A","NA ",_xll.BDP($C113,D$73))),D113)</f>
        <v>AAL 3.7 23</v>
      </c>
      <c r="E113" s="344" t="str">
        <f ca="1">IF(BBswitch=1,IF(ISBLANK($C113),"",IF(_xll.BDP($C113,E$73)="#N/A N/A","NA ",_xll.BDP($C113,E$73))),E113)</f>
        <v xml:space="preserve">NA </v>
      </c>
      <c r="F113" s="354">
        <f ca="1">IF(BBswitch=1,IF(ISBLANK($C113),"",IF(_xll.BDP($C113,F$72)="#N/A N/A","NA ",_xll.BDP($C113,F$72)/10^6)/P113),F113)</f>
        <v>103.904034</v>
      </c>
      <c r="G113" s="1022">
        <f ca="1">IF(BBswitch=1,IF(ISBLANK($C113),"",IF(_xll.BDP($C113,G$72)="#N/A N/A","NA ",_xll.BDP($C113,G$72)/100)),G113)</f>
        <v>3.7000000000000005E-2</v>
      </c>
      <c r="H113" s="355">
        <f ca="1">IF(BBswitch=1,IF(ISBLANK($C113),"",IF(_xll.BDP($C113,H$72)="#N/A N/A","NA ",_xll.BDP($C113,H$72)/100)),H113)</f>
        <v>0.97793999999999992</v>
      </c>
      <c r="I113" s="355">
        <f ca="1">IF(BBswitch=1,IF(ISBLANK($C113),"",IF(_xll.BDP($C113,I$72)="#N/A N/A","NA ",_xll.BDP($C113,I$72)/100)),I113)</f>
        <v>3.7992750572458336E-2</v>
      </c>
      <c r="J113" s="355">
        <f ca="1">IF(BBswitch=1,IF(ISBLANK($C113),"",IF(_xll.BDP($C113,J$72)="#N/A N/A","NA ",_xll.BDP($C113,J$72)/100)),J113)</f>
        <v>7.4775280774723146E-2</v>
      </c>
      <c r="K113" s="345" t="str">
        <f ca="1">IF(BBswitch=1,IF(ISBLANK($C113),"",IF(_xll.BDP($C113,K$72)="#N/A N/A","NA ",_xll.BDP($C113,K$72))),K113)</f>
        <v>5/1/2023</v>
      </c>
      <c r="L113" s="346">
        <f ca="1">IF(ISBLANK($C113),"",YEAR(K113))</f>
        <v>2023</v>
      </c>
      <c r="M113" s="345" t="str">
        <f ca="1">IF(BBswitch=1,IF(ISBLANK($C113),"",IF(_xll.BDP($C113,M$72)="#N/A N/A","NA ",_xll.BDP($C113,M$72))),M113)</f>
        <v>3/16/2015</v>
      </c>
      <c r="N113" s="347" t="str" cm="1">
        <f t="array" aca="1" ref="N113" ca="1">IF(BBswitch=1,IF(ISBLANK($C113),"",IF(_xll.BDP($C113,N$72)="#N/A Field Not Applicable","Notes",_xll.BDP($C113,N$72))),N113)</f>
        <v>Notes</v>
      </c>
      <c r="O113" s="348" cm="1">
        <f t="array" aca="1" ref="O113" ca="1">IF(BBswitch=1,IF(ISBLANK($C113),"",IFERROR(IF(_xll.BDP($C113,O$72)="#N/A N/A","NA ",_xll.BDP($C113,O$72)/10^6),0)/P113),O113)</f>
        <v>0</v>
      </c>
      <c r="P113" s="349" cm="1">
        <f t="array" aca="1" ref="P113" ca="1">+IF(BBswitch=1,IF(ISBLANK($C113),"",IF(_xll.BDP("USD"&amp;Q113&amp;" BGN Curncy","px last")="#N/A Invalid Security",1,_xll.BDP("USD"&amp;Q113&amp;" BGN Curncy","px last"))),P113)</f>
        <v>1</v>
      </c>
      <c r="Q113" s="350" t="str">
        <f ca="1">IF(BBswitch=1,IF(ISBLANK($C113),"",IF(_xll.BDP($C113,Q$72)="#N/A N/A","NA ",_xll.BDP($C113,Q$72))),Q113)</f>
        <v>USD</v>
      </c>
      <c r="R113" s="351" t="str" cm="1">
        <f t="array" aca="1" ref="R113" ca="1">IF(BBswitch=1,IF(ISBLANK($C113),"",IF(OR(_xll.BDP($C113,R$72)="#N/A Field Not Applicable",_xll.BDP($C113,R$72)="#N/A N/A"),"",_xll.BDP($C113,R$72))),R113)</f>
        <v/>
      </c>
      <c r="S113" s="351" cm="1">
        <f t="array" aca="1" ref="S113" ca="1">IF(BBswitch=1,IF(ISBLANK($C113),"",IF(OR(_xll.BDP($C113,S$72)="#N/A Field Not Applicable",_xll.BDP($C113,S$72)="#N/A N/A"),"",_xll.BDP($C113,S$72))),S113)</f>
        <v>387.63488841501214</v>
      </c>
      <c r="T113" s="351" t="str" cm="1">
        <f t="array" aca="1" ref="T113" ca="1">IF(BBswitch=1,IF(ISBLANK($C113),"",IF(OR(_xll.BDP($C113,T$72)="#N/A Field Not Applicable",_xll.BDP($C113,T$72)="#N/A N/A"),"",_xll.BDP($C113,T$72))),T113)</f>
        <v/>
      </c>
      <c r="U113" s="351" cm="1">
        <f t="array" aca="1" ref="U113" ca="1">IF(BBswitch=1,IF(ISBLANK($C113),"",IF(OR(_xll.BDP($C113,U$72)="#N/A Field Not Applicable",_xll.BDP($C113,U$72)="#N/A N/A"),"",_xll.BDP($C113,U$72))),U113)</f>
        <v>0.68973476796102018</v>
      </c>
      <c r="V113" s="352" t="str">
        <f ca="1">IF(BBswitch=1,IF(ISBLANK($C113),"",IF(_xll.BDP($C113,V$72)="#N/A N/A","NA ",_xll.BDP($C113,V$72))),V113)</f>
        <v>2nd lien</v>
      </c>
      <c r="W113" s="353" t="str" cm="1">
        <f t="array" aca="1" ref="W113" ca="1">IF(BBswitch=1,IF(ISBLANK($C113),"",IF(_xll.BDP($C113,W$72)="#N/A N/A","NA ",_xll.BDP($C113,W$72))),W113)</f>
        <v>American Airlines 2015-1 Class B Pass Through Trust</v>
      </c>
      <c r="X113" s="343" t="str">
        <f ca="1">IF(BBswitch=1,IF(ISBLANK($C113),"",IF(_xll.BDP($C113,X$73)="#N/A N/A","NA ",_xll.BDP($C113,X$73))),X113)</f>
        <v>AAL 3.7 23</v>
      </c>
    </row>
    <row r="114" spans="3:24">
      <c r="C114" s="6" t="s">
        <v>1636</v>
      </c>
      <c r="D114" s="343" t="str">
        <f ca="1">IF(BBswitch=1,IF(ISBLANK($C114),"",IF(_xll.BDP($C114,D$73)="#N/A N/A","NA ",_xll.BDP($C114,D$73))),D114)</f>
        <v>AAL 6.25 23</v>
      </c>
      <c r="E114" s="344" t="str">
        <f ca="1">IF(BBswitch=1,IF(ISBLANK($C114),"",IF(_xll.BDP($C114,E$73)="#N/A N/A","NA ",_xll.BDP($C114,E$73))),E114)</f>
        <v xml:space="preserve">NA </v>
      </c>
      <c r="F114" s="354">
        <f ca="1">IF(BBswitch=1,IF(ISBLANK($C114),"",IF(_xll.BDP($C114,F$72)="#N/A N/A","NA ",_xll.BDP($C114,F$72)/10^6)/P114),F114)</f>
        <v>76.188745209999908</v>
      </c>
      <c r="G114" s="1022">
        <f ca="1">IF(BBswitch=1,IF(ISBLANK($C114),"",IF(_xll.BDP($C114,G$72)="#N/A N/A","NA ",_xll.BDP($C114,G$72)/100)),G114)</f>
        <v>6.25E-2</v>
      </c>
      <c r="H114" s="355">
        <f ca="1">IF(BBswitch=1,IF(ISBLANK($C114),"",IF(_xll.BDP($C114,H$72)="#N/A N/A","NA ",_xll.BDP($C114,H$72)/100)),H114)</f>
        <v>0.99620999999999993</v>
      </c>
      <c r="I114" s="355">
        <f ca="1">IF(BBswitch=1,IF(ISBLANK($C114),"",IF(_xll.BDP($C114,I$72)="#N/A N/A","NA ",_xll.BDP($C114,I$72)/100)),I114)</f>
        <v>6.2850706944751714E-2</v>
      </c>
      <c r="J114" s="355">
        <f ca="1">IF(BBswitch=1,IF(ISBLANK($C114),"",IF(_xll.BDP($C114,J$72)="#N/A N/A","NA ",_xll.BDP($C114,J$72)/100)),J114)</f>
        <v>7.0682980292899891E-2</v>
      </c>
      <c r="K114" s="345" t="str">
        <f ca="1">IF(BBswitch=1,IF(ISBLANK($C114),"",IF(_xll.BDP($C114,K$72)="#N/A N/A","NA ",_xll.BDP($C114,K$72))),K114)</f>
        <v>4/22/2023</v>
      </c>
      <c r="L114" s="346" t="e">
        <f ca="1">IF(ISBLANK($C114),"",YEAR(K114))</f>
        <v>#VALUE!</v>
      </c>
      <c r="M114" s="345" t="str">
        <f ca="1">IF(BBswitch=1,IF(ISBLANK($C114),"",IF(_xll.BDP($C114,M$72)="#N/A N/A","NA ",_xll.BDP($C114,M$72))),M114)</f>
        <v>12/21/2010</v>
      </c>
      <c r="N114" s="347" t="str" cm="1">
        <f t="array" aca="1" ref="N114" ca="1">IF(BBswitch=1,IF(ISBLANK($C114),"",IF(_xll.BDP($C114,N$72)="#N/A Field Not Applicable","Notes",_xll.BDP($C114,N$72))),N114)</f>
        <v>Notes</v>
      </c>
      <c r="O114" s="348" cm="1">
        <f t="array" aca="1" ref="O114" ca="1">IF(BBswitch=1,IF(ISBLANK($C114),"",IFERROR(IF(_xll.BDP($C114,O$72)="#N/A N/A","NA ",_xll.BDP($C114,O$72)/10^6),0)/P114),O114)</f>
        <v>0</v>
      </c>
      <c r="P114" s="349" cm="1">
        <f t="array" aca="1" ref="P114" ca="1">+IF(BBswitch=1,IF(ISBLANK($C114),"",IF(_xll.BDP("USD"&amp;Q114&amp;" BGN Curncy","px last")="#N/A Invalid Security",1,_xll.BDP("USD"&amp;Q114&amp;" BGN Curncy","px last"))),P114)</f>
        <v>1</v>
      </c>
      <c r="Q114" s="350" t="str">
        <f ca="1">IF(BBswitch=1,IF(ISBLANK($C114),"",IF(_xll.BDP($C114,Q$72)="#N/A N/A","NA ",_xll.BDP($C114,Q$72))),Q114)</f>
        <v>USD</v>
      </c>
      <c r="R114" s="351" t="str" cm="1">
        <f t="array" aca="1" ref="R114" ca="1">IF(BBswitch=1,IF(ISBLANK($C114),"",IF(OR(_xll.BDP($C114,R$72)="#N/A Field Not Applicable",_xll.BDP($C114,R$72)="#N/A N/A"),"",_xll.BDP($C114,R$72))),R114)</f>
        <v/>
      </c>
      <c r="S114" s="351" cm="1">
        <f t="array" aca="1" ref="S114" ca="1">IF(BBswitch=1,IF(ISBLANK($C114),"",IF(OR(_xll.BDP($C114,S$72)="#N/A Field Not Applicable",_xll.BDP($C114,S$72)="#N/A N/A"),"",_xll.BDP($C114,S$72))),S114)</f>
        <v>380.90710465985131</v>
      </c>
      <c r="T114" s="351" t="str" cm="1">
        <f t="array" aca="1" ref="T114" ca="1">IF(BBswitch=1,IF(ISBLANK($C114),"",IF(OR(_xll.BDP($C114,T$72)="#N/A Field Not Applicable",_xll.BDP($C114,T$72)="#N/A N/A"),"",_xll.BDP($C114,T$72))),T114)</f>
        <v/>
      </c>
      <c r="U114" s="351" cm="1">
        <f t="array" aca="1" ref="U114" ca="1">IF(BBswitch=1,IF(ISBLANK($C114),"",IF(OR(_xll.BDP($C114,U$72)="#N/A Field Not Applicable",_xll.BDP($C114,U$72)="#N/A N/A"),"",_xll.BDP($C114,U$72))),U114)</f>
        <v>0.65877403666506529</v>
      </c>
      <c r="V114" s="352" t="str">
        <f ca="1">IF(BBswitch=1,IF(ISBLANK($C114),"",IF(_xll.BDP($C114,V$72)="#N/A N/A","NA ",_xll.BDP($C114,V$72))),V114)</f>
        <v>1st lien</v>
      </c>
      <c r="W114" s="353" t="str" cm="1">
        <f t="array" aca="1" ref="W114" ca="1">IF(BBswitch=1,IF(ISBLANK($C114),"",IF(_xll.BDP($C114,W$72)="#N/A N/A","NA ",_xll.BDP($C114,W$72))),W114)</f>
        <v>US Airways 2010-1 Class A Pass Through Trust</v>
      </c>
      <c r="X114" s="343" t="str">
        <f ca="1">IF(BBswitch=1,IF(ISBLANK($C114),"",IF(_xll.BDP($C114,X$73)="#N/A N/A","NA ",_xll.BDP($C114,X$73))),X114)</f>
        <v>AAL 6.25 23</v>
      </c>
    </row>
    <row r="115" spans="3:24">
      <c r="C115" s="6" t="s">
        <v>1651</v>
      </c>
      <c r="D115" s="343" t="str">
        <f ca="1">IF(BBswitch=1,IF(ISBLANK($C115),"",IF(_xll.BDP($C115,D$73)="#N/A N/A","NA ",_xll.BDP($C115,D$73))),D115)</f>
        <v>AAL 3.5 32</v>
      </c>
      <c r="E115" s="344" t="str">
        <f ca="1">IF(BBswitch=1,IF(ISBLANK($C115),"",IF(_xll.BDP($C115,E$73)="#N/A N/A","NA ",_xll.BDP($C115,E$73))),E115)</f>
        <v xml:space="preserve">NA </v>
      </c>
      <c r="F115" s="354">
        <f ca="1">IF(BBswitch=1,IF(ISBLANK($C115),"",IF(_xll.BDP($C115,F$72)="#N/A N/A","NA ",_xll.BDP($C115,F$72)/10^6)/P115),F115)</f>
        <v>257.98368081000001</v>
      </c>
      <c r="G115" s="1022">
        <f ca="1">IF(BBswitch=1,IF(ISBLANK($C115),"",IF(_xll.BDP($C115,G$72)="#N/A N/A","NA ",_xll.BDP($C115,G$72)/100)),G115)</f>
        <v>3.5000000000000003E-2</v>
      </c>
      <c r="H115" s="355">
        <f ca="1">IF(BBswitch=1,IF(ISBLANK($C115),"",IF(_xll.BDP($C115,H$72)="#N/A N/A","NA ",_xll.BDP($C115,H$72)/100)),H115)</f>
        <v>0.75819000000000003</v>
      </c>
      <c r="I115" s="355">
        <f ca="1">IF(BBswitch=1,IF(ISBLANK($C115),"",IF(_xll.BDP($C115,I$72)="#N/A N/A","NA ",_xll.BDP($C115,I$72)/100)),I115)</f>
        <v>4.6365599374726771E-2</v>
      </c>
      <c r="J115" s="355">
        <f ca="1">IF(BBswitch=1,IF(ISBLANK($C115),"",IF(_xll.BDP($C115,J$72)="#N/A N/A","NA ",_xll.BDP($C115,J$72)/100)),J115)</f>
        <v>8.6947541574319234E-2</v>
      </c>
      <c r="K115" s="345" t="str">
        <f ca="1">IF(BBswitch=1,IF(ISBLANK($C115),"",IF(_xll.BDP($C115,K$72)="#N/A N/A","NA ",_xll.BDP($C115,K$72))),K115)</f>
        <v>2/15/2032</v>
      </c>
      <c r="L115" s="346" t="e">
        <f t="shared" ref="L115:L135" ca="1" si="9">IF(ISBLANK($C115),"",YEAR(K115))</f>
        <v>#VALUE!</v>
      </c>
      <c r="M115" s="345" t="str">
        <f ca="1">IF(BBswitch=1,IF(ISBLANK($C115),"",IF(_xll.BDP($C115,M$72)="#N/A N/A","NA ",_xll.BDP($C115,M$72))),M115)</f>
        <v>8/15/2019</v>
      </c>
      <c r="N115" s="347" t="str" cm="1">
        <f t="array" aca="1" ref="N115" ca="1">IF(BBswitch=1,IF(ISBLANK($C115),"",IF(_xll.BDP($C115,N$72)="#N/A Field Not Applicable","Notes",_xll.BDP($C115,N$72))),N115)</f>
        <v>Notes</v>
      </c>
      <c r="O115" s="348" cm="1">
        <f t="array" aca="1" ref="O115" ca="1">IF(BBswitch=1,IF(ISBLANK($C115),"",IFERROR(IF(_xll.BDP($C115,O$72)="#N/A N/A","NA ",_xll.BDP($C115,O$72)/10^6),0)/P115),O115)</f>
        <v>0</v>
      </c>
      <c r="P115" s="349" cm="1">
        <f t="array" aca="1" ref="P115" ca="1">+IF(BBswitch=1,IF(ISBLANK($C115),"",IF(_xll.BDP("USD"&amp;Q115&amp;" BGN Curncy","px last")="#N/A Invalid Security",1,_xll.BDP("USD"&amp;Q115&amp;" BGN Curncy","px last"))),P115)</f>
        <v>1</v>
      </c>
      <c r="Q115" s="350" t="str">
        <f ca="1">IF(BBswitch=1,IF(ISBLANK($C115),"",IF(_xll.BDP($C115,Q$72)="#N/A N/A","NA ",_xll.BDP($C115,Q$72))),Q115)</f>
        <v>USD</v>
      </c>
      <c r="R115" s="351" t="str" cm="1">
        <f t="array" aca="1" ref="R115" ca="1">IF(BBswitch=1,IF(ISBLANK($C115),"",IF(OR(_xll.BDP($C115,R$72)="#N/A Field Not Applicable",_xll.BDP($C115,R$72)="#N/A N/A"),"",_xll.BDP($C115,R$72))),R115)</f>
        <v/>
      </c>
      <c r="S115" s="351" cm="1">
        <f t="array" aca="1" ref="S115" ca="1">IF(BBswitch=1,IF(ISBLANK($C115),"",IF(OR(_xll.BDP($C115,S$72)="#N/A Field Not Applicable",_xll.BDP($C115,S$72)="#N/A N/A"),"",_xll.BDP($C115,S$72))),S115)</f>
        <v>556.21952781115999</v>
      </c>
      <c r="T115" s="351" t="str" cm="1">
        <f t="array" aca="1" ref="T115" ca="1">IF(BBswitch=1,IF(ISBLANK($C115),"",IF(OR(_xll.BDP($C115,T$72)="#N/A Field Not Applicable",_xll.BDP($C115,T$72)="#N/A N/A"),"",_xll.BDP($C115,T$72))),T115)</f>
        <v/>
      </c>
      <c r="U115" s="351" cm="1">
        <f t="array" aca="1" ref="U115" ca="1">IF(BBswitch=1,IF(ISBLANK($C115),"",IF(OR(_xll.BDP($C115,U$72)="#N/A Field Not Applicable",_xll.BDP($C115,U$72)="#N/A N/A"),"",_xll.BDP($C115,U$72))),U115)</f>
        <v>4.9799924248695993</v>
      </c>
      <c r="V115" s="352" t="str">
        <f ca="1">IF(BBswitch=1,IF(ISBLANK($C115),"",IF(_xll.BDP($C115,V$72)="#N/A N/A","NA ",_xll.BDP($C115,V$72))),V115)</f>
        <v>2nd lien</v>
      </c>
      <c r="W115" s="353" t="str" cm="1">
        <f t="array" aca="1" ref="W115" ca="1">IF(BBswitch=1,IF(ISBLANK($C115),"",IF(_xll.BDP($C115,W$72)="#N/A N/A","NA ",_xll.BDP($C115,W$72))),W115)</f>
        <v>American Airlines 2019-1 Class A Pass Through Trust</v>
      </c>
      <c r="X115" s="343" t="str">
        <f ca="1">IF(BBswitch=1,IF(ISBLANK($C115),"",IF(_xll.BDP($C115,X$73)="#N/A N/A","NA ",_xll.BDP($C115,X$73))),X115)</f>
        <v>AAL 3.5 32</v>
      </c>
    </row>
    <row r="116" spans="3:24">
      <c r="C116" s="6" t="s">
        <v>1661</v>
      </c>
      <c r="D116" s="343" t="str">
        <f ca="1">IF(BBswitch=1,IF(ISBLANK($C116),"",IF(_xll.BDP($C116,D$73)="#N/A N/A","NA ",_xll.BDP($C116,D$73))),D116)</f>
        <v>AAL 3.15 32</v>
      </c>
      <c r="E116" s="344" t="str">
        <f ca="1">IF(BBswitch=1,IF(ISBLANK($C116),"",IF(_xll.BDP($C116,E$73)="#N/A N/A","NA ",_xll.BDP($C116,E$73))),E116)</f>
        <v xml:space="preserve">NA </v>
      </c>
      <c r="F116" s="354">
        <f ca="1">IF(BBswitch=1,IF(ISBLANK($C116),"",IF(_xll.BDP($C116,F$72)="#N/A N/A","NA ",_xll.BDP($C116,F$72)/10^6)/P116),F116)</f>
        <v>515.96383292999997</v>
      </c>
      <c r="G116" s="1022">
        <f ca="1">IF(BBswitch=1,IF(ISBLANK($C116),"",IF(_xll.BDP($C116,G$72)="#N/A N/A","NA ",_xll.BDP($C116,G$72)/100)),G116)</f>
        <v>3.15E-2</v>
      </c>
      <c r="H116" s="355">
        <f ca="1">IF(BBswitch=1,IF(ISBLANK($C116),"",IF(_xll.BDP($C116,H$72)="#N/A N/A","NA ",_xll.BDP($C116,H$72)/100)),H116)</f>
        <v>0.87129000000000001</v>
      </c>
      <c r="I116" s="355">
        <f ca="1">IF(BBswitch=1,IF(ISBLANK($C116),"",IF(_xll.BDP($C116,I$72)="#N/A N/A","NA ",_xll.BDP($C116,I$72)/100)),I116)</f>
        <v>3.6355662250126951E-2</v>
      </c>
      <c r="J116" s="355">
        <f ca="1">IF(BBswitch=1,IF(ISBLANK($C116),"",IF(_xll.BDP($C116,J$72)="#N/A N/A","NA ",_xll.BDP($C116,J$72)/100)),J116)</f>
        <v>5.6779759191864849E-2</v>
      </c>
      <c r="K116" s="345" t="str">
        <f ca="1">IF(BBswitch=1,IF(ISBLANK($C116),"",IF(_xll.BDP($C116,K$72)="#N/A N/A","NA ",_xll.BDP($C116,K$72))),K116)</f>
        <v>2/15/2032</v>
      </c>
      <c r="L116" s="346" t="e">
        <f t="shared" ca="1" si="9"/>
        <v>#VALUE!</v>
      </c>
      <c r="M116" s="345" t="str">
        <f ca="1">IF(BBswitch=1,IF(ISBLANK($C116),"",IF(_xll.BDP($C116,M$72)="#N/A N/A","NA ",_xll.BDP($C116,M$72))),M116)</f>
        <v>8/15/2019</v>
      </c>
      <c r="N116" s="347" t="str" cm="1">
        <f t="array" aca="1" ref="N116" ca="1">IF(BBswitch=1,IF(ISBLANK($C116),"",IF(_xll.BDP($C116,N$72)="#N/A Field Not Applicable","Notes",_xll.BDP($C116,N$72))),N116)</f>
        <v>Notes</v>
      </c>
      <c r="O116" s="348" cm="1">
        <f t="array" aca="1" ref="O116" ca="1">IF(BBswitch=1,IF(ISBLANK($C116),"",IFERROR(IF(_xll.BDP($C116,O$72)="#N/A N/A","NA ",_xll.BDP($C116,O$72)/10^6),0)/P116),O116)</f>
        <v>0</v>
      </c>
      <c r="P116" s="349" cm="1">
        <f t="array" aca="1" ref="P116" ca="1">+IF(BBswitch=1,IF(ISBLANK($C116),"",IF(_xll.BDP("USD"&amp;Q116&amp;" BGN Curncy","px last")="#N/A Invalid Security",1,_xll.BDP("USD"&amp;Q116&amp;" BGN Curncy","px last"))),P116)</f>
        <v>1</v>
      </c>
      <c r="Q116" s="350" t="str">
        <f ca="1">IF(BBswitch=1,IF(ISBLANK($C116),"",IF(_xll.BDP($C116,Q$72)="#N/A N/A","NA ",_xll.BDP($C116,Q$72))),Q116)</f>
        <v>USD</v>
      </c>
      <c r="R116" s="351" t="str" cm="1">
        <f t="array" aca="1" ref="R116" ca="1">IF(BBswitch=1,IF(ISBLANK($C116),"",IF(OR(_xll.BDP($C116,R$72)="#N/A Field Not Applicable",_xll.BDP($C116,R$72)="#N/A N/A"),"",_xll.BDP($C116,R$72))),R116)</f>
        <v/>
      </c>
      <c r="S116" s="351" cm="1">
        <f t="array" aca="1" ref="S116" ca="1">IF(BBswitch=1,IF(ISBLANK($C116),"",IF(OR(_xll.BDP($C116,S$72)="#N/A Field Not Applicable",_xll.BDP($C116,S$72)="#N/A N/A"),"",_xll.BDP($C116,S$72))),S116)</f>
        <v>251.29284652329937</v>
      </c>
      <c r="T116" s="351" t="str" cm="1">
        <f t="array" aca="1" ref="T116" ca="1">IF(BBswitch=1,IF(ISBLANK($C116),"",IF(OR(_xll.BDP($C116,T$72)="#N/A Field Not Applicable",_xll.BDP($C116,T$72)="#N/A N/A"),"",_xll.BDP($C116,T$72))),T116)</f>
        <v/>
      </c>
      <c r="U116" s="351" cm="1">
        <f t="array" aca="1" ref="U116" ca="1">IF(BBswitch=1,IF(ISBLANK($C116),"",IF(OR(_xll.BDP($C116,U$72)="#N/A Field Not Applicable",_xll.BDP($C116,U$72)="#N/A N/A"),"",_xll.BDP($C116,U$72))),U116)</f>
        <v>5.4261939739148</v>
      </c>
      <c r="V116" s="352" t="str">
        <f ca="1">IF(BBswitch=1,IF(ISBLANK($C116),"",IF(_xll.BDP($C116,V$72)="#N/A N/A","NA ",_xll.BDP($C116,V$72))),V116)</f>
        <v>1st lien</v>
      </c>
      <c r="W116" s="353" t="str" cm="1">
        <f t="array" aca="1" ref="W116" ca="1">IF(BBswitch=1,IF(ISBLANK($C116),"",IF(_xll.BDP($C116,W$72)="#N/A N/A","NA ",_xll.BDP($C116,W$72))),W116)</f>
        <v>American Airlines 2019-1 Class AA Pass Through Trust</v>
      </c>
      <c r="X116" s="343" t="str">
        <f ca="1">IF(BBswitch=1,IF(ISBLANK($C116),"",IF(_xll.BDP($C116,X$73)="#N/A N/A","NA ",_xll.BDP($C116,X$73))),X116)</f>
        <v>AAL 3.15 32</v>
      </c>
    </row>
    <row r="117" spans="3:24">
      <c r="C117" s="6" t="s">
        <v>1649</v>
      </c>
      <c r="D117" s="343" t="str">
        <f ca="1">IF(BBswitch=1,IF(ISBLANK($C117),"",IF(_xll.BDP($C117,D$73)="#N/A N/A","NA ",_xll.BDP($C117,D$73))),D117)</f>
        <v>AAL 4 29</v>
      </c>
      <c r="E117" s="344" t="str">
        <f ca="1">IF(BBswitch=1,IF(ISBLANK($C117),"",IF(_xll.BDP($C117,E$73)="#N/A N/A","NA ",_xll.BDP($C117,E$73))),E117)</f>
        <v xml:space="preserve">NA </v>
      </c>
      <c r="F117" s="354">
        <f ca="1">IF(BBswitch=1,IF(ISBLANK($C117),"",IF(_xll.BDP($C117,F$72)="#N/A N/A","NA ",_xll.BDP($C117,F$72)/10^6)/P117),F117)</f>
        <v>188.33495250000001</v>
      </c>
      <c r="G117" s="1022">
        <f ca="1">IF(BBswitch=1,IF(ISBLANK($C117),"",IF(_xll.BDP($C117,G$72)="#N/A N/A","NA ",_xll.BDP($C117,G$72)/100)),G117)</f>
        <v>0.04</v>
      </c>
      <c r="H117" s="355">
        <f ca="1">IF(BBswitch=1,IF(ISBLANK($C117),"",IF(_xll.BDP($C117,H$72)="#N/A N/A","NA ",_xll.BDP($C117,H$72)/100)),H117)</f>
        <v>0.82262000000000002</v>
      </c>
      <c r="I117" s="355">
        <f ca="1">IF(BBswitch=1,IF(ISBLANK($C117),"",IF(_xll.BDP($C117,I$72)="#N/A N/A","NA ",_xll.BDP($C117,I$72)/100)),I117)</f>
        <v>4.9100238136154967E-2</v>
      </c>
      <c r="J117" s="355">
        <f ca="1">IF(BBswitch=1,IF(ISBLANK($C117),"",IF(_xll.BDP($C117,J$72)="#N/A N/A","NA ",_xll.BDP($C117,J$72)/100)),J117)</f>
        <v>8.6953255136056742E-2</v>
      </c>
      <c r="K117" s="345" t="str">
        <f ca="1">IF(BBswitch=1,IF(ISBLANK($C117),"",IF(_xll.BDP($C117,K$72)="#N/A N/A","NA ",_xll.BDP($C117,K$72))),K117)</f>
        <v>2/15/2029</v>
      </c>
      <c r="L117" s="346" t="e">
        <f t="shared" ca="1" si="9"/>
        <v>#VALUE!</v>
      </c>
      <c r="M117" s="345" t="str">
        <f ca="1">IF(BBswitch=1,IF(ISBLANK($C117),"",IF(_xll.BDP($C117,M$72)="#N/A N/A","NA ",_xll.BDP($C117,M$72))),M117)</f>
        <v>1/13/2017</v>
      </c>
      <c r="N117" s="347" t="str" cm="1">
        <f t="array" aca="1" ref="N117" ca="1">IF(BBswitch=1,IF(ISBLANK($C117),"",IF(_xll.BDP($C117,N$72)="#N/A Field Not Applicable","Notes",_xll.BDP($C117,N$72))),N117)</f>
        <v>Notes</v>
      </c>
      <c r="O117" s="348" cm="1">
        <f t="array" aca="1" ref="O117" ca="1">IF(BBswitch=1,IF(ISBLANK($C117),"",IFERROR(IF(_xll.BDP($C117,O$72)="#N/A N/A","NA ",_xll.BDP($C117,O$72)/10^6),0)/P117),O117)</f>
        <v>0</v>
      </c>
      <c r="P117" s="349" cm="1">
        <f t="array" aca="1" ref="P117" ca="1">+IF(BBswitch=1,IF(ISBLANK($C117),"",IF(_xll.BDP("USD"&amp;Q117&amp;" BGN Curncy","px last")="#N/A Invalid Security",1,_xll.BDP("USD"&amp;Q117&amp;" BGN Curncy","px last"))),P117)</f>
        <v>1</v>
      </c>
      <c r="Q117" s="350" t="str">
        <f ca="1">IF(BBswitch=1,IF(ISBLANK($C117),"",IF(_xll.BDP($C117,Q$72)="#N/A N/A","NA ",_xll.BDP($C117,Q$72))),Q117)</f>
        <v>USD</v>
      </c>
      <c r="R117" s="351" t="str" cm="1">
        <f t="array" aca="1" ref="R117" ca="1">IF(BBswitch=1,IF(ISBLANK($C117),"",IF(OR(_xll.BDP($C117,R$72)="#N/A Field Not Applicable",_xll.BDP($C117,R$72)="#N/A N/A"),"",_xll.BDP($C117,R$72))),R117)</f>
        <v/>
      </c>
      <c r="S117" s="351" cm="1">
        <f t="array" aca="1" ref="S117" ca="1">IF(BBswitch=1,IF(ISBLANK($C117),"",IF(OR(_xll.BDP($C117,S$72)="#N/A Field Not Applicable",_xll.BDP($C117,S$72)="#N/A N/A"),"",_xll.BDP($C117,S$72))),S117)</f>
        <v>532.7108330299842</v>
      </c>
      <c r="T117" s="351" t="str" cm="1">
        <f t="array" aca="1" ref="T117" ca="1">IF(BBswitch=1,IF(ISBLANK($C117),"",IF(OR(_xll.BDP($C117,T$72)="#N/A Field Not Applicable",_xll.BDP($C117,T$72)="#N/A N/A"),"",_xll.BDP($C117,T$72))),T117)</f>
        <v/>
      </c>
      <c r="U117" s="351" cm="1">
        <f t="array" aca="1" ref="U117" ca="1">IF(BBswitch=1,IF(ISBLANK($C117),"",IF(OR(_xll.BDP($C117,U$72)="#N/A Field Not Applicable",_xll.BDP($C117,U$72)="#N/A N/A"),"",_xll.BDP($C117,U$72))),U117)</f>
        <v>4.1326767375932985</v>
      </c>
      <c r="V117" s="352" t="str">
        <f ca="1">IF(BBswitch=1,IF(ISBLANK($C117),"",IF(_xll.BDP($C117,V$72)="#N/A N/A","NA ",_xll.BDP($C117,V$72))),V117)</f>
        <v>2nd lien</v>
      </c>
      <c r="W117" s="353" t="str" cm="1">
        <f t="array" aca="1" ref="W117" ca="1">IF(BBswitch=1,IF(ISBLANK($C117),"",IF(_xll.BDP($C117,W$72)="#N/A N/A","NA ",_xll.BDP($C117,W$72))),W117)</f>
        <v>American Airlines 2017-1 Class A Pass Through Trust</v>
      </c>
      <c r="X117" s="343" t="str">
        <f ca="1">IF(BBswitch=1,IF(ISBLANK($C117),"",IF(_xll.BDP($C117,X$73)="#N/A N/A","NA ",_xll.BDP($C117,X$73))),X117)</f>
        <v>AAL 4 29</v>
      </c>
    </row>
    <row r="118" spans="3:24">
      <c r="C118" s="6" t="s">
        <v>1662</v>
      </c>
      <c r="D118" s="343" t="str">
        <f ca="1">IF(BBswitch=1,IF(ISBLANK($C118),"",IF(_xll.BDP($C118,D$73)="#N/A N/A","NA ",_xll.BDP($C118,D$73))),D118)</f>
        <v>AAL 3.65 29</v>
      </c>
      <c r="E118" s="344" t="str">
        <f ca="1">IF(BBswitch=1,IF(ISBLANK($C118),"",IF(_xll.BDP($C118,E$73)="#N/A N/A","NA ",_xll.BDP($C118,E$73))),E118)</f>
        <v xml:space="preserve">NA </v>
      </c>
      <c r="F118" s="354">
        <f ca="1">IF(BBswitch=1,IF(ISBLANK($C118),"",IF(_xll.BDP($C118,F$72)="#N/A N/A","NA ",_xll.BDP($C118,F$72)/10^6)/P118),F118)</f>
        <v>406.63433250000003</v>
      </c>
      <c r="G118" s="1022" t="e">
        <f ca="1">IF(BBswitch=1,IF(ISBLANK($C118),"",IF(_xll.BDP($C118,G$72)="#N/A N/A","NA ",_xll.BDP($C118,G$72)/100)),G118)</f>
        <v>#VALUE!</v>
      </c>
      <c r="H118" s="355">
        <f ca="1">IF(BBswitch=1,IF(ISBLANK($C118),"",IF(_xll.BDP($C118,H$72)="#N/A N/A","NA ",_xll.BDP($C118,H$72)/100)),H118)</f>
        <v>0.90721000000000007</v>
      </c>
      <c r="I118" s="355">
        <f ca="1">IF(BBswitch=1,IF(ISBLANK($C118),"",IF(_xll.BDP($C118,I$72)="#N/A N/A","NA ",_xll.BDP($C118,I$72)/100)),I118)</f>
        <v>4.0291867666052167E-2</v>
      </c>
      <c r="J118" s="355">
        <f ca="1">IF(BBswitch=1,IF(ISBLANK($C118),"",IF(_xll.BDP($C118,J$72)="#N/A N/A","NA ",_xll.BDP($C118,J$72)/100)),J118)</f>
        <v>5.845190827904842E-2</v>
      </c>
      <c r="K118" s="345" t="str">
        <f ca="1">IF(BBswitch=1,IF(ISBLANK($C118),"",IF(_xll.BDP($C118,K$72)="#N/A N/A","NA ",_xll.BDP($C118,K$72))),K118)</f>
        <v>#N/A Requesting Data...</v>
      </c>
      <c r="L118" s="346" t="e">
        <f t="shared" ca="1" si="9"/>
        <v>#VALUE!</v>
      </c>
      <c r="M118" s="345" t="str">
        <f ca="1">IF(BBswitch=1,IF(ISBLANK($C118),"",IF(_xll.BDP($C118,M$72)="#N/A N/A","NA ",_xll.BDP($C118,M$72))),M118)</f>
        <v>1/13/2017</v>
      </c>
      <c r="N118" s="347" t="str" cm="1">
        <f t="array" aca="1" ref="N118" ca="1">IF(BBswitch=1,IF(ISBLANK($C118),"",IF(_xll.BDP($C118,N$72)="#N/A Field Not Applicable","Notes",_xll.BDP($C118,N$72))),N118)</f>
        <v>Notes</v>
      </c>
      <c r="O118" s="348" cm="1">
        <f t="array" aca="1" ref="O118" ca="1">IF(BBswitch=1,IF(ISBLANK($C118),"",IFERROR(IF(_xll.BDP($C118,O$72)="#N/A N/A","NA ",_xll.BDP($C118,O$72)/10^6),0)/P118),O118)</f>
        <v>0</v>
      </c>
      <c r="P118" s="349" cm="1">
        <f t="array" aca="1" ref="P118" ca="1">+IF(BBswitch=1,IF(ISBLANK($C118),"",IF(_xll.BDP("USD"&amp;Q118&amp;" BGN Curncy","px last")="#N/A Invalid Security",1,_xll.BDP("USD"&amp;Q118&amp;" BGN Curncy","px last"))),P118)</f>
        <v>1</v>
      </c>
      <c r="Q118" s="350" t="str">
        <f ca="1">IF(BBswitch=1,IF(ISBLANK($C118),"",IF(_xll.BDP($C118,Q$72)="#N/A N/A","NA ",_xll.BDP($C118,Q$72))),Q118)</f>
        <v>USD</v>
      </c>
      <c r="R118" s="351" t="str" cm="1">
        <f t="array" aca="1" ref="R118" ca="1">IF(BBswitch=1,IF(ISBLANK($C118),"",IF(OR(_xll.BDP($C118,R$72)="#N/A Field Not Applicable",_xll.BDP($C118,R$72)="#N/A N/A"),"",_xll.BDP($C118,R$72))),R118)</f>
        <v/>
      </c>
      <c r="S118" s="351" cm="1">
        <f t="array" aca="1" ref="S118" ca="1">IF(BBswitch=1,IF(ISBLANK($C118),"",IF(OR(_xll.BDP($C118,S$72)="#N/A Field Not Applicable",_xll.BDP($C118,S$72)="#N/A N/A"),"",_xll.BDP($C118,S$72))),S118)</f>
        <v>267.8893870358832</v>
      </c>
      <c r="T118" s="351" t="str" cm="1">
        <f t="array" aca="1" ref="T118" ca="1">IF(BBswitch=1,IF(ISBLANK($C118),"",IF(OR(_xll.BDP($C118,T$72)="#N/A Field Not Applicable",_xll.BDP($C118,T$72)="#N/A N/A"),"",_xll.BDP($C118,T$72))),T118)</f>
        <v/>
      </c>
      <c r="U118" s="351" cm="1">
        <f t="array" aca="1" ref="U118" ca="1">IF(BBswitch=1,IF(ISBLANK($C118),"",IF(OR(_xll.BDP($C118,U$72)="#N/A Field Not Applicable",_xll.BDP($C118,U$72)="#N/A N/A"),"",_xll.BDP($C118,U$72))),U118)</f>
        <v>4.3535450856728541</v>
      </c>
      <c r="V118" s="352" t="str">
        <f ca="1">IF(BBswitch=1,IF(ISBLANK($C118),"",IF(_xll.BDP($C118,V$72)="#N/A N/A","NA ",_xll.BDP($C118,V$72))),V118)</f>
        <v>1st lien</v>
      </c>
      <c r="W118" s="353" t="str" cm="1">
        <f t="array" aca="1" ref="W118" ca="1">IF(BBswitch=1,IF(ISBLANK($C118),"",IF(_xll.BDP($C118,W$72)="#N/A N/A","NA ",_xll.BDP($C118,W$72))),W118)</f>
        <v>American Airlines 2017-1 Class AA Pass Through Trust</v>
      </c>
      <c r="X118" s="343" t="str">
        <f ca="1">IF(BBswitch=1,IF(ISBLANK($C118),"",IF(_xll.BDP($C118,X$73)="#N/A N/A","NA ",_xll.BDP($C118,X$73))),X118)</f>
        <v>AAL 3.65 29</v>
      </c>
    </row>
    <row r="119" spans="3:24">
      <c r="C119" s="6" t="s">
        <v>1663</v>
      </c>
      <c r="D119" s="343" t="str">
        <f ca="1">IF(BBswitch=1,IF(ISBLANK($C119),"",IF(_xll.BDP($C119,D$73)="#N/A N/A","NA ",_xll.BDP($C119,D$73))),D119)</f>
        <v>AAL 3.85 28</v>
      </c>
      <c r="E119" s="344" t="str">
        <f ca="1">IF(BBswitch=1,IF(ISBLANK($C119),"",IF(_xll.BDP($C119,E$73)="#N/A N/A","NA ",_xll.BDP($C119,E$73))),E119)</f>
        <v xml:space="preserve">NA </v>
      </c>
      <c r="F119" s="354">
        <f ca="1">IF(BBswitch=1,IF(ISBLANK($C119),"",IF(_xll.BDP($C119,F$72)="#N/A N/A","NA ",_xll.BDP($C119,F$72)/10^6)/P119),F119)</f>
        <v>185.14477849000005</v>
      </c>
      <c r="G119" s="1022">
        <f ca="1">IF(BBswitch=1,IF(ISBLANK($C119),"",IF(_xll.BDP($C119,G$72)="#N/A N/A","NA ",_xll.BDP($C119,G$72)/100)),G119)</f>
        <v>3.85E-2</v>
      </c>
      <c r="H119" s="355">
        <f ca="1">IF(BBswitch=1,IF(ISBLANK($C119),"",IF(_xll.BDP($C119,H$72)="#N/A N/A","NA ",_xll.BDP($C119,H$72)/100)),H119)</f>
        <v>0.83542000000000005</v>
      </c>
      <c r="I119" s="355">
        <f ca="1">IF(BBswitch=1,IF(ISBLANK($C119),"",IF(_xll.BDP($C119,I$72)="#N/A N/A","NA ",_xll.BDP($C119,I$72)/100)),I119)</f>
        <v>4.6254024700850591E-2</v>
      </c>
      <c r="J119" s="355">
        <f ca="1">IF(BBswitch=1,IF(ISBLANK($C119),"",IF(_xll.BDP($C119,J$72)="#N/A N/A","NA ",_xll.BDP($C119,J$72)/100)),J119)</f>
        <v>9.7063280765510684E-2</v>
      </c>
      <c r="K119" s="345" t="str">
        <f ca="1">IF(BBswitch=1,IF(ISBLANK($C119),"",IF(_xll.BDP($C119,K$72)="#N/A N/A","NA ",_xll.BDP($C119,K$72))),K119)</f>
        <v>2/15/2028</v>
      </c>
      <c r="L119" s="346" t="e">
        <f t="shared" ca="1" si="9"/>
        <v>#VALUE!</v>
      </c>
      <c r="M119" s="345" t="str">
        <f ca="1">IF(BBswitch=1,IF(ISBLANK($C119),"",IF(_xll.BDP($C119,M$72)="#N/A N/A","NA ",_xll.BDP($C119,M$72))),M119)</f>
        <v>8/15/2019</v>
      </c>
      <c r="N119" s="347" t="str" cm="1">
        <f t="array" aca="1" ref="N119" ca="1">IF(BBswitch=1,IF(ISBLANK($C119),"",IF(_xll.BDP($C119,N$72)="#N/A Field Not Applicable","Notes",_xll.BDP($C119,N$72))),N119)</f>
        <v>Notes</v>
      </c>
      <c r="O119" s="348" cm="1">
        <f t="array" aca="1" ref="O119" ca="1">IF(BBswitch=1,IF(ISBLANK($C119),"",IFERROR(IF(_xll.BDP($C119,O$72)="#N/A N/A","NA ",_xll.BDP($C119,O$72)/10^6),0)/P119),O119)</f>
        <v>0</v>
      </c>
      <c r="P119" s="349" cm="1">
        <f t="array" aca="1" ref="P119" ca="1">+IF(BBswitch=1,IF(ISBLANK($C119),"",IF(_xll.BDP("USD"&amp;Q119&amp;" BGN Curncy","px last")="#N/A Invalid Security",1,_xll.BDP("USD"&amp;Q119&amp;" BGN Curncy","px last"))),P119)</f>
        <v>1</v>
      </c>
      <c r="Q119" s="350" t="str">
        <f ca="1">IF(BBswitch=1,IF(ISBLANK($C119),"",IF(_xll.BDP($C119,Q$72)="#N/A N/A","NA ",_xll.BDP($C119,Q$72))),Q119)</f>
        <v>USD</v>
      </c>
      <c r="R119" s="351" t="str" cm="1">
        <f t="array" aca="1" ref="R119" ca="1">IF(BBswitch=1,IF(ISBLANK($C119),"",IF(OR(_xll.BDP($C119,R$72)="#N/A Field Not Applicable",_xll.BDP($C119,R$72)="#N/A N/A"),"",_xll.BDP($C119,R$72))),R119)</f>
        <v/>
      </c>
      <c r="S119" s="351" cm="1">
        <f t="array" aca="1" ref="S119" ca="1">IF(BBswitch=1,IF(ISBLANK($C119),"",IF(OR(_xll.BDP($C119,S$72)="#N/A Field Not Applicable",_xll.BDP($C119,S$72)="#N/A N/A"),"",_xll.BDP($C119,S$72))),S119)</f>
        <v>642.77652434505615</v>
      </c>
      <c r="T119" s="351" t="str" cm="1">
        <f t="array" aca="1" ref="T119" ca="1">IF(BBswitch=1,IF(ISBLANK($C119),"",IF(OR(_xll.BDP($C119,T$72)="#N/A Field Not Applicable",_xll.BDP($C119,T$72)="#N/A N/A"),"",_xll.BDP($C119,T$72))),T119)</f>
        <v/>
      </c>
      <c r="U119" s="351" cm="1">
        <f t="array" aca="1" ref="U119" ca="1">IF(BBswitch=1,IF(ISBLANK($C119),"",IF(OR(_xll.BDP($C119,U$72)="#N/A Field Not Applicable",_xll.BDP($C119,U$72)="#N/A N/A"),"",_xll.BDP($C119,U$72))),U119)</f>
        <v>2.938359275603454</v>
      </c>
      <c r="V119" s="352" t="str">
        <f ca="1">IF(BBswitch=1,IF(ISBLANK($C119),"",IF(_xll.BDP($C119,V$72)="#N/A N/A","NA ",_xll.BDP($C119,V$72))),V119)</f>
        <v>3rd lien</v>
      </c>
      <c r="W119" s="353" t="str" cm="1">
        <f t="array" aca="1" ref="W119" ca="1">IF(BBswitch=1,IF(ISBLANK($C119),"",IF(_xll.BDP($C119,W$72)="#N/A N/A","NA ",_xll.BDP($C119,W$72))),W119)</f>
        <v>American Airlines 2019-1 Class B Pass Through Trust</v>
      </c>
      <c r="X119" s="343" t="str">
        <f ca="1">IF(BBswitch=1,IF(ISBLANK($C119),"",IF(_xll.BDP($C119,X$73)="#N/A N/A","NA ",_xll.BDP($C119,X$73))),X119)</f>
        <v>AAL 3.85 28</v>
      </c>
    </row>
    <row r="120" spans="3:24">
      <c r="C120" s="6" t="s">
        <v>1664</v>
      </c>
      <c r="D120" s="343" t="str">
        <f ca="1">IF(BBswitch=1,IF(ISBLANK($C120),"",IF(_xll.BDP($C120,D$73)="#N/A N/A","NA ",_xll.BDP($C120,D$73))),D120)</f>
        <v>AAL 4.95 25</v>
      </c>
      <c r="E120" s="344" t="str">
        <f ca="1">IF(BBswitch=1,IF(ISBLANK($C120),"",IF(_xll.BDP($C120,E$73)="#N/A N/A","NA ",_xll.BDP($C120,E$73))),E120)</f>
        <v xml:space="preserve">NA </v>
      </c>
      <c r="F120" s="354">
        <f ca="1">IF(BBswitch=1,IF(ISBLANK($C120),"",IF(_xll.BDP($C120,F$72)="#N/A N/A","NA ",_xll.BDP($C120,F$72)/10^6)/P120),F120)</f>
        <v>110.90345275000001</v>
      </c>
      <c r="G120" s="1022">
        <f ca="1">IF(BBswitch=1,IF(ISBLANK($C120),"",IF(_xll.BDP($C120,G$72)="#N/A N/A","NA ",_xll.BDP($C120,G$72)/100)),G120)</f>
        <v>4.9500000000000002E-2</v>
      </c>
      <c r="H120" s="355">
        <f ca="1">IF(BBswitch=1,IF(ISBLANK($C120),"",IF(_xll.BDP($C120,H$72)="#N/A N/A","NA ",_xll.BDP($C120,H$72)/100)),H120)</f>
        <v>0.91673000000000004</v>
      </c>
      <c r="I120" s="355">
        <f ca="1">IF(BBswitch=1,IF(ISBLANK($C120),"",IF(_xll.BDP($C120,I$72)="#N/A N/A","NA ",_xll.BDP($C120,I$72)/100)),I120)</f>
        <v>5.4189564950846231E-2</v>
      </c>
      <c r="J120" s="355">
        <f ca="1">IF(BBswitch=1,IF(ISBLANK($C120),"",IF(_xll.BDP($C120,J$72)="#N/A N/A","NA ",_xll.BDP($C120,J$72)/100)),J120)</f>
        <v>0.10008736587596292</v>
      </c>
      <c r="K120" s="345" t="str">
        <f ca="1">IF(BBswitch=1,IF(ISBLANK($C120),"",IF(_xll.BDP($C120,K$72)="#N/A N/A","NA ",_xll.BDP($C120,K$72))),K120)</f>
        <v>2/15/2025</v>
      </c>
      <c r="L120" s="346" t="e">
        <f t="shared" ca="1" si="9"/>
        <v>#VALUE!</v>
      </c>
      <c r="M120" s="345" t="str">
        <f ca="1">IF(BBswitch=1,IF(ISBLANK($C120),"",IF(_xll.BDP($C120,M$72)="#N/A N/A","NA ",_xll.BDP($C120,M$72))),M120)</f>
        <v>1/13/2017</v>
      </c>
      <c r="N120" s="347" t="str" cm="1">
        <f t="array" aca="1" ref="N120" ca="1">IF(BBswitch=1,IF(ISBLANK($C120),"",IF(_xll.BDP($C120,N$72)="#N/A Field Not Applicable","Notes",_xll.BDP($C120,N$72))),N120)</f>
        <v>Notes</v>
      </c>
      <c r="O120" s="348" cm="1">
        <f t="array" aca="1" ref="O120" ca="1">IF(BBswitch=1,IF(ISBLANK($C120),"",IFERROR(IF(_xll.BDP($C120,O$72)="#N/A N/A","NA ",_xll.BDP($C120,O$72)/10^6),0)/P120),O120)</f>
        <v>0</v>
      </c>
      <c r="P120" s="349" cm="1">
        <f t="array" aca="1" ref="P120" ca="1">+IF(BBswitch=1,IF(ISBLANK($C120),"",IF(_xll.BDP("USD"&amp;Q120&amp;" BGN Curncy","px last")="#N/A Invalid Security",1,_xll.BDP("USD"&amp;Q120&amp;" BGN Curncy","px last"))),P120)</f>
        <v>1</v>
      </c>
      <c r="Q120" s="350" t="str">
        <f ca="1">IF(BBswitch=1,IF(ISBLANK($C120),"",IF(_xll.BDP($C120,Q$72)="#N/A N/A","NA ",_xll.BDP($C120,Q$72))),Q120)</f>
        <v>USD</v>
      </c>
      <c r="R120" s="351" t="str" cm="1">
        <f t="array" aca="1" ref="R120" ca="1">IF(BBswitch=1,IF(ISBLANK($C120),"",IF(OR(_xll.BDP($C120,R$72)="#N/A Field Not Applicable",_xll.BDP($C120,R$72)="#N/A N/A"),"",_xll.BDP($C120,R$72))),R120)</f>
        <v/>
      </c>
      <c r="S120" s="351" cm="1">
        <f t="array" aca="1" ref="S120" ca="1">IF(BBswitch=1,IF(ISBLANK($C120),"",IF(OR(_xll.BDP($C120,S$72)="#N/A Field Not Applicable",_xll.BDP($C120,S$72)="#N/A N/A"),"",_xll.BDP($C120,S$72))),S120)</f>
        <v>657.81012205867216</v>
      </c>
      <c r="T120" s="351" t="str" cm="1">
        <f t="array" aca="1" ref="T120" ca="1">IF(BBswitch=1,IF(ISBLANK($C120),"",IF(OR(_xll.BDP($C120,T$72)="#N/A Field Not Applicable",_xll.BDP($C120,T$72)="#N/A N/A"),"",_xll.BDP($C120,T$72))),T120)</f>
        <v/>
      </c>
      <c r="U120" s="351" cm="1">
        <f t="array" aca="1" ref="U120" ca="1">IF(BBswitch=1,IF(ISBLANK($C120),"",IF(OR(_xll.BDP($C120,U$72)="#N/A Field Not Applicable",_xll.BDP($C120,U$72)="#N/A N/A"),"",_xll.BDP($C120,U$72))),U120)</f>
        <v>1.7173301957959437</v>
      </c>
      <c r="V120" s="352" t="str">
        <f ca="1">IF(BBswitch=1,IF(ISBLANK($C120),"",IF(_xll.BDP($C120,V$72)="#N/A N/A","NA ",_xll.BDP($C120,V$72))),V120)</f>
        <v>3rd lien</v>
      </c>
      <c r="W120" s="353" t="str" cm="1">
        <f t="array" aca="1" ref="W120" ca="1">IF(BBswitch=1,IF(ISBLANK($C120),"",IF(_xll.BDP($C120,W$72)="#N/A N/A","NA ",_xll.BDP($C120,W$72))),W120)</f>
        <v>American Airlines 2017-1 Class B Pass Through Trust</v>
      </c>
      <c r="X120" s="343" t="str">
        <f ca="1">IF(BBswitch=1,IF(ISBLANK($C120),"",IF(_xll.BDP($C120,X$73)="#N/A N/A","NA ",_xll.BDP($C120,X$73))),X120)</f>
        <v>AAL 4.95 25</v>
      </c>
    </row>
    <row r="121" spans="3:24">
      <c r="C121" s="6" t="s">
        <v>1641</v>
      </c>
      <c r="D121" s="343" t="str">
        <f ca="1">IF(BBswitch=1,IF(ISBLANK($C121),"",IF(_xll.BDP($C121,D$73)="#N/A N/A","NA ",_xll.BDP($C121,D$73))),D121)</f>
        <v>AAL 3.95 25</v>
      </c>
      <c r="E121" s="344" t="str">
        <f ca="1">IF(BBswitch=1,IF(ISBLANK($C121),"",IF(_xll.BDP($C121,E$73)="#N/A N/A","NA ",_xll.BDP($C121,E$73))),E121)</f>
        <v xml:space="preserve">NA </v>
      </c>
      <c r="F121" s="354">
        <f ca="1">IF(BBswitch=1,IF(ISBLANK($C121),"",IF(_xll.BDP($C121,F$72)="#N/A N/A","NA ",_xll.BDP($C121,F$72)/10^6)/P121),F121)</f>
        <v>295.32330300000001</v>
      </c>
      <c r="G121" s="1022">
        <f ca="1">IF(BBswitch=1,IF(ISBLANK($C121),"",IF(_xll.BDP($C121,G$72)="#N/A N/A","NA ",_xll.BDP($C121,G$72)/100)),G121)</f>
        <v>3.95E-2</v>
      </c>
      <c r="H121" s="355">
        <f ca="1">IF(BBswitch=1,IF(ISBLANK($C121),"",IF(_xll.BDP($C121,H$72)="#N/A N/A","NA ",_xll.BDP($C121,H$72)/100)),H121)</f>
        <v>0.90288999999999997</v>
      </c>
      <c r="I121" s="355">
        <f ca="1">IF(BBswitch=1,IF(ISBLANK($C121),"",IF(_xll.BDP($C121,I$72)="#N/A N/A","NA ",_xll.BDP($C121,I$72)/100)),I121)</f>
        <v>4.472018748514045E-2</v>
      </c>
      <c r="J121" s="355">
        <f ca="1">IF(BBswitch=1,IF(ISBLANK($C121),"",IF(_xll.BDP($C121,J$72)="#N/A N/A","NA ",_xll.BDP($C121,J$72)/100)),J121)</f>
        <v>9.1610974261832026E-2</v>
      </c>
      <c r="K121" s="345" t="str">
        <f ca="1">IF(BBswitch=1,IF(ISBLANK($C121),"",IF(_xll.BDP($C121,K$72)="#N/A N/A","NA ",_xll.BDP($C121,K$72))),K121)</f>
        <v>11/15/2025</v>
      </c>
      <c r="L121" s="346" t="e">
        <f t="shared" ca="1" si="9"/>
        <v>#VALUE!</v>
      </c>
      <c r="M121" s="345" t="str">
        <f ca="1">IF(BBswitch=1,IF(ISBLANK($C121),"",IF(_xll.BDP($C121,M$72)="#N/A N/A","NA ",_xll.BDP($C121,M$72))),M121)</f>
        <v>4/24/2013</v>
      </c>
      <c r="N121" s="347" t="str" cm="1">
        <f t="array" aca="1" ref="N121" ca="1">IF(BBswitch=1,IF(ISBLANK($C121),"",IF(_xll.BDP($C121,N$72)="#N/A Field Not Applicable","Notes",_xll.BDP($C121,N$72))),N121)</f>
        <v>Notes</v>
      </c>
      <c r="O121" s="348" cm="1">
        <f t="array" aca="1" ref="O121" ca="1">IF(BBswitch=1,IF(ISBLANK($C121),"",IFERROR(IF(_xll.BDP($C121,O$72)="#N/A N/A","NA ",_xll.BDP($C121,O$72)/10^6),0)/P121),O121)</f>
        <v>0</v>
      </c>
      <c r="P121" s="349" cm="1">
        <f t="array" aca="1" ref="P121" ca="1">+IF(BBswitch=1,IF(ISBLANK($C121),"",IF(_xll.BDP("USD"&amp;Q121&amp;" BGN Curncy","px last")="#N/A Invalid Security",1,_xll.BDP("USD"&amp;Q121&amp;" BGN Curncy","px last"))),P121)</f>
        <v>1</v>
      </c>
      <c r="Q121" s="350" t="str">
        <f ca="1">IF(BBswitch=1,IF(ISBLANK($C121),"",IF(_xll.BDP($C121,Q$72)="#N/A N/A","NA ",_xll.BDP($C121,Q$72))),Q121)</f>
        <v>USD</v>
      </c>
      <c r="R121" s="351" t="str" cm="1">
        <f t="array" aca="1" ref="R121" ca="1">IF(BBswitch=1,IF(ISBLANK($C121),"",IF(OR(_xll.BDP($C121,R$72)="#N/A Field Not Applicable",_xll.BDP($C121,R$72)="#N/A N/A"),"",_xll.BDP($C121,R$72))),R121)</f>
        <v/>
      </c>
      <c r="S121" s="351" cm="1">
        <f t="array" aca="1" ref="S121" ca="1">IF(BBswitch=1,IF(ISBLANK($C121),"",IF(OR(_xll.BDP($C121,S$72)="#N/A Field Not Applicable",_xll.BDP($C121,S$72)="#N/A N/A"),"",_xll.BDP($C121,S$72))),S121)</f>
        <v>548.99601793951797</v>
      </c>
      <c r="T121" s="351" t="str" cm="1">
        <f t="array" aca="1" ref="T121" ca="1">IF(BBswitch=1,IF(ISBLANK($C121),"",IF(OR(_xll.BDP($C121,T$72)="#N/A Field Not Applicable",_xll.BDP($C121,T$72)="#N/A N/A"),"",_xll.BDP($C121,T$72))),T121)</f>
        <v/>
      </c>
      <c r="U121" s="351" cm="1">
        <f t="array" aca="1" ref="U121" ca="1">IF(BBswitch=1,IF(ISBLANK($C121),"",IF(OR(_xll.BDP($C121,U$72)="#N/A Field Not Applicable",_xll.BDP($C121,U$72)="#N/A N/A"),"",_xll.BDP($C121,U$72))),U121)</f>
        <v>2.3182045222514995</v>
      </c>
      <c r="V121" s="352" t="str">
        <f ca="1">IF(BBswitch=1,IF(ISBLANK($C121),"",IF(_xll.BDP($C121,V$72)="#N/A N/A","NA ",_xll.BDP($C121,V$72))),V121)</f>
        <v>1st lien</v>
      </c>
      <c r="W121" s="353" t="str" cm="1">
        <f t="array" aca="1" ref="W121" ca="1">IF(BBswitch=1,IF(ISBLANK($C121),"",IF(_xll.BDP($C121,W$72)="#N/A N/A","NA ",_xll.BDP($C121,W$72))),W121)</f>
        <v>US Airways 2013-1 Class A Pass Through Trust</v>
      </c>
      <c r="X121" s="343" t="str">
        <f ca="1">IF(BBswitch=1,IF(ISBLANK($C121),"",IF(_xll.BDP($C121,X$73)="#N/A N/A","NA ",_xll.BDP($C121,X$73))),X121)</f>
        <v>AAL 3.95 25</v>
      </c>
    </row>
    <row r="122" spans="3:24">
      <c r="C122" s="6" t="s">
        <v>1637</v>
      </c>
      <c r="D122" s="343" t="str">
        <f ca="1">IF(BBswitch=1,IF(ISBLANK($C122),"",IF(_xll.BDP($C122,D$73)="#N/A N/A","NA ",_xll.BDP($C122,D$73))),D122)</f>
        <v>AAL 7.125 23</v>
      </c>
      <c r="E122" s="344" t="str">
        <f ca="1">IF(BBswitch=1,IF(ISBLANK($C122),"",IF(_xll.BDP($C122,E$73)="#N/A N/A","NA ",_xll.BDP($C122,E$73))),E122)</f>
        <v xml:space="preserve">NA </v>
      </c>
      <c r="F122" s="354">
        <f ca="1">IF(BBswitch=1,IF(ISBLANK($C122),"",IF(_xll.BDP($C122,F$72)="#N/A N/A","NA ",_xll.BDP($C122,F$72)/10^6)/P122),F122)</f>
        <v>102.02347664000001</v>
      </c>
      <c r="G122" s="1022">
        <f ca="1">IF(BBswitch=1,IF(ISBLANK($C122),"",IF(_xll.BDP($C122,G$72)="#N/A N/A","NA ",_xll.BDP($C122,G$72)/100)),G122)</f>
        <v>7.1249999999999994E-2</v>
      </c>
      <c r="H122" s="355">
        <f ca="1">IF(BBswitch=1,IF(ISBLANK($C122),"",IF(_xll.BDP($C122,H$72)="#N/A N/A","NA ",_xll.BDP($C122,H$72)/100)),H122)</f>
        <v>1.0073300000000001</v>
      </c>
      <c r="I122" s="355">
        <f ca="1">IF(BBswitch=1,IF(ISBLANK($C122),"",IF(_xll.BDP($C122,I$72)="#N/A N/A","NA ",_xll.BDP($C122,I$72)/100)),I122)</f>
        <v>7.1069483511879819E-2</v>
      </c>
      <c r="J122" s="355">
        <f ca="1">IF(BBswitch=1,IF(ISBLANK($C122),"",IF(_xll.BDP($C122,J$72)="#N/A N/A","NA ",_xll.BDP($C122,J$72)/100)),J122)</f>
        <v>6.8743159891330036E-2</v>
      </c>
      <c r="K122" s="345" t="str">
        <f ca="1">IF(BBswitch=1,IF(ISBLANK($C122),"",IF(_xll.BDP($C122,K$72)="#N/A N/A","NA ",_xll.BDP($C122,K$72))),K122)</f>
        <v>10/22/2023</v>
      </c>
      <c r="L122" s="346" t="e">
        <f t="shared" ca="1" si="9"/>
        <v>#VALUE!</v>
      </c>
      <c r="M122" s="345" t="str">
        <f ca="1">IF(BBswitch=1,IF(ISBLANK($C122),"",IF(_xll.BDP($C122,M$72)="#N/A N/A","NA ",_xll.BDP($C122,M$72))),M122)</f>
        <v>6/28/2011</v>
      </c>
      <c r="N122" s="347" t="str" cm="1">
        <f t="array" aca="1" ref="N122" ca="1">IF(BBswitch=1,IF(ISBLANK($C122),"",IF(_xll.BDP($C122,N$72)="#N/A Field Not Applicable","Notes",_xll.BDP($C122,N$72))),N122)</f>
        <v>Notes</v>
      </c>
      <c r="O122" s="348" cm="1">
        <f t="array" aca="1" ref="O122" ca="1">IF(BBswitch=1,IF(ISBLANK($C122),"",IFERROR(IF(_xll.BDP($C122,O$72)="#N/A N/A","NA ",_xll.BDP($C122,O$72)/10^6),0)/P122),O122)</f>
        <v>0</v>
      </c>
      <c r="P122" s="349" cm="1">
        <f t="array" aca="1" ref="P122" ca="1">+IF(BBswitch=1,IF(ISBLANK($C122),"",IF(_xll.BDP("USD"&amp;Q122&amp;" BGN Curncy","px last")="#N/A Invalid Security",1,_xll.BDP("USD"&amp;Q122&amp;" BGN Curncy","px last"))),P122)</f>
        <v>1</v>
      </c>
      <c r="Q122" s="350" t="str">
        <f ca="1">IF(BBswitch=1,IF(ISBLANK($C122),"",IF(_xll.BDP($C122,Q$72)="#N/A N/A","NA ",_xll.BDP($C122,Q$72))),Q122)</f>
        <v>USD</v>
      </c>
      <c r="R122" s="351" t="str" cm="1">
        <f t="array" aca="1" ref="R122" ca="1">IF(BBswitch=1,IF(ISBLANK($C122),"",IF(OR(_xll.BDP($C122,R$72)="#N/A Field Not Applicable",_xll.BDP($C122,R$72)="#N/A N/A"),"",_xll.BDP($C122,R$72))),R122)</f>
        <v/>
      </c>
      <c r="S122" s="351" cm="1">
        <f t="array" aca="1" ref="S122" ca="1">IF(BBswitch=1,IF(ISBLANK($C122),"",IF(OR(_xll.BDP($C122,S$72)="#N/A Field Not Applicable",_xll.BDP($C122,S$72)="#N/A N/A"),"",_xll.BDP($C122,S$72))),S122)</f>
        <v>331.893114803885</v>
      </c>
      <c r="T122" s="351" t="str" cm="1">
        <f t="array" aca="1" ref="T122" ca="1">IF(BBswitch=1,IF(ISBLANK($C122),"",IF(OR(_xll.BDP($C122,T$72)="#N/A Field Not Applicable",_xll.BDP($C122,T$72)="#N/A N/A"),"",_xll.BDP($C122,T$72))),T122)</f>
        <v/>
      </c>
      <c r="U122" s="351" cm="1">
        <f t="array" aca="1" ref="U122" ca="1">IF(BBswitch=1,IF(ISBLANK($C122),"",IF(OR(_xll.BDP($C122,U$72)="#N/A Field Not Applicable",_xll.BDP($C122,U$72)="#N/A N/A"),"",_xll.BDP($C122,U$72))),U122)</f>
        <v>1.0603146650853597</v>
      </c>
      <c r="V122" s="352" t="str">
        <f ca="1">IF(BBswitch=1,IF(ISBLANK($C122),"",IF(_xll.BDP($C122,V$72)="#N/A N/A","NA ",_xll.BDP($C122,V$72))),V122)</f>
        <v>1st lien</v>
      </c>
      <c r="W122" s="353" t="str" cm="1">
        <f t="array" aca="1" ref="W122" ca="1">IF(BBswitch=1,IF(ISBLANK($C122),"",IF(_xll.BDP($C122,W$72)="#N/A N/A","NA ",_xll.BDP($C122,W$72))),W122)</f>
        <v>US Airways 2011-1 Class A Pass Through Trust</v>
      </c>
      <c r="X122" s="343" t="str">
        <f ca="1">IF(BBswitch=1,IF(ISBLANK($C122),"",IF(_xll.BDP($C122,X$73)="#N/A N/A","NA ",_xll.BDP($C122,X$73))),X122)</f>
        <v>AAL 7.125 23</v>
      </c>
    </row>
    <row r="123" spans="3:24">
      <c r="C123" s="6" t="s">
        <v>1650</v>
      </c>
      <c r="D123" s="343" t="str">
        <f ca="1">IF(BBswitch=1,IF(ISBLANK($C123),"",IF(_xll.BDP($C123,D$73)="#N/A N/A","NA ",_xll.BDP($C123,D$73))),D123)</f>
        <v>AAL 3.6 29</v>
      </c>
      <c r="E123" s="344" t="str">
        <f ca="1">IF(BBswitch=1,IF(ISBLANK($C123),"",IF(_xll.BDP($C123,E$73)="#N/A N/A","NA ",_xll.BDP($C123,E$73))),E123)</f>
        <v xml:space="preserve">NA </v>
      </c>
      <c r="F123" s="354">
        <f ca="1">IF(BBswitch=1,IF(ISBLANK($C123),"",IF(_xll.BDP($C123,F$72)="#N/A N/A","NA ",_xll.BDP($C123,F$72)/10^6)/P123),F123)</f>
        <v>197.64347744000003</v>
      </c>
      <c r="G123" s="1022">
        <f ca="1">IF(BBswitch=1,IF(ISBLANK($C123),"",IF(_xll.BDP($C123,G$72)="#N/A N/A","NA ",_xll.BDP($C123,G$72)/100)),G123)</f>
        <v>3.6000000000000004E-2</v>
      </c>
      <c r="H123" s="355">
        <f ca="1">IF(BBswitch=1,IF(ISBLANK($C123),"",IF(_xll.BDP($C123,H$72)="#N/A N/A","NA ",_xll.BDP($C123,H$72)/100)),H123)</f>
        <v>0.83706000000000003</v>
      </c>
      <c r="I123" s="355">
        <f ca="1">IF(BBswitch=1,IF(ISBLANK($C123),"",IF(_xll.BDP($C123,I$72)="#N/A N/A","NA ",_xll.BDP($C123,I$72)/100)),I123)</f>
        <v>4.463621484898081E-2</v>
      </c>
      <c r="J123" s="355">
        <f ca="1">IF(BBswitch=1,IF(ISBLANK($C123),"",IF(_xll.BDP($C123,J$72)="#N/A N/A","NA ",_xll.BDP($C123,J$72)/100)),J123)</f>
        <v>8.2622458314634495E-2</v>
      </c>
      <c r="K123" s="345" t="str">
        <f ca="1">IF(BBswitch=1,IF(ISBLANK($C123),"",IF(_xll.BDP($C123,K$72)="#N/A N/A","NA ",_xll.BDP($C123,K$72))),K123)</f>
        <v>10/15/2029</v>
      </c>
      <c r="L123" s="346" t="e">
        <f t="shared" ca="1" si="9"/>
        <v>#VALUE!</v>
      </c>
      <c r="M123" s="345" t="str">
        <f ca="1">IF(BBswitch=1,IF(ISBLANK($C123),"",IF(_xll.BDP($C123,M$72)="#N/A N/A","NA ",_xll.BDP($C123,M$72))),M123)</f>
        <v>8/14/2017</v>
      </c>
      <c r="N123" s="347" t="str" cm="1">
        <f t="array" aca="1" ref="N123" ca="1">IF(BBswitch=1,IF(ISBLANK($C123),"",IF(_xll.BDP($C123,N$72)="#N/A Field Not Applicable","Notes",_xll.BDP($C123,N$72))),N123)</f>
        <v>Notes</v>
      </c>
      <c r="O123" s="348" cm="1">
        <f t="array" aca="1" ref="O123" ca="1">IF(BBswitch=1,IF(ISBLANK($C123),"",IFERROR(IF(_xll.BDP($C123,O$72)="#N/A N/A","NA ",_xll.BDP($C123,O$72)/10^6),0)/P123),O123)</f>
        <v>0</v>
      </c>
      <c r="P123" s="349" cm="1">
        <f t="array" aca="1" ref="P123" ca="1">+IF(BBswitch=1,IF(ISBLANK($C123),"",IF(_xll.BDP("USD"&amp;Q123&amp;" BGN Curncy","px last")="#N/A Invalid Security",1,_xll.BDP("USD"&amp;Q123&amp;" BGN Curncy","px last"))),P123)</f>
        <v>1</v>
      </c>
      <c r="Q123" s="350" t="str">
        <f ca="1">IF(BBswitch=1,IF(ISBLANK($C123),"",IF(_xll.BDP($C123,Q$72)="#N/A N/A","NA ",_xll.BDP($C123,Q$72))),Q123)</f>
        <v>USD</v>
      </c>
      <c r="R123" s="351" t="str" cm="1">
        <f t="array" aca="1" ref="R123" ca="1">IF(BBswitch=1,IF(ISBLANK($C123),"",IF(OR(_xll.BDP($C123,R$72)="#N/A Field Not Applicable",_xll.BDP($C123,R$72)="#N/A N/A"),"",_xll.BDP($C123,R$72))),R123)</f>
        <v/>
      </c>
      <c r="S123" s="351" cm="1">
        <f t="array" aca="1" ref="S123" ca="1">IF(BBswitch=1,IF(ISBLANK($C123),"",IF(OR(_xll.BDP($C123,S$72)="#N/A Field Not Applicable",_xll.BDP($C123,S$72)="#N/A N/A"),"",_xll.BDP($C123,S$72))),S123)</f>
        <v>430.73786893459504</v>
      </c>
      <c r="T123" s="351" t="str" cm="1">
        <f t="array" aca="1" ref="T123" ca="1">IF(BBswitch=1,IF(ISBLANK($C123),"",IF(OR(_xll.BDP($C123,T$72)="#N/A Field Not Applicable",_xll.BDP($C123,T$72)="#N/A N/A"),"",_xll.BDP($C123,T$72))),T123)</f>
        <v/>
      </c>
      <c r="U123" s="351" cm="1">
        <f t="array" aca="1" ref="U123" ca="1">IF(BBswitch=1,IF(ISBLANK($C123),"",IF(OR(_xll.BDP($C123,U$72)="#N/A Field Not Applicable",_xll.BDP($C123,U$72)="#N/A N/A"),"",_xll.BDP($C123,U$72))),U123)</f>
        <v>4.4379549938373763</v>
      </c>
      <c r="V123" s="352" t="str">
        <f ca="1">IF(BBswitch=1,IF(ISBLANK($C123),"",IF(_xll.BDP($C123,V$72)="#N/A N/A","NA ",_xll.BDP($C123,V$72))),V123)</f>
        <v>2nd lien</v>
      </c>
      <c r="W123" s="353" t="str" cm="1">
        <f t="array" aca="1" ref="W123" ca="1">IF(BBswitch=1,IF(ISBLANK($C123),"",IF(_xll.BDP($C123,W$72)="#N/A N/A","NA ",_xll.BDP($C123,W$72))),W123)</f>
        <v>American Airlines 2017-2 Class A Pass Through Trust</v>
      </c>
      <c r="X123" s="343" t="str">
        <f ca="1">IF(BBswitch=1,IF(ISBLANK($C123),"",IF(_xll.BDP($C123,X$73)="#N/A N/A","NA ",_xll.BDP($C123,X$73))),X123)</f>
        <v>AAL 3.6 29</v>
      </c>
    </row>
    <row r="124" spans="3:24">
      <c r="C124" s="6" t="s">
        <v>1665</v>
      </c>
      <c r="D124" s="343" t="str">
        <f ca="1">IF(BBswitch=1,IF(ISBLANK($C124),"",IF(_xll.BDP($C124,D$73)="#N/A N/A","NA ",_xll.BDP($C124,D$73))),D124)</f>
        <v>AAL 3.35 29</v>
      </c>
      <c r="E124" s="344" t="str">
        <f ca="1">IF(BBswitch=1,IF(ISBLANK($C124),"",IF(_xll.BDP($C124,E$73)="#N/A N/A","NA ",_xll.BDP($C124,E$73))),E124)</f>
        <v xml:space="preserve">NA </v>
      </c>
      <c r="F124" s="354">
        <f ca="1">IF(BBswitch=1,IF(ISBLANK($C124),"",IF(_xll.BDP($C124,F$72)="#N/A N/A","NA ",_xll.BDP($C124,F$72)/10^6)/P124),F124)</f>
        <v>426.73458160000001</v>
      </c>
      <c r="G124" s="1022">
        <f ca="1">IF(BBswitch=1,IF(ISBLANK($C124),"",IF(_xll.BDP($C124,G$72)="#N/A N/A","NA ",_xll.BDP($C124,G$72)/100)),G124)</f>
        <v>3.3500000000000002E-2</v>
      </c>
      <c r="H124" s="355">
        <f ca="1">IF(BBswitch=1,IF(ISBLANK($C124),"",IF(_xll.BDP($C124,H$72)="#N/A N/A","NA ",_xll.BDP($C124,H$72)/100)),H124)</f>
        <v>0.90245999999999993</v>
      </c>
      <c r="I124" s="355">
        <f ca="1">IF(BBswitch=1,IF(ISBLANK($C124),"",IF(_xll.BDP($C124,I$72)="#N/A N/A","NA ",_xll.BDP($C124,I$72)/100)),I124)</f>
        <v>3.7221808646570591E-2</v>
      </c>
      <c r="J124" s="355">
        <f ca="1">IF(BBswitch=1,IF(ISBLANK($C124),"",IF(_xll.BDP($C124,J$72)="#N/A N/A","NA ",_xll.BDP($C124,J$72)/100)),J124)</f>
        <v>5.5673207790865105E-2</v>
      </c>
      <c r="K124" s="345" t="str">
        <f ca="1">IF(BBswitch=1,IF(ISBLANK($C124),"",IF(_xll.BDP($C124,K$72)="#N/A N/A","NA ",_xll.BDP($C124,K$72))),K124)</f>
        <v>10/15/2029</v>
      </c>
      <c r="L124" s="346" t="e">
        <f t="shared" ca="1" si="9"/>
        <v>#VALUE!</v>
      </c>
      <c r="M124" s="345" t="str">
        <f ca="1">IF(BBswitch=1,IF(ISBLANK($C124),"",IF(_xll.BDP($C124,M$72)="#N/A N/A","NA ",_xll.BDP($C124,M$72))),M124)</f>
        <v>8/14/2017</v>
      </c>
      <c r="N124" s="347" t="str" cm="1">
        <f t="array" aca="1" ref="N124" ca="1">IF(BBswitch=1,IF(ISBLANK($C124),"",IF(_xll.BDP($C124,N$72)="#N/A Field Not Applicable","Notes",_xll.BDP($C124,N$72))),N124)</f>
        <v>Notes</v>
      </c>
      <c r="O124" s="348" cm="1">
        <f t="array" aca="1" ref="O124" ca="1">IF(BBswitch=1,IF(ISBLANK($C124),"",IFERROR(IF(_xll.BDP($C124,O$72)="#N/A N/A","NA ",_xll.BDP($C124,O$72)/10^6),0)/P124),O124)</f>
        <v>0</v>
      </c>
      <c r="P124" s="349" cm="1">
        <f t="array" aca="1" ref="P124" ca="1">+IF(BBswitch=1,IF(ISBLANK($C124),"",IF(_xll.BDP("USD"&amp;Q124&amp;" BGN Curncy","px last")="#N/A Invalid Security",1,_xll.BDP("USD"&amp;Q124&amp;" BGN Curncy","px last"))),P124)</f>
        <v>1</v>
      </c>
      <c r="Q124" s="350" t="str">
        <f ca="1">IF(BBswitch=1,IF(ISBLANK($C124),"",IF(_xll.BDP($C124,Q$72)="#N/A N/A","NA ",_xll.BDP($C124,Q$72))),Q124)</f>
        <v>USD</v>
      </c>
      <c r="R124" s="351" t="str" cm="1">
        <f t="array" aca="1" ref="R124" ca="1">IF(BBswitch=1,IF(ISBLANK($C124),"",IF(OR(_xll.BDP($C124,R$72)="#N/A Field Not Applicable",_xll.BDP($C124,R$72)="#N/A N/A"),"",_xll.BDP($C124,R$72))),R124)</f>
        <v/>
      </c>
      <c r="S124" s="351" cm="1">
        <f t="array" aca="1" ref="S124" ca="1">IF(BBswitch=1,IF(ISBLANK($C124),"",IF(OR(_xll.BDP($C124,S$72)="#N/A Field Not Applicable",_xll.BDP($C124,S$72)="#N/A N/A"),"",_xll.BDP($C124,S$72))),S124)</f>
        <v>239.30735717884417</v>
      </c>
      <c r="T124" s="351" t="str" cm="1">
        <f t="array" aca="1" ref="T124" ca="1">IF(BBswitch=1,IF(ISBLANK($C124),"",IF(OR(_xll.BDP($C124,T$72)="#N/A Field Not Applicable",_xll.BDP($C124,T$72)="#N/A N/A"),"",_xll.BDP($C124,T$72))),T124)</f>
        <v/>
      </c>
      <c r="U124" s="351" cm="1">
        <f t="array" aca="1" ref="U124" ca="1">IF(BBswitch=1,IF(ISBLANK($C124),"",IF(OR(_xll.BDP($C124,U$72)="#N/A Field Not Applicable",_xll.BDP($C124,U$72)="#N/A N/A"),"",_xll.BDP($C124,U$72))),U124)</f>
        <v>4.6170470622904416</v>
      </c>
      <c r="V124" s="352" t="str">
        <f ca="1">IF(BBswitch=1,IF(ISBLANK($C124),"",IF(_xll.BDP($C124,V$72)="#N/A N/A","NA ",_xll.BDP($C124,V$72))),V124)</f>
        <v>1st lien</v>
      </c>
      <c r="W124" s="353" t="str" cm="1">
        <f t="array" aca="1" ref="W124" ca="1">IF(BBswitch=1,IF(ISBLANK($C124),"",IF(_xll.BDP($C124,W$72)="#N/A N/A","NA ",_xll.BDP($C124,W$72))),W124)</f>
        <v>American Airlines 2017-2 Class AA Pass Through Trust</v>
      </c>
      <c r="X124" s="343" t="str">
        <f ca="1">IF(BBswitch=1,IF(ISBLANK($C124),"",IF(_xll.BDP($C124,X$73)="#N/A N/A","NA ",_xll.BDP($C124,X$73))),X124)</f>
        <v>AAL 3.35 29</v>
      </c>
    </row>
    <row r="125" spans="3:24">
      <c r="C125" s="6" t="s">
        <v>1648</v>
      </c>
      <c r="D125" s="343" t="str">
        <f ca="1">IF(BBswitch=1,IF(ISBLANK($C125),"",IF(_xll.BDP($C125,D$73)="#N/A N/A","NA ",_xll.BDP($C125,D$73))),D125)</f>
        <v>AAL 3.25 28</v>
      </c>
      <c r="E125" s="344" t="str">
        <f ca="1">IF(BBswitch=1,IF(ISBLANK($C125),"",IF(_xll.BDP($C125,E$73)="#N/A N/A","NA ",_xll.BDP($C125,E$73))),E125)</f>
        <v xml:space="preserve">NA </v>
      </c>
      <c r="F125" s="354">
        <f ca="1">IF(BBswitch=1,IF(ISBLANK($C125),"",IF(_xll.BDP($C125,F$72)="#N/A N/A","NA ",_xll.BDP($C125,F$72)/10^6)/P125),F125)</f>
        <v>191.29598249</v>
      </c>
      <c r="G125" s="1022">
        <f ca="1">IF(BBswitch=1,IF(ISBLANK($C125),"",IF(_xll.BDP($C125,G$72)="#N/A N/A","NA ",_xll.BDP($C125,G$72)/100)),G125)</f>
        <v>3.2500000000000001E-2</v>
      </c>
      <c r="H125" s="355">
        <f ca="1">IF(BBswitch=1,IF(ISBLANK($C125),"",IF(_xll.BDP($C125,H$72)="#N/A N/A","NA ",_xll.BDP($C125,H$72)/100)),H125)</f>
        <v>0.82054000000000005</v>
      </c>
      <c r="I125" s="355">
        <f ca="1">IF(BBswitch=1,IF(ISBLANK($C125),"",IF(_xll.BDP($C125,I$72)="#N/A N/A","NA ",_xll.BDP($C125,I$72)/100)),I125)</f>
        <v>4.1984239762304615E-2</v>
      </c>
      <c r="J125" s="355">
        <f ca="1">IF(BBswitch=1,IF(ISBLANK($C125),"",IF(_xll.BDP($C125,J$72)="#N/A N/A","NA ",_xll.BDP($C125,J$72)/100)),J125)</f>
        <v>9.2174998310173298E-2</v>
      </c>
      <c r="K125" s="345" t="str">
        <f ca="1">IF(BBswitch=1,IF(ISBLANK($C125),"",IF(_xll.BDP($C125,K$72)="#N/A N/A","NA ",_xll.BDP($C125,K$72))),K125)</f>
        <v>10/15/2028</v>
      </c>
      <c r="L125" s="346" t="e">
        <f t="shared" ca="1" si="9"/>
        <v>#VALUE!</v>
      </c>
      <c r="M125" s="345" t="str">
        <f ca="1">IF(BBswitch=1,IF(ISBLANK($C125),"",IF(_xll.BDP($C125,M$72)="#N/A N/A","NA ",_xll.BDP($C125,M$72))),M125)</f>
        <v>10/3/2016</v>
      </c>
      <c r="N125" s="347" t="str" cm="1">
        <f t="array" aca="1" ref="N125" ca="1">IF(BBswitch=1,IF(ISBLANK($C125),"",IF(_xll.BDP($C125,N$72)="#N/A Field Not Applicable","Notes",_xll.BDP($C125,N$72))),N125)</f>
        <v>Notes</v>
      </c>
      <c r="O125" s="348" cm="1">
        <f t="array" aca="1" ref="O125" ca="1">IF(BBswitch=1,IF(ISBLANK($C125),"",IFERROR(IF(_xll.BDP($C125,O$72)="#N/A N/A","NA ",_xll.BDP($C125,O$72)/10^6),0)/P125),O125)</f>
        <v>0</v>
      </c>
      <c r="P125" s="349" cm="1">
        <f t="array" aca="1" ref="P125" ca="1">+IF(BBswitch=1,IF(ISBLANK($C125),"",IF(_xll.BDP("USD"&amp;Q125&amp;" BGN Curncy","px last")="#N/A Invalid Security",1,_xll.BDP("USD"&amp;Q125&amp;" BGN Curncy","px last"))),P125)</f>
        <v>1</v>
      </c>
      <c r="Q125" s="350" t="str">
        <f ca="1">IF(BBswitch=1,IF(ISBLANK($C125),"",IF(_xll.BDP($C125,Q$72)="#N/A N/A","NA ",_xll.BDP($C125,Q$72))),Q125)</f>
        <v>USD</v>
      </c>
      <c r="R125" s="351" t="str" cm="1">
        <f t="array" aca="1" ref="R125" ca="1">IF(BBswitch=1,IF(ISBLANK($C125),"",IF(OR(_xll.BDP($C125,R$72)="#N/A Field Not Applicable",_xll.BDP($C125,R$72)="#N/A N/A"),"",_xll.BDP($C125,R$72))),R125)</f>
        <v/>
      </c>
      <c r="S125" s="351" cm="1">
        <f t="array" aca="1" ref="S125" ca="1">IF(BBswitch=1,IF(ISBLANK($C125),"",IF(OR(_xll.BDP($C125,S$72)="#N/A Field Not Applicable",_xll.BDP($C125,S$72)="#N/A N/A"),"",_xll.BDP($C125,S$72))),S125)</f>
        <v>531.9248905047051</v>
      </c>
      <c r="T125" s="351" t="str" cm="1">
        <f t="array" aca="1" ref="T125" ca="1">IF(BBswitch=1,IF(ISBLANK($C125),"",IF(OR(_xll.BDP($C125,T$72)="#N/A Field Not Applicable",_xll.BDP($C125,T$72)="#N/A N/A"),"",_xll.BDP($C125,T$72))),T125)</f>
        <v/>
      </c>
      <c r="U125" s="351" cm="1">
        <f t="array" aca="1" ref="U125" ca="1">IF(BBswitch=1,IF(ISBLANK($C125),"",IF(OR(_xll.BDP($C125,U$72)="#N/A Field Not Applicable",_xll.BDP($C125,U$72)="#N/A N/A"),"",_xll.BDP($C125,U$72))),U125)</f>
        <v>4.1064315782902812</v>
      </c>
      <c r="V125" s="352" t="str">
        <f ca="1">IF(BBswitch=1,IF(ISBLANK($C125),"",IF(_xll.BDP($C125,V$72)="#N/A N/A","NA ",_xll.BDP($C125,V$72))),V125)</f>
        <v>2nd lien</v>
      </c>
      <c r="W125" s="353" t="str" cm="1">
        <f t="array" aca="1" ref="W125" ca="1">IF(BBswitch=1,IF(ISBLANK($C125),"",IF(_xll.BDP($C125,W$72)="#N/A N/A","NA ",_xll.BDP($C125,W$72))),W125)</f>
        <v>American Airlines 2016-3 Class A Pass Through Trust</v>
      </c>
      <c r="X125" s="343" t="str">
        <f ca="1">IF(BBswitch=1,IF(ISBLANK($C125),"",IF(_xll.BDP($C125,X$73)="#N/A N/A","NA ",_xll.BDP($C125,X$73))),X125)</f>
        <v>AAL 3.25 28</v>
      </c>
    </row>
    <row r="126" spans="3:24">
      <c r="C126" s="6" t="s">
        <v>1666</v>
      </c>
      <c r="D126" s="343" t="str">
        <f ca="1">IF(BBswitch=1,IF(ISBLANK($C126),"",IF(_xll.BDP($C126,D$73)="#N/A N/A","NA ",_xll.BDP($C126,D$73))),D126)</f>
        <v>AAL 3 28</v>
      </c>
      <c r="E126" s="344" t="str">
        <f ca="1">IF(BBswitch=1,IF(ISBLANK($C126),"",IF(_xll.BDP($C126,E$73)="#N/A N/A","NA ",_xll.BDP($C126,E$73))),E126)</f>
        <v xml:space="preserve">NA </v>
      </c>
      <c r="F126" s="354">
        <f ca="1">IF(BBswitch=1,IF(ISBLANK($C126),"",IF(_xll.BDP($C126,F$72)="#N/A N/A","NA ",_xll.BDP($C126,F$72)/10^6)/P126),F126)</f>
        <v>416.44904650000001</v>
      </c>
      <c r="G126" s="1022">
        <f ca="1">IF(BBswitch=1,IF(ISBLANK($C126),"",IF(_xll.BDP($C126,G$72)="#N/A N/A","NA ",_xll.BDP($C126,G$72)/100)),G126)</f>
        <v>0.03</v>
      </c>
      <c r="H126" s="355">
        <f ca="1">IF(BBswitch=1,IF(ISBLANK($C126),"",IF(_xll.BDP($C126,H$72)="#N/A N/A","NA ",_xll.BDP($C126,H$72)/100)),H126)</f>
        <v>0.88529999999999998</v>
      </c>
      <c r="I126" s="355">
        <f ca="1">IF(BBswitch=1,IF(ISBLANK($C126),"",IF(_xll.BDP($C126,I$72)="#N/A N/A","NA ",_xll.BDP($C126,I$72)/100)),I126)</f>
        <v>3.3963930306015015E-2</v>
      </c>
      <c r="J126" s="355">
        <f ca="1">IF(BBswitch=1,IF(ISBLANK($C126),"",IF(_xll.BDP($C126,J$72)="#N/A N/A","NA ",_xll.BDP($C126,J$72)/100)),J126)</f>
        <v>5.8044892057236862E-2</v>
      </c>
      <c r="K126" s="345" t="str">
        <f ca="1">IF(BBswitch=1,IF(ISBLANK($C126),"",IF(_xll.BDP($C126,K$72)="#N/A N/A","NA ",_xll.BDP($C126,K$72))),K126)</f>
        <v>10/15/2028</v>
      </c>
      <c r="L126" s="346" t="e">
        <f t="shared" ca="1" si="9"/>
        <v>#VALUE!</v>
      </c>
      <c r="M126" s="345" t="str">
        <f ca="1">IF(BBswitch=1,IF(ISBLANK($C126),"",IF(_xll.BDP($C126,M$72)="#N/A N/A","NA ",_xll.BDP($C126,M$72))),M126)</f>
        <v>10/3/2016</v>
      </c>
      <c r="N126" s="347" t="str" cm="1">
        <f t="array" aca="1" ref="N126" ca="1">IF(BBswitch=1,IF(ISBLANK($C126),"",IF(_xll.BDP($C126,N$72)="#N/A Field Not Applicable","Notes",_xll.BDP($C126,N$72))),N126)</f>
        <v>Notes</v>
      </c>
      <c r="O126" s="348" cm="1">
        <f t="array" aca="1" ref="O126" ca="1">IF(BBswitch=1,IF(ISBLANK($C126),"",IFERROR(IF(_xll.BDP($C126,O$72)="#N/A N/A","NA ",_xll.BDP($C126,O$72)/10^6),0)/P126),O126)</f>
        <v>0</v>
      </c>
      <c r="P126" s="349" cm="1">
        <f t="array" aca="1" ref="P126" ca="1">+IF(BBswitch=1,IF(ISBLANK($C126),"",IF(_xll.BDP("USD"&amp;Q126&amp;" BGN Curncy","px last")="#N/A Invalid Security",1,_xll.BDP("USD"&amp;Q126&amp;" BGN Curncy","px last"))),P126)</f>
        <v>1</v>
      </c>
      <c r="Q126" s="350" t="str">
        <f ca="1">IF(BBswitch=1,IF(ISBLANK($C126),"",IF(_xll.BDP($C126,Q$72)="#N/A N/A","NA ",_xll.BDP($C126,Q$72))),Q126)</f>
        <v>USD</v>
      </c>
      <c r="R126" s="351" t="str" cm="1">
        <f t="array" aca="1" ref="R126" ca="1">IF(BBswitch=1,IF(ISBLANK($C126),"",IF(OR(_xll.BDP($C126,R$72)="#N/A Field Not Applicable",_xll.BDP($C126,R$72)="#N/A N/A"),"",_xll.BDP($C126,R$72))),R126)</f>
        <v/>
      </c>
      <c r="S126" s="351" cm="1">
        <f t="array" aca="1" ref="S126" ca="1">IF(BBswitch=1,IF(ISBLANK($C126),"",IF(OR(_xll.BDP($C126,S$72)="#N/A Field Not Applicable",_xll.BDP($C126,S$72)="#N/A N/A"),"",_xll.BDP($C126,S$72))),S126)</f>
        <v>262.10735146882524</v>
      </c>
      <c r="T126" s="351" t="str" cm="1">
        <f t="array" aca="1" ref="T126" ca="1">IF(BBswitch=1,IF(ISBLANK($C126),"",IF(OR(_xll.BDP($C126,T$72)="#N/A Field Not Applicable",_xll.BDP($C126,T$72)="#N/A N/A"),"",_xll.BDP($C126,T$72))),T126)</f>
        <v/>
      </c>
      <c r="U126" s="351" cm="1">
        <f t="array" aca="1" ref="U126" ca="1">IF(BBswitch=1,IF(ISBLANK($C126),"",IF(OR(_xll.BDP($C126,U$72)="#N/A Field Not Applicable",_xll.BDP($C126,U$72)="#N/A N/A"),"",_xll.BDP($C126,U$72))),U126)</f>
        <v>4.2999449897886572</v>
      </c>
      <c r="V126" s="352" t="str">
        <f ca="1">IF(BBswitch=1,IF(ISBLANK($C126),"",IF(_xll.BDP($C126,V$72)="#N/A N/A","NA ",_xll.BDP($C126,V$72))),V126)</f>
        <v>1st lien</v>
      </c>
      <c r="W126" s="353" t="str" cm="1">
        <f t="array" aca="1" ref="W126" ca="1">IF(BBswitch=1,IF(ISBLANK($C126),"",IF(_xll.BDP($C126,W$72)="#N/A N/A","NA ",_xll.BDP($C126,W$72))),W126)</f>
        <v>American Airlines 2016-3 Class AA Pass Through Trust</v>
      </c>
      <c r="X126" s="343" t="str">
        <f ca="1">IF(BBswitch=1,IF(ISBLANK($C126),"",IF(_xll.BDP($C126,X$73)="#N/A N/A","NA ",_xll.BDP($C126,X$73))),X126)</f>
        <v>AAL 3 28</v>
      </c>
    </row>
    <row r="127" spans="3:24">
      <c r="C127" s="6" t="s">
        <v>1667</v>
      </c>
      <c r="D127" s="343" t="str">
        <f ca="1">IF(BBswitch=1,IF(ISBLANK($C127),"",IF(_xll.BDP($C127,D$73)="#N/A N/A","NA ",_xll.BDP($C127,D$73))),D127)</f>
        <v>AAL 3.75 25</v>
      </c>
      <c r="E127" s="344" t="str">
        <f ca="1">IF(BBswitch=1,IF(ISBLANK($C127),"",IF(_xll.BDP($C127,E$73)="#N/A N/A","NA ",_xll.BDP($C127,E$73))),E127)</f>
        <v xml:space="preserve">NA </v>
      </c>
      <c r="F127" s="354">
        <f ca="1">IF(BBswitch=1,IF(ISBLANK($C127),"",IF(_xll.BDP($C127,F$72)="#N/A N/A","NA ",_xll.BDP($C127,F$72)/10^6)/P127),F127)</f>
        <v>116.50392120000002</v>
      </c>
      <c r="G127" s="1022">
        <f ca="1">IF(BBswitch=1,IF(ISBLANK($C127),"",IF(_xll.BDP($C127,G$72)="#N/A N/A","NA ",_xll.BDP($C127,G$72)/100)),G127)</f>
        <v>3.7499999999999999E-2</v>
      </c>
      <c r="H127" s="355">
        <f ca="1">IF(BBswitch=1,IF(ISBLANK($C127),"",IF(_xll.BDP($C127,H$72)="#N/A N/A","NA ",_xll.BDP($C127,H$72)/100)),H127)</f>
        <v>0.88052000000000008</v>
      </c>
      <c r="I127" s="355">
        <f ca="1">IF(BBswitch=1,IF(ISBLANK($C127),"",IF(_xll.BDP($C127,I$72)="#N/A N/A","NA ",_xll.BDP($C127,I$72)/100)),I127)</f>
        <v>4.2993740111439777E-2</v>
      </c>
      <c r="J127" s="355">
        <f ca="1">IF(BBswitch=1,IF(ISBLANK($C127),"",IF(_xll.BDP($C127,J$72)="#N/A N/A","NA ",_xll.BDP($C127,J$72)/100)),J127)</f>
        <v>9.8358614067314609E-2</v>
      </c>
      <c r="K127" s="345" t="str">
        <f ca="1">IF(BBswitch=1,IF(ISBLANK($C127),"",IF(_xll.BDP($C127,K$72)="#N/A N/A","NA ",_xll.BDP($C127,K$72))),K127)</f>
        <v>10/15/2025</v>
      </c>
      <c r="L127" s="346" t="e">
        <f t="shared" ca="1" si="9"/>
        <v>#VALUE!</v>
      </c>
      <c r="M127" s="345" t="str">
        <f ca="1">IF(BBswitch=1,IF(ISBLANK($C127),"",IF(_xll.BDP($C127,M$72)="#N/A N/A","NA ",_xll.BDP($C127,M$72))),M127)</f>
        <v>10/4/2017</v>
      </c>
      <c r="N127" s="347" t="str" cm="1">
        <f t="array" aca="1" ref="N127" ca="1">IF(BBswitch=1,IF(ISBLANK($C127),"",IF(_xll.BDP($C127,N$72)="#N/A Field Not Applicable","Notes",_xll.BDP($C127,N$72))),N127)</f>
        <v>Notes</v>
      </c>
      <c r="O127" s="348" cm="1">
        <f t="array" aca="1" ref="O127" ca="1">IF(BBswitch=1,IF(ISBLANK($C127),"",IFERROR(IF(_xll.BDP($C127,O$72)="#N/A N/A","NA ",_xll.BDP($C127,O$72)/10^6),0)/P127),O127)</f>
        <v>0</v>
      </c>
      <c r="P127" s="349" cm="1">
        <f t="array" aca="1" ref="P127" ca="1">+IF(BBswitch=1,IF(ISBLANK($C127),"",IF(_xll.BDP("USD"&amp;Q127&amp;" BGN Curncy","px last")="#N/A Invalid Security",1,_xll.BDP("USD"&amp;Q127&amp;" BGN Curncy","px last"))),P127)</f>
        <v>1</v>
      </c>
      <c r="Q127" s="350" t="str">
        <f ca="1">IF(BBswitch=1,IF(ISBLANK($C127),"",IF(_xll.BDP($C127,Q$72)="#N/A N/A","NA ",_xll.BDP($C127,Q$72))),Q127)</f>
        <v>USD</v>
      </c>
      <c r="R127" s="351" t="str" cm="1">
        <f t="array" aca="1" ref="R127" ca="1">IF(BBswitch=1,IF(ISBLANK($C127),"",IF(OR(_xll.BDP($C127,R$72)="#N/A Field Not Applicable",_xll.BDP($C127,R$72)="#N/A N/A"),"",_xll.BDP($C127,R$72))),R127)</f>
        <v/>
      </c>
      <c r="S127" s="351" cm="1">
        <f t="array" aca="1" ref="S127" ca="1">IF(BBswitch=1,IF(ISBLANK($C127),"",IF(OR(_xll.BDP($C127,S$72)="#N/A Field Not Applicable",_xll.BDP($C127,S$72)="#N/A N/A"),"",_xll.BDP($C127,S$72))),S127)</f>
        <v>620.57889603386286</v>
      </c>
      <c r="T127" s="351" t="str" cm="1">
        <f t="array" aca="1" ref="T127" ca="1">IF(BBswitch=1,IF(ISBLANK($C127),"",IF(OR(_xll.BDP($C127,T$72)="#N/A Field Not Applicable",_xll.BDP($C127,T$72)="#N/A N/A"),"",_xll.BDP($C127,T$72))),T127)</f>
        <v/>
      </c>
      <c r="U127" s="351" cm="1">
        <f t="array" aca="1" ref="U127" ca="1">IF(BBswitch=1,IF(ISBLANK($C127),"",IF(OR(_xll.BDP($C127,U$72)="#N/A Field Not Applicable",_xll.BDP($C127,U$72)="#N/A N/A"),"",_xll.BDP($C127,U$72))),U127)</f>
        <v>2.1672045401067526</v>
      </c>
      <c r="V127" s="352" t="str">
        <f ca="1">IF(BBswitch=1,IF(ISBLANK($C127),"",IF(_xll.BDP($C127,V$72)="#N/A N/A","NA ",_xll.BDP($C127,V$72))),V127)</f>
        <v>3rd lien</v>
      </c>
      <c r="W127" s="353" t="str" cm="1">
        <f t="array" aca="1" ref="W127" ca="1">IF(BBswitch=1,IF(ISBLANK($C127),"",IF(_xll.BDP($C127,W$72)="#N/A N/A","NA ",_xll.BDP($C127,W$72))),W127)</f>
        <v>American Airlines 2016-3 Class B Pass Through Trust</v>
      </c>
      <c r="X127" s="343" t="str">
        <f ca="1">IF(BBswitch=1,IF(ISBLANK($C127),"",IF(_xll.BDP($C127,X$73)="#N/A N/A","NA ",_xll.BDP($C127,X$73))),X127)</f>
        <v>AAL 3.75 25</v>
      </c>
    </row>
    <row r="128" spans="3:24">
      <c r="C128" s="6" t="s">
        <v>1668</v>
      </c>
      <c r="D128" s="343" t="str">
        <f ca="1">IF(BBswitch=1,IF(ISBLANK($C128),"",IF(_xll.BDP($C128,D$73)="#N/A N/A","NA ",_xll.BDP($C128,D$73))),D128)</f>
        <v>AAL 3.7 25</v>
      </c>
      <c r="E128" s="344" t="str">
        <f ca="1">IF(BBswitch=1,IF(ISBLANK($C128),"",IF(_xll.BDP($C128,E$73)="#N/A N/A","NA ",_xll.BDP($C128,E$73))),E128)</f>
        <v xml:space="preserve">NA </v>
      </c>
      <c r="F128" s="354">
        <f ca="1">IF(BBswitch=1,IF(ISBLANK($C128),"",IF(_xll.BDP($C128,F$72)="#N/A N/A","NA ",_xll.BDP($C128,F$72)/10^6)/P128),F128)</f>
        <v>131.45714391999999</v>
      </c>
      <c r="G128" s="1022">
        <f ca="1">IF(BBswitch=1,IF(ISBLANK($C128),"",IF(_xll.BDP($C128,G$72)="#N/A N/A","NA ",_xll.BDP($C128,G$72)/100)),G128)</f>
        <v>3.7000000000000005E-2</v>
      </c>
      <c r="H128" s="355">
        <f ca="1">IF(BBswitch=1,IF(ISBLANK($C128),"",IF(_xll.BDP($C128,H$72)="#N/A N/A","NA ",_xll.BDP($C128,H$72)/100)),H128)</f>
        <v>0.88617000000000001</v>
      </c>
      <c r="I128" s="355">
        <f ca="1">IF(BBswitch=1,IF(ISBLANK($C128),"",IF(_xll.BDP($C128,I$72)="#N/A N/A","NA ",_xll.BDP($C128,I$72)/100)),I128)</f>
        <v>4.2614454362222866E-2</v>
      </c>
      <c r="J128" s="355">
        <f ca="1">IF(BBswitch=1,IF(ISBLANK($C128),"",IF(_xll.BDP($C128,J$72)="#N/A N/A","NA ",_xll.BDP($C128,J$72)/100)),J128)</f>
        <v>0.10325309772491374</v>
      </c>
      <c r="K128" s="345" t="str">
        <f ca="1">IF(BBswitch=1,IF(ISBLANK($C128),"",IF(_xll.BDP($C128,K$72)="#N/A N/A","NA ",_xll.BDP($C128,K$72))),K128)</f>
        <v>10/15/2025</v>
      </c>
      <c r="L128" s="346" t="e">
        <f t="shared" ca="1" si="9"/>
        <v>#VALUE!</v>
      </c>
      <c r="M128" s="345" t="str">
        <f ca="1">IF(BBswitch=1,IF(ISBLANK($C128),"",IF(_xll.BDP($C128,M$72)="#N/A N/A","NA ",_xll.BDP($C128,M$72))),M128)</f>
        <v>10/5/2017</v>
      </c>
      <c r="N128" s="347" t="str" cm="1">
        <f t="array" aca="1" ref="N128" ca="1">IF(BBswitch=1,IF(ISBLANK($C128),"",IF(_xll.BDP($C128,N$72)="#N/A Field Not Applicable","Notes",_xll.BDP($C128,N$72))),N128)</f>
        <v>Notes</v>
      </c>
      <c r="O128" s="348" cm="1">
        <f t="array" aca="1" ref="O128" ca="1">IF(BBswitch=1,IF(ISBLANK($C128),"",IFERROR(IF(_xll.BDP($C128,O$72)="#N/A N/A","NA ",_xll.BDP($C128,O$72)/10^6),0)/P128),O128)</f>
        <v>0</v>
      </c>
      <c r="P128" s="349" cm="1">
        <f t="array" aca="1" ref="P128" ca="1">+IF(BBswitch=1,IF(ISBLANK($C128),"",IF(_xll.BDP("USD"&amp;Q128&amp;" BGN Curncy","px last")="#N/A Invalid Security",1,_xll.BDP("USD"&amp;Q128&amp;" BGN Curncy","px last"))),P128)</f>
        <v>1</v>
      </c>
      <c r="Q128" s="350" t="str">
        <f ca="1">IF(BBswitch=1,IF(ISBLANK($C128),"",IF(_xll.BDP($C128,Q$72)="#N/A N/A","NA ",_xll.BDP($C128,Q$72))),Q128)</f>
        <v>USD</v>
      </c>
      <c r="R128" s="351" t="str" cm="1">
        <f t="array" aca="1" ref="R128" ca="1">IF(BBswitch=1,IF(ISBLANK($C128),"",IF(OR(_xll.BDP($C128,R$72)="#N/A Field Not Applicable",_xll.BDP($C128,R$72)="#N/A N/A"),"",_xll.BDP($C128,R$72))),R128)</f>
        <v/>
      </c>
      <c r="S128" s="351" cm="1">
        <f t="array" aca="1" ref="S128" ca="1">IF(BBswitch=1,IF(ISBLANK($C128),"",IF(OR(_xll.BDP($C128,S$72)="#N/A Field Not Applicable",_xll.BDP($C128,S$72)="#N/A N/A"),"",_xll.BDP($C128,S$72))),S128)</f>
        <v>614.50854613002798</v>
      </c>
      <c r="T128" s="351" t="str" cm="1">
        <f t="array" aca="1" ref="T128" ca="1">IF(BBswitch=1,IF(ISBLANK($C128),"",IF(OR(_xll.BDP($C128,T$72)="#N/A Field Not Applicable",_xll.BDP($C128,T$72)="#N/A N/A"),"",_xll.BDP($C128,T$72))),T128)</f>
        <v/>
      </c>
      <c r="U128" s="351" cm="1">
        <f t="array" aca="1" ref="U128" ca="1">IF(BBswitch=1,IF(ISBLANK($C128),"",IF(OR(_xll.BDP($C128,U$72)="#N/A Field Not Applicable",_xll.BDP($C128,U$72)="#N/A N/A"),"",_xll.BDP($C128,U$72))),U128)</f>
        <v>2.0613452920987401</v>
      </c>
      <c r="V128" s="352" t="str">
        <f ca="1">IF(BBswitch=1,IF(ISBLANK($C128),"",IF(_xll.BDP($C128,V$72)="#N/A N/A","NA ",_xll.BDP($C128,V$72))),V128)</f>
        <v>3rd lien</v>
      </c>
      <c r="W128" s="353" t="str" cm="1">
        <f t="array" aca="1" ref="W128" ca="1">IF(BBswitch=1,IF(ISBLANK($C128),"",IF(_xll.BDP($C128,W$72)="#N/A N/A","NA ",_xll.BDP($C128,W$72))),W128)</f>
        <v>American Airlines 2017-2 Class B Pass Through Trust</v>
      </c>
      <c r="X128" s="343" t="str">
        <f ca="1">IF(BBswitch=1,IF(ISBLANK($C128),"",IF(_xll.BDP($C128,X$73)="#N/A N/A","NA ",_xll.BDP($C128,X$73))),X128)</f>
        <v>AAL 3.7 25</v>
      </c>
    </row>
    <row r="129" spans="3:24">
      <c r="C129" s="6" t="s">
        <v>1643</v>
      </c>
      <c r="D129" s="343" t="str">
        <f ca="1">IF(BBswitch=1,IF(ISBLANK($C129),"",IF(_xll.BDP($C129,D$73)="#N/A N/A","NA ",_xll.BDP($C129,D$73))),D129)</f>
        <v>AAL 3.7 26</v>
      </c>
      <c r="E129" s="344" t="str">
        <f ca="1">IF(BBswitch=1,IF(ISBLANK($C129),"",IF(_xll.BDP($C129,E$73)="#N/A N/A","NA ",_xll.BDP($C129,E$73))),E129)</f>
        <v xml:space="preserve">NA </v>
      </c>
      <c r="F129" s="354">
        <f ca="1">IF(BBswitch=1,IF(ISBLANK($C129),"",IF(_xll.BDP($C129,F$72)="#N/A N/A","NA ",_xll.BDP($C129,F$72)/10^6)/P129),F129)</f>
        <v>445.09257300000007</v>
      </c>
      <c r="G129" s="1022">
        <f ca="1">IF(BBswitch=1,IF(ISBLANK($C129),"",IF(_xll.BDP($C129,G$72)="#N/A N/A","NA ",_xll.BDP($C129,G$72)/100)),G129)</f>
        <v>3.7000000000000005E-2</v>
      </c>
      <c r="H129" s="355">
        <f ca="1">IF(BBswitch=1,IF(ISBLANK($C129),"",IF(_xll.BDP($C129,H$72)="#N/A N/A","NA ",_xll.BDP($C129,H$72)/100)),H129)</f>
        <v>0.85553000000000001</v>
      </c>
      <c r="I129" s="355">
        <f ca="1">IF(BBswitch=1,IF(ISBLANK($C129),"",IF(_xll.BDP($C129,I$72)="#N/A N/A","NA ",_xll.BDP($C129,I$72)/100)),I129)</f>
        <v>4.3748669803958667E-2</v>
      </c>
      <c r="J129" s="355">
        <f ca="1">IF(BBswitch=1,IF(ISBLANK($C129),"",IF(_xll.BDP($C129,J$72)="#N/A N/A","NA ",_xll.BDP($C129,J$72)/100)),J129)</f>
        <v>9.0410172286009699E-2</v>
      </c>
      <c r="K129" s="345" t="str">
        <f ca="1">IF(BBswitch=1,IF(ISBLANK($C129),"",IF(_xll.BDP($C129,K$72)="#N/A N/A","NA ",_xll.BDP($C129,K$72))),K129)</f>
        <v>10/1/2026</v>
      </c>
      <c r="L129" s="346">
        <f t="shared" ca="1" si="9"/>
        <v>2026</v>
      </c>
      <c r="M129" s="345" t="str">
        <f ca="1">IF(BBswitch=1,IF(ISBLANK($C129),"",IF(_xll.BDP($C129,M$72)="#N/A N/A","NA ",_xll.BDP($C129,M$72))),M129)</f>
        <v>9/16/2014</v>
      </c>
      <c r="N129" s="347" t="str" cm="1">
        <f t="array" aca="1" ref="N129" ca="1">IF(BBswitch=1,IF(ISBLANK($C129),"",IF(_xll.BDP($C129,N$72)="#N/A Field Not Applicable","Notes",_xll.BDP($C129,N$72))),N129)</f>
        <v>Notes</v>
      </c>
      <c r="O129" s="348" cm="1">
        <f t="array" aca="1" ref="O129" ca="1">IF(BBswitch=1,IF(ISBLANK($C129),"",IFERROR(IF(_xll.BDP($C129,O$72)="#N/A N/A","NA ",_xll.BDP($C129,O$72)/10^6),0)/P129),O129)</f>
        <v>0</v>
      </c>
      <c r="P129" s="349" cm="1">
        <f t="array" aca="1" ref="P129" ca="1">+IF(BBswitch=1,IF(ISBLANK($C129),"",IF(_xll.BDP("USD"&amp;Q129&amp;" BGN Curncy","px last")="#N/A Invalid Security",1,_xll.BDP("USD"&amp;Q129&amp;" BGN Curncy","px last"))),P129)</f>
        <v>1</v>
      </c>
      <c r="Q129" s="350" t="str">
        <f ca="1">IF(BBswitch=1,IF(ISBLANK($C129),"",IF(_xll.BDP($C129,Q$72)="#N/A N/A","NA ",_xll.BDP($C129,Q$72))),Q129)</f>
        <v>USD</v>
      </c>
      <c r="R129" s="351" t="str" cm="1">
        <f t="array" aca="1" ref="R129" ca="1">IF(BBswitch=1,IF(ISBLANK($C129),"",IF(OR(_xll.BDP($C129,R$72)="#N/A Field Not Applicable",_xll.BDP($C129,R$72)="#N/A N/A"),"",_xll.BDP($C129,R$72))),R129)</f>
        <v/>
      </c>
      <c r="S129" s="351" cm="1">
        <f t="array" aca="1" ref="S129" ca="1">IF(BBswitch=1,IF(ISBLANK($C129),"",IF(OR(_xll.BDP($C129,S$72)="#N/A Field Not Applicable",_xll.BDP($C129,S$72)="#N/A N/A"),"",_xll.BDP($C129,S$72))),S129)</f>
        <v>567.80340389801506</v>
      </c>
      <c r="T129" s="351" t="str" cm="1">
        <f t="array" aca="1" ref="T129" ca="1">IF(BBswitch=1,IF(ISBLANK($C129),"",IF(OR(_xll.BDP($C129,T$72)="#N/A Field Not Applicable",_xll.BDP($C129,T$72)="#N/A N/A"),"",_xll.BDP($C129,T$72))),T129)</f>
        <v/>
      </c>
      <c r="U129" s="351" cm="1">
        <f t="array" aca="1" ref="U129" ca="1">IF(BBswitch=1,IF(ISBLANK($C129),"",IF(OR(_xll.BDP($C129,U$72)="#N/A Field Not Applicable",_xll.BDP($C129,U$72)="#N/A N/A"),"",_xll.BDP($C129,U$72))),U129)</f>
        <v>3.0176578229413833</v>
      </c>
      <c r="V129" s="352" t="str">
        <f ca="1">IF(BBswitch=1,IF(ISBLANK($C129),"",IF(_xll.BDP($C129,V$72)="#N/A N/A","NA ",_xll.BDP($C129,V$72))),V129)</f>
        <v>1st lien</v>
      </c>
      <c r="W129" s="353" t="str" cm="1">
        <f t="array" aca="1" ref="W129" ca="1">IF(BBswitch=1,IF(ISBLANK($C129),"",IF(_xll.BDP($C129,W$72)="#N/A N/A","NA ",_xll.BDP($C129,W$72))),W129)</f>
        <v>American Airlines 2014-1 Class A Pass Through Trust</v>
      </c>
      <c r="X129" s="343" t="str">
        <f ca="1">IF(BBswitch=1,IF(ISBLANK($C129),"",IF(_xll.BDP($C129,X$73)="#N/A N/A","NA ",_xll.BDP($C129,X$73))),X129)</f>
        <v>AAL 3.7 26</v>
      </c>
    </row>
    <row r="130" spans="3:24">
      <c r="C130" s="6" t="s">
        <v>1639</v>
      </c>
      <c r="D130" s="343" t="str">
        <f ca="1">IF(BBswitch=1,IF(ISBLANK($C130),"",IF(_xll.BDP($C130,D$73)="#N/A N/A","NA ",_xll.BDP($C130,D$73))),D130)</f>
        <v>AAL 5.9 24</v>
      </c>
      <c r="E130" s="344" t="str">
        <f ca="1">IF(BBswitch=1,IF(ISBLANK($C130),"",IF(_xll.BDP($C130,E$73)="#N/A N/A","NA ",_xll.BDP($C130,E$73))),E130)</f>
        <v xml:space="preserve">NA </v>
      </c>
      <c r="F130" s="354">
        <f ca="1">IF(BBswitch=1,IF(ISBLANK($C130),"",IF(_xll.BDP($C130,F$72)="#N/A N/A","NA ",_xll.BDP($C130,F$72)/10^6)/P130),F130)</f>
        <v>161.50808347600002</v>
      </c>
      <c r="G130" s="1022">
        <f ca="1">IF(BBswitch=1,IF(ISBLANK($C130),"",IF(_xll.BDP($C130,G$72)="#N/A N/A","NA ",_xll.BDP($C130,G$72)/100)),G130)</f>
        <v>5.9000000000000004E-2</v>
      </c>
      <c r="H130" s="355">
        <f ca="1">IF(BBswitch=1,IF(ISBLANK($C130),"",IF(_xll.BDP($C130,H$72)="#N/A N/A","NA ",_xll.BDP($C130,H$72)/100)),H130)</f>
        <v>0.97643000000000002</v>
      </c>
      <c r="I130" s="355">
        <f ca="1">IF(BBswitch=1,IF(ISBLANK($C130),"",IF(_xll.BDP($C130,I$72)="#N/A N/A","NA ",_xll.BDP($C130,I$72)/100)),I130)</f>
        <v>6.0540141191922511E-2</v>
      </c>
      <c r="J130" s="355">
        <f ca="1">IF(BBswitch=1,IF(ISBLANK($C130),"",IF(_xll.BDP($C130,J$72)="#N/A N/A","NA ",_xll.BDP($C130,J$72)/100)),J130)</f>
        <v>7.3949626797268839E-2</v>
      </c>
      <c r="K130" s="345" t="str">
        <f ca="1">IF(BBswitch=1,IF(ISBLANK($C130),"",IF(_xll.BDP($C130,K$72)="#N/A N/A","NA ",_xll.BDP($C130,K$72))),K130)</f>
        <v>10/1/2024</v>
      </c>
      <c r="L130" s="346">
        <f t="shared" ca="1" si="9"/>
        <v>2024</v>
      </c>
      <c r="M130" s="345" t="str">
        <f ca="1">IF(BBswitch=1,IF(ISBLANK($C130),"",IF(_xll.BDP($C130,M$72)="#N/A N/A","NA ",_xll.BDP($C130,M$72))),M130)</f>
        <v>5/14/2012</v>
      </c>
      <c r="N130" s="347" t="str" cm="1">
        <f t="array" aca="1" ref="N130" ca="1">IF(BBswitch=1,IF(ISBLANK($C130),"",IF(_xll.BDP($C130,N$72)="#N/A Field Not Applicable","Notes",_xll.BDP($C130,N$72))),N130)</f>
        <v>Notes</v>
      </c>
      <c r="O130" s="348" cm="1">
        <f t="array" aca="1" ref="O130" ca="1">IF(BBswitch=1,IF(ISBLANK($C130),"",IFERROR(IF(_xll.BDP($C130,O$72)="#N/A N/A","NA ",_xll.BDP($C130,O$72)/10^6),0)/P130),O130)</f>
        <v>0</v>
      </c>
      <c r="P130" s="349" cm="1">
        <f t="array" aca="1" ref="P130" ca="1">+IF(BBswitch=1,IF(ISBLANK($C130),"",IF(_xll.BDP("USD"&amp;Q130&amp;" BGN Curncy","px last")="#N/A Invalid Security",1,_xll.BDP("USD"&amp;Q130&amp;" BGN Curncy","px last"))),P130)</f>
        <v>1</v>
      </c>
      <c r="Q130" s="350" t="str">
        <f ca="1">IF(BBswitch=1,IF(ISBLANK($C130),"",IF(_xll.BDP($C130,Q$72)="#N/A N/A","NA ",_xll.BDP($C130,Q$72))),Q130)</f>
        <v>USD</v>
      </c>
      <c r="R130" s="351" t="str" cm="1">
        <f t="array" aca="1" ref="R130" ca="1">IF(BBswitch=1,IF(ISBLANK($C130),"",IF(OR(_xll.BDP($C130,R$72)="#N/A Field Not Applicable",_xll.BDP($C130,R$72)="#N/A N/A"),"",_xll.BDP($C130,R$72))),R130)</f>
        <v/>
      </c>
      <c r="S130" s="351" cm="1">
        <f t="array" aca="1" ref="S130" ca="1">IF(BBswitch=1,IF(ISBLANK($C130),"",IF(OR(_xll.BDP($C130,S$72)="#N/A Field Not Applicable",_xll.BDP($C130,S$72)="#N/A N/A"),"",_xll.BDP($C130,S$72))),S130)</f>
        <v>407.34981139816449</v>
      </c>
      <c r="T130" s="351" t="str" cm="1">
        <f t="array" aca="1" ref="T130" ca="1">IF(BBswitch=1,IF(ISBLANK($C130),"",IF(OR(_xll.BDP($C130,T$72)="#N/A Field Not Applicable",_xll.BDP($C130,T$72)="#N/A N/A"),"",_xll.BDP($C130,T$72))),T130)</f>
        <v/>
      </c>
      <c r="U130" s="351" cm="1">
        <f t="array" aca="1" ref="U130" ca="1">IF(BBswitch=1,IF(ISBLANK($C130),"",IF(OR(_xll.BDP($C130,U$72)="#N/A Field Not Applicable",_xll.BDP($C130,U$72)="#N/A N/A"),"",_xll.BDP($C130,U$72))),U130)</f>
        <v>1.6820229133533515</v>
      </c>
      <c r="V130" s="352" t="str">
        <f ca="1">IF(BBswitch=1,IF(ISBLANK($C130),"",IF(_xll.BDP($C130,V$72)="#N/A N/A","NA ",_xll.BDP($C130,V$72))),V130)</f>
        <v>1st lien</v>
      </c>
      <c r="W130" s="353" t="str" cm="1">
        <f t="array" aca="1" ref="W130" ca="1">IF(BBswitch=1,IF(ISBLANK($C130),"",IF(_xll.BDP($C130,W$72)="#N/A N/A","NA ",_xll.BDP($C130,W$72))),W130)</f>
        <v>US Airways 2012-1 Class A Pass Through Trust</v>
      </c>
      <c r="X130" s="343" t="str">
        <f ca="1">IF(BBswitch=1,IF(ISBLANK($C130),"",IF(_xll.BDP($C130,X$73)="#N/A N/A","NA ",_xll.BDP($C130,X$73))),X130)</f>
        <v>AAL 5.9 24</v>
      </c>
    </row>
    <row r="131" spans="3:24">
      <c r="C131" s="6" t="s">
        <v>1669</v>
      </c>
      <c r="D131" s="343" t="str">
        <f ca="1">IF(BBswitch=1,IF(ISBLANK($C131),"",IF(_xll.BDP($C131,D$73)="#N/A N/A","NA ",_xll.BDP($C131,D$73))),D131)</f>
        <v>AAL 4.375 22</v>
      </c>
      <c r="E131" s="344" t="str">
        <f ca="1">IF(BBswitch=1,IF(ISBLANK($C131),"",IF(_xll.BDP($C131,E$73)="#N/A N/A","NA ",_xll.BDP($C131,E$73))),E131)</f>
        <v xml:space="preserve">NA </v>
      </c>
      <c r="F131" s="354">
        <f ca="1">IF(BBswitch=1,IF(ISBLANK($C131),"",IF(_xll.BDP($C131,F$72)="#N/A N/A","NA ",_xll.BDP($C131,F$72)/10^6)/P131),F131)</f>
        <v>75.671628169900004</v>
      </c>
      <c r="G131" s="1022">
        <f ca="1">IF(BBswitch=1,IF(ISBLANK($C131),"",IF(_xll.BDP($C131,G$72)="#N/A N/A","NA ",_xll.BDP($C131,G$72)/100)),G131)</f>
        <v>4.3749999999999997E-2</v>
      </c>
      <c r="H131" s="355">
        <f ca="1">IF(BBswitch=1,IF(ISBLANK($C131),"",IF(_xll.BDP($C131,H$72)="#N/A N/A","NA ",_xll.BDP($C131,H$72)/100)),H131)</f>
        <v>0.99219999999999997</v>
      </c>
      <c r="I131" s="355">
        <f ca="1">IF(BBswitch=1,IF(ISBLANK($C131),"",IF(_xll.BDP($C131,I$72)="#N/A N/A","NA ",_xll.BDP($C131,I$72)/100)),I131)</f>
        <v>4.4158020105777386E-2</v>
      </c>
      <c r="J131" s="355">
        <f ca="1">IF(BBswitch=1,IF(ISBLANK($C131),"",IF(_xll.BDP($C131,J$72)="#N/A N/A","NA ",_xll.BDP($C131,J$72)/100)),J131)</f>
        <v>9.1569563162717568E-2</v>
      </c>
      <c r="K131" s="345" t="str">
        <f ca="1">IF(BBswitch=1,IF(ISBLANK($C131),"",IF(_xll.BDP($C131,K$72)="#N/A N/A","NA ",_xll.BDP($C131,K$72))),K131)</f>
        <v>10/1/2022</v>
      </c>
      <c r="L131" s="346">
        <f t="shared" ca="1" si="9"/>
        <v>2022</v>
      </c>
      <c r="M131" s="345" t="str">
        <f ca="1">IF(BBswitch=1,IF(ISBLANK($C131),"",IF(_xll.BDP($C131,M$72)="#N/A N/A","NA ",_xll.BDP($C131,M$72))),M131)</f>
        <v>9/16/2014</v>
      </c>
      <c r="N131" s="347" t="str" cm="1">
        <f t="array" aca="1" ref="N131" ca="1">IF(BBswitch=1,IF(ISBLANK($C131),"",IF(_xll.BDP($C131,N$72)="#N/A Field Not Applicable","Notes",_xll.BDP($C131,N$72))),N131)</f>
        <v>Notes</v>
      </c>
      <c r="O131" s="348" cm="1">
        <f t="array" aca="1" ref="O131" ca="1">IF(BBswitch=1,IF(ISBLANK($C131),"",IFERROR(IF(_xll.BDP($C131,O$72)="#N/A N/A","NA ",_xll.BDP($C131,O$72)/10^6),0)/P131),O131)</f>
        <v>0</v>
      </c>
      <c r="P131" s="349" cm="1">
        <f t="array" aca="1" ref="P131" ca="1">+IF(BBswitch=1,IF(ISBLANK($C131),"",IF(_xll.BDP("USD"&amp;Q131&amp;" BGN Curncy","px last")="#N/A Invalid Security",1,_xll.BDP("USD"&amp;Q131&amp;" BGN Curncy","px last"))),P131)</f>
        <v>1</v>
      </c>
      <c r="Q131" s="350" t="str">
        <f ca="1">IF(BBswitch=1,IF(ISBLANK($C131),"",IF(_xll.BDP($C131,Q$72)="#N/A N/A","NA ",_xll.BDP($C131,Q$72))),Q131)</f>
        <v>USD</v>
      </c>
      <c r="R131" s="351" t="str" cm="1">
        <f t="array" aca="1" ref="R131" ca="1">IF(BBswitch=1,IF(ISBLANK($C131),"",IF(OR(_xll.BDP($C131,R$72)="#N/A Field Not Applicable",_xll.BDP($C131,R$72)="#N/A N/A"),"",_xll.BDP($C131,R$72))),R131)</f>
        <v/>
      </c>
      <c r="S131" s="351" cm="1">
        <f t="array" aca="1" ref="S131" ca="1">IF(BBswitch=1,IF(ISBLANK($C131),"",IF(OR(_xll.BDP($C131,S$72)="#N/A Field Not Applicable",_xll.BDP($C131,S$72)="#N/A N/A"),"",_xll.BDP($C131,S$72))),S131)</f>
        <v>597.89938696542697</v>
      </c>
      <c r="T131" s="351" t="str" cm="1">
        <f t="array" aca="1" ref="T131" ca="1">IF(BBswitch=1,IF(ISBLANK($C131),"",IF(OR(_xll.BDP($C131,T$72)="#N/A Field Not Applicable",_xll.BDP($C131,T$72)="#N/A N/A"),"",_xll.BDP($C131,T$72))),T131)</f>
        <v/>
      </c>
      <c r="U131" s="351" cm="1">
        <f t="array" aca="1" ref="U131" ca="1">IF(BBswitch=1,IF(ISBLANK($C131),"",IF(OR(_xll.BDP($C131,U$72)="#N/A Field Not Applicable",_xll.BDP($C131,U$72)="#N/A N/A"),"",_xll.BDP($C131,U$72))),U131)</f>
        <v>0.18656385743893911</v>
      </c>
      <c r="V131" s="352" t="str">
        <f ca="1">IF(BBswitch=1,IF(ISBLANK($C131),"",IF(_xll.BDP($C131,V$72)="#N/A N/A","NA ",_xll.BDP($C131,V$72))),V131)</f>
        <v>2nd lien</v>
      </c>
      <c r="W131" s="353" t="str" cm="1">
        <f t="array" aca="1" ref="W131" ca="1">IF(BBswitch=1,IF(ISBLANK($C131),"",IF(_xll.BDP($C131,W$72)="#N/A N/A","NA ",_xll.BDP($C131,W$72))),W131)</f>
        <v>American Airlines 2014-1 Class B Pass Through Trust</v>
      </c>
      <c r="X131" s="343" t="str">
        <f ca="1">IF(BBswitch=1,IF(ISBLANK($C131),"",IF(_xll.BDP($C131,X$73)="#N/A N/A","NA ",_xll.BDP($C131,X$73))),X131)</f>
        <v>AAL 4.375 22</v>
      </c>
    </row>
    <row r="132" spans="3:24">
      <c r="C132" s="6" t="s">
        <v>1646</v>
      </c>
      <c r="D132" s="343" t="str">
        <f ca="1">IF(BBswitch=1,IF(ISBLANK($C132),"",IF(_xll.BDP($C132,D$73)="#N/A N/A","NA ",_xll.BDP($C132,D$73))),D132)</f>
        <v>AAL 4.1 28</v>
      </c>
      <c r="E132" s="344" t="str">
        <f ca="1">IF(BBswitch=1,IF(ISBLANK($C132),"",IF(_xll.BDP($C132,E$73)="#N/A N/A","NA ",_xll.BDP($C132,E$73))),E132)</f>
        <v xml:space="preserve">NA </v>
      </c>
      <c r="F132" s="354">
        <f ca="1">IF(BBswitch=1,IF(ISBLANK($C132),"",IF(_xll.BDP($C132,F$72)="#N/A N/A","NA ",_xll.BDP($C132,F$72)/10^6)/P132),F132)</f>
        <v>187.31819999999999</v>
      </c>
      <c r="G132" s="1022">
        <f ca="1">IF(BBswitch=1,IF(ISBLANK($C132),"",IF(_xll.BDP($C132,G$72)="#N/A N/A","NA ",_xll.BDP($C132,G$72)/100)),G132)</f>
        <v>4.0999999999999995E-2</v>
      </c>
      <c r="H132" s="355">
        <f ca="1">IF(BBswitch=1,IF(ISBLANK($C132),"",IF(_xll.BDP($C132,H$72)="#N/A N/A","NA ",_xll.BDP($C132,H$72)/100)),H132)</f>
        <v>0.80629999999999991</v>
      </c>
      <c r="I132" s="355">
        <f ca="1">IF(BBswitch=1,IF(ISBLANK($C132),"",IF(_xll.BDP($C132,I$72)="#N/A N/A","NA ",_xll.BDP($C132,I$72)/100)),I132)</f>
        <v>5.2790832421296584E-2</v>
      </c>
      <c r="J132" s="355">
        <f ca="1">IF(BBswitch=1,IF(ISBLANK($C132),"",IF(_xll.BDP($C132,J$72)="#N/A N/A","NA ",_xll.BDP($C132,J$72)/100)),J132)</f>
        <v>0.10529707981605099</v>
      </c>
      <c r="K132" s="345" t="str">
        <f ca="1">IF(BBswitch=1,IF(ISBLANK($C132),"",IF(_xll.BDP($C132,K$72)="#N/A N/A","NA ",_xll.BDP($C132,K$72))),K132)</f>
        <v>1/15/2028</v>
      </c>
      <c r="L132" s="346" t="e">
        <f t="shared" ca="1" si="9"/>
        <v>#VALUE!</v>
      </c>
      <c r="M132" s="345" t="str">
        <f ca="1">IF(BBswitch=1,IF(ISBLANK($C132),"",IF(_xll.BDP($C132,M$72)="#N/A N/A","NA ",_xll.BDP($C132,M$72))),M132)</f>
        <v>1/19/2016</v>
      </c>
      <c r="N132" s="347" t="str" cm="1">
        <f t="array" aca="1" ref="N132" ca="1">IF(BBswitch=1,IF(ISBLANK($C132),"",IF(_xll.BDP($C132,N$72)="#N/A Field Not Applicable","Notes",_xll.BDP($C132,N$72))),N132)</f>
        <v>Notes</v>
      </c>
      <c r="O132" s="348" cm="1">
        <f t="array" aca="1" ref="O132" ca="1">IF(BBswitch=1,IF(ISBLANK($C132),"",IFERROR(IF(_xll.BDP($C132,O$72)="#N/A N/A","NA ",_xll.BDP($C132,O$72)/10^6),0)/P132),O132)</f>
        <v>0</v>
      </c>
      <c r="P132" s="349" cm="1">
        <f t="array" aca="1" ref="P132" ca="1">+IF(BBswitch=1,IF(ISBLANK($C132),"",IF(_xll.BDP("USD"&amp;Q132&amp;" BGN Curncy","px last")="#N/A Invalid Security",1,_xll.BDP("USD"&amp;Q132&amp;" BGN Curncy","px last"))),P132)</f>
        <v>1</v>
      </c>
      <c r="Q132" s="350" t="str">
        <f ca="1">IF(BBswitch=1,IF(ISBLANK($C132),"",IF(_xll.BDP($C132,Q$72)="#N/A N/A","NA ",_xll.BDP($C132,Q$72))),Q132)</f>
        <v>USD</v>
      </c>
      <c r="R132" s="351" t="str" cm="1">
        <f t="array" aca="1" ref="R132" ca="1">IF(BBswitch=1,IF(ISBLANK($C132),"",IF(OR(_xll.BDP($C132,R$72)="#N/A Field Not Applicable",_xll.BDP($C132,R$72)="#N/A N/A"),"",_xll.BDP($C132,R$72))),R132)</f>
        <v/>
      </c>
      <c r="S132" s="351" cm="1">
        <f t="array" aca="1" ref="S132" ca="1">IF(BBswitch=1,IF(ISBLANK($C132),"",IF(OR(_xll.BDP($C132,S$72)="#N/A Field Not Applicable",_xll.BDP($C132,S$72)="#N/A N/A"),"",_xll.BDP($C132,S$72))),S132)</f>
        <v>685.57216876439941</v>
      </c>
      <c r="T132" s="351" t="str" cm="1">
        <f t="array" aca="1" ref="T132" ca="1">IF(BBswitch=1,IF(ISBLANK($C132),"",IF(OR(_xll.BDP($C132,T$72)="#N/A Field Not Applicable",_xll.BDP($C132,T$72)="#N/A N/A"),"",_xll.BDP($C132,T$72))),T132)</f>
        <v/>
      </c>
      <c r="U132" s="351" cm="1">
        <f t="array" aca="1" ref="U132" ca="1">IF(BBswitch=1,IF(ISBLANK($C132),"",IF(OR(_xll.BDP($C132,U$72)="#N/A Field Not Applicable",_xll.BDP($C132,U$72)="#N/A N/A"),"",_xll.BDP($C132,U$72))),U132)</f>
        <v>3.7995678678617288</v>
      </c>
      <c r="V132" s="352" t="str">
        <f ca="1">IF(BBswitch=1,IF(ISBLANK($C132),"",IF(_xll.BDP($C132,V$72)="#N/A N/A","NA ",_xll.BDP($C132,V$72))),V132)</f>
        <v>2nd lien</v>
      </c>
      <c r="W132" s="353" t="str" cm="1">
        <f t="array" aca="1" ref="W132" ca="1">IF(BBswitch=1,IF(ISBLANK($C132),"",IF(_xll.BDP($C132,W$72)="#N/A N/A","NA ",_xll.BDP($C132,W$72))),W132)</f>
        <v>American Airlines 2016-1 Class A Pass Through Trust</v>
      </c>
      <c r="X132" s="343" t="str">
        <f ca="1">IF(BBswitch=1,IF(ISBLANK($C132),"",IF(_xll.BDP($C132,X$73)="#N/A N/A","NA ",_xll.BDP($C132,X$73))),X132)</f>
        <v>AAL 4.1 28</v>
      </c>
    </row>
    <row r="133" spans="3:24">
      <c r="C133" s="6" t="s">
        <v>1670</v>
      </c>
      <c r="D133" s="343" t="str">
        <f ca="1">IF(BBswitch=1,IF(ISBLANK($C133),"",IF(_xll.BDP($C133,D$73)="#N/A N/A","NA ",_xll.BDP($C133,D$73))),D133)</f>
        <v>AAL 3.575 28</v>
      </c>
      <c r="E133" s="344" t="str">
        <f ca="1">IF(BBswitch=1,IF(ISBLANK($C133),"",IF(_xll.BDP($C133,E$73)="#N/A N/A","NA ",_xll.BDP($C133,E$73))),E133)</f>
        <v xml:space="preserve">NA </v>
      </c>
      <c r="F133" s="354">
        <f ca="1">IF(BBswitch=1,IF(ISBLANK($C133),"",IF(_xll.BDP($C133,F$72)="#N/A N/A","NA ",_xll.BDP($C133,F$72)/10^6)/P133),F133)</f>
        <v>417.46472000000006</v>
      </c>
      <c r="G133" s="1022">
        <f ca="1">IF(BBswitch=1,IF(ISBLANK($C133),"",IF(_xll.BDP($C133,G$72)="#N/A N/A","NA ",_xll.BDP($C133,G$72)/100)),G133)</f>
        <v>3.5750000000000004E-2</v>
      </c>
      <c r="H133" s="355">
        <f ca="1">IF(BBswitch=1,IF(ISBLANK($C133),"",IF(_xll.BDP($C133,H$72)="#N/A N/A","NA ",_xll.BDP($C133,H$72)/100)),H133)</f>
        <v>0.91421999999999992</v>
      </c>
      <c r="I133" s="355">
        <f ca="1">IF(BBswitch=1,IF(ISBLANK($C133),"",IF(_xll.BDP($C133,I$72)="#N/A N/A","NA ",_xll.BDP($C133,I$72)/100)),I133)</f>
        <v>3.9249483992797859E-2</v>
      </c>
      <c r="J133" s="355">
        <f ca="1">IF(BBswitch=1,IF(ISBLANK($C133),"",IF(_xll.BDP($C133,J$72)="#N/A N/A","NA ",_xll.BDP($C133,J$72)/100)),J133)</f>
        <v>5.8597455694954712E-2</v>
      </c>
      <c r="K133" s="345" t="str">
        <f ca="1">IF(BBswitch=1,IF(ISBLANK($C133),"",IF(_xll.BDP($C133,K$72)="#N/A N/A","NA ",_xll.BDP($C133,K$72))),K133)</f>
        <v>1/15/2028</v>
      </c>
      <c r="L133" s="346" t="e">
        <f t="shared" ca="1" si="9"/>
        <v>#VALUE!</v>
      </c>
      <c r="M133" s="345" t="str">
        <f ca="1">IF(BBswitch=1,IF(ISBLANK($C133),"",IF(_xll.BDP($C133,M$72)="#N/A N/A","NA ",_xll.BDP($C133,M$72))),M133)</f>
        <v>1/19/2016</v>
      </c>
      <c r="N133" s="347" t="str" cm="1">
        <f t="array" aca="1" ref="N133" ca="1">IF(BBswitch=1,IF(ISBLANK($C133),"",IF(_xll.BDP($C133,N$72)="#N/A Field Not Applicable","Notes",_xll.BDP($C133,N$72))),N133)</f>
        <v>Notes</v>
      </c>
      <c r="O133" s="348" cm="1">
        <f t="array" aca="1" ref="O133" ca="1">IF(BBswitch=1,IF(ISBLANK($C133),"",IFERROR(IF(_xll.BDP($C133,O$72)="#N/A N/A","NA ",_xll.BDP($C133,O$72)/10^6),0)/P133),O133)</f>
        <v>0</v>
      </c>
      <c r="P133" s="349" cm="1">
        <f t="array" aca="1" ref="P133" ca="1">+IF(BBswitch=1,IF(ISBLANK($C133),"",IF(_xll.BDP("USD"&amp;Q133&amp;" BGN Curncy","px last")="#N/A Invalid Security",1,_xll.BDP("USD"&amp;Q133&amp;" BGN Curncy","px last"))),P133)</f>
        <v>1</v>
      </c>
      <c r="Q133" s="350" t="str">
        <f ca="1">IF(BBswitch=1,IF(ISBLANK($C133),"",IF(_xll.BDP($C133,Q$72)="#N/A N/A","NA ",_xll.BDP($C133,Q$72))),Q133)</f>
        <v>USD</v>
      </c>
      <c r="R133" s="351" t="str" cm="1">
        <f t="array" aca="1" ref="R133" ca="1">IF(BBswitch=1,IF(ISBLANK($C133),"",IF(OR(_xll.BDP($C133,R$72)="#N/A Field Not Applicable",_xll.BDP($C133,R$72)="#N/A N/A"),"",_xll.BDP($C133,R$72))),R133)</f>
        <v/>
      </c>
      <c r="S133" s="351" cm="1">
        <f t="array" aca="1" ref="S133" ca="1">IF(BBswitch=1,IF(ISBLANK($C133),"",IF(OR(_xll.BDP($C133,S$72)="#N/A Field Not Applicable",_xll.BDP($C133,S$72)="#N/A N/A"),"",_xll.BDP($C133,S$72))),S133)</f>
        <v>262.72341500165811</v>
      </c>
      <c r="T133" s="351" t="str" cm="1">
        <f t="array" aca="1" ref="T133" ca="1">IF(BBswitch=1,IF(ISBLANK($C133),"",IF(OR(_xll.BDP($C133,T$72)="#N/A Field Not Applicable",_xll.BDP($C133,T$72)="#N/A N/A"),"",_xll.BDP($C133,T$72))),T133)</f>
        <v/>
      </c>
      <c r="U133" s="351" cm="1">
        <f t="array" aca="1" ref="U133" ca="1">IF(BBswitch=1,IF(ISBLANK($C133),"",IF(OR(_xll.BDP($C133,U$72)="#N/A Field Not Applicable",_xll.BDP($C133,U$72)="#N/A N/A"),"",_xll.BDP($C133,U$72))),U133)</f>
        <v>4.0342628621889238</v>
      </c>
      <c r="V133" s="352" t="str">
        <f ca="1">IF(BBswitch=1,IF(ISBLANK($C133),"",IF(_xll.BDP($C133,V$72)="#N/A N/A","NA ",_xll.BDP($C133,V$72))),V133)</f>
        <v>1st lien</v>
      </c>
      <c r="W133" s="353" t="str" cm="1">
        <f t="array" aca="1" ref="W133" ca="1">IF(BBswitch=1,IF(ISBLANK($C133),"",IF(_xll.BDP($C133,W$72)="#N/A N/A","NA ",_xll.BDP($C133,W$72))),W133)</f>
        <v>American Airlines 2016-1 Class AA Pass Through Trust</v>
      </c>
      <c r="X133" s="343" t="str">
        <f ca="1">IF(BBswitch=1,IF(ISBLANK($C133),"",IF(_xll.BDP($C133,X$73)="#N/A N/A","NA ",_xll.BDP($C133,X$73))),X133)</f>
        <v>AAL 3.575 28</v>
      </c>
    </row>
    <row r="134" spans="3:24">
      <c r="C134" s="6" t="s">
        <v>1671</v>
      </c>
      <c r="D134" s="343" t="str">
        <f ca="1">IF(BBswitch=1,IF(ISBLANK($C134),"",IF(_xll.BDP($C134,D$73)="#N/A N/A","NA ",_xll.BDP($C134,D$73))),D134)</f>
        <v>AAL 5.25 24</v>
      </c>
      <c r="E134" s="344" t="str">
        <f ca="1">IF(BBswitch=1,IF(ISBLANK($C134),"",IF(_xll.BDP($C134,E$73)="#N/A N/A","NA ",_xll.BDP($C134,E$73))),E134)</f>
        <v xml:space="preserve">NA </v>
      </c>
      <c r="F134" s="354">
        <f ca="1">IF(BBswitch=1,IF(ISBLANK($C134),"",IF(_xll.BDP($C134,F$72)="#N/A N/A","NA ",_xll.BDP($C134,F$72)/10^6)/P134),F134)</f>
        <v>110.989225</v>
      </c>
      <c r="G134" s="1022">
        <f ca="1">IF(BBswitch=1,IF(ISBLANK($C134),"",IF(_xll.BDP($C134,G$72)="#N/A N/A","NA ",_xll.BDP($C134,G$72)/100)),G134)</f>
        <v>5.2499999999999998E-2</v>
      </c>
      <c r="H134" s="355">
        <f ca="1">IF(BBswitch=1,IF(ISBLANK($C134),"",IF(_xll.BDP($C134,H$72)="#N/A N/A","NA ",_xll.BDP($C134,H$72)/100)),H134)</f>
        <v>0.93539000000000005</v>
      </c>
      <c r="I134" s="355">
        <f ca="1">IF(BBswitch=1,IF(ISBLANK($C134),"",IF(_xll.BDP($C134,I$72)="#N/A N/A","NA ",_xll.BDP($C134,I$72)/100)),I134)</f>
        <v>5.6140726086724053E-2</v>
      </c>
      <c r="J134" s="355">
        <f ca="1">IF(BBswitch=1,IF(ISBLANK($C134),"",IF(_xll.BDP($C134,J$72)="#N/A N/A","NA ",_xll.BDP($C134,J$72)/100)),J134)</f>
        <v>0.10369226681858945</v>
      </c>
      <c r="K134" s="345" t="str">
        <f ca="1">IF(BBswitch=1,IF(ISBLANK($C134),"",IF(_xll.BDP($C134,K$72)="#N/A N/A","NA ",_xll.BDP($C134,K$72))),K134)</f>
        <v>1/15/2024</v>
      </c>
      <c r="L134" s="346" t="e">
        <f t="shared" ca="1" si="9"/>
        <v>#VALUE!</v>
      </c>
      <c r="M134" s="345" t="str">
        <f ca="1">IF(BBswitch=1,IF(ISBLANK($C134),"",IF(_xll.BDP($C134,M$72)="#N/A N/A","NA ",_xll.BDP($C134,M$72))),M134)</f>
        <v>1/19/2016</v>
      </c>
      <c r="N134" s="347" t="str" cm="1">
        <f t="array" aca="1" ref="N134" ca="1">IF(BBswitch=1,IF(ISBLANK($C134),"",IF(_xll.BDP($C134,N$72)="#N/A Field Not Applicable","Notes",_xll.BDP($C134,N$72))),N134)</f>
        <v>Notes</v>
      </c>
      <c r="O134" s="348" cm="1">
        <f t="array" aca="1" ref="O134" ca="1">IF(BBswitch=1,IF(ISBLANK($C134),"",IFERROR(IF(_xll.BDP($C134,O$72)="#N/A N/A","NA ",_xll.BDP($C134,O$72)/10^6),0)/P134),O134)</f>
        <v>0</v>
      </c>
      <c r="P134" s="349" cm="1">
        <f t="array" aca="1" ref="P134" ca="1">+IF(BBswitch=1,IF(ISBLANK($C134),"",IF(_xll.BDP("USD"&amp;Q134&amp;" BGN Curncy","px last")="#N/A Invalid Security",1,_xll.BDP("USD"&amp;Q134&amp;" BGN Curncy","px last"))),P134)</f>
        <v>1</v>
      </c>
      <c r="Q134" s="350" t="str">
        <f ca="1">IF(BBswitch=1,IF(ISBLANK($C134),"",IF(_xll.BDP($C134,Q$72)="#N/A N/A","NA ",_xll.BDP($C134,Q$72))),Q134)</f>
        <v>USD</v>
      </c>
      <c r="R134" s="351" t="str" cm="1">
        <f t="array" aca="1" ref="R134" ca="1">IF(BBswitch=1,IF(ISBLANK($C134),"",IF(OR(_xll.BDP($C134,R$72)="#N/A Field Not Applicable",_xll.BDP($C134,R$72)="#N/A N/A"),"",_xll.BDP($C134,R$72))),R134)</f>
        <v/>
      </c>
      <c r="S134" s="351" cm="1">
        <f t="array" aca="1" ref="S134" ca="1">IF(BBswitch=1,IF(ISBLANK($C134),"",IF(OR(_xll.BDP($C134,S$72)="#N/A Field Not Applicable",_xll.BDP($C134,S$72)="#N/A N/A"),"",_xll.BDP($C134,S$72))),S134)</f>
        <v>717.74383691456705</v>
      </c>
      <c r="T134" s="351" t="str" cm="1">
        <f t="array" aca="1" ref="T134" ca="1">IF(BBswitch=1,IF(ISBLANK($C134),"",IF(OR(_xll.BDP($C134,T$72)="#N/A Field Not Applicable",_xll.BDP($C134,T$72)="#N/A N/A"),"",_xll.BDP($C134,T$72))),T134)</f>
        <v/>
      </c>
      <c r="U134" s="351" cm="1">
        <f t="array" aca="1" ref="U134" ca="1">IF(BBswitch=1,IF(ISBLANK($C134),"",IF(OR(_xll.BDP($C134,U$72)="#N/A Field Not Applicable",_xll.BDP($C134,U$72)="#N/A N/A"),"",_xll.BDP($C134,U$72))),U134)</f>
        <v>1.293988712717332</v>
      </c>
      <c r="V134" s="352" t="str">
        <f ca="1">IF(BBswitch=1,IF(ISBLANK($C134),"",IF(_xll.BDP($C134,V$72)="#N/A N/A","NA ",_xll.BDP($C134,V$72))),V134)</f>
        <v>3rd lien</v>
      </c>
      <c r="W134" s="353" t="str" cm="1">
        <f t="array" aca="1" ref="W134" ca="1">IF(BBswitch=1,IF(ISBLANK($C134),"",IF(_xll.BDP($C134,W$72)="#N/A N/A","NA ",_xll.BDP($C134,W$72))),W134)</f>
        <v>American Airlines 2016-1 Class B Pass Through Trust</v>
      </c>
      <c r="X134" s="343" t="str">
        <f ca="1">IF(BBswitch=1,IF(ISBLANK($C134),"",IF(_xll.BDP($C134,X$73)="#N/A N/A","NA ",_xll.BDP($C134,X$73))),X134)</f>
        <v>AAL 5.25 24</v>
      </c>
    </row>
    <row r="135" spans="3:24">
      <c r="C135" s="6" t="s">
        <v>1642</v>
      </c>
      <c r="D135" s="343" t="str">
        <f ca="1">IF(BBswitch=1,IF(ISBLANK($C135),"",IF(_xll.BDP($C135,D$73)="#N/A N/A","NA ",_xll.BDP($C135,D$73))),D135)</f>
        <v>AAL 4.95 23</v>
      </c>
      <c r="E135" s="344" t="str">
        <f ca="1">IF(BBswitch=1,IF(ISBLANK($C135),"",IF(_xll.BDP($C135,E$73)="#N/A N/A","NA ",_xll.BDP($C135,E$73))),E135)</f>
        <v xml:space="preserve">NA </v>
      </c>
      <c r="F135" s="354">
        <f ca="1">IF(BBswitch=1,IF(ISBLANK($C135),"",IF(_xll.BDP($C135,F$72)="#N/A N/A","NA ",_xll.BDP($C135,F$72)/10^6)/P135),F135)</f>
        <v>226.855585203</v>
      </c>
      <c r="G135" s="1022">
        <f ca="1">IF(BBswitch=1,IF(ISBLANK($C135),"",IF(_xll.BDP($C135,G$72)="#N/A N/A","NA ",_xll.BDP($C135,G$72)/100)),G135)</f>
        <v>4.9500000000000002E-2</v>
      </c>
      <c r="H135" s="355">
        <f ca="1">IF(BBswitch=1,IF(ISBLANK($C135),"",IF(_xll.BDP($C135,H$72)="#N/A N/A","NA ",_xll.BDP($C135,H$72)/100)),H135)</f>
        <v>0.98617999999999995</v>
      </c>
      <c r="I135" s="355">
        <f ca="1">IF(BBswitch=1,IF(ISBLANK($C135),"",IF(_xll.BDP($C135,I$72)="#N/A N/A","NA ",_xll.BDP($C135,I$72)/100)),I135)</f>
        <v>5.0285458867510513E-2</v>
      </c>
      <c r="J135" s="355">
        <f ca="1">IF(BBswitch=1,IF(ISBLANK($C135),"",IF(_xll.BDP($C135,J$72)="#N/A N/A","NA ",_xll.BDP($C135,J$72)/100)),J135)</f>
        <v>8.3223900565310288E-2</v>
      </c>
      <c r="K135" s="345" t="str">
        <f ca="1">IF(BBswitch=1,IF(ISBLANK($C135),"",IF(_xll.BDP($C135,K$72)="#N/A N/A","NA ",_xll.BDP($C135,K$72))),K135)</f>
        <v>1/15/2023</v>
      </c>
      <c r="L135" s="346" t="e">
        <f t="shared" ca="1" si="9"/>
        <v>#VALUE!</v>
      </c>
      <c r="M135" s="345" t="str">
        <f ca="1">IF(BBswitch=1,IF(ISBLANK($C135),"",IF(_xll.BDP($C135,M$72)="#N/A N/A","NA ",_xll.BDP($C135,M$72))),M135)</f>
        <v>7/25/2014</v>
      </c>
      <c r="N135" s="347" t="str" cm="1">
        <f t="array" aca="1" ref="N135" ca="1">IF(BBswitch=1,IF(ISBLANK($C135),"",IF(_xll.BDP($C135,N$72)="#N/A Field Not Applicable","Notes",_xll.BDP($C135,N$72))),N135)</f>
        <v>Notes</v>
      </c>
      <c r="O135" s="348" cm="1">
        <f t="array" aca="1" ref="O135" ca="1">IF(BBswitch=1,IF(ISBLANK($C135),"",IFERROR(IF(_xll.BDP($C135,O$72)="#N/A N/A","NA ",_xll.BDP($C135,O$72)/10^6),0)/P135),O135)</f>
        <v>0</v>
      </c>
      <c r="P135" s="349" cm="1">
        <f t="array" aca="1" ref="P135" ca="1">+IF(BBswitch=1,IF(ISBLANK($C135),"",IF(_xll.BDP("USD"&amp;Q135&amp;" BGN Curncy","px last")="#N/A Invalid Security",1,_xll.BDP("USD"&amp;Q135&amp;" BGN Curncy","px last"))),P135)</f>
        <v>1</v>
      </c>
      <c r="Q135" s="350" t="str">
        <f ca="1">IF(BBswitch=1,IF(ISBLANK($C135),"",IF(_xll.BDP($C135,Q$72)="#N/A N/A","NA ",_xll.BDP($C135,Q$72))),Q135)</f>
        <v>USD</v>
      </c>
      <c r="R135" s="351" t="str" cm="1">
        <f t="array" aca="1" ref="R135" ca="1">IF(BBswitch=1,IF(ISBLANK($C135),"",IF(OR(_xll.BDP($C135,R$72)="#N/A Field Not Applicable",_xll.BDP($C135,R$72)="#N/A N/A"),"",_xll.BDP($C135,R$72))),R135)</f>
        <v/>
      </c>
      <c r="S135" s="351" cm="1">
        <f t="array" aca="1" ref="S135" ca="1">IF(BBswitch=1,IF(ISBLANK($C135),"",IF(OR(_xll.BDP($C135,S$72)="#N/A Field Not Applicable",_xll.BDP($C135,S$72)="#N/A N/A"),"",_xll.BDP($C135,S$72))),S135)</f>
        <v>496.56539150963454</v>
      </c>
      <c r="T135" s="351" t="str" cm="1">
        <f t="array" aca="1" ref="T135" ca="1">IF(BBswitch=1,IF(ISBLANK($C135),"",IF(OR(_xll.BDP($C135,T$72)="#N/A Field Not Applicable",_xll.BDP($C135,T$72)="#N/A N/A"),"",_xll.BDP($C135,T$72))),T135)</f>
        <v/>
      </c>
      <c r="U135" s="351" cm="1">
        <f t="array" aca="1" ref="U135" ca="1">IF(BBswitch=1,IF(ISBLANK($C135),"",IF(OR(_xll.BDP($C135,U$72)="#N/A Field Not Applicable",_xll.BDP($C135,U$72)="#N/A N/A"),"",_xll.BDP($C135,U$72))),U135)</f>
        <v>0.46626082251046308</v>
      </c>
      <c r="V135" s="352" t="str">
        <f ca="1">IF(BBswitch=1,IF(ISBLANK($C135),"",IF(_xll.BDP($C135,V$72)="#N/A N/A","NA ",_xll.BDP($C135,V$72))),V135)</f>
        <v>1st lien</v>
      </c>
      <c r="W135" s="353" t="str" cm="1">
        <f t="array" aca="1" ref="W135" ca="1">IF(BBswitch=1,IF(ISBLANK($C135),"",IF(_xll.BDP($C135,W$72)="#N/A N/A","NA ",_xll.BDP($C135,W$72))),W135)</f>
        <v>American Airlines 2013-2 Class A Pass Through Trust</v>
      </c>
      <c r="X135" s="343" t="str">
        <f ca="1">IF(BBswitch=1,IF(ISBLANK($C135),"",IF(_xll.BDP($C135,X$73)="#N/A N/A","NA ",_xll.BDP($C135,X$73))),X135)</f>
        <v>AAL 4.95 23</v>
      </c>
    </row>
    <row r="136" spans="3:24">
      <c r="C136" s="6" t="s">
        <v>1672</v>
      </c>
      <c r="D136" s="343" t="str">
        <f ca="1">IF(BBswitch=1,IF(ISBLANK($C136),"",IF(_xll.BDP($C136,D$73)="#N/A N/A","NA ",_xll.BDP($C136,D$73))),D136)</f>
        <v>AAL TL B 1L USD</v>
      </c>
      <c r="E136" s="344" t="str">
        <f ca="1">IF(BBswitch=1,IF(ISBLANK($C136),"",IF(_xll.BDP($C136,E$73)="#N/A N/A","NA ",_xll.BDP($C136,E$73))),E136)</f>
        <v>B-</v>
      </c>
      <c r="F136" s="354">
        <f ca="1">IF(BBswitch=1,IF(ISBLANK($C136),"",IF(_xll.BDP($C136,F$72)="#N/A N/A","NA ",_xll.BDP($C136,F$72)/10^6)/P136),F136)</f>
        <v>0</v>
      </c>
      <c r="G136" s="1022">
        <f ca="1">IF(BBswitch=1,IF(ISBLANK($C136),"",IF(_xll.BDP($C136,G$72)="#N/A N/A","NA ",_xll.BDP($C136,G$72)/100)),G136)</f>
        <v>3.334859967E-2</v>
      </c>
      <c r="H136" s="355">
        <f ca="1">IF(BBswitch=1,IF(ISBLANK($C136),"",IF(_xll.BDP($C136,H$72)="#N/A N/A","NA ",_xll.BDP($C136,H$72)/100)),H136)</f>
        <v>0.78500000000000003</v>
      </c>
      <c r="I136" s="355" t="e">
        <f ca="1">IF(BBswitch=1,IF(ISBLANK($C136),"",IF(_xll.BDP($C136,I$72)="#N/A N/A","NA ",_xll.BDP($C136,I$72)/100)),I136)</f>
        <v>#VALUE!</v>
      </c>
      <c r="J136" s="355" t="str">
        <f ca="1">IF(BBswitch=1,IF(ISBLANK($C136),"",IF(_xll.BDP($C136,J$72)="#N/A N/A","NA ",_xll.BDP($C136,J$72)/100)),J136)</f>
        <v xml:space="preserve">NA </v>
      </c>
      <c r="K136" s="345" t="str">
        <f ca="1">IF(BBswitch=1,IF(ISBLANK($C136),"",IF(_xll.BDP($C136,K$72)="#N/A N/A","NA ",_xll.BDP($C136,K$72))),K136)</f>
        <v>4/28/2023</v>
      </c>
      <c r="L136" s="346" t="e">
        <f t="shared" ref="L136:L141" ca="1" si="10">IF(ISBLANK($C136),"",YEAR(K136))</f>
        <v>#VALUE!</v>
      </c>
      <c r="M136" s="345" t="str">
        <f ca="1">IF(BBswitch=1,IF(ISBLANK($C136),"",IF(_xll.BDP($C136,M$72)="#N/A N/A","NA ",_xll.BDP($C136,M$72))),M136)</f>
        <v>11/1/2017</v>
      </c>
      <c r="N136" s="347" t="str" cm="1">
        <f t="array" aca="1" ref="N136" ca="1">IF(BBswitch=1,IF(ISBLANK($C136),"",IF(_xll.BDP($C136,N$72)="#N/A Field Not Applicable","Notes",_xll.BDP($C136,N$72))),N136)</f>
        <v>TERM</v>
      </c>
      <c r="O136" s="348" cm="1">
        <f t="array" aca="1" ref="O136" ca="1">IF(BBswitch=1,IF(ISBLANK($C136),"",IFERROR(IF(_xll.BDP($C136,O$72)="#N/A N/A","NA ",_xll.BDP($C136,O$72)/10^6),0)/P136),O136)</f>
        <v>990</v>
      </c>
      <c r="P136" s="349" cm="1">
        <f t="array" aca="1" ref="P136" ca="1">+IF(BBswitch=1,IF(ISBLANK($C136),"",IF(_xll.BDP("USD"&amp;Q136&amp;" BGN Curncy","px last")="#N/A Invalid Security",1,_xll.BDP("USD"&amp;Q136&amp;" BGN Curncy","px last"))),P136)</f>
        <v>1</v>
      </c>
      <c r="Q136" s="350" t="str">
        <f ca="1">IF(BBswitch=1,IF(ISBLANK($C136),"",IF(_xll.BDP($C136,Q$72)="#N/A N/A","NA ",_xll.BDP($C136,Q$72))),Q136)</f>
        <v>USD</v>
      </c>
      <c r="R136" s="351" t="str" cm="1">
        <f t="array" aca="1" ref="R136" ca="1">IF(BBswitch=1,IF(ISBLANK($C136),"",IF(OR(_xll.BDP($C136,R$72)="#N/A Field Not Applicable",_xll.BDP($C136,R$72)="#N/A N/A"),"",_xll.BDP($C136,R$72))),R136)</f>
        <v/>
      </c>
      <c r="S136" s="351" t="str" cm="1">
        <f t="array" aca="1" ref="S136" ca="1">IF(BBswitch=1,IF(ISBLANK($C136),"",IF(OR(_xll.BDP($C136,S$72)="#N/A Field Not Applicable",_xll.BDP($C136,S$72)="#N/A N/A"),"",_xll.BDP($C136,S$72))),S136)</f>
        <v/>
      </c>
      <c r="T136" s="351" t="str" cm="1">
        <f t="array" aca="1" ref="T136" ca="1">IF(BBswitch=1,IF(ISBLANK($C136),"",IF(OR(_xll.BDP($C136,T$72)="#N/A Field Not Applicable",_xll.BDP($C136,T$72)="#N/A N/A"),"",_xll.BDP($C136,T$72))),T136)</f>
        <v/>
      </c>
      <c r="U136" s="351" t="str" cm="1">
        <f t="array" aca="1" ref="U136" ca="1">IF(BBswitch=1,IF(ISBLANK($C136),"",IF(OR(_xll.BDP($C136,U$72)="#N/A Field Not Applicable",_xll.BDP($C136,U$72)="#N/A N/A"),"",_xll.BDP($C136,U$72))),U136)</f>
        <v/>
      </c>
      <c r="V136" s="352" t="str">
        <f ca="1">IF(BBswitch=1,IF(ISBLANK($C136),"",IF(_xll.BDP($C136,V$72)="#N/A N/A","NA ",_xll.BDP($C136,V$72))),V136)</f>
        <v>1L Gtd Sr. Secd</v>
      </c>
      <c r="W136" s="353" t="str" cm="1">
        <f t="array" aca="1" ref="W136" ca="1">IF(BBswitch=1,IF(ISBLANK($C136),"",IF(_xll.BDP($C136,W$72)="#N/A N/A","NA ",_xll.BDP($C136,W$72))),W136)</f>
        <v>American Airlines Inc</v>
      </c>
      <c r="X136" s="343" t="str">
        <f ca="1">IF(BBswitch=1,IF(ISBLANK($C136),"",IF(_xll.BDP($C136,X$73)="#N/A N/A","NA ",_xll.BDP($C136,X$73))),X136)</f>
        <v>AAL TL B 1L USD</v>
      </c>
    </row>
    <row r="137" spans="3:24">
      <c r="C137" s="6" t="s">
        <v>1673</v>
      </c>
      <c r="D137" s="343" t="str">
        <f ca="1">IF(BBswitch=1,IF(ISBLANK($C137),"",IF(_xll.BDP($C137,D$73)="#N/A N/A","NA ",_xll.BDP($C137,D$73))),D137)</f>
        <v>AAL REV EXT 1L USD</v>
      </c>
      <c r="E137" s="344" t="str">
        <f ca="1">IF(BBswitch=1,IF(ISBLANK($C137),"",IF(_xll.BDP($C137,E$73)="#N/A N/A","NA ",_xll.BDP($C137,E$73))),E137)</f>
        <v>B-</v>
      </c>
      <c r="F137" s="354">
        <f ca="1">IF(BBswitch=1,IF(ISBLANK($C137),"",IF(_xll.BDP($C137,F$72)="#N/A N/A","NA ",_xll.BDP($C137,F$72)/10^6)/P137),F137)</f>
        <v>0</v>
      </c>
      <c r="G137" s="1022">
        <f ca="1">IF(BBswitch=1,IF(ISBLANK($C137),"",IF(_xll.BDP($C137,G$72)="#N/A N/A","NA ",_xll.BDP($C137,G$72)/100)),G137)</f>
        <v>4.2851400379999995E-2</v>
      </c>
      <c r="H137" s="355" t="str">
        <f ca="1">IF(BBswitch=1,IF(ISBLANK($C137),"",IF(_xll.BDP($C137,H$72)="#N/A N/A","NA ",_xll.BDP($C137,H$72)/100)),H137)</f>
        <v xml:space="preserve">NA </v>
      </c>
      <c r="I137" s="355" t="e">
        <f ca="1">IF(BBswitch=1,IF(ISBLANK($C137),"",IF(_xll.BDP($C137,I$72)="#N/A N/A","NA ",_xll.BDP($C137,I$72)/100)),I137)</f>
        <v>#VALUE!</v>
      </c>
      <c r="J137" s="355" t="str">
        <f ca="1">IF(BBswitch=1,IF(ISBLANK($C137),"",IF(_xll.BDP($C137,J$72)="#N/A N/A","NA ",_xll.BDP($C137,J$72)/100)),J137)</f>
        <v xml:space="preserve">NA </v>
      </c>
      <c r="K137" s="345" t="str">
        <f ca="1">IF(BBswitch=1,IF(ISBLANK($C137),"",IF(_xll.BDP($C137,K$72)="#N/A N/A","NA ",_xll.BDP($C137,K$72))),K137)</f>
        <v>10/11/2024</v>
      </c>
      <c r="L137" s="346">
        <f t="shared" ca="1" si="10"/>
        <v>2024</v>
      </c>
      <c r="M137" s="345" t="str">
        <f ca="1">IF(BBswitch=1,IF(ISBLANK($C137),"",IF(_xll.BDP($C137,M$72)="#N/A N/A","NA ",_xll.BDP($C137,M$72))),M137)</f>
        <v>12/10/2018</v>
      </c>
      <c r="N137" s="347" t="str" cm="1">
        <f t="array" aca="1" ref="N137" ca="1">IF(BBswitch=1,IF(ISBLANK($C137),"",IF(_xll.BDP($C137,N$72)="#N/A Field Not Applicable","Notes",_xll.BDP($C137,N$72))),N137)</f>
        <v>REV</v>
      </c>
      <c r="O137" s="348" cm="1">
        <f t="array" aca="1" ref="O137" ca="1">IF(BBswitch=1,IF(ISBLANK($C137),"",IFERROR(IF(_xll.BDP($C137,O$72)="#N/A N/A","NA ",_xll.BDP($C137,O$72)/10^6),0)/P137),O137)</f>
        <v>735.6</v>
      </c>
      <c r="P137" s="349" cm="1">
        <f t="array" aca="1" ref="P137" ca="1">+IF(BBswitch=1,IF(ISBLANK($C137),"",IF(_xll.BDP("USD"&amp;Q137&amp;" BGN Curncy","px last")="#N/A Invalid Security",1,_xll.BDP("USD"&amp;Q137&amp;" BGN Curncy","px last"))),P137)</f>
        <v>1</v>
      </c>
      <c r="Q137" s="350" t="str">
        <f ca="1">IF(BBswitch=1,IF(ISBLANK($C137),"",IF(_xll.BDP($C137,Q$72)="#N/A N/A","NA ",_xll.BDP($C137,Q$72))),Q137)</f>
        <v>USD</v>
      </c>
      <c r="R137" s="351" t="str" cm="1">
        <f t="array" aca="1" ref="R137" ca="1">IF(BBswitch=1,IF(ISBLANK($C137),"",IF(OR(_xll.BDP($C137,R$72)="#N/A Field Not Applicable",_xll.BDP($C137,R$72)="#N/A N/A"),"",_xll.BDP($C137,R$72))),R137)</f>
        <v/>
      </c>
      <c r="S137" s="351" t="str" cm="1">
        <f t="array" aca="1" ref="S137" ca="1">IF(BBswitch=1,IF(ISBLANK($C137),"",IF(OR(_xll.BDP($C137,S$72)="#N/A Field Not Applicable",_xll.BDP($C137,S$72)="#N/A N/A"),"",_xll.BDP($C137,S$72))),S137)</f>
        <v/>
      </c>
      <c r="T137" s="351" t="str" cm="1">
        <f t="array" aca="1" ref="T137" ca="1">IF(BBswitch=1,IF(ISBLANK($C137),"",IF(OR(_xll.BDP($C137,T$72)="#N/A Field Not Applicable",_xll.BDP($C137,T$72)="#N/A N/A"),"",_xll.BDP($C137,T$72))),T137)</f>
        <v/>
      </c>
      <c r="U137" s="351" t="str" cm="1">
        <f t="array" aca="1" ref="U137" ca="1">IF(BBswitch=1,IF(ISBLANK($C137),"",IF(OR(_xll.BDP($C137,U$72)="#N/A Field Not Applicable",_xll.BDP($C137,U$72)="#N/A N/A"),"",_xll.BDP($C137,U$72))),U137)</f>
        <v/>
      </c>
      <c r="V137" s="352" t="str">
        <f ca="1">IF(BBswitch=1,IF(ISBLANK($C137),"",IF(_xll.BDP($C137,V$72)="#N/A N/A","NA ",_xll.BDP($C137,V$72))),V137)</f>
        <v>1L Gtd Sr. Secd</v>
      </c>
      <c r="W137" s="353" t="str" cm="1">
        <f t="array" aca="1" ref="W137" ca="1">IF(BBswitch=1,IF(ISBLANK($C137),"",IF(_xll.BDP($C137,W$72)="#N/A N/A","NA ",_xll.BDP($C137,W$72))),W137)</f>
        <v>American Airlines Inc</v>
      </c>
      <c r="X137" s="343" t="str">
        <f ca="1">IF(BBswitch=1,IF(ISBLANK($C137),"",IF(_xll.BDP($C137,X$73)="#N/A N/A","NA ",_xll.BDP($C137,X$73))),X137)</f>
        <v>AAL REV EXT 1L USD</v>
      </c>
    </row>
    <row r="138" spans="3:24">
      <c r="C138" s="6" t="s">
        <v>1674</v>
      </c>
      <c r="D138" s="343" t="str">
        <f ca="1">IF(BBswitch=1,IF(ISBLANK($C138),"",IF(_xll.BDP($C138,D$73)="#N/A N/A","NA ",_xll.BDP($C138,D$73))),D138)</f>
        <v>AAL REV 1L USD</v>
      </c>
      <c r="E138" s="344" t="str">
        <f ca="1">IF(BBswitch=1,IF(ISBLANK($C138),"",IF(_xll.BDP($C138,E$73)="#N/A N/A","NA ",_xll.BDP($C138,E$73))),E138)</f>
        <v>B-</v>
      </c>
      <c r="F138" s="354">
        <f ca="1">IF(BBswitch=1,IF(ISBLANK($C138),"",IF(_xll.BDP($C138,F$72)="#N/A N/A","NA ",_xll.BDP($C138,F$72)/10^6)/P138),F138)</f>
        <v>0</v>
      </c>
      <c r="G138" s="1022">
        <f ca="1">IF(BBswitch=1,IF(ISBLANK($C138),"",IF(_xll.BDP($C138,G$72)="#N/A N/A","NA ",_xll.BDP($C138,G$72)/100)),G138)</f>
        <v>4.6730000969999998E-2</v>
      </c>
      <c r="H138" s="355" t="str">
        <f ca="1">IF(BBswitch=1,IF(ISBLANK($C138),"",IF(_xll.BDP($C138,H$72)="#N/A N/A","NA ",_xll.BDP($C138,H$72)/100)),H138)</f>
        <v xml:space="preserve">NA </v>
      </c>
      <c r="I138" s="355" t="e">
        <f ca="1">IF(BBswitch=1,IF(ISBLANK($C138),"",IF(_xll.BDP($C138,I$72)="#N/A N/A","NA ",_xll.BDP($C138,I$72)/100)),I138)</f>
        <v>#VALUE!</v>
      </c>
      <c r="J138" s="355" t="str">
        <f ca="1">IF(BBswitch=1,IF(ISBLANK($C138),"",IF(_xll.BDP($C138,J$72)="#N/A N/A","NA ",_xll.BDP($C138,J$72)/100)),J138)</f>
        <v xml:space="preserve">NA </v>
      </c>
      <c r="K138" s="345" t="str">
        <f ca="1">IF(BBswitch=1,IF(ISBLANK($C138),"",IF(_xll.BDP($C138,K$72)="#N/A N/A","NA ",_xll.BDP($C138,K$72))),K138)</f>
        <v>10/13/2023</v>
      </c>
      <c r="L138" s="346" t="e">
        <f t="shared" ca="1" si="10"/>
        <v>#VALUE!</v>
      </c>
      <c r="M138" s="345" t="str">
        <f ca="1">IF(BBswitch=1,IF(ISBLANK($C138),"",IF(_xll.BDP($C138,M$72)="#N/A N/A","NA ",_xll.BDP($C138,M$72))),M138)</f>
        <v>10/10/2014</v>
      </c>
      <c r="N138" s="347" t="str" cm="1">
        <f t="array" aca="1" ref="N138" ca="1">IF(BBswitch=1,IF(ISBLANK($C138),"",IF(_xll.BDP($C138,N$72)="#N/A Field Not Applicable","Notes",_xll.BDP($C138,N$72))),N138)</f>
        <v>REV</v>
      </c>
      <c r="O138" s="348" cm="1">
        <f t="array" aca="1" ref="O138" ca="1">IF(BBswitch=1,IF(ISBLANK($C138),"",IFERROR(IF(_xll.BDP($C138,O$72)="#N/A N/A","NA ",_xll.BDP($C138,O$72)/10^6),0)/P138),O138)</f>
        <v>12</v>
      </c>
      <c r="P138" s="349" cm="1">
        <f t="array" aca="1" ref="P138" ca="1">+IF(BBswitch=1,IF(ISBLANK($C138),"",IF(_xll.BDP("USD"&amp;Q138&amp;" BGN Curncy","px last")="#N/A Invalid Security",1,_xll.BDP("USD"&amp;Q138&amp;" BGN Curncy","px last"))),P138)</f>
        <v>1</v>
      </c>
      <c r="Q138" s="350" t="str">
        <f ca="1">IF(BBswitch=1,IF(ISBLANK($C138),"",IF(_xll.BDP($C138,Q$72)="#N/A N/A","NA ",_xll.BDP($C138,Q$72))),Q138)</f>
        <v>USD</v>
      </c>
      <c r="R138" s="351" t="str" cm="1">
        <f t="array" aca="1" ref="R138" ca="1">IF(BBswitch=1,IF(ISBLANK($C138),"",IF(OR(_xll.BDP($C138,R$72)="#N/A Field Not Applicable",_xll.BDP($C138,R$72)="#N/A N/A"),"",_xll.BDP($C138,R$72))),R138)</f>
        <v/>
      </c>
      <c r="S138" s="351" t="str" cm="1">
        <f t="array" aca="1" ref="S138" ca="1">IF(BBswitch=1,IF(ISBLANK($C138),"",IF(OR(_xll.BDP($C138,S$72)="#N/A Field Not Applicable",_xll.BDP($C138,S$72)="#N/A N/A"),"",_xll.BDP($C138,S$72))),S138)</f>
        <v/>
      </c>
      <c r="T138" s="351" t="str" cm="1">
        <f t="array" aca="1" ref="T138" ca="1">IF(BBswitch=1,IF(ISBLANK($C138),"",IF(OR(_xll.BDP($C138,T$72)="#N/A Field Not Applicable",_xll.BDP($C138,T$72)="#N/A N/A"),"",_xll.BDP($C138,T$72))),T138)</f>
        <v/>
      </c>
      <c r="U138" s="351" t="str" cm="1">
        <f t="array" aca="1" ref="U138" ca="1">IF(BBswitch=1,IF(ISBLANK($C138),"",IF(OR(_xll.BDP($C138,U$72)="#N/A Field Not Applicable",_xll.BDP($C138,U$72)="#N/A N/A"),"",_xll.BDP($C138,U$72))),U138)</f>
        <v/>
      </c>
      <c r="V138" s="352" t="str">
        <f ca="1">IF(BBswitch=1,IF(ISBLANK($C138),"",IF(_xll.BDP($C138,V$72)="#N/A N/A","NA ",_xll.BDP($C138,V$72))),V138)</f>
        <v>1L Gtd Sr. Secd</v>
      </c>
      <c r="W138" s="353" t="str" cm="1">
        <f t="array" aca="1" ref="W138" ca="1">IF(BBswitch=1,IF(ISBLANK($C138),"",IF(_xll.BDP($C138,W$72)="#N/A N/A","NA ",_xll.BDP($C138,W$72))),W138)</f>
        <v>American Airlines Inc</v>
      </c>
      <c r="X138" s="343" t="str">
        <f ca="1">IF(BBswitch=1,IF(ISBLANK($C138),"",IF(_xll.BDP($C138,X$73)="#N/A N/A","NA ",_xll.BDP($C138,X$73))),X138)</f>
        <v>AAL REV 1L USD</v>
      </c>
    </row>
    <row r="139" spans="3:24">
      <c r="C139" s="6" t="s">
        <v>1675</v>
      </c>
      <c r="D139" s="343" t="str">
        <f ca="1">IF(BBswitch=1,IF(ISBLANK($C139),"",IF(_xll.BDP($C139,D$73)="#N/A N/A","NA ",_xll.BDP($C139,D$73))),D139)</f>
        <v>AAL REV 1L USD</v>
      </c>
      <c r="E139" s="344" t="str">
        <f ca="1">IF(BBswitch=1,IF(ISBLANK($C139),"",IF(_xll.BDP($C139,E$73)="#N/A N/A","NA ",_xll.BDP($C139,E$73))),E139)</f>
        <v>B-</v>
      </c>
      <c r="F139" s="354">
        <f ca="1">IF(BBswitch=1,IF(ISBLANK($C139),"",IF(_xll.BDP($C139,F$72)="#N/A N/A","NA ",_xll.BDP($C139,F$72)/10^6)/P139),F139)</f>
        <v>0</v>
      </c>
      <c r="G139" s="1022">
        <f ca="1">IF(BBswitch=1,IF(ISBLANK($C139),"",IF(_xll.BDP($C139,G$72)="#N/A N/A","NA ",_xll.BDP($C139,G$72)/100)),G139)</f>
        <v>3.7564300299999999E-2</v>
      </c>
      <c r="H139" s="355" t="str">
        <f ca="1">IF(BBswitch=1,IF(ISBLANK($C139),"",IF(_xll.BDP($C139,H$72)="#N/A N/A","NA ",_xll.BDP($C139,H$72)/100)),H139)</f>
        <v xml:space="preserve">NA </v>
      </c>
      <c r="I139" s="355" t="e">
        <f ca="1">IF(BBswitch=1,IF(ISBLANK($C139),"",IF(_xll.BDP($C139,I$72)="#N/A N/A","NA ",_xll.BDP($C139,I$72)/100)),I139)</f>
        <v>#VALUE!</v>
      </c>
      <c r="J139" s="355" t="str">
        <f ca="1">IF(BBswitch=1,IF(ISBLANK($C139),"",IF(_xll.BDP($C139,J$72)="#N/A N/A","NA ",_xll.BDP($C139,J$72)/100)),J139)</f>
        <v xml:space="preserve">NA </v>
      </c>
      <c r="K139" s="345" t="str">
        <f ca="1">IF(BBswitch=1,IF(ISBLANK($C139),"",IF(_xll.BDP($C139,K$72)="#N/A N/A","NA ",_xll.BDP($C139,K$72))),K139)</f>
        <v>10/13/2022</v>
      </c>
      <c r="L139" s="346" t="e">
        <f t="shared" ca="1" si="10"/>
        <v>#VALUE!</v>
      </c>
      <c r="M139" s="345" t="str">
        <f ca="1">IF(BBswitch=1,IF(ISBLANK($C139),"",IF(_xll.BDP($C139,M$72)="#N/A N/A","NA ",_xll.BDP($C139,M$72))),M139)</f>
        <v>8/21/2017</v>
      </c>
      <c r="N139" s="347" t="str" cm="1">
        <f t="array" aca="1" ref="N139" ca="1">IF(BBswitch=1,IF(ISBLANK($C139),"",IF(_xll.BDP($C139,N$72)="#N/A Field Not Applicable","Notes",_xll.BDP($C139,N$72))),N139)</f>
        <v>REV</v>
      </c>
      <c r="O139" s="348" cm="1">
        <f t="array" aca="1" ref="O139" ca="1">IF(BBswitch=1,IF(ISBLANK($C139),"",IFERROR(IF(_xll.BDP($C139,O$72)="#N/A N/A","NA ",_xll.BDP($C139,O$72)/10^6),0)/P139),O139)</f>
        <v>3.6</v>
      </c>
      <c r="P139" s="349" cm="1">
        <f t="array" aca="1" ref="P139" ca="1">+IF(BBswitch=1,IF(ISBLANK($C139),"",IF(_xll.BDP("USD"&amp;Q139&amp;" BGN Curncy","px last")="#N/A Invalid Security",1,_xll.BDP("USD"&amp;Q139&amp;" BGN Curncy","px last"))),P139)</f>
        <v>1</v>
      </c>
      <c r="Q139" s="350" t="str">
        <f ca="1">IF(BBswitch=1,IF(ISBLANK($C139),"",IF(_xll.BDP($C139,Q$72)="#N/A N/A","NA ",_xll.BDP($C139,Q$72))),Q139)</f>
        <v>USD</v>
      </c>
      <c r="R139" s="351" t="str" cm="1">
        <f t="array" aca="1" ref="R139" ca="1">IF(BBswitch=1,IF(ISBLANK($C139),"",IF(OR(_xll.BDP($C139,R$72)="#N/A Field Not Applicable",_xll.BDP($C139,R$72)="#N/A N/A"),"",_xll.BDP($C139,R$72))),R139)</f>
        <v/>
      </c>
      <c r="S139" s="351" t="str" cm="1">
        <f t="array" aca="1" ref="S139" ca="1">IF(BBswitch=1,IF(ISBLANK($C139),"",IF(OR(_xll.BDP($C139,S$72)="#N/A Field Not Applicable",_xll.BDP($C139,S$72)="#N/A N/A"),"",_xll.BDP($C139,S$72))),S139)</f>
        <v/>
      </c>
      <c r="T139" s="351" t="str" cm="1">
        <f t="array" aca="1" ref="T139" ca="1">IF(BBswitch=1,IF(ISBLANK($C139),"",IF(OR(_xll.BDP($C139,T$72)="#N/A Field Not Applicable",_xll.BDP($C139,T$72)="#N/A N/A"),"",_xll.BDP($C139,T$72))),T139)</f>
        <v/>
      </c>
      <c r="U139" s="351" t="str" cm="1">
        <f t="array" aca="1" ref="U139" ca="1">IF(BBswitch=1,IF(ISBLANK($C139),"",IF(OR(_xll.BDP($C139,U$72)="#N/A Field Not Applicable",_xll.BDP($C139,U$72)="#N/A N/A"),"",_xll.BDP($C139,U$72))),U139)</f>
        <v/>
      </c>
      <c r="V139" s="352" t="str">
        <f ca="1">IF(BBswitch=1,IF(ISBLANK($C139),"",IF(_xll.BDP($C139,V$72)="#N/A N/A","NA ",_xll.BDP($C139,V$72))),V139)</f>
        <v>1L Gtd Sr. Secd</v>
      </c>
      <c r="W139" s="353" t="str" cm="1">
        <f t="array" aca="1" ref="W139" ca="1">IF(BBswitch=1,IF(ISBLANK($C139),"",IF(_xll.BDP($C139,W$72)="#N/A N/A","NA ",_xll.BDP($C139,W$72))),W139)</f>
        <v>American Airlines Inc</v>
      </c>
      <c r="X139" s="343" t="str">
        <f ca="1">IF(BBswitch=1,IF(ISBLANK($C139),"",IF(_xll.BDP($C139,X$73)="#N/A N/A","NA ",_xll.BDP($C139,X$73))),X139)</f>
        <v>AAL REV 1L USD</v>
      </c>
    </row>
    <row r="140" spans="3:24">
      <c r="C140" s="6" t="s">
        <v>1676</v>
      </c>
      <c r="D140" s="343" t="str">
        <f ca="1">IF(BBswitch=1,IF(ISBLANK($C140),"",IF(_xll.BDP($C140,D$73)="#N/A N/A","NA ",_xll.BDP($C140,D$73))),D140)</f>
        <v>AAL REV NON-EXIT 1L USD</v>
      </c>
      <c r="E140" s="344" t="str">
        <f ca="1">IF(BBswitch=1,IF(ISBLANK($C140),"",IF(_xll.BDP($C140,E$73)="#N/A N/A","NA ",_xll.BDP($C140,E$73))),E140)</f>
        <v>B-</v>
      </c>
      <c r="F140" s="354">
        <f ca="1">IF(BBswitch=1,IF(ISBLANK($C140),"",IF(_xll.BDP($C140,F$72)="#N/A N/A","NA ",_xll.BDP($C140,F$72)/10^6)/P140),F140)</f>
        <v>0</v>
      </c>
      <c r="G140" s="1022">
        <f ca="1">IF(BBswitch=1,IF(ISBLANK($C140),"",IF(_xll.BDP($C140,G$72)="#N/A N/A","NA ",_xll.BDP($C140,G$72)/100)),G140)</f>
        <v>4.2851400379999995E-2</v>
      </c>
      <c r="H140" s="355" t="str">
        <f ca="1">IF(BBswitch=1,IF(ISBLANK($C140),"",IF(_xll.BDP($C140,H$72)="#N/A N/A","NA ",_xll.BDP($C140,H$72)/100)),H140)</f>
        <v xml:space="preserve">NA </v>
      </c>
      <c r="I140" s="355" t="e">
        <f ca="1">IF(BBswitch=1,IF(ISBLANK($C140),"",IF(_xll.BDP($C140,I$72)="#N/A N/A","NA ",_xll.BDP($C140,I$72)/100)),I140)</f>
        <v>#VALUE!</v>
      </c>
      <c r="J140" s="355" t="str">
        <f ca="1">IF(BBswitch=1,IF(ISBLANK($C140),"",IF(_xll.BDP($C140,J$72)="#N/A N/A","NA ",_xll.BDP($C140,J$72)/100)),J140)</f>
        <v xml:space="preserve">NA </v>
      </c>
      <c r="K140" s="345" t="str">
        <f ca="1">IF(BBswitch=1,IF(ISBLANK($C140),"",IF(_xll.BDP($C140,K$72)="#N/A N/A","NA ",_xll.BDP($C140,K$72))),K140)</f>
        <v>10/13/2023</v>
      </c>
      <c r="L140" s="346" t="e">
        <f t="shared" ca="1" si="10"/>
        <v>#VALUE!</v>
      </c>
      <c r="M140" s="345" t="str">
        <f ca="1">IF(BBswitch=1,IF(ISBLANK($C140),"",IF(_xll.BDP($C140,M$72)="#N/A N/A","NA ",_xll.BDP($C140,M$72))),M140)</f>
        <v>6/27/2013</v>
      </c>
      <c r="N140" s="347" t="str" cm="1">
        <f t="array" aca="1" ref="N140" ca="1">IF(BBswitch=1,IF(ISBLANK($C140),"",IF(_xll.BDP($C140,N$72)="#N/A Field Not Applicable","Notes",_xll.BDP($C140,N$72))),N140)</f>
        <v>REV</v>
      </c>
      <c r="O140" s="348" cm="1">
        <f t="array" aca="1" ref="O140" ca="1">IF(BBswitch=1,IF(ISBLANK($C140),"",IFERROR(IF(_xll.BDP($C140,O$72)="#N/A N/A","NA ",_xll.BDP($C140,O$72)/10^6),0)/P140),O140)</f>
        <v>14.4</v>
      </c>
      <c r="P140" s="349" cm="1">
        <f t="array" aca="1" ref="P140" ca="1">+IF(BBswitch=1,IF(ISBLANK($C140),"",IF(_xll.BDP("USD"&amp;Q140&amp;" BGN Curncy","px last")="#N/A Invalid Security",1,_xll.BDP("USD"&amp;Q140&amp;" BGN Curncy","px last"))),P140)</f>
        <v>1</v>
      </c>
      <c r="Q140" s="350" t="str">
        <f ca="1">IF(BBswitch=1,IF(ISBLANK($C140),"",IF(_xll.BDP($C140,Q$72)="#N/A N/A","NA ",_xll.BDP($C140,Q$72))),Q140)</f>
        <v>USD</v>
      </c>
      <c r="R140" s="351" t="str" cm="1">
        <f t="array" aca="1" ref="R140" ca="1">IF(BBswitch=1,IF(ISBLANK($C140),"",IF(OR(_xll.BDP($C140,R$72)="#N/A Field Not Applicable",_xll.BDP($C140,R$72)="#N/A N/A"),"",_xll.BDP($C140,R$72))),R140)</f>
        <v/>
      </c>
      <c r="S140" s="351" t="str" cm="1">
        <f t="array" aca="1" ref="S140" ca="1">IF(BBswitch=1,IF(ISBLANK($C140),"",IF(OR(_xll.BDP($C140,S$72)="#N/A Field Not Applicable",_xll.BDP($C140,S$72)="#N/A N/A"),"",_xll.BDP($C140,S$72))),S140)</f>
        <v/>
      </c>
      <c r="T140" s="351" t="str" cm="1">
        <f t="array" aca="1" ref="T140" ca="1">IF(BBswitch=1,IF(ISBLANK($C140),"",IF(OR(_xll.BDP($C140,T$72)="#N/A Field Not Applicable",_xll.BDP($C140,T$72)="#N/A N/A"),"",_xll.BDP($C140,T$72))),T140)</f>
        <v/>
      </c>
      <c r="U140" s="351" t="str" cm="1">
        <f t="array" aca="1" ref="U140" ca="1">IF(BBswitch=1,IF(ISBLANK($C140),"",IF(OR(_xll.BDP($C140,U$72)="#N/A Field Not Applicable",_xll.BDP($C140,U$72)="#N/A N/A"),"",_xll.BDP($C140,U$72))),U140)</f>
        <v/>
      </c>
      <c r="V140" s="352" t="str">
        <f ca="1">IF(BBswitch=1,IF(ISBLANK($C140),"",IF(_xll.BDP($C140,V$72)="#N/A N/A","NA ",_xll.BDP($C140,V$72))),V140)</f>
        <v>1L Gtd Sr. Secd</v>
      </c>
      <c r="W140" s="353" t="str" cm="1">
        <f t="array" aca="1" ref="W140" ca="1">IF(BBswitch=1,IF(ISBLANK($C140),"",IF(_xll.BDP($C140,W$72)="#N/A N/A","NA ",_xll.BDP($C140,W$72))),W140)</f>
        <v>American Airlines Inc</v>
      </c>
      <c r="X140" s="343" t="str">
        <f ca="1">IF(BBswitch=1,IF(ISBLANK($C140),"",IF(_xll.BDP($C140,X$73)="#N/A N/A","NA ",_xll.BDP($C140,X$73))),X140)</f>
        <v>AAL REV NON-EXIT 1L USD</v>
      </c>
    </row>
    <row r="141" spans="3:24">
      <c r="D141" s="343" t="str">
        <f ca="1">IF(BBswitch=1,IF(ISBLANK($C141),"",IF(_xll.BDP($C141,D$73)="#N/A N/A","NA ",_xll.BDP($C141,D$73))),D141)</f>
        <v/>
      </c>
      <c r="E141" s="344" t="str">
        <f ca="1">IF(BBswitch=1,IF(ISBLANK($C141),"",IF(_xll.BDP($C141,E$73)="#N/A N/A","NA ",_xll.BDP($C141,E$73))),E141)</f>
        <v/>
      </c>
      <c r="F141" s="354" t="str">
        <f ca="1">IF(BBswitch=1,IF(ISBLANK($C141),"",IF(_xll.BDP($C141,F$72)="#N/A N/A","NA ",_xll.BDP($C141,F$72)/10^6)/P141),F141)</f>
        <v/>
      </c>
      <c r="G141" s="1022" t="str">
        <f ca="1">IF(BBswitch=1,IF(ISBLANK($C141),"",IF(_xll.BDP($C141,G$72)="#N/A N/A","NA ",_xll.BDP($C141,G$72)/100)),G141)</f>
        <v/>
      </c>
      <c r="H141" s="355" t="str">
        <f ca="1">IF(BBswitch=1,IF(ISBLANK($C141),"",IF(_xll.BDP($C141,H$72)="#N/A N/A","NA ",_xll.BDP($C141,H$72)/100)),H141)</f>
        <v/>
      </c>
      <c r="I141" s="355" t="str">
        <f ca="1">IF(BBswitch=1,IF(ISBLANK($C141),"",IF(_xll.BDP($C141,I$72)="#N/A N/A","NA ",_xll.BDP($C141,I$72)/100)),I141)</f>
        <v/>
      </c>
      <c r="J141" s="355" t="str">
        <f ca="1">IF(BBswitch=1,IF(ISBLANK($C141),"",IF(_xll.BDP($C141,J$72)="#N/A N/A","NA ",_xll.BDP($C141,J$72)/100)),J141)</f>
        <v/>
      </c>
      <c r="K141" s="345" t="str">
        <f ca="1">IF(BBswitch=1,IF(ISBLANK($C141),"",IF(_xll.BDP($C141,K$72)="#N/A N/A","NA ",_xll.BDP($C141,K$72))),K141)</f>
        <v/>
      </c>
      <c r="L141" s="346" t="str">
        <f t="shared" si="10"/>
        <v/>
      </c>
      <c r="M141" s="345" t="str">
        <f ca="1">IF(BBswitch=1,IF(ISBLANK($C141),"",IF(_xll.BDP($C141,M$72)="#N/A N/A","NA ",_xll.BDP($C141,M$72))),M141)</f>
        <v/>
      </c>
      <c r="N141" s="347" t="str" cm="1">
        <f t="array" aca="1" ref="N141" ca="1">IF(BBswitch=1,IF(ISBLANK($C141),"",IF(_xll.BDP($C141,N$72)="#N/A Field Not Applicable","Notes",_xll.BDP($C141,N$72))),N141)</f>
        <v/>
      </c>
      <c r="O141" s="348" t="str" cm="1">
        <f t="array" aca="1" ref="O141" ca="1">IF(BBswitch=1,IF(ISBLANK($C141),"",IFERROR(IF(_xll.BDP($C141,O$72)="#N/A N/A","NA ",_xll.BDP($C141,O$72)/10^6),0)/P141),O141)</f>
        <v/>
      </c>
      <c r="P141" s="349" t="str" cm="1">
        <f t="array" aca="1" ref="P141" ca="1">+IF(BBswitch=1,IF(ISBLANK($C141),"",IF(_xll.BDP("USD"&amp;Q141&amp;" BGN Curncy","px last")="#N/A Invalid Security",1,_xll.BDP("USD"&amp;Q141&amp;" BGN Curncy","px last"))),P141)</f>
        <v/>
      </c>
      <c r="Q141" s="350" t="str">
        <f ca="1">IF(BBswitch=1,IF(ISBLANK($C141),"",IF(_xll.BDP($C141,Q$72)="#N/A N/A","NA ",_xll.BDP($C141,Q$72))),Q141)</f>
        <v/>
      </c>
      <c r="R141" s="351" t="str" cm="1">
        <f t="array" aca="1" ref="R141" ca="1">IF(BBswitch=1,IF(ISBLANK($C141),"",IF(OR(_xll.BDP($C141,R$72)="#N/A Field Not Applicable",_xll.BDP($C141,R$72)="#N/A N/A"),"",_xll.BDP($C141,R$72))),R141)</f>
        <v/>
      </c>
      <c r="S141" s="351" t="str" cm="1">
        <f t="array" aca="1" ref="S141" ca="1">IF(BBswitch=1,IF(ISBLANK($C141),"",IF(OR(_xll.BDP($C141,S$72)="#N/A Field Not Applicable",_xll.BDP($C141,S$72)="#N/A N/A"),"",_xll.BDP($C141,S$72))),S141)</f>
        <v/>
      </c>
      <c r="T141" s="351" t="str" cm="1">
        <f t="array" aca="1" ref="T141" ca="1">IF(BBswitch=1,IF(ISBLANK($C141),"",IF(OR(_xll.BDP($C141,T$72)="#N/A Field Not Applicable",_xll.BDP($C141,T$72)="#N/A N/A"),"",_xll.BDP($C141,T$72))),T141)</f>
        <v/>
      </c>
      <c r="U141" s="351" t="str" cm="1">
        <f t="array" aca="1" ref="U141" ca="1">IF(BBswitch=1,IF(ISBLANK($C141),"",IF(OR(_xll.BDP($C141,U$72)="#N/A Field Not Applicable",_xll.BDP($C141,U$72)="#N/A N/A"),"",_xll.BDP($C141,U$72))),U141)</f>
        <v/>
      </c>
      <c r="V141" s="352" t="str">
        <f ca="1">IF(BBswitch=1,IF(ISBLANK($C141),"",IF(_xll.BDP($C141,V$72)="#N/A N/A","NA ",_xll.BDP($C141,V$72))),V141)</f>
        <v/>
      </c>
      <c r="W141" s="353" t="str" cm="1">
        <f t="array" aca="1" ref="W141" ca="1">IF(BBswitch=1,IF(ISBLANK($C141),"",IF(_xll.BDP($C141,W$72)="#N/A N/A","NA ",_xll.BDP($C141,W$72))),W141)</f>
        <v/>
      </c>
      <c r="X141" s="343" t="str">
        <f ca="1">IF(BBswitch=1,IF(ISBLANK($C141),"",IF(_xll.BDP($C141,X$73)="#N/A N/A","NA ",_xll.BDP($C141,X$73))),X141)</f>
        <v/>
      </c>
    </row>
    <row r="142" spans="3:24">
      <c r="D142" s="343"/>
      <c r="E142" s="344"/>
      <c r="F142" s="354"/>
      <c r="G142" s="355"/>
      <c r="H142" s="355"/>
      <c r="I142" s="355"/>
      <c r="J142" s="355"/>
      <c r="K142" s="345"/>
      <c r="L142" s="346"/>
      <c r="M142" s="345"/>
      <c r="N142" s="347"/>
      <c r="O142" s="348"/>
      <c r="P142" s="349"/>
      <c r="Q142" s="350"/>
      <c r="R142" s="351"/>
      <c r="S142" s="351"/>
      <c r="T142" s="351"/>
      <c r="U142" s="351"/>
      <c r="V142" s="352"/>
      <c r="W142" s="353"/>
      <c r="X142" s="343"/>
    </row>
    <row r="143" spans="3:24">
      <c r="C143" s="363" t="str">
        <f ca="1">IF(BBswitch=1,_xll.BQL.Query("get(Name)for( loans(['"&amp;$D$3&amp;" Equity'], IssuedBy=credit_family) )with(Dates="&amp;TEXT(TODAY(),"yyyy-mm-dd")&amp;")","cols=2;rows=11"),C143)</f>
        <v>ID</v>
      </c>
      <c r="D143" s="162" t="s">
        <v>121</v>
      </c>
      <c r="E143" s="162" t="str">
        <f ca="1">+IF($C143="No new issued notes","",E$75)</f>
        <v>Rating</v>
      </c>
      <c r="F143" s="162" t="str">
        <f t="shared" ref="F143:X143" ca="1" si="11">+IF($C143="No new issued notes","",F$75)</f>
        <v>Outs.(mm)</v>
      </c>
      <c r="G143" s="162" t="str">
        <f t="shared" ca="1" si="11"/>
        <v>Coupon</v>
      </c>
      <c r="H143" s="162" t="str">
        <f t="shared" ca="1" si="11"/>
        <v>Price</v>
      </c>
      <c r="I143" s="162" t="str">
        <f t="shared" ca="1" si="11"/>
        <v>CY</v>
      </c>
      <c r="J143" s="162" t="str">
        <f t="shared" ca="1" si="11"/>
        <v>YTW</v>
      </c>
      <c r="K143" s="162" t="str">
        <f t="shared" ca="1" si="11"/>
        <v>Maturity</v>
      </c>
      <c r="L143" s="162" t="str">
        <f t="shared" ca="1" si="11"/>
        <v>Year</v>
      </c>
      <c r="M143" s="162" t="str">
        <f t="shared" ca="1" si="11"/>
        <v>Issue Date.</v>
      </c>
      <c r="N143" s="162" t="str">
        <f t="shared" ca="1" si="11"/>
        <v>Debt type</v>
      </c>
      <c r="O143" s="162" t="str">
        <f t="shared" ca="1" si="11"/>
        <v>Tranche</v>
      </c>
      <c r="P143" s="162" t="str">
        <f t="shared" ca="1" si="11"/>
        <v>Fx. rate</v>
      </c>
      <c r="Q143" s="162" t="str">
        <f t="shared" ca="1" si="11"/>
        <v>Currency</v>
      </c>
      <c r="R143" s="162" t="str">
        <f t="shared" ca="1" si="11"/>
        <v>Spread Duration</v>
      </c>
      <c r="S143" s="162" t="str">
        <f t="shared" ca="1" si="11"/>
        <v>OAS</v>
      </c>
      <c r="T143" s="162" t="str">
        <f t="shared" ca="1" si="11"/>
        <v>ST3</v>
      </c>
      <c r="U143" s="162" t="str">
        <f t="shared" ca="1" si="11"/>
        <v>OAD</v>
      </c>
      <c r="V143" s="162" t="str">
        <f t="shared" ca="1" si="11"/>
        <v>Payment Rank</v>
      </c>
      <c r="W143" s="162" t="str">
        <f t="shared" ca="1" si="11"/>
        <v>Issuer Name</v>
      </c>
      <c r="X143" s="162" t="str">
        <f t="shared" ca="1" si="11"/>
        <v>Name</v>
      </c>
    </row>
    <row r="144" spans="3:24">
      <c r="C144" s="6" t="s">
        <v>1915</v>
      </c>
      <c r="D144" s="343" t="e">
        <v>#N/A</v>
      </c>
      <c r="E144" s="344" t="str">
        <f ca="1">IF(BBswitch=1,IF(ISBLANK($C144),"",IF(_xll.BDP($C144,E$73)="#N/A N/A","NA ",_xll.BDP($C144,E$73))),E144)</f>
        <v>B-</v>
      </c>
      <c r="F144" s="354">
        <f ca="1">IF(BBswitch=1,IF(ISBLANK($C144),"",IF(_xll.BDP($C144,F$72)="#N/A N/A","NA ",_xll.BDP($C144,F$72)/10^6)/P144),F144)</f>
        <v>0</v>
      </c>
      <c r="G144" s="355">
        <f ca="1">IF(BBswitch=1,IF(ISBLANK($C144),"",IF(_xll.BDP($C144,G$72)="#N/A N/A","NA ",_xll.BDP($C144,G$72)/100)),G144)</f>
        <v>4.2851400379999995E-2</v>
      </c>
      <c r="H144" s="355" t="str">
        <f ca="1">IF(BBswitch=1,IF(ISBLANK($C144),"",IF(_xll.BDP($C144,H$72)="#N/A N/A","NA ",_xll.BDP($C144,H$72)/100)),H144)</f>
        <v xml:space="preserve">NA </v>
      </c>
      <c r="I144" s="355" t="e">
        <f ca="1">IF(BBswitch=1,IF(ISBLANK($C144),"",IF(_xll.BDP($C144,I$72)="#N/A N/A","NA ",_xll.BDP($C144,I$72)/100)),I144)</f>
        <v>#VALUE!</v>
      </c>
      <c r="J144" s="355" t="str">
        <f ca="1">IF(BBswitch=1,IF(ISBLANK($C144),"",IF(_xll.BDP($C144,J$72)="#N/A N/A","NA ",_xll.BDP($C144,J$72)/100)),J144)</f>
        <v xml:space="preserve">NA </v>
      </c>
      <c r="K144" s="345" t="str">
        <f ca="1">IF(BBswitch=1,IF(ISBLANK($C144),"",IF(_xll.BDP($C144,K$72)="#N/A N/A","NA ",_xll.BDP($C144,K$72))),K144)</f>
        <v>10/13/2023</v>
      </c>
      <c r="L144" s="346" t="e">
        <f t="shared" ref="L144:L153" ca="1" si="12">IF(ISBLANK($C144),"",YEAR(K144))</f>
        <v>#VALUE!</v>
      </c>
      <c r="M144" s="345" t="str">
        <f ca="1">IF(BBswitch=1,IF(ISBLANK($C144),"",IF(_xll.BDP($C144,M$72)="#N/A N/A","NA ",_xll.BDP($C144,M$72))),M144)</f>
        <v>6/27/2013</v>
      </c>
      <c r="N144" s="347" t="str" cm="1">
        <f t="array" aca="1" ref="N144" ca="1">IF(BBswitch=1,IF(ISBLANK($C144),"",IF(_xll.BDP($C144,N$72)="#N/A Field Not Applicable","Notes",_xll.BDP($C144,N$72))),N144)</f>
        <v>REV</v>
      </c>
      <c r="O144" s="348" cm="1">
        <f t="array" aca="1" ref="O144" ca="1">IF(BBswitch=1,IF(ISBLANK($C144),"",IFERROR(IF(_xll.BDP($C144,O$72)="#N/A N/A","NA ",_xll.BDP($C144,O$72)/10^6),0)/P144),O144)</f>
        <v>14.4</v>
      </c>
      <c r="P144" s="349" cm="1">
        <f t="array" aca="1" ref="P144" ca="1">+IF(BBswitch=1,IF(ISBLANK($C144),"",IF(_xll.BDP("USD"&amp;Q144&amp;" BGN Curncy","px last")="#N/A Invalid Security",1,_xll.BDP("USD"&amp;Q144&amp;" BGN Curncy","px last"))),P144)</f>
        <v>1</v>
      </c>
      <c r="Q144" s="350" t="str">
        <f ca="1">IF(BBswitch=1,IF(ISBLANK($C144),"",IF(_xll.BDP($C144,Q$72)="#N/A N/A","NA ",_xll.BDP($C144,Q$72))),Q144)</f>
        <v>USD</v>
      </c>
      <c r="R144" s="351" t="str" cm="1">
        <f t="array" aca="1" ref="R144" ca="1">IF(BBswitch=1,IF(ISBLANK($C144),"",IF(OR(_xll.BDP($C144,R$72)="#N/A Field Not Applicable",_xll.BDP($C144,R$72)="#N/A N/A"),"",_xll.BDP($C144,R$72))),R144)</f>
        <v/>
      </c>
      <c r="S144" s="351" t="str" cm="1">
        <f t="array" aca="1" ref="S144" ca="1">IF(BBswitch=1,IF(ISBLANK($C144),"",IF(OR(_xll.BDP($C144,S$72)="#N/A Field Not Applicable",_xll.BDP($C144,S$72)="#N/A N/A"),"",_xll.BDP($C144,S$72))),S144)</f>
        <v/>
      </c>
      <c r="T144" s="351" t="str" cm="1">
        <f t="array" aca="1" ref="T144" ca="1">IF(BBswitch=1,IF(ISBLANK($C144),"",IF(OR(_xll.BDP($C144,T$72)="#N/A Field Not Applicable",_xll.BDP($C144,T$72)="#N/A N/A"),"",_xll.BDP($C144,T$72))),T144)</f>
        <v/>
      </c>
      <c r="U144" s="351" t="str" cm="1">
        <f t="array" aca="1" ref="U144" ca="1">IF(BBswitch=1,IF(ISBLANK($C144),"",IF(OR(_xll.BDP($C144,U$72)="#N/A Field Not Applicable",_xll.BDP($C144,U$72)="#N/A N/A"),"",_xll.BDP($C144,U$72))),U144)</f>
        <v/>
      </c>
      <c r="V144" s="352" t="str">
        <f ca="1">IF(BBswitch=1,IF(ISBLANK($C144),"",IF(_xll.BDP($C144,V$72)="#N/A N/A","NA ",_xll.BDP($C144,V$72))),V144)</f>
        <v>1L Gtd Sr. Secd</v>
      </c>
      <c r="W144" s="353" t="str" cm="1">
        <f t="array" aca="1" ref="W144" ca="1">IF(BBswitch=1,IF(ISBLANK($C144),"",IF(_xll.BDP($C144,W$72)="#N/A N/A","NA ",_xll.BDP($C144,W$72))),W144)</f>
        <v>American Airlines Inc</v>
      </c>
      <c r="X144" s="343" t="str">
        <f ca="1">IF(BBswitch=1,IF(ISBLANK($C144),"",IF(_xll.BDP($C144,X$73)="#N/A N/A","NA ",_xll.BDP($C144,X$73))),X144)</f>
        <v>AAL REV NON-EXIT 1L USD</v>
      </c>
    </row>
    <row r="145" spans="3:24">
      <c r="C145" s="6" t="s">
        <v>1916</v>
      </c>
      <c r="D145" s="343" t="e">
        <v>#N/A</v>
      </c>
      <c r="E145" s="344" t="str">
        <f ca="1">IF(BBswitch=1,IF(ISBLANK($C145),"",IF(_xll.BDP($C145,E$73)="#N/A N/A","NA ",_xll.BDP($C145,E$73))),E145)</f>
        <v>B-</v>
      </c>
      <c r="F145" s="354">
        <f ca="1">IF(BBswitch=1,IF(ISBLANK($C145),"",IF(_xll.BDP($C145,F$72)="#N/A N/A","NA ",_xll.BDP($C145,F$72)/10^6)/P145),F145)</f>
        <v>0</v>
      </c>
      <c r="G145" s="355">
        <f ca="1">IF(BBswitch=1,IF(ISBLANK($C145),"",IF(_xll.BDP($C145,G$72)="#N/A N/A","NA ",_xll.BDP($C145,G$72)/100)),G145)</f>
        <v>4.6730000969999998E-2</v>
      </c>
      <c r="H145" s="355" t="str">
        <f ca="1">IF(BBswitch=1,IF(ISBLANK($C145),"",IF(_xll.BDP($C145,H$72)="#N/A N/A","NA ",_xll.BDP($C145,H$72)/100)),H145)</f>
        <v xml:space="preserve">NA </v>
      </c>
      <c r="I145" s="355" t="e">
        <f ca="1">IF(BBswitch=1,IF(ISBLANK($C145),"",IF(_xll.BDP($C145,I$72)="#N/A N/A","NA ",_xll.BDP($C145,I$72)/100)),I145)</f>
        <v>#VALUE!</v>
      </c>
      <c r="J145" s="355" t="str">
        <f ca="1">IF(BBswitch=1,IF(ISBLANK($C145),"",IF(_xll.BDP($C145,J$72)="#N/A N/A","NA ",_xll.BDP($C145,J$72)/100)),J145)</f>
        <v xml:space="preserve">NA </v>
      </c>
      <c r="K145" s="345" t="str">
        <f ca="1">IF(BBswitch=1,IF(ISBLANK($C145),"",IF(_xll.BDP($C145,K$72)="#N/A N/A","NA ",_xll.BDP($C145,K$72))),K145)</f>
        <v>10/13/2023</v>
      </c>
      <c r="L145" s="346" t="e">
        <f t="shared" ca="1" si="12"/>
        <v>#VALUE!</v>
      </c>
      <c r="M145" s="345" t="str">
        <f ca="1">IF(BBswitch=1,IF(ISBLANK($C145),"",IF(_xll.BDP($C145,M$72)="#N/A N/A","NA ",_xll.BDP($C145,M$72))),M145)</f>
        <v>10/10/2014</v>
      </c>
      <c r="N145" s="347" t="str" cm="1">
        <f t="array" aca="1" ref="N145" ca="1">IF(BBswitch=1,IF(ISBLANK($C145),"",IF(_xll.BDP($C145,N$72)="#N/A Field Not Applicable","Notes",_xll.BDP($C145,N$72))),N145)</f>
        <v>REV</v>
      </c>
      <c r="O145" s="348" cm="1">
        <f t="array" aca="1" ref="O145" ca="1">IF(BBswitch=1,IF(ISBLANK($C145),"",IFERROR(IF(_xll.BDP($C145,O$72)="#N/A N/A","NA ",_xll.BDP($C145,O$72)/10^6),0)/P145),O145)</f>
        <v>12</v>
      </c>
      <c r="P145" s="349" cm="1">
        <f t="array" aca="1" ref="P145" ca="1">+IF(BBswitch=1,IF(ISBLANK($C145),"",IF(_xll.BDP("USD"&amp;Q145&amp;" BGN Curncy","px last")="#N/A Invalid Security",1,_xll.BDP("USD"&amp;Q145&amp;" BGN Curncy","px last"))),P145)</f>
        <v>1</v>
      </c>
      <c r="Q145" s="350" t="str">
        <f ca="1">IF(BBswitch=1,IF(ISBLANK($C145),"",IF(_xll.BDP($C145,Q$72)="#N/A N/A","NA ",_xll.BDP($C145,Q$72))),Q145)</f>
        <v>USD</v>
      </c>
      <c r="R145" s="351" t="str" cm="1">
        <f t="array" aca="1" ref="R145" ca="1">IF(BBswitch=1,IF(ISBLANK($C145),"",IF(OR(_xll.BDP($C145,R$72)="#N/A Field Not Applicable",_xll.BDP($C145,R$72)="#N/A N/A"),"",_xll.BDP($C145,R$72))),R145)</f>
        <v/>
      </c>
      <c r="S145" s="351" t="str" cm="1">
        <f t="array" aca="1" ref="S145" ca="1">IF(BBswitch=1,IF(ISBLANK($C145),"",IF(OR(_xll.BDP($C145,S$72)="#N/A Field Not Applicable",_xll.BDP($C145,S$72)="#N/A N/A"),"",_xll.BDP($C145,S$72))),S145)</f>
        <v/>
      </c>
      <c r="T145" s="351" t="str" cm="1">
        <f t="array" aca="1" ref="T145" ca="1">IF(BBswitch=1,IF(ISBLANK($C145),"",IF(OR(_xll.BDP($C145,T$72)="#N/A Field Not Applicable",_xll.BDP($C145,T$72)="#N/A N/A"),"",_xll.BDP($C145,T$72))),T145)</f>
        <v/>
      </c>
      <c r="U145" s="351" t="str" cm="1">
        <f t="array" aca="1" ref="U145" ca="1">IF(BBswitch=1,IF(ISBLANK($C145),"",IF(OR(_xll.BDP($C145,U$72)="#N/A Field Not Applicable",_xll.BDP($C145,U$72)="#N/A N/A"),"",_xll.BDP($C145,U$72))),U145)</f>
        <v/>
      </c>
      <c r="V145" s="352" t="str">
        <f ca="1">IF(BBswitch=1,IF(ISBLANK($C145),"",IF(_xll.BDP($C145,V$72)="#N/A N/A","NA ",_xll.BDP($C145,V$72))),V145)</f>
        <v>1L Gtd Sr. Secd</v>
      </c>
      <c r="W145" s="353" t="str" cm="1">
        <f t="array" aca="1" ref="W145" ca="1">IF(BBswitch=1,IF(ISBLANK($C145),"",IF(_xll.BDP($C145,W$72)="#N/A N/A","NA ",_xll.BDP($C145,W$72))),W145)</f>
        <v>American Airlines Inc</v>
      </c>
      <c r="X145" s="343" t="str">
        <f ca="1">IF(BBswitch=1,IF(ISBLANK($C145),"",IF(_xll.BDP($C145,X$73)="#N/A N/A","NA ",_xll.BDP($C145,X$73))),X145)</f>
        <v>AAL REV 1L USD</v>
      </c>
    </row>
    <row r="146" spans="3:24">
      <c r="C146" s="6" t="s">
        <v>1917</v>
      </c>
      <c r="D146" s="343" t="e">
        <v>#N/A</v>
      </c>
      <c r="E146" s="344" t="str">
        <f ca="1">IF(BBswitch=1,IF(ISBLANK($C146),"",IF(_xll.BDP($C146,E$73)="#N/A N/A","NA ",_xll.BDP($C146,E$73))),E146)</f>
        <v>B-</v>
      </c>
      <c r="F146" s="354">
        <f ca="1">IF(BBswitch=1,IF(ISBLANK($C146),"",IF(_xll.BDP($C146,F$72)="#N/A N/A","NA ",_xll.BDP($C146,F$72)/10^6)/P146),F146)</f>
        <v>0</v>
      </c>
      <c r="G146" s="355">
        <f ca="1">IF(BBswitch=1,IF(ISBLANK($C146),"",IF(_xll.BDP($C146,G$72)="#N/A N/A","NA ",_xll.BDP($C146,G$72)/100)),G146)</f>
        <v>3.7564300299999999E-2</v>
      </c>
      <c r="H146" s="355" t="str">
        <f ca="1">IF(BBswitch=1,IF(ISBLANK($C146),"",IF(_xll.BDP($C146,H$72)="#N/A N/A","NA ",_xll.BDP($C146,H$72)/100)),H146)</f>
        <v xml:space="preserve">NA </v>
      </c>
      <c r="I146" s="355" t="e">
        <f ca="1">IF(BBswitch=1,IF(ISBLANK($C146),"",IF(_xll.BDP($C146,I$72)="#N/A N/A","NA ",_xll.BDP($C146,I$72)/100)),I146)</f>
        <v>#VALUE!</v>
      </c>
      <c r="J146" s="355" t="str">
        <f ca="1">IF(BBswitch=1,IF(ISBLANK($C146),"",IF(_xll.BDP($C146,J$72)="#N/A N/A","NA ",_xll.BDP($C146,J$72)/100)),J146)</f>
        <v xml:space="preserve">NA </v>
      </c>
      <c r="K146" s="345" t="str">
        <f ca="1">IF(BBswitch=1,IF(ISBLANK($C146),"",IF(_xll.BDP($C146,K$72)="#N/A N/A","NA ",_xll.BDP($C146,K$72))),K146)</f>
        <v>10/13/2022</v>
      </c>
      <c r="L146" s="346" t="e">
        <f t="shared" ca="1" si="12"/>
        <v>#VALUE!</v>
      </c>
      <c r="M146" s="345" t="str">
        <f ca="1">IF(BBswitch=1,IF(ISBLANK($C146),"",IF(_xll.BDP($C146,M$72)="#N/A N/A","NA ",_xll.BDP($C146,M$72))),M146)</f>
        <v>8/21/2017</v>
      </c>
      <c r="N146" s="347" t="str" cm="1">
        <f t="array" aca="1" ref="N146" ca="1">IF(BBswitch=1,IF(ISBLANK($C146),"",IF(_xll.BDP($C146,N$72)="#N/A Field Not Applicable","Notes",_xll.BDP($C146,N$72))),N146)</f>
        <v>REV</v>
      </c>
      <c r="O146" s="348" cm="1">
        <f t="array" aca="1" ref="O146" ca="1">IF(BBswitch=1,IF(ISBLANK($C146),"",IFERROR(IF(_xll.BDP($C146,O$72)="#N/A N/A","NA ",_xll.BDP($C146,O$72)/10^6),0)/P146),O146)</f>
        <v>3.6</v>
      </c>
      <c r="P146" s="349" cm="1">
        <f t="array" aca="1" ref="P146" ca="1">+IF(BBswitch=1,IF(ISBLANK($C146),"",IF(_xll.BDP("USD"&amp;Q146&amp;" BGN Curncy","px last")="#N/A Invalid Security",1,_xll.BDP("USD"&amp;Q146&amp;" BGN Curncy","px last"))),P146)</f>
        <v>1</v>
      </c>
      <c r="Q146" s="350" t="str">
        <f ca="1">IF(BBswitch=1,IF(ISBLANK($C146),"",IF(_xll.BDP($C146,Q$72)="#N/A N/A","NA ",_xll.BDP($C146,Q$72))),Q146)</f>
        <v>USD</v>
      </c>
      <c r="R146" s="351" t="str" cm="1">
        <f t="array" aca="1" ref="R146" ca="1">IF(BBswitch=1,IF(ISBLANK($C146),"",IF(OR(_xll.BDP($C146,R$72)="#N/A Field Not Applicable",_xll.BDP($C146,R$72)="#N/A N/A"),"",_xll.BDP($C146,R$72))),R146)</f>
        <v/>
      </c>
      <c r="S146" s="351" t="str" cm="1">
        <f t="array" aca="1" ref="S146" ca="1">IF(BBswitch=1,IF(ISBLANK($C146),"",IF(OR(_xll.BDP($C146,S$72)="#N/A Field Not Applicable",_xll.BDP($C146,S$72)="#N/A N/A"),"",_xll.BDP($C146,S$72))),S146)</f>
        <v/>
      </c>
      <c r="T146" s="351" t="str" cm="1">
        <f t="array" aca="1" ref="T146" ca="1">IF(BBswitch=1,IF(ISBLANK($C146),"",IF(OR(_xll.BDP($C146,T$72)="#N/A Field Not Applicable",_xll.BDP($C146,T$72)="#N/A N/A"),"",_xll.BDP($C146,T$72))),T146)</f>
        <v/>
      </c>
      <c r="U146" s="351" t="str" cm="1">
        <f t="array" aca="1" ref="U146" ca="1">IF(BBswitch=1,IF(ISBLANK($C146),"",IF(OR(_xll.BDP($C146,U$72)="#N/A Field Not Applicable",_xll.BDP($C146,U$72)="#N/A N/A"),"",_xll.BDP($C146,U$72))),U146)</f>
        <v/>
      </c>
      <c r="V146" s="352" t="str">
        <f ca="1">IF(BBswitch=1,IF(ISBLANK($C146),"",IF(_xll.BDP($C146,V$72)="#N/A N/A","NA ",_xll.BDP($C146,V$72))),V146)</f>
        <v>1L Gtd Sr. Secd</v>
      </c>
      <c r="W146" s="353" t="str" cm="1">
        <f t="array" aca="1" ref="W146" ca="1">IF(BBswitch=1,IF(ISBLANK($C146),"",IF(_xll.BDP($C146,W$72)="#N/A N/A","NA ",_xll.BDP($C146,W$72))),W146)</f>
        <v>American Airlines Inc</v>
      </c>
      <c r="X146" s="343" t="str">
        <f ca="1">IF(BBswitch=1,IF(ISBLANK($C146),"",IF(_xll.BDP($C146,X$73)="#N/A N/A","NA ",_xll.BDP($C146,X$73))),X146)</f>
        <v>AAL REV 1L USD</v>
      </c>
    </row>
    <row r="147" spans="3:24">
      <c r="C147" s="6" t="s">
        <v>1918</v>
      </c>
      <c r="D147" s="343" t="e">
        <v>#N/A</v>
      </c>
      <c r="E147" s="344" t="str">
        <f ca="1">IF(BBswitch=1,IF(ISBLANK($C147),"",IF(_xll.BDP($C147,E$73)="#N/A N/A","NA ",_xll.BDP($C147,E$73))),E147)</f>
        <v>B-</v>
      </c>
      <c r="F147" s="935">
        <f ca="1">IF(BBswitch=1,IF(ISBLANK($C147),"",IF(_xll.BDP($C147,F$72)="#N/A N/A","NA ",_xll.BDP($C147,F$72)/10^6)/P147),F147)</f>
        <v>1188</v>
      </c>
      <c r="G147" s="355">
        <f ca="1">IF(BBswitch=1,IF(ISBLANK($C147),"",IF(_xll.BDP($C147,G$72)="#N/A N/A","NA ",_xll.BDP($C147,G$72)/100)),G147)</f>
        <v>3.4437099700000001E-2</v>
      </c>
      <c r="H147" s="355">
        <f ca="1">IF(BBswitch=1,IF(ISBLANK($C147),"",IF(_xll.BDP($C147,H$72)="#N/A N/A","NA ",_xll.BDP($C147,H$72)/100)),H147)</f>
        <v>0.98624999999999996</v>
      </c>
      <c r="I147" s="355" t="e">
        <f ca="1">IF(BBswitch=1,IF(ISBLANK($C147),"",IF(_xll.BDP($C147,I$72)="#N/A N/A","NA ",_xll.BDP($C147,I$72)/100)),I147)</f>
        <v>#VALUE!</v>
      </c>
      <c r="J147" s="355">
        <f ca="1">IF(BBswitch=1,IF(ISBLANK($C147),"",IF(_xll.BDP($C147,J$72)="#N/A N/A","NA ",_xll.BDP($C147,J$72)/100)),J147)</f>
        <v>6.0204422577404611E-2</v>
      </c>
      <c r="K147" s="345" t="str">
        <f ca="1">IF(BBswitch=1,IF(ISBLANK($C147),"",IF(_xll.BDP($C147,K$72)="#N/A N/A","NA ",_xll.BDP($C147,K$72))),K147)</f>
        <v>12/14/2023</v>
      </c>
      <c r="L147" s="346" t="e">
        <f t="shared" ca="1" si="12"/>
        <v>#VALUE!</v>
      </c>
      <c r="M147" s="345" t="str">
        <f ca="1">IF(BBswitch=1,IF(ISBLANK($C147),"",IF(_xll.BDP($C147,M$72)="#N/A N/A","NA ",_xll.BDP($C147,M$72))),M147)</f>
        <v>11/14/2017</v>
      </c>
      <c r="N147" s="347" t="str" cm="1">
        <f t="array" aca="1" ref="N147" ca="1">IF(BBswitch=1,IF(ISBLANK($C147),"",IF(_xll.BDP($C147,N$72)="#N/A Field Not Applicable","Notes",_xll.BDP($C147,N$72))),N147)</f>
        <v>TERM</v>
      </c>
      <c r="O147" s="348" cm="1">
        <f t="array" aca="1" ref="O147" ca="1">IF(BBswitch=1,IF(ISBLANK($C147),"",IFERROR(IF(_xll.BDP($C147,O$72)="#N/A N/A","NA ",_xll.BDP($C147,O$72)/10^6),0)/P147),O147)</f>
        <v>1250</v>
      </c>
      <c r="P147" s="349" cm="1">
        <f t="array" aca="1" ref="P147" ca="1">+IF(BBswitch=1,IF(ISBLANK($C147),"",IF(_xll.BDP("USD"&amp;Q147&amp;" BGN Curncy","px last")="#N/A Invalid Security",1,_xll.BDP("USD"&amp;Q147&amp;" BGN Curncy","px last"))),P147)</f>
        <v>1</v>
      </c>
      <c r="Q147" s="350" t="str">
        <f ca="1">IF(BBswitch=1,IF(ISBLANK($C147),"",IF(_xll.BDP($C147,Q$72)="#N/A N/A","NA ",_xll.BDP($C147,Q$72))),Q147)</f>
        <v>USD</v>
      </c>
      <c r="R147" s="351" cm="1">
        <f t="array" aca="1" ref="R147" ca="1">IF(BBswitch=1,IF(ISBLANK($C147),"",IF(OR(_xll.BDP($C147,R$72)="#N/A Field Not Applicable",_xll.BDP($C147,R$72)="#N/A N/A"),"",_xll.BDP($C147,R$72))),R147)</f>
        <v>1.327304163366289</v>
      </c>
      <c r="S147" s="351" t="str" cm="1">
        <f t="array" aca="1" ref="S147" ca="1">IF(BBswitch=1,IF(ISBLANK($C147),"",IF(OR(_xll.BDP($C147,S$72)="#N/A Field Not Applicable",_xll.BDP($C147,S$72)="#N/A N/A"),"",_xll.BDP($C147,S$72))),S147)</f>
        <v/>
      </c>
      <c r="T147" s="351" cm="1">
        <f t="array" aca="1" ref="T147" ca="1">IF(BBswitch=1,IF(ISBLANK($C147),"",IF(OR(_xll.BDP($C147,T$72)="#N/A Field Not Applicable",_xll.BDP($C147,T$72)="#N/A N/A"),"",_xll.BDP($C147,T$72))),T147)</f>
        <v>300.22169671117643</v>
      </c>
      <c r="U147" s="351" t="str" cm="1">
        <f t="array" aca="1" ref="U147" ca="1">IF(BBswitch=1,IF(ISBLANK($C147),"",IF(OR(_xll.BDP($C147,U$72)="#N/A Field Not Applicable",_xll.BDP($C147,U$72)="#N/A N/A"),"",_xll.BDP($C147,U$72))),U147)</f>
        <v/>
      </c>
      <c r="V147" s="352" t="str">
        <f ca="1">IF(BBswitch=1,IF(ISBLANK($C147),"",IF(_xll.BDP($C147,V$72)="#N/A N/A","NA ",_xll.BDP($C147,V$72))),V147)</f>
        <v>1L Gtd Sr. Secd</v>
      </c>
      <c r="W147" s="353" t="str" cm="1">
        <f t="array" aca="1" ref="W147" ca="1">IF(BBswitch=1,IF(ISBLANK($C147),"",IF(_xll.BDP($C147,W$72)="#N/A N/A","NA ",_xll.BDP($C147,W$72))),W147)</f>
        <v>American Airlines Inc</v>
      </c>
      <c r="X147" s="343" t="str">
        <f ca="1">IF(BBswitch=1,IF(ISBLANK($C147),"",IF(_xll.BDP($C147,X$73)="#N/A N/A","NA ",_xll.BDP($C147,X$73))),X147)</f>
        <v>AAL TL B 1L USD</v>
      </c>
    </row>
    <row r="148" spans="3:24">
      <c r="C148" s="6" t="s">
        <v>1919</v>
      </c>
      <c r="D148" s="343" t="e">
        <v>#N/A</v>
      </c>
      <c r="E148" s="344" t="str">
        <f ca="1">IF(BBswitch=1,IF(ISBLANK($C148),"",IF(_xll.BDP($C148,E$73)="#N/A N/A","NA ",_xll.BDP($C148,E$73))),E148)</f>
        <v>B-</v>
      </c>
      <c r="F148" s="354">
        <f ca="1">IF(BBswitch=1,IF(ISBLANK($C148),"",IF(_xll.BDP($C148,F$72)="#N/A N/A","NA ",_xll.BDP($C148,F$72)/10^6)/P148),F148)</f>
        <v>1770</v>
      </c>
      <c r="G148" s="355">
        <f ca="1">IF(BBswitch=1,IF(ISBLANK($C148),"",IF(_xll.BDP($C148,G$72)="#N/A N/A","NA ",_xll.BDP($C148,G$72)/100)),G148)</f>
        <v>3.1937099699999999E-2</v>
      </c>
      <c r="H148" s="355">
        <f ca="1">IF(BBswitch=1,IF(ISBLANK($C148),"",IF(_xll.BDP($C148,H$72)="#N/A N/A","NA ",_xll.BDP($C148,H$72)/100)),H148)</f>
        <v>0.90249999999999997</v>
      </c>
      <c r="I148" s="355" t="e">
        <f ca="1">IF(BBswitch=1,IF(ISBLANK($C148),"",IF(_xll.BDP($C148,I$72)="#N/A N/A","NA ",_xll.BDP($C148,I$72)/100)),I148)</f>
        <v>#VALUE!</v>
      </c>
      <c r="J148" s="355">
        <f ca="1">IF(BBswitch=1,IF(ISBLANK($C148),"",IF(_xll.BDP($C148,J$72)="#N/A N/A","NA ",_xll.BDP($C148,J$72)/100)),J148)</f>
        <v>8.4117322706240019E-2</v>
      </c>
      <c r="K148" s="345" t="str">
        <f ca="1">IF(BBswitch=1,IF(ISBLANK($C148),"",IF(_xll.BDP($C148,K$72)="#N/A N/A","NA ",_xll.BDP($C148,K$72))),K148)</f>
        <v>6/27/2025</v>
      </c>
      <c r="L148" s="346" t="e">
        <f t="shared" ca="1" si="12"/>
        <v>#VALUE!</v>
      </c>
      <c r="M148" s="345" t="str">
        <f ca="1">IF(BBswitch=1,IF(ISBLANK($C148),"",IF(_xll.BDP($C148,M$72)="#N/A N/A","NA ",_xll.BDP($C148,M$72))),M148)</f>
        <v>5/15/2018</v>
      </c>
      <c r="N148" s="347" t="str" cm="1">
        <f t="array" aca="1" ref="N148" ca="1">IF(BBswitch=1,IF(ISBLANK($C148),"",IF(_xll.BDP($C148,N$72)="#N/A Field Not Applicable","Notes",_xll.BDP($C148,N$72))),N148)</f>
        <v>TERM</v>
      </c>
      <c r="O148" s="348" cm="1">
        <f t="array" aca="1" ref="O148" ca="1">IF(BBswitch=1,IF(ISBLANK($C148),"",IFERROR(IF(_xll.BDP($C148,O$72)="#N/A N/A","NA ",_xll.BDP($C148,O$72)/10^6),0)/P148),O148)</f>
        <v>1824.7481249999998</v>
      </c>
      <c r="P148" s="349" cm="1">
        <f t="array" aca="1" ref="P148" ca="1">+IF(BBswitch=1,IF(ISBLANK($C148),"",IF(_xll.BDP("USD"&amp;Q148&amp;" BGN Curncy","px last")="#N/A Invalid Security",1,_xll.BDP("USD"&amp;Q148&amp;" BGN Curncy","px last"))),P148)</f>
        <v>1</v>
      </c>
      <c r="Q148" s="350" t="str">
        <f ca="1">IF(BBswitch=1,IF(ISBLANK($C148),"",IF(_xll.BDP($C148,Q$72)="#N/A N/A","NA ",_xll.BDP($C148,Q$72))),Q148)</f>
        <v>USD</v>
      </c>
      <c r="R148" s="351" cm="1">
        <f t="array" aca="1" ref="R148" ca="1">IF(BBswitch=1,IF(ISBLANK($C148),"",IF(OR(_xll.BDP($C148,R$72)="#N/A Field Not Applicable",_xll.BDP($C148,R$72)="#N/A N/A"),"",_xll.BDP($C148,R$72))),R148)</f>
        <v>2.691763580795727</v>
      </c>
      <c r="S148" s="351" t="str" cm="1">
        <f t="array" aca="1" ref="S148" ca="1">IF(BBswitch=1,IF(ISBLANK($C148),"",IF(OR(_xll.BDP($C148,S$72)="#N/A Field Not Applicable",_xll.BDP($C148,S$72)="#N/A N/A"),"",_xll.BDP($C148,S$72))),S148)</f>
        <v/>
      </c>
      <c r="T148" s="351" cm="1">
        <f t="array" aca="1" ref="T148" ca="1">IF(BBswitch=1,IF(ISBLANK($C148),"",IF(OR(_xll.BDP($C148,T$72)="#N/A Field Not Applicable",_xll.BDP($C148,T$72)="#N/A N/A"),"",_xll.BDP($C148,T$72))),T148)</f>
        <v>547.56531583830019</v>
      </c>
      <c r="U148" s="351" t="str" cm="1">
        <f t="array" aca="1" ref="U148" ca="1">IF(BBswitch=1,IF(ISBLANK($C148),"",IF(OR(_xll.BDP($C148,U$72)="#N/A Field Not Applicable",_xll.BDP($C148,U$72)="#N/A N/A"),"",_xll.BDP($C148,U$72))),U148)</f>
        <v/>
      </c>
      <c r="V148" s="352" t="str">
        <f ca="1">IF(BBswitch=1,IF(ISBLANK($C148),"",IF(_xll.BDP($C148,V$72)="#N/A N/A","NA ",_xll.BDP($C148,V$72))),V148)</f>
        <v>1L Gtd Sr. Secd</v>
      </c>
      <c r="W148" s="353" t="str" cm="1">
        <f t="array" aca="1" ref="W148" ca="1">IF(BBswitch=1,IF(ISBLANK($C148),"",IF(_xll.BDP($C148,W$72)="#N/A N/A","NA ",_xll.BDP($C148,W$72))),W148)</f>
        <v>American Airlines Inc</v>
      </c>
      <c r="X148" s="343" t="str">
        <f ca="1">IF(BBswitch=1,IF(ISBLANK($C148),"",IF(_xll.BDP($C148,X$73)="#N/A N/A","NA ",_xll.BDP($C148,X$73))),X148)</f>
        <v>AAL TL B 1L USD</v>
      </c>
    </row>
    <row r="149" spans="3:24">
      <c r="C149" s="6" t="s">
        <v>1920</v>
      </c>
      <c r="D149" s="343" t="e">
        <v>#N/A</v>
      </c>
      <c r="E149" s="344" t="str">
        <f ca="1">IF(BBswitch=1,IF(ISBLANK($C149),"",IF(_xll.BDP($C149,E$73)="#N/A N/A","NA ",_xll.BDP($C149,E$73))),E149)</f>
        <v>B-</v>
      </c>
      <c r="F149" s="935">
        <f ca="1">IF(BBswitch=1,IF(ISBLANK($C149),"",IF(_xll.BDP($C149,F$72)="#N/A N/A","NA ",_xll.BDP($C149,F$72)/10^6)/P149),F149)</f>
        <v>0</v>
      </c>
      <c r="G149" s="355">
        <f ca="1">IF(BBswitch=1,IF(ISBLANK($C149),"",IF(_xll.BDP($C149,G$72)="#N/A N/A","NA ",_xll.BDP($C149,G$72)/100)),G149)</f>
        <v>4.2851400379999995E-2</v>
      </c>
      <c r="H149" s="355" t="str">
        <f ca="1">IF(BBswitch=1,IF(ISBLANK($C149),"",IF(_xll.BDP($C149,H$72)="#N/A N/A","NA ",_xll.BDP($C149,H$72)/100)),H149)</f>
        <v xml:space="preserve">NA </v>
      </c>
      <c r="I149" s="355" t="e">
        <f ca="1">IF(BBswitch=1,IF(ISBLANK($C149),"",IF(_xll.BDP($C149,I$72)="#N/A N/A","NA ",_xll.BDP($C149,I$72)/100)),I149)</f>
        <v>#VALUE!</v>
      </c>
      <c r="J149" s="355" t="str">
        <f ca="1">IF(BBswitch=1,IF(ISBLANK($C149),"",IF(_xll.BDP($C149,J$72)="#N/A N/A","NA ",_xll.BDP($C149,J$72)/100)),J149)</f>
        <v xml:space="preserve">NA </v>
      </c>
      <c r="K149" s="345" t="str">
        <f ca="1">IF(BBswitch=1,IF(ISBLANK($C149),"",IF(_xll.BDP($C149,K$72)="#N/A N/A","NA ",_xll.BDP($C149,K$72))),K149)</f>
        <v>10/11/2024</v>
      </c>
      <c r="L149" s="346">
        <f t="shared" ca="1" si="12"/>
        <v>2024</v>
      </c>
      <c r="M149" s="345" t="str">
        <f ca="1">IF(BBswitch=1,IF(ISBLANK($C149),"",IF(_xll.BDP($C149,M$72)="#N/A N/A","NA ",_xll.BDP($C149,M$72))),M149)</f>
        <v>12/10/2018</v>
      </c>
      <c r="N149" s="347" t="str" cm="1">
        <f t="array" aca="1" ref="N149" ca="1">IF(BBswitch=1,IF(ISBLANK($C149),"",IF(_xll.BDP($C149,N$72)="#N/A Field Not Applicable","Notes",_xll.BDP($C149,N$72))),N149)</f>
        <v>REV</v>
      </c>
      <c r="O149" s="348" cm="1">
        <f t="array" aca="1" ref="O149" ca="1">IF(BBswitch=1,IF(ISBLANK($C149),"",IFERROR(IF(_xll.BDP($C149,O$72)="#N/A N/A","NA ",_xll.BDP($C149,O$72)/10^6),0)/P149),O149)</f>
        <v>735.6</v>
      </c>
      <c r="P149" s="349" cm="1">
        <f t="array" aca="1" ref="P149" ca="1">+IF(BBswitch=1,IF(ISBLANK($C149),"",IF(_xll.BDP("USD"&amp;Q149&amp;" BGN Curncy","px last")="#N/A Invalid Security",1,_xll.BDP("USD"&amp;Q149&amp;" BGN Curncy","px last"))),P149)</f>
        <v>1</v>
      </c>
      <c r="Q149" s="350" t="str">
        <f ca="1">IF(BBswitch=1,IF(ISBLANK($C149),"",IF(_xll.BDP($C149,Q$72)="#N/A N/A","NA ",_xll.BDP($C149,Q$72))),Q149)</f>
        <v>USD</v>
      </c>
      <c r="R149" s="351" t="str" cm="1">
        <f t="array" aca="1" ref="R149" ca="1">IF(BBswitch=1,IF(ISBLANK($C149),"",IF(OR(_xll.BDP($C149,R$72)="#N/A Field Not Applicable",_xll.BDP($C149,R$72)="#N/A N/A"),"",_xll.BDP($C149,R$72))),R149)</f>
        <v/>
      </c>
      <c r="S149" s="351" t="str" cm="1">
        <f t="array" aca="1" ref="S149" ca="1">IF(BBswitch=1,IF(ISBLANK($C149),"",IF(OR(_xll.BDP($C149,S$72)="#N/A Field Not Applicable",_xll.BDP($C149,S$72)="#N/A N/A"),"",_xll.BDP($C149,S$72))),S149)</f>
        <v/>
      </c>
      <c r="T149" s="351" t="str" cm="1">
        <f t="array" aca="1" ref="T149" ca="1">IF(BBswitch=1,IF(ISBLANK($C149),"",IF(OR(_xll.BDP($C149,T$72)="#N/A Field Not Applicable",_xll.BDP($C149,T$72)="#N/A N/A"),"",_xll.BDP($C149,T$72))),T149)</f>
        <v/>
      </c>
      <c r="U149" s="351" t="str" cm="1">
        <f t="array" aca="1" ref="U149" ca="1">IF(BBswitch=1,IF(ISBLANK($C149),"",IF(OR(_xll.BDP($C149,U$72)="#N/A Field Not Applicable",_xll.BDP($C149,U$72)="#N/A N/A"),"",_xll.BDP($C149,U$72))),U149)</f>
        <v/>
      </c>
      <c r="V149" s="352" t="str">
        <f ca="1">IF(BBswitch=1,IF(ISBLANK($C149),"",IF(_xll.BDP($C149,V$72)="#N/A N/A","NA ",_xll.BDP($C149,V$72))),V149)</f>
        <v>1L Gtd Sr. Secd</v>
      </c>
      <c r="W149" s="353" t="str" cm="1">
        <f t="array" aca="1" ref="W149" ca="1">IF(BBswitch=1,IF(ISBLANK($C149),"",IF(_xll.BDP($C149,W$72)="#N/A N/A","NA ",_xll.BDP($C149,W$72))),W149)</f>
        <v>American Airlines Inc</v>
      </c>
      <c r="X149" s="343" t="str">
        <f ca="1">IF(BBswitch=1,IF(ISBLANK($C149),"",IF(_xll.BDP($C149,X$73)="#N/A N/A","NA ",_xll.BDP($C149,X$73))),X149)</f>
        <v>AAL REV EXT 1L USD</v>
      </c>
    </row>
    <row r="150" spans="3:24">
      <c r="C150" s="6" t="s">
        <v>1921</v>
      </c>
      <c r="D150" s="343" t="e">
        <v>#N/A</v>
      </c>
      <c r="E150" s="344" t="str">
        <f ca="1">IF(BBswitch=1,IF(ISBLANK($C150),"",IF(_xll.BDP($C150,E$73)="#N/A N/A","NA ",_xll.BDP($C150,E$73))),E150)</f>
        <v>B-</v>
      </c>
      <c r="F150" s="354">
        <f ca="1">IF(BBswitch=1,IF(ISBLANK($C150),"",IF(_xll.BDP($C150,F$72)="#N/A N/A","NA ",_xll.BDP($C150,F$72)/10^6)/P150),F150)</f>
        <v>0</v>
      </c>
      <c r="G150" s="355">
        <f ca="1">IF(BBswitch=1,IF(ISBLANK($C150),"",IF(_xll.BDP($C150,G$72)="#N/A N/A","NA ",_xll.BDP($C150,G$72)/100)),G150)</f>
        <v>4.2851400379999995E-2</v>
      </c>
      <c r="H150" s="355" t="str">
        <f ca="1">IF(BBswitch=1,IF(ISBLANK($C150),"",IF(_xll.BDP($C150,H$72)="#N/A N/A","NA ",_xll.BDP($C150,H$72)/100)),H150)</f>
        <v xml:space="preserve">NA </v>
      </c>
      <c r="I150" s="355" t="e">
        <f ca="1">IF(BBswitch=1,IF(ISBLANK($C150),"",IF(_xll.BDP($C150,I$72)="#N/A N/A","NA ",_xll.BDP($C150,I$72)/100)),I150)</f>
        <v>#VALUE!</v>
      </c>
      <c r="J150" s="355" t="str">
        <f ca="1">IF(BBswitch=1,IF(ISBLANK($C150),"",IF(_xll.BDP($C150,J$72)="#N/A N/A","NA ",_xll.BDP($C150,J$72)/100)),J150)</f>
        <v xml:space="preserve">NA </v>
      </c>
      <c r="K150" s="345" t="str">
        <f ca="1">IF(BBswitch=1,IF(ISBLANK($C150),"",IF(_xll.BDP($C150,K$72)="#N/A N/A","NA ",_xll.BDP($C150,K$72))),K150)</f>
        <v>10/11/2024</v>
      </c>
      <c r="L150" s="346">
        <f t="shared" ca="1" si="12"/>
        <v>2024</v>
      </c>
      <c r="M150" s="345" t="str">
        <f ca="1">IF(BBswitch=1,IF(ISBLANK($C150),"",IF(_xll.BDP($C150,M$72)="#N/A N/A","NA ",_xll.BDP($C150,M$72))),M150)</f>
        <v>12/10/2018</v>
      </c>
      <c r="N150" s="347" t="str" cm="1">
        <f t="array" aca="1" ref="N150" ca="1">IF(BBswitch=1,IF(ISBLANK($C150),"",IF(_xll.BDP($C150,N$72)="#N/A Field Not Applicable","Notes",_xll.BDP($C150,N$72))),N150)</f>
        <v>REV</v>
      </c>
      <c r="O150" s="348" cm="1">
        <f t="array" aca="1" ref="O150" ca="1">IF(BBswitch=1,IF(ISBLANK($C150),"",IFERROR(IF(_xll.BDP($C150,O$72)="#N/A N/A","NA ",_xll.BDP($C150,O$72)/10^6),0)/P150),O150)</f>
        <v>446.40000000000003</v>
      </c>
      <c r="P150" s="349" cm="1">
        <f t="array" aca="1" ref="P150" ca="1">+IF(BBswitch=1,IF(ISBLANK($C150),"",IF(_xll.BDP("USD"&amp;Q150&amp;" BGN Curncy","px last")="#N/A Invalid Security",1,_xll.BDP("USD"&amp;Q150&amp;" BGN Curncy","px last"))),P150)</f>
        <v>1</v>
      </c>
      <c r="Q150" s="350" t="str">
        <f ca="1">IF(BBswitch=1,IF(ISBLANK($C150),"",IF(_xll.BDP($C150,Q$72)="#N/A N/A","NA ",_xll.BDP($C150,Q$72))),Q150)</f>
        <v>USD</v>
      </c>
      <c r="R150" s="351" t="str" cm="1">
        <f t="array" aca="1" ref="R150" ca="1">IF(BBswitch=1,IF(ISBLANK($C150),"",IF(OR(_xll.BDP($C150,R$72)="#N/A Field Not Applicable",_xll.BDP($C150,R$72)="#N/A N/A"),"",_xll.BDP($C150,R$72))),R150)</f>
        <v/>
      </c>
      <c r="S150" s="351" t="str" cm="1">
        <f t="array" aca="1" ref="S150" ca="1">IF(BBswitch=1,IF(ISBLANK($C150),"",IF(OR(_xll.BDP($C150,S$72)="#N/A Field Not Applicable",_xll.BDP($C150,S$72)="#N/A N/A"),"",_xll.BDP($C150,S$72))),S150)</f>
        <v/>
      </c>
      <c r="T150" s="351" t="str" cm="1">
        <f t="array" aca="1" ref="T150" ca="1">IF(BBswitch=1,IF(ISBLANK($C150),"",IF(OR(_xll.BDP($C150,T$72)="#N/A Field Not Applicable",_xll.BDP($C150,T$72)="#N/A N/A"),"",_xll.BDP($C150,T$72))),T150)</f>
        <v/>
      </c>
      <c r="U150" s="351" t="str" cm="1">
        <f t="array" aca="1" ref="U150" ca="1">IF(BBswitch=1,IF(ISBLANK($C150),"",IF(OR(_xll.BDP($C150,U$72)="#N/A Field Not Applicable",_xll.BDP($C150,U$72)="#N/A N/A"),"",_xll.BDP($C150,U$72))),U150)</f>
        <v/>
      </c>
      <c r="V150" s="352" t="str">
        <f ca="1">IF(BBswitch=1,IF(ISBLANK($C150),"",IF(_xll.BDP($C150,V$72)="#N/A N/A","NA ",_xll.BDP($C150,V$72))),V150)</f>
        <v>1L Gtd Sr. Secd</v>
      </c>
      <c r="W150" s="353" t="str" cm="1">
        <f t="array" aca="1" ref="W150" ca="1">IF(BBswitch=1,IF(ISBLANK($C150),"",IF(_xll.BDP($C150,W$72)="#N/A N/A","NA ",_xll.BDP($C150,W$72))),W150)</f>
        <v>American Airlines Inc</v>
      </c>
      <c r="X150" s="343" t="str">
        <f ca="1">IF(BBswitch=1,IF(ISBLANK($C150),"",IF(_xll.BDP($C150,X$73)="#N/A N/A","NA ",_xll.BDP($C150,X$73))),X150)</f>
        <v>AAL REV EXT 1L USD</v>
      </c>
    </row>
    <row r="151" spans="3:24">
      <c r="C151" s="6" t="s">
        <v>1922</v>
      </c>
      <c r="D151" s="343" t="e">
        <v>#N/A</v>
      </c>
      <c r="E151" s="344" t="str">
        <f ca="1">IF(BBswitch=1,IF(ISBLANK($C151),"",IF(_xll.BDP($C151,E$73)="#N/A N/A","NA ",_xll.BDP($C151,E$73))),E151)</f>
        <v>B-</v>
      </c>
      <c r="F151" s="354">
        <f ca="1">IF(BBswitch=1,IF(ISBLANK($C151),"",IF(_xll.BDP($C151,F$72)="#N/A N/A","NA ",_xll.BDP($C151,F$72)/10^6)/P151),F151)</f>
        <v>0</v>
      </c>
      <c r="G151" s="355">
        <f ca="1">IF(BBswitch=1,IF(ISBLANK($C151),"",IF(_xll.BDP($C151,G$72)="#N/A N/A","NA ",_xll.BDP($C151,G$72)/100)),G151)</f>
        <v>4.2851400379999995E-2</v>
      </c>
      <c r="H151" s="355" t="str">
        <f ca="1">IF(BBswitch=1,IF(ISBLANK($C151),"",IF(_xll.BDP($C151,H$72)="#N/A N/A","NA ",_xll.BDP($C151,H$72)/100)),H151)</f>
        <v xml:space="preserve">NA </v>
      </c>
      <c r="I151" s="355" t="e">
        <f ca="1">IF(BBswitch=1,IF(ISBLANK($C151),"",IF(_xll.BDP($C151,I$72)="#N/A N/A","NA ",_xll.BDP($C151,I$72)/100)),I151)</f>
        <v>#VALUE!</v>
      </c>
      <c r="J151" s="355" t="str">
        <f ca="1">IF(BBswitch=1,IF(ISBLANK($C151),"",IF(_xll.BDP($C151,J$72)="#N/A N/A","NA ",_xll.BDP($C151,J$72)/100)),J151)</f>
        <v xml:space="preserve">NA </v>
      </c>
      <c r="K151" s="345" t="str">
        <f ca="1">IF(BBswitch=1,IF(ISBLANK($C151),"",IF(_xll.BDP($C151,K$72)="#N/A N/A","NA ",_xll.BDP($C151,K$72))),K151)</f>
        <v>10/11/2024</v>
      </c>
      <c r="L151" s="346">
        <f t="shared" ca="1" si="12"/>
        <v>2024</v>
      </c>
      <c r="M151" s="345" t="str">
        <f ca="1">IF(BBswitch=1,IF(ISBLANK($C151),"",IF(_xll.BDP($C151,M$72)="#N/A N/A","NA ",_xll.BDP($C151,M$72))),M151)</f>
        <v>12/10/2018</v>
      </c>
      <c r="N151" s="347" t="str" cm="1">
        <f t="array" aca="1" ref="N151" ca="1">IF(BBswitch=1,IF(ISBLANK($C151),"",IF(_xll.BDP($C151,N$72)="#N/A Field Not Applicable","Notes",_xll.BDP($C151,N$72))),N151)</f>
        <v>REV</v>
      </c>
      <c r="O151" s="348" cm="1">
        <f t="array" aca="1" ref="O151" ca="1">IF(BBswitch=1,IF(ISBLANK($C151),"",IFERROR(IF(_xll.BDP($C151,O$72)="#N/A N/A","NA ",_xll.BDP($C151,O$72)/10^6),0)/P151),O151)</f>
        <v>1630.5</v>
      </c>
      <c r="P151" s="349" cm="1">
        <f t="array" aca="1" ref="P151" ca="1">+IF(BBswitch=1,IF(ISBLANK($C151),"",IF(_xll.BDP("USD"&amp;Q151&amp;" BGN Curncy","px last")="#N/A Invalid Security",1,_xll.BDP("USD"&amp;Q151&amp;" BGN Curncy","px last"))),P151)</f>
        <v>1</v>
      </c>
      <c r="Q151" s="350" t="str">
        <f ca="1">IF(BBswitch=1,IF(ISBLANK($C151),"",IF(_xll.BDP($C151,Q$72)="#N/A N/A","NA ",_xll.BDP($C151,Q$72))),Q151)</f>
        <v>USD</v>
      </c>
      <c r="R151" s="351" t="str" cm="1">
        <f t="array" aca="1" ref="R151" ca="1">IF(BBswitch=1,IF(ISBLANK($C151),"",IF(OR(_xll.BDP($C151,R$72)="#N/A Field Not Applicable",_xll.BDP($C151,R$72)="#N/A N/A"),"",_xll.BDP($C151,R$72))),R151)</f>
        <v/>
      </c>
      <c r="S151" s="351" t="str" cm="1">
        <f t="array" aca="1" ref="S151" ca="1">IF(BBswitch=1,IF(ISBLANK($C151),"",IF(OR(_xll.BDP($C151,S$72)="#N/A Field Not Applicable",_xll.BDP($C151,S$72)="#N/A N/A"),"",_xll.BDP($C151,S$72))),S151)</f>
        <v/>
      </c>
      <c r="T151" s="351" t="str" cm="1">
        <f t="array" aca="1" ref="T151" ca="1">IF(BBswitch=1,IF(ISBLANK($C151),"",IF(OR(_xll.BDP($C151,T$72)="#N/A Field Not Applicable",_xll.BDP($C151,T$72)="#N/A N/A"),"",_xll.BDP($C151,T$72))),T151)</f>
        <v/>
      </c>
      <c r="U151" s="351" t="str" cm="1">
        <f t="array" aca="1" ref="U151" ca="1">IF(BBswitch=1,IF(ISBLANK($C151),"",IF(OR(_xll.BDP($C151,U$72)="#N/A Field Not Applicable",_xll.BDP($C151,U$72)="#N/A N/A"),"",_xll.BDP($C151,U$72))),U151)</f>
        <v/>
      </c>
      <c r="V151" s="352" t="str">
        <f ca="1">IF(BBswitch=1,IF(ISBLANK($C151),"",IF(_xll.BDP($C151,V$72)="#N/A N/A","NA ",_xll.BDP($C151,V$72))),V151)</f>
        <v>1L Gtd Sr. Secd</v>
      </c>
      <c r="W151" s="353" t="str" cm="1">
        <f t="array" aca="1" ref="W151" ca="1">IF(BBswitch=1,IF(ISBLANK($C151),"",IF(_xll.BDP($C151,W$72)="#N/A N/A","NA ",_xll.BDP($C151,W$72))),W151)</f>
        <v>American Airlines Inc</v>
      </c>
      <c r="X151" s="343" t="str">
        <f ca="1">IF(BBswitch=1,IF(ISBLANK($C151),"",IF(_xll.BDP($C151,X$73)="#N/A N/A","NA ",_xll.BDP($C151,X$73))),X151)</f>
        <v>AAL REV EXT 1L USD</v>
      </c>
    </row>
    <row r="152" spans="3:24">
      <c r="C152" s="6" t="s">
        <v>1923</v>
      </c>
      <c r="D152" s="343" t="e">
        <v>#N/A</v>
      </c>
      <c r="E152" s="344" t="str">
        <f ca="1">IF(BBswitch=1,IF(ISBLANK($C152),"",IF(_xll.BDP($C152,E$73)="#N/A N/A","NA ",_xll.BDP($C152,E$73))),E152)</f>
        <v>B-</v>
      </c>
      <c r="F152" s="354">
        <f ca="1">IF(BBswitch=1,IF(ISBLANK($C152),"",IF(_xll.BDP($C152,F$72)="#N/A N/A","NA ",_xll.BDP($C152,F$72)/10^6)/P152),F152)</f>
        <v>1196</v>
      </c>
      <c r="G152" s="355">
        <f ca="1">IF(BBswitch=1,IF(ISBLANK($C152),"",IF(_xll.BDP($C152,G$72)="#N/A N/A","NA ",_xll.BDP($C152,G$72)/100)),G152)</f>
        <v>3.9115700000000003E-2</v>
      </c>
      <c r="H152" s="355">
        <f ca="1">IF(BBswitch=1,IF(ISBLANK($C152),"",IF(_xll.BDP($C152,H$72)="#N/A N/A","NA ",_xll.BDP($C152,H$72)/100)),H152)</f>
        <v>0.89500000000000002</v>
      </c>
      <c r="I152" s="355" t="e">
        <f ca="1">IF(BBswitch=1,IF(ISBLANK($C152),"",IF(_xll.BDP($C152,I$72)="#N/A N/A","NA ",_xll.BDP($C152,I$72)/100)),I152)</f>
        <v>#VALUE!</v>
      </c>
      <c r="J152" s="355">
        <f ca="1">IF(BBswitch=1,IF(ISBLANK($C152),"",IF(_xll.BDP($C152,J$72)="#N/A N/A","NA ",_xll.BDP($C152,J$72)/100)),J152)</f>
        <v>6.7813938793547579E-2</v>
      </c>
      <c r="K152" s="345" t="str">
        <f ca="1">IF(BBswitch=1,IF(ISBLANK($C152),"",IF(_xll.BDP($C152,K$72)="#N/A N/A","NA ",_xll.BDP($C152,K$72))),K152)</f>
        <v>1/29/2027</v>
      </c>
      <c r="L152" s="346" t="e">
        <f t="shared" ca="1" si="12"/>
        <v>#VALUE!</v>
      </c>
      <c r="M152" s="345" t="str">
        <f ca="1">IF(BBswitch=1,IF(ISBLANK($C152),"",IF(_xll.BDP($C152,M$72)="#N/A N/A","NA ",_xll.BDP($C152,M$72))),M152)</f>
        <v>1/29/2020</v>
      </c>
      <c r="N152" s="347" t="str" cm="1">
        <f t="array" aca="1" ref="N152" ca="1">IF(BBswitch=1,IF(ISBLANK($C152),"",IF(_xll.BDP($C152,N$72)="#N/A Field Not Applicable","Notes",_xll.BDP($C152,N$72))),N152)</f>
        <v>TERM</v>
      </c>
      <c r="O152" s="348" cm="1">
        <f t="array" aca="1" ref="O152" ca="1">IF(BBswitch=1,IF(ISBLANK($C152),"",IFERROR(IF(_xll.BDP($C152,O$72)="#N/A N/A","NA ",_xll.BDP($C152,O$72)/10^6),0)/P152),O152)</f>
        <v>1220</v>
      </c>
      <c r="P152" s="349" cm="1">
        <f t="array" aca="1" ref="P152" ca="1">+IF(BBswitch=1,IF(ISBLANK($C152),"",IF(_xll.BDP("USD"&amp;Q152&amp;" BGN Curncy","px last")="#N/A Invalid Security",1,_xll.BDP("USD"&amp;Q152&amp;" BGN Curncy","px last"))),P152)</f>
        <v>1</v>
      </c>
      <c r="Q152" s="350" t="str">
        <f ca="1">IF(BBswitch=1,IF(ISBLANK($C152),"",IF(_xll.BDP($C152,Q$72)="#N/A N/A","NA ",_xll.BDP($C152,Q$72))),Q152)</f>
        <v>USD</v>
      </c>
      <c r="R152" s="351" cm="1">
        <f t="array" aca="1" ref="R152" ca="1">IF(BBswitch=1,IF(ISBLANK($C152),"",IF(OR(_xll.BDP($C152,R$72)="#N/A Field Not Applicable",_xll.BDP($C152,R$72)="#N/A N/A"),"",_xll.BDP($C152,R$72))),R152)</f>
        <v>4.0468248909588622</v>
      </c>
      <c r="S152" s="351" t="str" cm="1">
        <f t="array" aca="1" ref="S152" ca="1">IF(BBswitch=1,IF(ISBLANK($C152),"",IF(OR(_xll.BDP($C152,S$72)="#N/A Field Not Applicable",_xll.BDP($C152,S$72)="#N/A N/A"),"",_xll.BDP($C152,S$72))),S152)</f>
        <v/>
      </c>
      <c r="T152" s="351" cm="1">
        <f t="array" aca="1" ref="T152" ca="1">IF(BBswitch=1,IF(ISBLANK($C152),"",IF(OR(_xll.BDP($C152,T$72)="#N/A Field Not Applicable",_xll.BDP($C152,T$72)="#N/A N/A"),"",_xll.BDP($C152,T$72))),T152)</f>
        <v>568.95726040302975</v>
      </c>
      <c r="U152" s="351" t="str" cm="1">
        <f t="array" aca="1" ref="U152" ca="1">IF(BBswitch=1,IF(ISBLANK($C152),"",IF(OR(_xll.BDP($C152,U$72)="#N/A Field Not Applicable",_xll.BDP($C152,U$72)="#N/A N/A"),"",_xll.BDP($C152,U$72))),U152)</f>
        <v/>
      </c>
      <c r="V152" s="352" t="str">
        <f ca="1">IF(BBswitch=1,IF(ISBLANK($C152),"",IF(_xll.BDP($C152,V$72)="#N/A N/A","NA ",_xll.BDP($C152,V$72))),V152)</f>
        <v>1L Gtd Sr. Secd</v>
      </c>
      <c r="W152" s="353" t="str" cm="1">
        <f t="array" aca="1" ref="W152" ca="1">IF(BBswitch=1,IF(ISBLANK($C152),"",IF(_xll.BDP($C152,W$72)="#N/A N/A","NA ",_xll.BDP($C152,W$72))),W152)</f>
        <v>American Airlines Inc</v>
      </c>
      <c r="X152" s="343" t="str">
        <f ca="1">IF(BBswitch=1,IF(ISBLANK($C152),"",IF(_xll.BDP($C152,X$73)="#N/A N/A","NA ",_xll.BDP($C152,X$73))),X152)</f>
        <v>AAL TL B 1L USD</v>
      </c>
    </row>
    <row r="153" spans="3:24">
      <c r="C153" s="6" t="s">
        <v>1924</v>
      </c>
      <c r="D153" s="343" t="e">
        <v>#N/A</v>
      </c>
      <c r="E153" s="344" t="str">
        <f ca="1">IF(BBswitch=1,IF(ISBLANK($C153),"",IF(_xll.BDP($C153,E$73)="#N/A N/A","NA ",_xll.BDP($C153,E$73))),E153)</f>
        <v xml:space="preserve">NA </v>
      </c>
      <c r="F153" s="354">
        <f ca="1">IF(BBswitch=1,IF(ISBLANK($C153),"",IF(_xll.BDP($C153,F$72)="#N/A N/A","NA ",_xll.BDP($C153,F$72)/10^6)/P153),F153)</f>
        <v>3500</v>
      </c>
      <c r="G153" s="355">
        <f ca="1">IF(BBswitch=1,IF(ISBLANK($C153),"",IF(_xll.BDP($C153,G$72)="#N/A N/A","NA ",_xll.BDP($C153,G$72)/100)),G153)</f>
        <v>6.9115700000000002E-2</v>
      </c>
      <c r="H153" s="355">
        <f ca="1">IF(BBswitch=1,IF(ISBLANK($C153),"",IF(_xll.BDP($C153,H$72)="#N/A N/A","NA ",_xll.BDP($C153,H$72)/100)),H153)</f>
        <v>0.98875000000000002</v>
      </c>
      <c r="I153" s="355" t="e">
        <f ca="1">IF(BBswitch=1,IF(ISBLANK($C153),"",IF(_xll.BDP($C153,I$72)="#N/A N/A","NA ",_xll.BDP($C153,I$72)/100)),I153)</f>
        <v>#VALUE!</v>
      </c>
      <c r="J153" s="355">
        <f ca="1">IF(BBswitch=1,IF(ISBLANK($C153),"",IF(_xll.BDP($C153,J$72)="#N/A N/A","NA ",_xll.BDP($C153,J$72)/100)),J153)</f>
        <v>7.4218717931036696E-2</v>
      </c>
      <c r="K153" s="345" t="str">
        <f ca="1">IF(BBswitch=1,IF(ISBLANK($C153),"",IF(_xll.BDP($C153,K$72)="#N/A N/A","NA ",_xll.BDP($C153,K$72))),K153)</f>
        <v>4/20/2028</v>
      </c>
      <c r="L153" s="346" t="e">
        <f t="shared" ca="1" si="12"/>
        <v>#VALUE!</v>
      </c>
      <c r="M153" s="345" t="str">
        <f ca="1">IF(BBswitch=1,IF(ISBLANK($C153),"",IF(_xll.BDP($C153,M$72)="#N/A N/A","NA ",_xll.BDP($C153,M$72))),M153)</f>
        <v>3/24/2021</v>
      </c>
      <c r="N153" s="347" t="str" cm="1">
        <f t="array" aca="1" ref="N153" ca="1">IF(BBswitch=1,IF(ISBLANK($C153),"",IF(_xll.BDP($C153,N$72)="#N/A Field Not Applicable","Notes",_xll.BDP($C153,N$72))),N153)</f>
        <v>TERM</v>
      </c>
      <c r="O153" s="348" cm="1">
        <f t="array" aca="1" ref="O153" ca="1">IF(BBswitch=1,IF(ISBLANK($C153),"",IFERROR(IF(_xll.BDP($C153,O$72)="#N/A N/A","NA ",_xll.BDP($C153,O$72)/10^6),0)/P153),O153)</f>
        <v>3500</v>
      </c>
      <c r="P153" s="349" cm="1">
        <f t="array" aca="1" ref="P153" ca="1">+IF(BBswitch=1,IF(ISBLANK($C153),"",IF(_xll.BDP("USD"&amp;Q153&amp;" BGN Curncy","px last")="#N/A Invalid Security",1,_xll.BDP("USD"&amp;Q153&amp;" BGN Curncy","px last"))),P153)</f>
        <v>1</v>
      </c>
      <c r="Q153" s="350" t="str">
        <f ca="1">IF(BBswitch=1,IF(ISBLANK($C153),"",IF(_xll.BDP($C153,Q$72)="#N/A N/A","NA ",_xll.BDP($C153,Q$72))),Q153)</f>
        <v>USD</v>
      </c>
      <c r="R153" s="351" cm="1">
        <f t="array" aca="1" ref="R153" ca="1">IF(BBswitch=1,IF(ISBLANK($C153),"",IF(OR(_xll.BDP($C153,R$72)="#N/A Field Not Applicable",_xll.BDP($C153,R$72)="#N/A N/A"),"",_xll.BDP($C153,R$72))),R153)</f>
        <v>2.9010390345520114</v>
      </c>
      <c r="S153" s="351" t="str" cm="1">
        <f t="array" aca="1" ref="S153" ca="1">IF(BBswitch=1,IF(ISBLANK($C153),"",IF(OR(_xll.BDP($C153,S$72)="#N/A Field Not Applicable",_xll.BDP($C153,S$72)="#N/A N/A"),"",_xll.BDP($C153,S$72))),S153)</f>
        <v/>
      </c>
      <c r="T153" s="351" cm="1">
        <f t="array" aca="1" ref="T153" ca="1">IF(BBswitch=1,IF(ISBLANK($C153),"",IF(OR(_xll.BDP($C153,T$72)="#N/A Field Not Applicable",_xll.BDP($C153,T$72)="#N/A N/A"),"",_xll.BDP($C153,T$72))),T153)</f>
        <v>565.45630832820393</v>
      </c>
      <c r="U153" s="351" t="str" cm="1">
        <f t="array" aca="1" ref="U153" ca="1">IF(BBswitch=1,IF(ISBLANK($C153),"",IF(OR(_xll.BDP($C153,U$72)="#N/A Field Not Applicable",_xll.BDP($C153,U$72)="#N/A N/A"),"",_xll.BDP($C153,U$72))),U153)</f>
        <v/>
      </c>
      <c r="V153" s="352" t="str">
        <f ca="1">IF(BBswitch=1,IF(ISBLANK($C153),"",IF(_xll.BDP($C153,V$72)="#N/A N/A","NA ",_xll.BDP($C153,V$72))),V153)</f>
        <v>1L Gtd Sr. Secd</v>
      </c>
      <c r="W153" s="353" t="str" cm="1">
        <f t="array" aca="1" ref="W153" ca="1">IF(BBswitch=1,IF(ISBLANK($C153),"",IF(_xll.BDP($C153,W$72)="#N/A N/A","NA ",_xll.BDP($C153,W$72))),W153)</f>
        <v>AAdvantage Loyalty IP Ltd</v>
      </c>
      <c r="X153" s="343" t="str">
        <f ca="1">IF(BBswitch=1,IF(ISBLANK($C153),"",IF(_xll.BDP($C153,X$73)="#N/A N/A","NA ",_xll.BDP($C153,X$73))),X153)</f>
        <v>AAL TL 1L USD</v>
      </c>
    </row>
    <row r="154" spans="3:24">
      <c r="D154" s="343"/>
      <c r="E154" s="344" t="str">
        <f ca="1">IF(BBswitch=1,IF(ISBLANK($C154),"",IF(_xll.BDP($C154,E$73)="#N/A N/A","NA ",_xll.BDP($C154,E$73))),E154)</f>
        <v/>
      </c>
      <c r="F154" s="354" t="str">
        <f ca="1">IF(BBswitch=1,IF(ISBLANK($C154),"",IF(_xll.BDP($C154,F$72)="#N/A N/A","NA ",_xll.BDP($C154,F$72)/10^6)/P154),F154)</f>
        <v/>
      </c>
      <c r="G154" s="355" t="str">
        <f ca="1">IF(BBswitch=1,IF(ISBLANK($C154),"",IF(_xll.BDP($C154,G$72)="#N/A N/A","NA ",_xll.BDP($C154,G$72)/100)),G154)</f>
        <v/>
      </c>
      <c r="H154" s="355" t="str">
        <f ca="1">IF(BBswitch=1,IF(ISBLANK($C154),"",IF(_xll.BDP($C154,H$72)="#N/A N/A","NA ",_xll.BDP($C154,H$72)/100)),H154)</f>
        <v/>
      </c>
      <c r="I154" s="355" t="str">
        <f ca="1">IF(BBswitch=1,IF(ISBLANK($C154),"",IF(_xll.BDP($C154,I$72)="#N/A N/A","NA ",_xll.BDP($C154,I$72)/100)),I154)</f>
        <v/>
      </c>
      <c r="J154" s="355" t="str">
        <f ca="1">IF(BBswitch=1,IF(ISBLANK($C154),"",IF(_xll.BDP($C154,J$72)="#N/A N/A","NA ",_xll.BDP($C154,J$72)/100)),J154)</f>
        <v/>
      </c>
      <c r="K154" s="345" t="str">
        <f ca="1">IF(BBswitch=1,IF(ISBLANK($C154),"",IF(_xll.BDP($C154,K$72)="#N/A N/A","NA ",_xll.BDP($C154,K$72))),K154)</f>
        <v/>
      </c>
      <c r="L154" s="346" t="str">
        <f>IF(ISBLANK($C154),"",YEAR(K154))</f>
        <v/>
      </c>
      <c r="M154" s="345" t="str">
        <f ca="1">IF(BBswitch=1,IF(ISBLANK($C154),"",IF(_xll.BDP($C154,M$72)="#N/A N/A","NA ",_xll.BDP($C154,M$72))),M154)</f>
        <v/>
      </c>
      <c r="N154" s="347" t="str" cm="1">
        <f t="array" aca="1" ref="N154" ca="1">IF(BBswitch=1,IF(ISBLANK($C154),"",IF(_xll.BDP($C154,N$72)="#N/A Field Not Applicable","Notes",_xll.BDP($C154,N$72))),N154)</f>
        <v/>
      </c>
      <c r="O154" s="348" t="str" cm="1">
        <f t="array" aca="1" ref="O154" ca="1">IF(BBswitch=1,IF(ISBLANK($C154),"",IFERROR(IF(_xll.BDP($C154,O$72)="#N/A N/A","NA ",_xll.BDP($C154,O$72)/10^6),0)/P154),O154)</f>
        <v/>
      </c>
      <c r="P154" s="349" t="str" cm="1">
        <f t="array" aca="1" ref="P154" ca="1">+IF(BBswitch=1,IF(ISBLANK($C154),"",IF(_xll.BDP("USD"&amp;Q154&amp;" BGN Curncy","px last")="#N/A Invalid Security",1,_xll.BDP("USD"&amp;Q154&amp;" BGN Curncy","px last"))),P154)</f>
        <v/>
      </c>
      <c r="Q154" s="350" t="str">
        <f ca="1">IF(BBswitch=1,IF(ISBLANK($C154),"",IF(_xll.BDP($C154,Q$72)="#N/A N/A","NA ",_xll.BDP($C154,Q$72))),Q154)</f>
        <v/>
      </c>
      <c r="R154" s="351" t="str" cm="1">
        <f t="array" aca="1" ref="R154" ca="1">IF(BBswitch=1,IF(ISBLANK($C154),"",IF(OR(_xll.BDP($C154,R$72)="#N/A Field Not Applicable",_xll.BDP($C154,R$72)="#N/A N/A"),"",_xll.BDP($C154,R$72))),R154)</f>
        <v/>
      </c>
      <c r="S154" s="351" t="str" cm="1">
        <f t="array" aca="1" ref="S154" ca="1">IF(BBswitch=1,IF(ISBLANK($C154),"",IF(OR(_xll.BDP($C154,S$72)="#N/A Field Not Applicable",_xll.BDP($C154,S$72)="#N/A N/A"),"",_xll.BDP($C154,S$72))),S154)</f>
        <v/>
      </c>
      <c r="T154" s="351" t="str" cm="1">
        <f t="array" aca="1" ref="T154" ca="1">IF(BBswitch=1,IF(ISBLANK($C154),"",IF(OR(_xll.BDP($C154,T$72)="#N/A Field Not Applicable",_xll.BDP($C154,T$72)="#N/A N/A"),"",_xll.BDP($C154,T$72))),T154)</f>
        <v/>
      </c>
      <c r="U154" s="351" t="str" cm="1">
        <f t="array" aca="1" ref="U154" ca="1">IF(BBswitch=1,IF(ISBLANK($C154),"",IF(OR(_xll.BDP($C154,U$72)="#N/A Field Not Applicable",_xll.BDP($C154,U$72)="#N/A N/A"),"",_xll.BDP($C154,U$72))),U154)</f>
        <v/>
      </c>
      <c r="V154" s="352" t="str">
        <f ca="1">IF(BBswitch=1,IF(ISBLANK($C154),"",IF(_xll.BDP($C154,V$72)="#N/A N/A","NA ",_xll.BDP($C154,V$72))),V154)</f>
        <v/>
      </c>
      <c r="W154" s="353" t="str" cm="1">
        <f t="array" aca="1" ref="W154" ca="1">IF(BBswitch=1,IF(ISBLANK($C154),"",IF(_xll.BDP($C154,W$72)="#N/A N/A","NA ",_xll.BDP($C154,W$72))),W154)</f>
        <v/>
      </c>
      <c r="X154" s="343" t="str">
        <f ca="1">IF(BBswitch=1,IF(ISBLANK($C154),"",IF(_xll.BDP($C154,X$73)="#N/A N/A","NA ",_xll.BDP($C154,X$73))),X154)</f>
        <v/>
      </c>
    </row>
    <row r="155" spans="3:24">
      <c r="C155" s="363"/>
      <c r="D155" s="162" t="str">
        <f>+IF($C155="No new issued notes","",D$75)</f>
        <v>Name</v>
      </c>
      <c r="E155" s="162" t="str">
        <f>+IF($C155="No new issued notes","",E$75)</f>
        <v>Rating</v>
      </c>
      <c r="F155" s="162" t="str">
        <f t="shared" ref="F155:X155" si="13">+IF($C155="No new issued notes","",F$75)</f>
        <v>Outs.(mm)</v>
      </c>
      <c r="G155" s="162" t="str">
        <f t="shared" si="13"/>
        <v>Coupon</v>
      </c>
      <c r="H155" s="162" t="str">
        <f t="shared" si="13"/>
        <v>Price</v>
      </c>
      <c r="I155" s="162" t="str">
        <f t="shared" si="13"/>
        <v>CY</v>
      </c>
      <c r="J155" s="162" t="str">
        <f t="shared" si="13"/>
        <v>YTW</v>
      </c>
      <c r="K155" s="162" t="str">
        <f t="shared" si="13"/>
        <v>Maturity</v>
      </c>
      <c r="L155" s="162" t="str">
        <f t="shared" si="13"/>
        <v>Year</v>
      </c>
      <c r="M155" s="162" t="str">
        <f t="shared" si="13"/>
        <v>Issue Date.</v>
      </c>
      <c r="N155" s="162" t="str">
        <f t="shared" si="13"/>
        <v>Debt type</v>
      </c>
      <c r="O155" s="162" t="str">
        <f t="shared" si="13"/>
        <v>Tranche</v>
      </c>
      <c r="P155" s="162" t="str">
        <f t="shared" si="13"/>
        <v>Fx. rate</v>
      </c>
      <c r="Q155" s="162" t="str">
        <f t="shared" si="13"/>
        <v>Currency</v>
      </c>
      <c r="R155" s="162" t="str">
        <f t="shared" si="13"/>
        <v>Spread Duration</v>
      </c>
      <c r="S155" s="162" t="str">
        <f t="shared" si="13"/>
        <v>OAS</v>
      </c>
      <c r="T155" s="162" t="str">
        <f t="shared" si="13"/>
        <v>ST3</v>
      </c>
      <c r="U155" s="162" t="str">
        <f t="shared" si="13"/>
        <v>OAD</v>
      </c>
      <c r="V155" s="162" t="str">
        <f t="shared" si="13"/>
        <v>Payment Rank</v>
      </c>
      <c r="W155" s="162" t="str">
        <f t="shared" si="13"/>
        <v>Issuer Name</v>
      </c>
      <c r="X155" s="162" t="str">
        <f t="shared" si="13"/>
        <v>Name</v>
      </c>
    </row>
    <row r="156" spans="3:24">
      <c r="C156" s="363" t="str">
        <f ca="1">IF(BBswitch=1,IF(_xll.BQL.Query("get(Name)for(filter(loans('"&amp;$D$3&amp;" equity'),issue_date&gt;" &amp; TEXT($W$3,"yyyy-mm-dd") &amp; "))")="#N/A N/A","No new issued notes",_xll.BQL.Query("get(Name)for(filter(loans('"&amp;$D$3&amp;" equity'),issue_date&gt;" &amp; TEXT($W$3,"yyyy-mm-dd") &amp; "))")),C156)</f>
        <v>#N/A N/A: Request returned no results.</v>
      </c>
      <c r="D156" s="162" t="str">
        <f ca="1">+IF($C156="No new issued loans","",D$75)</f>
        <v>Name</v>
      </c>
      <c r="E156" s="162" t="str">
        <f t="shared" ref="E156:X156" ca="1" si="14">+IF($C156="No new issued loans","",E$75)</f>
        <v>Rating</v>
      </c>
      <c r="F156" s="162" t="str">
        <f t="shared" ca="1" si="14"/>
        <v>Outs.(mm)</v>
      </c>
      <c r="G156" s="162" t="str">
        <f t="shared" ca="1" si="14"/>
        <v>Coupon</v>
      </c>
      <c r="H156" s="162" t="str">
        <f t="shared" ca="1" si="14"/>
        <v>Price</v>
      </c>
      <c r="I156" s="162" t="str">
        <f t="shared" ca="1" si="14"/>
        <v>CY</v>
      </c>
      <c r="J156" s="162" t="str">
        <f t="shared" ca="1" si="14"/>
        <v>YTW</v>
      </c>
      <c r="K156" s="162" t="str">
        <f t="shared" ca="1" si="14"/>
        <v>Maturity</v>
      </c>
      <c r="L156" s="162" t="str">
        <f t="shared" ca="1" si="14"/>
        <v>Year</v>
      </c>
      <c r="M156" s="162" t="str">
        <f t="shared" ca="1" si="14"/>
        <v>Issue Date.</v>
      </c>
      <c r="N156" s="162" t="str">
        <f t="shared" ca="1" si="14"/>
        <v>Debt type</v>
      </c>
      <c r="O156" s="162" t="str">
        <f t="shared" ca="1" si="14"/>
        <v>Tranche</v>
      </c>
      <c r="P156" s="162" t="str">
        <f t="shared" ca="1" si="14"/>
        <v>Fx. rate</v>
      </c>
      <c r="Q156" s="162" t="str">
        <f t="shared" ca="1" si="14"/>
        <v>Currency</v>
      </c>
      <c r="R156" s="162" t="str">
        <f t="shared" ca="1" si="14"/>
        <v>Spread Duration</v>
      </c>
      <c r="S156" s="162" t="str">
        <f t="shared" ca="1" si="14"/>
        <v>OAS</v>
      </c>
      <c r="T156" s="162" t="str">
        <f t="shared" ca="1" si="14"/>
        <v>ST3</v>
      </c>
      <c r="U156" s="162" t="str">
        <f t="shared" ca="1" si="14"/>
        <v>OAD</v>
      </c>
      <c r="V156" s="162" t="str">
        <f t="shared" ca="1" si="14"/>
        <v>Payment Rank</v>
      </c>
      <c r="W156" s="162" t="str">
        <f t="shared" ca="1" si="14"/>
        <v>Issuer Name</v>
      </c>
      <c r="X156" s="162" t="str">
        <f t="shared" ca="1" si="14"/>
        <v>Name</v>
      </c>
    </row>
  </sheetData>
  <phoneticPr fontId="107" type="noConversion"/>
  <dataValidations disablePrompts="1" count="2">
    <dataValidation type="list" allowBlank="1" showInputMessage="1" showErrorMessage="1" sqref="S3" xr:uid="{55B0335B-57C1-463C-AD2D-1CA9194108E0}">
      <formula1>$Y$7:$Y$12</formula1>
    </dataValidation>
    <dataValidation type="list" allowBlank="1" showInputMessage="1" showErrorMessage="1" sqref="S5" xr:uid="{069E2A3F-F99E-4777-9F68-E39B30D1F096}">
      <formula1>$Z$7:$Z$12</formula1>
    </dataValidation>
  </dataValidations>
  <pageMargins left="0" right="0" top="0" bottom="0" header="0" footer="0"/>
  <pageSetup scale="44" orientation="landscape" r:id="rId1"/>
  <rowBreaks count="1" manualBreakCount="1">
    <brk id="65"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46613-53AE-4761-B601-E79CDE1A313B}">
  <sheetPr>
    <tabColor theme="8" tint="0.39997558519241921"/>
  </sheetPr>
  <dimension ref="A1:W92"/>
  <sheetViews>
    <sheetView showGridLines="0" workbookViewId="0">
      <pane xSplit="5" ySplit="5" topLeftCell="F6" activePane="bottomRight" state="frozen"/>
      <selection activeCell="L99" sqref="L99"/>
      <selection pane="topRight" activeCell="L99" sqref="L99"/>
      <selection pane="bottomLeft" activeCell="L99" sqref="L99"/>
      <selection pane="bottomRight"/>
    </sheetView>
  </sheetViews>
  <sheetFormatPr defaultColWidth="9.19921875" defaultRowHeight="10.5" outlineLevelCol="1"/>
  <cols>
    <col min="1" max="2" width="1.796875" style="167" customWidth="1"/>
    <col min="3" max="3" width="30.796875" style="167" customWidth="1"/>
    <col min="4" max="5" width="17.796875" style="167" hidden="1" customWidth="1" outlineLevel="1"/>
    <col min="6" max="6" width="9.19921875" style="167" customWidth="1" collapsed="1"/>
    <col min="7" max="13" width="9.19921875" style="167"/>
    <col min="14" max="17" width="9.19921875" style="167" customWidth="1" outlineLevel="1"/>
    <col min="18" max="16384" width="9.19921875" style="167"/>
  </cols>
  <sheetData>
    <row r="1" spans="1:23">
      <c r="A1" s="378" t="str">
        <f ca="1">'AAL One Pager'!$D$2</f>
        <v>American Airlines Group Inc</v>
      </c>
    </row>
    <row r="2" spans="1:23">
      <c r="A2" s="278" t="str">
        <f>'AAL Financials'!$A$2</f>
        <v>(All Values in US$ millions)</v>
      </c>
      <c r="F2" s="327"/>
      <c r="N2" s="327"/>
      <c r="O2" s="327"/>
      <c r="P2" s="327"/>
      <c r="Q2" s="327"/>
    </row>
    <row r="3" spans="1:23">
      <c r="F3" s="168"/>
      <c r="G3" s="169"/>
      <c r="H3" s="169"/>
      <c r="I3" s="169"/>
      <c r="J3" s="169"/>
      <c r="K3" s="169"/>
      <c r="L3" s="169"/>
      <c r="M3" s="169"/>
      <c r="N3" s="168"/>
      <c r="O3" s="168"/>
      <c r="P3" s="168"/>
      <c r="Q3" s="168"/>
      <c r="R3" s="169"/>
      <c r="S3" s="169"/>
      <c r="T3" s="169"/>
      <c r="U3" s="169"/>
      <c r="V3" s="169"/>
      <c r="W3" s="170"/>
    </row>
    <row r="4" spans="1:23">
      <c r="F4" s="171"/>
      <c r="G4" s="172"/>
      <c r="H4" s="172"/>
      <c r="I4" s="172"/>
      <c r="J4" s="172"/>
      <c r="K4" s="172"/>
      <c r="L4" s="172"/>
      <c r="M4" s="172"/>
      <c r="N4" s="171"/>
      <c r="O4" s="171"/>
      <c r="P4" s="171"/>
      <c r="Q4" s="171"/>
      <c r="R4" s="172"/>
      <c r="S4" s="172"/>
      <c r="T4" s="172"/>
      <c r="U4" s="172"/>
      <c r="V4" s="172"/>
      <c r="W4" s="170"/>
    </row>
    <row r="5" spans="1:23">
      <c r="B5" s="173" t="s">
        <v>133</v>
      </c>
      <c r="C5" s="328" t="s">
        <v>81</v>
      </c>
      <c r="D5" s="328" t="s">
        <v>134</v>
      </c>
      <c r="E5" s="328" t="s">
        <v>135</v>
      </c>
      <c r="F5" s="173" t="s">
        <v>136</v>
      </c>
      <c r="G5" s="173" t="s">
        <v>137</v>
      </c>
      <c r="H5" s="173" t="s">
        <v>138</v>
      </c>
      <c r="I5" s="173" t="s">
        <v>139</v>
      </c>
      <c r="J5" s="173" t="s">
        <v>140</v>
      </c>
      <c r="K5" s="173" t="s">
        <v>141</v>
      </c>
      <c r="L5" s="173" t="s">
        <v>142</v>
      </c>
      <c r="M5" s="174" t="s">
        <v>143</v>
      </c>
      <c r="N5" s="173" t="s">
        <v>144</v>
      </c>
      <c r="O5" s="173" t="s">
        <v>145</v>
      </c>
      <c r="P5" s="173" t="s">
        <v>146</v>
      </c>
      <c r="Q5" s="173" t="s">
        <v>147</v>
      </c>
      <c r="R5" s="173" t="s">
        <v>148</v>
      </c>
      <c r="S5" s="173" t="s">
        <v>149</v>
      </c>
      <c r="T5" s="173" t="s">
        <v>150</v>
      </c>
      <c r="U5" s="173" t="s">
        <v>1311</v>
      </c>
      <c r="V5" s="173" t="s">
        <v>1312</v>
      </c>
      <c r="W5" s="170"/>
    </row>
    <row r="6" spans="1:23">
      <c r="F6" s="175"/>
      <c r="G6" s="175"/>
      <c r="H6" s="175"/>
      <c r="I6" s="175"/>
      <c r="J6" s="175"/>
      <c r="K6" s="175"/>
      <c r="L6" s="175"/>
      <c r="M6" s="175"/>
      <c r="N6" s="175"/>
      <c r="O6" s="175"/>
      <c r="P6" s="175"/>
      <c r="Q6" s="175"/>
      <c r="R6" s="175"/>
      <c r="S6" s="175"/>
      <c r="T6" s="175"/>
      <c r="U6" s="175"/>
      <c r="V6" s="175"/>
      <c r="W6" s="170"/>
    </row>
    <row r="7" spans="1:23">
      <c r="C7" s="176" t="s">
        <v>151</v>
      </c>
      <c r="D7" s="176" t="s">
        <v>152</v>
      </c>
      <c r="E7" s="176" t="s">
        <v>153</v>
      </c>
      <c r="F7" s="506">
        <f>'AAL KPI'!V13</f>
        <v>42622</v>
      </c>
      <c r="G7" s="506">
        <f>'AAL KPI'!W13</f>
        <v>44541</v>
      </c>
      <c r="H7" s="506">
        <f>'AAL KPI'!X13</f>
        <v>45768</v>
      </c>
      <c r="I7" s="506">
        <f>'AAL KPI'!Y13</f>
        <v>17337</v>
      </c>
      <c r="J7" s="506">
        <f>'AAL KPI'!Z13</f>
        <v>29882</v>
      </c>
      <c r="K7" s="177">
        <f>+IFERROR(SUM(R7:U7)," NA")</f>
        <v>34773</v>
      </c>
      <c r="L7" s="506">
        <f>'AAL KPI'!AA13</f>
        <v>46467.995620916234</v>
      </c>
      <c r="M7" s="506">
        <f>'AAL KPI'!AB13</f>
        <v>49978.865943105717</v>
      </c>
      <c r="N7" s="506">
        <f>'AAL KPI'!J13</f>
        <v>1622</v>
      </c>
      <c r="O7" s="506">
        <f>'AAL KPI'!K13</f>
        <v>3173</v>
      </c>
      <c r="P7" s="506">
        <f>'AAL KPI'!L13</f>
        <v>4027</v>
      </c>
      <c r="Q7" s="506">
        <f>'AAL KPI'!M13</f>
        <v>4008</v>
      </c>
      <c r="R7" s="506">
        <f>'AAL KPI'!N13</f>
        <v>7478</v>
      </c>
      <c r="S7" s="506">
        <f>'AAL KPI'!O13</f>
        <v>8969</v>
      </c>
      <c r="T7" s="506">
        <f>'AAL KPI'!P13</f>
        <v>9427</v>
      </c>
      <c r="U7" s="506">
        <f>'AAL KPI'!Q13</f>
        <v>8899</v>
      </c>
      <c r="V7" s="506">
        <f>'AAL KPI'!R13</f>
        <v>12795.926602840585</v>
      </c>
    </row>
    <row r="8" spans="1:23">
      <c r="C8" s="176" t="s">
        <v>154</v>
      </c>
      <c r="D8" s="176" t="s">
        <v>155</v>
      </c>
      <c r="E8" s="176"/>
      <c r="F8" s="506">
        <f>'AAL KPI'!V21</f>
        <v>13054</v>
      </c>
      <c r="G8" s="506">
        <f>'AAL KPI'!W21</f>
        <v>11896</v>
      </c>
      <c r="H8" s="506">
        <f>'AAL KPI'!X21</f>
        <v>12376</v>
      </c>
      <c r="I8" s="506">
        <f>'AAL KPI'!Y21</f>
        <v>-5495</v>
      </c>
      <c r="J8" s="506">
        <f>'AAL KPI'!Z21</f>
        <v>1597</v>
      </c>
      <c r="K8" s="177">
        <f t="shared" ref="K8:K13" si="0">+IFERROR(SUM(R8:U8)," NA")</f>
        <v>4033</v>
      </c>
      <c r="L8" s="506">
        <f>'AAL KPI'!AA21</f>
        <v>7146.3631617716746</v>
      </c>
      <c r="M8" s="506">
        <f>'AAL KPI'!AB21</f>
        <v>11697.354250861761</v>
      </c>
      <c r="N8" s="506">
        <f>'AAL KPI'!J21</f>
        <v>-3001</v>
      </c>
      <c r="O8" s="506">
        <f>'AAL KPI'!K21</f>
        <v>-2099</v>
      </c>
      <c r="P8" s="506">
        <f>'AAL KPI'!L21</f>
        <v>-1286</v>
      </c>
      <c r="Q8" s="506">
        <f>'AAL KPI'!M21</f>
        <v>-1893</v>
      </c>
      <c r="R8" s="506">
        <f>'AAL KPI'!N21</f>
        <v>702</v>
      </c>
      <c r="S8" s="506">
        <f>'AAL KPI'!O21</f>
        <v>1445</v>
      </c>
      <c r="T8" s="506">
        <f>'AAL KPI'!P21</f>
        <v>1343</v>
      </c>
      <c r="U8" s="506">
        <f>'AAL KPI'!Q21</f>
        <v>543</v>
      </c>
      <c r="V8" s="506">
        <f>'AAL KPI'!R21</f>
        <v>2009.9476313284758</v>
      </c>
    </row>
    <row r="9" spans="1:23">
      <c r="C9" s="176" t="s">
        <v>156</v>
      </c>
      <c r="D9" s="176"/>
      <c r="E9" s="176"/>
      <c r="F9" s="506">
        <f>'AAL KPI'!V23</f>
        <v>1477</v>
      </c>
      <c r="G9" s="506">
        <f>'AAL KPI'!W23</f>
        <v>1520</v>
      </c>
      <c r="H9" s="506">
        <f>'AAL KPI'!X23</f>
        <v>1602</v>
      </c>
      <c r="I9" s="506">
        <f>'AAL KPI'!Y23</f>
        <v>665</v>
      </c>
      <c r="J9" s="506">
        <f>'AAL KPI'!Z23</f>
        <v>1099</v>
      </c>
      <c r="K9" s="177">
        <f t="shared" si="0"/>
        <v>1280</v>
      </c>
      <c r="L9" s="506">
        <f>'AAL KPI'!AA23</f>
        <v>1505.5553868760996</v>
      </c>
      <c r="M9" s="506">
        <f>'AAL KPI'!AB23</f>
        <v>1612.9191487891458</v>
      </c>
      <c r="N9" s="506">
        <f>'AAL KPI'!J23</f>
        <v>57</v>
      </c>
      <c r="O9" s="506">
        <f>'AAL KPI'!K23</f>
        <v>97</v>
      </c>
      <c r="P9" s="506">
        <f>'AAL KPI'!L23</f>
        <v>126</v>
      </c>
      <c r="Q9" s="506">
        <f>'AAL KPI'!M23</f>
        <v>151</v>
      </c>
      <c r="R9" s="506">
        <f>'AAL KPI'!N23</f>
        <v>277</v>
      </c>
      <c r="S9" s="506">
        <f>'AAL KPI'!O23</f>
        <v>318</v>
      </c>
      <c r="T9" s="506">
        <f>'AAL KPI'!P23</f>
        <v>353</v>
      </c>
      <c r="U9" s="506">
        <f>'AAL KPI'!Q23</f>
        <v>332</v>
      </c>
      <c r="V9" s="506">
        <f>'AAL KPI'!R23</f>
        <v>380.39052288376985</v>
      </c>
    </row>
    <row r="10" spans="1:23">
      <c r="C10" s="176" t="s">
        <v>157</v>
      </c>
      <c r="D10" s="176" t="s">
        <v>158</v>
      </c>
      <c r="E10" s="176" t="s">
        <v>159</v>
      </c>
      <c r="F10" s="506">
        <f>'AAL KPI'!V28</f>
        <v>4965</v>
      </c>
      <c r="G10" s="506">
        <f>'AAL KPI'!W28</f>
        <v>3449</v>
      </c>
      <c r="H10" s="506">
        <f>'AAL KPI'!X28</f>
        <v>3706</v>
      </c>
      <c r="I10" s="506">
        <f>'AAL KPI'!Y28</f>
        <v>-11387</v>
      </c>
      <c r="J10" s="506">
        <f>'AAL KPI'!Z28</f>
        <v>-5514</v>
      </c>
      <c r="K10" s="177">
        <f t="shared" si="0"/>
        <v>-3842</v>
      </c>
      <c r="L10" s="506">
        <f>'AAL KPI'!AA28</f>
        <v>-1684.1440085571519</v>
      </c>
      <c r="M10" s="506">
        <f>'AAL KPI'!AB28</f>
        <v>2318.7533836089983</v>
      </c>
      <c r="N10" s="506">
        <f>'AAL KPI'!J28</f>
        <v>-4158</v>
      </c>
      <c r="O10" s="506">
        <f>'AAL KPI'!K28</f>
        <v>-3390</v>
      </c>
      <c r="P10" s="506">
        <f>'AAL KPI'!L28</f>
        <v>-2515</v>
      </c>
      <c r="Q10" s="506">
        <f>'AAL KPI'!M28</f>
        <v>-3238</v>
      </c>
      <c r="R10" s="506">
        <f>'AAL KPI'!N28</f>
        <v>-1014</v>
      </c>
      <c r="S10" s="506">
        <f>'AAL KPI'!O28</f>
        <v>-462</v>
      </c>
      <c r="T10" s="506">
        <f>'AAL KPI'!P28</f>
        <v>-800</v>
      </c>
      <c r="U10" s="506">
        <f>'AAL KPI'!Q28</f>
        <v>-1566</v>
      </c>
      <c r="V10" s="506">
        <f>'AAL KPI'!R28</f>
        <v>-162.95370920898608</v>
      </c>
    </row>
    <row r="11" spans="1:23">
      <c r="C11" s="176" t="s">
        <v>88</v>
      </c>
      <c r="D11" s="176" t="s">
        <v>88</v>
      </c>
      <c r="E11" s="176" t="s">
        <v>160</v>
      </c>
      <c r="F11" s="506">
        <f>'AAL KPI'!V25</f>
        <v>6667</v>
      </c>
      <c r="G11" s="506">
        <f>'AAL KPI'!W25</f>
        <v>5288</v>
      </c>
      <c r="H11" s="506">
        <f>'AAL KPI'!X25</f>
        <v>5687</v>
      </c>
      <c r="I11" s="506">
        <f>'AAL KPI'!Y25</f>
        <v>-9346</v>
      </c>
      <c r="J11" s="506">
        <f>'AAL KPI'!Z25</f>
        <v>-3496</v>
      </c>
      <c r="K11" s="177">
        <f t="shared" si="0"/>
        <v>-1810</v>
      </c>
      <c r="L11" s="506">
        <f>'AAL KPI'!AA25</f>
        <v>325.45481581396871</v>
      </c>
      <c r="M11" s="506">
        <f>'AAL KPI'!AB25</f>
        <v>4450.5951015236624</v>
      </c>
      <c r="N11" s="506">
        <f>'AAL KPI'!J25</f>
        <v>-3659</v>
      </c>
      <c r="O11" s="506">
        <f>'AAL KPI'!K25</f>
        <v>-2892</v>
      </c>
      <c r="P11" s="506">
        <f>'AAL KPI'!L25</f>
        <v>-2031</v>
      </c>
      <c r="Q11" s="506">
        <f>'AAL KPI'!M25</f>
        <v>-2760</v>
      </c>
      <c r="R11" s="506">
        <f>'AAL KPI'!N25</f>
        <v>-533</v>
      </c>
      <c r="S11" s="506">
        <f>'AAL KPI'!O25</f>
        <v>18</v>
      </c>
      <c r="T11" s="506">
        <f>'AAL KPI'!P25</f>
        <v>-221</v>
      </c>
      <c r="U11" s="506">
        <f>'AAL KPI'!Q25</f>
        <v>-1074</v>
      </c>
      <c r="V11" s="506">
        <f>'AAL KPI'!R25</f>
        <v>317.49717594836989</v>
      </c>
    </row>
    <row r="12" spans="1:23">
      <c r="C12" s="176"/>
      <c r="D12" s="176"/>
      <c r="E12" s="176"/>
      <c r="F12" s="337"/>
      <c r="G12" s="337"/>
      <c r="H12" s="337"/>
      <c r="I12" s="337"/>
      <c r="J12" s="337"/>
      <c r="K12" s="177"/>
      <c r="L12" s="337"/>
      <c r="M12" s="337"/>
      <c r="N12" s="337"/>
      <c r="O12" s="337"/>
      <c r="P12" s="337"/>
      <c r="Q12" s="337"/>
      <c r="R12" s="337"/>
      <c r="S12" s="337"/>
      <c r="T12" s="337"/>
      <c r="U12" s="337"/>
      <c r="V12" s="337"/>
    </row>
    <row r="13" spans="1:23">
      <c r="C13" s="176" t="s">
        <v>161</v>
      </c>
      <c r="D13" s="176" t="s">
        <v>162</v>
      </c>
      <c r="E13" s="176" t="s">
        <v>163</v>
      </c>
      <c r="F13" s="506">
        <f>'AAL Financials'!V101</f>
        <v>-1227</v>
      </c>
      <c r="G13" s="506">
        <f>'AAL Financials'!W101</f>
        <v>-212</v>
      </c>
      <c r="H13" s="506">
        <f>'AAL Financials'!X101</f>
        <v>-551</v>
      </c>
      <c r="I13" s="506">
        <f>'AAL Financials'!Y101</f>
        <v>-8674</v>
      </c>
      <c r="J13" s="506">
        <f>'AAL Financials'!Z101</f>
        <v>292</v>
      </c>
      <c r="K13" s="177">
        <f t="shared" si="0"/>
        <v>477</v>
      </c>
      <c r="L13" s="506">
        <f ca="1">'AAL Financials'!AA101</f>
        <v>-1470.6296092137736</v>
      </c>
      <c r="M13" s="506">
        <f ca="1">'AAL Financials'!AB101</f>
        <v>-1892.704768676007</v>
      </c>
      <c r="N13" s="506">
        <f>'AAL Financials'!J101</f>
        <v>-1296</v>
      </c>
      <c r="O13" s="506">
        <f>'AAL Financials'!K101</f>
        <v>-3181</v>
      </c>
      <c r="P13" s="506">
        <f>'AAL Financials'!L101</f>
        <v>-3184</v>
      </c>
      <c r="Q13" s="506">
        <f>'AAL Financials'!M101</f>
        <v>193</v>
      </c>
      <c r="R13" s="506">
        <f>'AAL Financials'!N101</f>
        <v>3569</v>
      </c>
      <c r="S13" s="506">
        <f>'AAL Financials'!O101</f>
        <v>-1883</v>
      </c>
      <c r="T13" s="506">
        <f>'AAL Financials'!P101</f>
        <v>-1587</v>
      </c>
      <c r="U13" s="506">
        <f>'AAL Financials'!Q101</f>
        <v>378</v>
      </c>
      <c r="V13" s="506">
        <f ca="1">'AAL Financials'!R101</f>
        <v>-338.07792293174748</v>
      </c>
    </row>
    <row r="14" spans="1:23">
      <c r="C14" s="176"/>
      <c r="D14" s="176"/>
      <c r="E14" s="176"/>
      <c r="F14" s="337"/>
      <c r="G14" s="337"/>
      <c r="H14" s="337"/>
      <c r="I14" s="337"/>
      <c r="J14" s="337"/>
      <c r="K14" s="177"/>
      <c r="L14" s="337"/>
      <c r="M14" s="337"/>
      <c r="N14" s="337"/>
      <c r="O14" s="337"/>
      <c r="P14" s="337"/>
      <c r="Q14" s="337"/>
      <c r="R14" s="337"/>
      <c r="S14" s="337"/>
      <c r="T14" s="337"/>
      <c r="U14" s="337"/>
      <c r="V14" s="337"/>
    </row>
    <row r="15" spans="1:23">
      <c r="C15" s="176" t="s">
        <v>164</v>
      </c>
      <c r="D15" s="176" t="s">
        <v>165</v>
      </c>
      <c r="E15" s="176"/>
      <c r="F15" s="506">
        <f>'AAL KPI'!V31</f>
        <v>1053</v>
      </c>
      <c r="G15" s="506">
        <f>'AAL KPI'!W31</f>
        <v>1056</v>
      </c>
      <c r="H15" s="506">
        <f>'AAL KPI'!X31</f>
        <v>1095</v>
      </c>
      <c r="I15" s="506">
        <f>'AAL KPI'!Y31</f>
        <v>1227</v>
      </c>
      <c r="J15" s="506">
        <f>'AAL KPI'!Z31</f>
        <v>1801</v>
      </c>
      <c r="K15" s="177">
        <f t="shared" ref="K15:K21" si="1">+IFERROR(SUM(R15:U15)," NA")</f>
        <v>1893</v>
      </c>
      <c r="L15" s="506">
        <f ca="1">'AAL KPI'!AA31</f>
        <v>1750.8377825533771</v>
      </c>
      <c r="M15" s="506">
        <f ca="1">'AAL KPI'!AB31</f>
        <v>1698.3461714999999</v>
      </c>
      <c r="N15" s="506">
        <f>'AAL KPI'!J31</f>
        <v>254</v>
      </c>
      <c r="O15" s="506">
        <f>'AAL KPI'!K31</f>
        <v>340</v>
      </c>
      <c r="P15" s="506">
        <f>'AAL KPI'!L31</f>
        <v>376</v>
      </c>
      <c r="Q15" s="506">
        <f>'AAL KPI'!M31</f>
        <v>371</v>
      </c>
      <c r="R15" s="506">
        <f>'AAL KPI'!N31</f>
        <v>486</v>
      </c>
      <c r="S15" s="506">
        <f>'AAL KPI'!O31</f>
        <v>476</v>
      </c>
      <c r="T15" s="506">
        <f>'AAL KPI'!P31</f>
        <v>468</v>
      </c>
      <c r="U15" s="506">
        <f>'AAL KPI'!Q31</f>
        <v>463</v>
      </c>
      <c r="V15" s="506">
        <f ca="1">'AAL KPI'!R31</f>
        <v>430.0526781293654</v>
      </c>
    </row>
    <row r="16" spans="1:23">
      <c r="C16" s="176" t="s">
        <v>166</v>
      </c>
      <c r="D16" s="176"/>
      <c r="E16" s="176"/>
      <c r="F16" s="506">
        <f>'AAL KPI'!V35</f>
        <v>1559</v>
      </c>
      <c r="G16" s="506">
        <f>'AAL KPI'!W35</f>
        <v>673</v>
      </c>
      <c r="H16" s="506">
        <f>'AAL KPI'!X35</f>
        <v>721</v>
      </c>
      <c r="I16" s="506">
        <f>'AAL KPI'!Y35</f>
        <v>-2737</v>
      </c>
      <c r="J16" s="506">
        <f>'AAL KPI'!Z35</f>
        <v>-1548</v>
      </c>
      <c r="K16" s="177">
        <f t="shared" si="1"/>
        <v>-1188</v>
      </c>
      <c r="L16" s="506">
        <f ca="1">'AAL KPI'!AA35</f>
        <v>-416</v>
      </c>
      <c r="M16" s="506">
        <f ca="1">'AAL KPI'!AB35</f>
        <v>0</v>
      </c>
      <c r="N16" s="506">
        <f>'AAL KPI'!J35</f>
        <v>-966</v>
      </c>
      <c r="O16" s="506">
        <f>'AAL KPI'!K35</f>
        <v>-817</v>
      </c>
      <c r="P16" s="506">
        <f>'AAL KPI'!L35</f>
        <v>-635</v>
      </c>
      <c r="Q16" s="506">
        <f>'AAL KPI'!M35</f>
        <v>-776</v>
      </c>
      <c r="R16" s="506">
        <f>'AAL KPI'!N35</f>
        <v>-319</v>
      </c>
      <c r="S16" s="506">
        <f>'AAL KPI'!O35</f>
        <v>-192</v>
      </c>
      <c r="T16" s="506">
        <f>'AAL KPI'!P35</f>
        <v>-261</v>
      </c>
      <c r="U16" s="506">
        <f>'AAL KPI'!Q35</f>
        <v>-416</v>
      </c>
      <c r="V16" s="506">
        <f ca="1">'AAL KPI'!R35</f>
        <v>0</v>
      </c>
    </row>
    <row r="17" spans="3:22">
      <c r="C17" s="176" t="s">
        <v>167</v>
      </c>
      <c r="D17" s="176" t="s">
        <v>168</v>
      </c>
      <c r="E17" s="176" t="s">
        <v>169</v>
      </c>
      <c r="F17" s="506">
        <f>-'AAL Financials'!V226</f>
        <v>5971</v>
      </c>
      <c r="G17" s="506">
        <f>-'AAL Financials'!W226</f>
        <v>3745</v>
      </c>
      <c r="H17" s="506">
        <f>-'AAL Financials'!X226</f>
        <v>4366</v>
      </c>
      <c r="I17" s="506">
        <f>-'AAL Financials'!Y226</f>
        <v>2131</v>
      </c>
      <c r="J17" s="506">
        <f>-'AAL Financials'!Z226</f>
        <v>412</v>
      </c>
      <c r="K17" s="177">
        <f t="shared" si="1"/>
        <v>1238</v>
      </c>
      <c r="L17" s="506">
        <f>-'AAL Financials'!AA226</f>
        <v>3589</v>
      </c>
      <c r="M17" s="506">
        <f>-'AAL Financials'!AB226</f>
        <v>4056</v>
      </c>
      <c r="N17" s="506">
        <f>-'AAL Financials'!J226</f>
        <v>388</v>
      </c>
      <c r="O17" s="506">
        <f>-'AAL Financials'!K226</f>
        <v>577</v>
      </c>
      <c r="P17" s="506">
        <f>-'AAL Financials'!L226</f>
        <v>321</v>
      </c>
      <c r="Q17" s="506">
        <f>-'AAL Financials'!M226</f>
        <v>-19</v>
      </c>
      <c r="R17" s="506">
        <f>-'AAL Financials'!N226</f>
        <v>-99</v>
      </c>
      <c r="S17" s="506">
        <f>-'AAL Financials'!O226</f>
        <v>143</v>
      </c>
      <c r="T17" s="506">
        <f>-'AAL Financials'!P226</f>
        <v>387</v>
      </c>
      <c r="U17" s="506">
        <f>-'AAL Financials'!Q226</f>
        <v>807</v>
      </c>
      <c r="V17" s="506">
        <f>-'AAL Financials'!R226</f>
        <v>926.35609278013726</v>
      </c>
    </row>
    <row r="18" spans="3:22">
      <c r="C18" s="176" t="s">
        <v>170</v>
      </c>
      <c r="D18" s="176" t="s">
        <v>171</v>
      </c>
      <c r="E18" s="176"/>
      <c r="F18" s="506">
        <f>-'AAL Financials'!V241</f>
        <v>198</v>
      </c>
      <c r="G18" s="506">
        <f>-'AAL Financials'!W241</f>
        <v>186</v>
      </c>
      <c r="H18" s="506">
        <f>-'AAL Financials'!X241</f>
        <v>178</v>
      </c>
      <c r="I18" s="506">
        <f>-'AAL Financials'!Y241</f>
        <v>43</v>
      </c>
      <c r="J18" s="506">
        <f>-'AAL Financials'!Z241</f>
        <v>0</v>
      </c>
      <c r="K18" s="177">
        <f t="shared" si="1"/>
        <v>0</v>
      </c>
      <c r="L18" s="506">
        <f>-'AAL Financials'!AA241</f>
        <v>0</v>
      </c>
      <c r="M18" s="506">
        <f>-'AAL Financials'!AB241</f>
        <v>0</v>
      </c>
      <c r="N18" s="506">
        <f>-'AAL Financials'!J241</f>
        <v>0</v>
      </c>
      <c r="O18" s="506">
        <f>-'AAL Financials'!K241</f>
        <v>0</v>
      </c>
      <c r="P18" s="506">
        <f>-'AAL Financials'!L241</f>
        <v>0</v>
      </c>
      <c r="Q18" s="506">
        <f>-'AAL Financials'!M241</f>
        <v>0</v>
      </c>
      <c r="R18" s="506">
        <f>-'AAL Financials'!N241</f>
        <v>0</v>
      </c>
      <c r="S18" s="506">
        <f>-'AAL Financials'!O241</f>
        <v>0</v>
      </c>
      <c r="T18" s="506">
        <f>-'AAL Financials'!P241</f>
        <v>0</v>
      </c>
      <c r="U18" s="506">
        <f>-'AAL Financials'!Q241</f>
        <v>0</v>
      </c>
      <c r="V18" s="506">
        <f>-'AAL Financials'!R241</f>
        <v>0</v>
      </c>
    </row>
    <row r="19" spans="3:22">
      <c r="C19" s="176" t="s">
        <v>172</v>
      </c>
      <c r="D19" s="176" t="s">
        <v>173</v>
      </c>
      <c r="E19" s="176"/>
      <c r="F19" s="506">
        <f>-'AAL Financials'!V244</f>
        <v>1615</v>
      </c>
      <c r="G19" s="506">
        <f>-'AAL Financials'!W244</f>
        <v>837</v>
      </c>
      <c r="H19" s="506">
        <f>-'AAL Financials'!X244</f>
        <v>1097</v>
      </c>
      <c r="I19" s="506">
        <f>-'AAL Financials'!Y244</f>
        <v>173</v>
      </c>
      <c r="J19" s="506">
        <f>-'AAL Financials'!Z244</f>
        <v>18</v>
      </c>
      <c r="K19" s="177">
        <f t="shared" si="1"/>
        <v>19</v>
      </c>
      <c r="L19" s="506">
        <f>-'AAL Financials'!AA244</f>
        <v>14</v>
      </c>
      <c r="M19" s="506">
        <f>-'AAL Financials'!AB244</f>
        <v>0</v>
      </c>
      <c r="N19" s="506">
        <f>-'AAL Financials'!J244</f>
        <v>2</v>
      </c>
      <c r="O19" s="506">
        <f>-'AAL Financials'!K244</f>
        <v>0</v>
      </c>
      <c r="P19" s="506">
        <f>-'AAL Financials'!L244</f>
        <v>0</v>
      </c>
      <c r="Q19" s="506">
        <f>-'AAL Financials'!M244</f>
        <v>13</v>
      </c>
      <c r="R19" s="506">
        <f>-'AAL Financials'!N244</f>
        <v>0</v>
      </c>
      <c r="S19" s="506">
        <f>-'AAL Financials'!O244</f>
        <v>0</v>
      </c>
      <c r="T19" s="506">
        <f>-'AAL Financials'!P244</f>
        <v>5</v>
      </c>
      <c r="U19" s="506">
        <f>-'AAL Financials'!Q244</f>
        <v>14</v>
      </c>
      <c r="V19" s="506">
        <f>-'AAL Financials'!R244</f>
        <v>0</v>
      </c>
    </row>
    <row r="20" spans="3:22">
      <c r="C20" s="176" t="s">
        <v>174</v>
      </c>
      <c r="D20" s="176"/>
      <c r="E20" s="176"/>
      <c r="F20" s="506">
        <f>-'AAL Financials'!V240</f>
        <v>2332</v>
      </c>
      <c r="G20" s="506">
        <f>-'AAL Financials'!W240</f>
        <v>2941</v>
      </c>
      <c r="H20" s="506">
        <f>-'AAL Financials'!X240</f>
        <v>4190</v>
      </c>
      <c r="I20" s="506">
        <f>-'AAL Financials'!Y240</f>
        <v>3535</v>
      </c>
      <c r="J20" s="506">
        <f>-'AAL Financials'!Z240</f>
        <v>7343</v>
      </c>
      <c r="K20" s="177">
        <f t="shared" si="1"/>
        <v>3950</v>
      </c>
      <c r="L20" s="506">
        <f ca="1">-'AAL Financials'!AA240</f>
        <v>916.79140721987073</v>
      </c>
      <c r="M20" s="506">
        <f ca="1">-'AAL Financials'!AB240</f>
        <v>979.43000000000643</v>
      </c>
      <c r="N20" s="506">
        <f>-'AAL Financials'!J240</f>
        <v>1551</v>
      </c>
      <c r="O20" s="506">
        <f>-'AAL Financials'!K240</f>
        <v>541</v>
      </c>
      <c r="P20" s="506">
        <f>-'AAL Financials'!L240</f>
        <v>517</v>
      </c>
      <c r="Q20" s="506">
        <f>-'AAL Financials'!M240</f>
        <v>4054</v>
      </c>
      <c r="R20" s="506">
        <f>-'AAL Financials'!N240</f>
        <v>986</v>
      </c>
      <c r="S20" s="506">
        <f>-'AAL Financials'!O240</f>
        <v>1599</v>
      </c>
      <c r="T20" s="506">
        <f>-'AAL Financials'!P240</f>
        <v>704</v>
      </c>
      <c r="U20" s="506">
        <f>-'AAL Financials'!Q240</f>
        <v>661</v>
      </c>
      <c r="V20" s="506">
        <f ca="1">-'AAL Financials'!R240</f>
        <v>255.79140721987068</v>
      </c>
    </row>
    <row r="21" spans="3:22">
      <c r="C21" s="176" t="s">
        <v>175</v>
      </c>
      <c r="D21" s="176"/>
      <c r="E21" s="176"/>
      <c r="F21" s="338">
        <f>SUM(F15:F20)</f>
        <v>12728</v>
      </c>
      <c r="G21" s="338">
        <f>SUM(G15:G20)</f>
        <v>9438</v>
      </c>
      <c r="H21" s="338">
        <f>SUM(H15:H20)</f>
        <v>11647</v>
      </c>
      <c r="I21" s="338">
        <f>SUM(I15:I20)</f>
        <v>4372</v>
      </c>
      <c r="J21" s="338">
        <f>SUM(J15:J20)</f>
        <v>8026</v>
      </c>
      <c r="K21" s="338">
        <f t="shared" si="1"/>
        <v>5912</v>
      </c>
      <c r="L21" s="338">
        <f ca="1">SUM(L15:L20)</f>
        <v>5854.6291897732481</v>
      </c>
      <c r="M21" s="338">
        <f ca="1">SUM(M15:M20)</f>
        <v>6733.7761715000061</v>
      </c>
      <c r="N21" s="338">
        <f>SUM(N15:N20)</f>
        <v>1229</v>
      </c>
      <c r="O21" s="338">
        <f t="shared" ref="O21:V21" si="2">SUM(O15:O20)</f>
        <v>641</v>
      </c>
      <c r="P21" s="338">
        <f t="shared" si="2"/>
        <v>579</v>
      </c>
      <c r="Q21" s="338">
        <f t="shared" si="2"/>
        <v>3643</v>
      </c>
      <c r="R21" s="338">
        <f t="shared" si="2"/>
        <v>1054</v>
      </c>
      <c r="S21" s="338">
        <f t="shared" si="2"/>
        <v>2026</v>
      </c>
      <c r="T21" s="338">
        <f t="shared" si="2"/>
        <v>1303</v>
      </c>
      <c r="U21" s="338">
        <f t="shared" si="2"/>
        <v>1529</v>
      </c>
      <c r="V21" s="338">
        <f t="shared" ca="1" si="2"/>
        <v>1612.2001781293734</v>
      </c>
    </row>
    <row r="22" spans="3:22">
      <c r="C22" s="176"/>
      <c r="D22" s="176"/>
      <c r="E22" s="176"/>
      <c r="F22" s="339"/>
      <c r="G22" s="339"/>
      <c r="H22" s="339"/>
      <c r="I22" s="339"/>
      <c r="J22" s="339"/>
      <c r="K22" s="177"/>
      <c r="L22" s="339"/>
      <c r="M22" s="339"/>
      <c r="N22" s="339"/>
      <c r="O22" s="339"/>
      <c r="P22" s="339"/>
      <c r="Q22" s="339"/>
      <c r="R22" s="339"/>
      <c r="S22" s="339"/>
      <c r="T22" s="339"/>
      <c r="U22" s="339"/>
      <c r="V22" s="339"/>
    </row>
    <row r="23" spans="3:22">
      <c r="C23" s="176" t="s">
        <v>69</v>
      </c>
      <c r="D23" s="176" t="s">
        <v>176</v>
      </c>
      <c r="E23" s="176"/>
      <c r="F23" s="506">
        <f>'AAL Financials'!V129</f>
        <v>24294</v>
      </c>
      <c r="G23" s="506">
        <f>'AAL Financials'!W129</f>
        <v>23779</v>
      </c>
      <c r="H23" s="506">
        <f>'AAL Financials'!X129</f>
        <v>23645</v>
      </c>
      <c r="I23" s="506">
        <f>'AAL Financials'!Y129</f>
        <v>32021</v>
      </c>
      <c r="J23" s="506">
        <f>'AAL Financials'!Z129</f>
        <v>37323</v>
      </c>
      <c r="K23" s="177">
        <f>+U23</f>
        <v>37093</v>
      </c>
      <c r="L23" s="506">
        <f ca="1">'AAL Financials'!AA129</f>
        <v>37263.873289473682</v>
      </c>
      <c r="M23" s="506">
        <f ca="1">'AAL Financials'!AB129</f>
        <v>36376.864342105255</v>
      </c>
      <c r="N23" s="506">
        <f>'AAL Financials'!J129</f>
        <v>30664</v>
      </c>
      <c r="O23" s="506">
        <f>'AAL Financials'!K129</f>
        <v>32203</v>
      </c>
      <c r="P23" s="506">
        <f>'AAL Financials'!L129</f>
        <v>32021</v>
      </c>
      <c r="Q23" s="506">
        <f>'AAL Financials'!M129</f>
        <v>39124</v>
      </c>
      <c r="R23" s="506">
        <f>'AAL Financials'!N129</f>
        <v>39421</v>
      </c>
      <c r="S23" s="506">
        <f>'AAL Financials'!O129</f>
        <v>37875</v>
      </c>
      <c r="T23" s="506">
        <f>'AAL Financials'!P129</f>
        <v>37323</v>
      </c>
      <c r="U23" s="506">
        <f>'AAL Financials'!Q129</f>
        <v>37093</v>
      </c>
      <c r="V23" s="506">
        <f ca="1">'AAL Financials'!R129</f>
        <v>36860.313855938024</v>
      </c>
    </row>
    <row r="24" spans="3:22">
      <c r="C24" s="176" t="s">
        <v>73</v>
      </c>
      <c r="D24" s="176" t="s">
        <v>177</v>
      </c>
      <c r="E24" s="176" t="s">
        <v>178</v>
      </c>
      <c r="F24" s="177">
        <f>F23-F26</f>
        <v>23999</v>
      </c>
      <c r="G24" s="177">
        <f>G23-G26</f>
        <v>23504</v>
      </c>
      <c r="H24" s="177">
        <f>H23-H26</f>
        <v>23365</v>
      </c>
      <c r="I24" s="177">
        <f>I23-I26</f>
        <v>31776</v>
      </c>
      <c r="J24" s="177">
        <f>J23-J26</f>
        <v>37050</v>
      </c>
      <c r="K24" s="177">
        <f t="shared" ref="K24:K32" si="3">+U24</f>
        <v>36717</v>
      </c>
      <c r="L24" s="177">
        <f ca="1">L23-L26</f>
        <v>36913.873289473682</v>
      </c>
      <c r="M24" s="177">
        <f ca="1">M23-M26</f>
        <v>36026.864342105255</v>
      </c>
      <c r="N24" s="177">
        <f>N23-N26</f>
        <v>30202</v>
      </c>
      <c r="O24" s="177">
        <f t="shared" ref="O24:V24" si="4">O23-O26</f>
        <v>31950</v>
      </c>
      <c r="P24" s="177">
        <f t="shared" si="4"/>
        <v>31776</v>
      </c>
      <c r="Q24" s="177">
        <f t="shared" si="4"/>
        <v>38847</v>
      </c>
      <c r="R24" s="177">
        <f t="shared" si="4"/>
        <v>39096</v>
      </c>
      <c r="S24" s="177">
        <f t="shared" si="4"/>
        <v>37582</v>
      </c>
      <c r="T24" s="177">
        <f t="shared" si="4"/>
        <v>37050</v>
      </c>
      <c r="U24" s="177">
        <f t="shared" si="4"/>
        <v>36717</v>
      </c>
      <c r="V24" s="177">
        <f t="shared" ca="1" si="4"/>
        <v>36510.313855938024</v>
      </c>
    </row>
    <row r="25" spans="3:22">
      <c r="C25" s="176" t="s">
        <v>179</v>
      </c>
      <c r="D25" s="176" t="s">
        <v>180</v>
      </c>
      <c r="E25" s="176"/>
      <c r="F25" s="506">
        <f>'AAL Financials'!V149</f>
        <v>-780</v>
      </c>
      <c r="G25" s="506">
        <f>'AAL Financials'!W149</f>
        <v>-169</v>
      </c>
      <c r="H25" s="506">
        <f>'AAL Financials'!X149</f>
        <v>-118</v>
      </c>
      <c r="I25" s="506">
        <f>'AAL Financials'!Y149</f>
        <v>-6867</v>
      </c>
      <c r="J25" s="506">
        <f>'AAL Financials'!Z149</f>
        <v>-7340</v>
      </c>
      <c r="K25" s="177">
        <f t="shared" si="3"/>
        <v>-8940</v>
      </c>
      <c r="L25" s="506">
        <f ca="1">'AAL Financials'!AA149</f>
        <v>-9944.0853634067607</v>
      </c>
      <c r="M25" s="506">
        <f ca="1">'AAL Financials'!AB149</f>
        <v>-8788.8894918667065</v>
      </c>
      <c r="N25" s="506">
        <f>'AAL Financials'!J149</f>
        <v>-3169</v>
      </c>
      <c r="O25" s="506">
        <f>'AAL Financials'!K149</f>
        <v>-5528</v>
      </c>
      <c r="P25" s="506">
        <f>'AAL Financials'!L149</f>
        <v>-6867</v>
      </c>
      <c r="Q25" s="506">
        <f>'AAL Financials'!M149</f>
        <v>-7945</v>
      </c>
      <c r="R25" s="506">
        <f>'AAL Financials'!N149</f>
        <v>-7667</v>
      </c>
      <c r="S25" s="506">
        <f>'AAL Financials'!O149</f>
        <v>-7437</v>
      </c>
      <c r="T25" s="506">
        <f>'AAL Financials'!P149</f>
        <v>-7340</v>
      </c>
      <c r="U25" s="506">
        <f>'AAL Financials'!Q149</f>
        <v>-8940</v>
      </c>
      <c r="V25" s="506">
        <f ca="1">'AAL Financials'!R149</f>
        <v>-9396.0979687675735</v>
      </c>
    </row>
    <row r="26" spans="3:22">
      <c r="C26" s="176" t="s">
        <v>181</v>
      </c>
      <c r="D26" s="176" t="s">
        <v>182</v>
      </c>
      <c r="E26" s="176"/>
      <c r="F26" s="506">
        <f>'AAL Financials'!V105</f>
        <v>295</v>
      </c>
      <c r="G26" s="506">
        <f>'AAL Financials'!W105</f>
        <v>275</v>
      </c>
      <c r="H26" s="506">
        <f>'AAL Financials'!X105</f>
        <v>280</v>
      </c>
      <c r="I26" s="506">
        <f>'AAL Financials'!Y105</f>
        <v>245</v>
      </c>
      <c r="J26" s="506">
        <f>'AAL Financials'!Z105</f>
        <v>273</v>
      </c>
      <c r="K26" s="177">
        <f t="shared" si="3"/>
        <v>376</v>
      </c>
      <c r="L26" s="506">
        <f>'AAL Financials'!AA105</f>
        <v>350</v>
      </c>
      <c r="M26" s="506">
        <f>'AAL Financials'!AB105</f>
        <v>350</v>
      </c>
      <c r="N26" s="506">
        <f>'AAL Financials'!J105</f>
        <v>462</v>
      </c>
      <c r="O26" s="506">
        <f>'AAL Financials'!K105</f>
        <v>253</v>
      </c>
      <c r="P26" s="506">
        <f>'AAL Financials'!L105</f>
        <v>245</v>
      </c>
      <c r="Q26" s="506">
        <f>'AAL Financials'!M105</f>
        <v>277</v>
      </c>
      <c r="R26" s="506">
        <f>'AAL Financials'!N105</f>
        <v>325</v>
      </c>
      <c r="S26" s="506">
        <f>'AAL Financials'!O105</f>
        <v>293</v>
      </c>
      <c r="T26" s="506">
        <f>'AAL Financials'!P105</f>
        <v>273</v>
      </c>
      <c r="U26" s="506">
        <f>'AAL Financials'!Q105</f>
        <v>376</v>
      </c>
      <c r="V26" s="506">
        <f>'AAL Financials'!R105</f>
        <v>350</v>
      </c>
    </row>
    <row r="27" spans="3:22">
      <c r="C27" s="176" t="s">
        <v>183</v>
      </c>
      <c r="D27" s="176" t="s">
        <v>184</v>
      </c>
      <c r="E27" s="176"/>
      <c r="F27" s="506">
        <f>'AAL Financials'!V121</f>
        <v>52785</v>
      </c>
      <c r="G27" s="506">
        <f>'AAL Financials'!W121</f>
        <v>60580</v>
      </c>
      <c r="H27" s="506">
        <f>'AAL Financials'!X121</f>
        <v>59995</v>
      </c>
      <c r="I27" s="506">
        <f>'AAL Financials'!Y121</f>
        <v>62008</v>
      </c>
      <c r="J27" s="506">
        <f>'AAL Financials'!Z121</f>
        <v>66442</v>
      </c>
      <c r="K27" s="177">
        <f t="shared" si="3"/>
        <v>67401</v>
      </c>
      <c r="L27" s="506">
        <f ca="1">'AAL Financials'!AA121</f>
        <v>67125.995147162466</v>
      </c>
      <c r="M27" s="506">
        <f ca="1">'AAL Financials'!AB121</f>
        <v>66238.426461340743</v>
      </c>
      <c r="N27" s="506">
        <f>'AAL Financials'!J121</f>
        <v>64544</v>
      </c>
      <c r="O27" s="506">
        <f>'AAL Financials'!K121</f>
        <v>62773</v>
      </c>
      <c r="P27" s="506">
        <f>'AAL Financials'!L121</f>
        <v>62008</v>
      </c>
      <c r="Q27" s="506">
        <f>'AAL Financials'!M121</f>
        <v>68649</v>
      </c>
      <c r="R27" s="506">
        <f>'AAL Financials'!N121</f>
        <v>72464</v>
      </c>
      <c r="S27" s="506">
        <f>'AAL Financials'!O121</f>
        <v>68437</v>
      </c>
      <c r="T27" s="506">
        <f>'AAL Financials'!P121</f>
        <v>66442</v>
      </c>
      <c r="U27" s="506">
        <f>'AAL Financials'!Q121</f>
        <v>67401</v>
      </c>
      <c r="V27" s="506">
        <f ca="1">'AAL Financials'!R121</f>
        <v>67556.332560882554</v>
      </c>
    </row>
    <row r="28" spans="3:22">
      <c r="C28" s="176"/>
      <c r="D28" s="176"/>
      <c r="E28" s="176"/>
      <c r="F28" s="177"/>
      <c r="G28" s="177"/>
      <c r="H28" s="177"/>
      <c r="I28" s="177"/>
      <c r="J28" s="177"/>
      <c r="K28" s="177"/>
      <c r="L28" s="177"/>
      <c r="M28" s="177"/>
      <c r="N28" s="177"/>
      <c r="O28" s="177"/>
      <c r="P28" s="177"/>
      <c r="Q28" s="177"/>
      <c r="R28" s="177"/>
      <c r="S28" s="177"/>
      <c r="T28" s="177"/>
      <c r="U28" s="177"/>
      <c r="V28" s="177"/>
    </row>
    <row r="29" spans="3:22">
      <c r="C29" s="176" t="s">
        <v>185</v>
      </c>
      <c r="D29" s="176"/>
      <c r="E29" s="176"/>
      <c r="F29" s="506">
        <f>'AAL Financials'!V108</f>
        <v>1752</v>
      </c>
      <c r="G29" s="506">
        <f>'AAL Financials'!W108</f>
        <v>1706</v>
      </c>
      <c r="H29" s="506">
        <f>'AAL Financials'!X108</f>
        <v>1750</v>
      </c>
      <c r="I29" s="506">
        <f>'AAL Financials'!Y108</f>
        <v>1342</v>
      </c>
      <c r="J29" s="506">
        <f>'AAL Financials'!Z108</f>
        <v>1505</v>
      </c>
      <c r="K29" s="177">
        <f t="shared" si="3"/>
        <v>1537</v>
      </c>
      <c r="L29" s="506">
        <f>'AAL Financials'!AA108</f>
        <v>1527.7149245232733</v>
      </c>
      <c r="M29" s="506">
        <f>'AAL Financials'!AB108</f>
        <v>1643.1407981295031</v>
      </c>
      <c r="N29" s="506">
        <f>'AAL Financials'!J108</f>
        <v>879</v>
      </c>
      <c r="O29" s="506">
        <f>'AAL Financials'!K108</f>
        <v>1135</v>
      </c>
      <c r="P29" s="506">
        <f>'AAL Financials'!L108</f>
        <v>1342</v>
      </c>
      <c r="Q29" s="506">
        <f>'AAL Financials'!M108</f>
        <v>971</v>
      </c>
      <c r="R29" s="506">
        <f>'AAL Financials'!N108</f>
        <v>1249</v>
      </c>
      <c r="S29" s="506">
        <f>'AAL Financials'!O108</f>
        <v>1332</v>
      </c>
      <c r="T29" s="506">
        <f>'AAL Financials'!P108</f>
        <v>1505</v>
      </c>
      <c r="U29" s="506">
        <f>'AAL Financials'!Q108</f>
        <v>1537</v>
      </c>
      <c r="V29" s="506">
        <f>'AAL Financials'!R108</f>
        <v>1647.5723261441337</v>
      </c>
    </row>
    <row r="30" spans="3:22">
      <c r="C30" s="176" t="s">
        <v>186</v>
      </c>
      <c r="D30" s="176"/>
      <c r="E30" s="176"/>
      <c r="F30" s="506">
        <f>'AAL Financials'!V109</f>
        <v>1359</v>
      </c>
      <c r="G30" s="506">
        <f>'AAL Financials'!W109</f>
        <v>1522</v>
      </c>
      <c r="H30" s="506">
        <f>'AAL Financials'!X109</f>
        <v>1851</v>
      </c>
      <c r="I30" s="506">
        <f>'AAL Financials'!Y109</f>
        <v>1614</v>
      </c>
      <c r="J30" s="506">
        <f>'AAL Financials'!Z109</f>
        <v>1795</v>
      </c>
      <c r="K30" s="177">
        <f t="shared" si="3"/>
        <v>2002</v>
      </c>
      <c r="L30" s="506">
        <f>'AAL Financials'!AA109</f>
        <v>2242.2953401456002</v>
      </c>
      <c r="M30" s="506">
        <f>'AAL Financials'!AB109</f>
        <v>2039.8207137763777</v>
      </c>
      <c r="N30" s="506">
        <f>'AAL Financials'!J109</f>
        <v>1653</v>
      </c>
      <c r="O30" s="506">
        <f>'AAL Financials'!K109</f>
        <v>1633</v>
      </c>
      <c r="P30" s="506">
        <f>'AAL Financials'!L109</f>
        <v>1614</v>
      </c>
      <c r="Q30" s="506">
        <f>'AAL Financials'!M109</f>
        <v>1658</v>
      </c>
      <c r="R30" s="506">
        <f>'AAL Financials'!N109</f>
        <v>1789</v>
      </c>
      <c r="S30" s="506">
        <f>'AAL Financials'!O109</f>
        <v>1851</v>
      </c>
      <c r="T30" s="506">
        <f>'AAL Financials'!P109</f>
        <v>1795</v>
      </c>
      <c r="U30" s="506">
        <f>'AAL Financials'!Q109</f>
        <v>2002</v>
      </c>
      <c r="V30" s="506">
        <f>'AAL Financials'!R109</f>
        <v>2165.1780271252237</v>
      </c>
    </row>
    <row r="31" spans="3:22">
      <c r="C31" s="176" t="s">
        <v>187</v>
      </c>
      <c r="D31" s="176"/>
      <c r="E31" s="176"/>
      <c r="F31" s="506">
        <f>'AAL Financials'!V115</f>
        <v>34156</v>
      </c>
      <c r="G31" s="506">
        <f>'AAL Financials'!W115</f>
        <v>34098</v>
      </c>
      <c r="H31" s="506">
        <f>'AAL Financials'!X115</f>
        <v>34995</v>
      </c>
      <c r="I31" s="506">
        <f>'AAL Financials'!Y115</f>
        <v>31699</v>
      </c>
      <c r="J31" s="506">
        <f>'AAL Financials'!Z115</f>
        <v>29537</v>
      </c>
      <c r="K31" s="177">
        <f t="shared" si="3"/>
        <v>29858</v>
      </c>
      <c r="L31" s="506">
        <f>'AAL Financials'!AA115</f>
        <v>31145.401175628882</v>
      </c>
      <c r="M31" s="506">
        <f>'AAL Financials'!AB115</f>
        <v>33076.559457714218</v>
      </c>
      <c r="N31" s="506">
        <f>'AAL Financials'!J115</f>
        <v>33351</v>
      </c>
      <c r="O31" s="506">
        <f>'AAL Financials'!K115</f>
        <v>32256</v>
      </c>
      <c r="P31" s="506">
        <f>'AAL Financials'!L115</f>
        <v>31699</v>
      </c>
      <c r="Q31" s="506">
        <f>'AAL Financials'!M115</f>
        <v>30897</v>
      </c>
      <c r="R31" s="506">
        <f>'AAL Financials'!N115</f>
        <v>30205</v>
      </c>
      <c r="S31" s="506">
        <f>'AAL Financials'!O115</f>
        <v>29797</v>
      </c>
      <c r="T31" s="506">
        <f>'AAL Financials'!P115</f>
        <v>29537</v>
      </c>
      <c r="U31" s="506">
        <f>'AAL Financials'!Q115</f>
        <v>29858</v>
      </c>
      <c r="V31" s="506">
        <f>'AAL Financials'!R115</f>
        <v>30311.57187428945</v>
      </c>
    </row>
    <row r="32" spans="3:22">
      <c r="C32" s="176" t="s">
        <v>188</v>
      </c>
      <c r="D32" s="176" t="s">
        <v>189</v>
      </c>
      <c r="E32" s="176"/>
      <c r="F32" s="338">
        <f>SUM(F29:F31)</f>
        <v>37267</v>
      </c>
      <c r="G32" s="338">
        <f>SUM(G29:G31)</f>
        <v>37326</v>
      </c>
      <c r="H32" s="338">
        <f>SUM(H29:H31)</f>
        <v>38596</v>
      </c>
      <c r="I32" s="338">
        <f>SUM(I29:I31)</f>
        <v>34655</v>
      </c>
      <c r="J32" s="338">
        <f>SUM(J29:J31)</f>
        <v>32837</v>
      </c>
      <c r="K32" s="338">
        <f t="shared" si="3"/>
        <v>33397</v>
      </c>
      <c r="L32" s="338">
        <f>SUM(L29:L31)</f>
        <v>34915.411440297758</v>
      </c>
      <c r="M32" s="338">
        <f>SUM(M29:M31)</f>
        <v>36759.520969620098</v>
      </c>
      <c r="N32" s="338">
        <f>SUM(N29:N31)</f>
        <v>35883</v>
      </c>
      <c r="O32" s="338">
        <f t="shared" ref="O32:V32" si="5">SUM(O29:O31)</f>
        <v>35024</v>
      </c>
      <c r="P32" s="338">
        <f t="shared" si="5"/>
        <v>34655</v>
      </c>
      <c r="Q32" s="338">
        <f t="shared" si="5"/>
        <v>33526</v>
      </c>
      <c r="R32" s="338">
        <f t="shared" si="5"/>
        <v>33243</v>
      </c>
      <c r="S32" s="338">
        <f t="shared" si="5"/>
        <v>32980</v>
      </c>
      <c r="T32" s="338">
        <f t="shared" si="5"/>
        <v>32837</v>
      </c>
      <c r="U32" s="338">
        <f t="shared" si="5"/>
        <v>33397</v>
      </c>
      <c r="V32" s="338">
        <f t="shared" si="5"/>
        <v>34124.322227558805</v>
      </c>
    </row>
    <row r="33" spans="3:22">
      <c r="C33" s="176"/>
      <c r="D33" s="176"/>
      <c r="E33" s="176"/>
      <c r="F33" s="177"/>
      <c r="G33" s="177"/>
      <c r="H33" s="177"/>
      <c r="I33" s="177"/>
      <c r="J33" s="177"/>
      <c r="K33" s="177"/>
      <c r="L33" s="177"/>
      <c r="M33" s="177"/>
      <c r="N33" s="177"/>
      <c r="O33" s="177"/>
      <c r="P33" s="177"/>
      <c r="Q33" s="177"/>
      <c r="R33" s="177"/>
      <c r="S33" s="177"/>
      <c r="T33" s="177"/>
      <c r="U33" s="177"/>
      <c r="V33" s="177"/>
    </row>
    <row r="34" spans="3:22">
      <c r="C34" s="176" t="s">
        <v>190</v>
      </c>
      <c r="D34" s="176"/>
      <c r="E34" s="176"/>
      <c r="F34" s="507">
        <f>'AAL KPI'!V36</f>
        <v>0.37557215128884608</v>
      </c>
      <c r="G34" s="507">
        <f>'AAL KPI'!W36</f>
        <v>0.24121863799283155</v>
      </c>
      <c r="H34" s="507">
        <f>'AAL KPI'!X36</f>
        <v>0.24870645050017248</v>
      </c>
      <c r="I34" s="507">
        <f>'AAL KPI'!Y36</f>
        <v>-0.2234468119846518</v>
      </c>
      <c r="J34" s="507">
        <f>'AAL KPI'!Z36</f>
        <v>-0.22292626728110598</v>
      </c>
      <c r="K34" s="178">
        <f>+U34</f>
        <v>-0.22201457671463279</v>
      </c>
      <c r="L34" s="507">
        <f ca="1">'AAL KPI'!AA36</f>
        <v>-0.13671652617476632</v>
      </c>
      <c r="M34" s="507">
        <f>'AAL KPI'!AB36</f>
        <v>0</v>
      </c>
      <c r="N34" s="507">
        <f>SUM('AAL KPI'!G35:J35)/ABS(SUM('AAL KPI'!G33:J33))</f>
        <v>-0.21222091656874265</v>
      </c>
      <c r="O34" s="507">
        <f>SUM('AAL KPI'!H35:K35)/ABS(SUM('AAL KPI'!H33:K33))</f>
        <v>-0.22063037249283668</v>
      </c>
      <c r="P34" s="507">
        <f>SUM('AAL KPI'!I35:L35)/ABS(SUM('AAL KPI'!I33:L33))</f>
        <v>-0.2234468119846518</v>
      </c>
      <c r="Q34" s="507">
        <f>SUM('AAL KPI'!J35:M35)/ABS(SUM('AAL KPI'!J33:M33))</f>
        <v>-0.22304469273743016</v>
      </c>
      <c r="R34" s="507">
        <f>SUM('AAL KPI'!K35:N35)/ABS(SUM('AAL KPI'!K33:N33))</f>
        <v>-0.22324480673152775</v>
      </c>
      <c r="S34" s="507">
        <f>SUM('AAL KPI'!L35:O35)/ABS(SUM('AAL KPI'!L33:O33))</f>
        <v>-0.22330661089810619</v>
      </c>
      <c r="T34" s="507">
        <f>SUM('AAL KPI'!M35:P35)/ABS(SUM('AAL KPI'!M33:P33))</f>
        <v>-0.22292626728110598</v>
      </c>
      <c r="U34" s="507">
        <f>SUM('AAL KPI'!N35:Q35)/ABS(SUM('AAL KPI'!N33:Q33))</f>
        <v>-0.22201457671463279</v>
      </c>
      <c r="V34" s="507">
        <f ca="1">SUM('AAL KPI'!O35:R35)/ABS(SUM('AAL KPI'!O33:R33))</f>
        <v>-0.19587575600325291</v>
      </c>
    </row>
    <row r="35" spans="3:22">
      <c r="C35" s="176"/>
      <c r="D35" s="176"/>
      <c r="E35" s="176"/>
      <c r="F35" s="177"/>
      <c r="G35" s="177"/>
      <c r="H35" s="177"/>
      <c r="I35" s="177"/>
      <c r="J35" s="177"/>
      <c r="K35" s="170"/>
      <c r="L35" s="170"/>
      <c r="M35" s="170"/>
      <c r="N35" s="177"/>
      <c r="O35" s="177"/>
      <c r="P35" s="177"/>
      <c r="Q35" s="177"/>
      <c r="R35" s="177"/>
      <c r="S35" s="177"/>
      <c r="T35" s="177"/>
      <c r="U35" s="177"/>
      <c r="V35" s="170"/>
    </row>
    <row r="36" spans="3:22" s="166" customFormat="1">
      <c r="C36" s="179" t="s">
        <v>151</v>
      </c>
      <c r="D36" s="179"/>
      <c r="E36" s="179"/>
      <c r="F36" s="180"/>
      <c r="G36" s="180">
        <f t="shared" ref="G36:V36" si="6">+G7</f>
        <v>44541</v>
      </c>
      <c r="H36" s="180">
        <f t="shared" si="6"/>
        <v>45768</v>
      </c>
      <c r="I36" s="180">
        <f t="shared" si="6"/>
        <v>17337</v>
      </c>
      <c r="J36" s="180">
        <f t="shared" si="6"/>
        <v>29882</v>
      </c>
      <c r="K36" s="180">
        <f t="shared" si="6"/>
        <v>34773</v>
      </c>
      <c r="L36" s="180">
        <f t="shared" si="6"/>
        <v>46467.995620916234</v>
      </c>
      <c r="M36" s="180">
        <f t="shared" si="6"/>
        <v>49978.865943105717</v>
      </c>
      <c r="N36" s="180">
        <f t="shared" si="6"/>
        <v>1622</v>
      </c>
      <c r="O36" s="180">
        <f t="shared" si="6"/>
        <v>3173</v>
      </c>
      <c r="P36" s="180">
        <f t="shared" si="6"/>
        <v>4027</v>
      </c>
      <c r="Q36" s="180">
        <f t="shared" si="6"/>
        <v>4008</v>
      </c>
      <c r="R36" s="180">
        <f t="shared" si="6"/>
        <v>7478</v>
      </c>
      <c r="S36" s="180">
        <f t="shared" si="6"/>
        <v>8969</v>
      </c>
      <c r="T36" s="180">
        <f t="shared" si="6"/>
        <v>9427</v>
      </c>
      <c r="U36" s="180">
        <f t="shared" si="6"/>
        <v>8899</v>
      </c>
      <c r="V36" s="180">
        <f t="shared" si="6"/>
        <v>12795.926602840585</v>
      </c>
    </row>
    <row r="37" spans="3:22">
      <c r="C37" s="176" t="s">
        <v>191</v>
      </c>
      <c r="D37" s="176"/>
      <c r="E37" s="176"/>
      <c r="F37" s="177"/>
      <c r="G37" s="178">
        <f>IFERROR(G36/F7-1," NA")</f>
        <v>4.502369668246442E-2</v>
      </c>
      <c r="H37" s="178">
        <f>IFERROR(H36/G36-1," NA")</f>
        <v>2.7547652724456029E-2</v>
      </c>
      <c r="I37" s="178">
        <f>IFERROR(I36/H36-1," NA")</f>
        <v>-0.62119821709491352</v>
      </c>
      <c r="J37" s="178">
        <f>IFERROR(J36/I36-1," NA")</f>
        <v>0.72359693141835391</v>
      </c>
      <c r="K37" s="178">
        <f>+K36/SUM(N36:Q36)-1</f>
        <v>1.7102883865939207</v>
      </c>
      <c r="L37" s="178">
        <f>IFERROR(L36/J36-1," NA")</f>
        <v>0.55504971624778232</v>
      </c>
      <c r="M37" s="178">
        <f>IFERROR(M36/L36-1," NA")</f>
        <v>7.5554589245273363E-2</v>
      </c>
      <c r="N37" s="177"/>
      <c r="O37" s="177"/>
      <c r="P37" s="177"/>
      <c r="Q37" s="177"/>
      <c r="R37" s="178">
        <f>IFERROR(R36/N36-1," NA")</f>
        <v>3.6103575832305799</v>
      </c>
      <c r="S37" s="178">
        <f>IFERROR(S36/O36-1," NA")</f>
        <v>1.826662464544595</v>
      </c>
      <c r="T37" s="178">
        <f>IFERROR(T36/P36-1," NA")</f>
        <v>1.3409485969704495</v>
      </c>
      <c r="U37" s="178">
        <f>IFERROR(U36/Q36-1," NA")</f>
        <v>1.220309381237525</v>
      </c>
      <c r="V37" s="178">
        <f>IFERROR(V36/R36-1," NA")</f>
        <v>0.71114289955076027</v>
      </c>
    </row>
    <row r="38" spans="3:22">
      <c r="C38" s="176" t="s">
        <v>192</v>
      </c>
      <c r="D38" s="176"/>
      <c r="E38" s="176" t="s">
        <v>193</v>
      </c>
      <c r="F38" s="181"/>
      <c r="G38" s="329">
        <f t="shared" ref="G38:M40" si="7">IFERROR(G8/G$7," NA")</f>
        <v>0.26707976920140991</v>
      </c>
      <c r="H38" s="329">
        <f t="shared" si="7"/>
        <v>0.27040727145603916</v>
      </c>
      <c r="I38" s="329">
        <f t="shared" si="7"/>
        <v>-0.31695218319201707</v>
      </c>
      <c r="J38" s="329">
        <f t="shared" si="7"/>
        <v>5.3443544608794594E-2</v>
      </c>
      <c r="K38" s="329">
        <f t="shared" si="7"/>
        <v>0.11598078969315273</v>
      </c>
      <c r="L38" s="329">
        <f t="shared" si="7"/>
        <v>0.15379107848919019</v>
      </c>
      <c r="M38" s="329">
        <f t="shared" si="7"/>
        <v>0.23404601185184237</v>
      </c>
      <c r="N38" s="181"/>
      <c r="O38" s="181"/>
      <c r="P38" s="181"/>
      <c r="Q38" s="181"/>
      <c r="R38" s="329">
        <f t="shared" ref="R38:V40" si="8">IFERROR(R8/R$7," NA")</f>
        <v>9.3875367745386462E-2</v>
      </c>
      <c r="S38" s="329">
        <f t="shared" si="8"/>
        <v>0.16111049169361133</v>
      </c>
      <c r="T38" s="329">
        <f t="shared" si="8"/>
        <v>0.14246313779569322</v>
      </c>
      <c r="U38" s="329">
        <f t="shared" si="8"/>
        <v>6.1018091920440498E-2</v>
      </c>
      <c r="V38" s="329">
        <f t="shared" si="8"/>
        <v>0.15707714601006578</v>
      </c>
    </row>
    <row r="39" spans="3:22">
      <c r="C39" s="176" t="s">
        <v>194</v>
      </c>
      <c r="D39" s="176"/>
      <c r="E39" s="176"/>
      <c r="F39" s="182"/>
      <c r="G39" s="178">
        <f t="shared" si="7"/>
        <v>3.4125861565748414E-2</v>
      </c>
      <c r="H39" s="178">
        <f t="shared" si="7"/>
        <v>3.5002621919244886E-2</v>
      </c>
      <c r="I39" s="178">
        <f t="shared" si="7"/>
        <v>3.835727057737786E-2</v>
      </c>
      <c r="J39" s="178">
        <f t="shared" si="7"/>
        <v>3.6777993440867414E-2</v>
      </c>
      <c r="K39" s="178">
        <f t="shared" si="7"/>
        <v>3.6810168809133521E-2</v>
      </c>
      <c r="L39" s="178">
        <f t="shared" si="7"/>
        <v>3.239983491343916E-2</v>
      </c>
      <c r="M39" s="178">
        <f t="shared" si="7"/>
        <v>3.2272023751504071E-2</v>
      </c>
      <c r="N39" s="181"/>
      <c r="O39" s="181"/>
      <c r="P39" s="181"/>
      <c r="Q39" s="181"/>
      <c r="R39" s="178">
        <f t="shared" si="8"/>
        <v>3.7041989836854777E-2</v>
      </c>
      <c r="S39" s="178">
        <f t="shared" si="8"/>
        <v>3.5455457687590591E-2</v>
      </c>
      <c r="T39" s="178">
        <f t="shared" si="8"/>
        <v>3.7445634878540364E-2</v>
      </c>
      <c r="U39" s="178">
        <f t="shared" si="8"/>
        <v>3.7307562647488482E-2</v>
      </c>
      <c r="V39" s="178">
        <f t="shared" si="8"/>
        <v>2.9727469896500221E-2</v>
      </c>
    </row>
    <row r="40" spans="3:22">
      <c r="C40" s="176" t="s">
        <v>195</v>
      </c>
      <c r="D40" s="176"/>
      <c r="E40" s="176"/>
      <c r="F40" s="182"/>
      <c r="G40" s="178">
        <f t="shared" si="7"/>
        <v>7.7434274039648865E-2</v>
      </c>
      <c r="H40" s="178">
        <f t="shared" si="7"/>
        <v>8.0973606012934796E-2</v>
      </c>
      <c r="I40" s="178">
        <f t="shared" si="7"/>
        <v>-0.65680336851819809</v>
      </c>
      <c r="J40" s="178">
        <f t="shared" si="7"/>
        <v>-0.18452580148584433</v>
      </c>
      <c r="K40" s="178">
        <f t="shared" si="7"/>
        <v>-0.11048802231616484</v>
      </c>
      <c r="L40" s="178">
        <f t="shared" si="7"/>
        <v>-3.6243095619968656E-2</v>
      </c>
      <c r="M40" s="178">
        <f t="shared" si="7"/>
        <v>4.639467782739589E-2</v>
      </c>
      <c r="N40" s="181"/>
      <c r="O40" s="181"/>
      <c r="P40" s="181"/>
      <c r="Q40" s="181"/>
      <c r="R40" s="178">
        <f t="shared" si="8"/>
        <v>-0.13559775341000269</v>
      </c>
      <c r="S40" s="178">
        <f t="shared" si="8"/>
        <v>-5.1510759281971234E-2</v>
      </c>
      <c r="T40" s="178">
        <f t="shared" si="8"/>
        <v>-8.4862628619921499E-2</v>
      </c>
      <c r="U40" s="178">
        <f t="shared" si="8"/>
        <v>-0.17597482863243061</v>
      </c>
      <c r="V40" s="178">
        <f t="shared" si="8"/>
        <v>-1.273481118380374E-2</v>
      </c>
    </row>
    <row r="41" spans="3:22" s="166" customFormat="1">
      <c r="C41" s="179" t="s">
        <v>88</v>
      </c>
      <c r="D41" s="179"/>
      <c r="E41" s="179"/>
      <c r="F41" s="183"/>
      <c r="G41" s="180">
        <f t="shared" ref="G41:M41" si="9">+G11</f>
        <v>5288</v>
      </c>
      <c r="H41" s="180">
        <f t="shared" si="9"/>
        <v>5687</v>
      </c>
      <c r="I41" s="180">
        <f t="shared" si="9"/>
        <v>-9346</v>
      </c>
      <c r="J41" s="180">
        <f t="shared" si="9"/>
        <v>-3496</v>
      </c>
      <c r="K41" s="180">
        <f t="shared" si="9"/>
        <v>-1810</v>
      </c>
      <c r="L41" s="180">
        <f t="shared" si="9"/>
        <v>325.45481581396871</v>
      </c>
      <c r="M41" s="180">
        <f t="shared" si="9"/>
        <v>4450.5951015236624</v>
      </c>
      <c r="N41" s="184"/>
      <c r="O41" s="184"/>
      <c r="P41" s="184"/>
      <c r="Q41" s="184"/>
      <c r="R41" s="180">
        <f>+R11</f>
        <v>-533</v>
      </c>
      <c r="S41" s="180">
        <f>+S11</f>
        <v>18</v>
      </c>
      <c r="T41" s="180">
        <f>+T11</f>
        <v>-221</v>
      </c>
      <c r="U41" s="180">
        <f>+U11</f>
        <v>-1074</v>
      </c>
      <c r="V41" s="180">
        <f>+V11</f>
        <v>317.49717594836989</v>
      </c>
    </row>
    <row r="42" spans="3:22">
      <c r="C42" s="176" t="s">
        <v>196</v>
      </c>
      <c r="D42" s="176"/>
      <c r="E42" s="176"/>
      <c r="F42" s="182"/>
      <c r="G42" s="178">
        <f t="shared" ref="G42:M42" si="10">IFERROR(G11/G$7," NA")</f>
        <v>0.11872207628926158</v>
      </c>
      <c r="H42" s="178">
        <f t="shared" si="10"/>
        <v>0.12425712288061527</v>
      </c>
      <c r="I42" s="178">
        <f t="shared" si="10"/>
        <v>-0.53907827190402036</v>
      </c>
      <c r="J42" s="178">
        <f t="shared" si="10"/>
        <v>-0.11699350779733619</v>
      </c>
      <c r="K42" s="178">
        <f t="shared" si="10"/>
        <v>-5.2051879331665371E-2</v>
      </c>
      <c r="L42" s="178">
        <f t="shared" si="10"/>
        <v>7.0038488095982036E-3</v>
      </c>
      <c r="M42" s="178">
        <f t="shared" si="10"/>
        <v>8.9049541592041564E-2</v>
      </c>
      <c r="N42" s="181"/>
      <c r="O42" s="181"/>
      <c r="P42" s="181"/>
      <c r="Q42" s="181"/>
      <c r="R42" s="178">
        <f>IFERROR(R11/R$7," NA")</f>
        <v>-7.1275742177052681E-2</v>
      </c>
      <c r="S42" s="178">
        <f>IFERROR(S11/S$7," NA")</f>
        <v>2.0069126992975804E-3</v>
      </c>
      <c r="T42" s="178">
        <f>IFERROR(T11/T$7," NA")</f>
        <v>-2.3443301156253316E-2</v>
      </c>
      <c r="U42" s="178">
        <f>IFERROR(U11/U$7," NA")</f>
        <v>-0.12068771772109226</v>
      </c>
      <c r="V42" s="178">
        <f>IFERROR(V11/V$7," NA")</f>
        <v>2.4812363012295509E-2</v>
      </c>
    </row>
    <row r="43" spans="3:22">
      <c r="C43" s="176" t="s">
        <v>197</v>
      </c>
      <c r="D43" s="176"/>
      <c r="E43" s="176"/>
      <c r="F43" s="182"/>
      <c r="G43" s="178">
        <f t="shared" ref="G43:M43" si="11">IFERROR(G17/G$7," NA")</f>
        <v>8.4079836555084081E-2</v>
      </c>
      <c r="H43" s="178">
        <f t="shared" si="11"/>
        <v>9.5394161859814725E-2</v>
      </c>
      <c r="I43" s="178">
        <f t="shared" si="11"/>
        <v>0.12291630616600334</v>
      </c>
      <c r="J43" s="178">
        <f t="shared" si="11"/>
        <v>1.3787564420052205E-2</v>
      </c>
      <c r="K43" s="178">
        <f t="shared" si="11"/>
        <v>3.5602335145083833E-2</v>
      </c>
      <c r="L43" s="178">
        <f t="shared" si="11"/>
        <v>7.7235954597200548E-2</v>
      </c>
      <c r="M43" s="178">
        <f t="shared" si="11"/>
        <v>8.115430239287974E-2</v>
      </c>
      <c r="N43" s="181"/>
      <c r="O43" s="181"/>
      <c r="P43" s="181"/>
      <c r="Q43" s="181"/>
      <c r="R43" s="178">
        <f>IFERROR(R17/R$7," NA")</f>
        <v>-1.3238833912810912E-2</v>
      </c>
      <c r="S43" s="178">
        <f>IFERROR(S17/S$7," NA")</f>
        <v>1.5943806444419669E-2</v>
      </c>
      <c r="T43" s="178">
        <f>IFERROR(T17/T$7," NA")</f>
        <v>4.1052296594887024E-2</v>
      </c>
      <c r="U43" s="178">
        <f>IFERROR(U17/U$7," NA")</f>
        <v>9.0684346555792786E-2</v>
      </c>
      <c r="V43" s="178">
        <f>IFERROR(V17/V$7," NA")</f>
        <v>7.2394608185271575E-2</v>
      </c>
    </row>
    <row r="44" spans="3:22">
      <c r="C44" s="176" t="s">
        <v>198</v>
      </c>
      <c r="D44" s="176"/>
      <c r="E44" s="176"/>
      <c r="F44" s="182"/>
      <c r="G44" s="178">
        <f t="shared" ref="G44:M44" si="12">IFERROR(G13/G$7," NA")</f>
        <v>-4.7596596394333312E-3</v>
      </c>
      <c r="H44" s="178">
        <f t="shared" si="12"/>
        <v>-1.2038979199440657E-2</v>
      </c>
      <c r="I44" s="178">
        <f t="shared" si="12"/>
        <v>-0.50031724058372262</v>
      </c>
      <c r="J44" s="178">
        <f t="shared" si="12"/>
        <v>9.771768957901078E-3</v>
      </c>
      <c r="K44" s="178">
        <f t="shared" si="12"/>
        <v>1.3717539470278664E-2</v>
      </c>
      <c r="L44" s="178">
        <f t="shared" ca="1" si="12"/>
        <v>-3.1648225613411476E-2</v>
      </c>
      <c r="M44" s="178">
        <f t="shared" ca="1" si="12"/>
        <v>-3.7870102351473908E-2</v>
      </c>
      <c r="N44" s="181"/>
      <c r="O44" s="181"/>
      <c r="P44" s="181"/>
      <c r="Q44" s="181"/>
      <c r="R44" s="178">
        <f>IFERROR(R13/R$7," NA")</f>
        <v>0.47726664883658731</v>
      </c>
      <c r="S44" s="178">
        <f>IFERROR(S13/S$7," NA")</f>
        <v>-0.20994536737651912</v>
      </c>
      <c r="T44" s="178">
        <f>IFERROR(T13/T$7," NA")</f>
        <v>-0.16834623952476929</v>
      </c>
      <c r="U44" s="178">
        <f>IFERROR(U13/U$7," NA")</f>
        <v>4.247668277334532E-2</v>
      </c>
      <c r="V44" s="178">
        <f ca="1">IFERROR(V13/V$7," NA")</f>
        <v>-2.642074571267837E-2</v>
      </c>
    </row>
    <row r="45" spans="3:22">
      <c r="C45" s="176" t="s">
        <v>199</v>
      </c>
      <c r="D45" s="176"/>
      <c r="E45" s="176"/>
      <c r="F45" s="182"/>
      <c r="G45" s="178">
        <f t="shared" ref="G45:M45" si="13">IFERROR(G13/G$23," NA")</f>
        <v>-8.9154295807224865E-3</v>
      </c>
      <c r="H45" s="178">
        <f t="shared" si="13"/>
        <v>-2.3303023895115245E-2</v>
      </c>
      <c r="I45" s="178">
        <f t="shared" si="13"/>
        <v>-0.27088473189469409</v>
      </c>
      <c r="J45" s="178">
        <f t="shared" si="13"/>
        <v>7.823594030490582E-3</v>
      </c>
      <c r="K45" s="178">
        <f t="shared" si="13"/>
        <v>1.285956919095247E-2</v>
      </c>
      <c r="L45" s="178">
        <f t="shared" ca="1" si="13"/>
        <v>-3.9465291162558716E-2</v>
      </c>
      <c r="M45" s="178">
        <f t="shared" ca="1" si="13"/>
        <v>-5.203045405112753E-2</v>
      </c>
      <c r="N45" s="170"/>
      <c r="O45" s="170"/>
      <c r="P45" s="170"/>
      <c r="Q45" s="170"/>
      <c r="R45" s="178">
        <f>IFERROR(SUM(O13:R13)/R$23," NA")</f>
        <v>-6.603079576875269E-2</v>
      </c>
      <c r="S45" s="178">
        <f>IFERROR(SUM(P13:S13)/S$23," NA")</f>
        <v>-3.4455445544554458E-2</v>
      </c>
      <c r="T45" s="178">
        <f>IFERROR(SUM(Q13:T13)/T$23," NA")</f>
        <v>7.823594030490582E-3</v>
      </c>
      <c r="U45" s="178">
        <f>IFERROR(SUM(R13:U13)/U$23," NA")</f>
        <v>1.285956919095247E-2</v>
      </c>
      <c r="V45" s="178">
        <f ca="1">IFERROR(SUM(S13:V13)/V$23," NA")</f>
        <v>-9.3056123622213216E-2</v>
      </c>
    </row>
    <row r="46" spans="3:22">
      <c r="C46" s="176" t="s">
        <v>200</v>
      </c>
      <c r="D46" s="185"/>
      <c r="E46" s="185"/>
      <c r="F46" s="186"/>
      <c r="G46" s="178">
        <f t="shared" ref="G46:M46" si="14">IFERROR(SUM(G18,G19)/G$23," NA")</f>
        <v>4.3021153118297656E-2</v>
      </c>
      <c r="H46" s="178">
        <f t="shared" si="14"/>
        <v>5.3922605201945445E-2</v>
      </c>
      <c r="I46" s="178">
        <f t="shared" si="14"/>
        <v>6.7455732175759654E-3</v>
      </c>
      <c r="J46" s="178">
        <f t="shared" si="14"/>
        <v>4.8227634434530988E-4</v>
      </c>
      <c r="K46" s="178">
        <f t="shared" si="14"/>
        <v>5.1222602647399776E-4</v>
      </c>
      <c r="L46" s="178">
        <f t="shared" ca="1" si="14"/>
        <v>3.7569900185214312E-4</v>
      </c>
      <c r="M46" s="178">
        <f t="shared" ca="1" si="14"/>
        <v>0</v>
      </c>
      <c r="N46" s="170"/>
      <c r="O46" s="170"/>
      <c r="P46" s="170"/>
      <c r="Q46" s="170"/>
      <c r="R46" s="178">
        <f>IFERROR(SUM(O18:R18,O19:R19)/R$23," NA")</f>
        <v>3.2977347099261817E-4</v>
      </c>
      <c r="S46" s="178">
        <f>IFERROR(SUM(P18:S18,P19:S19)/S$23," NA")</f>
        <v>3.4323432343234323E-4</v>
      </c>
      <c r="T46" s="178">
        <f>IFERROR(SUM(Q18:T18,Q19:T19)/T$23," NA")</f>
        <v>4.8227634434530988E-4</v>
      </c>
      <c r="U46" s="178">
        <f>IFERROR(SUM(R18:U18,R19:U19)/U$23," NA")</f>
        <v>5.1222602647399776E-4</v>
      </c>
      <c r="V46" s="178">
        <f ca="1">IFERROR(SUM(S18:V18,S19:V19)/V$23," NA")</f>
        <v>5.1545952848524614E-4</v>
      </c>
    </row>
    <row r="47" spans="3:22">
      <c r="C47" s="176" t="s">
        <v>201</v>
      </c>
      <c r="D47" s="176"/>
      <c r="E47" s="176"/>
      <c r="F47" s="182"/>
      <c r="G47" s="178">
        <f>IFERROR(G$10*(1-G$34)/AVERAGE(G27,F27)," NA")</f>
        <v>4.6170103957354103E-2</v>
      </c>
      <c r="H47" s="178">
        <f>IFERROR(H$10*(1-H$34)/AVERAGE(H27,G27)," NA")</f>
        <v>4.6183601815407184E-2</v>
      </c>
      <c r="I47" s="178">
        <f>IFERROR(I$10*(1-I$34)/AVERAGE(I27,H27)," NA")</f>
        <v>-0.22837780789110479</v>
      </c>
      <c r="J47" s="178">
        <f>IFERROR(J$10*(1-J$34)/AVERAGE(J27,I27)," NA")</f>
        <v>-0.10499362300954485</v>
      </c>
      <c r="K47" s="178">
        <f>IFERROR(K$10*(1-K$34)/AVERAGE(K27,Q27)," NA")</f>
        <v>-6.9018449154540529E-2</v>
      </c>
      <c r="L47" s="178">
        <f ca="1">IFERROR(L$10*(1-L$34)/AVERAGE(L27,J27)," NA")</f>
        <v>-2.8665464730168202E-2</v>
      </c>
      <c r="M47" s="178">
        <f ca="1">IFERROR(M$10*(1-M$34)/AVERAGE(M27,L27)," NA")</f>
        <v>3.4773192964699315E-2</v>
      </c>
      <c r="N47" s="170"/>
      <c r="O47" s="170"/>
      <c r="P47" s="170"/>
      <c r="Q47" s="170"/>
      <c r="R47" s="178">
        <f>IFERROR(SUM(O$10:R$10)*(1-R$34)/AVERAGE(R27,N27)," NA")</f>
        <v>-0.18136893468953824</v>
      </c>
      <c r="S47" s="178">
        <f>IFERROR(SUM(P$10:S$10)*(1-S$34)/AVERAGE(S27,O27)," NA")</f>
        <v>-0.13479587668900861</v>
      </c>
      <c r="T47" s="178">
        <f>IFERROR(SUM(Q$10:T$10)*(1-T$34)/AVERAGE(T27,P27)," NA")</f>
        <v>-0.10499362300954485</v>
      </c>
      <c r="U47" s="178">
        <f>IFERROR(SUM(R$10:U$10)*(1-U$34)/AVERAGE(U27,Q27)," NA")</f>
        <v>-6.9018449154540529E-2</v>
      </c>
      <c r="V47" s="178">
        <f ca="1">IFERROR(SUM(S$10:V$10)*(1-V$34)/AVERAGE(V27,R27)," NA")</f>
        <v>-5.1089851920124371E-2</v>
      </c>
    </row>
    <row r="48" spans="3:22">
      <c r="C48" s="185" t="s">
        <v>202</v>
      </c>
      <c r="D48" s="176"/>
      <c r="E48" s="176"/>
      <c r="F48" s="182"/>
      <c r="G48" s="178">
        <f>IFERROR(G$10*(1-G34)/AVERAGE(G25+G24,F25+F24)," NA")</f>
        <v>0.11243016357617923</v>
      </c>
      <c r="H48" s="178">
        <f>IFERROR(H$10*(1-H34)/AVERAGE(H25+H24,G25+G24)," NA")</f>
        <v>0.11954376774060198</v>
      </c>
      <c r="I48" s="178">
        <f>IFERROR(I$10*(1-I34)/AVERAGE(I25+I24,H25+H24)," NA")</f>
        <v>-0.57859410449660398</v>
      </c>
      <c r="J48" s="178">
        <f>IFERROR(J$10*(1-J34)/AVERAGE(J25+J24,I25+I24)," NA")</f>
        <v>-0.24691830453827487</v>
      </c>
      <c r="K48" s="178">
        <f>IFERROR(K$10*(1-K34)/AVERAGE(K25+K24,Q25+Q24)," NA")</f>
        <v>-0.16002249539827262</v>
      </c>
      <c r="L48" s="178">
        <f ca="1">IFERROR(L$10*(1-L34)/AVERAGE(L25+L24,J25+J24)," NA")</f>
        <v>-6.755121700463193E-2</v>
      </c>
      <c r="M48" s="178">
        <f ca="1">IFERROR(M$10*(1-M34)/AVERAGE(M25+M24,L25+L24)," NA")</f>
        <v>8.5550602528187678E-2</v>
      </c>
      <c r="N48" s="170"/>
      <c r="O48" s="170"/>
      <c r="P48" s="170"/>
      <c r="Q48" s="170"/>
      <c r="R48" s="178">
        <f>IFERROR(SUM(O$10:R$10)*(1-R$34)/AVERAGE(R25+R24,N25+N24)," NA")</f>
        <v>-0.42504524313133757</v>
      </c>
      <c r="S48" s="178">
        <f>IFERROR(SUM(P$10:S$10)*(1-S$34)/AVERAGE(S25+S24,O25+O24)," NA")</f>
        <v>-0.31266581187556031</v>
      </c>
      <c r="T48" s="178">
        <f>IFERROR(SUM(Q$10:T$10)*(1-T$34)/AVERAGE(T25+T24,P25+P24)," NA")</f>
        <v>-0.24691830453827487</v>
      </c>
      <c r="U48" s="178">
        <f>IFERROR(SUM(R$10:U$10)*(1-U$34)/AVERAGE(U25+U24,Q25+Q24)," NA")</f>
        <v>-0.16002249539827262</v>
      </c>
      <c r="V48" s="178">
        <f ca="1">IFERROR(SUM(S$10:V$10)*(1-V$34)/AVERAGE(V25+V24,R25+R24)," NA")</f>
        <v>-0.12219380073225103</v>
      </c>
    </row>
    <row r="49" spans="2:23">
      <c r="C49" s="176" t="s">
        <v>203</v>
      </c>
      <c r="D49" s="176"/>
      <c r="E49" s="176"/>
      <c r="F49" s="182"/>
      <c r="G49" s="330">
        <f t="shared" ref="G49:M49" si="15">IFERROR(IF(G11&lt;0,"NM ",G23/G11)," NA")</f>
        <v>4.4967851739788198</v>
      </c>
      <c r="H49" s="330">
        <f t="shared" si="15"/>
        <v>4.1577281519254443</v>
      </c>
      <c r="I49" s="330" t="str">
        <f t="shared" si="15"/>
        <v xml:space="preserve">NM </v>
      </c>
      <c r="J49" s="330" t="str">
        <f t="shared" si="15"/>
        <v xml:space="preserve">NM </v>
      </c>
      <c r="K49" s="330" t="str">
        <f t="shared" si="15"/>
        <v xml:space="preserve">NM </v>
      </c>
      <c r="L49" s="330">
        <f t="shared" ca="1" si="15"/>
        <v>114.49783957344746</v>
      </c>
      <c r="M49" s="330">
        <f t="shared" ca="1" si="15"/>
        <v>8.1734832111893585</v>
      </c>
      <c r="N49" s="170"/>
      <c r="O49" s="170"/>
      <c r="P49" s="170"/>
      <c r="Q49" s="170"/>
      <c r="R49" s="330" t="str">
        <f>IFERROR(IF(SUM(O$11:R$11)&lt;0,"NM ",R23/SUM(O$11:R$11))," NA")</f>
        <v xml:space="preserve">NM </v>
      </c>
      <c r="S49" s="330" t="str">
        <f t="shared" ref="S49:U50" si="16">IFERROR(IF(SUM(P$11:S$11)&lt;0,"NM ",S23/SUM(P$11:S$11))," NA")</f>
        <v xml:space="preserve">NM </v>
      </c>
      <c r="T49" s="330" t="str">
        <f t="shared" si="16"/>
        <v xml:space="preserve">NM </v>
      </c>
      <c r="U49" s="330" t="str">
        <f t="shared" si="16"/>
        <v xml:space="preserve">NM </v>
      </c>
      <c r="V49" s="1034" t="s">
        <v>1765</v>
      </c>
    </row>
    <row r="50" spans="2:23">
      <c r="C50" s="176" t="s">
        <v>204</v>
      </c>
      <c r="D50" s="176"/>
      <c r="E50" s="176"/>
      <c r="F50" s="187"/>
      <c r="G50" s="188">
        <f t="shared" ref="G50:M50" si="17">IFERROR(IF(G11&lt;0,"NM ",G24/G11)," NA")</f>
        <v>4.4447806354009076</v>
      </c>
      <c r="H50" s="188">
        <f t="shared" si="17"/>
        <v>4.1084930543344473</v>
      </c>
      <c r="I50" s="188" t="str">
        <f t="shared" si="17"/>
        <v xml:space="preserve">NM </v>
      </c>
      <c r="J50" s="188" t="str">
        <f t="shared" si="17"/>
        <v xml:space="preserve">NM </v>
      </c>
      <c r="K50" s="188" t="str">
        <f t="shared" si="17"/>
        <v xml:space="preserve">NM </v>
      </c>
      <c r="L50" s="188">
        <f t="shared" ca="1" si="17"/>
        <v>113.42242147239818</v>
      </c>
      <c r="M50" s="188">
        <f t="shared" ca="1" si="17"/>
        <v>8.0948420425330188</v>
      </c>
      <c r="N50" s="170"/>
      <c r="O50" s="170"/>
      <c r="P50" s="170"/>
      <c r="Q50" s="170"/>
      <c r="R50" s="188" t="str">
        <f>IFERROR(IF(SUM(O$11:R$11)&lt;0,"NM ",R24/SUM(O$11:R$11))," NA")</f>
        <v xml:space="preserve">NM </v>
      </c>
      <c r="S50" s="188" t="str">
        <f t="shared" si="16"/>
        <v xml:space="preserve">NM </v>
      </c>
      <c r="T50" s="188" t="str">
        <f t="shared" si="16"/>
        <v xml:space="preserve">NM </v>
      </c>
      <c r="U50" s="188" t="str">
        <f t="shared" si="16"/>
        <v xml:space="preserve">NM </v>
      </c>
      <c r="V50" s="1035" t="s">
        <v>1765</v>
      </c>
    </row>
    <row r="51" spans="2:23">
      <c r="C51" s="176" t="s">
        <v>205</v>
      </c>
      <c r="D51" s="176"/>
      <c r="E51" s="176"/>
      <c r="F51" s="188"/>
      <c r="G51" s="188">
        <f t="shared" ref="G51:M51" si="18">IFERROR(IF(G11&lt;0,"NM ",G11/G15)," NA")</f>
        <v>5.0075757575757578</v>
      </c>
      <c r="H51" s="188">
        <f t="shared" si="18"/>
        <v>5.193607305936073</v>
      </c>
      <c r="I51" s="188" t="str">
        <f t="shared" si="18"/>
        <v xml:space="preserve">NM </v>
      </c>
      <c r="J51" s="188" t="str">
        <f t="shared" si="18"/>
        <v xml:space="preserve">NM </v>
      </c>
      <c r="K51" s="188" t="str">
        <f t="shared" si="18"/>
        <v xml:space="preserve">NM </v>
      </c>
      <c r="L51" s="188">
        <f t="shared" ca="1" si="18"/>
        <v>0.18588519111081422</v>
      </c>
      <c r="M51" s="188">
        <f t="shared" ca="1" si="18"/>
        <v>2.6205464917631267</v>
      </c>
      <c r="N51" s="170"/>
      <c r="O51" s="170"/>
      <c r="P51" s="170"/>
      <c r="Q51" s="170"/>
      <c r="R51" s="188" t="str">
        <f>IFERROR(IF(SUM(O11:R11)&lt;0,"NM ",SUM(O11:R11)/SUM(O15:R15))," NA")</f>
        <v xml:space="preserve">NM </v>
      </c>
      <c r="S51" s="188" t="str">
        <f>IFERROR(IF(SUM(P11:S11)&lt;0,"NM ",SUM(P11:S11)/SUM(P15:S15))," NA")</f>
        <v xml:space="preserve">NM </v>
      </c>
      <c r="T51" s="188" t="str">
        <f>IFERROR(IF(SUM(Q11:T11)&lt;0,"NM ",SUM(Q11:T11)/SUM(Q15:T15))," NA")</f>
        <v xml:space="preserve">NM </v>
      </c>
      <c r="U51" s="188" t="str">
        <f>IFERROR(IF(SUM(R11:U11)&lt;0,"NM ",SUM(R11:U11)/SUM(R15:U15))," NA")</f>
        <v xml:space="preserve">NM </v>
      </c>
      <c r="V51" s="188" t="str">
        <f>IFERROR(IF(SUM(S11:V11)&lt;0,"NM ",SUM(S11:V11)/SUM(S15:V15))," NA")</f>
        <v xml:space="preserve">NM </v>
      </c>
    </row>
    <row r="52" spans="2:23">
      <c r="C52" s="176" t="s">
        <v>206</v>
      </c>
      <c r="D52" s="176"/>
      <c r="E52" s="176"/>
      <c r="F52" s="182"/>
      <c r="G52" s="188">
        <f t="shared" ref="G52:M52" si="19">IFERROR(IF(G10&lt;0,"NM ",G10/G15)," NA")</f>
        <v>3.2660984848484849</v>
      </c>
      <c r="H52" s="188">
        <f t="shared" si="19"/>
        <v>3.3844748858447486</v>
      </c>
      <c r="I52" s="188" t="str">
        <f t="shared" si="19"/>
        <v xml:space="preserve">NM </v>
      </c>
      <c r="J52" s="188" t="str">
        <f t="shared" si="19"/>
        <v xml:space="preserve">NM </v>
      </c>
      <c r="K52" s="188" t="str">
        <f t="shared" si="19"/>
        <v xml:space="preserve">NM </v>
      </c>
      <c r="L52" s="188" t="str">
        <f t="shared" si="19"/>
        <v xml:space="preserve">NM </v>
      </c>
      <c r="M52" s="188">
        <f t="shared" ca="1" si="19"/>
        <v>1.3653007982236314</v>
      </c>
      <c r="N52" s="170"/>
      <c r="O52" s="170"/>
      <c r="P52" s="170"/>
      <c r="Q52" s="170"/>
      <c r="R52" s="188" t="str">
        <f>IFERROR(IF(SUM(O10:R10)&lt;0,"NM ",SUM(O10:R10)/SUM(O15:R15))," NA")</f>
        <v xml:space="preserve">NM </v>
      </c>
      <c r="S52" s="188" t="str">
        <f>IFERROR(IF(SUM(P10:S10)&lt;0,"NM ",SUM(P10:S10)/SUM(P15:S15))," NA")</f>
        <v xml:space="preserve">NM </v>
      </c>
      <c r="T52" s="188" t="str">
        <f>IFERROR(IF(SUM(Q10:T10)&lt;0,"NM ",SUM(Q10:T10)/SUM(Q15:T15))," NA")</f>
        <v xml:space="preserve">NM </v>
      </c>
      <c r="U52" s="188" t="str">
        <f>IFERROR(IF(SUM(R10:U10)&lt;0,"NM ",SUM(R10:U10)/SUM(R15:U15))," NA")</f>
        <v xml:space="preserve">NM </v>
      </c>
      <c r="V52" s="188" t="str">
        <f>IFERROR(IF(SUM(S10:V10)&lt;0,"NM ",SUM(S10:V10)/SUM(S15:V15))," NA")</f>
        <v xml:space="preserve">NM </v>
      </c>
    </row>
    <row r="53" spans="2:23">
      <c r="C53" s="176" t="s">
        <v>207</v>
      </c>
      <c r="D53" s="176"/>
      <c r="E53" s="176"/>
      <c r="F53" s="182"/>
      <c r="G53" s="188">
        <f t="shared" ref="G53:M53" si="20">IFERROR(IF(G11&lt;0,"NM ",G11/G21)," NA")</f>
        <v>0.56028819665183305</v>
      </c>
      <c r="H53" s="188">
        <f t="shared" si="20"/>
        <v>0.48828024383961532</v>
      </c>
      <c r="I53" s="188" t="str">
        <f t="shared" si="20"/>
        <v xml:space="preserve">NM </v>
      </c>
      <c r="J53" s="188" t="str">
        <f t="shared" si="20"/>
        <v xml:space="preserve">NM </v>
      </c>
      <c r="K53" s="188" t="str">
        <f t="shared" si="20"/>
        <v xml:space="preserve">NM </v>
      </c>
      <c r="L53" s="188">
        <f t="shared" ca="1" si="20"/>
        <v>5.5589313219437844E-2</v>
      </c>
      <c r="M53" s="188">
        <f t="shared" ca="1" si="20"/>
        <v>0.66093600205488479</v>
      </c>
      <c r="N53" s="170"/>
      <c r="O53" s="170"/>
      <c r="P53" s="170"/>
      <c r="Q53" s="170"/>
      <c r="R53" s="188" t="str">
        <f>IFERROR(IF(SUM(O11:R11)&lt;0,"NM ",SUM(O11:R11)/SUM(O21:R21))," NA")</f>
        <v xml:space="preserve">NM </v>
      </c>
      <c r="S53" s="188" t="str">
        <f>IFERROR(IF(SUM(P11:S11)&lt;0,"NM ",SUM(P11:S11)/SUM(P21:S21))," NA")</f>
        <v xml:space="preserve">NM </v>
      </c>
      <c r="T53" s="188" t="str">
        <f>IFERROR(IF(SUM(Q11:T11)&lt;0,"NM ",SUM(Q11:T11)/SUM(Q21:T21))," NA")</f>
        <v xml:space="preserve">NM </v>
      </c>
      <c r="U53" s="188" t="str">
        <f>IFERROR(IF(SUM(R11:U11)&lt;0,"NM ",SUM(R11:U11)/SUM(R21:U21))," NA")</f>
        <v xml:space="preserve">NM </v>
      </c>
      <c r="V53" s="188" t="str">
        <f>IFERROR(IF(SUM(S11:V11)&lt;0,"NM ",SUM(S11:V11)/SUM(S21:V21))," NA")</f>
        <v xml:space="preserve">NM </v>
      </c>
    </row>
    <row r="54" spans="2:23">
      <c r="C54" s="176" t="s">
        <v>208</v>
      </c>
      <c r="F54" s="170"/>
      <c r="G54" s="188">
        <f t="shared" ref="G54:M54" si="21">IFERROR(G23/(G23+G25)," NA")</f>
        <v>1.007157983905125</v>
      </c>
      <c r="H54" s="188">
        <f t="shared" si="21"/>
        <v>1.0050155140901942</v>
      </c>
      <c r="I54" s="188">
        <f t="shared" si="21"/>
        <v>1.2729983302854417</v>
      </c>
      <c r="J54" s="188">
        <f t="shared" si="21"/>
        <v>1.2448053897208418</v>
      </c>
      <c r="K54" s="188">
        <f t="shared" si="21"/>
        <v>1.3175505274748696</v>
      </c>
      <c r="L54" s="188">
        <f t="shared" ca="1" si="21"/>
        <v>1.3639883805217501</v>
      </c>
      <c r="M54" s="188">
        <f t="shared" ca="1" si="21"/>
        <v>1.3185768270261675</v>
      </c>
      <c r="N54" s="189"/>
      <c r="O54" s="189"/>
      <c r="P54" s="189"/>
      <c r="Q54" s="189"/>
      <c r="R54" s="188">
        <f>IFERROR(R23/(R23+R25)," NA")</f>
        <v>1.2414498960760849</v>
      </c>
      <c r="S54" s="188">
        <f>IFERROR(S23/(S23+S25)," NA")</f>
        <v>1.2443327419672778</v>
      </c>
      <c r="T54" s="188">
        <f>IFERROR(T23/(T23+T25)," NA")</f>
        <v>1.2448053897208418</v>
      </c>
      <c r="U54" s="188">
        <f>IFERROR(U23/(U23+U25)," NA")</f>
        <v>1.3175505274748696</v>
      </c>
      <c r="V54" s="188">
        <f ca="1">IFERROR(V23/(V23+V25)," NA")</f>
        <v>1.3421214720773018</v>
      </c>
    </row>
    <row r="55" spans="2:23">
      <c r="C55" s="176" t="s">
        <v>209</v>
      </c>
      <c r="F55" s="170"/>
      <c r="G55" s="188">
        <f t="shared" ref="G55:M55" si="22">IFERROR(G24/G32," NA")</f>
        <v>0.62969511868402717</v>
      </c>
      <c r="H55" s="188">
        <f t="shared" si="22"/>
        <v>0.60537361384599442</v>
      </c>
      <c r="I55" s="188">
        <f t="shared" si="22"/>
        <v>0.9169239647958447</v>
      </c>
      <c r="J55" s="188">
        <f t="shared" si="22"/>
        <v>1.1283003928495294</v>
      </c>
      <c r="K55" s="188">
        <f t="shared" si="22"/>
        <v>1.0994101266580831</v>
      </c>
      <c r="L55" s="188">
        <f t="shared" ca="1" si="22"/>
        <v>1.0572372418578861</v>
      </c>
      <c r="M55" s="188">
        <f t="shared" ca="1" si="22"/>
        <v>0.98006892886008101</v>
      </c>
      <c r="N55" s="170"/>
      <c r="O55" s="170"/>
      <c r="P55" s="170"/>
      <c r="Q55" s="170"/>
      <c r="R55" s="188">
        <f>IFERROR(R24/R32," NA")</f>
        <v>1.1760671419546973</v>
      </c>
      <c r="S55" s="188">
        <f>IFERROR(S24/S32," NA")</f>
        <v>1.1395391146149181</v>
      </c>
      <c r="T55" s="188">
        <f>IFERROR(T24/T32," NA")</f>
        <v>1.1283003928495294</v>
      </c>
      <c r="U55" s="188">
        <f>IFERROR(U24/U32," NA")</f>
        <v>1.0994101266580831</v>
      </c>
      <c r="V55" s="188">
        <f ca="1">IFERROR(V24/V32," NA")</f>
        <v>1.0699205573217889</v>
      </c>
    </row>
    <row r="58" spans="2:23">
      <c r="B58" s="190" t="s">
        <v>133</v>
      </c>
      <c r="C58" s="191" t="s">
        <v>210</v>
      </c>
      <c r="D58" s="191" t="s">
        <v>211</v>
      </c>
      <c r="E58" s="191" t="s">
        <v>212</v>
      </c>
      <c r="F58" s="191" t="s">
        <v>213</v>
      </c>
      <c r="G58" s="191" t="s">
        <v>214</v>
      </c>
      <c r="H58" s="191" t="s">
        <v>215</v>
      </c>
      <c r="I58" s="191" t="s">
        <v>216</v>
      </c>
      <c r="J58" s="191" t="s">
        <v>217</v>
      </c>
      <c r="K58" s="191"/>
      <c r="L58" s="191"/>
      <c r="M58" s="191"/>
      <c r="N58" s="191"/>
      <c r="O58" s="191"/>
      <c r="P58" s="191"/>
      <c r="Q58" s="191"/>
      <c r="R58" s="191"/>
      <c r="S58" s="191"/>
      <c r="T58" s="191"/>
      <c r="U58" s="191"/>
      <c r="V58" s="191"/>
      <c r="W58" s="191"/>
    </row>
    <row r="59" spans="2:23">
      <c r="C59" s="166"/>
      <c r="D59" s="166"/>
      <c r="E59" s="166"/>
      <c r="F59" s="166"/>
      <c r="G59" s="166"/>
      <c r="H59" s="166"/>
      <c r="I59" s="166"/>
      <c r="J59" s="166"/>
      <c r="K59" s="166"/>
      <c r="L59" s="166"/>
      <c r="M59" s="166"/>
      <c r="N59" s="166"/>
      <c r="O59" s="166"/>
      <c r="P59" s="166"/>
      <c r="Q59" s="166"/>
      <c r="R59" s="166"/>
      <c r="S59" s="166"/>
      <c r="T59" s="166"/>
      <c r="U59" s="166"/>
      <c r="V59" s="166"/>
      <c r="W59" s="166"/>
    </row>
    <row r="60" spans="2:23">
      <c r="C60" s="192" t="str">
        <f ca="1">IF(BBswitch=1,_xll.BDS('AAL One Pager'!$D$3&amp;" EQUITY","TOP_20_HOLDERS_PUBLIC_FILINGS","cols=10;rows=20"),C60)</f>
        <v>VANGUARD GROUP</v>
      </c>
      <c r="D60" s="167" t="s">
        <v>218</v>
      </c>
      <c r="E60" s="167" t="s">
        <v>1925</v>
      </c>
      <c r="F60" s="167">
        <v>69272683</v>
      </c>
      <c r="G60" s="167">
        <v>10.67</v>
      </c>
      <c r="H60" s="167">
        <v>1126106</v>
      </c>
      <c r="I60" s="193">
        <v>44651</v>
      </c>
      <c r="J60" s="167" t="s">
        <v>1926</v>
      </c>
      <c r="K60" s="167" t="s">
        <v>219</v>
      </c>
      <c r="L60" s="167" t="s">
        <v>1927</v>
      </c>
    </row>
    <row r="61" spans="2:23">
      <c r="C61" s="167" t="s">
        <v>1928</v>
      </c>
      <c r="D61" s="167" t="s">
        <v>1928</v>
      </c>
      <c r="E61" s="167" t="s">
        <v>1929</v>
      </c>
      <c r="F61" s="167">
        <v>40081381</v>
      </c>
      <c r="G61" s="167">
        <v>6.17</v>
      </c>
      <c r="H61" s="167">
        <v>-815670</v>
      </c>
      <c r="I61" s="193">
        <v>44651</v>
      </c>
      <c r="J61" s="167" t="s">
        <v>1926</v>
      </c>
      <c r="K61" s="167" t="s">
        <v>219</v>
      </c>
      <c r="L61" s="167" t="s">
        <v>222</v>
      </c>
    </row>
    <row r="62" spans="2:23">
      <c r="C62" s="167" t="s">
        <v>1930</v>
      </c>
      <c r="D62" s="167" t="s">
        <v>218</v>
      </c>
      <c r="E62" s="167" t="s">
        <v>1925</v>
      </c>
      <c r="F62" s="167">
        <v>34759883</v>
      </c>
      <c r="G62" s="167">
        <v>5.35</v>
      </c>
      <c r="H62" s="167">
        <v>-937475</v>
      </c>
      <c r="I62" s="193">
        <v>44712</v>
      </c>
      <c r="J62" s="167" t="s">
        <v>1926</v>
      </c>
      <c r="K62" s="167" t="s">
        <v>219</v>
      </c>
      <c r="L62" s="167" t="s">
        <v>220</v>
      </c>
    </row>
    <row r="63" spans="2:23">
      <c r="C63" s="194" t="s">
        <v>1931</v>
      </c>
      <c r="D63" s="195" t="s">
        <v>218</v>
      </c>
      <c r="E63" s="167" t="s">
        <v>1925</v>
      </c>
      <c r="F63" s="167">
        <v>21723473</v>
      </c>
      <c r="G63" s="167">
        <v>3.34</v>
      </c>
      <c r="H63" s="167">
        <v>-49578</v>
      </c>
      <c r="I63" s="193">
        <v>44651</v>
      </c>
      <c r="J63" s="167" t="s">
        <v>1926</v>
      </c>
      <c r="K63" s="167" t="s">
        <v>219</v>
      </c>
      <c r="L63" s="167" t="s">
        <v>1932</v>
      </c>
    </row>
    <row r="64" spans="2:23">
      <c r="C64" s="167" t="s">
        <v>1933</v>
      </c>
      <c r="D64" s="167" t="s">
        <v>1933</v>
      </c>
      <c r="E64" s="167" t="s">
        <v>1929</v>
      </c>
      <c r="F64" s="167">
        <v>20750111</v>
      </c>
      <c r="G64" s="167">
        <v>3.19</v>
      </c>
      <c r="H64" s="167">
        <v>2822450</v>
      </c>
      <c r="I64" s="193">
        <v>44651</v>
      </c>
      <c r="J64" s="167" t="s">
        <v>1926</v>
      </c>
      <c r="K64" s="167" t="s">
        <v>219</v>
      </c>
      <c r="L64" s="167" t="s">
        <v>1934</v>
      </c>
    </row>
    <row r="65" spans="3:20">
      <c r="C65" s="167" t="s">
        <v>1935</v>
      </c>
      <c r="D65" s="167" t="s">
        <v>218</v>
      </c>
      <c r="E65" s="167" t="s">
        <v>1925</v>
      </c>
      <c r="F65" s="167">
        <v>13969625</v>
      </c>
      <c r="G65" s="167">
        <v>2.15</v>
      </c>
      <c r="H65" s="167">
        <v>5206828</v>
      </c>
      <c r="I65" s="193">
        <v>44651</v>
      </c>
      <c r="J65" s="167" t="s">
        <v>1936</v>
      </c>
      <c r="K65" s="193" t="s">
        <v>219</v>
      </c>
      <c r="L65" s="167" t="s">
        <v>220</v>
      </c>
    </row>
    <row r="66" spans="3:20">
      <c r="C66" s="167" t="s">
        <v>1937</v>
      </c>
      <c r="D66" s="167" t="s">
        <v>1937</v>
      </c>
      <c r="E66" s="167" t="s">
        <v>1929</v>
      </c>
      <c r="F66" s="167">
        <v>12745105</v>
      </c>
      <c r="G66" s="167">
        <v>1.96</v>
      </c>
      <c r="H66" s="167">
        <v>575193</v>
      </c>
      <c r="I66" s="193">
        <v>44651</v>
      </c>
      <c r="J66" s="167" t="s">
        <v>1926</v>
      </c>
      <c r="K66" s="167" t="s">
        <v>219</v>
      </c>
      <c r="L66" s="167" t="s">
        <v>1932</v>
      </c>
      <c r="N66" s="167" t="s">
        <v>108</v>
      </c>
      <c r="S66" s="193" t="s">
        <v>219</v>
      </c>
    </row>
    <row r="67" spans="3:20">
      <c r="C67" s="194" t="s">
        <v>1938</v>
      </c>
      <c r="D67" s="195" t="s">
        <v>218</v>
      </c>
      <c r="E67" s="167" t="s">
        <v>1925</v>
      </c>
      <c r="F67" s="167">
        <v>10171989</v>
      </c>
      <c r="G67" s="167">
        <v>1.57</v>
      </c>
      <c r="H67" s="167">
        <v>2505963</v>
      </c>
      <c r="I67" s="193">
        <v>44651</v>
      </c>
      <c r="J67" s="167" t="s">
        <v>1939</v>
      </c>
      <c r="K67" s="167" t="s">
        <v>219</v>
      </c>
      <c r="L67" s="167" t="s">
        <v>1927</v>
      </c>
      <c r="N67" s="194"/>
      <c r="O67" s="195"/>
      <c r="T67" s="193" t="s">
        <v>219</v>
      </c>
    </row>
    <row r="68" spans="3:20">
      <c r="C68" s="194" t="s">
        <v>1940</v>
      </c>
      <c r="D68" s="195" t="s">
        <v>218</v>
      </c>
      <c r="E68" s="167" t="s">
        <v>1925</v>
      </c>
      <c r="F68" s="167">
        <v>8239211</v>
      </c>
      <c r="G68" s="167">
        <v>1.27</v>
      </c>
      <c r="H68" s="167">
        <v>974737</v>
      </c>
      <c r="I68" s="193">
        <v>44651</v>
      </c>
      <c r="J68" s="167" t="s">
        <v>1926</v>
      </c>
      <c r="K68" s="167" t="s">
        <v>1941</v>
      </c>
      <c r="L68" s="167" t="s">
        <v>1942</v>
      </c>
      <c r="N68" s="194"/>
      <c r="O68" s="195"/>
      <c r="T68" s="193" t="s">
        <v>219</v>
      </c>
    </row>
    <row r="69" spans="3:20" s="194" customFormat="1">
      <c r="C69" s="194" t="s">
        <v>1943</v>
      </c>
      <c r="D69" s="195" t="s">
        <v>218</v>
      </c>
      <c r="E69" s="167" t="s">
        <v>1925</v>
      </c>
      <c r="F69" s="167">
        <v>7247250</v>
      </c>
      <c r="G69" s="167">
        <v>1.1200000000000001</v>
      </c>
      <c r="H69" s="167">
        <v>1382569</v>
      </c>
      <c r="I69" s="193">
        <v>44651</v>
      </c>
      <c r="J69" s="167" t="s">
        <v>1926</v>
      </c>
      <c r="K69" s="167" t="s">
        <v>219</v>
      </c>
      <c r="L69" s="167" t="s">
        <v>1944</v>
      </c>
      <c r="M69" s="167"/>
      <c r="N69" s="194" t="s">
        <v>122</v>
      </c>
      <c r="O69" s="195" t="s">
        <v>123</v>
      </c>
      <c r="P69" s="167" t="s">
        <v>124</v>
      </c>
      <c r="Q69" s="167"/>
      <c r="R69" s="167" t="s">
        <v>125</v>
      </c>
      <c r="S69" s="167" t="s">
        <v>219</v>
      </c>
      <c r="T69" s="193"/>
    </row>
    <row r="70" spans="3:20">
      <c r="C70" s="194" t="s">
        <v>1945</v>
      </c>
      <c r="D70" s="195" t="s">
        <v>218</v>
      </c>
      <c r="E70" s="167" t="s">
        <v>1925</v>
      </c>
      <c r="F70" s="167">
        <v>6719251</v>
      </c>
      <c r="G70" s="167">
        <v>1.03</v>
      </c>
      <c r="H70" s="167">
        <v>1414753</v>
      </c>
      <c r="I70" s="193">
        <v>44651</v>
      </c>
      <c r="J70" s="167" t="s">
        <v>1926</v>
      </c>
      <c r="K70" s="167" t="s">
        <v>219</v>
      </c>
      <c r="L70" s="167" t="s">
        <v>220</v>
      </c>
      <c r="N70" s="194" t="s">
        <v>220</v>
      </c>
      <c r="O70" s="195"/>
      <c r="S70" s="167" t="s">
        <v>219</v>
      </c>
      <c r="T70" s="193"/>
    </row>
    <row r="71" spans="3:20">
      <c r="C71" s="194" t="s">
        <v>1946</v>
      </c>
      <c r="D71" s="195" t="s">
        <v>218</v>
      </c>
      <c r="E71" s="167" t="s">
        <v>1925</v>
      </c>
      <c r="F71" s="167">
        <v>5594667</v>
      </c>
      <c r="G71" s="167">
        <v>0.86</v>
      </c>
      <c r="H71" s="167">
        <v>1303268</v>
      </c>
      <c r="I71" s="193">
        <v>44651</v>
      </c>
      <c r="J71" s="167" t="s">
        <v>1926</v>
      </c>
      <c r="K71" s="167" t="s">
        <v>219</v>
      </c>
      <c r="L71" s="167" t="s">
        <v>220</v>
      </c>
      <c r="N71" s="194" t="s">
        <v>222</v>
      </c>
      <c r="O71" s="195"/>
      <c r="S71" s="167" t="s">
        <v>219</v>
      </c>
      <c r="T71" s="193"/>
    </row>
    <row r="72" spans="3:20">
      <c r="C72" s="194" t="s">
        <v>1947</v>
      </c>
      <c r="D72" s="195" t="s">
        <v>1947</v>
      </c>
      <c r="E72" s="167" t="s">
        <v>1929</v>
      </c>
      <c r="F72" s="167">
        <v>5013679</v>
      </c>
      <c r="G72" s="167">
        <v>0.77</v>
      </c>
      <c r="H72" s="167">
        <v>-18108</v>
      </c>
      <c r="I72" s="193">
        <v>44651</v>
      </c>
      <c r="J72" s="167" t="s">
        <v>1948</v>
      </c>
      <c r="K72" s="167" t="s">
        <v>219</v>
      </c>
      <c r="L72" s="167" t="s">
        <v>1949</v>
      </c>
      <c r="N72" s="194" t="s">
        <v>223</v>
      </c>
      <c r="O72" s="195"/>
      <c r="S72" s="167" t="s">
        <v>224</v>
      </c>
      <c r="T72" s="193"/>
    </row>
    <row r="73" spans="3:20">
      <c r="C73" s="194" t="s">
        <v>1950</v>
      </c>
      <c r="D73" s="195" t="s">
        <v>1950</v>
      </c>
      <c r="E73" s="167" t="s">
        <v>1929</v>
      </c>
      <c r="F73" s="167">
        <v>4887680</v>
      </c>
      <c r="G73" s="167">
        <v>0.75</v>
      </c>
      <c r="H73" s="167">
        <v>2538066</v>
      </c>
      <c r="I73" s="193">
        <v>44651</v>
      </c>
      <c r="J73" s="167" t="s">
        <v>1926</v>
      </c>
      <c r="K73" s="167" t="s">
        <v>219</v>
      </c>
      <c r="L73" s="167" t="s">
        <v>220</v>
      </c>
      <c r="N73" s="194" t="s">
        <v>225</v>
      </c>
      <c r="O73" s="195"/>
      <c r="S73" s="167" t="s">
        <v>219</v>
      </c>
      <c r="T73" s="193"/>
    </row>
    <row r="74" spans="3:20">
      <c r="C74" s="194" t="s">
        <v>1951</v>
      </c>
      <c r="D74" s="195" t="s">
        <v>218</v>
      </c>
      <c r="E74" s="167" t="s">
        <v>1925</v>
      </c>
      <c r="F74" s="167">
        <v>4857833</v>
      </c>
      <c r="G74" s="167">
        <v>0.75</v>
      </c>
      <c r="H74" s="167">
        <v>128278</v>
      </c>
      <c r="I74" s="193">
        <v>44651</v>
      </c>
      <c r="J74" s="167" t="s">
        <v>1952</v>
      </c>
      <c r="K74" s="167" t="s">
        <v>219</v>
      </c>
      <c r="L74" s="167" t="s">
        <v>1953</v>
      </c>
      <c r="N74" s="194" t="s">
        <v>222</v>
      </c>
      <c r="O74" s="195"/>
      <c r="S74" s="167" t="s">
        <v>219</v>
      </c>
      <c r="T74" s="193"/>
    </row>
    <row r="75" spans="3:20">
      <c r="C75" s="194" t="s">
        <v>1954</v>
      </c>
      <c r="D75" s="195" t="s">
        <v>218</v>
      </c>
      <c r="E75" s="167" t="s">
        <v>1925</v>
      </c>
      <c r="F75" s="167">
        <v>4591744</v>
      </c>
      <c r="G75" s="167">
        <v>0.71</v>
      </c>
      <c r="H75" s="167">
        <v>616276</v>
      </c>
      <c r="I75" s="193">
        <v>44651</v>
      </c>
      <c r="J75" s="167" t="s">
        <v>1952</v>
      </c>
      <c r="K75" s="167" t="s">
        <v>219</v>
      </c>
      <c r="L75" s="167" t="s">
        <v>220</v>
      </c>
      <c r="N75" s="194" t="s">
        <v>221</v>
      </c>
      <c r="O75" s="195"/>
      <c r="S75" s="167" t="s">
        <v>218</v>
      </c>
      <c r="T75" s="193"/>
    </row>
    <row r="76" spans="3:20">
      <c r="C76" s="194" t="s">
        <v>1955</v>
      </c>
      <c r="D76" s="195" t="s">
        <v>218</v>
      </c>
      <c r="E76" s="167" t="s">
        <v>1925</v>
      </c>
      <c r="F76" s="167">
        <v>4217363</v>
      </c>
      <c r="G76" s="167">
        <v>0.65</v>
      </c>
      <c r="H76" s="167">
        <v>-14756</v>
      </c>
      <c r="I76" s="193">
        <v>44651</v>
      </c>
      <c r="J76" s="167" t="s">
        <v>1926</v>
      </c>
      <c r="K76" s="167" t="s">
        <v>219</v>
      </c>
      <c r="L76" s="167" t="s">
        <v>220</v>
      </c>
      <c r="N76" s="194" t="s">
        <v>220</v>
      </c>
      <c r="O76" s="195"/>
      <c r="S76" s="167" t="s">
        <v>219</v>
      </c>
      <c r="T76" s="193"/>
    </row>
    <row r="77" spans="3:20">
      <c r="C77" s="194" t="s">
        <v>1956</v>
      </c>
      <c r="D77" s="195" t="s">
        <v>1957</v>
      </c>
      <c r="E77" s="167" t="s">
        <v>1929</v>
      </c>
      <c r="F77" s="167">
        <v>3953748</v>
      </c>
      <c r="G77" s="167">
        <v>0.61</v>
      </c>
      <c r="H77" s="167">
        <v>2826947</v>
      </c>
      <c r="I77" s="193">
        <v>44651</v>
      </c>
      <c r="J77" s="167" t="s">
        <v>1936</v>
      </c>
      <c r="K77" s="167" t="s">
        <v>219</v>
      </c>
      <c r="L77" s="167" t="s">
        <v>220</v>
      </c>
      <c r="N77" s="194" t="s">
        <v>226</v>
      </c>
      <c r="O77" s="195"/>
      <c r="S77" s="167" t="s">
        <v>227</v>
      </c>
      <c r="T77" s="193"/>
    </row>
    <row r="78" spans="3:20">
      <c r="C78" s="194" t="s">
        <v>1958</v>
      </c>
      <c r="D78" s="195" t="s">
        <v>218</v>
      </c>
      <c r="E78" s="167" t="s">
        <v>1925</v>
      </c>
      <c r="F78" s="167">
        <v>3872607</v>
      </c>
      <c r="G78" s="167">
        <v>0.6</v>
      </c>
      <c r="H78" s="167">
        <v>1012345</v>
      </c>
      <c r="I78" s="193">
        <v>44651</v>
      </c>
      <c r="J78" s="167" t="s">
        <v>1926</v>
      </c>
      <c r="K78" s="167" t="s">
        <v>1959</v>
      </c>
      <c r="L78" s="167" t="s">
        <v>1960</v>
      </c>
      <c r="N78" s="194" t="s">
        <v>220</v>
      </c>
      <c r="O78" s="195"/>
      <c r="S78" s="167" t="s">
        <v>219</v>
      </c>
      <c r="T78" s="193"/>
    </row>
    <row r="79" spans="3:20">
      <c r="C79" s="194" t="s">
        <v>1961</v>
      </c>
      <c r="D79" s="195" t="s">
        <v>1961</v>
      </c>
      <c r="E79" s="167" t="s">
        <v>1929</v>
      </c>
      <c r="F79" s="167">
        <v>3743276</v>
      </c>
      <c r="G79" s="167">
        <v>0.57999999999999996</v>
      </c>
      <c r="H79" s="167">
        <v>-1620780</v>
      </c>
      <c r="I79" s="193">
        <v>44651</v>
      </c>
      <c r="J79" s="167" t="s">
        <v>1952</v>
      </c>
      <c r="K79" s="167" t="s">
        <v>219</v>
      </c>
      <c r="L79" s="167" t="s">
        <v>220</v>
      </c>
      <c r="N79" s="194" t="s">
        <v>228</v>
      </c>
      <c r="O79" s="195"/>
      <c r="S79" s="167" t="s">
        <v>219</v>
      </c>
      <c r="T79" s="193"/>
    </row>
    <row r="80" spans="3:20">
      <c r="E80" s="196"/>
      <c r="F80" s="196"/>
      <c r="G80" s="196"/>
      <c r="H80" s="196"/>
      <c r="I80" s="196"/>
      <c r="J80" s="196"/>
      <c r="K80" s="193"/>
      <c r="L80" s="193"/>
      <c r="M80" s="193"/>
      <c r="N80" s="193"/>
    </row>
    <row r="81" spans="2:23">
      <c r="B81" s="190" t="s">
        <v>133</v>
      </c>
      <c r="C81" s="191" t="s">
        <v>229</v>
      </c>
      <c r="D81" s="191"/>
      <c r="E81" s="197"/>
      <c r="F81" s="197"/>
      <c r="G81" s="197"/>
      <c r="H81" s="197"/>
      <c r="I81" s="197"/>
      <c r="J81" s="197"/>
      <c r="K81" s="191"/>
      <c r="L81" s="191"/>
      <c r="M81" s="191"/>
      <c r="N81" s="191"/>
      <c r="O81" s="191"/>
      <c r="P81" s="191"/>
      <c r="Q81" s="191"/>
      <c r="R81" s="191"/>
      <c r="S81" s="191"/>
      <c r="V81" s="191"/>
      <c r="W81" s="191"/>
    </row>
    <row r="82" spans="2:23">
      <c r="E82" s="196"/>
      <c r="F82" s="196"/>
      <c r="G82" s="196"/>
      <c r="H82" s="196"/>
      <c r="I82" s="196"/>
      <c r="J82" s="196"/>
      <c r="K82" s="193"/>
      <c r="L82" s="193"/>
      <c r="M82" s="193"/>
      <c r="N82" s="193"/>
    </row>
    <row r="83" spans="2:23">
      <c r="C83" s="192" t="str">
        <f ca="1">IF(BBswitch=1,_xll.BDS('AAL One Pager'!$D$3&amp;" EQUITY","BLOOMBERG_PEERS","cols=1;rows=7"),C83)</f>
        <v>UAL US</v>
      </c>
      <c r="E83" s="196"/>
      <c r="F83" s="196"/>
      <c r="G83" s="196"/>
      <c r="H83" s="196"/>
      <c r="I83" s="196"/>
      <c r="J83" s="196"/>
      <c r="L83" s="193"/>
      <c r="M83" s="193"/>
    </row>
    <row r="84" spans="2:23">
      <c r="C84" s="167" t="s">
        <v>1049</v>
      </c>
      <c r="E84" s="196"/>
      <c r="F84" s="198"/>
      <c r="G84" s="196"/>
      <c r="H84" s="196"/>
      <c r="I84" s="196"/>
      <c r="J84" s="196"/>
      <c r="K84" s="193"/>
      <c r="L84" s="193"/>
      <c r="M84" s="193"/>
      <c r="N84" s="193"/>
    </row>
    <row r="85" spans="2:23">
      <c r="C85" s="167" t="s">
        <v>1880</v>
      </c>
      <c r="E85" s="196"/>
      <c r="F85" s="196"/>
      <c r="G85" s="196"/>
      <c r="H85" s="196"/>
      <c r="I85" s="196"/>
      <c r="J85" s="196"/>
      <c r="K85" s="193"/>
      <c r="N85" s="193"/>
    </row>
    <row r="86" spans="2:23">
      <c r="C86" s="167" t="s">
        <v>1879</v>
      </c>
      <c r="E86" s="196"/>
      <c r="F86" s="196"/>
      <c r="G86" s="196"/>
      <c r="H86" s="196"/>
      <c r="I86" s="196"/>
      <c r="J86" s="369" t="str">
        <f ca="1">IF(BBswitch=1,_xll.BDS('AAL One Pager'!$D$3&amp;" EQUITY","CIE_DES_BULK","cols=1;rows=3"),"Business Description")</f>
        <v>Business Description</v>
      </c>
      <c r="K86" s="193"/>
      <c r="N86" s="193"/>
    </row>
    <row r="87" spans="2:23">
      <c r="C87" s="167" t="s">
        <v>1881</v>
      </c>
      <c r="E87" s="196"/>
      <c r="F87" s="196"/>
      <c r="G87" s="196"/>
      <c r="H87" s="196"/>
      <c r="I87" s="196"/>
      <c r="J87" s="196" t="s">
        <v>1884</v>
      </c>
      <c r="K87" s="193"/>
      <c r="N87" s="193"/>
    </row>
    <row r="88" spans="2:23">
      <c r="C88" s="167" t="s">
        <v>1882</v>
      </c>
      <c r="E88" s="196"/>
      <c r="F88" s="196"/>
      <c r="G88" s="196"/>
      <c r="H88" s="196"/>
      <c r="I88" s="196"/>
      <c r="J88" s="196" t="s">
        <v>1885</v>
      </c>
      <c r="K88" s="193"/>
      <c r="N88" s="193"/>
    </row>
    <row r="89" spans="2:23">
      <c r="C89" s="167" t="s">
        <v>1883</v>
      </c>
      <c r="E89" s="196"/>
      <c r="F89" s="196"/>
      <c r="G89" s="196"/>
      <c r="H89" s="196"/>
      <c r="I89" s="196"/>
      <c r="J89" s="196"/>
      <c r="K89" s="193"/>
      <c r="N89" s="193"/>
    </row>
    <row r="90" spans="2:23">
      <c r="E90" s="196"/>
      <c r="F90" s="196"/>
      <c r="G90" s="196"/>
      <c r="H90" s="196"/>
      <c r="I90" s="196"/>
      <c r="J90" s="196"/>
      <c r="K90" s="193"/>
      <c r="N90" s="193"/>
    </row>
    <row r="91" spans="2:23">
      <c r="E91" s="196"/>
      <c r="F91" s="196"/>
      <c r="G91" s="196"/>
      <c r="H91" s="196"/>
      <c r="I91" s="196"/>
      <c r="J91" s="196"/>
      <c r="K91" s="193"/>
      <c r="N91" s="193"/>
    </row>
    <row r="92" spans="2:23">
      <c r="E92" s="196"/>
      <c r="F92" s="196"/>
      <c r="G92" s="196"/>
      <c r="H92" s="196"/>
      <c r="I92" s="196"/>
      <c r="J92" s="196"/>
      <c r="K92" s="193"/>
      <c r="N92" s="193"/>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033DA-8DEE-429A-B23C-D3E54629C06A}">
  <sheetPr>
    <tabColor theme="8" tint="0.39997558519241921"/>
  </sheetPr>
  <dimension ref="A1:AV261"/>
  <sheetViews>
    <sheetView showGridLines="0" zoomScaleNormal="100" workbookViewId="0">
      <pane xSplit="4" ySplit="6" topLeftCell="H139" activePane="bottomRight" state="frozen"/>
      <selection activeCell="L99" sqref="L99"/>
      <selection pane="topRight" activeCell="L99" sqref="L99"/>
      <selection pane="bottomLeft" activeCell="L99" sqref="L99"/>
      <selection pane="bottomRight" activeCell="AC171" sqref="AC171"/>
    </sheetView>
  </sheetViews>
  <sheetFormatPr defaultColWidth="9.19921875" defaultRowHeight="10.5" customHeight="1" outlineLevelRow="1" outlineLevelCol="1"/>
  <cols>
    <col min="1" max="2" width="1.796875" style="253" customWidth="1"/>
    <col min="3" max="3" width="35.796875" style="253" customWidth="1"/>
    <col min="4" max="4" width="9.19921875" style="253" hidden="1" customWidth="1" outlineLevel="1"/>
    <col min="5" max="5" width="9.19921875" style="253" customWidth="1" collapsed="1"/>
    <col min="6" max="17" width="9.19921875" style="253" customWidth="1"/>
    <col min="18" max="20" width="9.19921875" style="253" customWidth="1" outlineLevel="1"/>
    <col min="21" max="21" width="9.19921875" style="253"/>
    <col min="22" max="30" width="9.19921875" style="253" customWidth="1"/>
    <col min="31" max="32" width="9.19921875" style="253"/>
    <col min="33" max="33" width="9.19921875" style="253" customWidth="1"/>
    <col min="34" max="16384" width="9.19921875" style="253"/>
  </cols>
  <sheetData>
    <row r="1" spans="1:44" ht="10.5" customHeight="1">
      <c r="A1" s="378" t="str">
        <f ca="1">'AAL One Pager'!$D$2</f>
        <v>American Airlines Group Inc</v>
      </c>
      <c r="U1" s="632"/>
    </row>
    <row r="2" spans="1:44" ht="10.5" customHeight="1">
      <c r="A2" s="332" t="s">
        <v>230</v>
      </c>
    </row>
    <row r="3" spans="1:44" s="293" customFormat="1" ht="10.5" customHeight="1">
      <c r="C3" s="334" t="s">
        <v>327</v>
      </c>
      <c r="E3" s="284">
        <f t="shared" ref="E3:AD3" si="0">E153</f>
        <v>0</v>
      </c>
      <c r="F3" s="284">
        <f t="shared" si="0"/>
        <v>0</v>
      </c>
      <c r="G3" s="284">
        <f t="shared" si="0"/>
        <v>0</v>
      </c>
      <c r="H3" s="284">
        <f t="shared" si="0"/>
        <v>0</v>
      </c>
      <c r="I3" s="284">
        <f t="shared" si="0"/>
        <v>0</v>
      </c>
      <c r="J3" s="284">
        <f t="shared" si="0"/>
        <v>0</v>
      </c>
      <c r="K3" s="284">
        <f t="shared" si="0"/>
        <v>0</v>
      </c>
      <c r="L3" s="284">
        <f t="shared" si="0"/>
        <v>0</v>
      </c>
      <c r="M3" s="284">
        <f t="shared" si="0"/>
        <v>0</v>
      </c>
      <c r="N3" s="284">
        <f t="shared" si="0"/>
        <v>0</v>
      </c>
      <c r="O3" s="284">
        <f t="shared" si="0"/>
        <v>0</v>
      </c>
      <c r="P3" s="284">
        <f t="shared" si="0"/>
        <v>0</v>
      </c>
      <c r="Q3" s="284">
        <f t="shared" si="0"/>
        <v>0</v>
      </c>
      <c r="R3" s="284">
        <f t="shared" ca="1" si="0"/>
        <v>0</v>
      </c>
      <c r="S3" s="284">
        <f t="shared" ca="1" si="0"/>
        <v>0</v>
      </c>
      <c r="T3" s="284">
        <f t="shared" ca="1" si="0"/>
        <v>0</v>
      </c>
      <c r="U3" s="284"/>
      <c r="V3" s="284">
        <f t="shared" si="0"/>
        <v>0</v>
      </c>
      <c r="W3" s="284">
        <f t="shared" si="0"/>
        <v>0</v>
      </c>
      <c r="X3" s="284">
        <f t="shared" si="0"/>
        <v>0</v>
      </c>
      <c r="Y3" s="284">
        <f t="shared" si="0"/>
        <v>0</v>
      </c>
      <c r="Z3" s="284">
        <f t="shared" si="0"/>
        <v>0</v>
      </c>
      <c r="AA3" s="284">
        <f t="shared" ca="1" si="0"/>
        <v>0</v>
      </c>
      <c r="AB3" s="284">
        <f t="shared" ca="1" si="0"/>
        <v>0</v>
      </c>
      <c r="AC3" s="284">
        <f t="shared" ca="1" si="0"/>
        <v>0</v>
      </c>
      <c r="AD3" s="284">
        <f t="shared" ca="1" si="0"/>
        <v>0</v>
      </c>
    </row>
    <row r="4" spans="1:44" s="293" customFormat="1" ht="10.5" customHeight="1">
      <c r="C4" s="334" t="s">
        <v>382</v>
      </c>
      <c r="E4" s="284">
        <f t="shared" ref="E4:T4" si="1">E252</f>
        <v>0</v>
      </c>
      <c r="F4" s="284">
        <f t="shared" si="1"/>
        <v>0</v>
      </c>
      <c r="G4" s="284">
        <f t="shared" si="1"/>
        <v>0</v>
      </c>
      <c r="H4" s="284">
        <f t="shared" si="1"/>
        <v>0</v>
      </c>
      <c r="I4" s="284">
        <f t="shared" si="1"/>
        <v>0</v>
      </c>
      <c r="J4" s="284">
        <f t="shared" si="1"/>
        <v>0</v>
      </c>
      <c r="K4" s="284">
        <f t="shared" si="1"/>
        <v>0</v>
      </c>
      <c r="L4" s="284">
        <f t="shared" si="1"/>
        <v>0</v>
      </c>
      <c r="M4" s="284">
        <f t="shared" si="1"/>
        <v>0</v>
      </c>
      <c r="N4" s="284">
        <f t="shared" si="1"/>
        <v>0</v>
      </c>
      <c r="O4" s="284">
        <f t="shared" si="1"/>
        <v>0</v>
      </c>
      <c r="P4" s="284">
        <f t="shared" si="1"/>
        <v>0</v>
      </c>
      <c r="Q4" s="284">
        <f t="shared" si="1"/>
        <v>0</v>
      </c>
      <c r="R4" s="284">
        <f t="shared" ca="1" si="1"/>
        <v>0</v>
      </c>
      <c r="S4" s="284">
        <f t="shared" ca="1" si="1"/>
        <v>0</v>
      </c>
      <c r="T4" s="284">
        <f t="shared" ca="1" si="1"/>
        <v>0</v>
      </c>
      <c r="U4" s="284"/>
      <c r="V4" s="284">
        <f t="shared" ref="V4:AD4" si="2">V252</f>
        <v>0</v>
      </c>
      <c r="W4" s="284">
        <f t="shared" si="2"/>
        <v>0</v>
      </c>
      <c r="X4" s="284">
        <f t="shared" si="2"/>
        <v>0</v>
      </c>
      <c r="Y4" s="284">
        <f t="shared" si="2"/>
        <v>0</v>
      </c>
      <c r="Z4" s="284">
        <f t="shared" si="2"/>
        <v>0</v>
      </c>
      <c r="AA4" s="284">
        <f t="shared" ca="1" si="2"/>
        <v>0</v>
      </c>
      <c r="AB4" s="284">
        <f t="shared" ca="1" si="2"/>
        <v>0</v>
      </c>
      <c r="AC4" s="284">
        <f t="shared" ca="1" si="2"/>
        <v>0</v>
      </c>
      <c r="AD4" s="284">
        <f t="shared" ca="1" si="2"/>
        <v>0</v>
      </c>
    </row>
    <row r="5" spans="1:44" ht="10.5" customHeight="1">
      <c r="B5" s="276"/>
      <c r="C5" s="633" t="s">
        <v>65</v>
      </c>
      <c r="D5" s="276"/>
      <c r="E5" s="275">
        <f t="shared" ref="E5:T5" si="3">YEAR(E6)</f>
        <v>2019</v>
      </c>
      <c r="F5" s="274">
        <f t="shared" si="3"/>
        <v>2019</v>
      </c>
      <c r="G5" s="273">
        <f t="shared" si="3"/>
        <v>2019</v>
      </c>
      <c r="H5" s="272">
        <f t="shared" si="3"/>
        <v>2019</v>
      </c>
      <c r="I5" s="275">
        <f t="shared" si="3"/>
        <v>2020</v>
      </c>
      <c r="J5" s="274">
        <f t="shared" si="3"/>
        <v>2020</v>
      </c>
      <c r="K5" s="273">
        <f t="shared" si="3"/>
        <v>2020</v>
      </c>
      <c r="L5" s="272">
        <f t="shared" si="3"/>
        <v>2020</v>
      </c>
      <c r="M5" s="275">
        <f t="shared" si="3"/>
        <v>2021</v>
      </c>
      <c r="N5" s="274">
        <f t="shared" si="3"/>
        <v>2021</v>
      </c>
      <c r="O5" s="273">
        <f t="shared" si="3"/>
        <v>2021</v>
      </c>
      <c r="P5" s="272">
        <f t="shared" si="3"/>
        <v>2021</v>
      </c>
      <c r="Q5" s="275">
        <f t="shared" si="3"/>
        <v>2022</v>
      </c>
      <c r="R5" s="364">
        <f t="shared" si="3"/>
        <v>2022</v>
      </c>
      <c r="S5" s="365">
        <f t="shared" si="3"/>
        <v>2022</v>
      </c>
      <c r="T5" s="366">
        <f t="shared" si="3"/>
        <v>2022</v>
      </c>
      <c r="U5" s="265"/>
      <c r="V5" s="271">
        <f t="shared" ref="V5:AD5" si="4">YEAR(V6)</f>
        <v>2017</v>
      </c>
      <c r="W5" s="271">
        <f t="shared" si="4"/>
        <v>2018</v>
      </c>
      <c r="X5" s="271">
        <f t="shared" si="4"/>
        <v>2019</v>
      </c>
      <c r="Y5" s="271">
        <f t="shared" si="4"/>
        <v>2020</v>
      </c>
      <c r="Z5" s="271">
        <f t="shared" si="4"/>
        <v>2021</v>
      </c>
      <c r="AA5" s="270">
        <f t="shared" si="4"/>
        <v>2022</v>
      </c>
      <c r="AB5" s="270">
        <f t="shared" si="4"/>
        <v>2023</v>
      </c>
      <c r="AC5" s="270">
        <f t="shared" si="4"/>
        <v>2024</v>
      </c>
      <c r="AD5" s="270">
        <f t="shared" si="4"/>
        <v>2025</v>
      </c>
      <c r="AE5" s="269"/>
      <c r="AF5" s="268" t="s">
        <v>231</v>
      </c>
      <c r="AG5" s="267"/>
      <c r="AH5" s="267"/>
      <c r="AI5" s="267"/>
      <c r="AJ5" s="267"/>
      <c r="AK5" s="267"/>
      <c r="AL5" s="267"/>
      <c r="AM5" s="267"/>
      <c r="AN5" s="267"/>
      <c r="AO5" s="267"/>
      <c r="AP5" s="267"/>
      <c r="AQ5" s="267"/>
      <c r="AR5" s="267"/>
    </row>
    <row r="6" spans="1:44" s="260" customFormat="1" ht="10.5" customHeight="1">
      <c r="A6" s="253"/>
      <c r="B6" s="262"/>
      <c r="C6" s="262" t="s">
        <v>232</v>
      </c>
      <c r="D6" s="262"/>
      <c r="E6" s="262">
        <v>43555</v>
      </c>
      <c r="F6" s="262">
        <f t="shared" ref="F6:T6" si="5">+EOMONTH(E6,3)</f>
        <v>43646</v>
      </c>
      <c r="G6" s="262">
        <f t="shared" si="5"/>
        <v>43738</v>
      </c>
      <c r="H6" s="262">
        <f t="shared" si="5"/>
        <v>43830</v>
      </c>
      <c r="I6" s="262">
        <f t="shared" si="5"/>
        <v>43921</v>
      </c>
      <c r="J6" s="262">
        <f t="shared" si="5"/>
        <v>44012</v>
      </c>
      <c r="K6" s="262">
        <f t="shared" si="5"/>
        <v>44104</v>
      </c>
      <c r="L6" s="262">
        <f t="shared" si="5"/>
        <v>44196</v>
      </c>
      <c r="M6" s="262">
        <f t="shared" si="5"/>
        <v>44286</v>
      </c>
      <c r="N6" s="262">
        <f t="shared" si="5"/>
        <v>44377</v>
      </c>
      <c r="O6" s="262">
        <f t="shared" si="5"/>
        <v>44469</v>
      </c>
      <c r="P6" s="262">
        <f t="shared" si="5"/>
        <v>44561</v>
      </c>
      <c r="Q6" s="262">
        <f t="shared" si="5"/>
        <v>44651</v>
      </c>
      <c r="R6" s="262">
        <f t="shared" si="5"/>
        <v>44742</v>
      </c>
      <c r="S6" s="262">
        <f t="shared" si="5"/>
        <v>44834</v>
      </c>
      <c r="T6" s="262">
        <f t="shared" si="5"/>
        <v>44926</v>
      </c>
      <c r="U6" s="265"/>
      <c r="V6" s="261">
        <v>43100</v>
      </c>
      <c r="W6" s="261">
        <f t="shared" ref="W6:AD6" si="6">EOMONTH(V6,12)</f>
        <v>43465</v>
      </c>
      <c r="X6" s="261">
        <f t="shared" si="6"/>
        <v>43830</v>
      </c>
      <c r="Y6" s="261">
        <f t="shared" si="6"/>
        <v>44196</v>
      </c>
      <c r="Z6" s="261">
        <f t="shared" si="6"/>
        <v>44561</v>
      </c>
      <c r="AA6" s="261">
        <f t="shared" si="6"/>
        <v>44926</v>
      </c>
      <c r="AB6" s="264">
        <f t="shared" si="6"/>
        <v>45291</v>
      </c>
      <c r="AC6" s="264">
        <f t="shared" si="6"/>
        <v>45657</v>
      </c>
      <c r="AD6" s="264">
        <f t="shared" si="6"/>
        <v>46022</v>
      </c>
      <c r="AE6" s="263"/>
      <c r="AF6" s="262">
        <v>43555</v>
      </c>
      <c r="AG6" s="261">
        <f t="shared" ref="AG6:AR6" si="7">+EOMONTH(AF6,3)</f>
        <v>43646</v>
      </c>
      <c r="AH6" s="261">
        <f t="shared" si="7"/>
        <v>43738</v>
      </c>
      <c r="AI6" s="261">
        <f t="shared" si="7"/>
        <v>43830</v>
      </c>
      <c r="AJ6" s="261">
        <f t="shared" si="7"/>
        <v>43921</v>
      </c>
      <c r="AK6" s="261">
        <f t="shared" si="7"/>
        <v>44012</v>
      </c>
      <c r="AL6" s="261">
        <f t="shared" si="7"/>
        <v>44104</v>
      </c>
      <c r="AM6" s="261">
        <f t="shared" si="7"/>
        <v>44196</v>
      </c>
      <c r="AN6" s="262">
        <f t="shared" si="7"/>
        <v>44286</v>
      </c>
      <c r="AO6" s="262">
        <f t="shared" si="7"/>
        <v>44377</v>
      </c>
      <c r="AP6" s="262">
        <f t="shared" si="7"/>
        <v>44469</v>
      </c>
      <c r="AQ6" s="261">
        <f t="shared" si="7"/>
        <v>44561</v>
      </c>
      <c r="AR6" s="261">
        <f t="shared" si="7"/>
        <v>44651</v>
      </c>
    </row>
    <row r="7" spans="1:44" ht="10.5" customHeight="1">
      <c r="E7" s="255"/>
      <c r="F7" s="255"/>
      <c r="G7" s="255"/>
      <c r="H7" s="255"/>
      <c r="I7" s="255"/>
      <c r="J7" s="255"/>
      <c r="K7" s="255"/>
      <c r="L7" s="255"/>
      <c r="M7" s="255"/>
      <c r="N7" s="255"/>
      <c r="O7" s="255"/>
      <c r="P7" s="255"/>
      <c r="Q7" s="255"/>
      <c r="R7" s="255"/>
      <c r="S7" s="255"/>
      <c r="T7" s="255"/>
    </row>
    <row r="8" spans="1:44" ht="10.5" customHeight="1">
      <c r="B8" s="258" t="s">
        <v>133</v>
      </c>
      <c r="C8" s="259" t="s">
        <v>862</v>
      </c>
      <c r="D8" s="259"/>
      <c r="E8" s="258"/>
      <c r="F8" s="258"/>
      <c r="G8" s="258"/>
      <c r="H8" s="258"/>
      <c r="I8" s="258"/>
      <c r="J8" s="258"/>
      <c r="K8" s="258"/>
      <c r="L8" s="258"/>
      <c r="M8" s="258"/>
      <c r="N8" s="258"/>
      <c r="O8" s="258"/>
      <c r="P8" s="258"/>
      <c r="Q8" s="258"/>
      <c r="R8" s="258"/>
      <c r="S8" s="258"/>
      <c r="T8" s="258"/>
      <c r="V8" s="258"/>
      <c r="W8" s="258"/>
      <c r="X8" s="258"/>
      <c r="Y8" s="258"/>
      <c r="Z8" s="258"/>
      <c r="AA8" s="258"/>
      <c r="AB8" s="258"/>
      <c r="AC8" s="258"/>
      <c r="AD8" s="258"/>
    </row>
    <row r="10" spans="1:44" s="255" customFormat="1" ht="10.5" customHeight="1">
      <c r="C10" s="291" t="s">
        <v>863</v>
      </c>
      <c r="E10" s="277">
        <v>9658</v>
      </c>
      <c r="F10" s="277">
        <v>11011</v>
      </c>
      <c r="G10" s="277">
        <v>10995</v>
      </c>
      <c r="H10" s="277">
        <v>10347</v>
      </c>
      <c r="I10" s="277">
        <v>7681</v>
      </c>
      <c r="J10" s="277">
        <v>1108</v>
      </c>
      <c r="K10" s="277">
        <v>2540</v>
      </c>
      <c r="L10" s="277">
        <v>3190</v>
      </c>
      <c r="M10" s="277">
        <v>3179</v>
      </c>
      <c r="N10" s="277">
        <v>6545</v>
      </c>
      <c r="O10" s="277">
        <v>7957</v>
      </c>
      <c r="P10" s="277">
        <v>8382</v>
      </c>
      <c r="Q10" s="277">
        <v>7818</v>
      </c>
      <c r="R10" s="287">
        <f>'AAL KPI'!R93</f>
        <v>11285.026002582352</v>
      </c>
      <c r="S10" s="287">
        <f>'AAL KPI'!S93</f>
        <v>11382.912619821385</v>
      </c>
      <c r="T10" s="287">
        <f>'AAL KPI'!T93</f>
        <v>10496.174214792838</v>
      </c>
      <c r="V10" s="277">
        <v>39131</v>
      </c>
      <c r="W10" s="277">
        <v>40676</v>
      </c>
      <c r="X10" s="254">
        <f t="shared" ref="X10:AA12" si="8">+SUMIF($E$5:$T$5,X$5,$E10:$T10)</f>
        <v>42011</v>
      </c>
      <c r="Y10" s="254">
        <f t="shared" si="8"/>
        <v>14519</v>
      </c>
      <c r="Z10" s="254">
        <f t="shared" si="8"/>
        <v>26063</v>
      </c>
      <c r="AA10" s="254">
        <f t="shared" si="8"/>
        <v>40982.112837196575</v>
      </c>
      <c r="AB10" s="287">
        <f>'AAL KPI'!AB93</f>
        <v>44721.565900572816</v>
      </c>
      <c r="AC10" s="287">
        <f>'AAL KPI'!AC93</f>
        <v>47707.320635023789</v>
      </c>
      <c r="AD10" s="287">
        <f>'AAL KPI'!AD93</f>
        <v>48700.309107129862</v>
      </c>
    </row>
    <row r="11" spans="1:44" s="255" customFormat="1" ht="10.5" customHeight="1">
      <c r="C11" s="291" t="s">
        <v>285</v>
      </c>
      <c r="E11" s="277">
        <v>218</v>
      </c>
      <c r="F11" s="277">
        <v>221</v>
      </c>
      <c r="G11" s="277">
        <v>208</v>
      </c>
      <c r="H11" s="277">
        <v>216</v>
      </c>
      <c r="I11" s="277">
        <v>147</v>
      </c>
      <c r="J11" s="277">
        <v>130</v>
      </c>
      <c r="K11" s="277">
        <v>207</v>
      </c>
      <c r="L11" s="277">
        <v>285</v>
      </c>
      <c r="M11" s="277">
        <v>315</v>
      </c>
      <c r="N11" s="277">
        <v>326</v>
      </c>
      <c r="O11" s="277">
        <v>332</v>
      </c>
      <c r="P11" s="277">
        <v>341</v>
      </c>
      <c r="Q11" s="277">
        <v>364</v>
      </c>
      <c r="R11" s="287">
        <f>'AAL KPI'!R185</f>
        <v>382.39799999999997</v>
      </c>
      <c r="S11" s="287">
        <f>'AAL KPI'!S185</f>
        <v>376.15600000000001</v>
      </c>
      <c r="T11" s="287">
        <f>'AAL KPI'!T185</f>
        <v>329.91750000000002</v>
      </c>
      <c r="V11" s="277">
        <v>890</v>
      </c>
      <c r="W11" s="277">
        <v>1013</v>
      </c>
      <c r="X11" s="254">
        <f t="shared" si="8"/>
        <v>863</v>
      </c>
      <c r="Y11" s="254">
        <f t="shared" si="8"/>
        <v>769</v>
      </c>
      <c r="Z11" s="254">
        <f t="shared" si="8"/>
        <v>1314</v>
      </c>
      <c r="AA11" s="254">
        <f t="shared" si="8"/>
        <v>1452.4714999999999</v>
      </c>
      <c r="AB11" s="287">
        <f>'AAL KPI'!AB185</f>
        <v>1283.9848060000002</v>
      </c>
      <c r="AC11" s="287">
        <f>'AAL KPI'!AC185</f>
        <v>1124.128697653</v>
      </c>
      <c r="AD11" s="287">
        <f>'AAL KPI'!AD185</f>
        <v>974.61958086515097</v>
      </c>
    </row>
    <row r="12" spans="1:44" s="255" customFormat="1" ht="10.5" customHeight="1">
      <c r="C12" s="291" t="s">
        <v>321</v>
      </c>
      <c r="E12" s="277">
        <v>708</v>
      </c>
      <c r="F12" s="277">
        <v>728</v>
      </c>
      <c r="G12" s="277">
        <v>708</v>
      </c>
      <c r="H12" s="277">
        <v>750</v>
      </c>
      <c r="I12" s="277">
        <v>687</v>
      </c>
      <c r="J12" s="277">
        <v>384</v>
      </c>
      <c r="K12" s="277">
        <v>426</v>
      </c>
      <c r="L12" s="277">
        <v>552</v>
      </c>
      <c r="M12" s="277">
        <v>514</v>
      </c>
      <c r="N12" s="277">
        <v>607</v>
      </c>
      <c r="O12" s="277">
        <v>680</v>
      </c>
      <c r="P12" s="277">
        <v>704</v>
      </c>
      <c r="Q12" s="277">
        <v>717</v>
      </c>
      <c r="R12" s="287">
        <f>'AAL KPI'!R193+'AAL KPI'!R194</f>
        <v>1128.5026002582351</v>
      </c>
      <c r="S12" s="287">
        <f>'AAL KPI'!S193+'AAL KPI'!S194</f>
        <v>1138.2912619821386</v>
      </c>
      <c r="T12" s="287">
        <f>'AAL KPI'!T193+'AAL KPI'!T194</f>
        <v>1049.6174214792838</v>
      </c>
      <c r="V12" s="277">
        <v>2601</v>
      </c>
      <c r="W12" s="277">
        <v>2852</v>
      </c>
      <c r="X12" s="254">
        <f t="shared" si="8"/>
        <v>2894</v>
      </c>
      <c r="Y12" s="254">
        <f t="shared" si="8"/>
        <v>2049</v>
      </c>
      <c r="Z12" s="254">
        <f t="shared" si="8"/>
        <v>2505</v>
      </c>
      <c r="AA12" s="254">
        <f t="shared" si="8"/>
        <v>4033.4112837196571</v>
      </c>
      <c r="AB12" s="287">
        <f>'AAL KPI'!AB193+'AAL KPI'!AB194</f>
        <v>3973.3152365328988</v>
      </c>
      <c r="AC12" s="287">
        <f>'AAL KPI'!AC193+'AAL KPI'!AC194</f>
        <v>3785.366920164166</v>
      </c>
      <c r="AD12" s="287">
        <f>'AAL KPI'!AD193+'AAL KPI'!AD194</f>
        <v>3401.5032693238009</v>
      </c>
    </row>
    <row r="13" spans="1:44" s="283" customFormat="1" ht="10.5" customHeight="1">
      <c r="C13" s="286" t="s">
        <v>864</v>
      </c>
      <c r="E13" s="358">
        <f t="shared" ref="E13:T13" si="9">SUM(E10:E12)</f>
        <v>10584</v>
      </c>
      <c r="F13" s="358">
        <f t="shared" si="9"/>
        <v>11960</v>
      </c>
      <c r="G13" s="358">
        <f t="shared" si="9"/>
        <v>11911</v>
      </c>
      <c r="H13" s="358">
        <f t="shared" si="9"/>
        <v>11313</v>
      </c>
      <c r="I13" s="358">
        <f t="shared" si="9"/>
        <v>8515</v>
      </c>
      <c r="J13" s="358">
        <f t="shared" si="9"/>
        <v>1622</v>
      </c>
      <c r="K13" s="358">
        <f t="shared" si="9"/>
        <v>3173</v>
      </c>
      <c r="L13" s="358">
        <f t="shared" si="9"/>
        <v>4027</v>
      </c>
      <c r="M13" s="358">
        <f t="shared" si="9"/>
        <v>4008</v>
      </c>
      <c r="N13" s="358">
        <f t="shared" si="9"/>
        <v>7478</v>
      </c>
      <c r="O13" s="358">
        <f t="shared" si="9"/>
        <v>8969</v>
      </c>
      <c r="P13" s="358">
        <f t="shared" si="9"/>
        <v>9427</v>
      </c>
      <c r="Q13" s="358">
        <f>SUM(Q10:Q12)</f>
        <v>8899</v>
      </c>
      <c r="R13" s="358">
        <f t="shared" si="9"/>
        <v>12795.926602840585</v>
      </c>
      <c r="S13" s="358">
        <f t="shared" si="9"/>
        <v>12897.359881803524</v>
      </c>
      <c r="T13" s="358">
        <f t="shared" si="9"/>
        <v>11875.709136272122</v>
      </c>
      <c r="V13" s="357">
        <f t="shared" ref="V13:AD13" si="10">SUM(V10:V12)</f>
        <v>42622</v>
      </c>
      <c r="W13" s="358">
        <f t="shared" si="10"/>
        <v>44541</v>
      </c>
      <c r="X13" s="358">
        <f t="shared" si="10"/>
        <v>45768</v>
      </c>
      <c r="Y13" s="358">
        <f t="shared" si="10"/>
        <v>17337</v>
      </c>
      <c r="Z13" s="358">
        <f t="shared" si="10"/>
        <v>29882</v>
      </c>
      <c r="AA13" s="358">
        <f t="shared" si="10"/>
        <v>46467.995620916234</v>
      </c>
      <c r="AB13" s="358">
        <f t="shared" si="10"/>
        <v>49978.865943105717</v>
      </c>
      <c r="AC13" s="358">
        <f t="shared" si="10"/>
        <v>52616.816252840959</v>
      </c>
      <c r="AD13" s="358">
        <f t="shared" si="10"/>
        <v>53076.431957318819</v>
      </c>
    </row>
    <row r="14" spans="1:44" s="255" customFormat="1" ht="10.5" customHeight="1"/>
    <row r="15" spans="1:44" s="255" customFormat="1" ht="10.5" customHeight="1">
      <c r="C15" s="255" t="s">
        <v>865</v>
      </c>
      <c r="E15" s="277">
        <f>1726-E53</f>
        <v>2149</v>
      </c>
      <c r="F15" s="277">
        <f>1995-F53</f>
        <v>2482</v>
      </c>
      <c r="G15" s="277">
        <f>1989-G53</f>
        <v>2474</v>
      </c>
      <c r="H15" s="277">
        <f>1816-H53</f>
        <v>2290</v>
      </c>
      <c r="I15" s="277">
        <v>1784</v>
      </c>
      <c r="J15" s="277">
        <v>309</v>
      </c>
      <c r="K15" s="277">
        <v>611</v>
      </c>
      <c r="L15" s="277">
        <v>698</v>
      </c>
      <c r="M15" s="277">
        <v>1034</v>
      </c>
      <c r="N15" s="277">
        <v>1611</v>
      </c>
      <c r="O15" s="277">
        <v>1952</v>
      </c>
      <c r="P15" s="277">
        <v>2196</v>
      </c>
      <c r="Q15" s="277">
        <v>2502</v>
      </c>
      <c r="R15" s="287">
        <f>'AAL KPI'!R15</f>
        <v>4639.8568557243807</v>
      </c>
      <c r="S15" s="287">
        <f>'AAL KPI'!S15</f>
        <v>4226.4952299357419</v>
      </c>
      <c r="T15" s="287">
        <f>'AAL KPI'!T15</f>
        <v>3512.3351716697712</v>
      </c>
      <c r="V15" s="277">
        <f>6128-V53</f>
        <v>7510</v>
      </c>
      <c r="W15" s="277">
        <f>8053-W53</f>
        <v>9896</v>
      </c>
      <c r="X15" s="254">
        <f t="shared" ref="X15:AA26" si="11">+SUMIF($E$5:$T$5,X$5,$E15:$T15)</f>
        <v>9395</v>
      </c>
      <c r="Y15" s="254">
        <f t="shared" si="11"/>
        <v>3402</v>
      </c>
      <c r="Z15" s="254">
        <f t="shared" si="11"/>
        <v>6793</v>
      </c>
      <c r="AA15" s="254">
        <f t="shared" si="11"/>
        <v>14880.687257329893</v>
      </c>
      <c r="AB15" s="287">
        <f>'AAL KPI'!AB15</f>
        <v>13536.992009606871</v>
      </c>
      <c r="AC15" s="287">
        <f>'AAL KPI'!AC15</f>
        <v>12624.554568336482</v>
      </c>
      <c r="AD15" s="287">
        <f>'AAL KPI'!AD15</f>
        <v>12901.155247658509</v>
      </c>
    </row>
    <row r="16" spans="1:44" s="255" customFormat="1" ht="10.5" customHeight="1">
      <c r="C16" s="255" t="s">
        <v>866</v>
      </c>
      <c r="E16" s="277">
        <v>3090</v>
      </c>
      <c r="F16" s="277">
        <v>3200</v>
      </c>
      <c r="G16" s="277">
        <v>3219</v>
      </c>
      <c r="H16" s="277">
        <v>3100</v>
      </c>
      <c r="I16" s="277">
        <v>3219</v>
      </c>
      <c r="J16" s="277">
        <v>2610</v>
      </c>
      <c r="K16" s="277">
        <v>2763</v>
      </c>
      <c r="L16" s="277">
        <v>2637</v>
      </c>
      <c r="M16" s="277">
        <v>2730</v>
      </c>
      <c r="N16" s="277">
        <v>2862</v>
      </c>
      <c r="O16" s="277">
        <v>3018</v>
      </c>
      <c r="P16" s="277">
        <v>3207</v>
      </c>
      <c r="Q16" s="277">
        <v>3154</v>
      </c>
      <c r="R16" s="287">
        <f>'AAL KPI'!R16</f>
        <v>3254.7840000000001</v>
      </c>
      <c r="S16" s="287">
        <f>'AAL KPI'!S16</f>
        <v>3282.9776249999995</v>
      </c>
      <c r="T16" s="287">
        <f>'AAL KPI'!T16</f>
        <v>3284.3880000000004</v>
      </c>
      <c r="V16" s="277">
        <v>11954</v>
      </c>
      <c r="W16" s="277">
        <v>12251</v>
      </c>
      <c r="X16" s="254">
        <f t="shared" si="11"/>
        <v>12609</v>
      </c>
      <c r="Y16" s="254">
        <f t="shared" si="11"/>
        <v>11229</v>
      </c>
      <c r="Z16" s="254">
        <f t="shared" si="11"/>
        <v>11817</v>
      </c>
      <c r="AA16" s="254">
        <f t="shared" si="11"/>
        <v>12976.149625</v>
      </c>
      <c r="AB16" s="287">
        <f>'AAL KPI'!AB16</f>
        <v>13020.147967500001</v>
      </c>
      <c r="AC16" s="287">
        <f>'AAL KPI'!AC16</f>
        <v>13289.25555</v>
      </c>
      <c r="AD16" s="287">
        <f>'AAL KPI'!AD16</f>
        <v>13419.128250000002</v>
      </c>
    </row>
    <row r="17" spans="3:30" s="255" customFormat="1" ht="10.5" customHeight="1">
      <c r="C17" s="255" t="s">
        <v>867</v>
      </c>
      <c r="E17" s="277">
        <f>1763+E50+E53</f>
        <v>1340</v>
      </c>
      <c r="F17" s="277">
        <f>1886+F50+F53</f>
        <v>1399</v>
      </c>
      <c r="G17" s="277">
        <f>1933+G53+G50</f>
        <v>1442</v>
      </c>
      <c r="H17" s="277">
        <f>1920+H53+H50</f>
        <v>1445</v>
      </c>
      <c r="I17" s="277">
        <f>1140+I50</f>
        <v>1047</v>
      </c>
      <c r="J17" s="277">
        <f>492+J50</f>
        <v>670</v>
      </c>
      <c r="K17" s="277">
        <f>529+K50</f>
        <v>753</v>
      </c>
      <c r="L17" s="277">
        <f>723+79+L50</f>
        <v>802</v>
      </c>
      <c r="M17" s="277">
        <f>625+M50</f>
        <v>840</v>
      </c>
      <c r="N17" s="277">
        <f>635+N50</f>
        <v>802</v>
      </c>
      <c r="O17" s="277">
        <f>887+O50</f>
        <v>954</v>
      </c>
      <c r="P17" s="277">
        <f>976+79+P50</f>
        <v>1055</v>
      </c>
      <c r="Q17" s="277">
        <v>1052</v>
      </c>
      <c r="R17" s="287">
        <f>'AAL KPI'!R17</f>
        <v>1170.968919277675</v>
      </c>
      <c r="S17" s="287">
        <f>'AAL KPI'!S17</f>
        <v>1235.0444719071486</v>
      </c>
      <c r="T17" s="287">
        <f>'AAL KPI'!T17</f>
        <v>1245.1169697745902</v>
      </c>
      <c r="V17" s="277">
        <f>6546+V50+V53</f>
        <v>5142</v>
      </c>
      <c r="W17" s="277">
        <f>7133+W50+W53</f>
        <v>5284</v>
      </c>
      <c r="X17" s="254">
        <f t="shared" si="11"/>
        <v>5626</v>
      </c>
      <c r="Y17" s="254">
        <f t="shared" si="11"/>
        <v>3272</v>
      </c>
      <c r="Z17" s="254">
        <f t="shared" si="11"/>
        <v>3651</v>
      </c>
      <c r="AA17" s="254">
        <f t="shared" si="11"/>
        <v>4703.1303609594133</v>
      </c>
      <c r="AB17" s="287">
        <f>'AAL KPI'!AB17</f>
        <v>5239.5205344919814</v>
      </c>
      <c r="AC17" s="287">
        <f>'AAL KPI'!AC17</f>
        <v>5688.425450729248</v>
      </c>
      <c r="AD17" s="287">
        <f>'AAL KPI'!AD17</f>
        <v>6147.73548364014</v>
      </c>
    </row>
    <row r="18" spans="3:30" s="255" customFormat="1" ht="10.5" customHeight="1">
      <c r="C18" s="255" t="s">
        <v>868</v>
      </c>
      <c r="E18" s="277">
        <v>561</v>
      </c>
      <c r="F18" s="277">
        <v>575</v>
      </c>
      <c r="G18" s="277">
        <v>610</v>
      </c>
      <c r="H18" s="277">
        <v>635</v>
      </c>
      <c r="I18" s="277">
        <v>629</v>
      </c>
      <c r="J18" s="277">
        <v>287</v>
      </c>
      <c r="K18" s="277">
        <v>337</v>
      </c>
      <c r="L18" s="277">
        <v>331</v>
      </c>
      <c r="M18" s="277">
        <v>376</v>
      </c>
      <c r="N18" s="277">
        <v>459</v>
      </c>
      <c r="O18" s="277">
        <v>548</v>
      </c>
      <c r="P18" s="277">
        <v>596</v>
      </c>
      <c r="Q18" s="277">
        <v>617</v>
      </c>
      <c r="R18" s="287">
        <f>'AAL KPI'!R18</f>
        <v>641.70324382622175</v>
      </c>
      <c r="S18" s="287">
        <f>'AAL KPI'!S18</f>
        <v>667.57874637298858</v>
      </c>
      <c r="T18" s="287">
        <f>'AAL KPI'!T18</f>
        <v>683.95266073258199</v>
      </c>
      <c r="V18" s="277">
        <v>1959</v>
      </c>
      <c r="W18" s="277">
        <v>2050</v>
      </c>
      <c r="X18" s="254">
        <f t="shared" si="11"/>
        <v>2381</v>
      </c>
      <c r="Y18" s="254">
        <f t="shared" si="11"/>
        <v>1584</v>
      </c>
      <c r="Z18" s="254">
        <f t="shared" si="11"/>
        <v>1979</v>
      </c>
      <c r="AA18" s="254">
        <f t="shared" si="11"/>
        <v>2610.2346509317922</v>
      </c>
      <c r="AB18" s="287">
        <f>'AAL KPI'!AB18</f>
        <v>2636.9516495590833</v>
      </c>
      <c r="AC18" s="287">
        <f>'AAL KPI'!AC18</f>
        <v>2787.5381402146004</v>
      </c>
      <c r="AD18" s="287">
        <f>'AAL KPI'!AD18</f>
        <v>2601.8055788388147</v>
      </c>
    </row>
    <row r="19" spans="3:30" s="255" customFormat="1" ht="10.5" customHeight="1">
      <c r="C19" s="255" t="s">
        <v>869</v>
      </c>
      <c r="E19" s="277">
        <v>503</v>
      </c>
      <c r="F19" s="277">
        <v>535</v>
      </c>
      <c r="G19" s="277">
        <v>530</v>
      </c>
      <c r="H19" s="277">
        <v>487</v>
      </c>
      <c r="I19" s="277">
        <v>611</v>
      </c>
      <c r="J19" s="277">
        <v>413</v>
      </c>
      <c r="K19" s="277">
        <v>472</v>
      </c>
      <c r="L19" s="277">
        <v>509</v>
      </c>
      <c r="M19" s="277">
        <v>570</v>
      </c>
      <c r="N19" s="277">
        <v>686</v>
      </c>
      <c r="O19" s="277">
        <v>694</v>
      </c>
      <c r="P19" s="277">
        <v>670</v>
      </c>
      <c r="Q19" s="277">
        <v>678</v>
      </c>
      <c r="R19" s="287">
        <f>'AAL KPI'!R19</f>
        <v>721.45114695390066</v>
      </c>
      <c r="S19" s="287">
        <f>'AAL KPI'!S19</f>
        <v>706.12035610656801</v>
      </c>
      <c r="T19" s="287">
        <f>'AAL KPI'!T19</f>
        <v>629.45186603483614</v>
      </c>
      <c r="V19" s="277">
        <v>1806</v>
      </c>
      <c r="W19" s="277">
        <v>1900</v>
      </c>
      <c r="X19" s="254">
        <f t="shared" si="11"/>
        <v>2055</v>
      </c>
      <c r="Y19" s="254">
        <f t="shared" si="11"/>
        <v>2005</v>
      </c>
      <c r="Z19" s="254">
        <f t="shared" si="11"/>
        <v>2620</v>
      </c>
      <c r="AA19" s="254">
        <f t="shared" si="11"/>
        <v>2735.023369095305</v>
      </c>
      <c r="AB19" s="287">
        <f>'AAL KPI'!AB19</f>
        <v>2379.3577892484072</v>
      </c>
      <c r="AC19" s="287">
        <f>'AAL KPI'!AC19</f>
        <v>2515.2340536299316</v>
      </c>
      <c r="AD19" s="287">
        <f>'AAL KPI'!AD19</f>
        <v>2245.5734836261086</v>
      </c>
    </row>
    <row r="20" spans="3:30" s="255" customFormat="1" ht="10.5" customHeight="1">
      <c r="C20" s="255" t="s">
        <v>294</v>
      </c>
      <c r="E20" s="277">
        <v>327</v>
      </c>
      <c r="F20" s="277">
        <v>334</v>
      </c>
      <c r="G20" s="277">
        <v>335</v>
      </c>
      <c r="H20" s="277">
        <v>330</v>
      </c>
      <c r="I20" s="277">
        <v>334</v>
      </c>
      <c r="J20" s="277">
        <v>334</v>
      </c>
      <c r="K20" s="277">
        <v>336</v>
      </c>
      <c r="L20" s="277">
        <v>336</v>
      </c>
      <c r="M20" s="277">
        <v>351</v>
      </c>
      <c r="N20" s="277">
        <v>356</v>
      </c>
      <c r="O20" s="277">
        <v>358</v>
      </c>
      <c r="P20" s="277">
        <v>360</v>
      </c>
      <c r="Q20" s="277">
        <v>353</v>
      </c>
      <c r="R20" s="287">
        <f>'AAL KPI'!R20</f>
        <v>357.21480572993011</v>
      </c>
      <c r="S20" s="287">
        <f>'AAL KPI'!S20</f>
        <v>358.65109057636511</v>
      </c>
      <c r="T20" s="287">
        <f>'AAL KPI'!T20</f>
        <v>347.54129952185792</v>
      </c>
      <c r="V20" s="277">
        <v>1197</v>
      </c>
      <c r="W20" s="277">
        <v>1264</v>
      </c>
      <c r="X20" s="254">
        <f t="shared" si="11"/>
        <v>1326</v>
      </c>
      <c r="Y20" s="254">
        <f t="shared" si="11"/>
        <v>1340</v>
      </c>
      <c r="Z20" s="254">
        <f t="shared" si="11"/>
        <v>1425</v>
      </c>
      <c r="AA20" s="254">
        <f t="shared" si="11"/>
        <v>1416.4071958281529</v>
      </c>
      <c r="AB20" s="287">
        <f>'AAL KPI'!AB20</f>
        <v>1468.5417418376078</v>
      </c>
      <c r="AC20" s="287">
        <f>'AAL KPI'!AC20</f>
        <v>1552.4046929544561</v>
      </c>
      <c r="AD20" s="287">
        <f>'AAL KPI'!AD20</f>
        <v>1448.9685835952409</v>
      </c>
    </row>
    <row r="21" spans="3:30" s="283" customFormat="1" ht="10.5" customHeight="1">
      <c r="C21" s="286" t="s">
        <v>154</v>
      </c>
      <c r="E21" s="1084">
        <f>E13-SUM(E15:E20)</f>
        <v>2614</v>
      </c>
      <c r="F21" s="1084">
        <f t="shared" ref="F21:AD21" si="12">F13-SUM(F15:F20)</f>
        <v>3435</v>
      </c>
      <c r="G21" s="1084">
        <f t="shared" si="12"/>
        <v>3301</v>
      </c>
      <c r="H21" s="1084">
        <f t="shared" si="12"/>
        <v>3026</v>
      </c>
      <c r="I21" s="1084">
        <f t="shared" si="12"/>
        <v>891</v>
      </c>
      <c r="J21" s="1084">
        <f t="shared" si="12"/>
        <v>-3001</v>
      </c>
      <c r="K21" s="1084">
        <f t="shared" si="12"/>
        <v>-2099</v>
      </c>
      <c r="L21" s="1084">
        <f t="shared" si="12"/>
        <v>-1286</v>
      </c>
      <c r="M21" s="1084">
        <f t="shared" si="12"/>
        <v>-1893</v>
      </c>
      <c r="N21" s="1084">
        <f t="shared" si="12"/>
        <v>702</v>
      </c>
      <c r="O21" s="1084">
        <f t="shared" si="12"/>
        <v>1445</v>
      </c>
      <c r="P21" s="1084">
        <f t="shared" si="12"/>
        <v>1343</v>
      </c>
      <c r="Q21" s="1084">
        <f t="shared" si="12"/>
        <v>543</v>
      </c>
      <c r="R21" s="1084">
        <f t="shared" si="12"/>
        <v>2009.9476313284758</v>
      </c>
      <c r="S21" s="1084">
        <f t="shared" si="12"/>
        <v>2420.4923619047131</v>
      </c>
      <c r="T21" s="1084">
        <f t="shared" si="12"/>
        <v>2172.9231685384839</v>
      </c>
      <c r="U21" s="255"/>
      <c r="V21" s="1084">
        <f t="shared" si="12"/>
        <v>13054</v>
      </c>
      <c r="W21" s="1084">
        <f t="shared" si="12"/>
        <v>11896</v>
      </c>
      <c r="X21" s="1084">
        <f t="shared" si="12"/>
        <v>12376</v>
      </c>
      <c r="Y21" s="1084">
        <f t="shared" si="12"/>
        <v>-5495</v>
      </c>
      <c r="Z21" s="1084">
        <f t="shared" si="12"/>
        <v>1597</v>
      </c>
      <c r="AA21" s="1084">
        <f t="shared" si="12"/>
        <v>7146.3631617716746</v>
      </c>
      <c r="AB21" s="1084">
        <f t="shared" si="12"/>
        <v>11697.354250861761</v>
      </c>
      <c r="AC21" s="1084">
        <f t="shared" si="12"/>
        <v>14159.403796976243</v>
      </c>
      <c r="AD21" s="1084">
        <f t="shared" si="12"/>
        <v>14312.065329960002</v>
      </c>
    </row>
    <row r="22" spans="3:30" s="255" customFormat="1" ht="10.5" customHeight="1">
      <c r="E22" s="277"/>
      <c r="F22" s="277"/>
      <c r="G22" s="277"/>
      <c r="H22" s="277"/>
      <c r="I22" s="277"/>
      <c r="J22" s="277"/>
      <c r="K22" s="277"/>
      <c r="L22" s="277"/>
      <c r="M22" s="277"/>
      <c r="N22" s="277"/>
      <c r="O22" s="277"/>
      <c r="P22" s="277"/>
      <c r="Q22" s="277"/>
      <c r="R22" s="287"/>
      <c r="S22" s="287"/>
      <c r="T22" s="287"/>
      <c r="V22" s="277"/>
      <c r="W22" s="277"/>
      <c r="X22" s="254"/>
      <c r="Y22" s="254"/>
      <c r="Z22" s="254"/>
      <c r="AA22" s="254"/>
      <c r="AB22" s="287"/>
      <c r="AC22" s="287"/>
      <c r="AD22" s="287"/>
    </row>
    <row r="23" spans="3:30" s="255" customFormat="1" ht="10.5" customHeight="1">
      <c r="C23" s="255" t="s">
        <v>870</v>
      </c>
      <c r="E23" s="277">
        <v>370</v>
      </c>
      <c r="F23" s="277">
        <v>401</v>
      </c>
      <c r="G23" s="277">
        <v>424</v>
      </c>
      <c r="H23" s="277">
        <v>407</v>
      </c>
      <c r="I23" s="277">
        <v>385</v>
      </c>
      <c r="J23" s="277">
        <v>57</v>
      </c>
      <c r="K23" s="277">
        <v>97</v>
      </c>
      <c r="L23" s="277">
        <v>126</v>
      </c>
      <c r="M23" s="277">
        <v>151</v>
      </c>
      <c r="N23" s="277">
        <v>277</v>
      </c>
      <c r="O23" s="277">
        <v>318</v>
      </c>
      <c r="P23" s="277">
        <v>353</v>
      </c>
      <c r="Q23" s="277">
        <v>332</v>
      </c>
      <c r="R23" s="287">
        <f>'AAL KPI'!R23</f>
        <v>380.39052288376985</v>
      </c>
      <c r="S23" s="287">
        <f>'AAL KPI'!S23</f>
        <v>403.49734634661041</v>
      </c>
      <c r="T23" s="287">
        <f>'AAL KPI'!T23</f>
        <v>389.66751764571944</v>
      </c>
      <c r="V23" s="277">
        <v>1477</v>
      </c>
      <c r="W23" s="277">
        <v>1520</v>
      </c>
      <c r="X23" s="254">
        <f t="shared" si="11"/>
        <v>1602</v>
      </c>
      <c r="Y23" s="254">
        <f t="shared" si="11"/>
        <v>665</v>
      </c>
      <c r="Z23" s="254">
        <f t="shared" si="11"/>
        <v>1099</v>
      </c>
      <c r="AA23" s="254">
        <f t="shared" si="11"/>
        <v>1505.5553868760996</v>
      </c>
      <c r="AB23" s="287">
        <f>'AAL KPI'!AB23</f>
        <v>1612.9191487891458</v>
      </c>
      <c r="AC23" s="287">
        <f>'AAL KPI'!AC23</f>
        <v>1790.278303865824</v>
      </c>
      <c r="AD23" s="287">
        <f>'AAL KPI'!AD23</f>
        <v>1750.5638543888203</v>
      </c>
    </row>
    <row r="24" spans="3:30" s="255" customFormat="1" ht="10.5" customHeight="1">
      <c r="C24" s="255" t="s">
        <v>291</v>
      </c>
      <c r="E24" s="277">
        <v>480</v>
      </c>
      <c r="F24" s="277">
        <v>489</v>
      </c>
      <c r="G24" s="277">
        <v>499</v>
      </c>
      <c r="H24" s="277">
        <v>513</v>
      </c>
      <c r="I24" s="277">
        <v>560</v>
      </c>
      <c r="J24" s="277">
        <v>499</v>
      </c>
      <c r="K24" s="277">
        <v>498</v>
      </c>
      <c r="L24" s="277">
        <v>484</v>
      </c>
      <c r="M24" s="277">
        <v>478</v>
      </c>
      <c r="N24" s="277">
        <v>481</v>
      </c>
      <c r="O24" s="277">
        <v>480</v>
      </c>
      <c r="P24" s="277">
        <v>579</v>
      </c>
      <c r="Q24" s="277">
        <v>492</v>
      </c>
      <c r="R24" s="254">
        <f>R167+R178</f>
        <v>480.45088515735597</v>
      </c>
      <c r="S24" s="254">
        <f>S167+S178</f>
        <v>523.55167254709784</v>
      </c>
      <c r="T24" s="254">
        <f>T167+T178</f>
        <v>513.59626666666668</v>
      </c>
      <c r="V24" s="277">
        <v>1702</v>
      </c>
      <c r="W24" s="277">
        <v>1839</v>
      </c>
      <c r="X24" s="254">
        <f t="shared" si="11"/>
        <v>1981</v>
      </c>
      <c r="Y24" s="254">
        <f t="shared" si="11"/>
        <v>2041</v>
      </c>
      <c r="Z24" s="254">
        <f t="shared" si="11"/>
        <v>2018</v>
      </c>
      <c r="AA24" s="254">
        <f t="shared" si="11"/>
        <v>2009.5988243711206</v>
      </c>
      <c r="AB24" s="254">
        <f>AB167+AB178</f>
        <v>2131.8417179146641</v>
      </c>
      <c r="AC24" s="254">
        <f>AC167+AC178</f>
        <v>2312.6612796240806</v>
      </c>
      <c r="AD24" s="254">
        <f>AD167+AD178</f>
        <v>2493.4808413334977</v>
      </c>
    </row>
    <row r="25" spans="3:30" s="255" customFormat="1" ht="10.5" customHeight="1">
      <c r="C25" s="255" t="s">
        <v>871</v>
      </c>
      <c r="E25" s="277">
        <v>138</v>
      </c>
      <c r="F25" s="277">
        <v>121</v>
      </c>
      <c r="G25" s="277">
        <v>234</v>
      </c>
      <c r="H25" s="277">
        <v>148</v>
      </c>
      <c r="I25" s="277">
        <v>1225</v>
      </c>
      <c r="J25" s="277">
        <v>-1672</v>
      </c>
      <c r="K25" s="277">
        <v>-519</v>
      </c>
      <c r="L25" s="277">
        <v>0</v>
      </c>
      <c r="M25" s="277">
        <v>-1923</v>
      </c>
      <c r="N25" s="277">
        <v>-1455</v>
      </c>
      <c r="O25" s="277">
        <v>-1057</v>
      </c>
      <c r="P25" s="277">
        <v>-20</v>
      </c>
      <c r="Q25" s="277">
        <v>157</v>
      </c>
      <c r="R25" s="277">
        <v>0</v>
      </c>
      <c r="S25" s="277">
        <v>0</v>
      </c>
      <c r="T25" s="277">
        <v>0</v>
      </c>
      <c r="V25" s="277">
        <v>734</v>
      </c>
      <c r="W25" s="277">
        <v>793</v>
      </c>
      <c r="X25" s="254">
        <f t="shared" si="11"/>
        <v>641</v>
      </c>
      <c r="Y25" s="254">
        <f t="shared" si="11"/>
        <v>-966</v>
      </c>
      <c r="Z25" s="254">
        <f t="shared" si="11"/>
        <v>-4455</v>
      </c>
      <c r="AA25" s="254">
        <f t="shared" si="11"/>
        <v>157</v>
      </c>
      <c r="AB25" s="277">
        <v>0</v>
      </c>
      <c r="AC25" s="277">
        <v>0</v>
      </c>
      <c r="AD25" s="277">
        <v>0</v>
      </c>
    </row>
    <row r="26" spans="3:30" s="255" customFormat="1" ht="10.5" customHeight="1">
      <c r="C26" s="255" t="s">
        <v>321</v>
      </c>
      <c r="E26" s="277">
        <v>1251</v>
      </c>
      <c r="F26" s="277">
        <v>1271</v>
      </c>
      <c r="G26" s="277">
        <v>1336</v>
      </c>
      <c r="H26" s="277">
        <v>1229</v>
      </c>
      <c r="I26" s="277">
        <v>1270</v>
      </c>
      <c r="J26" s="277">
        <v>601</v>
      </c>
      <c r="K26" s="277">
        <v>696</v>
      </c>
      <c r="L26" s="277">
        <v>619</v>
      </c>
      <c r="M26" s="277">
        <v>716</v>
      </c>
      <c r="N26" s="277">
        <v>958</v>
      </c>
      <c r="O26" s="277">
        <v>1109</v>
      </c>
      <c r="P26" s="277">
        <v>1211</v>
      </c>
      <c r="Q26" s="277">
        <v>1285</v>
      </c>
      <c r="R26" s="287">
        <f>'AAL KPI'!R24</f>
        <v>1312.0599324963362</v>
      </c>
      <c r="S26" s="287">
        <f>'AAL KPI'!S24</f>
        <v>1423.964974729623</v>
      </c>
      <c r="T26" s="287">
        <f>'AAL KPI'!T24</f>
        <v>1294.3280518556469</v>
      </c>
      <c r="V26" s="277">
        <v>4910</v>
      </c>
      <c r="W26" s="277">
        <v>5088</v>
      </c>
      <c r="X26" s="254">
        <f t="shared" si="11"/>
        <v>5087</v>
      </c>
      <c r="Y26" s="254">
        <f t="shared" si="11"/>
        <v>3186</v>
      </c>
      <c r="Z26" s="254">
        <f t="shared" si="11"/>
        <v>3994</v>
      </c>
      <c r="AA26" s="254">
        <f t="shared" si="11"/>
        <v>5315.3529590816061</v>
      </c>
      <c r="AB26" s="287">
        <f>'AAL KPI'!AB24</f>
        <v>5633.840000548953</v>
      </c>
      <c r="AC26" s="287">
        <f>'AAL KPI'!AC24</f>
        <v>6009.7091506210363</v>
      </c>
      <c r="AD26" s="287">
        <f>'AAL KPI'!AD24</f>
        <v>5558.7505164019531</v>
      </c>
    </row>
    <row r="27" spans="3:30" s="255" customFormat="1" ht="10.5" customHeight="1">
      <c r="C27" s="286" t="s">
        <v>297</v>
      </c>
      <c r="E27" s="358">
        <f>+E21-SUM(E23:E26)</f>
        <v>375</v>
      </c>
      <c r="F27" s="358">
        <f t="shared" ref="F27:T27" si="13">+F21-SUM(F23:F26)</f>
        <v>1153</v>
      </c>
      <c r="G27" s="358">
        <f t="shared" si="13"/>
        <v>808</v>
      </c>
      <c r="H27" s="358">
        <f t="shared" si="13"/>
        <v>729</v>
      </c>
      <c r="I27" s="358">
        <f t="shared" si="13"/>
        <v>-2549</v>
      </c>
      <c r="J27" s="358">
        <f t="shared" si="13"/>
        <v>-2486</v>
      </c>
      <c r="K27" s="358">
        <f t="shared" si="13"/>
        <v>-2871</v>
      </c>
      <c r="L27" s="358">
        <f t="shared" si="13"/>
        <v>-2515</v>
      </c>
      <c r="M27" s="358">
        <f t="shared" si="13"/>
        <v>-1315</v>
      </c>
      <c r="N27" s="358">
        <f t="shared" si="13"/>
        <v>441</v>
      </c>
      <c r="O27" s="358">
        <f t="shared" si="13"/>
        <v>595</v>
      </c>
      <c r="P27" s="358">
        <f t="shared" si="13"/>
        <v>-780</v>
      </c>
      <c r="Q27" s="358">
        <f t="shared" si="13"/>
        <v>-1723</v>
      </c>
      <c r="R27" s="358">
        <f t="shared" si="13"/>
        <v>-162.95370920898586</v>
      </c>
      <c r="S27" s="358">
        <f t="shared" si="13"/>
        <v>69.47836828138179</v>
      </c>
      <c r="T27" s="358">
        <f t="shared" si="13"/>
        <v>-24.668667629549418</v>
      </c>
      <c r="V27" s="358">
        <f t="shared" ref="V27:AD27" si="14">+V21-SUM(V23:V26)</f>
        <v>4231</v>
      </c>
      <c r="W27" s="358">
        <f t="shared" si="14"/>
        <v>2656</v>
      </c>
      <c r="X27" s="358">
        <f t="shared" si="14"/>
        <v>3065</v>
      </c>
      <c r="Y27" s="358">
        <f t="shared" si="14"/>
        <v>-10421</v>
      </c>
      <c r="Z27" s="358">
        <f t="shared" si="14"/>
        <v>-1059</v>
      </c>
      <c r="AA27" s="358">
        <f t="shared" si="14"/>
        <v>-1841.1440085571521</v>
      </c>
      <c r="AB27" s="358">
        <f t="shared" si="14"/>
        <v>2318.7533836089988</v>
      </c>
      <c r="AC27" s="358">
        <f t="shared" si="14"/>
        <v>4046.7550628653025</v>
      </c>
      <c r="AD27" s="358">
        <f t="shared" si="14"/>
        <v>4509.2701178357311</v>
      </c>
    </row>
    <row r="28" spans="3:30" s="255" customFormat="1" ht="10.5" customHeight="1">
      <c r="C28" s="283"/>
    </row>
    <row r="29" spans="3:30" s="255" customFormat="1" ht="10.5" customHeight="1">
      <c r="C29" s="255" t="s">
        <v>300</v>
      </c>
      <c r="E29" s="277">
        <v>-33</v>
      </c>
      <c r="F29" s="277">
        <v>-35</v>
      </c>
      <c r="G29" s="277">
        <v>-34</v>
      </c>
      <c r="H29" s="277">
        <v>-24</v>
      </c>
      <c r="I29" s="277">
        <v>-21</v>
      </c>
      <c r="J29" s="277">
        <v>-10</v>
      </c>
      <c r="K29" s="277">
        <v>-5</v>
      </c>
      <c r="L29" s="277">
        <v>-5</v>
      </c>
      <c r="M29" s="277">
        <v>-4</v>
      </c>
      <c r="N29" s="277">
        <v>-5</v>
      </c>
      <c r="O29" s="277">
        <v>-5</v>
      </c>
      <c r="P29" s="277">
        <v>-5</v>
      </c>
      <c r="Q29" s="277">
        <v>-8</v>
      </c>
      <c r="R29" s="254">
        <f>-R203</f>
        <v>-8.9491525423728824</v>
      </c>
      <c r="S29" s="254">
        <f>-S203</f>
        <v>-8.6286594761171038</v>
      </c>
      <c r="T29" s="254">
        <f>-T203</f>
        <v>-8.6286594761171038</v>
      </c>
      <c r="V29" s="277">
        <v>-94</v>
      </c>
      <c r="W29" s="277">
        <v>-118</v>
      </c>
      <c r="X29" s="254">
        <f t="shared" ref="X29:AA31" si="15">+SUMIF($E$5:$T$5,X$5,$E29:$T29)</f>
        <v>-126</v>
      </c>
      <c r="Y29" s="254">
        <f t="shared" si="15"/>
        <v>-41</v>
      </c>
      <c r="Z29" s="254">
        <f t="shared" si="15"/>
        <v>-19</v>
      </c>
      <c r="AA29" s="254">
        <f t="shared" si="15"/>
        <v>-34.206471494607086</v>
      </c>
      <c r="AB29" s="254">
        <f>-AB203</f>
        <v>-35</v>
      </c>
      <c r="AC29" s="254">
        <f>-AC203</f>
        <v>-35</v>
      </c>
      <c r="AD29" s="254">
        <f>-AD203</f>
        <v>-35</v>
      </c>
    </row>
    <row r="30" spans="3:30" s="255" customFormat="1" ht="10.5" customHeight="1">
      <c r="C30" s="255" t="s">
        <v>872</v>
      </c>
      <c r="E30" s="277">
        <v>271</v>
      </c>
      <c r="F30" s="277">
        <v>275</v>
      </c>
      <c r="G30" s="277">
        <v>284</v>
      </c>
      <c r="H30" s="277">
        <v>265</v>
      </c>
      <c r="I30" s="277">
        <v>257</v>
      </c>
      <c r="J30" s="277">
        <v>254</v>
      </c>
      <c r="K30" s="277">
        <v>340</v>
      </c>
      <c r="L30" s="277">
        <v>376</v>
      </c>
      <c r="M30" s="277">
        <v>371</v>
      </c>
      <c r="N30" s="277">
        <v>486</v>
      </c>
      <c r="O30" s="277">
        <v>476</v>
      </c>
      <c r="P30" s="277">
        <v>468</v>
      </c>
      <c r="Q30" s="277">
        <v>463</v>
      </c>
      <c r="R30" s="287">
        <f ca="1">'AAL Debt'!R121</f>
        <v>430.0526781293654</v>
      </c>
      <c r="S30" s="287">
        <f ca="1">'AAL Debt'!S121</f>
        <v>428.23157042043857</v>
      </c>
      <c r="T30" s="287">
        <f ca="1">'AAL Debt'!T121</f>
        <v>429.55353400357308</v>
      </c>
      <c r="V30" s="277">
        <v>1053</v>
      </c>
      <c r="W30" s="277">
        <v>1056</v>
      </c>
      <c r="X30" s="254">
        <f t="shared" si="15"/>
        <v>1095</v>
      </c>
      <c r="Y30" s="254">
        <f t="shared" si="15"/>
        <v>1227</v>
      </c>
      <c r="Z30" s="254">
        <f t="shared" si="15"/>
        <v>1801</v>
      </c>
      <c r="AA30" s="254">
        <f t="shared" ca="1" si="15"/>
        <v>1750.8377825533771</v>
      </c>
      <c r="AB30" s="287">
        <f ca="1">'AAL Debt'!AB121</f>
        <v>1698.3461714999999</v>
      </c>
      <c r="AC30" s="287">
        <f ca="1">'AAL Debt'!AC121</f>
        <v>1664.4508791000003</v>
      </c>
      <c r="AD30" s="287">
        <f ca="1">'AAL Debt'!AD121</f>
        <v>1472.6853361999997</v>
      </c>
    </row>
    <row r="31" spans="3:30" s="255" customFormat="1" ht="10.5" customHeight="1">
      <c r="C31" s="255" t="s">
        <v>873</v>
      </c>
      <c r="E31" s="277">
        <v>-108</v>
      </c>
      <c r="F31" s="277">
        <v>31</v>
      </c>
      <c r="G31" s="277">
        <v>1</v>
      </c>
      <c r="H31" s="277">
        <v>-83</v>
      </c>
      <c r="I31" s="277">
        <v>105</v>
      </c>
      <c r="J31" s="277">
        <v>-71</v>
      </c>
      <c r="K31" s="277">
        <v>-111</v>
      </c>
      <c r="L31" s="277">
        <v>-77</v>
      </c>
      <c r="M31" s="277">
        <v>-109</v>
      </c>
      <c r="N31" s="277">
        <v>-49</v>
      </c>
      <c r="O31" s="277">
        <v>-82</v>
      </c>
      <c r="P31" s="277">
        <v>-52</v>
      </c>
      <c r="Q31" s="277">
        <v>-92</v>
      </c>
      <c r="R31" s="287">
        <f>'AAL KPI'!R76</f>
        <v>-89.571486219884093</v>
      </c>
      <c r="S31" s="287">
        <f>'AAL KPI'!S76</f>
        <v>-90.28151917262467</v>
      </c>
      <c r="T31" s="287">
        <f>'AAL KPI'!T76</f>
        <v>-83.129963953904863</v>
      </c>
      <c r="V31" s="277">
        <v>-123</v>
      </c>
      <c r="W31" s="277">
        <v>-166</v>
      </c>
      <c r="X31" s="254">
        <f t="shared" si="15"/>
        <v>-159</v>
      </c>
      <c r="Y31" s="254">
        <f t="shared" si="15"/>
        <v>-154</v>
      </c>
      <c r="Z31" s="254">
        <f t="shared" si="15"/>
        <v>-292</v>
      </c>
      <c r="AA31" s="254">
        <f t="shared" si="15"/>
        <v>-354.9829693464136</v>
      </c>
      <c r="AB31" s="287">
        <f>'AAL KPI'!AB76</f>
        <v>-349.85206160174005</v>
      </c>
      <c r="AC31" s="287">
        <f>'AAL KPI'!AC76</f>
        <v>-368.31771376988672</v>
      </c>
      <c r="AD31" s="287">
        <f>'AAL KPI'!AD76</f>
        <v>-371.53502370123175</v>
      </c>
    </row>
    <row r="32" spans="3:30" s="255" customFormat="1" ht="10.5" customHeight="1">
      <c r="C32" s="286" t="s">
        <v>302</v>
      </c>
      <c r="E32" s="358">
        <f t="shared" ref="E32:T32" si="16">+E27-SUM(E29:E31)</f>
        <v>245</v>
      </c>
      <c r="F32" s="358">
        <f t="shared" si="16"/>
        <v>882</v>
      </c>
      <c r="G32" s="358">
        <f t="shared" si="16"/>
        <v>557</v>
      </c>
      <c r="H32" s="358">
        <f t="shared" si="16"/>
        <v>571</v>
      </c>
      <c r="I32" s="358">
        <f t="shared" si="16"/>
        <v>-2890</v>
      </c>
      <c r="J32" s="358">
        <f t="shared" si="16"/>
        <v>-2659</v>
      </c>
      <c r="K32" s="358">
        <f t="shared" si="16"/>
        <v>-3095</v>
      </c>
      <c r="L32" s="358">
        <f t="shared" si="16"/>
        <v>-2809</v>
      </c>
      <c r="M32" s="358">
        <f t="shared" si="16"/>
        <v>-1573</v>
      </c>
      <c r="N32" s="358">
        <f t="shared" si="16"/>
        <v>9</v>
      </c>
      <c r="O32" s="358">
        <f t="shared" si="16"/>
        <v>206</v>
      </c>
      <c r="P32" s="358">
        <f t="shared" si="16"/>
        <v>-1191</v>
      </c>
      <c r="Q32" s="358">
        <f>+Q27-SUM(Q29:Q31)</f>
        <v>-2086</v>
      </c>
      <c r="R32" s="358">
        <f t="shared" ca="1" si="16"/>
        <v>-494.4857485760943</v>
      </c>
      <c r="S32" s="358">
        <f t="shared" ca="1" si="16"/>
        <v>-259.84302349031503</v>
      </c>
      <c r="T32" s="358">
        <f t="shared" ca="1" si="16"/>
        <v>-362.46357820310055</v>
      </c>
      <c r="V32" s="358">
        <f t="shared" ref="V32:AA32" si="17">+V27-SUM(V29:V31)</f>
        <v>3395</v>
      </c>
      <c r="W32" s="358">
        <f t="shared" si="17"/>
        <v>1884</v>
      </c>
      <c r="X32" s="358">
        <f t="shared" si="17"/>
        <v>2255</v>
      </c>
      <c r="Y32" s="358">
        <f t="shared" si="17"/>
        <v>-11453</v>
      </c>
      <c r="Z32" s="358">
        <f t="shared" si="17"/>
        <v>-2549</v>
      </c>
      <c r="AA32" s="358">
        <f t="shared" ca="1" si="17"/>
        <v>-3202.7923502695085</v>
      </c>
      <c r="AB32" s="358">
        <f ca="1">+AB27-SUM(AB29:AB31)</f>
        <v>1005.2592737107389</v>
      </c>
      <c r="AC32" s="358">
        <f ca="1">+AC27-SUM(AC29:AC31)</f>
        <v>2785.621897535189</v>
      </c>
      <c r="AD32" s="358">
        <f ca="1">+AD27-SUM(AD29:AD31)</f>
        <v>3443.1198053369631</v>
      </c>
    </row>
    <row r="33" spans="2:30" s="255" customFormat="1" ht="10.5" customHeight="1">
      <c r="C33" s="283"/>
    </row>
    <row r="34" spans="2:30" s="255" customFormat="1" ht="10.5" customHeight="1">
      <c r="C34" s="255" t="s">
        <v>874</v>
      </c>
      <c r="E34" s="277">
        <v>60</v>
      </c>
      <c r="F34" s="277">
        <v>220</v>
      </c>
      <c r="G34" s="277">
        <v>132</v>
      </c>
      <c r="H34" s="277">
        <v>157</v>
      </c>
      <c r="I34" s="277">
        <v>-649</v>
      </c>
      <c r="J34" s="277">
        <v>-592</v>
      </c>
      <c r="K34" s="277">
        <v>-696</v>
      </c>
      <c r="L34" s="277">
        <v>-631</v>
      </c>
      <c r="M34" s="277">
        <v>-323</v>
      </c>
      <c r="N34" s="277">
        <v>-10</v>
      </c>
      <c r="O34" s="277">
        <v>37</v>
      </c>
      <c r="P34" s="277">
        <v>-260</v>
      </c>
      <c r="Q34" s="277">
        <v>-451</v>
      </c>
      <c r="R34" s="287">
        <f ca="1">'AAL KPI'!R81</f>
        <v>0</v>
      </c>
      <c r="S34" s="287">
        <f ca="1">'AAL KPI'!S81</f>
        <v>0</v>
      </c>
      <c r="T34" s="287">
        <f ca="1">'AAL KPI'!T81</f>
        <v>0</v>
      </c>
      <c r="V34" s="277">
        <v>2113</v>
      </c>
      <c r="W34" s="277">
        <v>472</v>
      </c>
      <c r="X34" s="254">
        <f>+SUMIF($E$5:$T$5,X$5,$E34:$T34)</f>
        <v>569</v>
      </c>
      <c r="Y34" s="254">
        <f>+SUMIF($E$5:$T$5,Y$5,$E34:$T34)</f>
        <v>-2568</v>
      </c>
      <c r="Z34" s="254">
        <f>+SUMIF($E$5:$T$5,Z$5,$E34:$T34)</f>
        <v>-556</v>
      </c>
      <c r="AA34" s="254">
        <f ca="1">+SUMIF($E$5:$T$5,AA$5,$E34:$T34)</f>
        <v>-451</v>
      </c>
      <c r="AB34" s="287">
        <f ca="1">'AAL KPI'!AB81</f>
        <v>0</v>
      </c>
      <c r="AC34" s="287">
        <f ca="1">'AAL KPI'!AC81</f>
        <v>0</v>
      </c>
      <c r="AD34" s="287">
        <f ca="1">'AAL KPI'!AD81</f>
        <v>0</v>
      </c>
    </row>
    <row r="35" spans="2:30" s="255" customFormat="1" ht="10.5" customHeight="1">
      <c r="C35" s="286" t="s">
        <v>304</v>
      </c>
      <c r="E35" s="358">
        <f t="shared" ref="E35:T35" si="18">E32-E34</f>
        <v>185</v>
      </c>
      <c r="F35" s="358">
        <f t="shared" si="18"/>
        <v>662</v>
      </c>
      <c r="G35" s="358">
        <f t="shared" si="18"/>
        <v>425</v>
      </c>
      <c r="H35" s="358">
        <f t="shared" si="18"/>
        <v>414</v>
      </c>
      <c r="I35" s="358">
        <f t="shared" si="18"/>
        <v>-2241</v>
      </c>
      <c r="J35" s="358">
        <f t="shared" si="18"/>
        <v>-2067</v>
      </c>
      <c r="K35" s="358">
        <f t="shared" si="18"/>
        <v>-2399</v>
      </c>
      <c r="L35" s="358">
        <f t="shared" si="18"/>
        <v>-2178</v>
      </c>
      <c r="M35" s="358">
        <f t="shared" si="18"/>
        <v>-1250</v>
      </c>
      <c r="N35" s="358">
        <f t="shared" si="18"/>
        <v>19</v>
      </c>
      <c r="O35" s="358">
        <f t="shared" si="18"/>
        <v>169</v>
      </c>
      <c r="P35" s="358">
        <f t="shared" si="18"/>
        <v>-931</v>
      </c>
      <c r="Q35" s="358">
        <f>Q32-Q34</f>
        <v>-1635</v>
      </c>
      <c r="R35" s="358">
        <f t="shared" ca="1" si="18"/>
        <v>-494.4857485760943</v>
      </c>
      <c r="S35" s="358">
        <f t="shared" ca="1" si="18"/>
        <v>-259.84302349031503</v>
      </c>
      <c r="T35" s="358">
        <f t="shared" ca="1" si="18"/>
        <v>-362.46357820310055</v>
      </c>
      <c r="V35" s="358">
        <f t="shared" ref="V35:AD35" si="19">V32-V34</f>
        <v>1282</v>
      </c>
      <c r="W35" s="358">
        <f t="shared" si="19"/>
        <v>1412</v>
      </c>
      <c r="X35" s="358">
        <f t="shared" si="19"/>
        <v>1686</v>
      </c>
      <c r="Y35" s="358">
        <f t="shared" si="19"/>
        <v>-8885</v>
      </c>
      <c r="Z35" s="358">
        <f t="shared" si="19"/>
        <v>-1993</v>
      </c>
      <c r="AA35" s="358">
        <f t="shared" ca="1" si="19"/>
        <v>-2751.7923502695085</v>
      </c>
      <c r="AB35" s="358">
        <f t="shared" ca="1" si="19"/>
        <v>1005.2592737107389</v>
      </c>
      <c r="AC35" s="358">
        <f t="shared" ca="1" si="19"/>
        <v>2785.621897535189</v>
      </c>
      <c r="AD35" s="358">
        <f t="shared" ca="1" si="19"/>
        <v>3443.1198053369631</v>
      </c>
    </row>
    <row r="36" spans="2:30" ht="10.5" customHeight="1">
      <c r="C36" s="279"/>
    </row>
    <row r="37" spans="2:30" ht="10.5" customHeight="1">
      <c r="C37" s="253" t="s">
        <v>875</v>
      </c>
      <c r="E37" s="387">
        <f t="shared" ref="E37:T38" si="20">E$35/E40</f>
        <v>0.40933641036307034</v>
      </c>
      <c r="F37" s="387">
        <f t="shared" si="20"/>
        <v>1.487613705821019</v>
      </c>
      <c r="G37" s="387">
        <f t="shared" si="20"/>
        <v>0.96172340834775916</v>
      </c>
      <c r="H37" s="387">
        <f t="shared" si="20"/>
        <v>0.95264831629764968</v>
      </c>
      <c r="I37" s="387">
        <f t="shared" si="20"/>
        <v>-5.2641098580499062</v>
      </c>
      <c r="J37" s="387">
        <f t="shared" si="20"/>
        <v>-4.8203504140557403</v>
      </c>
      <c r="K37" s="387">
        <f t="shared" si="20"/>
        <v>-4.7127093855404887</v>
      </c>
      <c r="L37" s="387">
        <f t="shared" si="20"/>
        <v>-3.8077988195473997</v>
      </c>
      <c r="M37" s="387">
        <f t="shared" si="20"/>
        <v>-1.969716786241607</v>
      </c>
      <c r="N37" s="387">
        <f t="shared" si="20"/>
        <v>2.949747175617079E-2</v>
      </c>
      <c r="O37" s="387">
        <f t="shared" si="20"/>
        <v>0.26057567179183549</v>
      </c>
      <c r="P37" s="387">
        <f t="shared" si="20"/>
        <v>-1.4350320454524437</v>
      </c>
      <c r="Q37" s="387">
        <f>Q$35/Q40</f>
        <v>-2.5173093888711828</v>
      </c>
      <c r="R37" s="387">
        <f t="shared" ca="1" si="20"/>
        <v>-0.76039635333860423</v>
      </c>
      <c r="S37" s="387">
        <f t="shared" ca="1" si="20"/>
        <v>-0.39957407887177465</v>
      </c>
      <c r="T37" s="387">
        <f t="shared" ca="1" si="20"/>
        <v>-0.55737902230216907</v>
      </c>
      <c r="V37" s="387">
        <f t="shared" ref="V37:AD38" si="21">V$35/V40</f>
        <v>2.6207979327996336</v>
      </c>
      <c r="W37" s="387">
        <f t="shared" si="21"/>
        <v>3.0415564497367718</v>
      </c>
      <c r="X37" s="387">
        <f t="shared" si="21"/>
        <v>3.802753048856129</v>
      </c>
      <c r="Y37" s="387">
        <f t="shared" si="21"/>
        <v>-18.361687001950866</v>
      </c>
      <c r="Z37" s="387">
        <f t="shared" si="21"/>
        <v>-3.0946484165741484</v>
      </c>
      <c r="AA37" s="387">
        <f t="shared" ca="1" si="21"/>
        <v>-4.2728699646273895</v>
      </c>
      <c r="AB37" s="387">
        <f t="shared" ca="1" si="21"/>
        <v>1.5609252481863605</v>
      </c>
      <c r="AC37" s="387">
        <f t="shared" ca="1" si="21"/>
        <v>4.3253990940198426</v>
      </c>
      <c r="AD37" s="387">
        <f t="shared" ca="1" si="21"/>
        <v>5.346334798625751</v>
      </c>
    </row>
    <row r="38" spans="2:30" ht="10.5" customHeight="1">
      <c r="C38" s="253" t="s">
        <v>876</v>
      </c>
      <c r="E38" s="387">
        <f t="shared" si="20"/>
        <v>0.40800213484360287</v>
      </c>
      <c r="F38" s="387">
        <f t="shared" si="20"/>
        <v>1.4856806863755003</v>
      </c>
      <c r="G38" s="387">
        <f t="shared" si="20"/>
        <v>0.96066690626829498</v>
      </c>
      <c r="H38" s="387">
        <f t="shared" si="20"/>
        <v>0.95264831629764968</v>
      </c>
      <c r="I38" s="387">
        <f t="shared" si="20"/>
        <v>-5.2641098580499062</v>
      </c>
      <c r="J38" s="387">
        <f t="shared" si="20"/>
        <v>-4.8203504140557403</v>
      </c>
      <c r="K38" s="387">
        <f t="shared" si="20"/>
        <v>-4.7127093855404887</v>
      </c>
      <c r="L38" s="387">
        <f t="shared" si="20"/>
        <v>-3.8077988195473997</v>
      </c>
      <c r="M38" s="387">
        <f t="shared" si="20"/>
        <v>-1.969716786241607</v>
      </c>
      <c r="N38" s="387">
        <f t="shared" si="20"/>
        <v>2.8946999567318533E-2</v>
      </c>
      <c r="O38" s="387">
        <f t="shared" si="20"/>
        <v>0.23435051626448047</v>
      </c>
      <c r="P38" s="387">
        <f t="shared" si="20"/>
        <v>-1.4350320454524437</v>
      </c>
      <c r="Q38" s="387">
        <f>Q$35/Q41</f>
        <v>-2.5173093888711828</v>
      </c>
      <c r="R38" s="387">
        <f t="shared" ca="1" si="20"/>
        <v>-0.68564302353867757</v>
      </c>
      <c r="S38" s="387">
        <f t="shared" ca="1" si="20"/>
        <v>-0.36029260051347062</v>
      </c>
      <c r="T38" s="387">
        <f t="shared" ca="1" si="20"/>
        <v>-0.50258399639919649</v>
      </c>
      <c r="V38" s="387">
        <f t="shared" si="21"/>
        <v>2.6073232836816542</v>
      </c>
      <c r="W38" s="387">
        <f t="shared" si="21"/>
        <v>3.0322552935618261</v>
      </c>
      <c r="X38" s="387">
        <f t="shared" si="21"/>
        <v>3.802753048856129</v>
      </c>
      <c r="Y38" s="387">
        <f t="shared" si="21"/>
        <v>-18.361687001950866</v>
      </c>
      <c r="Z38" s="387">
        <f t="shared" si="21"/>
        <v>-3.0946484165741484</v>
      </c>
      <c r="AA38" s="387">
        <f t="shared" ca="1" si="21"/>
        <v>-4.2728699646273895</v>
      </c>
      <c r="AB38" s="387">
        <f t="shared" ca="1" si="21"/>
        <v>1.5609252481863605</v>
      </c>
      <c r="AC38" s="387">
        <f t="shared" ca="1" si="21"/>
        <v>4.3253990940198426</v>
      </c>
      <c r="AD38" s="387">
        <f t="shared" ca="1" si="21"/>
        <v>5.346334798625751</v>
      </c>
    </row>
    <row r="39" spans="2:30" ht="10.5" customHeight="1">
      <c r="J39" s="277"/>
    </row>
    <row r="40" spans="2:30" s="634" customFormat="1" ht="10.5" customHeight="1">
      <c r="C40" s="634" t="s">
        <v>877</v>
      </c>
      <c r="E40" s="635">
        <v>451.95100000000002</v>
      </c>
      <c r="F40" s="635">
        <v>445.00799999999998</v>
      </c>
      <c r="G40" s="635">
        <v>441.91500000000002</v>
      </c>
      <c r="H40" s="635">
        <v>434.57799999999997</v>
      </c>
      <c r="I40" s="635">
        <v>425.71300000000002</v>
      </c>
      <c r="J40" s="635">
        <v>428.80700000000002</v>
      </c>
      <c r="K40" s="635">
        <v>509.04899999999998</v>
      </c>
      <c r="L40" s="635">
        <v>571.98400000000004</v>
      </c>
      <c r="M40" s="635">
        <v>634.60900000000004</v>
      </c>
      <c r="N40" s="635">
        <v>644.12300000000005</v>
      </c>
      <c r="O40" s="635">
        <v>648.56399999999996</v>
      </c>
      <c r="P40" s="635">
        <v>648.76599999999996</v>
      </c>
      <c r="Q40" s="635">
        <v>649.50300000000004</v>
      </c>
      <c r="R40" s="635">
        <v>650.29999999999995</v>
      </c>
      <c r="S40" s="636">
        <f>R40</f>
        <v>650.29999999999995</v>
      </c>
      <c r="T40" s="636">
        <f>S40</f>
        <v>650.29999999999995</v>
      </c>
      <c r="V40" s="635">
        <v>489.16399999999999</v>
      </c>
      <c r="W40" s="635">
        <v>464.23599999999999</v>
      </c>
      <c r="X40" s="635">
        <v>443.363</v>
      </c>
      <c r="Y40" s="635">
        <v>483.88799999999998</v>
      </c>
      <c r="Z40" s="635">
        <v>644.01499999999999</v>
      </c>
      <c r="AA40" s="635">
        <v>644.01499999999999</v>
      </c>
      <c r="AB40" s="636">
        <f t="shared" ref="AB40:AD41" si="22">AA40</f>
        <v>644.01499999999999</v>
      </c>
      <c r="AC40" s="636">
        <f t="shared" si="22"/>
        <v>644.01499999999999</v>
      </c>
      <c r="AD40" s="636">
        <f t="shared" si="22"/>
        <v>644.01499999999999</v>
      </c>
    </row>
    <row r="41" spans="2:30" s="634" customFormat="1" ht="10.5" customHeight="1">
      <c r="C41" s="634" t="s">
        <v>878</v>
      </c>
      <c r="E41" s="635">
        <v>453.42899999999997</v>
      </c>
      <c r="F41" s="635">
        <v>445.58699999999999</v>
      </c>
      <c r="G41" s="635">
        <v>442.40100000000001</v>
      </c>
      <c r="H41" s="635">
        <v>434.57799999999997</v>
      </c>
      <c r="I41" s="635">
        <v>425.71300000000002</v>
      </c>
      <c r="J41" s="635">
        <v>428.80700000000002</v>
      </c>
      <c r="K41" s="635">
        <v>509.04899999999998</v>
      </c>
      <c r="L41" s="635">
        <v>571.98400000000004</v>
      </c>
      <c r="M41" s="635">
        <v>634.60900000000004</v>
      </c>
      <c r="N41" s="635">
        <v>656.37199999999996</v>
      </c>
      <c r="O41" s="635">
        <v>721.14200000000005</v>
      </c>
      <c r="P41" s="635">
        <v>648.76599999999996</v>
      </c>
      <c r="Q41" s="635">
        <v>649.50300000000004</v>
      </c>
      <c r="R41" s="635">
        <v>721.2</v>
      </c>
      <c r="S41" s="636">
        <f>R41</f>
        <v>721.2</v>
      </c>
      <c r="T41" s="636">
        <f>S41</f>
        <v>721.2</v>
      </c>
      <c r="V41" s="635">
        <v>491.69200000000001</v>
      </c>
      <c r="W41" s="635">
        <v>465.66</v>
      </c>
      <c r="X41" s="635">
        <v>443.363</v>
      </c>
      <c r="Y41" s="635">
        <v>483.88799999999998</v>
      </c>
      <c r="Z41" s="635">
        <v>644.01499999999999</v>
      </c>
      <c r="AA41" s="635">
        <v>644.01499999999999</v>
      </c>
      <c r="AB41" s="636">
        <f t="shared" si="22"/>
        <v>644.01499999999999</v>
      </c>
      <c r="AC41" s="636">
        <f t="shared" si="22"/>
        <v>644.01499999999999</v>
      </c>
      <c r="AD41" s="636">
        <f t="shared" si="22"/>
        <v>644.01499999999999</v>
      </c>
    </row>
    <row r="42" spans="2:30" s="255" customFormat="1" ht="10.5" customHeight="1">
      <c r="E42" s="277"/>
      <c r="F42" s="277"/>
      <c r="G42" s="277"/>
      <c r="H42" s="277"/>
      <c r="I42" s="277"/>
      <c r="J42" s="277"/>
      <c r="K42" s="277"/>
      <c r="L42" s="277"/>
      <c r="M42" s="277"/>
      <c r="N42" s="277"/>
      <c r="O42" s="277"/>
      <c r="P42" s="277"/>
      <c r="Q42" s="277"/>
      <c r="R42" s="277"/>
      <c r="S42" s="277"/>
      <c r="T42" s="277"/>
      <c r="V42" s="277"/>
      <c r="W42" s="277"/>
      <c r="X42" s="277"/>
      <c r="Y42" s="277"/>
      <c r="Z42" s="277"/>
      <c r="AA42" s="277"/>
      <c r="AB42" s="277"/>
      <c r="AC42" s="277"/>
      <c r="AD42" s="277"/>
    </row>
    <row r="43" spans="2:30" ht="10.5" customHeight="1">
      <c r="C43" s="253" t="s">
        <v>879</v>
      </c>
      <c r="E43" s="421">
        <f t="shared" ref="E43:Q43" si="23">-E241/E40</f>
        <v>0.10178094527946613</v>
      </c>
      <c r="F43" s="421">
        <f t="shared" si="23"/>
        <v>9.8874626972998245E-2</v>
      </c>
      <c r="G43" s="421">
        <f t="shared" si="23"/>
        <v>0.10182953735446862</v>
      </c>
      <c r="H43" s="421">
        <f t="shared" si="23"/>
        <v>9.8946564253137526E-2</v>
      </c>
      <c r="I43" s="421">
        <f t="shared" si="23"/>
        <v>0.10100701646414367</v>
      </c>
      <c r="J43" s="421">
        <f t="shared" si="23"/>
        <v>0</v>
      </c>
      <c r="K43" s="421">
        <f t="shared" si="23"/>
        <v>0</v>
      </c>
      <c r="L43" s="421">
        <f t="shared" si="23"/>
        <v>0</v>
      </c>
      <c r="M43" s="421">
        <f t="shared" si="23"/>
        <v>0</v>
      </c>
      <c r="N43" s="421">
        <f t="shared" si="23"/>
        <v>0</v>
      </c>
      <c r="O43" s="421">
        <f t="shared" si="23"/>
        <v>0</v>
      </c>
      <c r="P43" s="421">
        <f t="shared" si="23"/>
        <v>0</v>
      </c>
      <c r="Q43" s="421">
        <f t="shared" si="23"/>
        <v>0</v>
      </c>
      <c r="R43" s="637"/>
      <c r="S43" s="637"/>
      <c r="T43" s="637"/>
      <c r="V43" s="421">
        <f t="shared" ref="V43:AA43" si="24">-V241/V40</f>
        <v>0.40477222363052068</v>
      </c>
      <c r="W43" s="421">
        <f t="shared" si="24"/>
        <v>0.40065828587184105</v>
      </c>
      <c r="X43" s="421">
        <f t="shared" si="24"/>
        <v>0.40147689365147748</v>
      </c>
      <c r="Y43" s="421">
        <f t="shared" si="24"/>
        <v>8.8863538670105477E-2</v>
      </c>
      <c r="Z43" s="421">
        <f t="shared" si="24"/>
        <v>0</v>
      </c>
      <c r="AA43" s="421">
        <f t="shared" si="24"/>
        <v>0</v>
      </c>
      <c r="AB43" s="637"/>
      <c r="AC43" s="637"/>
      <c r="AD43" s="637"/>
    </row>
    <row r="44" spans="2:30" ht="10.5" customHeight="1">
      <c r="E44" s="387"/>
      <c r="F44" s="387"/>
      <c r="G44" s="387"/>
      <c r="H44" s="387"/>
      <c r="I44" s="387"/>
      <c r="J44" s="387"/>
      <c r="K44" s="387"/>
      <c r="L44" s="387"/>
      <c r="M44" s="387"/>
      <c r="N44" s="387"/>
      <c r="O44" s="387"/>
      <c r="P44" s="387"/>
      <c r="Q44" s="387"/>
      <c r="R44" s="387"/>
      <c r="S44" s="387"/>
      <c r="T44" s="387"/>
      <c r="U44" s="387"/>
      <c r="V44" s="387"/>
      <c r="W44" s="387"/>
      <c r="X44" s="387"/>
      <c r="Y44" s="387"/>
      <c r="Z44" s="387"/>
    </row>
    <row r="45" spans="2:30" ht="11.25" customHeight="1">
      <c r="B45" s="258" t="s">
        <v>133</v>
      </c>
      <c r="C45" s="259" t="s">
        <v>880</v>
      </c>
      <c r="D45" s="259"/>
      <c r="E45" s="258"/>
      <c r="F45" s="258"/>
      <c r="G45" s="258"/>
      <c r="H45" s="258"/>
      <c r="I45" s="258"/>
      <c r="J45" s="258"/>
      <c r="K45" s="258"/>
      <c r="L45" s="258"/>
      <c r="M45" s="258"/>
      <c r="N45" s="258"/>
      <c r="O45" s="258"/>
      <c r="P45" s="258"/>
      <c r="Q45" s="258"/>
      <c r="R45" s="258"/>
      <c r="S45" s="258"/>
      <c r="T45" s="258"/>
      <c r="V45" s="258"/>
      <c r="W45" s="258"/>
      <c r="X45" s="258"/>
      <c r="Y45" s="258"/>
      <c r="Z45" s="258"/>
      <c r="AA45" s="258"/>
      <c r="AB45" s="258"/>
      <c r="AC45" s="258"/>
      <c r="AD45" s="258"/>
    </row>
    <row r="46" spans="2:30" ht="11.25" customHeight="1"/>
    <row r="47" spans="2:30" ht="11.25" customHeight="1">
      <c r="C47" s="638" t="s">
        <v>881</v>
      </c>
      <c r="E47" s="254">
        <f>SUM('AAL Financials'!E15:E20,E23:E26)</f>
        <v>10209</v>
      </c>
      <c r="F47" s="254">
        <f>SUM('AAL Financials'!F15:F20,F23:F26)</f>
        <v>10807</v>
      </c>
      <c r="G47" s="254">
        <f>SUM('AAL Financials'!G15:G20,G23:G26)</f>
        <v>11103</v>
      </c>
      <c r="H47" s="254">
        <f>SUM('AAL Financials'!H15:H20,H23:H26)</f>
        <v>10584</v>
      </c>
      <c r="I47" s="254">
        <f>SUM('AAL Financials'!I15:I20,I23:I26)</f>
        <v>11064</v>
      </c>
      <c r="J47" s="254">
        <f>SUM('AAL Financials'!J15:J20,J23:J26)</f>
        <v>4108</v>
      </c>
      <c r="K47" s="254">
        <f>SUM('AAL Financials'!K15:K20,K23:K26)</f>
        <v>6044</v>
      </c>
      <c r="L47" s="254">
        <f>SUM('AAL Financials'!L15:L20,L23:L26)</f>
        <v>6542</v>
      </c>
      <c r="M47" s="254">
        <f>SUM('AAL Financials'!M15:M20,M23:M26)</f>
        <v>5323</v>
      </c>
      <c r="N47" s="254">
        <f>SUM('AAL Financials'!N15:N20,N23:N26)</f>
        <v>7037</v>
      </c>
      <c r="O47" s="254">
        <f>SUM('AAL Financials'!O15:O20,O23:O26)</f>
        <v>8374</v>
      </c>
      <c r="P47" s="254">
        <f>SUM('AAL Financials'!P15:P20,P23:P26)</f>
        <v>10207</v>
      </c>
      <c r="Q47" s="254">
        <f>SUM('AAL Financials'!Q15:Q20,Q23:Q26)</f>
        <v>10622</v>
      </c>
      <c r="R47" s="254">
        <f>SUM('AAL Financials'!R15:R20,R23:R26)</f>
        <v>12958.880312049572</v>
      </c>
      <c r="S47" s="254">
        <f>SUM('AAL Financials'!S15:S20,S23:S26)</f>
        <v>12827.881513522141</v>
      </c>
      <c r="T47" s="254">
        <f>SUM('AAL Financials'!T15:T20,T23:T26)</f>
        <v>11900.377803901672</v>
      </c>
      <c r="U47" s="484"/>
      <c r="V47" s="254">
        <f>SUM('AAL Financials'!V15:V20,V23:V26)</f>
        <v>38391</v>
      </c>
      <c r="W47" s="254">
        <f>SUM('AAL Financials'!W15:W20,W23:W26)</f>
        <v>41885</v>
      </c>
      <c r="X47" s="254">
        <f>+SUMIF($E$5:$T$5,X$5,$E47:$T47)</f>
        <v>42703</v>
      </c>
      <c r="Y47" s="254">
        <f>+SUMIF($E$5:$T$5,Y$5,$E47:$T47)</f>
        <v>27758</v>
      </c>
      <c r="Z47" s="254">
        <f>+SUMIF($E$5:$T$5,Z$5,$E47:$T47)</f>
        <v>30941</v>
      </c>
      <c r="AA47" s="254">
        <f>+SUMIF($E$5:$T$5,AA$5,$E47:$T47)</f>
        <v>48309.139629473386</v>
      </c>
      <c r="AB47" s="254">
        <f>SUM('AAL Financials'!AB15:AB20,AB23:AB26)</f>
        <v>47660.112559496716</v>
      </c>
      <c r="AC47" s="254">
        <f>SUM('AAL Financials'!AC15:AC20,AC23:AC26)</f>
        <v>48570.061189975655</v>
      </c>
      <c r="AD47" s="254">
        <f>SUM('AAL Financials'!AD15:AD20,AD23:AD26)</f>
        <v>48567.161839483088</v>
      </c>
    </row>
    <row r="48" spans="2:30" s="484" customFormat="1" ht="11.25" customHeight="1">
      <c r="C48" s="639" t="s">
        <v>882</v>
      </c>
      <c r="E48" s="254">
        <f t="shared" ref="E48:T48" si="25">SUM(E49:E50)</f>
        <v>-138</v>
      </c>
      <c r="F48" s="254">
        <f t="shared" si="25"/>
        <v>-121</v>
      </c>
      <c r="G48" s="254">
        <f t="shared" si="25"/>
        <v>-234</v>
      </c>
      <c r="H48" s="254">
        <f t="shared" si="25"/>
        <v>-148</v>
      </c>
      <c r="I48" s="254">
        <f t="shared" si="25"/>
        <v>-1225</v>
      </c>
      <c r="J48" s="254">
        <f t="shared" si="25"/>
        <v>1672</v>
      </c>
      <c r="K48" s="254">
        <f t="shared" si="25"/>
        <v>519</v>
      </c>
      <c r="L48" s="254">
        <f t="shared" si="25"/>
        <v>0</v>
      </c>
      <c r="M48" s="254">
        <f t="shared" si="25"/>
        <v>1923</v>
      </c>
      <c r="N48" s="254">
        <f t="shared" si="25"/>
        <v>1455</v>
      </c>
      <c r="O48" s="254">
        <f t="shared" si="25"/>
        <v>1057</v>
      </c>
      <c r="P48" s="254">
        <f t="shared" si="25"/>
        <v>20</v>
      </c>
      <c r="Q48" s="254">
        <f>SUM(Q49:Q50)</f>
        <v>-157</v>
      </c>
      <c r="R48" s="254">
        <f t="shared" si="25"/>
        <v>0</v>
      </c>
      <c r="S48" s="254">
        <f t="shared" si="25"/>
        <v>0</v>
      </c>
      <c r="T48" s="254">
        <f t="shared" si="25"/>
        <v>0</v>
      </c>
      <c r="U48" s="253"/>
      <c r="V48" s="254">
        <f t="shared" ref="V48:AD48" si="26">SUM(V49:V50)</f>
        <v>-734</v>
      </c>
      <c r="W48" s="254">
        <f t="shared" si="26"/>
        <v>-793</v>
      </c>
      <c r="X48" s="254">
        <f t="shared" si="26"/>
        <v>-641</v>
      </c>
      <c r="Y48" s="254">
        <f t="shared" si="26"/>
        <v>966</v>
      </c>
      <c r="Z48" s="254">
        <f t="shared" si="26"/>
        <v>4455</v>
      </c>
      <c r="AA48" s="254">
        <f t="shared" si="26"/>
        <v>-157</v>
      </c>
      <c r="AB48" s="254">
        <f t="shared" si="26"/>
        <v>0</v>
      </c>
      <c r="AC48" s="254">
        <f t="shared" si="26"/>
        <v>0</v>
      </c>
      <c r="AD48" s="254">
        <f t="shared" si="26"/>
        <v>0</v>
      </c>
    </row>
    <row r="49" spans="3:30" ht="11.25" hidden="1" customHeight="1" outlineLevel="1">
      <c r="C49" s="640" t="s">
        <v>883</v>
      </c>
      <c r="D49" s="390"/>
      <c r="E49" s="395">
        <f t="shared" ref="E49:T49" si="27">-E80</f>
        <v>-138</v>
      </c>
      <c r="F49" s="395">
        <f t="shared" si="27"/>
        <v>-121</v>
      </c>
      <c r="G49" s="395">
        <f t="shared" si="27"/>
        <v>-228</v>
      </c>
      <c r="H49" s="395">
        <f t="shared" si="27"/>
        <v>-147</v>
      </c>
      <c r="I49" s="395">
        <f t="shared" si="27"/>
        <v>-1132</v>
      </c>
      <c r="J49" s="395">
        <f t="shared" si="27"/>
        <v>1494</v>
      </c>
      <c r="K49" s="395">
        <f t="shared" si="27"/>
        <v>295</v>
      </c>
      <c r="L49" s="395">
        <f t="shared" si="27"/>
        <v>0</v>
      </c>
      <c r="M49" s="395">
        <f t="shared" si="27"/>
        <v>1708</v>
      </c>
      <c r="N49" s="395">
        <f t="shared" si="27"/>
        <v>1288</v>
      </c>
      <c r="O49" s="395">
        <f t="shared" si="27"/>
        <v>990</v>
      </c>
      <c r="P49" s="395">
        <f t="shared" si="27"/>
        <v>20</v>
      </c>
      <c r="Q49" s="395">
        <f>-Q80</f>
        <v>-157</v>
      </c>
      <c r="R49" s="395">
        <f t="shared" si="27"/>
        <v>0</v>
      </c>
      <c r="S49" s="395">
        <f t="shared" si="27"/>
        <v>0</v>
      </c>
      <c r="T49" s="395">
        <f t="shared" si="27"/>
        <v>0</v>
      </c>
      <c r="V49" s="395">
        <f>-V80</f>
        <v>-712</v>
      </c>
      <c r="W49" s="395">
        <f>-W80</f>
        <v>-787</v>
      </c>
      <c r="X49" s="641">
        <f t="shared" ref="X49:AA50" si="28">+SUMIF($E$5:$T$5,X$5,$E49:$T49)</f>
        <v>-634</v>
      </c>
      <c r="Y49" s="641">
        <f t="shared" si="28"/>
        <v>657</v>
      </c>
      <c r="Z49" s="641">
        <f t="shared" si="28"/>
        <v>4006</v>
      </c>
      <c r="AA49" s="641">
        <f t="shared" si="28"/>
        <v>-157</v>
      </c>
      <c r="AB49" s="395">
        <f>-AB80</f>
        <v>0</v>
      </c>
      <c r="AC49" s="395">
        <f>-AC80</f>
        <v>0</v>
      </c>
      <c r="AD49" s="395">
        <f>-AD80</f>
        <v>0</v>
      </c>
    </row>
    <row r="50" spans="3:30" ht="11.25" hidden="1" customHeight="1" outlineLevel="1">
      <c r="C50" s="640" t="s">
        <v>884</v>
      </c>
      <c r="D50" s="390"/>
      <c r="E50" s="395">
        <f t="shared" ref="E50:T50" si="29">-E88</f>
        <v>0</v>
      </c>
      <c r="F50" s="395">
        <f t="shared" si="29"/>
        <v>0</v>
      </c>
      <c r="G50" s="395">
        <f t="shared" si="29"/>
        <v>-6</v>
      </c>
      <c r="H50" s="395">
        <f t="shared" si="29"/>
        <v>-1</v>
      </c>
      <c r="I50" s="395">
        <f t="shared" si="29"/>
        <v>-93</v>
      </c>
      <c r="J50" s="395">
        <f t="shared" si="29"/>
        <v>178</v>
      </c>
      <c r="K50" s="395">
        <f t="shared" si="29"/>
        <v>224</v>
      </c>
      <c r="L50" s="395">
        <f t="shared" si="29"/>
        <v>0</v>
      </c>
      <c r="M50" s="395">
        <f t="shared" si="29"/>
        <v>215</v>
      </c>
      <c r="N50" s="395">
        <f t="shared" si="29"/>
        <v>167</v>
      </c>
      <c r="O50" s="395">
        <f t="shared" si="29"/>
        <v>67</v>
      </c>
      <c r="P50" s="395">
        <f t="shared" si="29"/>
        <v>0</v>
      </c>
      <c r="Q50" s="395">
        <f>-Q88</f>
        <v>0</v>
      </c>
      <c r="R50" s="395">
        <f t="shared" si="29"/>
        <v>0</v>
      </c>
      <c r="S50" s="395">
        <f t="shared" si="29"/>
        <v>0</v>
      </c>
      <c r="T50" s="395">
        <f t="shared" si="29"/>
        <v>0</v>
      </c>
      <c r="V50" s="395">
        <f>-V88</f>
        <v>-22</v>
      </c>
      <c r="W50" s="395">
        <f>-W88</f>
        <v>-6</v>
      </c>
      <c r="X50" s="641">
        <f t="shared" si="28"/>
        <v>-7</v>
      </c>
      <c r="Y50" s="641">
        <f t="shared" si="28"/>
        <v>309</v>
      </c>
      <c r="Z50" s="641">
        <f t="shared" si="28"/>
        <v>449</v>
      </c>
      <c r="AA50" s="641">
        <f t="shared" si="28"/>
        <v>0</v>
      </c>
      <c r="AB50" s="395">
        <f>-AB88</f>
        <v>0</v>
      </c>
      <c r="AC50" s="395">
        <f>-AC88</f>
        <v>0</v>
      </c>
      <c r="AD50" s="395">
        <f>-AD88</f>
        <v>0</v>
      </c>
    </row>
    <row r="51" spans="3:30" ht="11.25" customHeight="1" collapsed="1">
      <c r="C51" s="642" t="s">
        <v>885</v>
      </c>
      <c r="E51" s="255">
        <f>SUM(E52:E53)</f>
        <v>-2149</v>
      </c>
      <c r="F51" s="255">
        <f>SUM(F52:F53)</f>
        <v>-2482</v>
      </c>
      <c r="G51" s="255">
        <f>SUM(G52:G53)</f>
        <v>-2474</v>
      </c>
      <c r="H51" s="255">
        <f>SUM(H52:H53)</f>
        <v>-2290</v>
      </c>
      <c r="I51" s="254">
        <f>-I15</f>
        <v>-1784</v>
      </c>
      <c r="J51" s="254">
        <f>-J15</f>
        <v>-309</v>
      </c>
      <c r="K51" s="254">
        <f>-K15</f>
        <v>-611</v>
      </c>
      <c r="L51" s="254">
        <f>-L15</f>
        <v>-698</v>
      </c>
      <c r="M51" s="254">
        <f>-M15</f>
        <v>-1034</v>
      </c>
      <c r="N51" s="254">
        <f>-'AAL Financials'!N15</f>
        <v>-1611</v>
      </c>
      <c r="O51" s="254">
        <f>-'AAL Financials'!O15</f>
        <v>-1952</v>
      </c>
      <c r="P51" s="254">
        <f>-'AAL Financials'!P15</f>
        <v>-2196</v>
      </c>
      <c r="Q51" s="254">
        <f>-'AAL Financials'!Q15</f>
        <v>-2502</v>
      </c>
      <c r="R51" s="254">
        <f>-'AAL Financials'!R15</f>
        <v>-4639.8568557243807</v>
      </c>
      <c r="S51" s="254">
        <f>-'AAL Financials'!S15</f>
        <v>-4226.4952299357419</v>
      </c>
      <c r="T51" s="254">
        <f>-'AAL Financials'!T15</f>
        <v>-3512.3351716697712</v>
      </c>
      <c r="V51" s="255">
        <f>SUM(V52:V53)</f>
        <v>-7510</v>
      </c>
      <c r="W51" s="255">
        <f>SUM(W52:W53)</f>
        <v>-9896</v>
      </c>
      <c r="X51" s="255">
        <f>SUM(X52:X53)</f>
        <v>-9395</v>
      </c>
      <c r="Y51" s="254">
        <f>+SUMIF($E$5:$T$5,Y$5,$E51:$T51)</f>
        <v>-3402</v>
      </c>
      <c r="Z51" s="254">
        <f>+SUMIF($E$5:$T$5,Z$5,$E51:$T51)</f>
        <v>-6793</v>
      </c>
      <c r="AA51" s="254">
        <f>+SUMIF($E$5:$T$5,AA$5,$E51:$T51)</f>
        <v>-14880.687257329893</v>
      </c>
      <c r="AB51" s="254">
        <f>-'AAL Financials'!AB15</f>
        <v>-13536.992009606871</v>
      </c>
      <c r="AC51" s="254">
        <f>-'AAL Financials'!AC15</f>
        <v>-12624.554568336482</v>
      </c>
      <c r="AD51" s="254">
        <f>-'AAL Financials'!AD15</f>
        <v>-12901.155247658509</v>
      </c>
    </row>
    <row r="52" spans="3:30" ht="11.25" hidden="1" customHeight="1" outlineLevel="1">
      <c r="C52" s="640" t="s">
        <v>883</v>
      </c>
      <c r="D52" s="390"/>
      <c r="E52" s="385">
        <v>-1726</v>
      </c>
      <c r="F52" s="385">
        <v>-1995</v>
      </c>
      <c r="G52" s="385">
        <v>-1989</v>
      </c>
      <c r="H52" s="385">
        <v>-1816</v>
      </c>
      <c r="I52" s="385"/>
      <c r="J52" s="385"/>
      <c r="K52" s="385"/>
      <c r="L52" s="385"/>
      <c r="M52" s="395"/>
      <c r="N52" s="395"/>
      <c r="O52" s="395"/>
      <c r="P52" s="395"/>
      <c r="Q52" s="395"/>
      <c r="R52" s="395"/>
      <c r="S52" s="395"/>
      <c r="T52" s="395"/>
      <c r="V52" s="385">
        <v>-6128</v>
      </c>
      <c r="W52" s="385">
        <v>-8053</v>
      </c>
      <c r="X52" s="641">
        <f t="shared" ref="X52:AA53" si="30">+SUMIF($E$5:$T$5,X$5,$E52:$T52)</f>
        <v>-7526</v>
      </c>
      <c r="Y52" s="385">
        <f t="shared" si="30"/>
        <v>0</v>
      </c>
      <c r="Z52" s="385">
        <f t="shared" si="30"/>
        <v>0</v>
      </c>
      <c r="AA52" s="385">
        <f t="shared" si="30"/>
        <v>0</v>
      </c>
      <c r="AB52" s="395"/>
      <c r="AC52" s="395"/>
      <c r="AD52" s="395"/>
    </row>
    <row r="53" spans="3:30" ht="11.25" hidden="1" customHeight="1" outlineLevel="1">
      <c r="C53" s="640" t="s">
        <v>884</v>
      </c>
      <c r="D53" s="390"/>
      <c r="E53" s="385">
        <v>-423</v>
      </c>
      <c r="F53" s="385">
        <v>-487</v>
      </c>
      <c r="G53" s="385">
        <v>-485</v>
      </c>
      <c r="H53" s="385">
        <v>-474</v>
      </c>
      <c r="I53" s="385"/>
      <c r="J53" s="385"/>
      <c r="K53" s="385"/>
      <c r="L53" s="385"/>
      <c r="M53" s="395"/>
      <c r="N53" s="395"/>
      <c r="O53" s="395"/>
      <c r="P53" s="395"/>
      <c r="Q53" s="395"/>
      <c r="R53" s="395"/>
      <c r="S53" s="395"/>
      <c r="T53" s="395"/>
      <c r="V53" s="385">
        <v>-1382</v>
      </c>
      <c r="W53" s="385">
        <v>-1843</v>
      </c>
      <c r="X53" s="641">
        <f t="shared" si="30"/>
        <v>-1869</v>
      </c>
      <c r="Y53" s="385">
        <f t="shared" si="30"/>
        <v>0</v>
      </c>
      <c r="Z53" s="385">
        <f t="shared" si="30"/>
        <v>0</v>
      </c>
      <c r="AA53" s="385">
        <f t="shared" si="30"/>
        <v>0</v>
      </c>
      <c r="AB53" s="395"/>
      <c r="AC53" s="395"/>
      <c r="AD53" s="395"/>
    </row>
    <row r="54" spans="3:30" ht="11.25" customHeight="1" collapsed="1">
      <c r="C54" s="289" t="s">
        <v>886</v>
      </c>
      <c r="D54" s="279"/>
      <c r="E54" s="358">
        <f t="shared" ref="E54:T54" si="31">E47+E48+E51</f>
        <v>7922</v>
      </c>
      <c r="F54" s="358">
        <f t="shared" si="31"/>
        <v>8204</v>
      </c>
      <c r="G54" s="358">
        <f t="shared" si="31"/>
        <v>8395</v>
      </c>
      <c r="H54" s="358">
        <f t="shared" si="31"/>
        <v>8146</v>
      </c>
      <c r="I54" s="358">
        <f t="shared" si="31"/>
        <v>8055</v>
      </c>
      <c r="J54" s="358">
        <f t="shared" si="31"/>
        <v>5471</v>
      </c>
      <c r="K54" s="358">
        <f t="shared" si="31"/>
        <v>5952</v>
      </c>
      <c r="L54" s="358">
        <f t="shared" si="31"/>
        <v>5844</v>
      </c>
      <c r="M54" s="358">
        <f t="shared" si="31"/>
        <v>6212</v>
      </c>
      <c r="N54" s="358">
        <f t="shared" si="31"/>
        <v>6881</v>
      </c>
      <c r="O54" s="358">
        <f t="shared" si="31"/>
        <v>7479</v>
      </c>
      <c r="P54" s="358">
        <f t="shared" si="31"/>
        <v>8031</v>
      </c>
      <c r="Q54" s="358">
        <f>Q47+Q48+Q51</f>
        <v>7963</v>
      </c>
      <c r="R54" s="358">
        <f t="shared" si="31"/>
        <v>8319.0234563251906</v>
      </c>
      <c r="S54" s="358">
        <f t="shared" si="31"/>
        <v>8601.3862835863983</v>
      </c>
      <c r="T54" s="358">
        <f t="shared" si="31"/>
        <v>8388.0426322319017</v>
      </c>
      <c r="V54" s="358">
        <f t="shared" ref="V54:AD54" si="32">V47+V48+V51</f>
        <v>30147</v>
      </c>
      <c r="W54" s="358">
        <f t="shared" si="32"/>
        <v>31196</v>
      </c>
      <c r="X54" s="358">
        <f t="shared" si="32"/>
        <v>32667</v>
      </c>
      <c r="Y54" s="358">
        <f t="shared" si="32"/>
        <v>25322</v>
      </c>
      <c r="Z54" s="358">
        <f t="shared" si="32"/>
        <v>28603</v>
      </c>
      <c r="AA54" s="358">
        <f t="shared" si="32"/>
        <v>33271.452372143496</v>
      </c>
      <c r="AB54" s="358">
        <f t="shared" si="32"/>
        <v>34123.120549889849</v>
      </c>
      <c r="AC54" s="358">
        <f t="shared" si="32"/>
        <v>35945.506621639171</v>
      </c>
      <c r="AD54" s="358">
        <f t="shared" si="32"/>
        <v>35666.006591824582</v>
      </c>
    </row>
    <row r="55" spans="3:30" ht="11.25" customHeight="1">
      <c r="C55" s="279"/>
      <c r="E55" s="255"/>
      <c r="F55" s="255"/>
      <c r="G55" s="255"/>
      <c r="H55" s="255"/>
      <c r="I55" s="255"/>
      <c r="J55" s="255"/>
      <c r="K55" s="255"/>
      <c r="L55" s="255"/>
      <c r="M55" s="255"/>
      <c r="N55" s="255"/>
      <c r="O55" s="255"/>
      <c r="P55" s="255"/>
      <c r="Q55" s="255"/>
    </row>
    <row r="56" spans="3:30" ht="11.25" customHeight="1">
      <c r="C56" s="638" t="s">
        <v>1240</v>
      </c>
      <c r="E56" s="254">
        <f>E32</f>
        <v>245</v>
      </c>
      <c r="F56" s="254">
        <f t="shared" ref="F56:AD56" si="33">F32</f>
        <v>882</v>
      </c>
      <c r="G56" s="254">
        <f t="shared" si="33"/>
        <v>557</v>
      </c>
      <c r="H56" s="254">
        <f t="shared" si="33"/>
        <v>571</v>
      </c>
      <c r="I56" s="254">
        <f t="shared" si="33"/>
        <v>-2890</v>
      </c>
      <c r="J56" s="254">
        <f t="shared" si="33"/>
        <v>-2659</v>
      </c>
      <c r="K56" s="254">
        <f t="shared" si="33"/>
        <v>-3095</v>
      </c>
      <c r="L56" s="254">
        <f t="shared" si="33"/>
        <v>-2809</v>
      </c>
      <c r="M56" s="254">
        <f t="shared" si="33"/>
        <v>-1573</v>
      </c>
      <c r="N56" s="254">
        <f t="shared" si="33"/>
        <v>9</v>
      </c>
      <c r="O56" s="254">
        <f t="shared" si="33"/>
        <v>206</v>
      </c>
      <c r="P56" s="254">
        <f t="shared" si="33"/>
        <v>-1191</v>
      </c>
      <c r="Q56" s="254">
        <f t="shared" si="33"/>
        <v>-2086</v>
      </c>
      <c r="R56" s="254">
        <f t="shared" ca="1" si="33"/>
        <v>-494.4857485760943</v>
      </c>
      <c r="S56" s="254">
        <f t="shared" ca="1" si="33"/>
        <v>-259.84302349031503</v>
      </c>
      <c r="T56" s="254">
        <f t="shared" ca="1" si="33"/>
        <v>-362.46357820310055</v>
      </c>
      <c r="V56" s="254">
        <f t="shared" si="33"/>
        <v>3395</v>
      </c>
      <c r="W56" s="254">
        <f t="shared" si="33"/>
        <v>1884</v>
      </c>
      <c r="X56" s="254">
        <f t="shared" ref="X56:AA58" si="34">+SUMIF($E$5:$T$5,X$5,$E56:$T56)</f>
        <v>2255</v>
      </c>
      <c r="Y56" s="254">
        <f t="shared" si="34"/>
        <v>-11453</v>
      </c>
      <c r="Z56" s="254">
        <f t="shared" si="34"/>
        <v>-2549</v>
      </c>
      <c r="AA56" s="254">
        <f t="shared" ca="1" si="34"/>
        <v>-3202.7923502695098</v>
      </c>
      <c r="AB56" s="254">
        <f t="shared" ca="1" si="33"/>
        <v>1005.2592737107389</v>
      </c>
      <c r="AC56" s="254">
        <f t="shared" ca="1" si="33"/>
        <v>2785.621897535189</v>
      </c>
      <c r="AD56" s="254">
        <f t="shared" ca="1" si="33"/>
        <v>3443.1198053369631</v>
      </c>
    </row>
    <row r="57" spans="3:30" ht="11.25" customHeight="1">
      <c r="C57" s="381" t="s">
        <v>887</v>
      </c>
      <c r="E57" s="255">
        <f t="shared" ref="E57:T57" si="35">E90</f>
        <v>138</v>
      </c>
      <c r="F57" s="255">
        <f t="shared" si="35"/>
        <v>121</v>
      </c>
      <c r="G57" s="255">
        <f t="shared" si="35"/>
        <v>234</v>
      </c>
      <c r="H57" s="255">
        <f t="shared" si="35"/>
        <v>148</v>
      </c>
      <c r="I57" s="255">
        <f t="shared" si="35"/>
        <v>1225</v>
      </c>
      <c r="J57" s="255">
        <f t="shared" si="35"/>
        <v>-1672</v>
      </c>
      <c r="K57" s="255">
        <f t="shared" si="35"/>
        <v>-519</v>
      </c>
      <c r="L57" s="255">
        <f t="shared" si="35"/>
        <v>0</v>
      </c>
      <c r="M57" s="255">
        <f t="shared" si="35"/>
        <v>-1923</v>
      </c>
      <c r="N57" s="255">
        <f t="shared" si="35"/>
        <v>-1455</v>
      </c>
      <c r="O57" s="255">
        <f t="shared" si="35"/>
        <v>-1057</v>
      </c>
      <c r="P57" s="255">
        <f t="shared" si="35"/>
        <v>-20</v>
      </c>
      <c r="Q57" s="255">
        <f>Q90</f>
        <v>157</v>
      </c>
      <c r="R57" s="255">
        <f t="shared" si="35"/>
        <v>0</v>
      </c>
      <c r="S57" s="255">
        <f t="shared" si="35"/>
        <v>0</v>
      </c>
      <c r="T57" s="255">
        <f t="shared" si="35"/>
        <v>0</v>
      </c>
      <c r="V57" s="255">
        <f t="shared" ref="V57:AD57" si="36">V90</f>
        <v>734</v>
      </c>
      <c r="W57" s="255">
        <f t="shared" si="36"/>
        <v>793</v>
      </c>
      <c r="X57" s="254">
        <f t="shared" si="34"/>
        <v>641</v>
      </c>
      <c r="Y57" s="254">
        <f t="shared" si="34"/>
        <v>-966</v>
      </c>
      <c r="Z57" s="254">
        <f t="shared" si="34"/>
        <v>-4455</v>
      </c>
      <c r="AA57" s="254">
        <f t="shared" si="34"/>
        <v>157</v>
      </c>
      <c r="AB57" s="255">
        <f t="shared" si="36"/>
        <v>0</v>
      </c>
      <c r="AC57" s="255">
        <f t="shared" si="36"/>
        <v>0</v>
      </c>
      <c r="AD57" s="255">
        <f t="shared" si="36"/>
        <v>0</v>
      </c>
    </row>
    <row r="58" spans="3:30" ht="11.25" customHeight="1">
      <c r="C58" s="381" t="s">
        <v>888</v>
      </c>
      <c r="E58" s="255">
        <f t="shared" ref="E58:T58" si="37">E96</f>
        <v>-69</v>
      </c>
      <c r="F58" s="255">
        <f t="shared" si="37"/>
        <v>69</v>
      </c>
      <c r="G58" s="255">
        <f t="shared" si="37"/>
        <v>44</v>
      </c>
      <c r="H58" s="255">
        <f t="shared" si="37"/>
        <v>-41</v>
      </c>
      <c r="I58" s="255">
        <f t="shared" si="37"/>
        <v>217</v>
      </c>
      <c r="J58" s="255">
        <f t="shared" si="37"/>
        <v>11</v>
      </c>
      <c r="K58" s="255">
        <f t="shared" si="37"/>
        <v>-21</v>
      </c>
      <c r="L58" s="255">
        <f t="shared" si="37"/>
        <v>-37</v>
      </c>
      <c r="M58" s="255">
        <f t="shared" si="37"/>
        <v>-23</v>
      </c>
      <c r="N58" s="255">
        <f t="shared" si="37"/>
        <v>37</v>
      </c>
      <c r="O58" s="255">
        <f t="shared" si="37"/>
        <v>18</v>
      </c>
      <c r="P58" s="255">
        <f t="shared" si="37"/>
        <v>28</v>
      </c>
      <c r="Q58" s="255">
        <f>Q96</f>
        <v>3</v>
      </c>
      <c r="R58" s="255">
        <f t="shared" si="37"/>
        <v>0</v>
      </c>
      <c r="S58" s="255">
        <f t="shared" si="37"/>
        <v>0</v>
      </c>
      <c r="T58" s="255">
        <f t="shared" si="37"/>
        <v>0</v>
      </c>
      <c r="V58" s="255">
        <f t="shared" ref="V58:AD58" si="38">V96</f>
        <v>22</v>
      </c>
      <c r="W58" s="255">
        <f t="shared" si="38"/>
        <v>113</v>
      </c>
      <c r="X58" s="254">
        <f t="shared" si="34"/>
        <v>3</v>
      </c>
      <c r="Y58" s="254">
        <f t="shared" si="34"/>
        <v>170</v>
      </c>
      <c r="Z58" s="254">
        <f t="shared" si="34"/>
        <v>60</v>
      </c>
      <c r="AA58" s="254">
        <f t="shared" si="34"/>
        <v>3</v>
      </c>
      <c r="AB58" s="255">
        <f t="shared" si="38"/>
        <v>0</v>
      </c>
      <c r="AC58" s="255">
        <f t="shared" si="38"/>
        <v>0</v>
      </c>
      <c r="AD58" s="255">
        <f t="shared" si="38"/>
        <v>0</v>
      </c>
    </row>
    <row r="59" spans="3:30" ht="11.25" customHeight="1">
      <c r="C59" s="289" t="s">
        <v>889</v>
      </c>
      <c r="E59" s="396">
        <f t="shared" ref="E59:P59" si="39">SUM(E56:E58)</f>
        <v>314</v>
      </c>
      <c r="F59" s="396">
        <f t="shared" si="39"/>
        <v>1072</v>
      </c>
      <c r="G59" s="396">
        <f t="shared" si="39"/>
        <v>835</v>
      </c>
      <c r="H59" s="396">
        <f t="shared" si="39"/>
        <v>678</v>
      </c>
      <c r="I59" s="396">
        <f t="shared" si="39"/>
        <v>-1448</v>
      </c>
      <c r="J59" s="396">
        <f t="shared" si="39"/>
        <v>-4320</v>
      </c>
      <c r="K59" s="396">
        <f t="shared" si="39"/>
        <v>-3635</v>
      </c>
      <c r="L59" s="396">
        <f t="shared" si="39"/>
        <v>-2846</v>
      </c>
      <c r="M59" s="396">
        <f t="shared" si="39"/>
        <v>-3519</v>
      </c>
      <c r="N59" s="396">
        <f t="shared" si="39"/>
        <v>-1409</v>
      </c>
      <c r="O59" s="396">
        <f t="shared" si="39"/>
        <v>-833</v>
      </c>
      <c r="P59" s="396">
        <f t="shared" si="39"/>
        <v>-1183</v>
      </c>
      <c r="Q59" s="396">
        <f>SUM(Q56:Q58)</f>
        <v>-1926</v>
      </c>
      <c r="R59" s="396">
        <f ca="1">SUM(R56:R58)</f>
        <v>-494.4857485760943</v>
      </c>
      <c r="S59" s="396">
        <f ca="1">SUM(S56:S58)</f>
        <v>-259.84302349031503</v>
      </c>
      <c r="T59" s="396">
        <f ca="1">SUM(T56:T58)</f>
        <v>-362.46357820310055</v>
      </c>
      <c r="U59" s="386"/>
      <c r="V59" s="396">
        <f t="shared" ref="V59:AD59" si="40">SUM(V56:V58)</f>
        <v>4151</v>
      </c>
      <c r="W59" s="396">
        <f t="shared" si="40"/>
        <v>2790</v>
      </c>
      <c r="X59" s="396">
        <f t="shared" si="40"/>
        <v>2899</v>
      </c>
      <c r="Y59" s="396">
        <f t="shared" si="40"/>
        <v>-12249</v>
      </c>
      <c r="Z59" s="396">
        <f t="shared" si="40"/>
        <v>-6944</v>
      </c>
      <c r="AA59" s="396">
        <f t="shared" ca="1" si="40"/>
        <v>-3042.7923502695098</v>
      </c>
      <c r="AB59" s="396">
        <f t="shared" ca="1" si="40"/>
        <v>1005.2592737107389</v>
      </c>
      <c r="AC59" s="396">
        <f t="shared" ca="1" si="40"/>
        <v>2785.621897535189</v>
      </c>
      <c r="AD59" s="396">
        <f t="shared" ca="1" si="40"/>
        <v>3443.1198053369631</v>
      </c>
    </row>
    <row r="60" spans="3:30" ht="11.25" customHeight="1"/>
    <row r="61" spans="3:30" s="255" customFormat="1" ht="11.25" customHeight="1">
      <c r="C61" s="638" t="s">
        <v>304</v>
      </c>
      <c r="E61" s="254">
        <f>E35</f>
        <v>185</v>
      </c>
      <c r="F61" s="254">
        <f t="shared" ref="F61:W61" si="41">F35</f>
        <v>662</v>
      </c>
      <c r="G61" s="254">
        <f t="shared" si="41"/>
        <v>425</v>
      </c>
      <c r="H61" s="254">
        <f t="shared" si="41"/>
        <v>414</v>
      </c>
      <c r="I61" s="254">
        <f t="shared" si="41"/>
        <v>-2241</v>
      </c>
      <c r="J61" s="254">
        <f t="shared" si="41"/>
        <v>-2067</v>
      </c>
      <c r="K61" s="254">
        <f t="shared" si="41"/>
        <v>-2399</v>
      </c>
      <c r="L61" s="254">
        <f t="shared" si="41"/>
        <v>-2178</v>
      </c>
      <c r="M61" s="254">
        <f t="shared" si="41"/>
        <v>-1250</v>
      </c>
      <c r="N61" s="254">
        <f t="shared" si="41"/>
        <v>19</v>
      </c>
      <c r="O61" s="254">
        <f t="shared" si="41"/>
        <v>169</v>
      </c>
      <c r="P61" s="254">
        <f t="shared" si="41"/>
        <v>-931</v>
      </c>
      <c r="Q61" s="254">
        <f t="shared" si="41"/>
        <v>-1635</v>
      </c>
      <c r="R61" s="254">
        <f t="shared" ca="1" si="41"/>
        <v>-494.4857485760943</v>
      </c>
      <c r="S61" s="254">
        <f t="shared" ca="1" si="41"/>
        <v>-259.84302349031503</v>
      </c>
      <c r="T61" s="254">
        <f t="shared" ca="1" si="41"/>
        <v>-362.46357820310055</v>
      </c>
      <c r="V61" s="254">
        <f t="shared" si="41"/>
        <v>1282</v>
      </c>
      <c r="W61" s="254">
        <f t="shared" si="41"/>
        <v>1412</v>
      </c>
      <c r="X61" s="254">
        <f t="shared" ref="X61:AA63" si="42">+SUMIF($E$5:$T$5,X$5,$E61:$T61)</f>
        <v>1686</v>
      </c>
      <c r="Y61" s="254">
        <f t="shared" si="42"/>
        <v>-8885</v>
      </c>
      <c r="Z61" s="254">
        <f t="shared" si="42"/>
        <v>-1993</v>
      </c>
      <c r="AA61" s="254">
        <f t="shared" ca="1" si="42"/>
        <v>-2751.7923502695098</v>
      </c>
      <c r="AB61" s="254">
        <f t="shared" ref="AB61:AD61" ca="1" si="43">AB35</f>
        <v>1005.2592737107389</v>
      </c>
      <c r="AC61" s="254">
        <f t="shared" ca="1" si="43"/>
        <v>2785.621897535189</v>
      </c>
      <c r="AD61" s="254">
        <f t="shared" ca="1" si="43"/>
        <v>3443.1198053369631</v>
      </c>
    </row>
    <row r="62" spans="3:30" s="255" customFormat="1" ht="11.25" customHeight="1">
      <c r="C62" s="291" t="s">
        <v>890</v>
      </c>
      <c r="E62" s="255">
        <f t="shared" ref="E62:T62" si="44">SUM(E57:E58)</f>
        <v>69</v>
      </c>
      <c r="F62" s="255">
        <f t="shared" si="44"/>
        <v>190</v>
      </c>
      <c r="G62" s="255">
        <f t="shared" si="44"/>
        <v>278</v>
      </c>
      <c r="H62" s="255">
        <f t="shared" si="44"/>
        <v>107</v>
      </c>
      <c r="I62" s="255">
        <f t="shared" si="44"/>
        <v>1442</v>
      </c>
      <c r="J62" s="255">
        <f t="shared" si="44"/>
        <v>-1661</v>
      </c>
      <c r="K62" s="255">
        <f t="shared" si="44"/>
        <v>-540</v>
      </c>
      <c r="L62" s="255">
        <f t="shared" si="44"/>
        <v>-37</v>
      </c>
      <c r="M62" s="255">
        <f t="shared" si="44"/>
        <v>-1946</v>
      </c>
      <c r="N62" s="255">
        <f t="shared" si="44"/>
        <v>-1418</v>
      </c>
      <c r="O62" s="255">
        <f t="shared" si="44"/>
        <v>-1039</v>
      </c>
      <c r="P62" s="255">
        <f t="shared" si="44"/>
        <v>8</v>
      </c>
      <c r="Q62" s="255">
        <f>SUM(Q57:Q58)</f>
        <v>160</v>
      </c>
      <c r="R62" s="255">
        <f t="shared" si="44"/>
        <v>0</v>
      </c>
      <c r="S62" s="255">
        <f t="shared" si="44"/>
        <v>0</v>
      </c>
      <c r="T62" s="255">
        <f t="shared" si="44"/>
        <v>0</v>
      </c>
      <c r="V62" s="255">
        <f>SUM(V57:V58)</f>
        <v>756</v>
      </c>
      <c r="W62" s="255">
        <f>SUM(W57:W58)</f>
        <v>906</v>
      </c>
      <c r="X62" s="254">
        <f t="shared" si="42"/>
        <v>644</v>
      </c>
      <c r="Y62" s="254">
        <f t="shared" si="42"/>
        <v>-796</v>
      </c>
      <c r="Z62" s="254">
        <f t="shared" si="42"/>
        <v>-4395</v>
      </c>
      <c r="AA62" s="254">
        <f t="shared" si="42"/>
        <v>160</v>
      </c>
      <c r="AB62" s="255">
        <f>SUM(AB57:AB58)</f>
        <v>0</v>
      </c>
      <c r="AC62" s="255">
        <f>SUM(AC57:AC58)</f>
        <v>0</v>
      </c>
      <c r="AD62" s="255">
        <f>SUM(AD57:AD58)</f>
        <v>0</v>
      </c>
    </row>
    <row r="63" spans="3:30" s="255" customFormat="1" ht="11.25" customHeight="1">
      <c r="C63" s="291" t="s">
        <v>891</v>
      </c>
      <c r="E63" s="277">
        <v>-17</v>
      </c>
      <c r="F63" s="277">
        <v>-42</v>
      </c>
      <c r="G63" s="277">
        <v>-73</v>
      </c>
      <c r="H63" s="277">
        <v>-20</v>
      </c>
      <c r="I63" s="277">
        <v>-330</v>
      </c>
      <c r="J63" s="277">
        <v>374</v>
      </c>
      <c r="K63" s="277">
        <v>121</v>
      </c>
      <c r="L63" s="277">
        <v>4</v>
      </c>
      <c r="M63" s="277">
        <v>453</v>
      </c>
      <c r="N63" s="277">
        <v>309</v>
      </c>
      <c r="O63" s="277">
        <v>229</v>
      </c>
      <c r="P63" s="277">
        <v>1</v>
      </c>
      <c r="Q63" s="277">
        <v>-35</v>
      </c>
      <c r="R63" s="277">
        <v>0</v>
      </c>
      <c r="S63" s="277">
        <v>0</v>
      </c>
      <c r="T63" s="277">
        <v>0</v>
      </c>
      <c r="V63" s="277">
        <f>-269+823</f>
        <v>554</v>
      </c>
      <c r="W63" s="277">
        <f>-219+18</f>
        <v>-201</v>
      </c>
      <c r="X63" s="254">
        <f t="shared" si="42"/>
        <v>-152</v>
      </c>
      <c r="Y63" s="254">
        <f t="shared" si="42"/>
        <v>169</v>
      </c>
      <c r="Z63" s="254">
        <f t="shared" si="42"/>
        <v>992</v>
      </c>
      <c r="AA63" s="254">
        <f t="shared" si="42"/>
        <v>-35</v>
      </c>
      <c r="AB63" s="277">
        <v>0</v>
      </c>
      <c r="AC63" s="277">
        <v>0</v>
      </c>
      <c r="AD63" s="277">
        <v>0</v>
      </c>
    </row>
    <row r="64" spans="3:30" s="255" customFormat="1" ht="11.25" customHeight="1">
      <c r="C64" s="286" t="s">
        <v>892</v>
      </c>
      <c r="D64" s="283"/>
      <c r="E64" s="358">
        <f t="shared" ref="E64:P64" si="45">SUM(E61:E63)</f>
        <v>237</v>
      </c>
      <c r="F64" s="358">
        <f t="shared" si="45"/>
        <v>810</v>
      </c>
      <c r="G64" s="358">
        <f t="shared" si="45"/>
        <v>630</v>
      </c>
      <c r="H64" s="358">
        <f t="shared" si="45"/>
        <v>501</v>
      </c>
      <c r="I64" s="358">
        <f t="shared" si="45"/>
        <v>-1129</v>
      </c>
      <c r="J64" s="358">
        <f t="shared" si="45"/>
        <v>-3354</v>
      </c>
      <c r="K64" s="358">
        <f t="shared" si="45"/>
        <v>-2818</v>
      </c>
      <c r="L64" s="358">
        <f t="shared" si="45"/>
        <v>-2211</v>
      </c>
      <c r="M64" s="358">
        <f t="shared" si="45"/>
        <v>-2743</v>
      </c>
      <c r="N64" s="358">
        <f t="shared" si="45"/>
        <v>-1090</v>
      </c>
      <c r="O64" s="358">
        <f t="shared" si="45"/>
        <v>-641</v>
      </c>
      <c r="P64" s="358">
        <f t="shared" si="45"/>
        <v>-922</v>
      </c>
      <c r="Q64" s="358">
        <f>SUM(Q61:Q63)</f>
        <v>-1510</v>
      </c>
      <c r="R64" s="358">
        <f ca="1">SUM(R61:R63)</f>
        <v>-494.4857485760943</v>
      </c>
      <c r="S64" s="358">
        <f ca="1">SUM(S61:S63)</f>
        <v>-259.84302349031503</v>
      </c>
      <c r="T64" s="358">
        <f ca="1">SUM(T61:T63)</f>
        <v>-362.46357820310055</v>
      </c>
      <c r="V64" s="358">
        <f t="shared" ref="V64:AD64" si="46">SUM(V61:V63)</f>
        <v>2592</v>
      </c>
      <c r="W64" s="358">
        <f t="shared" si="46"/>
        <v>2117</v>
      </c>
      <c r="X64" s="358">
        <f t="shared" si="46"/>
        <v>2178</v>
      </c>
      <c r="Y64" s="358">
        <f t="shared" si="46"/>
        <v>-9512</v>
      </c>
      <c r="Z64" s="358">
        <f t="shared" si="46"/>
        <v>-5396</v>
      </c>
      <c r="AA64" s="358">
        <f t="shared" ca="1" si="46"/>
        <v>-2626.7923502695098</v>
      </c>
      <c r="AB64" s="358">
        <f t="shared" ca="1" si="46"/>
        <v>1005.2592737107389</v>
      </c>
      <c r="AC64" s="358">
        <f t="shared" ca="1" si="46"/>
        <v>2785.621897535189</v>
      </c>
      <c r="AD64" s="358">
        <f t="shared" ca="1" si="46"/>
        <v>3443.1198053369631</v>
      </c>
    </row>
    <row r="65" spans="3:30" ht="11.25" hidden="1" customHeight="1" outlineLevel="1">
      <c r="E65" s="643"/>
      <c r="F65" s="643"/>
      <c r="G65" s="643"/>
      <c r="H65" s="643"/>
      <c r="I65" s="643"/>
      <c r="J65" s="643"/>
      <c r="K65" s="643"/>
      <c r="L65" s="643"/>
      <c r="M65" s="643"/>
      <c r="N65" s="643"/>
      <c r="O65" s="643"/>
      <c r="P65" s="643"/>
      <c r="Q65" s="643"/>
      <c r="R65" s="643"/>
      <c r="S65" s="643"/>
      <c r="T65" s="643"/>
      <c r="U65" s="643"/>
      <c r="V65" s="643"/>
      <c r="W65" s="643"/>
      <c r="X65" s="643"/>
      <c r="Y65" s="643"/>
      <c r="Z65" s="643"/>
      <c r="AA65" s="643"/>
      <c r="AB65" s="643"/>
      <c r="AC65" s="643"/>
      <c r="AD65" s="643"/>
    </row>
    <row r="66" spans="3:30" ht="11.25" hidden="1" customHeight="1" outlineLevel="1">
      <c r="C66" s="397" t="s">
        <v>893</v>
      </c>
    </row>
    <row r="67" spans="3:30" ht="3" hidden="1" customHeight="1" outlineLevel="1">
      <c r="Q67" s="277">
        <v>0</v>
      </c>
      <c r="R67" s="277">
        <v>0</v>
      </c>
      <c r="S67" s="277">
        <v>0</v>
      </c>
      <c r="T67" s="277">
        <v>0</v>
      </c>
      <c r="AB67" s="277">
        <v>0</v>
      </c>
      <c r="AC67" s="277">
        <v>0</v>
      </c>
      <c r="AD67" s="277">
        <v>0</v>
      </c>
    </row>
    <row r="68" spans="3:30" ht="11.25" hidden="1" customHeight="1" outlineLevel="1">
      <c r="C68" s="253" t="s">
        <v>894</v>
      </c>
      <c r="E68" s="277">
        <v>0</v>
      </c>
      <c r="F68" s="277">
        <v>0</v>
      </c>
      <c r="G68" s="277">
        <v>0</v>
      </c>
      <c r="H68" s="277">
        <v>0</v>
      </c>
      <c r="I68" s="277">
        <v>0</v>
      </c>
      <c r="J68" s="277">
        <v>-1803</v>
      </c>
      <c r="K68" s="277">
        <v>-1908</v>
      </c>
      <c r="L68" s="277">
        <v>1</v>
      </c>
      <c r="M68" s="277">
        <v>0</v>
      </c>
      <c r="N68" s="277">
        <v>-1288</v>
      </c>
      <c r="O68" s="277">
        <v>-992</v>
      </c>
      <c r="P68" s="277">
        <v>-1882</v>
      </c>
      <c r="Q68" s="277">
        <v>0</v>
      </c>
      <c r="R68" s="277">
        <v>0</v>
      </c>
      <c r="S68" s="277">
        <v>0</v>
      </c>
      <c r="T68" s="277">
        <v>0</v>
      </c>
      <c r="V68" s="277">
        <v>0</v>
      </c>
      <c r="W68" s="277">
        <v>0</v>
      </c>
      <c r="X68" s="254">
        <f>+SUMIF('AAL KPI'!$E$5:$T$5,'AAL KPI'!X$5,$E68:$T68)</f>
        <v>0</v>
      </c>
      <c r="Y68" s="254">
        <f>+SUMIF('AAL KPI'!$E$5:$T$5,'AAL KPI'!Y$5,$E68:$T68)</f>
        <v>-3710</v>
      </c>
      <c r="Z68" s="254">
        <f>+SUMIF('AAL KPI'!$E$5:$T$5,'AAL KPI'!Z$5,$E68:$T68)</f>
        <v>-4162</v>
      </c>
      <c r="AA68" s="254">
        <f>+SUMIF('AAL KPI'!$E$5:$T$5,'AAL KPI'!AA$5,$E68:$T68)</f>
        <v>0</v>
      </c>
      <c r="AB68" s="277">
        <v>0</v>
      </c>
      <c r="AC68" s="277">
        <v>0</v>
      </c>
      <c r="AD68" s="277">
        <v>0</v>
      </c>
    </row>
    <row r="69" spans="3:30" ht="11.25" hidden="1" customHeight="1" outlineLevel="1">
      <c r="C69" s="253" t="s">
        <v>895</v>
      </c>
      <c r="E69" s="277">
        <v>0</v>
      </c>
      <c r="F69" s="277">
        <v>0</v>
      </c>
      <c r="G69" s="277">
        <v>0</v>
      </c>
      <c r="H69" s="277">
        <v>0</v>
      </c>
      <c r="I69" s="277">
        <v>0</v>
      </c>
      <c r="J69" s="277">
        <v>0</v>
      </c>
      <c r="K69" s="277">
        <v>0</v>
      </c>
      <c r="L69" s="277">
        <v>0</v>
      </c>
      <c r="M69" s="277">
        <v>-1882</v>
      </c>
      <c r="N69" s="277">
        <v>0</v>
      </c>
      <c r="O69" s="277">
        <v>0</v>
      </c>
      <c r="P69" s="277">
        <v>1882</v>
      </c>
      <c r="Q69" s="277">
        <v>0</v>
      </c>
      <c r="R69" s="277">
        <v>0</v>
      </c>
      <c r="S69" s="277">
        <v>0</v>
      </c>
      <c r="T69" s="277">
        <v>0</v>
      </c>
      <c r="V69" s="277">
        <v>0</v>
      </c>
      <c r="W69" s="277">
        <v>0</v>
      </c>
      <c r="X69" s="254">
        <f>+SUMIF('AAL KPI'!$E$5:$T$5,'AAL KPI'!X$5,$E69:$T69)</f>
        <v>0</v>
      </c>
      <c r="Y69" s="254">
        <f>+SUMIF('AAL KPI'!$E$5:$T$5,'AAL KPI'!Y$5,$E69:$T69)</f>
        <v>0</v>
      </c>
      <c r="Z69" s="254">
        <f>+SUMIF('AAL KPI'!$E$5:$T$5,'AAL KPI'!Z$5,$E69:$T69)</f>
        <v>0</v>
      </c>
      <c r="AA69" s="254">
        <f>+SUMIF('AAL KPI'!$E$5:$T$5,'AAL KPI'!AA$5,$E69:$T69)</f>
        <v>0</v>
      </c>
      <c r="AB69" s="277">
        <v>0</v>
      </c>
      <c r="AC69" s="277">
        <v>0</v>
      </c>
      <c r="AD69" s="277">
        <v>0</v>
      </c>
    </row>
    <row r="70" spans="3:30" ht="11.25" hidden="1" customHeight="1" outlineLevel="1">
      <c r="C70" s="253" t="s">
        <v>896</v>
      </c>
      <c r="E70" s="277">
        <v>0</v>
      </c>
      <c r="F70" s="277">
        <v>0</v>
      </c>
      <c r="G70" s="277">
        <v>0</v>
      </c>
      <c r="H70" s="277">
        <v>11</v>
      </c>
      <c r="I70" s="277">
        <v>205</v>
      </c>
      <c r="J70" s="277">
        <v>332</v>
      </c>
      <c r="K70" s="277">
        <v>871</v>
      </c>
      <c r="L70" s="277">
        <v>0</v>
      </c>
      <c r="M70" s="277">
        <v>168</v>
      </c>
      <c r="N70" s="277">
        <v>0</v>
      </c>
      <c r="O70" s="277">
        <v>0</v>
      </c>
      <c r="P70" s="277">
        <v>0</v>
      </c>
      <c r="Q70" s="277">
        <v>0</v>
      </c>
      <c r="R70" s="277">
        <v>0</v>
      </c>
      <c r="S70" s="277">
        <v>0</v>
      </c>
      <c r="T70" s="277">
        <v>0</v>
      </c>
      <c r="V70" s="277">
        <v>0</v>
      </c>
      <c r="W70" s="277">
        <v>58</v>
      </c>
      <c r="X70" s="254">
        <f>+SUMIF('AAL KPI'!$E$5:$T$5,'AAL KPI'!X$5,$E70:$T70)</f>
        <v>11</v>
      </c>
      <c r="Y70" s="254">
        <f>+SUMIF('AAL KPI'!$E$5:$T$5,'AAL KPI'!Y$5,$E70:$T70)</f>
        <v>1408</v>
      </c>
      <c r="Z70" s="254">
        <f>+SUMIF('AAL KPI'!$E$5:$T$5,'AAL KPI'!Z$5,$E70:$T70)</f>
        <v>168</v>
      </c>
      <c r="AA70" s="254">
        <f>+SUMIF('AAL KPI'!$E$5:$T$5,'AAL KPI'!AA$5,$E70:$T70)</f>
        <v>0</v>
      </c>
      <c r="AB70" s="277">
        <v>0</v>
      </c>
      <c r="AC70" s="277">
        <v>0</v>
      </c>
      <c r="AD70" s="277">
        <v>0</v>
      </c>
    </row>
    <row r="71" spans="3:30" ht="11.25" hidden="1" customHeight="1" outlineLevel="1">
      <c r="C71" s="253" t="s">
        <v>897</v>
      </c>
      <c r="E71" s="277">
        <v>0</v>
      </c>
      <c r="F71" s="277">
        <v>5</v>
      </c>
      <c r="G71" s="277">
        <v>-22</v>
      </c>
      <c r="H71" s="277">
        <v>6</v>
      </c>
      <c r="I71" s="277">
        <v>-50</v>
      </c>
      <c r="J71" s="277">
        <v>0</v>
      </c>
      <c r="K71" s="277">
        <v>0</v>
      </c>
      <c r="L71" s="277">
        <v>1</v>
      </c>
      <c r="M71" s="277">
        <v>6</v>
      </c>
      <c r="N71" s="277">
        <v>0</v>
      </c>
      <c r="O71" s="277">
        <v>-1</v>
      </c>
      <c r="P71" s="277">
        <v>-8</v>
      </c>
      <c r="Q71" s="277">
        <v>0</v>
      </c>
      <c r="R71" s="277">
        <v>0</v>
      </c>
      <c r="S71" s="277">
        <v>0</v>
      </c>
      <c r="T71" s="277">
        <v>0</v>
      </c>
      <c r="V71" s="277">
        <v>27</v>
      </c>
      <c r="W71" s="277">
        <v>-76</v>
      </c>
      <c r="X71" s="254">
        <f>+SUMIF('AAL KPI'!$E$5:$T$5,'AAL KPI'!X$5,$E71:$T71)</f>
        <v>-11</v>
      </c>
      <c r="Y71" s="254">
        <f>+SUMIF('AAL KPI'!$E$5:$T$5,'AAL KPI'!Y$5,$E71:$T71)</f>
        <v>-49</v>
      </c>
      <c r="Z71" s="254">
        <f>+SUMIF('AAL KPI'!$E$5:$T$5,'AAL KPI'!Z$5,$E71:$T71)</f>
        <v>-3</v>
      </c>
      <c r="AA71" s="254">
        <f>+SUMIF('AAL KPI'!$E$5:$T$5,'AAL KPI'!AA$5,$E71:$T71)</f>
        <v>0</v>
      </c>
      <c r="AB71" s="277">
        <v>0</v>
      </c>
      <c r="AC71" s="277">
        <v>0</v>
      </c>
      <c r="AD71" s="277">
        <v>0</v>
      </c>
    </row>
    <row r="72" spans="3:30" ht="11.25" hidden="1" customHeight="1" outlineLevel="1">
      <c r="C72" s="253" t="s">
        <v>898</v>
      </c>
      <c r="E72" s="277">
        <v>0</v>
      </c>
      <c r="F72" s="277">
        <v>0</v>
      </c>
      <c r="G72" s="277">
        <v>201</v>
      </c>
      <c r="H72" s="277">
        <v>12</v>
      </c>
      <c r="I72" s="277">
        <v>744</v>
      </c>
      <c r="J72" s="277">
        <v>0</v>
      </c>
      <c r="K72" s="277">
        <v>742</v>
      </c>
      <c r="L72" s="277">
        <v>-2</v>
      </c>
      <c r="M72" s="277">
        <v>0</v>
      </c>
      <c r="N72" s="277">
        <v>0</v>
      </c>
      <c r="O72" s="277">
        <v>0</v>
      </c>
      <c r="P72" s="277">
        <v>0</v>
      </c>
      <c r="Q72" s="277">
        <v>149</v>
      </c>
      <c r="R72" s="277">
        <v>0</v>
      </c>
      <c r="S72" s="277">
        <v>0</v>
      </c>
      <c r="T72" s="277">
        <v>0</v>
      </c>
      <c r="V72" s="277">
        <v>0</v>
      </c>
      <c r="W72" s="277">
        <v>0</v>
      </c>
      <c r="X72" s="254">
        <f>+SUMIF('AAL KPI'!$E$5:$T$5,'AAL KPI'!X$5,$E72:$T72)</f>
        <v>213</v>
      </c>
      <c r="Y72" s="254">
        <f>+SUMIF('AAL KPI'!$E$5:$T$5,'AAL KPI'!Y$5,$E72:$T72)</f>
        <v>1484</v>
      </c>
      <c r="Z72" s="254">
        <f>+SUMIF('AAL KPI'!$E$5:$T$5,'AAL KPI'!Z$5,$E72:$T72)</f>
        <v>0</v>
      </c>
      <c r="AA72" s="254">
        <f>+SUMIF('AAL KPI'!$E$5:$T$5,'AAL KPI'!AA$5,$E72:$T72)</f>
        <v>149</v>
      </c>
      <c r="AB72" s="277">
        <v>0</v>
      </c>
      <c r="AC72" s="277">
        <v>0</v>
      </c>
      <c r="AD72" s="277">
        <v>0</v>
      </c>
    </row>
    <row r="73" spans="3:30" ht="11.25" hidden="1" customHeight="1" outlineLevel="1">
      <c r="C73" s="253" t="s">
        <v>899</v>
      </c>
      <c r="E73" s="277">
        <v>83</v>
      </c>
      <c r="F73" s="277">
        <v>77</v>
      </c>
      <c r="G73" s="277">
        <v>72</v>
      </c>
      <c r="H73" s="277">
        <v>39</v>
      </c>
      <c r="I73" s="277">
        <v>0</v>
      </c>
      <c r="J73" s="277">
        <v>0</v>
      </c>
      <c r="K73" s="277">
        <v>0</v>
      </c>
      <c r="L73" s="277">
        <v>0</v>
      </c>
      <c r="M73" s="277">
        <v>0</v>
      </c>
      <c r="N73" s="277">
        <v>0</v>
      </c>
      <c r="O73" s="277">
        <v>0</v>
      </c>
      <c r="P73" s="277">
        <v>0</v>
      </c>
      <c r="Q73" s="277">
        <v>0</v>
      </c>
      <c r="R73" s="277">
        <v>0</v>
      </c>
      <c r="S73" s="277">
        <v>0</v>
      </c>
      <c r="T73" s="277">
        <v>0</v>
      </c>
      <c r="V73" s="277">
        <v>232</v>
      </c>
      <c r="W73" s="277">
        <v>422</v>
      </c>
      <c r="X73" s="254">
        <f>+SUMIF('AAL KPI'!$E$5:$T$5,'AAL KPI'!X$5,$E73:$T73)</f>
        <v>271</v>
      </c>
      <c r="Y73" s="254">
        <f>+SUMIF('AAL KPI'!$E$5:$T$5,'AAL KPI'!Y$5,$E73:$T73)</f>
        <v>0</v>
      </c>
      <c r="Z73" s="254">
        <f>+SUMIF('AAL KPI'!$E$5:$T$5,'AAL KPI'!Z$5,$E73:$T73)</f>
        <v>0</v>
      </c>
      <c r="AA73" s="254">
        <f>+SUMIF('AAL KPI'!$E$5:$T$5,'AAL KPI'!AA$5,$E73:$T73)</f>
        <v>0</v>
      </c>
      <c r="AB73" s="277">
        <v>0</v>
      </c>
      <c r="AC73" s="277">
        <v>0</v>
      </c>
      <c r="AD73" s="277">
        <v>0</v>
      </c>
    </row>
    <row r="74" spans="3:30" ht="11.25" hidden="1" customHeight="1" outlineLevel="1">
      <c r="C74" s="253" t="s">
        <v>900</v>
      </c>
      <c r="E74" s="277">
        <v>0</v>
      </c>
      <c r="F74" s="277">
        <v>0</v>
      </c>
      <c r="G74" s="277">
        <v>-53</v>
      </c>
      <c r="H74" s="277">
        <v>0</v>
      </c>
      <c r="I74" s="277">
        <v>0</v>
      </c>
      <c r="J74" s="277">
        <v>0</v>
      </c>
      <c r="K74" s="277">
        <v>0</v>
      </c>
      <c r="L74" s="277">
        <v>0</v>
      </c>
      <c r="M74" s="277">
        <v>0</v>
      </c>
      <c r="N74" s="277">
        <v>0</v>
      </c>
      <c r="O74" s="277">
        <v>0</v>
      </c>
      <c r="P74" s="277">
        <v>-19</v>
      </c>
      <c r="Q74" s="277">
        <v>0</v>
      </c>
      <c r="R74" s="277">
        <v>0</v>
      </c>
      <c r="S74" s="277">
        <v>0</v>
      </c>
      <c r="T74" s="277">
        <v>0</v>
      </c>
      <c r="V74" s="277">
        <v>0</v>
      </c>
      <c r="W74" s="277">
        <v>45</v>
      </c>
      <c r="X74" s="254">
        <f>+SUMIF('AAL KPI'!$E$5:$T$5,'AAL KPI'!X$5,$E74:$T74)</f>
        <v>-53</v>
      </c>
      <c r="Y74" s="254">
        <f>+SUMIF('AAL KPI'!$E$5:$T$5,'AAL KPI'!Y$5,$E74:$T74)</f>
        <v>0</v>
      </c>
      <c r="Z74" s="254">
        <f>+SUMIF('AAL KPI'!$E$5:$T$5,'AAL KPI'!Z$5,$E74:$T74)</f>
        <v>-19</v>
      </c>
      <c r="AA74" s="254">
        <f>+SUMIF('AAL KPI'!$E$5:$T$5,'AAL KPI'!AA$5,$E74:$T74)</f>
        <v>0</v>
      </c>
      <c r="AB74" s="277">
        <v>0</v>
      </c>
      <c r="AC74" s="277">
        <v>0</v>
      </c>
      <c r="AD74" s="277">
        <v>0</v>
      </c>
    </row>
    <row r="75" spans="3:30" ht="11.25" hidden="1" customHeight="1" outlineLevel="1">
      <c r="C75" s="253" t="s">
        <v>901</v>
      </c>
      <c r="E75" s="277">
        <v>37</v>
      </c>
      <c r="F75" s="277">
        <v>39</v>
      </c>
      <c r="G75" s="277">
        <v>29</v>
      </c>
      <c r="H75" s="277">
        <v>86</v>
      </c>
      <c r="I75" s="277">
        <v>0</v>
      </c>
      <c r="J75" s="277">
        <v>0</v>
      </c>
      <c r="K75" s="277">
        <v>0</v>
      </c>
      <c r="L75" s="277">
        <v>0</v>
      </c>
      <c r="M75" s="277">
        <v>0</v>
      </c>
      <c r="N75" s="277">
        <v>0</v>
      </c>
      <c r="O75" s="277">
        <v>0</v>
      </c>
      <c r="P75" s="277">
        <v>0</v>
      </c>
      <c r="Q75" s="277">
        <v>0</v>
      </c>
      <c r="R75" s="277">
        <v>0</v>
      </c>
      <c r="S75" s="277">
        <v>0</v>
      </c>
      <c r="T75" s="277">
        <v>0</v>
      </c>
      <c r="V75" s="277">
        <v>273</v>
      </c>
      <c r="W75" s="277">
        <v>268</v>
      </c>
      <c r="X75" s="254">
        <f>+SUMIF('AAL KPI'!$E$5:$T$5,'AAL KPI'!X$5,$E75:$T75)</f>
        <v>191</v>
      </c>
      <c r="Y75" s="254">
        <f>+SUMIF('AAL KPI'!$E$5:$T$5,'AAL KPI'!Y$5,$E75:$T75)</f>
        <v>0</v>
      </c>
      <c r="Z75" s="254">
        <f>+SUMIF('AAL KPI'!$E$5:$T$5,'AAL KPI'!Z$5,$E75:$T75)</f>
        <v>0</v>
      </c>
      <c r="AA75" s="254">
        <f>+SUMIF('AAL KPI'!$E$5:$T$5,'AAL KPI'!AA$5,$E75:$T75)</f>
        <v>0</v>
      </c>
      <c r="AB75" s="277">
        <v>0</v>
      </c>
      <c r="AC75" s="277">
        <v>0</v>
      </c>
      <c r="AD75" s="277">
        <v>0</v>
      </c>
    </row>
    <row r="76" spans="3:30" ht="11.25" hidden="1" customHeight="1" outlineLevel="1">
      <c r="C76" s="253" t="s">
        <v>902</v>
      </c>
      <c r="E76" s="277">
        <v>0</v>
      </c>
      <c r="F76" s="277">
        <v>0</v>
      </c>
      <c r="G76" s="277">
        <v>0</v>
      </c>
      <c r="H76" s="277">
        <v>0</v>
      </c>
      <c r="I76" s="277">
        <v>0</v>
      </c>
      <c r="J76" s="277">
        <v>0</v>
      </c>
      <c r="K76" s="277">
        <v>0</v>
      </c>
      <c r="L76" s="277">
        <v>0</v>
      </c>
      <c r="M76" s="277">
        <v>0</v>
      </c>
      <c r="N76" s="277">
        <v>0</v>
      </c>
      <c r="O76" s="277">
        <v>0</v>
      </c>
      <c r="P76" s="277">
        <v>0</v>
      </c>
      <c r="Q76" s="277">
        <v>0</v>
      </c>
      <c r="R76" s="277">
        <v>0</v>
      </c>
      <c r="S76" s="277">
        <v>0</v>
      </c>
      <c r="T76" s="277">
        <v>0</v>
      </c>
      <c r="V76" s="277">
        <v>0</v>
      </c>
      <c r="W76" s="277">
        <v>26</v>
      </c>
      <c r="X76" s="254">
        <f>+SUMIF('AAL KPI'!$E$5:$T$5,'AAL KPI'!X$5,$E76:$T76)</f>
        <v>0</v>
      </c>
      <c r="Y76" s="254">
        <f>+SUMIF('AAL KPI'!$E$5:$T$5,'AAL KPI'!Y$5,$E76:$T76)</f>
        <v>0</v>
      </c>
      <c r="Z76" s="254">
        <f>+SUMIF('AAL KPI'!$E$5:$T$5,'AAL KPI'!Z$5,$E76:$T76)</f>
        <v>0</v>
      </c>
      <c r="AA76" s="254">
        <f>+SUMIF('AAL KPI'!$E$5:$T$5,'AAL KPI'!AA$5,$E76:$T76)</f>
        <v>0</v>
      </c>
      <c r="AB76" s="277">
        <v>0</v>
      </c>
      <c r="AC76" s="277">
        <v>0</v>
      </c>
      <c r="AD76" s="277">
        <v>0</v>
      </c>
    </row>
    <row r="77" spans="3:30" ht="11.25" hidden="1" customHeight="1" outlineLevel="1">
      <c r="C77" s="253" t="s">
        <v>903</v>
      </c>
      <c r="E77" s="277">
        <v>0</v>
      </c>
      <c r="F77" s="277">
        <v>0</v>
      </c>
      <c r="G77" s="277">
        <v>0</v>
      </c>
      <c r="H77" s="277">
        <v>0</v>
      </c>
      <c r="I77" s="277">
        <v>218</v>
      </c>
      <c r="J77" s="277">
        <v>10</v>
      </c>
      <c r="K77" s="277">
        <v>0</v>
      </c>
      <c r="L77" s="277">
        <v>0</v>
      </c>
      <c r="M77" s="277">
        <v>0</v>
      </c>
      <c r="N77" s="277">
        <v>0</v>
      </c>
      <c r="O77" s="277">
        <v>0</v>
      </c>
      <c r="P77" s="277">
        <v>0</v>
      </c>
      <c r="Q77" s="277">
        <v>0</v>
      </c>
      <c r="R77" s="277">
        <v>0</v>
      </c>
      <c r="S77" s="277">
        <v>0</v>
      </c>
      <c r="T77" s="277">
        <v>0</v>
      </c>
      <c r="V77" s="277">
        <v>46</v>
      </c>
      <c r="W77" s="277">
        <v>13</v>
      </c>
      <c r="X77" s="254">
        <f>+SUMIF('AAL KPI'!$E$5:$T$5,'AAL KPI'!X$5,$E77:$T77)</f>
        <v>0</v>
      </c>
      <c r="Y77" s="254">
        <f>+SUMIF('AAL KPI'!$E$5:$T$5,'AAL KPI'!Y$5,$E77:$T77)</f>
        <v>228</v>
      </c>
      <c r="Z77" s="254">
        <f>+SUMIF('AAL KPI'!$E$5:$T$5,'AAL KPI'!Z$5,$E77:$T77)</f>
        <v>0</v>
      </c>
      <c r="AA77" s="254">
        <f>+SUMIF('AAL KPI'!$E$5:$T$5,'AAL KPI'!AA$5,$E77:$T77)</f>
        <v>0</v>
      </c>
      <c r="AB77" s="277">
        <v>0</v>
      </c>
      <c r="AC77" s="277">
        <v>0</v>
      </c>
      <c r="AD77" s="277">
        <v>0</v>
      </c>
    </row>
    <row r="78" spans="3:30" ht="11.25" hidden="1" customHeight="1" outlineLevel="1">
      <c r="C78" s="253" t="s">
        <v>904</v>
      </c>
      <c r="E78" s="277">
        <v>0</v>
      </c>
      <c r="F78" s="277">
        <v>0</v>
      </c>
      <c r="G78" s="277">
        <v>0</v>
      </c>
      <c r="H78" s="277">
        <v>0</v>
      </c>
      <c r="I78" s="277">
        <v>0</v>
      </c>
      <c r="J78" s="277">
        <v>0</v>
      </c>
      <c r="K78" s="277">
        <v>0</v>
      </c>
      <c r="L78" s="277">
        <v>0</v>
      </c>
      <c r="M78" s="277">
        <v>0</v>
      </c>
      <c r="N78" s="277">
        <v>0</v>
      </c>
      <c r="O78" s="277">
        <v>0</v>
      </c>
      <c r="P78" s="277">
        <v>0</v>
      </c>
      <c r="Q78" s="277">
        <v>0</v>
      </c>
      <c r="R78" s="277">
        <v>0</v>
      </c>
      <c r="S78" s="277">
        <v>0</v>
      </c>
      <c r="T78" s="277">
        <v>0</v>
      </c>
      <c r="V78" s="277">
        <v>123</v>
      </c>
      <c r="W78" s="277">
        <v>0</v>
      </c>
      <c r="X78" s="254">
        <f>+SUMIF('AAL KPI'!$E$5:$T$5,'AAL KPI'!X$5,$E78:$T78)</f>
        <v>0</v>
      </c>
      <c r="Y78" s="254">
        <f>+SUMIF('AAL KPI'!$E$5:$T$5,'AAL KPI'!Y$5,$E78:$T78)</f>
        <v>0</v>
      </c>
      <c r="Z78" s="254">
        <f>+SUMIF('AAL KPI'!$E$5:$T$5,'AAL KPI'!Z$5,$E78:$T78)</f>
        <v>0</v>
      </c>
      <c r="AA78" s="254">
        <f>+SUMIF('AAL KPI'!$E$5:$T$5,'AAL KPI'!AA$5,$E78:$T78)</f>
        <v>0</v>
      </c>
      <c r="AB78" s="277">
        <v>0</v>
      </c>
      <c r="AC78" s="277">
        <v>0</v>
      </c>
      <c r="AD78" s="277">
        <v>0</v>
      </c>
    </row>
    <row r="79" spans="3:30" ht="11.25" hidden="1" customHeight="1" outlineLevel="1">
      <c r="C79" s="253" t="s">
        <v>905</v>
      </c>
      <c r="E79" s="277">
        <v>18</v>
      </c>
      <c r="F79" s="277">
        <v>0</v>
      </c>
      <c r="G79" s="277">
        <v>1</v>
      </c>
      <c r="H79" s="277">
        <v>-7</v>
      </c>
      <c r="I79" s="277">
        <v>15</v>
      </c>
      <c r="J79" s="277">
        <v>-33</v>
      </c>
      <c r="K79" s="277">
        <v>0</v>
      </c>
      <c r="L79" s="277">
        <v>0</v>
      </c>
      <c r="M79" s="277">
        <v>0</v>
      </c>
      <c r="N79" s="277">
        <v>0</v>
      </c>
      <c r="O79" s="277">
        <v>3</v>
      </c>
      <c r="P79" s="277">
        <v>7</v>
      </c>
      <c r="Q79" s="277">
        <v>8</v>
      </c>
      <c r="R79" s="277">
        <v>0</v>
      </c>
      <c r="S79" s="277">
        <v>0</v>
      </c>
      <c r="T79" s="277">
        <v>0</v>
      </c>
      <c r="V79" s="277">
        <v>11</v>
      </c>
      <c r="W79" s="277">
        <v>31</v>
      </c>
      <c r="X79" s="254">
        <f>+SUMIF('AAL KPI'!$E$5:$T$5,'AAL KPI'!X$5,$E79:$T79)</f>
        <v>12</v>
      </c>
      <c r="Y79" s="254">
        <f>+SUMIF('AAL KPI'!$E$5:$T$5,'AAL KPI'!Y$5,$E79:$T79)</f>
        <v>-18</v>
      </c>
      <c r="Z79" s="254">
        <f>+SUMIF('AAL KPI'!$E$5:$T$5,'AAL KPI'!Z$5,$E79:$T79)</f>
        <v>10</v>
      </c>
      <c r="AA79" s="254">
        <f>+SUMIF('AAL KPI'!$E$5:$T$5,'AAL KPI'!AA$5,$E79:$T79)</f>
        <v>8</v>
      </c>
      <c r="AB79" s="277">
        <v>0</v>
      </c>
      <c r="AC79" s="277">
        <v>0</v>
      </c>
      <c r="AD79" s="277">
        <v>0</v>
      </c>
    </row>
    <row r="80" spans="3:30" ht="11.25" hidden="1" customHeight="1" outlineLevel="1">
      <c r="C80" s="289" t="s">
        <v>906</v>
      </c>
      <c r="E80" s="358">
        <f t="shared" ref="E80:M80" si="47">SUM(E68:E79)</f>
        <v>138</v>
      </c>
      <c r="F80" s="358">
        <f t="shared" si="47"/>
        <v>121</v>
      </c>
      <c r="G80" s="358">
        <f t="shared" si="47"/>
        <v>228</v>
      </c>
      <c r="H80" s="358">
        <f t="shared" si="47"/>
        <v>147</v>
      </c>
      <c r="I80" s="358">
        <f t="shared" si="47"/>
        <v>1132</v>
      </c>
      <c r="J80" s="358">
        <f t="shared" si="47"/>
        <v>-1494</v>
      </c>
      <c r="K80" s="358">
        <f t="shared" si="47"/>
        <v>-295</v>
      </c>
      <c r="L80" s="358">
        <f t="shared" si="47"/>
        <v>0</v>
      </c>
      <c r="M80" s="358">
        <f t="shared" si="47"/>
        <v>-1708</v>
      </c>
      <c r="N80" s="358">
        <f t="shared" ref="N80:T80" si="48">SUM(N68:N79)</f>
        <v>-1288</v>
      </c>
      <c r="O80" s="358">
        <f t="shared" si="48"/>
        <v>-990</v>
      </c>
      <c r="P80" s="358">
        <f t="shared" si="48"/>
        <v>-20</v>
      </c>
      <c r="Q80" s="358">
        <f t="shared" si="48"/>
        <v>157</v>
      </c>
      <c r="R80" s="358">
        <f t="shared" si="48"/>
        <v>0</v>
      </c>
      <c r="S80" s="358">
        <f t="shared" si="48"/>
        <v>0</v>
      </c>
      <c r="T80" s="358">
        <f t="shared" si="48"/>
        <v>0</v>
      </c>
      <c r="V80" s="358">
        <f t="shared" ref="V80:AD80" si="49">SUM(V68:V79)</f>
        <v>712</v>
      </c>
      <c r="W80" s="358">
        <f t="shared" si="49"/>
        <v>787</v>
      </c>
      <c r="X80" s="358">
        <f t="shared" si="49"/>
        <v>634</v>
      </c>
      <c r="Y80" s="358">
        <f t="shared" si="49"/>
        <v>-657</v>
      </c>
      <c r="Z80" s="358">
        <f t="shared" si="49"/>
        <v>-4006</v>
      </c>
      <c r="AA80" s="358">
        <f t="shared" si="49"/>
        <v>157</v>
      </c>
      <c r="AB80" s="358">
        <f t="shared" si="49"/>
        <v>0</v>
      </c>
      <c r="AC80" s="358">
        <f t="shared" si="49"/>
        <v>0</v>
      </c>
      <c r="AD80" s="358">
        <f t="shared" si="49"/>
        <v>0</v>
      </c>
    </row>
    <row r="81" spans="3:30" ht="11.25" hidden="1" customHeight="1" outlineLevel="1">
      <c r="C81" s="289"/>
      <c r="E81" s="255"/>
      <c r="F81" s="255"/>
      <c r="G81" s="255"/>
      <c r="H81" s="255"/>
      <c r="I81" s="255"/>
      <c r="J81" s="255"/>
      <c r="K81" s="255"/>
      <c r="L81" s="255"/>
      <c r="M81" s="255"/>
      <c r="N81" s="255"/>
      <c r="O81" s="255"/>
      <c r="P81" s="255"/>
      <c r="V81" s="255"/>
      <c r="W81" s="255"/>
      <c r="X81" s="255"/>
      <c r="Y81" s="255"/>
      <c r="Z81" s="255"/>
      <c r="AA81" s="255"/>
    </row>
    <row r="82" spans="3:30" ht="11.25" hidden="1" customHeight="1" outlineLevel="1">
      <c r="C82" s="253" t="s">
        <v>894</v>
      </c>
      <c r="E82" s="277">
        <v>0</v>
      </c>
      <c r="F82" s="277">
        <v>0</v>
      </c>
      <c r="G82" s="277">
        <v>0</v>
      </c>
      <c r="H82" s="277">
        <v>0</v>
      </c>
      <c r="I82" s="277">
        <v>0</v>
      </c>
      <c r="J82" s="277">
        <v>-216</v>
      </c>
      <c r="K82" s="277">
        <v>-228</v>
      </c>
      <c r="L82" s="277">
        <v>0</v>
      </c>
      <c r="M82" s="277">
        <v>0</v>
      </c>
      <c r="N82" s="277">
        <v>-167</v>
      </c>
      <c r="O82" s="277">
        <v>-128</v>
      </c>
      <c r="P82" s="277">
        <v>-244</v>
      </c>
      <c r="Q82" s="277">
        <v>0</v>
      </c>
      <c r="R82" s="277">
        <v>0</v>
      </c>
      <c r="S82" s="277">
        <v>0</v>
      </c>
      <c r="T82" s="277">
        <v>0</v>
      </c>
      <c r="V82" s="277">
        <v>0</v>
      </c>
      <c r="W82" s="277">
        <v>0</v>
      </c>
      <c r="X82" s="254">
        <f>+SUMIF('AAL KPI'!$E$5:$T$5,'AAL KPI'!X$5,$E82:$T82)</f>
        <v>0</v>
      </c>
      <c r="Y82" s="254">
        <f>+SUMIF('AAL KPI'!$E$5:$T$5,'AAL KPI'!Y$5,$E82:$T82)</f>
        <v>-444</v>
      </c>
      <c r="Z82" s="254">
        <f>+SUMIF('AAL KPI'!$E$5:$T$5,'AAL KPI'!Z$5,$E82:$T82)</f>
        <v>-539</v>
      </c>
      <c r="AA82" s="254">
        <f>+SUMIF('AAL KPI'!$E$5:$T$5,'AAL KPI'!AA$5,$E82:$T82)</f>
        <v>0</v>
      </c>
      <c r="AB82" s="277">
        <v>0</v>
      </c>
      <c r="AC82" s="277">
        <v>0</v>
      </c>
      <c r="AD82" s="277">
        <v>0</v>
      </c>
    </row>
    <row r="83" spans="3:30" ht="11.25" hidden="1" customHeight="1" outlineLevel="1">
      <c r="C83" s="253" t="s">
        <v>895</v>
      </c>
      <c r="E83" s="277">
        <v>0</v>
      </c>
      <c r="F83" s="277">
        <v>0</v>
      </c>
      <c r="G83" s="277">
        <v>0</v>
      </c>
      <c r="H83" s="277">
        <v>0</v>
      </c>
      <c r="I83" s="277">
        <v>0</v>
      </c>
      <c r="J83" s="277">
        <v>0</v>
      </c>
      <c r="K83" s="277">
        <v>0</v>
      </c>
      <c r="L83" s="277">
        <v>0</v>
      </c>
      <c r="M83" s="277">
        <v>-244</v>
      </c>
      <c r="N83" s="277">
        <v>0</v>
      </c>
      <c r="O83" s="277">
        <v>0</v>
      </c>
      <c r="P83" s="277">
        <v>244</v>
      </c>
      <c r="Q83" s="277">
        <v>0</v>
      </c>
      <c r="R83" s="277">
        <v>0</v>
      </c>
      <c r="S83" s="277">
        <v>0</v>
      </c>
      <c r="T83" s="277">
        <v>0</v>
      </c>
      <c r="V83" s="277">
        <v>0</v>
      </c>
      <c r="W83" s="277">
        <v>0</v>
      </c>
      <c r="X83" s="254">
        <f>+SUMIF('AAL KPI'!$E$5:$T$5,'AAL KPI'!X$5,$E83:$T83)</f>
        <v>0</v>
      </c>
      <c r="Y83" s="254">
        <f>+SUMIF('AAL KPI'!$E$5:$T$5,'AAL KPI'!Y$5,$E83:$T83)</f>
        <v>0</v>
      </c>
      <c r="Z83" s="254">
        <f>+SUMIF('AAL KPI'!$E$5:$T$5,'AAL KPI'!Z$5,$E83:$T83)</f>
        <v>0</v>
      </c>
      <c r="AA83" s="254">
        <f>+SUMIF('AAL KPI'!$E$5:$T$5,'AAL KPI'!AA$5,$E83:$T83)</f>
        <v>0</v>
      </c>
      <c r="AB83" s="277">
        <v>0</v>
      </c>
      <c r="AC83" s="277">
        <v>0</v>
      </c>
      <c r="AD83" s="277">
        <v>0</v>
      </c>
    </row>
    <row r="84" spans="3:30" ht="11.25" hidden="1" customHeight="1" outlineLevel="1">
      <c r="C84" s="253" t="s">
        <v>907</v>
      </c>
      <c r="E84" s="277">
        <v>0</v>
      </c>
      <c r="F84" s="277">
        <v>0</v>
      </c>
      <c r="G84" s="277">
        <v>0</v>
      </c>
      <c r="H84" s="277">
        <v>0</v>
      </c>
      <c r="I84" s="277">
        <v>0</v>
      </c>
      <c r="J84" s="277">
        <v>24</v>
      </c>
      <c r="K84" s="277">
        <v>0</v>
      </c>
      <c r="L84" s="277">
        <v>-24</v>
      </c>
      <c r="M84" s="277">
        <v>27</v>
      </c>
      <c r="N84" s="277">
        <v>0</v>
      </c>
      <c r="O84" s="277">
        <v>61</v>
      </c>
      <c r="P84" s="277">
        <v>-27</v>
      </c>
      <c r="Q84" s="277">
        <v>0</v>
      </c>
      <c r="R84" s="277">
        <v>0</v>
      </c>
      <c r="S84" s="277">
        <v>0</v>
      </c>
      <c r="T84" s="277">
        <v>0</v>
      </c>
      <c r="V84" s="277">
        <v>0</v>
      </c>
      <c r="W84" s="277">
        <v>0</v>
      </c>
      <c r="X84" s="254">
        <f>+SUMIF('AAL KPI'!$E$5:$T$5,'AAL KPI'!X$5,$E84:$T84)</f>
        <v>0</v>
      </c>
      <c r="Y84" s="254">
        <f>+SUMIF('AAL KPI'!$E$5:$T$5,'AAL KPI'!Y$5,$E84:$T84)</f>
        <v>0</v>
      </c>
      <c r="Z84" s="254">
        <f>+SUMIF('AAL KPI'!$E$5:$T$5,'AAL KPI'!Z$5,$E84:$T84)</f>
        <v>61</v>
      </c>
      <c r="AA84" s="254">
        <f>+SUMIF('AAL KPI'!$E$5:$T$5,'AAL KPI'!AA$5,$E84:$T84)</f>
        <v>0</v>
      </c>
      <c r="AB84" s="277">
        <v>0</v>
      </c>
      <c r="AC84" s="277">
        <v>0</v>
      </c>
      <c r="AD84" s="277">
        <v>0</v>
      </c>
    </row>
    <row r="85" spans="3:30" ht="11.25" hidden="1" customHeight="1" outlineLevel="1">
      <c r="C85" s="253" t="s">
        <v>898</v>
      </c>
      <c r="E85" s="277">
        <v>0</v>
      </c>
      <c r="F85" s="277">
        <v>0</v>
      </c>
      <c r="G85" s="277">
        <v>0</v>
      </c>
      <c r="H85" s="277">
        <v>0</v>
      </c>
      <c r="I85" s="277">
        <v>93</v>
      </c>
      <c r="J85" s="277">
        <v>14</v>
      </c>
      <c r="K85" s="277">
        <v>0</v>
      </c>
      <c r="L85" s="277">
        <v>10</v>
      </c>
      <c r="M85" s="277">
        <v>2</v>
      </c>
      <c r="N85" s="277">
        <v>0</v>
      </c>
      <c r="O85" s="277">
        <v>0</v>
      </c>
      <c r="P85" s="277">
        <v>25</v>
      </c>
      <c r="Q85" s="277">
        <v>0</v>
      </c>
      <c r="R85" s="277">
        <v>0</v>
      </c>
      <c r="S85" s="277">
        <v>0</v>
      </c>
      <c r="T85" s="277">
        <v>0</v>
      </c>
      <c r="V85" s="277">
        <v>0</v>
      </c>
      <c r="W85" s="277">
        <v>0</v>
      </c>
      <c r="X85" s="254">
        <f>+SUMIF('AAL KPI'!$E$5:$T$5,'AAL KPI'!X$5,$E85:$T85)</f>
        <v>0</v>
      </c>
      <c r="Y85" s="254">
        <f>+SUMIF('AAL KPI'!$E$5:$T$5,'AAL KPI'!Y$5,$E85:$T85)</f>
        <v>117</v>
      </c>
      <c r="Z85" s="254">
        <f>+SUMIF('AAL KPI'!$E$5:$T$5,'AAL KPI'!Z$5,$E85:$T85)</f>
        <v>27</v>
      </c>
      <c r="AA85" s="254">
        <f>+SUMIF('AAL KPI'!$E$5:$T$5,'AAL KPI'!AA$5,$E85:$T85)</f>
        <v>0</v>
      </c>
      <c r="AB85" s="277">
        <v>0</v>
      </c>
      <c r="AC85" s="277">
        <v>0</v>
      </c>
      <c r="AD85" s="277">
        <v>0</v>
      </c>
    </row>
    <row r="86" spans="3:30" ht="11.25" hidden="1" customHeight="1" outlineLevel="1">
      <c r="C86" s="253" t="s">
        <v>905</v>
      </c>
      <c r="E86" s="277">
        <v>0</v>
      </c>
      <c r="F86" s="277">
        <v>0</v>
      </c>
      <c r="G86" s="277">
        <v>6</v>
      </c>
      <c r="H86" s="277">
        <v>1</v>
      </c>
      <c r="I86" s="277">
        <v>0</v>
      </c>
      <c r="J86" s="277">
        <v>0</v>
      </c>
      <c r="K86" s="277">
        <v>0</v>
      </c>
      <c r="L86" s="277">
        <v>0</v>
      </c>
      <c r="M86" s="277">
        <v>0</v>
      </c>
      <c r="N86" s="277">
        <v>0</v>
      </c>
      <c r="O86" s="277">
        <v>0</v>
      </c>
      <c r="P86" s="277">
        <v>0</v>
      </c>
      <c r="Q86" s="277">
        <v>0</v>
      </c>
      <c r="R86" s="277">
        <v>0</v>
      </c>
      <c r="S86" s="277">
        <v>0</v>
      </c>
      <c r="T86" s="277">
        <v>0</v>
      </c>
      <c r="V86" s="277">
        <v>0</v>
      </c>
      <c r="W86" s="277">
        <v>6</v>
      </c>
      <c r="X86" s="254">
        <f>+SUMIF('AAL KPI'!$E$5:$T$5,'AAL KPI'!X$5,$E86:$T86)</f>
        <v>7</v>
      </c>
      <c r="Y86" s="254">
        <f>+SUMIF('AAL KPI'!$E$5:$T$5,'AAL KPI'!Y$5,$E86:$T86)</f>
        <v>0</v>
      </c>
      <c r="Z86" s="254">
        <f>+SUMIF('AAL KPI'!$E$5:$T$5,'AAL KPI'!Z$5,$E86:$T86)</f>
        <v>0</v>
      </c>
      <c r="AA86" s="254">
        <f>+SUMIF('AAL KPI'!$E$5:$T$5,'AAL KPI'!AA$5,$E86:$T86)</f>
        <v>0</v>
      </c>
      <c r="AB86" s="277">
        <v>0</v>
      </c>
      <c r="AC86" s="277">
        <v>0</v>
      </c>
      <c r="AD86" s="277">
        <v>0</v>
      </c>
    </row>
    <row r="87" spans="3:30" ht="11.25" hidden="1" customHeight="1" outlineLevel="1">
      <c r="C87" s="253" t="s">
        <v>896</v>
      </c>
      <c r="E87" s="277">
        <v>0</v>
      </c>
      <c r="F87" s="277">
        <v>0</v>
      </c>
      <c r="G87" s="277">
        <v>0</v>
      </c>
      <c r="H87" s="277">
        <v>0</v>
      </c>
      <c r="I87" s="277">
        <v>0</v>
      </c>
      <c r="J87" s="277">
        <v>0</v>
      </c>
      <c r="K87" s="277">
        <v>4</v>
      </c>
      <c r="L87" s="277">
        <v>14</v>
      </c>
      <c r="M87" s="277">
        <v>0</v>
      </c>
      <c r="N87" s="277">
        <v>0</v>
      </c>
      <c r="O87" s="277">
        <v>0</v>
      </c>
      <c r="P87" s="277">
        <v>2</v>
      </c>
      <c r="Q87" s="277">
        <v>0</v>
      </c>
      <c r="R87" s="277">
        <v>0</v>
      </c>
      <c r="S87" s="277">
        <v>0</v>
      </c>
      <c r="T87" s="277">
        <v>0</v>
      </c>
      <c r="V87" s="277">
        <v>0</v>
      </c>
      <c r="W87" s="277">
        <v>0</v>
      </c>
      <c r="X87" s="254">
        <f>+SUMIF('AAL KPI'!$E$5:$T$5,'AAL KPI'!X$5,$E87:$T87)</f>
        <v>0</v>
      </c>
      <c r="Y87" s="254">
        <f>+SUMIF('AAL KPI'!$E$5:$T$5,'AAL KPI'!Y$5,$E87:$T87)</f>
        <v>18</v>
      </c>
      <c r="Z87" s="254">
        <f>+SUMIF('AAL KPI'!$E$5:$T$5,'AAL KPI'!Z$5,$E87:$T87)</f>
        <v>2</v>
      </c>
      <c r="AA87" s="254">
        <f>+SUMIF('AAL KPI'!$E$5:$T$5,'AAL KPI'!AA$5,$E87:$T87)</f>
        <v>0</v>
      </c>
      <c r="AB87" s="277">
        <v>0</v>
      </c>
      <c r="AC87" s="277">
        <v>0</v>
      </c>
      <c r="AD87" s="277">
        <v>0</v>
      </c>
    </row>
    <row r="88" spans="3:30" ht="11.25" hidden="1" customHeight="1" outlineLevel="1">
      <c r="C88" s="289" t="s">
        <v>908</v>
      </c>
      <c r="E88" s="358">
        <f t="shared" ref="E88:M88" si="50">SUM(E82:E87)</f>
        <v>0</v>
      </c>
      <c r="F88" s="358">
        <f t="shared" si="50"/>
        <v>0</v>
      </c>
      <c r="G88" s="358">
        <f t="shared" si="50"/>
        <v>6</v>
      </c>
      <c r="H88" s="358">
        <f t="shared" si="50"/>
        <v>1</v>
      </c>
      <c r="I88" s="358">
        <f t="shared" si="50"/>
        <v>93</v>
      </c>
      <c r="J88" s="358">
        <f t="shared" si="50"/>
        <v>-178</v>
      </c>
      <c r="K88" s="358">
        <f t="shared" si="50"/>
        <v>-224</v>
      </c>
      <c r="L88" s="358">
        <f t="shared" si="50"/>
        <v>0</v>
      </c>
      <c r="M88" s="358">
        <f t="shared" si="50"/>
        <v>-215</v>
      </c>
      <c r="N88" s="358">
        <f t="shared" ref="N88:T88" si="51">SUM(N82:N87)</f>
        <v>-167</v>
      </c>
      <c r="O88" s="358">
        <f t="shared" si="51"/>
        <v>-67</v>
      </c>
      <c r="P88" s="358">
        <f t="shared" si="51"/>
        <v>0</v>
      </c>
      <c r="Q88" s="358">
        <f t="shared" si="51"/>
        <v>0</v>
      </c>
      <c r="R88" s="358">
        <f t="shared" si="51"/>
        <v>0</v>
      </c>
      <c r="S88" s="358">
        <f t="shared" si="51"/>
        <v>0</v>
      </c>
      <c r="T88" s="358">
        <f t="shared" si="51"/>
        <v>0</v>
      </c>
      <c r="V88" s="382">
        <v>22</v>
      </c>
      <c r="W88" s="358">
        <f t="shared" ref="W88:AD88" si="52">SUM(W82:W87)</f>
        <v>6</v>
      </c>
      <c r="X88" s="358">
        <f t="shared" si="52"/>
        <v>7</v>
      </c>
      <c r="Y88" s="358">
        <f t="shared" si="52"/>
        <v>-309</v>
      </c>
      <c r="Z88" s="358">
        <f t="shared" si="52"/>
        <v>-449</v>
      </c>
      <c r="AA88" s="358">
        <f t="shared" si="52"/>
        <v>0</v>
      </c>
      <c r="AB88" s="358">
        <f t="shared" si="52"/>
        <v>0</v>
      </c>
      <c r="AC88" s="358">
        <f t="shared" si="52"/>
        <v>0</v>
      </c>
      <c r="AD88" s="358">
        <f t="shared" si="52"/>
        <v>0</v>
      </c>
    </row>
    <row r="89" spans="3:30" ht="3" hidden="1" customHeight="1" outlineLevel="1">
      <c r="C89" s="444"/>
      <c r="E89" s="255"/>
      <c r="F89" s="255"/>
      <c r="G89" s="255"/>
      <c r="H89" s="255"/>
      <c r="I89" s="255"/>
      <c r="J89" s="255"/>
      <c r="K89" s="255"/>
      <c r="L89" s="255"/>
      <c r="M89" s="255"/>
      <c r="N89" s="255"/>
      <c r="O89" s="255"/>
      <c r="P89" s="255"/>
      <c r="V89" s="255"/>
      <c r="W89" s="255"/>
      <c r="X89" s="255"/>
      <c r="Y89" s="255"/>
      <c r="Z89" s="255"/>
      <c r="AA89" s="255"/>
    </row>
    <row r="90" spans="3:30" ht="11.25" hidden="1" customHeight="1" outlineLevel="1">
      <c r="C90" s="289" t="s">
        <v>887</v>
      </c>
      <c r="E90" s="358">
        <f t="shared" ref="E90:T90" si="53">E80+E88</f>
        <v>138</v>
      </c>
      <c r="F90" s="358">
        <f t="shared" si="53"/>
        <v>121</v>
      </c>
      <c r="G90" s="358">
        <f t="shared" si="53"/>
        <v>234</v>
      </c>
      <c r="H90" s="358">
        <f t="shared" si="53"/>
        <v>148</v>
      </c>
      <c r="I90" s="358">
        <f t="shared" si="53"/>
        <v>1225</v>
      </c>
      <c r="J90" s="358">
        <f t="shared" si="53"/>
        <v>-1672</v>
      </c>
      <c r="K90" s="358">
        <f t="shared" si="53"/>
        <v>-519</v>
      </c>
      <c r="L90" s="358">
        <f t="shared" si="53"/>
        <v>0</v>
      </c>
      <c r="M90" s="358">
        <f t="shared" si="53"/>
        <v>-1923</v>
      </c>
      <c r="N90" s="358">
        <f t="shared" si="53"/>
        <v>-1455</v>
      </c>
      <c r="O90" s="358">
        <f t="shared" si="53"/>
        <v>-1057</v>
      </c>
      <c r="P90" s="358">
        <f t="shared" si="53"/>
        <v>-20</v>
      </c>
      <c r="Q90" s="358">
        <f t="shared" si="53"/>
        <v>157</v>
      </c>
      <c r="R90" s="358">
        <f t="shared" si="53"/>
        <v>0</v>
      </c>
      <c r="S90" s="358">
        <f t="shared" si="53"/>
        <v>0</v>
      </c>
      <c r="T90" s="358">
        <f t="shared" si="53"/>
        <v>0</v>
      </c>
      <c r="V90" s="358">
        <f t="shared" ref="V90:AD90" si="54">V80+V88</f>
        <v>734</v>
      </c>
      <c r="W90" s="358">
        <f t="shared" si="54"/>
        <v>793</v>
      </c>
      <c r="X90" s="358">
        <f t="shared" si="54"/>
        <v>641</v>
      </c>
      <c r="Y90" s="358">
        <f t="shared" si="54"/>
        <v>-966</v>
      </c>
      <c r="Z90" s="358">
        <f t="shared" si="54"/>
        <v>-4455</v>
      </c>
      <c r="AA90" s="358">
        <f t="shared" si="54"/>
        <v>157</v>
      </c>
      <c r="AB90" s="358">
        <f t="shared" si="54"/>
        <v>0</v>
      </c>
      <c r="AC90" s="358">
        <f t="shared" si="54"/>
        <v>0</v>
      </c>
      <c r="AD90" s="358">
        <f t="shared" si="54"/>
        <v>0</v>
      </c>
    </row>
    <row r="91" spans="3:30" ht="11.25" hidden="1" customHeight="1" outlineLevel="1">
      <c r="E91" s="255"/>
      <c r="F91" s="255"/>
      <c r="G91" s="255"/>
      <c r="H91" s="255"/>
      <c r="I91" s="255"/>
      <c r="J91" s="255"/>
      <c r="K91" s="255"/>
      <c r="L91" s="255"/>
      <c r="M91" s="255"/>
      <c r="N91" s="255"/>
      <c r="O91" s="255"/>
      <c r="P91" s="255"/>
      <c r="V91" s="255"/>
      <c r="W91" s="255"/>
      <c r="X91" s="255"/>
      <c r="Y91" s="255"/>
      <c r="Z91" s="255"/>
      <c r="AA91" s="255"/>
    </row>
    <row r="92" spans="3:30" ht="11.25" hidden="1" customHeight="1" outlineLevel="1">
      <c r="C92" s="644" t="s">
        <v>888</v>
      </c>
      <c r="E92" s="255"/>
      <c r="F92" s="255"/>
      <c r="G92" s="255"/>
      <c r="H92" s="255"/>
      <c r="I92" s="255"/>
      <c r="J92" s="255"/>
      <c r="K92" s="255"/>
      <c r="L92" s="255"/>
      <c r="M92" s="255"/>
      <c r="N92" s="255"/>
      <c r="O92" s="255"/>
      <c r="P92" s="255"/>
      <c r="V92" s="255"/>
      <c r="W92" s="255"/>
      <c r="X92" s="255"/>
      <c r="Y92" s="255"/>
      <c r="Z92" s="255"/>
      <c r="AA92" s="255"/>
    </row>
    <row r="93" spans="3:30" ht="3" hidden="1" customHeight="1" outlineLevel="1">
      <c r="C93" s="644"/>
      <c r="E93" s="255"/>
      <c r="F93" s="255"/>
      <c r="G93" s="255"/>
      <c r="H93" s="255"/>
      <c r="I93" s="255"/>
      <c r="J93" s="255"/>
      <c r="K93" s="255"/>
      <c r="L93" s="255"/>
      <c r="M93" s="255"/>
      <c r="N93" s="255"/>
      <c r="O93" s="255"/>
      <c r="P93" s="255"/>
      <c r="V93" s="255"/>
      <c r="W93" s="255"/>
      <c r="X93" s="255"/>
      <c r="Y93" s="255"/>
      <c r="Z93" s="255"/>
      <c r="AA93" s="255"/>
    </row>
    <row r="94" spans="3:30" ht="11.25" hidden="1" customHeight="1" outlineLevel="1">
      <c r="C94" s="253" t="s">
        <v>909</v>
      </c>
      <c r="E94" s="277">
        <v>-69</v>
      </c>
      <c r="F94" s="277">
        <v>61</v>
      </c>
      <c r="G94" s="277">
        <v>45</v>
      </c>
      <c r="H94" s="277">
        <v>-42</v>
      </c>
      <c r="I94" s="277">
        <v>180</v>
      </c>
      <c r="J94" s="277">
        <v>0</v>
      </c>
      <c r="K94" s="277">
        <v>-21</v>
      </c>
      <c r="L94" s="277">
        <v>-24</v>
      </c>
      <c r="M94" s="277">
        <v>-49</v>
      </c>
      <c r="N94" s="277">
        <v>37</v>
      </c>
      <c r="O94" s="277">
        <v>16</v>
      </c>
      <c r="P94" s="277">
        <v>27</v>
      </c>
      <c r="Q94" s="277">
        <v>1</v>
      </c>
      <c r="R94" s="277">
        <v>0</v>
      </c>
      <c r="S94" s="277">
        <v>0</v>
      </c>
      <c r="T94" s="277">
        <v>0</v>
      </c>
      <c r="V94" s="277">
        <v>0</v>
      </c>
      <c r="W94" s="277">
        <v>104</v>
      </c>
      <c r="X94" s="254">
        <f>+SUMIF('AAL KPI'!$E$5:$T$5,'AAL KPI'!X$5,$E94:$T94)</f>
        <v>-5</v>
      </c>
      <c r="Y94" s="254">
        <f>+SUMIF('AAL KPI'!$E$5:$T$5,'AAL KPI'!Y$5,$E94:$T94)</f>
        <v>135</v>
      </c>
      <c r="Z94" s="254">
        <f>+SUMIF('AAL KPI'!$E$5:$T$5,'AAL KPI'!Z$5,$E94:$T94)</f>
        <v>31</v>
      </c>
      <c r="AA94" s="254">
        <f>+SUMIF('AAL KPI'!$E$5:$T$5,'AAL KPI'!AA$5,$E94:$T94)</f>
        <v>1</v>
      </c>
      <c r="AB94" s="277">
        <v>0</v>
      </c>
      <c r="AC94" s="277">
        <v>0</v>
      </c>
      <c r="AD94" s="277">
        <v>0</v>
      </c>
    </row>
    <row r="95" spans="3:30" ht="11.25" hidden="1" customHeight="1" outlineLevel="1">
      <c r="C95" s="253" t="s">
        <v>910</v>
      </c>
      <c r="E95" s="277">
        <v>0</v>
      </c>
      <c r="F95" s="277">
        <v>8</v>
      </c>
      <c r="G95" s="277">
        <v>-1</v>
      </c>
      <c r="H95" s="277">
        <v>1</v>
      </c>
      <c r="I95" s="277">
        <v>37</v>
      </c>
      <c r="J95" s="277">
        <v>11</v>
      </c>
      <c r="K95" s="277">
        <v>0</v>
      </c>
      <c r="L95" s="277">
        <v>-13</v>
      </c>
      <c r="M95" s="277">
        <v>26</v>
      </c>
      <c r="N95" s="277">
        <v>0</v>
      </c>
      <c r="O95" s="277">
        <v>2</v>
      </c>
      <c r="P95" s="277">
        <v>1</v>
      </c>
      <c r="Q95" s="277">
        <v>2</v>
      </c>
      <c r="R95" s="277">
        <v>0</v>
      </c>
      <c r="S95" s="277">
        <v>0</v>
      </c>
      <c r="T95" s="277">
        <v>0</v>
      </c>
      <c r="V95" s="277">
        <v>22</v>
      </c>
      <c r="W95" s="277">
        <v>9</v>
      </c>
      <c r="X95" s="254">
        <f>+SUMIF('AAL KPI'!$E$5:$T$5,'AAL KPI'!X$5,$E95:$T95)</f>
        <v>8</v>
      </c>
      <c r="Y95" s="254">
        <f>+SUMIF('AAL KPI'!$E$5:$T$5,'AAL KPI'!Y$5,$E95:$T95)</f>
        <v>35</v>
      </c>
      <c r="Z95" s="254">
        <f>+SUMIF('AAL KPI'!$E$5:$T$5,'AAL KPI'!Z$5,$E95:$T95)</f>
        <v>29</v>
      </c>
      <c r="AA95" s="254">
        <f>+SUMIF('AAL KPI'!$E$5:$T$5,'AAL KPI'!AA$5,$E95:$T95)</f>
        <v>2</v>
      </c>
      <c r="AB95" s="277">
        <v>0</v>
      </c>
      <c r="AC95" s="277">
        <v>0</v>
      </c>
      <c r="AD95" s="277">
        <v>0</v>
      </c>
    </row>
    <row r="96" spans="3:30" ht="11.25" hidden="1" customHeight="1" outlineLevel="1">
      <c r="C96" s="289" t="s">
        <v>888</v>
      </c>
      <c r="E96" s="358">
        <f t="shared" ref="E96:P96" si="55">SUM(E94:E95)</f>
        <v>-69</v>
      </c>
      <c r="F96" s="358">
        <f t="shared" si="55"/>
        <v>69</v>
      </c>
      <c r="G96" s="358">
        <f t="shared" si="55"/>
        <v>44</v>
      </c>
      <c r="H96" s="358">
        <f t="shared" si="55"/>
        <v>-41</v>
      </c>
      <c r="I96" s="358">
        <f t="shared" si="55"/>
        <v>217</v>
      </c>
      <c r="J96" s="358">
        <f t="shared" si="55"/>
        <v>11</v>
      </c>
      <c r="K96" s="358">
        <f t="shared" si="55"/>
        <v>-21</v>
      </c>
      <c r="L96" s="358">
        <f t="shared" si="55"/>
        <v>-37</v>
      </c>
      <c r="M96" s="358">
        <f t="shared" si="55"/>
        <v>-23</v>
      </c>
      <c r="N96" s="358">
        <f t="shared" si="55"/>
        <v>37</v>
      </c>
      <c r="O96" s="358">
        <f t="shared" si="55"/>
        <v>18</v>
      </c>
      <c r="P96" s="358">
        <f t="shared" si="55"/>
        <v>28</v>
      </c>
      <c r="Q96" s="358">
        <f>SUM(Q94:Q95)</f>
        <v>3</v>
      </c>
      <c r="R96" s="358">
        <f>SUM(R94:R95)</f>
        <v>0</v>
      </c>
      <c r="S96" s="358">
        <f>SUM(S94:S95)</f>
        <v>0</v>
      </c>
      <c r="T96" s="358">
        <f>SUM(T94:T95)</f>
        <v>0</v>
      </c>
      <c r="V96" s="358">
        <f t="shared" ref="V96:AD96" si="56">SUM(V94:V95)</f>
        <v>22</v>
      </c>
      <c r="W96" s="358">
        <f t="shared" si="56"/>
        <v>113</v>
      </c>
      <c r="X96" s="358">
        <f t="shared" si="56"/>
        <v>3</v>
      </c>
      <c r="Y96" s="358">
        <f t="shared" si="56"/>
        <v>170</v>
      </c>
      <c r="Z96" s="358">
        <f t="shared" si="56"/>
        <v>60</v>
      </c>
      <c r="AA96" s="358">
        <f t="shared" si="56"/>
        <v>3</v>
      </c>
      <c r="AB96" s="358">
        <f t="shared" si="56"/>
        <v>0</v>
      </c>
      <c r="AC96" s="358">
        <f t="shared" si="56"/>
        <v>0</v>
      </c>
      <c r="AD96" s="358">
        <f t="shared" si="56"/>
        <v>0</v>
      </c>
    </row>
    <row r="97" spans="2:30" ht="11.25" customHeight="1" collapsed="1"/>
    <row r="98" spans="2:30" ht="11.25" customHeight="1"/>
    <row r="99" spans="2:30" ht="11.25" customHeight="1">
      <c r="C99" s="253" t="s">
        <v>339</v>
      </c>
      <c r="E99" s="255">
        <f>E224</f>
        <v>1651</v>
      </c>
      <c r="F99" s="255">
        <f t="shared" ref="F99:T99" si="57">F224</f>
        <v>736</v>
      </c>
      <c r="G99" s="255">
        <f t="shared" si="57"/>
        <v>828</v>
      </c>
      <c r="H99" s="255">
        <f t="shared" si="57"/>
        <v>600</v>
      </c>
      <c r="I99" s="255">
        <f t="shared" si="57"/>
        <v>-168</v>
      </c>
      <c r="J99" s="255">
        <f t="shared" si="57"/>
        <v>-908</v>
      </c>
      <c r="K99" s="255">
        <f t="shared" si="57"/>
        <v>-2604</v>
      </c>
      <c r="L99" s="255">
        <f t="shared" si="57"/>
        <v>-2863</v>
      </c>
      <c r="M99" s="255">
        <f t="shared" si="57"/>
        <v>174</v>
      </c>
      <c r="N99" s="255">
        <f t="shared" si="57"/>
        <v>3470</v>
      </c>
      <c r="O99" s="255">
        <f t="shared" si="57"/>
        <v>-1740</v>
      </c>
      <c r="P99" s="255">
        <f t="shared" si="57"/>
        <v>-1200</v>
      </c>
      <c r="Q99" s="255">
        <f t="shared" si="57"/>
        <v>1185</v>
      </c>
      <c r="R99" s="255">
        <f t="shared" ca="1" si="57"/>
        <v>588.27816984838978</v>
      </c>
      <c r="S99" s="255">
        <f t="shared" ca="1" si="57"/>
        <v>192.48270612380418</v>
      </c>
      <c r="T99" s="255">
        <f t="shared" ca="1" si="57"/>
        <v>152.60951481403276</v>
      </c>
      <c r="V99" s="255">
        <f t="shared" ref="V99:AD99" si="58">V224</f>
        <v>4744</v>
      </c>
      <c r="W99" s="255">
        <f t="shared" si="58"/>
        <v>3533</v>
      </c>
      <c r="X99" s="255">
        <f t="shared" si="58"/>
        <v>3815</v>
      </c>
      <c r="Y99" s="255">
        <f t="shared" si="58"/>
        <v>-6543</v>
      </c>
      <c r="Z99" s="255">
        <f t="shared" si="58"/>
        <v>704</v>
      </c>
      <c r="AA99" s="255">
        <f t="shared" ca="1" si="58"/>
        <v>2118.3703907862264</v>
      </c>
      <c r="AB99" s="255">
        <f t="shared" ca="1" si="58"/>
        <v>2163.295231323993</v>
      </c>
      <c r="AC99" s="255">
        <f t="shared" ca="1" si="58"/>
        <v>5967.7269122341113</v>
      </c>
      <c r="AD99" s="255">
        <f t="shared" ca="1" si="58"/>
        <v>6663.8189162389745</v>
      </c>
    </row>
    <row r="100" spans="2:30" ht="11.25" customHeight="1">
      <c r="C100" s="253" t="s">
        <v>911</v>
      </c>
      <c r="E100" s="255">
        <f>-E226</f>
        <v>1305</v>
      </c>
      <c r="F100" s="255">
        <f t="shared" ref="F100:T100" si="59">-F226</f>
        <v>1018</v>
      </c>
      <c r="G100" s="255">
        <f t="shared" si="59"/>
        <v>806</v>
      </c>
      <c r="H100" s="255">
        <f t="shared" si="59"/>
        <v>1237</v>
      </c>
      <c r="I100" s="255">
        <f t="shared" si="59"/>
        <v>845</v>
      </c>
      <c r="J100" s="255">
        <f t="shared" si="59"/>
        <v>388</v>
      </c>
      <c r="K100" s="255">
        <f t="shared" si="59"/>
        <v>577</v>
      </c>
      <c r="L100" s="255">
        <f t="shared" si="59"/>
        <v>321</v>
      </c>
      <c r="M100" s="255">
        <f t="shared" si="59"/>
        <v>-19</v>
      </c>
      <c r="N100" s="255">
        <f t="shared" si="59"/>
        <v>-99</v>
      </c>
      <c r="O100" s="255">
        <f t="shared" si="59"/>
        <v>143</v>
      </c>
      <c r="P100" s="255">
        <f t="shared" si="59"/>
        <v>387</v>
      </c>
      <c r="Q100" s="255">
        <f t="shared" si="59"/>
        <v>807</v>
      </c>
      <c r="R100" s="255">
        <f t="shared" si="59"/>
        <v>926.35609278013726</v>
      </c>
      <c r="S100" s="255">
        <f t="shared" si="59"/>
        <v>837.56680823260376</v>
      </c>
      <c r="T100" s="255">
        <f t="shared" si="59"/>
        <v>1018.0770989872591</v>
      </c>
      <c r="V100" s="255">
        <f t="shared" ref="V100:AD100" si="60">-V226</f>
        <v>5971</v>
      </c>
      <c r="W100" s="255">
        <f t="shared" si="60"/>
        <v>3745</v>
      </c>
      <c r="X100" s="255">
        <f t="shared" si="60"/>
        <v>4366</v>
      </c>
      <c r="Y100" s="255">
        <f t="shared" si="60"/>
        <v>2131</v>
      </c>
      <c r="Z100" s="255">
        <f t="shared" si="60"/>
        <v>412</v>
      </c>
      <c r="AA100" s="255">
        <f t="shared" si="60"/>
        <v>3589</v>
      </c>
      <c r="AB100" s="255">
        <f t="shared" si="60"/>
        <v>4056</v>
      </c>
      <c r="AC100" s="255">
        <f t="shared" si="60"/>
        <v>4694</v>
      </c>
      <c r="AD100" s="255">
        <f t="shared" si="60"/>
        <v>4694</v>
      </c>
    </row>
    <row r="101" spans="2:30" s="279" customFormat="1" ht="11.25" customHeight="1">
      <c r="C101" s="289" t="s">
        <v>161</v>
      </c>
      <c r="E101" s="396">
        <f>E99-E100</f>
        <v>346</v>
      </c>
      <c r="F101" s="396">
        <f t="shared" ref="F101:T101" si="61">F99-F100</f>
        <v>-282</v>
      </c>
      <c r="G101" s="396">
        <f t="shared" si="61"/>
        <v>22</v>
      </c>
      <c r="H101" s="396">
        <f t="shared" si="61"/>
        <v>-637</v>
      </c>
      <c r="I101" s="396">
        <f t="shared" si="61"/>
        <v>-1013</v>
      </c>
      <c r="J101" s="396">
        <f t="shared" si="61"/>
        <v>-1296</v>
      </c>
      <c r="K101" s="396">
        <f t="shared" si="61"/>
        <v>-3181</v>
      </c>
      <c r="L101" s="396">
        <f t="shared" si="61"/>
        <v>-3184</v>
      </c>
      <c r="M101" s="396">
        <f t="shared" si="61"/>
        <v>193</v>
      </c>
      <c r="N101" s="396">
        <f t="shared" si="61"/>
        <v>3569</v>
      </c>
      <c r="O101" s="396">
        <f t="shared" si="61"/>
        <v>-1883</v>
      </c>
      <c r="P101" s="396">
        <f t="shared" si="61"/>
        <v>-1587</v>
      </c>
      <c r="Q101" s="396">
        <f t="shared" si="61"/>
        <v>378</v>
      </c>
      <c r="R101" s="396">
        <f t="shared" ca="1" si="61"/>
        <v>-338.07792293174748</v>
      </c>
      <c r="S101" s="396">
        <f t="shared" ca="1" si="61"/>
        <v>-645.08410210879958</v>
      </c>
      <c r="T101" s="396">
        <f t="shared" ca="1" si="61"/>
        <v>-865.46758417322633</v>
      </c>
      <c r="V101" s="396">
        <f t="shared" ref="V101:AD101" si="62">V99-V100</f>
        <v>-1227</v>
      </c>
      <c r="W101" s="396">
        <f t="shared" si="62"/>
        <v>-212</v>
      </c>
      <c r="X101" s="396">
        <f t="shared" si="62"/>
        <v>-551</v>
      </c>
      <c r="Y101" s="396">
        <f t="shared" si="62"/>
        <v>-8674</v>
      </c>
      <c r="Z101" s="396">
        <f t="shared" si="62"/>
        <v>292</v>
      </c>
      <c r="AA101" s="396">
        <f t="shared" ca="1" si="62"/>
        <v>-1470.6296092137736</v>
      </c>
      <c r="AB101" s="396">
        <f t="shared" ca="1" si="62"/>
        <v>-1892.704768676007</v>
      </c>
      <c r="AC101" s="396">
        <f t="shared" ca="1" si="62"/>
        <v>1273.7269122341113</v>
      </c>
      <c r="AD101" s="396">
        <f t="shared" ca="1" si="62"/>
        <v>1969.8189162389745</v>
      </c>
    </row>
    <row r="102" spans="2:30" ht="11.25" customHeight="1"/>
    <row r="103" spans="2:30" ht="10.5" customHeight="1">
      <c r="B103" s="258" t="s">
        <v>133</v>
      </c>
      <c r="C103" s="259" t="s">
        <v>912</v>
      </c>
      <c r="D103" s="259"/>
      <c r="E103" s="258"/>
      <c r="F103" s="258"/>
      <c r="G103" s="258"/>
      <c r="H103" s="258"/>
      <c r="I103" s="258"/>
      <c r="J103" s="258"/>
      <c r="K103" s="258"/>
      <c r="L103" s="258"/>
      <c r="M103" s="258"/>
      <c r="N103" s="258"/>
      <c r="O103" s="258"/>
      <c r="P103" s="258"/>
      <c r="Q103" s="258"/>
      <c r="R103" s="258"/>
      <c r="S103" s="258"/>
      <c r="T103" s="258"/>
      <c r="V103" s="258"/>
      <c r="W103" s="258"/>
      <c r="X103" s="258"/>
      <c r="Y103" s="258"/>
      <c r="Z103" s="258"/>
      <c r="AA103" s="258"/>
      <c r="AB103" s="258"/>
      <c r="AC103" s="258"/>
      <c r="AD103" s="258"/>
    </row>
    <row r="104" spans="2:30" ht="10.5" customHeight="1">
      <c r="C104" s="634"/>
    </row>
    <row r="105" spans="2:30" s="255" customFormat="1" ht="10.5" customHeight="1">
      <c r="C105" s="255" t="s">
        <v>181</v>
      </c>
      <c r="E105" s="277">
        <v>337</v>
      </c>
      <c r="F105" s="277">
        <v>319</v>
      </c>
      <c r="G105" s="277">
        <v>312</v>
      </c>
      <c r="H105" s="277">
        <v>280</v>
      </c>
      <c r="I105" s="277">
        <v>474</v>
      </c>
      <c r="J105" s="277">
        <v>462</v>
      </c>
      <c r="K105" s="277">
        <v>253</v>
      </c>
      <c r="L105" s="277">
        <v>245</v>
      </c>
      <c r="M105" s="277">
        <v>277</v>
      </c>
      <c r="N105" s="277">
        <v>325</v>
      </c>
      <c r="O105" s="277">
        <v>293</v>
      </c>
      <c r="P105" s="277">
        <v>273</v>
      </c>
      <c r="Q105" s="277">
        <v>376</v>
      </c>
      <c r="R105" s="333">
        <v>350</v>
      </c>
      <c r="S105" s="333">
        <v>350</v>
      </c>
      <c r="T105" s="333">
        <v>350</v>
      </c>
      <c r="V105" s="277">
        <v>295</v>
      </c>
      <c r="W105" s="277">
        <v>275</v>
      </c>
      <c r="X105" s="254">
        <f t="shared" ref="X105:AA112" si="63">+SUMIF($E$6:$T$6,X$6,$E105:$T105)</f>
        <v>280</v>
      </c>
      <c r="Y105" s="254">
        <f t="shared" si="63"/>
        <v>245</v>
      </c>
      <c r="Z105" s="254">
        <f t="shared" si="63"/>
        <v>273</v>
      </c>
      <c r="AA105" s="254">
        <f t="shared" si="63"/>
        <v>350</v>
      </c>
      <c r="AB105" s="333">
        <v>350</v>
      </c>
      <c r="AC105" s="333">
        <v>350</v>
      </c>
      <c r="AD105" s="333">
        <v>350</v>
      </c>
    </row>
    <row r="106" spans="2:30" s="255" customFormat="1" ht="10.5" customHeight="1">
      <c r="C106" s="255" t="s">
        <v>311</v>
      </c>
      <c r="E106" s="277">
        <v>607</v>
      </c>
      <c r="F106" s="277">
        <v>635</v>
      </c>
      <c r="G106" s="277">
        <v>596</v>
      </c>
      <c r="H106" s="277">
        <v>621</v>
      </c>
      <c r="I106" s="277">
        <v>650</v>
      </c>
      <c r="J106" s="277">
        <v>905</v>
      </c>
      <c r="K106" s="277">
        <v>780</v>
      </c>
      <c r="L106" s="277">
        <v>666</v>
      </c>
      <c r="M106" s="277">
        <v>615</v>
      </c>
      <c r="N106" s="277">
        <v>660</v>
      </c>
      <c r="O106" s="277">
        <v>553</v>
      </c>
      <c r="P106" s="277">
        <v>615</v>
      </c>
      <c r="Q106" s="277">
        <v>787</v>
      </c>
      <c r="R106" s="288">
        <f t="shared" ref="R106:T107" si="64">Q106</f>
        <v>787</v>
      </c>
      <c r="S106" s="288">
        <f t="shared" si="64"/>
        <v>787</v>
      </c>
      <c r="T106" s="288">
        <f t="shared" si="64"/>
        <v>787</v>
      </c>
      <c r="V106" s="277">
        <v>651</v>
      </c>
      <c r="W106" s="277">
        <v>495</v>
      </c>
      <c r="X106" s="254">
        <f t="shared" si="63"/>
        <v>621</v>
      </c>
      <c r="Y106" s="254">
        <f t="shared" si="63"/>
        <v>666</v>
      </c>
      <c r="Z106" s="254">
        <f t="shared" si="63"/>
        <v>615</v>
      </c>
      <c r="AA106" s="254">
        <f t="shared" si="63"/>
        <v>787</v>
      </c>
      <c r="AB106" s="288">
        <f t="shared" ref="AB106:AD107" si="65">AA106</f>
        <v>787</v>
      </c>
      <c r="AC106" s="288">
        <f t="shared" si="65"/>
        <v>787</v>
      </c>
      <c r="AD106" s="288">
        <f t="shared" si="65"/>
        <v>787</v>
      </c>
    </row>
    <row r="107" spans="2:30" s="255" customFormat="1" ht="10.5" customHeight="1">
      <c r="C107" s="255" t="s">
        <v>310</v>
      </c>
      <c r="E107" s="277">
        <v>11</v>
      </c>
      <c r="F107" s="277">
        <v>11</v>
      </c>
      <c r="G107" s="277">
        <v>11</v>
      </c>
      <c r="H107" s="277">
        <v>10</v>
      </c>
      <c r="I107" s="277">
        <v>12</v>
      </c>
      <c r="J107" s="277">
        <v>5</v>
      </c>
      <c r="K107" s="277">
        <v>44</v>
      </c>
      <c r="L107" s="277">
        <v>154</v>
      </c>
      <c r="M107" s="277">
        <v>157</v>
      </c>
      <c r="N107" s="277">
        <v>140</v>
      </c>
      <c r="O107" s="277">
        <v>138</v>
      </c>
      <c r="P107" s="277">
        <v>135</v>
      </c>
      <c r="Q107" s="277">
        <v>136</v>
      </c>
      <c r="R107" s="288">
        <f t="shared" si="64"/>
        <v>136</v>
      </c>
      <c r="S107" s="288">
        <f t="shared" si="64"/>
        <v>136</v>
      </c>
      <c r="T107" s="288">
        <f t="shared" si="64"/>
        <v>136</v>
      </c>
      <c r="V107" s="277">
        <v>103</v>
      </c>
      <c r="W107" s="277">
        <v>11</v>
      </c>
      <c r="X107" s="254">
        <f t="shared" si="63"/>
        <v>10</v>
      </c>
      <c r="Y107" s="254">
        <f t="shared" si="63"/>
        <v>154</v>
      </c>
      <c r="Z107" s="254">
        <f t="shared" si="63"/>
        <v>135</v>
      </c>
      <c r="AA107" s="254">
        <f t="shared" si="63"/>
        <v>136</v>
      </c>
      <c r="AB107" s="288">
        <f t="shared" si="65"/>
        <v>136</v>
      </c>
      <c r="AC107" s="288">
        <f t="shared" si="65"/>
        <v>136</v>
      </c>
      <c r="AD107" s="288">
        <f t="shared" si="65"/>
        <v>136</v>
      </c>
    </row>
    <row r="108" spans="2:30" s="255" customFormat="1" ht="10.5" customHeight="1">
      <c r="C108" s="255" t="s">
        <v>913</v>
      </c>
      <c r="E108" s="277">
        <v>1876</v>
      </c>
      <c r="F108" s="277">
        <v>1943</v>
      </c>
      <c r="G108" s="277">
        <v>1850</v>
      </c>
      <c r="H108" s="277">
        <v>1750</v>
      </c>
      <c r="I108" s="277">
        <v>1020</v>
      </c>
      <c r="J108" s="277">
        <v>879</v>
      </c>
      <c r="K108" s="277">
        <v>1135</v>
      </c>
      <c r="L108" s="277">
        <v>1342</v>
      </c>
      <c r="M108" s="277">
        <v>971</v>
      </c>
      <c r="N108" s="277">
        <v>1249</v>
      </c>
      <c r="O108" s="277">
        <v>1332</v>
      </c>
      <c r="P108" s="277">
        <v>1505</v>
      </c>
      <c r="Q108" s="277">
        <v>1537</v>
      </c>
      <c r="R108" s="254">
        <f>R187*SUM(O13:R13)/365</f>
        <v>1647.5723261441337</v>
      </c>
      <c r="S108" s="254">
        <f>S187*SUM(P13:S13)/365</f>
        <v>1567.8102035626666</v>
      </c>
      <c r="T108" s="254">
        <f>T187*SUM(Q13:T13)/365</f>
        <v>1527.7149245232733</v>
      </c>
      <c r="V108" s="277">
        <v>1752</v>
      </c>
      <c r="W108" s="277">
        <v>1706</v>
      </c>
      <c r="X108" s="254">
        <f t="shared" si="63"/>
        <v>1750</v>
      </c>
      <c r="Y108" s="254">
        <f t="shared" si="63"/>
        <v>1342</v>
      </c>
      <c r="Z108" s="254">
        <f t="shared" si="63"/>
        <v>1505</v>
      </c>
      <c r="AA108" s="254">
        <f t="shared" si="63"/>
        <v>1527.7149245232733</v>
      </c>
      <c r="AB108" s="254">
        <f>AB187*AB13/365</f>
        <v>1643.1407981295031</v>
      </c>
      <c r="AC108" s="254">
        <f>AC187*AC13/365</f>
        <v>1729.8679316002506</v>
      </c>
      <c r="AD108" s="254">
        <f>AD187*AD13/365</f>
        <v>1744.9785848981528</v>
      </c>
    </row>
    <row r="109" spans="2:30" s="255" customFormat="1" ht="10.5" customHeight="1">
      <c r="C109" s="255" t="s">
        <v>914</v>
      </c>
      <c r="E109" s="277">
        <v>1666</v>
      </c>
      <c r="F109" s="277">
        <v>1708</v>
      </c>
      <c r="G109" s="277">
        <v>1800</v>
      </c>
      <c r="H109" s="277">
        <v>1851</v>
      </c>
      <c r="I109" s="277">
        <v>1772</v>
      </c>
      <c r="J109" s="277">
        <v>1653</v>
      </c>
      <c r="K109" s="277">
        <v>1633</v>
      </c>
      <c r="L109" s="277">
        <v>1614</v>
      </c>
      <c r="M109" s="277">
        <v>1658</v>
      </c>
      <c r="N109" s="277">
        <v>1789</v>
      </c>
      <c r="O109" s="277">
        <v>1851</v>
      </c>
      <c r="P109" s="277">
        <v>1795</v>
      </c>
      <c r="Q109" s="277">
        <v>2002</v>
      </c>
      <c r="R109" s="254">
        <f>R188*SUM(O15:R15)/365</f>
        <v>2165.1780271252237</v>
      </c>
      <c r="S109" s="254">
        <f>S188*SUM(P15:S15)/365</f>
        <v>2229.7565072318012</v>
      </c>
      <c r="T109" s="254">
        <f>T188*SUM(Q15:T15)/365</f>
        <v>2242.2953401456002</v>
      </c>
      <c r="V109" s="277">
        <v>1359</v>
      </c>
      <c r="W109" s="277">
        <v>1522</v>
      </c>
      <c r="X109" s="254">
        <f t="shared" si="63"/>
        <v>1851</v>
      </c>
      <c r="Y109" s="254">
        <f t="shared" si="63"/>
        <v>1614</v>
      </c>
      <c r="Z109" s="254">
        <f t="shared" si="63"/>
        <v>1795</v>
      </c>
      <c r="AA109" s="254">
        <f t="shared" si="63"/>
        <v>2242.2953401456002</v>
      </c>
      <c r="AB109" s="254">
        <f>AB188*AB15/365</f>
        <v>2039.8207137763777</v>
      </c>
      <c r="AC109" s="254">
        <f>AC188*AC15/365</f>
        <v>1902.3301404342642</v>
      </c>
      <c r="AD109" s="254">
        <f>AD188*AD15/365</f>
        <v>1944.0096948526523</v>
      </c>
    </row>
    <row r="110" spans="2:30" s="255" customFormat="1" ht="10.5" customHeight="1">
      <c r="C110" s="255" t="s">
        <v>309</v>
      </c>
      <c r="E110" s="254">
        <f>SUM(E111:E112)</f>
        <v>4157</v>
      </c>
      <c r="F110" s="254">
        <f t="shared" ref="F110:W110" si="66">SUM(F111:F112)</f>
        <v>5234</v>
      </c>
      <c r="G110" s="254">
        <f t="shared" si="66"/>
        <v>5003</v>
      </c>
      <c r="H110" s="254">
        <f t="shared" si="66"/>
        <v>3694</v>
      </c>
      <c r="I110" s="254">
        <f t="shared" si="66"/>
        <v>3247</v>
      </c>
      <c r="J110" s="254">
        <f t="shared" si="66"/>
        <v>9885</v>
      </c>
      <c r="K110" s="254">
        <f t="shared" si="66"/>
        <v>8495</v>
      </c>
      <c r="L110" s="254">
        <f t="shared" si="66"/>
        <v>7074</v>
      </c>
      <c r="M110" s="254">
        <f t="shared" si="66"/>
        <v>14411</v>
      </c>
      <c r="N110" s="254">
        <f t="shared" si="66"/>
        <v>18484</v>
      </c>
      <c r="O110" s="254">
        <f t="shared" si="66"/>
        <v>15028</v>
      </c>
      <c r="P110" s="254">
        <f t="shared" si="66"/>
        <v>13013</v>
      </c>
      <c r="Q110" s="254">
        <f>SUM(Q111:Q112)</f>
        <v>12924</v>
      </c>
      <c r="R110" s="254">
        <f ca="1">R183</f>
        <v>12356.130669848382</v>
      </c>
      <c r="S110" s="254">
        <f ca="1">S183</f>
        <v>11799.46587597219</v>
      </c>
      <c r="T110" s="254">
        <f ca="1">T183</f>
        <v>11202.927890786224</v>
      </c>
      <c r="V110" s="254">
        <f t="shared" si="66"/>
        <v>4986</v>
      </c>
      <c r="W110" s="254">
        <f t="shared" si="66"/>
        <v>4628</v>
      </c>
      <c r="X110" s="254">
        <f t="shared" si="63"/>
        <v>3694</v>
      </c>
      <c r="Y110" s="254">
        <f t="shared" si="63"/>
        <v>7074</v>
      </c>
      <c r="Z110" s="254">
        <f t="shared" si="63"/>
        <v>13013</v>
      </c>
      <c r="AA110" s="254">
        <f t="shared" ca="1" si="63"/>
        <v>11202.927890786224</v>
      </c>
      <c r="AB110" s="254">
        <f ca="1">AB183</f>
        <v>8330.7931221102099</v>
      </c>
      <c r="AC110" s="254">
        <f ca="1">AC183</f>
        <v>10097.450034344329</v>
      </c>
      <c r="AD110" s="254">
        <f ca="1">AD183</f>
        <v>7747.1614505832986</v>
      </c>
    </row>
    <row r="111" spans="2:30" s="255" customFormat="1" ht="10.5" hidden="1" customHeight="1" outlineLevel="1">
      <c r="C111" s="395" t="s">
        <v>1432</v>
      </c>
      <c r="D111" s="395"/>
      <c r="E111" s="385">
        <f>156-E107</f>
        <v>145</v>
      </c>
      <c r="F111" s="385">
        <f>157-F107</f>
        <v>146</v>
      </c>
      <c r="G111" s="385">
        <f>158-G107</f>
        <v>147</v>
      </c>
      <c r="H111" s="385">
        <f>158-H107</f>
        <v>148</v>
      </c>
      <c r="I111" s="385">
        <f>157-I107</f>
        <v>145</v>
      </c>
      <c r="J111" s="385">
        <f>539-J107</f>
        <v>534</v>
      </c>
      <c r="K111" s="385">
        <f>508-K107</f>
        <v>464</v>
      </c>
      <c r="L111" s="385">
        <f>609-L107</f>
        <v>455</v>
      </c>
      <c r="M111" s="385">
        <f>806-M107</f>
        <v>649</v>
      </c>
      <c r="N111" s="385">
        <f>999-N107</f>
        <v>859</v>
      </c>
      <c r="O111" s="385">
        <f>923-O107</f>
        <v>785</v>
      </c>
      <c r="P111" s="385">
        <f>990-P107</f>
        <v>855</v>
      </c>
      <c r="Q111" s="385">
        <v>816</v>
      </c>
      <c r="R111" s="420"/>
      <c r="S111" s="420"/>
      <c r="T111" s="420"/>
      <c r="V111" s="385">
        <f>318-V107</f>
        <v>215</v>
      </c>
      <c r="W111" s="385">
        <f>154-W107</f>
        <v>143</v>
      </c>
      <c r="X111" s="641">
        <f t="shared" si="63"/>
        <v>148</v>
      </c>
      <c r="Y111" s="641">
        <f t="shared" si="63"/>
        <v>455</v>
      </c>
      <c r="Z111" s="641">
        <f t="shared" si="63"/>
        <v>855</v>
      </c>
      <c r="AA111" s="641">
        <f t="shared" si="63"/>
        <v>0</v>
      </c>
      <c r="AB111" s="420">
        <f t="shared" ref="AB111:AD112" si="67">AA111</f>
        <v>0</v>
      </c>
      <c r="AC111" s="420">
        <f t="shared" si="67"/>
        <v>0</v>
      </c>
      <c r="AD111" s="420">
        <f t="shared" si="67"/>
        <v>0</v>
      </c>
    </row>
    <row r="112" spans="2:30" s="255" customFormat="1" ht="10.5" hidden="1" customHeight="1" outlineLevel="1">
      <c r="C112" s="395" t="s">
        <v>1432</v>
      </c>
      <c r="D112" s="395"/>
      <c r="E112" s="385">
        <v>4012</v>
      </c>
      <c r="F112" s="385">
        <v>5088</v>
      </c>
      <c r="G112" s="385">
        <v>4856</v>
      </c>
      <c r="H112" s="385">
        <v>3546</v>
      </c>
      <c r="I112" s="385">
        <v>3102</v>
      </c>
      <c r="J112" s="385">
        <v>9351</v>
      </c>
      <c r="K112" s="385">
        <v>8031</v>
      </c>
      <c r="L112" s="385">
        <v>6619</v>
      </c>
      <c r="M112" s="385">
        <v>13762</v>
      </c>
      <c r="N112" s="385">
        <v>17625</v>
      </c>
      <c r="O112" s="385">
        <v>14243</v>
      </c>
      <c r="P112" s="385">
        <v>12158</v>
      </c>
      <c r="Q112" s="385">
        <v>12108</v>
      </c>
      <c r="R112" s="420"/>
      <c r="S112" s="420"/>
      <c r="T112" s="420"/>
      <c r="V112" s="385">
        <v>4771</v>
      </c>
      <c r="W112" s="385">
        <v>4485</v>
      </c>
      <c r="X112" s="641">
        <f t="shared" si="63"/>
        <v>3546</v>
      </c>
      <c r="Y112" s="641">
        <f t="shared" si="63"/>
        <v>6619</v>
      </c>
      <c r="Z112" s="641">
        <f t="shared" si="63"/>
        <v>12158</v>
      </c>
      <c r="AA112" s="641">
        <f t="shared" si="63"/>
        <v>0</v>
      </c>
      <c r="AB112" s="420">
        <f t="shared" si="67"/>
        <v>0</v>
      </c>
      <c r="AC112" s="420">
        <f t="shared" si="67"/>
        <v>0</v>
      </c>
      <c r="AD112" s="420">
        <f t="shared" si="67"/>
        <v>0</v>
      </c>
    </row>
    <row r="113" spans="3:30" s="283" customFormat="1" ht="10.5" customHeight="1" collapsed="1">
      <c r="C113" s="286" t="s">
        <v>312</v>
      </c>
      <c r="E113" s="358">
        <f>SUM(E105:E110)</f>
        <v>8654</v>
      </c>
      <c r="F113" s="358">
        <f>SUM(F105:F110)</f>
        <v>9850</v>
      </c>
      <c r="G113" s="358">
        <f>SUM(G105:G110)</f>
        <v>9572</v>
      </c>
      <c r="H113" s="358">
        <f>SUM(H105:H110)</f>
        <v>8206</v>
      </c>
      <c r="I113" s="358">
        <f>SUM(I105:I110)</f>
        <v>7175</v>
      </c>
      <c r="J113" s="358">
        <f t="shared" ref="J113:AD113" si="68">SUM(J105:J110)</f>
        <v>13789</v>
      </c>
      <c r="K113" s="358">
        <f t="shared" si="68"/>
        <v>12340</v>
      </c>
      <c r="L113" s="358">
        <f t="shared" si="68"/>
        <v>11095</v>
      </c>
      <c r="M113" s="358">
        <f t="shared" si="68"/>
        <v>18089</v>
      </c>
      <c r="N113" s="358">
        <f t="shared" si="68"/>
        <v>22647</v>
      </c>
      <c r="O113" s="358">
        <f t="shared" si="68"/>
        <v>19195</v>
      </c>
      <c r="P113" s="358">
        <f t="shared" si="68"/>
        <v>17336</v>
      </c>
      <c r="Q113" s="358">
        <f>SUM(Q105:Q110)</f>
        <v>17762</v>
      </c>
      <c r="R113" s="358">
        <f t="shared" ca="1" si="68"/>
        <v>17441.881023117741</v>
      </c>
      <c r="S113" s="358">
        <f t="shared" ca="1" si="68"/>
        <v>16870.032586766658</v>
      </c>
      <c r="T113" s="358">
        <f t="shared" ca="1" si="68"/>
        <v>16245.938155455098</v>
      </c>
      <c r="U113" s="255"/>
      <c r="V113" s="358">
        <f t="shared" si="68"/>
        <v>9146</v>
      </c>
      <c r="W113" s="358">
        <f t="shared" si="68"/>
        <v>8637</v>
      </c>
      <c r="X113" s="358">
        <f t="shared" si="68"/>
        <v>8206</v>
      </c>
      <c r="Y113" s="358">
        <f t="shared" si="68"/>
        <v>11095</v>
      </c>
      <c r="Z113" s="358">
        <f t="shared" si="68"/>
        <v>17336</v>
      </c>
      <c r="AA113" s="358">
        <f t="shared" ca="1" si="68"/>
        <v>16245.938155455098</v>
      </c>
      <c r="AB113" s="358">
        <f t="shared" ca="1" si="68"/>
        <v>13286.754634016092</v>
      </c>
      <c r="AC113" s="358">
        <f t="shared" ca="1" si="68"/>
        <v>15002.648106378843</v>
      </c>
      <c r="AD113" s="358">
        <f t="shared" ca="1" si="68"/>
        <v>12709.149730334104</v>
      </c>
    </row>
    <row r="114" spans="3:30" s="255" customFormat="1" ht="10.5" customHeight="1">
      <c r="C114" s="282"/>
    </row>
    <row r="115" spans="3:30" s="255" customFormat="1" ht="10.5" customHeight="1">
      <c r="C115" s="291" t="s">
        <v>858</v>
      </c>
      <c r="E115" s="277">
        <v>34410</v>
      </c>
      <c r="F115" s="277">
        <v>34702</v>
      </c>
      <c r="G115" s="277">
        <v>34619</v>
      </c>
      <c r="H115" s="277">
        <v>34995</v>
      </c>
      <c r="I115" s="277">
        <v>34206</v>
      </c>
      <c r="J115" s="277">
        <v>33351</v>
      </c>
      <c r="K115" s="277">
        <v>32256</v>
      </c>
      <c r="L115" s="277">
        <v>31699</v>
      </c>
      <c r="M115" s="277">
        <v>30897</v>
      </c>
      <c r="N115" s="277">
        <v>30205</v>
      </c>
      <c r="O115" s="277">
        <v>29797</v>
      </c>
      <c r="P115" s="277">
        <v>29537</v>
      </c>
      <c r="Q115" s="277">
        <v>29858</v>
      </c>
      <c r="R115" s="254">
        <f>R165</f>
        <v>30311.57187428945</v>
      </c>
      <c r="S115" s="254">
        <f>S165</f>
        <v>30633.25367664162</v>
      </c>
      <c r="T115" s="254">
        <f>T165</f>
        <v>31145.401175628882</v>
      </c>
      <c r="U115" s="277"/>
      <c r="V115" s="277">
        <v>34156</v>
      </c>
      <c r="W115" s="277">
        <v>34098</v>
      </c>
      <c r="X115" s="255">
        <f t="shared" ref="X115:AA120" si="69">+SUMIF($E$6:$T$6,X$6,$E115:$T115)</f>
        <v>34995</v>
      </c>
      <c r="Y115" s="255">
        <f t="shared" si="69"/>
        <v>31699</v>
      </c>
      <c r="Z115" s="255">
        <f t="shared" si="69"/>
        <v>29537</v>
      </c>
      <c r="AA115" s="255">
        <f t="shared" si="69"/>
        <v>31145.401175628882</v>
      </c>
      <c r="AB115" s="254">
        <f>AB165</f>
        <v>33076.559457714218</v>
      </c>
      <c r="AC115" s="254">
        <f>AC165</f>
        <v>35464.898178090138</v>
      </c>
      <c r="AD115" s="254">
        <f>AD165</f>
        <v>37672.41733675664</v>
      </c>
    </row>
    <row r="116" spans="3:30" s="255" customFormat="1" ht="10.5" customHeight="1">
      <c r="C116" s="255" t="s">
        <v>314</v>
      </c>
      <c r="E116" s="277">
        <v>9124</v>
      </c>
      <c r="F116" s="277">
        <v>9102</v>
      </c>
      <c r="G116" s="277">
        <v>8842</v>
      </c>
      <c r="H116" s="277">
        <v>8737</v>
      </c>
      <c r="I116" s="277">
        <v>8619</v>
      </c>
      <c r="J116" s="277">
        <v>8323</v>
      </c>
      <c r="K116" s="277">
        <v>7979</v>
      </c>
      <c r="L116" s="277">
        <v>8039</v>
      </c>
      <c r="M116" s="277">
        <v>8000</v>
      </c>
      <c r="N116" s="277">
        <v>7958</v>
      </c>
      <c r="O116" s="277">
        <v>7804</v>
      </c>
      <c r="P116" s="277">
        <v>7825</v>
      </c>
      <c r="Q116" s="277">
        <v>7745</v>
      </c>
      <c r="R116" s="288">
        <f t="shared" ref="R116:T117" si="70">Q116</f>
        <v>7745</v>
      </c>
      <c r="S116" s="288">
        <f t="shared" si="70"/>
        <v>7745</v>
      </c>
      <c r="T116" s="288">
        <f t="shared" si="70"/>
        <v>7745</v>
      </c>
      <c r="V116" s="277">
        <v>0</v>
      </c>
      <c r="W116" s="277">
        <v>9151</v>
      </c>
      <c r="X116" s="254">
        <f t="shared" si="69"/>
        <v>8737</v>
      </c>
      <c r="Y116" s="254">
        <f t="shared" si="69"/>
        <v>8039</v>
      </c>
      <c r="Z116" s="254">
        <f t="shared" si="69"/>
        <v>7825</v>
      </c>
      <c r="AA116" s="254">
        <f t="shared" si="69"/>
        <v>7745</v>
      </c>
      <c r="AB116" s="288">
        <f t="shared" ref="AB116:AD117" si="71">AA116</f>
        <v>7745</v>
      </c>
      <c r="AC116" s="288">
        <f t="shared" si="71"/>
        <v>7745</v>
      </c>
      <c r="AD116" s="288">
        <f t="shared" si="71"/>
        <v>7745</v>
      </c>
    </row>
    <row r="117" spans="3:30" s="255" customFormat="1" ht="10.5" customHeight="1">
      <c r="C117" s="255" t="s">
        <v>915</v>
      </c>
      <c r="E117" s="277">
        <v>4091</v>
      </c>
      <c r="F117" s="277">
        <v>4091</v>
      </c>
      <c r="G117" s="277">
        <v>4091</v>
      </c>
      <c r="H117" s="277">
        <v>4091</v>
      </c>
      <c r="I117" s="277">
        <v>4091</v>
      </c>
      <c r="J117" s="277">
        <v>4091</v>
      </c>
      <c r="K117" s="277">
        <v>4091</v>
      </c>
      <c r="L117" s="277">
        <v>4091</v>
      </c>
      <c r="M117" s="277">
        <v>4091</v>
      </c>
      <c r="N117" s="277">
        <v>4091</v>
      </c>
      <c r="O117" s="277">
        <v>4091</v>
      </c>
      <c r="P117" s="277">
        <v>4091</v>
      </c>
      <c r="Q117" s="277">
        <v>4091</v>
      </c>
      <c r="R117" s="288">
        <f t="shared" si="70"/>
        <v>4091</v>
      </c>
      <c r="S117" s="288">
        <f t="shared" si="70"/>
        <v>4091</v>
      </c>
      <c r="T117" s="288">
        <f t="shared" si="70"/>
        <v>4091</v>
      </c>
      <c r="V117" s="277">
        <v>4091</v>
      </c>
      <c r="W117" s="277">
        <v>4091</v>
      </c>
      <c r="X117" s="254">
        <f t="shared" si="69"/>
        <v>4091</v>
      </c>
      <c r="Y117" s="254">
        <f t="shared" si="69"/>
        <v>4091</v>
      </c>
      <c r="Z117" s="254">
        <f t="shared" si="69"/>
        <v>4091</v>
      </c>
      <c r="AA117" s="254">
        <f t="shared" si="69"/>
        <v>4091</v>
      </c>
      <c r="AB117" s="288">
        <f t="shared" si="71"/>
        <v>4091</v>
      </c>
      <c r="AC117" s="288">
        <f t="shared" si="71"/>
        <v>4091</v>
      </c>
      <c r="AD117" s="288">
        <f t="shared" si="71"/>
        <v>4091</v>
      </c>
    </row>
    <row r="118" spans="3:30" s="255" customFormat="1" ht="10.5" customHeight="1">
      <c r="C118" s="255" t="s">
        <v>330</v>
      </c>
      <c r="E118" s="277">
        <v>2115</v>
      </c>
      <c r="F118" s="277">
        <v>2105</v>
      </c>
      <c r="G118" s="277">
        <v>2095</v>
      </c>
      <c r="H118" s="277">
        <v>2084</v>
      </c>
      <c r="I118" s="277">
        <v>2059</v>
      </c>
      <c r="J118" s="277">
        <v>2049</v>
      </c>
      <c r="K118" s="277">
        <v>2039</v>
      </c>
      <c r="L118" s="277">
        <v>2029</v>
      </c>
      <c r="M118" s="277">
        <v>2019</v>
      </c>
      <c r="N118" s="277">
        <v>2008</v>
      </c>
      <c r="O118" s="277">
        <v>1998</v>
      </c>
      <c r="P118" s="277">
        <v>1988</v>
      </c>
      <c r="Q118" s="277">
        <v>1970</v>
      </c>
      <c r="R118" s="254">
        <f>R176</f>
        <v>1962.3333333333333</v>
      </c>
      <c r="S118" s="254">
        <f>S176</f>
        <v>1954.6666666666665</v>
      </c>
      <c r="T118" s="254">
        <f>T176</f>
        <v>1946.9999999999998</v>
      </c>
      <c r="V118" s="277">
        <v>2203</v>
      </c>
      <c r="W118" s="277">
        <v>2137</v>
      </c>
      <c r="X118" s="254">
        <f t="shared" si="69"/>
        <v>2084</v>
      </c>
      <c r="Y118" s="254">
        <f t="shared" si="69"/>
        <v>2029</v>
      </c>
      <c r="Z118" s="254">
        <f t="shared" si="69"/>
        <v>1988</v>
      </c>
      <c r="AA118" s="254">
        <f t="shared" si="69"/>
        <v>1946.9999999999998</v>
      </c>
      <c r="AB118" s="254">
        <f>AB176</f>
        <v>1939.9999999999998</v>
      </c>
      <c r="AC118" s="254">
        <f>AC176</f>
        <v>1932.9999999999998</v>
      </c>
      <c r="AD118" s="254">
        <f>AD176</f>
        <v>1925.9999999999998</v>
      </c>
    </row>
    <row r="119" spans="3:30" s="255" customFormat="1" ht="10.5" customHeight="1">
      <c r="C119" s="255" t="s">
        <v>916</v>
      </c>
      <c r="E119" s="277">
        <v>1007</v>
      </c>
      <c r="F119" s="277">
        <v>792</v>
      </c>
      <c r="G119" s="277">
        <v>666</v>
      </c>
      <c r="H119" s="277">
        <v>645</v>
      </c>
      <c r="I119" s="277">
        <v>1237</v>
      </c>
      <c r="J119" s="277">
        <v>1725</v>
      </c>
      <c r="K119" s="277">
        <v>2425</v>
      </c>
      <c r="L119" s="277">
        <v>3239</v>
      </c>
      <c r="M119" s="277">
        <v>3632</v>
      </c>
      <c r="N119" s="277">
        <v>3631</v>
      </c>
      <c r="O119" s="277">
        <v>3582</v>
      </c>
      <c r="P119" s="277">
        <v>3556</v>
      </c>
      <c r="Q119" s="277">
        <v>4000</v>
      </c>
      <c r="R119" s="254">
        <f ca="1">-R214+Q119</f>
        <v>4000</v>
      </c>
      <c r="S119" s="254">
        <f ca="1">-S214+R119</f>
        <v>4000</v>
      </c>
      <c r="T119" s="254">
        <f ca="1">-T214+S119</f>
        <v>4000</v>
      </c>
      <c r="V119" s="277">
        <v>1816</v>
      </c>
      <c r="W119" s="277">
        <v>1145</v>
      </c>
      <c r="X119" s="254">
        <f t="shared" si="69"/>
        <v>645</v>
      </c>
      <c r="Y119" s="254">
        <f t="shared" si="69"/>
        <v>3239</v>
      </c>
      <c r="Z119" s="254">
        <f t="shared" si="69"/>
        <v>3556</v>
      </c>
      <c r="AA119" s="254">
        <f t="shared" ca="1" si="69"/>
        <v>4000</v>
      </c>
      <c r="AB119" s="254">
        <f ca="1">-AB214+AA119</f>
        <v>4000</v>
      </c>
      <c r="AC119" s="254">
        <f ca="1">-AC214+AB119</f>
        <v>4000</v>
      </c>
      <c r="AD119" s="254">
        <f ca="1">-AD214+AC119</f>
        <v>4000</v>
      </c>
    </row>
    <row r="120" spans="3:30" s="255" customFormat="1" ht="10.5" customHeight="1">
      <c r="C120" s="255" t="s">
        <v>379</v>
      </c>
      <c r="E120" s="277">
        <v>1386</v>
      </c>
      <c r="F120" s="277">
        <v>1325</v>
      </c>
      <c r="G120" s="277">
        <v>1290</v>
      </c>
      <c r="H120" s="277">
        <v>1237</v>
      </c>
      <c r="I120" s="277">
        <v>1193</v>
      </c>
      <c r="J120" s="277">
        <v>1216</v>
      </c>
      <c r="K120" s="277">
        <v>1643</v>
      </c>
      <c r="L120" s="277">
        <v>1816</v>
      </c>
      <c r="M120" s="277">
        <v>1921</v>
      </c>
      <c r="N120" s="277">
        <v>1924</v>
      </c>
      <c r="O120" s="277">
        <v>1970</v>
      </c>
      <c r="P120" s="277">
        <v>2109</v>
      </c>
      <c r="Q120" s="277">
        <v>1975</v>
      </c>
      <c r="R120" s="254">
        <f>R193*SUM(O$13:R$13)</f>
        <v>2004.5463301420293</v>
      </c>
      <c r="S120" s="254">
        <f>S193*SUM(P$13:S$13)</f>
        <v>1980.8678918089847</v>
      </c>
      <c r="T120" s="254">
        <f>T193*SUM(Q$13:T$13)</f>
        <v>1951.6558160784818</v>
      </c>
      <c r="V120" s="277">
        <v>1373</v>
      </c>
      <c r="W120" s="277">
        <v>1321</v>
      </c>
      <c r="X120" s="254">
        <f t="shared" si="69"/>
        <v>1237</v>
      </c>
      <c r="Y120" s="254">
        <f t="shared" si="69"/>
        <v>1816</v>
      </c>
      <c r="Z120" s="254">
        <f t="shared" si="69"/>
        <v>2109</v>
      </c>
      <c r="AA120" s="254">
        <f t="shared" si="69"/>
        <v>1951.6558160784818</v>
      </c>
      <c r="AB120" s="254">
        <f>AB193*AB$13</f>
        <v>2099.1123696104401</v>
      </c>
      <c r="AC120" s="254">
        <f>AC193*AC$13</f>
        <v>2209.9062826193203</v>
      </c>
      <c r="AD120" s="254">
        <f>AD193*AD$13</f>
        <v>2229.2101422073906</v>
      </c>
    </row>
    <row r="121" spans="3:30" s="255" customFormat="1" ht="10.5" customHeight="1">
      <c r="C121" s="286" t="s">
        <v>315</v>
      </c>
      <c r="E121" s="358">
        <f>E113+SUM(E115:E120)</f>
        <v>60787</v>
      </c>
      <c r="F121" s="358">
        <f t="shared" ref="F121:T121" si="72">F113+SUM(F115:F120)</f>
        <v>61967</v>
      </c>
      <c r="G121" s="358">
        <f t="shared" si="72"/>
        <v>61175</v>
      </c>
      <c r="H121" s="358">
        <f t="shared" si="72"/>
        <v>59995</v>
      </c>
      <c r="I121" s="358">
        <f t="shared" si="72"/>
        <v>58580</v>
      </c>
      <c r="J121" s="358">
        <f t="shared" si="72"/>
        <v>64544</v>
      </c>
      <c r="K121" s="358">
        <f t="shared" si="72"/>
        <v>62773</v>
      </c>
      <c r="L121" s="358">
        <f t="shared" si="72"/>
        <v>62008</v>
      </c>
      <c r="M121" s="358">
        <f t="shared" si="72"/>
        <v>68649</v>
      </c>
      <c r="N121" s="358">
        <f t="shared" si="72"/>
        <v>72464</v>
      </c>
      <c r="O121" s="358">
        <f t="shared" si="72"/>
        <v>68437</v>
      </c>
      <c r="P121" s="358">
        <f t="shared" si="72"/>
        <v>66442</v>
      </c>
      <c r="Q121" s="358">
        <f>Q113+SUM(Q115:Q120)</f>
        <v>67401</v>
      </c>
      <c r="R121" s="358">
        <f t="shared" ca="1" si="72"/>
        <v>67556.332560882554</v>
      </c>
      <c r="S121" s="358">
        <f t="shared" ca="1" si="72"/>
        <v>67274.820821883928</v>
      </c>
      <c r="T121" s="358">
        <f t="shared" ca="1" si="72"/>
        <v>67125.995147162466</v>
      </c>
      <c r="U121" s="283"/>
      <c r="V121" s="358">
        <f t="shared" ref="V121:AD121" si="73">V113+SUM(V115:V120)</f>
        <v>52785</v>
      </c>
      <c r="W121" s="358">
        <f t="shared" si="73"/>
        <v>60580</v>
      </c>
      <c r="X121" s="358">
        <f t="shared" si="73"/>
        <v>59995</v>
      </c>
      <c r="Y121" s="358">
        <f t="shared" si="73"/>
        <v>62008</v>
      </c>
      <c r="Z121" s="358">
        <f t="shared" si="73"/>
        <v>66442</v>
      </c>
      <c r="AA121" s="358">
        <f t="shared" ca="1" si="73"/>
        <v>67125.995147162466</v>
      </c>
      <c r="AB121" s="358">
        <f t="shared" ca="1" si="73"/>
        <v>66238.426461340743</v>
      </c>
      <c r="AC121" s="358">
        <f t="shared" ca="1" si="73"/>
        <v>70446.452567088301</v>
      </c>
      <c r="AD121" s="358">
        <f t="shared" ca="1" si="73"/>
        <v>70372.777209298132</v>
      </c>
    </row>
    <row r="123" spans="3:30" s="255" customFormat="1" ht="10.5" customHeight="1">
      <c r="C123" s="255" t="s">
        <v>316</v>
      </c>
      <c r="E123" s="277">
        <v>2139</v>
      </c>
      <c r="F123" s="277">
        <v>2118</v>
      </c>
      <c r="G123" s="277">
        <v>1932</v>
      </c>
      <c r="H123" s="277">
        <v>2062</v>
      </c>
      <c r="I123" s="277">
        <v>1648</v>
      </c>
      <c r="J123" s="277">
        <v>1175</v>
      </c>
      <c r="K123" s="277">
        <v>1077</v>
      </c>
      <c r="L123" s="277">
        <v>1196</v>
      </c>
      <c r="M123" s="277">
        <v>1624</v>
      </c>
      <c r="N123" s="277">
        <v>2172</v>
      </c>
      <c r="O123" s="277">
        <v>1835</v>
      </c>
      <c r="P123" s="277">
        <v>1772</v>
      </c>
      <c r="Q123" s="277">
        <v>2546</v>
      </c>
      <c r="R123" s="254">
        <f>R189*SUM(O15:R20)/365</f>
        <v>2665.7518115132575</v>
      </c>
      <c r="S123" s="254">
        <f>S189*SUM(P15:S20)/365</f>
        <v>2788.9776856660133</v>
      </c>
      <c r="T123" s="254">
        <f>T189*SUM(Q15:T20)/365</f>
        <v>2908.723496977816</v>
      </c>
      <c r="V123" s="277">
        <v>1688</v>
      </c>
      <c r="W123" s="277">
        <v>1773</v>
      </c>
      <c r="X123" s="254">
        <f t="shared" ref="X123:AA126" si="74">+SUMIF($E$6:$T$6,X$6,$E123:$T123)</f>
        <v>2062</v>
      </c>
      <c r="Y123" s="254">
        <f t="shared" si="74"/>
        <v>1196</v>
      </c>
      <c r="Z123" s="254">
        <f t="shared" si="74"/>
        <v>1772</v>
      </c>
      <c r="AA123" s="254">
        <f t="shared" si="74"/>
        <v>2908.723496977816</v>
      </c>
      <c r="AB123" s="254">
        <f>AB189*SUM(AB15:AB20)/365</f>
        <v>2831.7830566865387</v>
      </c>
      <c r="AC123" s="254">
        <f>AC189*SUM(AC15:AC20)/365</f>
        <v>2844.7948939954717</v>
      </c>
      <c r="AD123" s="254">
        <f>AD189*SUM(AD15:AD20)/365</f>
        <v>2867.5010929827063</v>
      </c>
    </row>
    <row r="124" spans="3:30" s="255" customFormat="1" ht="10.5" customHeight="1">
      <c r="C124" s="255" t="s">
        <v>917</v>
      </c>
      <c r="E124" s="277">
        <v>1217</v>
      </c>
      <c r="F124" s="277">
        <v>1304</v>
      </c>
      <c r="G124" s="277">
        <v>1413</v>
      </c>
      <c r="H124" s="277">
        <v>1541</v>
      </c>
      <c r="I124" s="277">
        <v>1633</v>
      </c>
      <c r="J124" s="277">
        <v>1518</v>
      </c>
      <c r="K124" s="277">
        <v>1919</v>
      </c>
      <c r="L124" s="277">
        <v>1716</v>
      </c>
      <c r="M124" s="277">
        <v>1576</v>
      </c>
      <c r="N124" s="277">
        <v>1580</v>
      </c>
      <c r="O124" s="277">
        <v>1501</v>
      </c>
      <c r="P124" s="277">
        <v>1489</v>
      </c>
      <c r="Q124" s="277">
        <v>1369</v>
      </c>
      <c r="R124" s="254">
        <f>R194*SUM(O$13:R$13)</f>
        <v>1403.1824310994205</v>
      </c>
      <c r="S124" s="254">
        <f>S194*SUM(P$13:S$13)</f>
        <v>1452.6364539932556</v>
      </c>
      <c r="T124" s="254">
        <f>T194*SUM(Q$13:T$13)</f>
        <v>1486.9758598693195</v>
      </c>
      <c r="V124" s="277">
        <v>1672</v>
      </c>
      <c r="W124" s="277">
        <v>1427</v>
      </c>
      <c r="X124" s="254">
        <f t="shared" si="74"/>
        <v>1541</v>
      </c>
      <c r="Y124" s="254">
        <f t="shared" si="74"/>
        <v>1716</v>
      </c>
      <c r="Z124" s="254">
        <f t="shared" si="74"/>
        <v>1489</v>
      </c>
      <c r="AA124" s="254">
        <f t="shared" si="74"/>
        <v>1486.9758598693195</v>
      </c>
      <c r="AB124" s="254">
        <f>AB194*AB$13</f>
        <v>1599.3237101793829</v>
      </c>
      <c r="AC124" s="254">
        <f>AC194*AC$13</f>
        <v>1683.7381200909108</v>
      </c>
      <c r="AD124" s="254">
        <f>AD194*AD$13</f>
        <v>1698.4458226342022</v>
      </c>
    </row>
    <row r="125" spans="3:30" s="255" customFormat="1" ht="10.5" customHeight="1">
      <c r="C125" s="255" t="s">
        <v>918</v>
      </c>
      <c r="E125" s="277">
        <v>5930</v>
      </c>
      <c r="F125" s="277">
        <v>5956</v>
      </c>
      <c r="G125" s="277">
        <v>5569</v>
      </c>
      <c r="H125" s="277">
        <v>4808</v>
      </c>
      <c r="I125" s="277">
        <v>5473</v>
      </c>
      <c r="J125" s="277">
        <v>5119</v>
      </c>
      <c r="K125" s="277">
        <v>4903</v>
      </c>
      <c r="L125" s="277">
        <v>4757</v>
      </c>
      <c r="M125" s="277">
        <v>5598</v>
      </c>
      <c r="N125" s="277">
        <v>7095</v>
      </c>
      <c r="O125" s="277">
        <v>6450</v>
      </c>
      <c r="P125" s="277">
        <v>6087</v>
      </c>
      <c r="Q125" s="277">
        <v>8346</v>
      </c>
      <c r="R125" s="254">
        <f>R197+Q125</f>
        <v>9096</v>
      </c>
      <c r="S125" s="254">
        <f>S197+R125</f>
        <v>8596</v>
      </c>
      <c r="T125" s="254">
        <f>T197+S125</f>
        <v>8146</v>
      </c>
      <c r="V125" s="277">
        <v>4042</v>
      </c>
      <c r="W125" s="277">
        <v>4339</v>
      </c>
      <c r="X125" s="254">
        <f t="shared" si="74"/>
        <v>4808</v>
      </c>
      <c r="Y125" s="254">
        <f t="shared" si="74"/>
        <v>4757</v>
      </c>
      <c r="Z125" s="254">
        <f t="shared" si="74"/>
        <v>6087</v>
      </c>
      <c r="AA125" s="254">
        <f t="shared" si="74"/>
        <v>8146</v>
      </c>
      <c r="AB125" s="254">
        <f>AB197+AA125</f>
        <v>6646</v>
      </c>
      <c r="AC125" s="254">
        <f>AC197+AB125</f>
        <v>6946</v>
      </c>
      <c r="AD125" s="254">
        <f>AD197+AC125</f>
        <v>7246</v>
      </c>
    </row>
    <row r="126" spans="3:30" s="255" customFormat="1" ht="10.5" customHeight="1">
      <c r="C126" s="255" t="s">
        <v>920</v>
      </c>
      <c r="E126" s="277">
        <v>2210</v>
      </c>
      <c r="F126" s="277">
        <v>2296</v>
      </c>
      <c r="G126" s="277">
        <v>2169</v>
      </c>
      <c r="H126" s="277">
        <v>2138</v>
      </c>
      <c r="I126" s="277">
        <v>2095</v>
      </c>
      <c r="J126" s="277">
        <v>3455</v>
      </c>
      <c r="K126" s="277">
        <v>2188</v>
      </c>
      <c r="L126" s="277">
        <v>2419</v>
      </c>
      <c r="M126" s="277">
        <v>2173</v>
      </c>
      <c r="N126" s="277">
        <v>3657</v>
      </c>
      <c r="O126" s="277">
        <v>2321</v>
      </c>
      <c r="P126" s="277">
        <v>2766</v>
      </c>
      <c r="Q126" s="277">
        <v>2623</v>
      </c>
      <c r="R126" s="288">
        <f>Q126</f>
        <v>2623</v>
      </c>
      <c r="S126" s="288">
        <f>R126</f>
        <v>2623</v>
      </c>
      <c r="T126" s="288">
        <f>S126</f>
        <v>2623</v>
      </c>
      <c r="V126" s="277">
        <v>2281</v>
      </c>
      <c r="W126" s="277">
        <v>2342</v>
      </c>
      <c r="X126" s="254">
        <f t="shared" si="74"/>
        <v>2138</v>
      </c>
      <c r="Y126" s="254">
        <f t="shared" si="74"/>
        <v>2419</v>
      </c>
      <c r="Z126" s="254">
        <f t="shared" si="74"/>
        <v>2766</v>
      </c>
      <c r="AA126" s="254">
        <f t="shared" si="74"/>
        <v>2623</v>
      </c>
      <c r="AB126" s="288">
        <f>AA126</f>
        <v>2623</v>
      </c>
      <c r="AC126" s="288">
        <f>AB126</f>
        <v>2623</v>
      </c>
      <c r="AD126" s="288">
        <f>AC126</f>
        <v>2623</v>
      </c>
    </row>
    <row r="127" spans="3:30" s="283" customFormat="1" ht="10.5" customHeight="1">
      <c r="C127" s="286" t="s">
        <v>322</v>
      </c>
      <c r="E127" s="358">
        <f t="shared" ref="E127:T127" si="75">SUM(E122:E126)</f>
        <v>11496</v>
      </c>
      <c r="F127" s="358">
        <f t="shared" si="75"/>
        <v>11674</v>
      </c>
      <c r="G127" s="358">
        <f t="shared" si="75"/>
        <v>11083</v>
      </c>
      <c r="H127" s="358">
        <f t="shared" si="75"/>
        <v>10549</v>
      </c>
      <c r="I127" s="358">
        <f t="shared" si="75"/>
        <v>10849</v>
      </c>
      <c r="J127" s="358">
        <f t="shared" si="75"/>
        <v>11267</v>
      </c>
      <c r="K127" s="358">
        <f t="shared" si="75"/>
        <v>10087</v>
      </c>
      <c r="L127" s="358">
        <f t="shared" si="75"/>
        <v>10088</v>
      </c>
      <c r="M127" s="358">
        <f t="shared" si="75"/>
        <v>10971</v>
      </c>
      <c r="N127" s="358">
        <f t="shared" si="75"/>
        <v>14504</v>
      </c>
      <c r="O127" s="358">
        <f t="shared" si="75"/>
        <v>12107</v>
      </c>
      <c r="P127" s="358">
        <f t="shared" si="75"/>
        <v>12114</v>
      </c>
      <c r="Q127" s="358">
        <f t="shared" si="75"/>
        <v>14884</v>
      </c>
      <c r="R127" s="358">
        <f t="shared" si="75"/>
        <v>15787.934242612679</v>
      </c>
      <c r="S127" s="358">
        <f t="shared" si="75"/>
        <v>15460.614139659268</v>
      </c>
      <c r="T127" s="358">
        <f t="shared" si="75"/>
        <v>15164.699356847135</v>
      </c>
      <c r="V127" s="358">
        <f t="shared" ref="V127:AD127" si="76">SUM(V122:V126)</f>
        <v>9683</v>
      </c>
      <c r="W127" s="358">
        <f t="shared" si="76"/>
        <v>9881</v>
      </c>
      <c r="X127" s="358">
        <f t="shared" si="76"/>
        <v>10549</v>
      </c>
      <c r="Y127" s="358">
        <f t="shared" si="76"/>
        <v>10088</v>
      </c>
      <c r="Z127" s="358">
        <f t="shared" si="76"/>
        <v>12114</v>
      </c>
      <c r="AA127" s="358">
        <f t="shared" si="76"/>
        <v>15164.699356847135</v>
      </c>
      <c r="AB127" s="358">
        <f t="shared" si="76"/>
        <v>13700.106766865922</v>
      </c>
      <c r="AC127" s="358">
        <f t="shared" si="76"/>
        <v>14097.533014086383</v>
      </c>
      <c r="AD127" s="358">
        <f t="shared" si="76"/>
        <v>14434.946915616909</v>
      </c>
    </row>
    <row r="128" spans="3:30" s="283" customFormat="1" ht="10.5" customHeight="1">
      <c r="C128" s="286"/>
    </row>
    <row r="129" spans="3:48" s="255" customFormat="1" ht="10.5" customHeight="1">
      <c r="C129" s="291" t="s">
        <v>69</v>
      </c>
      <c r="E129" s="255">
        <f t="shared" ref="E129:Q129" si="77">SUM(E130:E131)</f>
        <v>23351</v>
      </c>
      <c r="F129" s="255">
        <f t="shared" si="77"/>
        <v>24639</v>
      </c>
      <c r="G129" s="255">
        <f t="shared" si="77"/>
        <v>24559</v>
      </c>
      <c r="H129" s="255">
        <f t="shared" si="77"/>
        <v>23645</v>
      </c>
      <c r="I129" s="255">
        <f t="shared" si="77"/>
        <v>24448</v>
      </c>
      <c r="J129" s="255">
        <f t="shared" si="77"/>
        <v>30664</v>
      </c>
      <c r="K129" s="255">
        <f t="shared" si="77"/>
        <v>32203</v>
      </c>
      <c r="L129" s="255">
        <f t="shared" si="77"/>
        <v>32021</v>
      </c>
      <c r="M129" s="255">
        <f t="shared" si="77"/>
        <v>39124</v>
      </c>
      <c r="N129" s="255">
        <f t="shared" si="77"/>
        <v>39421</v>
      </c>
      <c r="O129" s="255">
        <f t="shared" si="77"/>
        <v>37875</v>
      </c>
      <c r="P129" s="255">
        <f t="shared" si="77"/>
        <v>37323</v>
      </c>
      <c r="Q129" s="255">
        <f t="shared" si="77"/>
        <v>37093</v>
      </c>
      <c r="R129" s="287">
        <f ca="1">'AAL Debt'!R36</f>
        <v>36860.313855938024</v>
      </c>
      <c r="S129" s="287">
        <f ca="1">'AAL Debt'!S36</f>
        <v>36971.838427328526</v>
      </c>
      <c r="T129" s="287">
        <f ca="1">'AAL Debt'!T36</f>
        <v>37263.873289473682</v>
      </c>
      <c r="V129" s="255">
        <f>SUM(V130:V131)</f>
        <v>24294</v>
      </c>
      <c r="W129" s="255">
        <f>SUM(W130:W131)</f>
        <v>23779</v>
      </c>
      <c r="X129" s="254">
        <f>+SUMIF($E$6:$T$6,X$6,$E129:$T129)</f>
        <v>23645</v>
      </c>
      <c r="Y129" s="254">
        <f>+SUMIF($E$6:$T$6,Y$6,$E129:$T129)</f>
        <v>32021</v>
      </c>
      <c r="Z129" s="254">
        <f>+SUMIF($E$6:$T$6,Z$6,$E129:$T129)</f>
        <v>37323</v>
      </c>
      <c r="AA129" s="254">
        <f ca="1">+SUMIF($E$6:$T$6,AA$6,$E129:$T129)</f>
        <v>37263.873289473682</v>
      </c>
      <c r="AB129" s="287">
        <f ca="1">'AAL Debt'!AB36</f>
        <v>36376.864342105255</v>
      </c>
      <c r="AC129" s="287">
        <f ca="1">'AAL Debt'!AC36</f>
        <v>36962.215394736842</v>
      </c>
      <c r="AD129" s="287">
        <f ca="1">'AAL Debt'!AD36</f>
        <v>32734.528947368417</v>
      </c>
      <c r="AI129" s="284"/>
      <c r="AJ129" s="284"/>
      <c r="AK129" s="284"/>
      <c r="AL129" s="284"/>
      <c r="AM129" s="284"/>
      <c r="AN129" s="284"/>
      <c r="AO129" s="284"/>
      <c r="AP129" s="284"/>
      <c r="AQ129" s="284"/>
      <c r="AR129" s="284"/>
      <c r="AS129" s="284"/>
      <c r="AT129" s="284"/>
      <c r="AU129" s="284"/>
      <c r="AV129" s="284"/>
    </row>
    <row r="130" spans="3:48" s="255" customFormat="1" ht="10.5" hidden="1" customHeight="1" outlineLevel="1">
      <c r="C130" s="395" t="s">
        <v>921</v>
      </c>
      <c r="D130" s="395"/>
      <c r="E130" s="385">
        <v>20065</v>
      </c>
      <c r="F130" s="385">
        <v>21222</v>
      </c>
      <c r="G130" s="385">
        <v>21055</v>
      </c>
      <c r="H130" s="385">
        <v>20896</v>
      </c>
      <c r="I130" s="385">
        <v>21033</v>
      </c>
      <c r="J130" s="385">
        <v>28193</v>
      </c>
      <c r="K130" s="385">
        <v>29593</v>
      </c>
      <c r="L130" s="385">
        <v>29324</v>
      </c>
      <c r="M130" s="385">
        <v>36785</v>
      </c>
      <c r="N130" s="385">
        <v>36729</v>
      </c>
      <c r="O130" s="385">
        <v>35470</v>
      </c>
      <c r="P130" s="385">
        <v>35008</v>
      </c>
      <c r="Q130" s="385">
        <v>34885</v>
      </c>
      <c r="R130" s="420"/>
      <c r="S130" s="420"/>
      <c r="T130" s="420"/>
      <c r="V130" s="385">
        <v>21818</v>
      </c>
      <c r="W130" s="385">
        <v>20566</v>
      </c>
      <c r="X130" s="641">
        <f t="shared" ref="X130:AA142" si="78">+SUMIF($E$6:$T$6,X$6,$E130:$T130)</f>
        <v>20896</v>
      </c>
      <c r="Y130" s="641">
        <f t="shared" si="78"/>
        <v>29324</v>
      </c>
      <c r="Z130" s="641">
        <f t="shared" si="78"/>
        <v>35008</v>
      </c>
      <c r="AA130" s="641"/>
      <c r="AB130" s="420"/>
      <c r="AC130" s="420"/>
      <c r="AD130" s="420"/>
      <c r="AI130" s="284"/>
      <c r="AJ130" s="284"/>
      <c r="AK130" s="284"/>
      <c r="AL130" s="284"/>
      <c r="AM130" s="284"/>
      <c r="AN130" s="284"/>
      <c r="AO130" s="284"/>
      <c r="AP130" s="284"/>
      <c r="AQ130" s="284"/>
      <c r="AR130" s="284"/>
      <c r="AS130" s="284"/>
      <c r="AT130" s="284"/>
      <c r="AU130" s="284"/>
      <c r="AV130" s="284"/>
    </row>
    <row r="131" spans="3:48" s="255" customFormat="1" ht="10.5" hidden="1" customHeight="1" outlineLevel="1">
      <c r="C131" s="395" t="s">
        <v>922</v>
      </c>
      <c r="D131" s="395"/>
      <c r="E131" s="385">
        <v>3286</v>
      </c>
      <c r="F131" s="385">
        <v>3417</v>
      </c>
      <c r="G131" s="385">
        <v>3504</v>
      </c>
      <c r="H131" s="385">
        <v>2749</v>
      </c>
      <c r="I131" s="385">
        <v>3415</v>
      </c>
      <c r="J131" s="385">
        <v>2471</v>
      </c>
      <c r="K131" s="385">
        <v>2610</v>
      </c>
      <c r="L131" s="385">
        <v>2697</v>
      </c>
      <c r="M131" s="385">
        <v>2339</v>
      </c>
      <c r="N131" s="385">
        <v>2692</v>
      </c>
      <c r="O131" s="385">
        <v>2405</v>
      </c>
      <c r="P131" s="385">
        <v>2315</v>
      </c>
      <c r="Q131" s="385">
        <v>2208</v>
      </c>
      <c r="R131" s="420"/>
      <c r="S131" s="420"/>
      <c r="T131" s="420"/>
      <c r="V131" s="385">
        <v>2476</v>
      </c>
      <c r="W131" s="385">
        <v>3213</v>
      </c>
      <c r="X131" s="641">
        <f t="shared" si="78"/>
        <v>2749</v>
      </c>
      <c r="Y131" s="641">
        <f t="shared" si="78"/>
        <v>2697</v>
      </c>
      <c r="Z131" s="641">
        <f t="shared" si="78"/>
        <v>2315</v>
      </c>
      <c r="AA131" s="641"/>
      <c r="AB131" s="420"/>
      <c r="AC131" s="420"/>
      <c r="AD131" s="420"/>
      <c r="AI131" s="284"/>
      <c r="AJ131" s="284"/>
      <c r="AK131" s="284"/>
      <c r="AL131" s="284"/>
      <c r="AM131" s="284"/>
      <c r="AN131" s="284"/>
      <c r="AO131" s="284"/>
      <c r="AP131" s="284"/>
      <c r="AQ131" s="284"/>
      <c r="AR131" s="284"/>
      <c r="AS131" s="284"/>
      <c r="AT131" s="284"/>
      <c r="AU131" s="284"/>
      <c r="AV131" s="284"/>
    </row>
    <row r="132" spans="3:48" s="255" customFormat="1" ht="10.5" customHeight="1" collapsed="1">
      <c r="C132" s="255" t="s">
        <v>481</v>
      </c>
      <c r="E132" s="254">
        <f t="shared" ref="E132:Q132" si="79">SUM(E133:E134)</f>
        <v>679</v>
      </c>
      <c r="F132" s="254">
        <f t="shared" si="79"/>
        <v>652</v>
      </c>
      <c r="G132" s="254">
        <f t="shared" si="79"/>
        <v>674</v>
      </c>
      <c r="H132" s="254">
        <f t="shared" si="79"/>
        <v>670</v>
      </c>
      <c r="I132" s="254">
        <f t="shared" si="79"/>
        <v>634</v>
      </c>
      <c r="J132" s="254">
        <f t="shared" si="79"/>
        <v>609</v>
      </c>
      <c r="K132" s="254">
        <f t="shared" si="79"/>
        <v>583</v>
      </c>
      <c r="L132" s="254">
        <f t="shared" si="79"/>
        <v>572</v>
      </c>
      <c r="M132" s="254">
        <f t="shared" si="79"/>
        <v>567</v>
      </c>
      <c r="N132" s="254">
        <f t="shared" si="79"/>
        <v>578</v>
      </c>
      <c r="O132" s="254">
        <f t="shared" si="79"/>
        <v>722</v>
      </c>
      <c r="P132" s="254">
        <f t="shared" si="79"/>
        <v>737</v>
      </c>
      <c r="Q132" s="254">
        <f t="shared" si="79"/>
        <v>750</v>
      </c>
      <c r="R132" s="288">
        <f>Q132</f>
        <v>750</v>
      </c>
      <c r="S132" s="288">
        <f>R132</f>
        <v>750</v>
      </c>
      <c r="T132" s="288">
        <f>S132</f>
        <v>750</v>
      </c>
      <c r="V132" s="255">
        <f>SUM(V133:V134)</f>
        <v>771</v>
      </c>
      <c r="W132" s="255">
        <f>SUM(W133:W134)</f>
        <v>694</v>
      </c>
      <c r="X132" s="254">
        <f t="shared" si="78"/>
        <v>670</v>
      </c>
      <c r="Y132" s="254">
        <f t="shared" si="78"/>
        <v>572</v>
      </c>
      <c r="Z132" s="254">
        <f t="shared" si="78"/>
        <v>737</v>
      </c>
      <c r="AA132" s="254">
        <f>+SUMIF($E$6:$T$6,AA$6,$E132:$T132)</f>
        <v>750</v>
      </c>
      <c r="AB132" s="288">
        <f>AA132</f>
        <v>750</v>
      </c>
      <c r="AC132" s="288">
        <f>AB132</f>
        <v>750</v>
      </c>
      <c r="AD132" s="288">
        <f>AC132</f>
        <v>750</v>
      </c>
      <c r="AE132" s="288"/>
      <c r="AI132" s="284"/>
      <c r="AJ132" s="284"/>
      <c r="AK132" s="284"/>
      <c r="AL132" s="284"/>
      <c r="AM132" s="284"/>
      <c r="AN132" s="284"/>
      <c r="AO132" s="284"/>
      <c r="AP132" s="284"/>
      <c r="AQ132" s="284"/>
      <c r="AR132" s="284"/>
      <c r="AS132" s="284"/>
      <c r="AT132" s="284"/>
      <c r="AU132" s="284"/>
      <c r="AV132" s="284"/>
    </row>
    <row r="133" spans="3:48" s="255" customFormat="1" ht="10.5" hidden="1" customHeight="1" outlineLevel="1">
      <c r="C133" s="395" t="s">
        <v>923</v>
      </c>
      <c r="D133" s="395"/>
      <c r="E133" s="385">
        <v>595</v>
      </c>
      <c r="F133" s="385">
        <v>569</v>
      </c>
      <c r="G133" s="385">
        <v>570</v>
      </c>
      <c r="H133" s="385">
        <v>558</v>
      </c>
      <c r="I133" s="385">
        <v>531</v>
      </c>
      <c r="J133" s="385">
        <v>505</v>
      </c>
      <c r="K133" s="385">
        <v>483</v>
      </c>
      <c r="L133" s="385">
        <v>472</v>
      </c>
      <c r="M133" s="385">
        <v>462</v>
      </c>
      <c r="N133" s="385">
        <v>472</v>
      </c>
      <c r="O133" s="385">
        <v>577</v>
      </c>
      <c r="P133" s="385">
        <v>563</v>
      </c>
      <c r="Q133" s="385">
        <v>576</v>
      </c>
      <c r="R133" s="420"/>
      <c r="S133" s="420"/>
      <c r="T133" s="420"/>
      <c r="V133" s="385">
        <v>693</v>
      </c>
      <c r="W133" s="385">
        <v>613</v>
      </c>
      <c r="X133" s="641">
        <f t="shared" si="78"/>
        <v>558</v>
      </c>
      <c r="Y133" s="641">
        <f t="shared" si="78"/>
        <v>472</v>
      </c>
      <c r="Z133" s="641">
        <f t="shared" si="78"/>
        <v>563</v>
      </c>
      <c r="AA133" s="641"/>
      <c r="AB133" s="420"/>
      <c r="AC133" s="420"/>
      <c r="AD133" s="420"/>
      <c r="AI133" s="284"/>
      <c r="AJ133" s="284"/>
      <c r="AK133" s="284"/>
      <c r="AL133" s="284"/>
      <c r="AM133" s="284"/>
      <c r="AN133" s="284"/>
      <c r="AO133" s="284"/>
      <c r="AP133" s="284"/>
      <c r="AQ133" s="284"/>
      <c r="AR133" s="284"/>
      <c r="AS133" s="284"/>
      <c r="AT133" s="284"/>
      <c r="AU133" s="284"/>
      <c r="AV133" s="284"/>
    </row>
    <row r="134" spans="3:48" s="255" customFormat="1" ht="10.5" hidden="1" customHeight="1" outlineLevel="1">
      <c r="C134" s="395" t="s">
        <v>924</v>
      </c>
      <c r="D134" s="395"/>
      <c r="E134" s="385">
        <v>84</v>
      </c>
      <c r="F134" s="385">
        <v>83</v>
      </c>
      <c r="G134" s="385">
        <v>104</v>
      </c>
      <c r="H134" s="385">
        <v>112</v>
      </c>
      <c r="I134" s="385">
        <v>103</v>
      </c>
      <c r="J134" s="385">
        <v>104</v>
      </c>
      <c r="K134" s="385">
        <v>100</v>
      </c>
      <c r="L134" s="385">
        <v>100</v>
      </c>
      <c r="M134" s="385">
        <v>105</v>
      </c>
      <c r="N134" s="385">
        <v>106</v>
      </c>
      <c r="O134" s="385">
        <v>145</v>
      </c>
      <c r="P134" s="385">
        <v>174</v>
      </c>
      <c r="Q134" s="385">
        <v>174</v>
      </c>
      <c r="R134" s="420"/>
      <c r="S134" s="420"/>
      <c r="T134" s="420"/>
      <c r="V134" s="385">
        <v>78</v>
      </c>
      <c r="W134" s="385">
        <v>81</v>
      </c>
      <c r="X134" s="641">
        <f t="shared" si="78"/>
        <v>112</v>
      </c>
      <c r="Y134" s="641">
        <f t="shared" si="78"/>
        <v>100</v>
      </c>
      <c r="Z134" s="641">
        <f t="shared" si="78"/>
        <v>174</v>
      </c>
      <c r="AA134" s="641"/>
      <c r="AB134" s="420"/>
      <c r="AC134" s="420"/>
      <c r="AD134" s="420"/>
      <c r="AI134" s="284"/>
      <c r="AJ134" s="284"/>
      <c r="AK134" s="284"/>
      <c r="AL134" s="284"/>
      <c r="AM134" s="284"/>
      <c r="AN134" s="284"/>
      <c r="AO134" s="284"/>
      <c r="AP134" s="284"/>
      <c r="AQ134" s="284"/>
      <c r="AR134" s="284"/>
      <c r="AS134" s="284"/>
      <c r="AT134" s="284"/>
      <c r="AU134" s="284"/>
      <c r="AV134" s="284"/>
    </row>
    <row r="135" spans="3:48" s="255" customFormat="1" ht="10.5" customHeight="1" collapsed="1">
      <c r="C135" s="255" t="s">
        <v>925</v>
      </c>
      <c r="E135" s="254">
        <f t="shared" ref="E135:Q135" si="80">SUM(E136:E137)</f>
        <v>9414</v>
      </c>
      <c r="F135" s="254">
        <f t="shared" si="80"/>
        <v>9457</v>
      </c>
      <c r="G135" s="254">
        <f t="shared" si="80"/>
        <v>9207</v>
      </c>
      <c r="H135" s="254">
        <f t="shared" si="80"/>
        <v>9129</v>
      </c>
      <c r="I135" s="254">
        <f t="shared" si="80"/>
        <v>8991</v>
      </c>
      <c r="J135" s="254">
        <f t="shared" si="80"/>
        <v>8776</v>
      </c>
      <c r="K135" s="254">
        <f t="shared" si="80"/>
        <v>8419</v>
      </c>
      <c r="L135" s="254">
        <f t="shared" si="80"/>
        <v>8428</v>
      </c>
      <c r="M135" s="254">
        <f t="shared" si="80"/>
        <v>8333</v>
      </c>
      <c r="N135" s="254">
        <f t="shared" si="80"/>
        <v>8298</v>
      </c>
      <c r="O135" s="254">
        <f t="shared" si="80"/>
        <v>8058</v>
      </c>
      <c r="P135" s="254">
        <f t="shared" si="80"/>
        <v>8092</v>
      </c>
      <c r="Q135" s="254">
        <f t="shared" si="80"/>
        <v>8019</v>
      </c>
      <c r="R135" s="288">
        <f>Q135</f>
        <v>8019</v>
      </c>
      <c r="S135" s="288">
        <f>R135</f>
        <v>8019</v>
      </c>
      <c r="T135" s="288">
        <f>S135</f>
        <v>8019</v>
      </c>
      <c r="V135" s="255">
        <f>SUM(V136:V137)</f>
        <v>0</v>
      </c>
      <c r="W135" s="255">
        <f>SUM(W136:W137)</f>
        <v>9556</v>
      </c>
      <c r="X135" s="254">
        <f t="shared" si="78"/>
        <v>9129</v>
      </c>
      <c r="Y135" s="254">
        <f t="shared" si="78"/>
        <v>8428</v>
      </c>
      <c r="Z135" s="254">
        <f t="shared" si="78"/>
        <v>8092</v>
      </c>
      <c r="AA135" s="254">
        <f>+SUMIF($E$6:$T$6,AA$6,$E135:$T135)</f>
        <v>8019</v>
      </c>
      <c r="AB135" s="288">
        <f>AA135</f>
        <v>8019</v>
      </c>
      <c r="AC135" s="288">
        <f>AB135</f>
        <v>8019</v>
      </c>
      <c r="AD135" s="288">
        <f>AC135</f>
        <v>8019</v>
      </c>
    </row>
    <row r="136" spans="3:48" s="255" customFormat="1" ht="10.5" hidden="1" customHeight="1" outlineLevel="1">
      <c r="C136" s="395" t="s">
        <v>926</v>
      </c>
      <c r="D136" s="395"/>
      <c r="E136" s="385">
        <v>7785</v>
      </c>
      <c r="F136" s="385">
        <v>7818</v>
      </c>
      <c r="G136" s="385">
        <v>7535</v>
      </c>
      <c r="H136" s="385">
        <v>7421</v>
      </c>
      <c r="I136" s="385">
        <v>7239</v>
      </c>
      <c r="J136" s="385">
        <v>6972</v>
      </c>
      <c r="K136" s="385">
        <v>6683</v>
      </c>
      <c r="L136" s="385">
        <v>6777</v>
      </c>
      <c r="M136" s="385">
        <v>6738</v>
      </c>
      <c r="N136" s="385">
        <v>6711</v>
      </c>
      <c r="O136" s="385">
        <v>6568</v>
      </c>
      <c r="P136" s="385">
        <v>6586</v>
      </c>
      <c r="Q136" s="385">
        <v>6529</v>
      </c>
      <c r="R136" s="420"/>
      <c r="S136" s="420"/>
      <c r="T136" s="420"/>
      <c r="V136" s="385">
        <v>0</v>
      </c>
      <c r="W136" s="385">
        <v>7902</v>
      </c>
      <c r="X136" s="641">
        <f t="shared" si="78"/>
        <v>7421</v>
      </c>
      <c r="Y136" s="641">
        <f t="shared" si="78"/>
        <v>6777</v>
      </c>
      <c r="Z136" s="641">
        <f t="shared" si="78"/>
        <v>6586</v>
      </c>
      <c r="AA136" s="641"/>
      <c r="AB136" s="420"/>
      <c r="AC136" s="420"/>
      <c r="AD136" s="420"/>
    </row>
    <row r="137" spans="3:48" s="255" customFormat="1" ht="10.5" hidden="1" customHeight="1" outlineLevel="1">
      <c r="C137" s="395" t="s">
        <v>927</v>
      </c>
      <c r="D137" s="395"/>
      <c r="E137" s="385">
        <v>1629</v>
      </c>
      <c r="F137" s="385">
        <v>1639</v>
      </c>
      <c r="G137" s="385">
        <v>1672</v>
      </c>
      <c r="H137" s="385">
        <v>1708</v>
      </c>
      <c r="I137" s="385">
        <v>1752</v>
      </c>
      <c r="J137" s="385">
        <v>1804</v>
      </c>
      <c r="K137" s="385">
        <v>1736</v>
      </c>
      <c r="L137" s="385">
        <v>1651</v>
      </c>
      <c r="M137" s="385">
        <v>1595</v>
      </c>
      <c r="N137" s="385">
        <v>1587</v>
      </c>
      <c r="O137" s="385">
        <v>1490</v>
      </c>
      <c r="P137" s="385">
        <v>1506</v>
      </c>
      <c r="Q137" s="385">
        <v>1490</v>
      </c>
      <c r="R137" s="420"/>
      <c r="S137" s="420"/>
      <c r="T137" s="420"/>
      <c r="V137" s="385">
        <v>0</v>
      </c>
      <c r="W137" s="385">
        <v>1654</v>
      </c>
      <c r="X137" s="641">
        <f t="shared" si="78"/>
        <v>1708</v>
      </c>
      <c r="Y137" s="641">
        <f t="shared" si="78"/>
        <v>1651</v>
      </c>
      <c r="Z137" s="641">
        <f t="shared" si="78"/>
        <v>1506</v>
      </c>
      <c r="AA137" s="641"/>
      <c r="AB137" s="420"/>
      <c r="AC137" s="420"/>
      <c r="AD137" s="420"/>
    </row>
    <row r="138" spans="3:48" s="255" customFormat="1" ht="10.5" customHeight="1" collapsed="1">
      <c r="C138" s="255" t="s">
        <v>928</v>
      </c>
      <c r="E138" s="277">
        <v>6519</v>
      </c>
      <c r="F138" s="277">
        <v>5641</v>
      </c>
      <c r="G138" s="277">
        <v>5609</v>
      </c>
      <c r="H138" s="277">
        <v>6052</v>
      </c>
      <c r="I138" s="277">
        <v>6107</v>
      </c>
      <c r="J138" s="277">
        <v>6019</v>
      </c>
      <c r="K138" s="277">
        <v>6310</v>
      </c>
      <c r="L138" s="277">
        <v>7069</v>
      </c>
      <c r="M138" s="277">
        <v>6765</v>
      </c>
      <c r="N138" s="277">
        <v>6627</v>
      </c>
      <c r="O138" s="277">
        <v>6495</v>
      </c>
      <c r="P138" s="277">
        <v>5053</v>
      </c>
      <c r="Q138" s="277">
        <v>4913</v>
      </c>
      <c r="R138" s="288">
        <f>Q138</f>
        <v>4913</v>
      </c>
      <c r="S138" s="288">
        <f>R138</f>
        <v>4913</v>
      </c>
      <c r="T138" s="288">
        <f>S138</f>
        <v>4913</v>
      </c>
      <c r="V138" s="277">
        <v>7497</v>
      </c>
      <c r="W138" s="277">
        <v>6907</v>
      </c>
      <c r="X138" s="254">
        <f t="shared" si="78"/>
        <v>6052</v>
      </c>
      <c r="Y138" s="254">
        <f t="shared" si="78"/>
        <v>7069</v>
      </c>
      <c r="Z138" s="254">
        <f t="shared" si="78"/>
        <v>5053</v>
      </c>
      <c r="AA138" s="254">
        <f t="shared" si="78"/>
        <v>4913</v>
      </c>
      <c r="AB138" s="288">
        <f t="shared" ref="AB138:AD140" si="81">AA138</f>
        <v>4913</v>
      </c>
      <c r="AC138" s="288">
        <f t="shared" si="81"/>
        <v>4913</v>
      </c>
      <c r="AD138" s="288">
        <f t="shared" si="81"/>
        <v>4913</v>
      </c>
    </row>
    <row r="139" spans="3:48" s="255" customFormat="1" ht="10.5" customHeight="1">
      <c r="C139" s="255" t="s">
        <v>1742</v>
      </c>
      <c r="E139" s="254">
        <f>SUM(E140:E141)</f>
        <v>8568</v>
      </c>
      <c r="F139" s="254">
        <f t="shared" ref="F139:Z139" si="82">SUM(F140:F141)</f>
        <v>8559</v>
      </c>
      <c r="G139" s="254">
        <f t="shared" si="82"/>
        <v>8522</v>
      </c>
      <c r="H139" s="254">
        <f t="shared" si="82"/>
        <v>8615</v>
      </c>
      <c r="I139" s="254">
        <f t="shared" si="82"/>
        <v>8851</v>
      </c>
      <c r="J139" s="254">
        <f t="shared" si="82"/>
        <v>8962</v>
      </c>
      <c r="K139" s="254">
        <f t="shared" si="82"/>
        <v>9094</v>
      </c>
      <c r="L139" s="254">
        <f t="shared" si="82"/>
        <v>9195</v>
      </c>
      <c r="M139" s="254">
        <f t="shared" si="82"/>
        <v>9378</v>
      </c>
      <c r="N139" s="254">
        <f t="shared" si="82"/>
        <v>9306</v>
      </c>
      <c r="O139" s="254">
        <f t="shared" si="82"/>
        <v>9195</v>
      </c>
      <c r="P139" s="254">
        <f t="shared" si="82"/>
        <v>9135</v>
      </c>
      <c r="Q139" s="254">
        <f t="shared" si="82"/>
        <v>9304</v>
      </c>
      <c r="R139" s="254">
        <f>R198+Q139</f>
        <v>9219</v>
      </c>
      <c r="S139" s="254">
        <f>S198+R139</f>
        <v>9369</v>
      </c>
      <c r="T139" s="254">
        <f>T198+S139</f>
        <v>9519</v>
      </c>
      <c r="V139" s="254">
        <f t="shared" si="82"/>
        <v>8822</v>
      </c>
      <c r="W139" s="254">
        <f t="shared" si="82"/>
        <v>8539</v>
      </c>
      <c r="X139" s="254">
        <f t="shared" si="82"/>
        <v>8615</v>
      </c>
      <c r="Y139" s="254">
        <f t="shared" si="82"/>
        <v>9195</v>
      </c>
      <c r="Z139" s="254">
        <f t="shared" si="82"/>
        <v>9135</v>
      </c>
      <c r="AA139" s="254">
        <f t="shared" si="78"/>
        <v>9519</v>
      </c>
      <c r="AB139" s="254">
        <f>AB198+AA139</f>
        <v>9719</v>
      </c>
      <c r="AC139" s="254">
        <f>AC198+AB139</f>
        <v>9919</v>
      </c>
      <c r="AD139" s="254">
        <f>AD198+AC139</f>
        <v>10119</v>
      </c>
    </row>
    <row r="140" spans="3:48" s="255" customFormat="1" ht="10.5" hidden="1" customHeight="1" outlineLevel="1">
      <c r="C140" s="395" t="s">
        <v>950</v>
      </c>
      <c r="D140" s="395"/>
      <c r="E140" s="385">
        <v>5214</v>
      </c>
      <c r="F140" s="385">
        <v>5249</v>
      </c>
      <c r="G140" s="385">
        <v>5325</v>
      </c>
      <c r="H140" s="385">
        <v>5422</v>
      </c>
      <c r="I140" s="385">
        <v>5757</v>
      </c>
      <c r="J140" s="385">
        <v>6608</v>
      </c>
      <c r="K140" s="385">
        <v>7043</v>
      </c>
      <c r="L140" s="385">
        <v>7162</v>
      </c>
      <c r="M140" s="385">
        <v>7055</v>
      </c>
      <c r="N140" s="385">
        <v>6674</v>
      </c>
      <c r="O140" s="385">
        <v>6404</v>
      </c>
      <c r="P140" s="385">
        <v>6239</v>
      </c>
      <c r="Q140" s="385">
        <v>6194</v>
      </c>
      <c r="R140" s="420"/>
      <c r="S140" s="420"/>
      <c r="T140" s="420"/>
      <c r="V140" s="385">
        <v>5701</v>
      </c>
      <c r="W140" s="385">
        <v>5272</v>
      </c>
      <c r="X140" s="641">
        <f t="shared" si="78"/>
        <v>5422</v>
      </c>
      <c r="Y140" s="641">
        <f t="shared" si="78"/>
        <v>7162</v>
      </c>
      <c r="Z140" s="641">
        <f t="shared" si="78"/>
        <v>6239</v>
      </c>
      <c r="AA140" s="641">
        <f t="shared" si="78"/>
        <v>0</v>
      </c>
      <c r="AB140" s="420">
        <f t="shared" si="81"/>
        <v>0</v>
      </c>
      <c r="AC140" s="420">
        <f t="shared" si="81"/>
        <v>0</v>
      </c>
      <c r="AD140" s="420">
        <f t="shared" si="81"/>
        <v>0</v>
      </c>
    </row>
    <row r="141" spans="3:48" s="255" customFormat="1" ht="10.5" hidden="1" customHeight="1" outlineLevel="1">
      <c r="C141" s="395" t="s">
        <v>1743</v>
      </c>
      <c r="D141" s="395"/>
      <c r="E141" s="385">
        <v>3354</v>
      </c>
      <c r="F141" s="385">
        <v>3310</v>
      </c>
      <c r="G141" s="385">
        <v>3197</v>
      </c>
      <c r="H141" s="385">
        <v>3193</v>
      </c>
      <c r="I141" s="385">
        <v>3094</v>
      </c>
      <c r="J141" s="385">
        <v>2354</v>
      </c>
      <c r="K141" s="385">
        <v>2051</v>
      </c>
      <c r="L141" s="385">
        <v>2033</v>
      </c>
      <c r="M141" s="385">
        <v>2323</v>
      </c>
      <c r="N141" s="385">
        <v>2632</v>
      </c>
      <c r="O141" s="385">
        <v>2791</v>
      </c>
      <c r="P141" s="385">
        <v>2896</v>
      </c>
      <c r="Q141" s="385">
        <v>3110</v>
      </c>
      <c r="R141" s="641"/>
      <c r="S141" s="641"/>
      <c r="T141" s="641"/>
      <c r="V141" s="385">
        <v>3121</v>
      </c>
      <c r="W141" s="385">
        <v>3267</v>
      </c>
      <c r="X141" s="641">
        <f>+SUMIF($E$6:$T$6,X$6,$E141:$T141)</f>
        <v>3193</v>
      </c>
      <c r="Y141" s="641">
        <f>+SUMIF($E$6:$T$6,Y$6,$E141:$T141)</f>
        <v>2033</v>
      </c>
      <c r="Z141" s="641">
        <f>+SUMIF($E$6:$T$6,Z$6,$E141:$T141)</f>
        <v>2896</v>
      </c>
      <c r="AA141" s="641">
        <f>+SUMIF($E$6:$T$6,AA$6,$E141:$T141)</f>
        <v>0</v>
      </c>
      <c r="AB141" s="641" t="e">
        <f>#REF!*AB$13</f>
        <v>#REF!</v>
      </c>
      <c r="AC141" s="641" t="e">
        <f>#REF!*AC$13</f>
        <v>#REF!</v>
      </c>
      <c r="AD141" s="641" t="e">
        <f>#REF!*AD$13</f>
        <v>#REF!</v>
      </c>
    </row>
    <row r="142" spans="3:48" s="255" customFormat="1" ht="10.5" customHeight="1" collapsed="1">
      <c r="C142" s="255" t="s">
        <v>381</v>
      </c>
      <c r="E142" s="277">
        <v>1396</v>
      </c>
      <c r="F142" s="277">
        <v>1367</v>
      </c>
      <c r="G142" s="277">
        <v>1361</v>
      </c>
      <c r="H142" s="277">
        <v>1453</v>
      </c>
      <c r="I142" s="277">
        <v>1336</v>
      </c>
      <c r="J142" s="277">
        <v>1416</v>
      </c>
      <c r="K142" s="277">
        <v>1605</v>
      </c>
      <c r="L142" s="277">
        <v>1502</v>
      </c>
      <c r="M142" s="277">
        <v>1456</v>
      </c>
      <c r="N142" s="277">
        <v>1397</v>
      </c>
      <c r="O142" s="277">
        <v>1422</v>
      </c>
      <c r="P142" s="277">
        <v>1328</v>
      </c>
      <c r="Q142" s="277">
        <v>1378</v>
      </c>
      <c r="R142" s="254">
        <f>R195*SUM(O$13:R$13)</f>
        <v>1403.1824310994205</v>
      </c>
      <c r="S142" s="254">
        <f>S195*SUM(P$13:S$13)</f>
        <v>1408.6171675086114</v>
      </c>
      <c r="T142" s="254">
        <f>T195*SUM(Q$13:T$13)</f>
        <v>1440.5078642484032</v>
      </c>
      <c r="V142" s="277">
        <v>2498</v>
      </c>
      <c r="W142" s="277">
        <v>1393</v>
      </c>
      <c r="X142" s="254">
        <f t="shared" si="78"/>
        <v>1453</v>
      </c>
      <c r="Y142" s="254">
        <f t="shared" si="78"/>
        <v>1502</v>
      </c>
      <c r="Z142" s="254">
        <f t="shared" si="78"/>
        <v>1328</v>
      </c>
      <c r="AA142" s="254">
        <f t="shared" si="78"/>
        <v>1440.5078642484032</v>
      </c>
      <c r="AB142" s="254">
        <f>AB195*AB$13</f>
        <v>1549.3448442362771</v>
      </c>
      <c r="AC142" s="254">
        <f>AC195*AC$13</f>
        <v>1631.1213038380697</v>
      </c>
      <c r="AD142" s="254">
        <f>AD195*AD$13</f>
        <v>1645.3693906768833</v>
      </c>
    </row>
    <row r="143" spans="3:48" s="283" customFormat="1" ht="10.5" customHeight="1">
      <c r="C143" s="286" t="s">
        <v>929</v>
      </c>
      <c r="E143" s="358">
        <f t="shared" ref="E143:T143" si="83">E127+E129+E132+E135+E139+E138+E142</f>
        <v>61423</v>
      </c>
      <c r="F143" s="358">
        <f t="shared" si="83"/>
        <v>61989</v>
      </c>
      <c r="G143" s="358">
        <f t="shared" si="83"/>
        <v>61015</v>
      </c>
      <c r="H143" s="358">
        <f t="shared" si="83"/>
        <v>60113</v>
      </c>
      <c r="I143" s="358">
        <f t="shared" si="83"/>
        <v>61216</v>
      </c>
      <c r="J143" s="358">
        <f t="shared" si="83"/>
        <v>67713</v>
      </c>
      <c r="K143" s="358">
        <f t="shared" si="83"/>
        <v>68301</v>
      </c>
      <c r="L143" s="358">
        <f t="shared" si="83"/>
        <v>68875</v>
      </c>
      <c r="M143" s="358">
        <f t="shared" si="83"/>
        <v>76594</v>
      </c>
      <c r="N143" s="358">
        <f t="shared" si="83"/>
        <v>80131</v>
      </c>
      <c r="O143" s="358">
        <f t="shared" si="83"/>
        <v>75874</v>
      </c>
      <c r="P143" s="358">
        <f t="shared" si="83"/>
        <v>73782</v>
      </c>
      <c r="Q143" s="358">
        <f t="shared" si="83"/>
        <v>76341</v>
      </c>
      <c r="R143" s="358">
        <f t="shared" ca="1" si="83"/>
        <v>76952.430529650126</v>
      </c>
      <c r="S143" s="358">
        <f t="shared" ca="1" si="83"/>
        <v>76892.069734496399</v>
      </c>
      <c r="T143" s="358">
        <f t="shared" ca="1" si="83"/>
        <v>77070.080510569227</v>
      </c>
      <c r="V143" s="358">
        <f t="shared" ref="V143:AD143" si="84">V127+V129+V132+V135+V139+V138+V142</f>
        <v>53565</v>
      </c>
      <c r="W143" s="358">
        <f t="shared" si="84"/>
        <v>60749</v>
      </c>
      <c r="X143" s="358">
        <f t="shared" si="84"/>
        <v>60113</v>
      </c>
      <c r="Y143" s="358">
        <f t="shared" si="84"/>
        <v>68875</v>
      </c>
      <c r="Z143" s="358">
        <f t="shared" si="84"/>
        <v>73782</v>
      </c>
      <c r="AA143" s="358">
        <f t="shared" ca="1" si="84"/>
        <v>77070.080510569227</v>
      </c>
      <c r="AB143" s="358">
        <f t="shared" ca="1" si="84"/>
        <v>75027.31595320745</v>
      </c>
      <c r="AC143" s="358">
        <f t="shared" ca="1" si="84"/>
        <v>76291.869712661282</v>
      </c>
      <c r="AD143" s="358">
        <f t="shared" ca="1" si="84"/>
        <v>72615.845253662221</v>
      </c>
    </row>
    <row r="144" spans="3:48" s="255" customFormat="1" ht="10.5" customHeight="1">
      <c r="C144" s="282"/>
    </row>
    <row r="145" spans="2:48" s="255" customFormat="1" ht="10.5" customHeight="1">
      <c r="C145" s="255" t="s">
        <v>930</v>
      </c>
      <c r="E145" s="277">
        <v>5</v>
      </c>
      <c r="F145" s="277">
        <v>5</v>
      </c>
      <c r="G145" s="277">
        <v>4</v>
      </c>
      <c r="H145" s="277">
        <v>4</v>
      </c>
      <c r="I145" s="277">
        <v>4</v>
      </c>
      <c r="J145" s="277">
        <v>5</v>
      </c>
      <c r="K145" s="277">
        <v>5</v>
      </c>
      <c r="L145" s="277">
        <v>6</v>
      </c>
      <c r="M145" s="277">
        <v>6</v>
      </c>
      <c r="N145" s="277">
        <v>6</v>
      </c>
      <c r="O145" s="277">
        <v>6</v>
      </c>
      <c r="P145" s="277">
        <v>6</v>
      </c>
      <c r="Q145" s="277">
        <v>6</v>
      </c>
      <c r="R145" s="288">
        <f t="shared" ref="R145:T147" si="85">Q145</f>
        <v>6</v>
      </c>
      <c r="S145" s="288">
        <f t="shared" si="85"/>
        <v>6</v>
      </c>
      <c r="T145" s="288">
        <f t="shared" si="85"/>
        <v>6</v>
      </c>
      <c r="V145" s="277">
        <v>5</v>
      </c>
      <c r="W145" s="277">
        <v>5</v>
      </c>
      <c r="X145" s="254">
        <f t="shared" ref="X145:AA148" si="86">+SUMIF($E$6:$T$6,X$6,$E145:$T145)</f>
        <v>4</v>
      </c>
      <c r="Y145" s="254">
        <f t="shared" si="86"/>
        <v>6</v>
      </c>
      <c r="Z145" s="254">
        <f t="shared" si="86"/>
        <v>6</v>
      </c>
      <c r="AA145" s="254">
        <f t="shared" si="86"/>
        <v>6</v>
      </c>
      <c r="AB145" s="288">
        <f t="shared" ref="AB145:AD147" si="87">AA145</f>
        <v>6</v>
      </c>
      <c r="AC145" s="288">
        <f t="shared" si="87"/>
        <v>6</v>
      </c>
      <c r="AD145" s="288">
        <f t="shared" si="87"/>
        <v>6</v>
      </c>
    </row>
    <row r="146" spans="2:48" s="255" customFormat="1" ht="10.5" customHeight="1">
      <c r="C146" s="255" t="s">
        <v>931</v>
      </c>
      <c r="E146" s="277">
        <v>4371</v>
      </c>
      <c r="F146" s="277">
        <v>4386</v>
      </c>
      <c r="G146" s="277">
        <v>4208</v>
      </c>
      <c r="H146" s="277">
        <v>3945</v>
      </c>
      <c r="I146" s="277">
        <v>3861</v>
      </c>
      <c r="J146" s="277">
        <v>5377</v>
      </c>
      <c r="K146" s="277">
        <v>5430</v>
      </c>
      <c r="L146" s="277">
        <v>6894</v>
      </c>
      <c r="M146" s="277">
        <v>6980</v>
      </c>
      <c r="N146" s="277">
        <v>7200</v>
      </c>
      <c r="O146" s="277">
        <v>7221</v>
      </c>
      <c r="P146" s="277">
        <v>7234</v>
      </c>
      <c r="Q146" s="277">
        <v>7243</v>
      </c>
      <c r="R146" s="254">
        <f>R210+Q146</f>
        <v>7281.3877798085214</v>
      </c>
      <c r="S146" s="254">
        <f>S210+R146</f>
        <v>7320.0798594539319</v>
      </c>
      <c r="T146" s="254">
        <f>T210+S146</f>
        <v>7355.7069868627486</v>
      </c>
      <c r="V146" s="277">
        <v>5714</v>
      </c>
      <c r="W146" s="277">
        <v>4964</v>
      </c>
      <c r="X146" s="254">
        <f t="shared" si="86"/>
        <v>3945</v>
      </c>
      <c r="Y146" s="254">
        <f t="shared" si="86"/>
        <v>6894</v>
      </c>
      <c r="Z146" s="254">
        <f t="shared" si="86"/>
        <v>7234</v>
      </c>
      <c r="AA146" s="254">
        <f t="shared" si="86"/>
        <v>7355.7069868627486</v>
      </c>
      <c r="AB146" s="254">
        <f>AB210+AA146</f>
        <v>7505.6435846920658</v>
      </c>
      <c r="AC146" s="254">
        <f>AC210+AB146</f>
        <v>7663.4940334505891</v>
      </c>
      <c r="AD146" s="254">
        <f>AD210+AC146</f>
        <v>7822.7233293225454</v>
      </c>
    </row>
    <row r="147" spans="2:48" s="255" customFormat="1" ht="10.5" customHeight="1">
      <c r="C147" s="255" t="s">
        <v>336</v>
      </c>
      <c r="E147" s="277">
        <v>-5909</v>
      </c>
      <c r="F147" s="277">
        <v>-5927</v>
      </c>
      <c r="G147" s="277">
        <v>-5946</v>
      </c>
      <c r="H147" s="277">
        <v>-6331</v>
      </c>
      <c r="I147" s="277">
        <v>-6480</v>
      </c>
      <c r="J147" s="277">
        <v>-6463</v>
      </c>
      <c r="K147" s="277">
        <v>-6476</v>
      </c>
      <c r="L147" s="277">
        <v>-7103</v>
      </c>
      <c r="M147" s="277">
        <v>-7036</v>
      </c>
      <c r="N147" s="277">
        <v>-6997</v>
      </c>
      <c r="O147" s="277">
        <v>-6957</v>
      </c>
      <c r="P147" s="277">
        <v>-5942</v>
      </c>
      <c r="Q147" s="277">
        <v>-5916</v>
      </c>
      <c r="R147" s="288">
        <f t="shared" si="85"/>
        <v>-5916</v>
      </c>
      <c r="S147" s="288">
        <f t="shared" si="85"/>
        <v>-5916</v>
      </c>
      <c r="T147" s="288">
        <f t="shared" si="85"/>
        <v>-5916</v>
      </c>
      <c r="V147" s="277">
        <v>-5154</v>
      </c>
      <c r="W147" s="277">
        <v>-5274</v>
      </c>
      <c r="X147" s="254">
        <f t="shared" si="86"/>
        <v>-6331</v>
      </c>
      <c r="Y147" s="254">
        <f t="shared" si="86"/>
        <v>-7103</v>
      </c>
      <c r="Z147" s="254">
        <f t="shared" si="86"/>
        <v>-5942</v>
      </c>
      <c r="AA147" s="254">
        <f t="shared" si="86"/>
        <v>-5916</v>
      </c>
      <c r="AB147" s="288">
        <f t="shared" si="87"/>
        <v>-5916</v>
      </c>
      <c r="AC147" s="288">
        <f t="shared" si="87"/>
        <v>-5916</v>
      </c>
      <c r="AD147" s="288">
        <f t="shared" si="87"/>
        <v>-5916</v>
      </c>
    </row>
    <row r="148" spans="2:48" s="255" customFormat="1" ht="10.5" customHeight="1">
      <c r="C148" s="255" t="s">
        <v>932</v>
      </c>
      <c r="E148" s="277">
        <v>897</v>
      </c>
      <c r="F148" s="277">
        <v>1514</v>
      </c>
      <c r="G148" s="277">
        <v>1894</v>
      </c>
      <c r="H148" s="277">
        <v>2264</v>
      </c>
      <c r="I148" s="277">
        <v>-21</v>
      </c>
      <c r="J148" s="277">
        <v>-2088</v>
      </c>
      <c r="K148" s="277">
        <v>-4487</v>
      </c>
      <c r="L148" s="277">
        <v>-6664</v>
      </c>
      <c r="M148" s="277">
        <v>-7895</v>
      </c>
      <c r="N148" s="277">
        <v>-7876</v>
      </c>
      <c r="O148" s="277">
        <v>-7707</v>
      </c>
      <c r="P148" s="277">
        <v>-8638</v>
      </c>
      <c r="Q148" s="277">
        <v>-10273</v>
      </c>
      <c r="R148" s="254">
        <f ca="1">R35+Q148</f>
        <v>-10767.485748576095</v>
      </c>
      <c r="S148" s="254">
        <f ca="1">S35+R148</f>
        <v>-11027.32877206641</v>
      </c>
      <c r="T148" s="254">
        <f ca="1">T35+S148</f>
        <v>-11389.79235026951</v>
      </c>
      <c r="V148" s="277">
        <v>-1345</v>
      </c>
      <c r="W148" s="277">
        <v>136</v>
      </c>
      <c r="X148" s="254">
        <f t="shared" si="86"/>
        <v>2264</v>
      </c>
      <c r="Y148" s="254">
        <f t="shared" si="86"/>
        <v>-6664</v>
      </c>
      <c r="Z148" s="254">
        <f t="shared" si="86"/>
        <v>-8638</v>
      </c>
      <c r="AA148" s="254">
        <f t="shared" ca="1" si="86"/>
        <v>-11389.79235026951</v>
      </c>
      <c r="AB148" s="254">
        <f ca="1">AB35+AA148</f>
        <v>-10384.533076558771</v>
      </c>
      <c r="AC148" s="254">
        <f ca="1">AC35+AB148</f>
        <v>-7598.911179023582</v>
      </c>
      <c r="AD148" s="254">
        <f ca="1">AD35+AC148</f>
        <v>-4155.7913736866194</v>
      </c>
    </row>
    <row r="149" spans="2:48" s="283" customFormat="1" ht="10.5" customHeight="1">
      <c r="C149" s="286" t="s">
        <v>933</v>
      </c>
      <c r="E149" s="358">
        <f t="shared" ref="E149:T149" si="88">SUM(E145:E148)</f>
        <v>-636</v>
      </c>
      <c r="F149" s="358">
        <f t="shared" si="88"/>
        <v>-22</v>
      </c>
      <c r="G149" s="358">
        <f t="shared" si="88"/>
        <v>160</v>
      </c>
      <c r="H149" s="358">
        <f t="shared" si="88"/>
        <v>-118</v>
      </c>
      <c r="I149" s="358">
        <f t="shared" si="88"/>
        <v>-2636</v>
      </c>
      <c r="J149" s="358">
        <f t="shared" si="88"/>
        <v>-3169</v>
      </c>
      <c r="K149" s="358">
        <f t="shared" si="88"/>
        <v>-5528</v>
      </c>
      <c r="L149" s="358">
        <f t="shared" si="88"/>
        <v>-6867</v>
      </c>
      <c r="M149" s="358">
        <f t="shared" si="88"/>
        <v>-7945</v>
      </c>
      <c r="N149" s="358">
        <f t="shared" si="88"/>
        <v>-7667</v>
      </c>
      <c r="O149" s="358">
        <f>SUM(O145:O148)</f>
        <v>-7437</v>
      </c>
      <c r="P149" s="358">
        <f t="shared" si="88"/>
        <v>-7340</v>
      </c>
      <c r="Q149" s="358">
        <f t="shared" si="88"/>
        <v>-8940</v>
      </c>
      <c r="R149" s="358">
        <f t="shared" ca="1" si="88"/>
        <v>-9396.0979687675735</v>
      </c>
      <c r="S149" s="358">
        <f t="shared" ca="1" si="88"/>
        <v>-9617.2489126124783</v>
      </c>
      <c r="T149" s="358">
        <f t="shared" ca="1" si="88"/>
        <v>-9944.0853634067607</v>
      </c>
      <c r="V149" s="358">
        <f t="shared" ref="V149:AD149" si="89">SUM(V145:V148)</f>
        <v>-780</v>
      </c>
      <c r="W149" s="358">
        <f t="shared" si="89"/>
        <v>-169</v>
      </c>
      <c r="X149" s="358">
        <f t="shared" si="89"/>
        <v>-118</v>
      </c>
      <c r="Y149" s="358">
        <f t="shared" si="89"/>
        <v>-6867</v>
      </c>
      <c r="Z149" s="358">
        <f t="shared" si="89"/>
        <v>-7340</v>
      </c>
      <c r="AA149" s="358">
        <f t="shared" ca="1" si="89"/>
        <v>-9944.0853634067607</v>
      </c>
      <c r="AB149" s="358">
        <f t="shared" ca="1" si="89"/>
        <v>-8788.8894918667065</v>
      </c>
      <c r="AC149" s="358">
        <f t="shared" ca="1" si="89"/>
        <v>-5845.4171455729929</v>
      </c>
      <c r="AD149" s="358">
        <f t="shared" ca="1" si="89"/>
        <v>-2243.068044364074</v>
      </c>
    </row>
    <row r="150" spans="2:48" s="283" customFormat="1" ht="2.2000000000000002" customHeight="1">
      <c r="C150" s="286"/>
    </row>
    <row r="151" spans="2:48" s="255" customFormat="1" ht="10.5" customHeight="1">
      <c r="C151" s="286" t="s">
        <v>934</v>
      </c>
      <c r="E151" s="358">
        <f t="shared" ref="E151:T151" si="90">+E143+E149</f>
        <v>60787</v>
      </c>
      <c r="F151" s="358">
        <f t="shared" si="90"/>
        <v>61967</v>
      </c>
      <c r="G151" s="358">
        <f t="shared" si="90"/>
        <v>61175</v>
      </c>
      <c r="H151" s="358">
        <f t="shared" si="90"/>
        <v>59995</v>
      </c>
      <c r="I151" s="358">
        <f t="shared" si="90"/>
        <v>58580</v>
      </c>
      <c r="J151" s="358">
        <f t="shared" si="90"/>
        <v>64544</v>
      </c>
      <c r="K151" s="358">
        <f t="shared" si="90"/>
        <v>62773</v>
      </c>
      <c r="L151" s="358">
        <f t="shared" si="90"/>
        <v>62008</v>
      </c>
      <c r="M151" s="358">
        <f t="shared" si="90"/>
        <v>68649</v>
      </c>
      <c r="N151" s="358">
        <f t="shared" si="90"/>
        <v>72464</v>
      </c>
      <c r="O151" s="358">
        <f>+O143+O149</f>
        <v>68437</v>
      </c>
      <c r="P151" s="358">
        <f t="shared" si="90"/>
        <v>66442</v>
      </c>
      <c r="Q151" s="358">
        <f t="shared" si="90"/>
        <v>67401</v>
      </c>
      <c r="R151" s="358">
        <f t="shared" ca="1" si="90"/>
        <v>67556.332560882554</v>
      </c>
      <c r="S151" s="358">
        <f t="shared" ca="1" si="90"/>
        <v>67274.820821883914</v>
      </c>
      <c r="T151" s="358">
        <f t="shared" ca="1" si="90"/>
        <v>67125.995147162466</v>
      </c>
      <c r="V151" s="358">
        <f t="shared" ref="V151:AD151" si="91">+V143+V149</f>
        <v>52785</v>
      </c>
      <c r="W151" s="358">
        <f t="shared" si="91"/>
        <v>60580</v>
      </c>
      <c r="X151" s="358">
        <f t="shared" si="91"/>
        <v>59995</v>
      </c>
      <c r="Y151" s="358">
        <f t="shared" si="91"/>
        <v>62008</v>
      </c>
      <c r="Z151" s="358">
        <f t="shared" si="91"/>
        <v>66442</v>
      </c>
      <c r="AA151" s="358">
        <f t="shared" ca="1" si="91"/>
        <v>67125.995147162466</v>
      </c>
      <c r="AB151" s="358">
        <f t="shared" ca="1" si="91"/>
        <v>66238.426461340743</v>
      </c>
      <c r="AC151" s="358">
        <f t="shared" ca="1" si="91"/>
        <v>70446.452567088287</v>
      </c>
      <c r="AD151" s="358">
        <f t="shared" ca="1" si="91"/>
        <v>70372.777209298147</v>
      </c>
    </row>
    <row r="152" spans="2:48" s="255" customFormat="1" ht="10.5" customHeight="1"/>
    <row r="153" spans="2:48" ht="10.5" customHeight="1">
      <c r="C153" s="293" t="s">
        <v>233</v>
      </c>
      <c r="E153" s="284">
        <f t="shared" ref="E153:T153" si="92">+ROUND(E121-E151,0)</f>
        <v>0</v>
      </c>
      <c r="F153" s="284">
        <f t="shared" si="92"/>
        <v>0</v>
      </c>
      <c r="G153" s="284">
        <f t="shared" si="92"/>
        <v>0</v>
      </c>
      <c r="H153" s="284">
        <f t="shared" si="92"/>
        <v>0</v>
      </c>
      <c r="I153" s="284">
        <f t="shared" si="92"/>
        <v>0</v>
      </c>
      <c r="J153" s="284">
        <f t="shared" si="92"/>
        <v>0</v>
      </c>
      <c r="K153" s="284">
        <f t="shared" si="92"/>
        <v>0</v>
      </c>
      <c r="L153" s="284">
        <f t="shared" si="92"/>
        <v>0</v>
      </c>
      <c r="M153" s="284">
        <f t="shared" si="92"/>
        <v>0</v>
      </c>
      <c r="N153" s="284">
        <f t="shared" si="92"/>
        <v>0</v>
      </c>
      <c r="O153" s="284">
        <f t="shared" si="92"/>
        <v>0</v>
      </c>
      <c r="P153" s="284">
        <f t="shared" si="92"/>
        <v>0</v>
      </c>
      <c r="Q153" s="284">
        <f t="shared" si="92"/>
        <v>0</v>
      </c>
      <c r="R153" s="284">
        <f t="shared" ca="1" si="92"/>
        <v>0</v>
      </c>
      <c r="S153" s="284">
        <f t="shared" ca="1" si="92"/>
        <v>0</v>
      </c>
      <c r="T153" s="284">
        <f t="shared" ca="1" si="92"/>
        <v>0</v>
      </c>
      <c r="V153" s="284">
        <f t="shared" ref="V153:AD153" si="93">+ROUND(V121-V151,0)</f>
        <v>0</v>
      </c>
      <c r="W153" s="284">
        <f t="shared" si="93"/>
        <v>0</v>
      </c>
      <c r="X153" s="284">
        <f t="shared" si="93"/>
        <v>0</v>
      </c>
      <c r="Y153" s="284">
        <f t="shared" si="93"/>
        <v>0</v>
      </c>
      <c r="Z153" s="284">
        <f t="shared" si="93"/>
        <v>0</v>
      </c>
      <c r="AA153" s="284">
        <f t="shared" ca="1" si="93"/>
        <v>0</v>
      </c>
      <c r="AB153" s="284">
        <f t="shared" ca="1" si="93"/>
        <v>0</v>
      </c>
      <c r="AC153" s="284">
        <f t="shared" ca="1" si="93"/>
        <v>0</v>
      </c>
      <c r="AD153" s="284">
        <f t="shared" ca="1" si="93"/>
        <v>0</v>
      </c>
    </row>
    <row r="155" spans="2:48" s="277" customFormat="1" ht="10.5" hidden="1" customHeight="1" outlineLevel="1">
      <c r="C155" s="694" t="s">
        <v>1454</v>
      </c>
      <c r="E155" s="277">
        <v>22319</v>
      </c>
      <c r="F155" s="277">
        <v>22855</v>
      </c>
      <c r="G155" s="277">
        <v>22782</v>
      </c>
      <c r="H155" s="277">
        <v>22606</v>
      </c>
      <c r="I155" s="277">
        <v>23431</v>
      </c>
      <c r="J155" s="277">
        <v>27608</v>
      </c>
      <c r="K155" s="277">
        <v>28968</v>
      </c>
      <c r="L155" s="277">
        <v>28755</v>
      </c>
      <c r="M155" s="277">
        <v>34728</v>
      </c>
      <c r="N155" s="277">
        <v>33921</v>
      </c>
      <c r="O155" s="277">
        <v>32347</v>
      </c>
      <c r="P155" s="277">
        <v>31853</v>
      </c>
      <c r="Q155" s="277">
        <v>31853</v>
      </c>
      <c r="R155" s="287">
        <f>SUM('AAL Debt'!R10:R24)</f>
        <v>31934.16859278013</v>
      </c>
      <c r="S155" s="287">
        <f>SUM('AAL Debt'!S10:S24)</f>
        <v>32076.547901012738</v>
      </c>
      <c r="T155" s="287">
        <f>SUM('AAL Debt'!T10:T24)</f>
        <v>32399.437499999996</v>
      </c>
      <c r="V155" s="277">
        <v>22780</v>
      </c>
      <c r="W155" s="277">
        <v>22751</v>
      </c>
      <c r="X155" s="254">
        <f t="shared" ref="X155:AA156" si="94">+SUMIF($E$6:$T$6,X$6,$E155:$T155)</f>
        <v>22606</v>
      </c>
      <c r="Y155" s="254">
        <f t="shared" si="94"/>
        <v>28755</v>
      </c>
      <c r="Z155" s="254">
        <f t="shared" si="94"/>
        <v>31853</v>
      </c>
      <c r="AA155" s="254">
        <f t="shared" si="94"/>
        <v>32399.437499999996</v>
      </c>
      <c r="AB155" s="287">
        <f>SUM('AAL Debt'!AB10:AB24)</f>
        <v>31635.847499999996</v>
      </c>
      <c r="AC155" s="287">
        <f>SUM('AAL Debt'!AC10:AC24)</f>
        <v>32344.617499999997</v>
      </c>
      <c r="AD155" s="287">
        <f>SUM('AAL Debt'!AD10:AD24)</f>
        <v>29515.35</v>
      </c>
    </row>
    <row r="156" spans="2:48" s="284" customFormat="1" ht="10.5" hidden="1" customHeight="1" outlineLevel="1">
      <c r="C156" s="694" t="s">
        <v>1453</v>
      </c>
      <c r="E156" s="284">
        <f t="shared" ref="E156:W156" si="95">E129-E155</f>
        <v>1032</v>
      </c>
      <c r="F156" s="284">
        <f t="shared" si="95"/>
        <v>1784</v>
      </c>
      <c r="G156" s="284">
        <f t="shared" si="95"/>
        <v>1777</v>
      </c>
      <c r="H156" s="284">
        <f t="shared" si="95"/>
        <v>1039</v>
      </c>
      <c r="I156" s="284">
        <f t="shared" si="95"/>
        <v>1017</v>
      </c>
      <c r="J156" s="284">
        <f t="shared" si="95"/>
        <v>3056</v>
      </c>
      <c r="K156" s="284">
        <f t="shared" si="95"/>
        <v>3235</v>
      </c>
      <c r="L156" s="284">
        <f t="shared" si="95"/>
        <v>3266</v>
      </c>
      <c r="M156" s="284">
        <f t="shared" si="95"/>
        <v>4396</v>
      </c>
      <c r="N156" s="284">
        <f t="shared" si="95"/>
        <v>5500</v>
      </c>
      <c r="O156" s="284">
        <f t="shared" si="95"/>
        <v>5528</v>
      </c>
      <c r="P156" s="284">
        <f t="shared" si="95"/>
        <v>5470</v>
      </c>
      <c r="Q156" s="284">
        <f t="shared" si="95"/>
        <v>5240</v>
      </c>
      <c r="R156" s="284">
        <f t="shared" ca="1" si="95"/>
        <v>4926.1452631578941</v>
      </c>
      <c r="S156" s="284">
        <f t="shared" ca="1" si="95"/>
        <v>4895.2905263157882</v>
      </c>
      <c r="T156" s="284">
        <f t="shared" ca="1" si="95"/>
        <v>4864.4357894736859</v>
      </c>
      <c r="U156" s="284">
        <f t="shared" si="95"/>
        <v>0</v>
      </c>
      <c r="V156" s="284">
        <f t="shared" si="95"/>
        <v>1514</v>
      </c>
      <c r="W156" s="284">
        <f t="shared" si="95"/>
        <v>1028</v>
      </c>
      <c r="X156" s="254">
        <f t="shared" si="94"/>
        <v>1039</v>
      </c>
      <c r="Y156" s="254">
        <f t="shared" si="94"/>
        <v>3266</v>
      </c>
      <c r="Z156" s="254">
        <f t="shared" si="94"/>
        <v>5470</v>
      </c>
      <c r="AA156" s="254">
        <f t="shared" ca="1" si="94"/>
        <v>4864.4357894736859</v>
      </c>
      <c r="AB156" s="284">
        <f ca="1">AB129-AB155</f>
        <v>4741.0168421052585</v>
      </c>
      <c r="AC156" s="284">
        <f ca="1">AC129-AC155</f>
        <v>4617.5978947368458</v>
      </c>
      <c r="AD156" s="284">
        <f ca="1">AD129-AD155</f>
        <v>3219.1789473684184</v>
      </c>
    </row>
    <row r="157" spans="2:48" s="255" customFormat="1" ht="10.5" hidden="1" customHeight="1" outlineLevel="1">
      <c r="C157" s="282"/>
      <c r="AI157" s="284"/>
      <c r="AJ157" s="284"/>
      <c r="AK157" s="284"/>
      <c r="AL157" s="284"/>
      <c r="AM157" s="284"/>
      <c r="AN157" s="284"/>
      <c r="AO157" s="284"/>
      <c r="AP157" s="284"/>
      <c r="AQ157" s="284"/>
      <c r="AR157" s="284"/>
      <c r="AS157" s="284"/>
      <c r="AT157" s="284"/>
      <c r="AU157" s="284"/>
      <c r="AV157" s="284"/>
    </row>
    <row r="158" spans="2:48" ht="10.5" customHeight="1" collapsed="1">
      <c r="B158" s="258" t="s">
        <v>133</v>
      </c>
      <c r="C158" s="259" t="s">
        <v>935</v>
      </c>
      <c r="D158" s="259"/>
      <c r="E158" s="258"/>
      <c r="F158" s="258"/>
      <c r="G158" s="258"/>
      <c r="H158" s="258"/>
      <c r="I158" s="258"/>
      <c r="J158" s="258"/>
      <c r="K158" s="258"/>
      <c r="L158" s="258"/>
      <c r="M158" s="258"/>
      <c r="N158" s="258"/>
      <c r="O158" s="258"/>
      <c r="P158" s="258"/>
      <c r="Q158" s="258"/>
      <c r="R158" s="258"/>
      <c r="S158" s="258"/>
      <c r="T158" s="258"/>
      <c r="V158" s="258"/>
      <c r="W158" s="258"/>
      <c r="X158" s="258"/>
      <c r="Y158" s="258"/>
      <c r="Z158" s="258"/>
      <c r="AA158" s="258"/>
      <c r="AB158" s="258"/>
      <c r="AC158" s="258"/>
      <c r="AD158" s="258"/>
      <c r="AF158" s="258"/>
      <c r="AG158" s="258"/>
      <c r="AH158" s="258"/>
      <c r="AI158" s="258"/>
      <c r="AJ158" s="258"/>
      <c r="AK158" s="258"/>
      <c r="AL158" s="258"/>
      <c r="AM158" s="258"/>
      <c r="AN158" s="258"/>
      <c r="AO158" s="258"/>
      <c r="AP158" s="258"/>
      <c r="AQ158" s="258"/>
      <c r="AR158" s="258"/>
    </row>
    <row r="160" spans="2:48" s="255" customFormat="1" ht="10.5" customHeight="1" outlineLevel="1">
      <c r="C160" s="255" t="s">
        <v>936</v>
      </c>
      <c r="E160" s="277">
        <v>42013</v>
      </c>
      <c r="F160" s="277">
        <v>42437</v>
      </c>
      <c r="G160" s="277">
        <v>42320</v>
      </c>
      <c r="H160" s="277">
        <v>42537</v>
      </c>
      <c r="I160" s="277">
        <v>39305</v>
      </c>
      <c r="J160" s="277">
        <v>38672</v>
      </c>
      <c r="K160" s="277">
        <v>37576</v>
      </c>
      <c r="L160" s="277">
        <v>37816</v>
      </c>
      <c r="M160" s="277">
        <v>37480</v>
      </c>
      <c r="N160" s="277">
        <v>37577</v>
      </c>
      <c r="O160" s="277">
        <v>37689</v>
      </c>
      <c r="P160" s="277">
        <v>37856</v>
      </c>
      <c r="Q160" s="277">
        <v>38359</v>
      </c>
      <c r="R160" s="395"/>
      <c r="S160" s="395"/>
      <c r="T160" s="395"/>
      <c r="V160" s="277">
        <v>40318</v>
      </c>
      <c r="W160" s="277">
        <v>41499</v>
      </c>
      <c r="X160" s="254">
        <f t="shared" ref="X160:Z162" si="96">+SUMIF($E$6:$T$6,X$6,$E160:$T160)</f>
        <v>42537</v>
      </c>
      <c r="Y160" s="254">
        <f t="shared" si="96"/>
        <v>37816</v>
      </c>
      <c r="Z160" s="254">
        <f t="shared" si="96"/>
        <v>37856</v>
      </c>
      <c r="AA160" s="395"/>
      <c r="AB160" s="395"/>
      <c r="AC160" s="395"/>
      <c r="AD160" s="395"/>
    </row>
    <row r="161" spans="3:30" s="255" customFormat="1" ht="10.5" customHeight="1" outlineLevel="1">
      <c r="C161" s="255" t="s">
        <v>937</v>
      </c>
      <c r="E161" s="277">
        <v>8932</v>
      </c>
      <c r="F161" s="277">
        <v>9007</v>
      </c>
      <c r="G161" s="277">
        <v>9232</v>
      </c>
      <c r="H161" s="277">
        <v>9443</v>
      </c>
      <c r="I161" s="277">
        <v>9602</v>
      </c>
      <c r="J161" s="277">
        <v>9386</v>
      </c>
      <c r="K161" s="277">
        <v>9451</v>
      </c>
      <c r="L161" s="277">
        <v>9194</v>
      </c>
      <c r="M161" s="277">
        <v>9108</v>
      </c>
      <c r="N161" s="277">
        <v>9132</v>
      </c>
      <c r="O161" s="277">
        <v>9114</v>
      </c>
      <c r="P161" s="277">
        <v>9335</v>
      </c>
      <c r="Q161" s="277">
        <v>9418</v>
      </c>
      <c r="R161" s="395"/>
      <c r="S161" s="395"/>
      <c r="T161" s="395"/>
      <c r="V161" s="277">
        <v>8267</v>
      </c>
      <c r="W161" s="277">
        <v>8764</v>
      </c>
      <c r="X161" s="254">
        <f t="shared" si="96"/>
        <v>9443</v>
      </c>
      <c r="Y161" s="254">
        <f t="shared" si="96"/>
        <v>9194</v>
      </c>
      <c r="Z161" s="254">
        <f t="shared" si="96"/>
        <v>9335</v>
      </c>
      <c r="AA161" s="395"/>
      <c r="AB161" s="395"/>
      <c r="AC161" s="395"/>
      <c r="AD161" s="395"/>
    </row>
    <row r="162" spans="3:30" s="255" customFormat="1" ht="10.5" customHeight="1" outlineLevel="1">
      <c r="C162" s="255" t="s">
        <v>938</v>
      </c>
      <c r="E162" s="597">
        <v>1211</v>
      </c>
      <c r="F162" s="597">
        <v>1372</v>
      </c>
      <c r="G162" s="597">
        <v>1567</v>
      </c>
      <c r="H162" s="597">
        <v>1674</v>
      </c>
      <c r="I162" s="597">
        <v>1740</v>
      </c>
      <c r="J162" s="597">
        <v>1786</v>
      </c>
      <c r="K162" s="597">
        <v>1899</v>
      </c>
      <c r="L162" s="597">
        <v>1446</v>
      </c>
      <c r="M162" s="597">
        <v>1136</v>
      </c>
      <c r="N162" s="597">
        <v>714</v>
      </c>
      <c r="O162" s="597">
        <v>626</v>
      </c>
      <c r="P162" s="597">
        <v>517</v>
      </c>
      <c r="Q162" s="597">
        <v>545</v>
      </c>
      <c r="R162" s="595"/>
      <c r="S162" s="595"/>
      <c r="T162" s="595"/>
      <c r="U162" s="645"/>
      <c r="V162" s="597">
        <v>1217</v>
      </c>
      <c r="W162" s="597">
        <v>1278</v>
      </c>
      <c r="X162" s="646">
        <f t="shared" si="96"/>
        <v>1674</v>
      </c>
      <c r="Y162" s="646">
        <f t="shared" si="96"/>
        <v>1446</v>
      </c>
      <c r="Z162" s="646">
        <f t="shared" si="96"/>
        <v>517</v>
      </c>
      <c r="AA162" s="595"/>
      <c r="AB162" s="595"/>
      <c r="AC162" s="595"/>
      <c r="AD162" s="595"/>
    </row>
    <row r="163" spans="3:30" s="255" customFormat="1" ht="10.5" customHeight="1">
      <c r="C163" s="291" t="s">
        <v>939</v>
      </c>
      <c r="E163" s="255">
        <f t="shared" ref="E163:N163" si="97">SUM(E160:E162)</f>
        <v>52156</v>
      </c>
      <c r="F163" s="255">
        <f t="shared" si="97"/>
        <v>52816</v>
      </c>
      <c r="G163" s="255">
        <f t="shared" si="97"/>
        <v>53119</v>
      </c>
      <c r="H163" s="255">
        <f t="shared" si="97"/>
        <v>53654</v>
      </c>
      <c r="I163" s="255">
        <f t="shared" si="97"/>
        <v>50647</v>
      </c>
      <c r="J163" s="255">
        <f t="shared" si="97"/>
        <v>49844</v>
      </c>
      <c r="K163" s="255">
        <f t="shared" si="97"/>
        <v>48926</v>
      </c>
      <c r="L163" s="255">
        <f t="shared" si="97"/>
        <v>48456</v>
      </c>
      <c r="M163" s="255">
        <f t="shared" si="97"/>
        <v>47724</v>
      </c>
      <c r="N163" s="255">
        <f t="shared" si="97"/>
        <v>47423</v>
      </c>
      <c r="O163" s="255">
        <f>SUM(O160:O162)</f>
        <v>47429</v>
      </c>
      <c r="P163" s="255">
        <f>SUM(P160:P162)</f>
        <v>47708</v>
      </c>
      <c r="Q163" s="255">
        <f>SUM(Q160:Q162)</f>
        <v>48322</v>
      </c>
      <c r="R163" s="255">
        <f>R170+Q163+R171</f>
        <v>49248.356092780137</v>
      </c>
      <c r="S163" s="255">
        <f t="shared" ref="S163:T163" si="98">S170+R163+S171</f>
        <v>50085.922901012738</v>
      </c>
      <c r="T163" s="255">
        <f t="shared" si="98"/>
        <v>51104</v>
      </c>
      <c r="V163" s="255">
        <f>SUM(V160:V162)</f>
        <v>49802</v>
      </c>
      <c r="W163" s="255">
        <f>SUM(W160:W162)</f>
        <v>51541</v>
      </c>
      <c r="X163" s="255">
        <f>SUM(X160:X162)</f>
        <v>53654</v>
      </c>
      <c r="Y163" s="255">
        <f>SUM(Y160:Y162)</f>
        <v>48456</v>
      </c>
      <c r="Z163" s="255">
        <f>SUM(Z160:Z162)</f>
        <v>47708</v>
      </c>
      <c r="AA163" s="255">
        <f>+SUMIF($E$6:$T$6,AA$6,$E163:$T163)</f>
        <v>51104</v>
      </c>
      <c r="AB163" s="255">
        <f t="shared" ref="AB163:AD163" si="99">AB170+AA163+AB171</f>
        <v>55160</v>
      </c>
      <c r="AC163" s="255">
        <f t="shared" si="99"/>
        <v>59854</v>
      </c>
      <c r="AD163" s="255">
        <f t="shared" si="99"/>
        <v>64548</v>
      </c>
    </row>
    <row r="164" spans="3:30" s="255" customFormat="1" ht="10.5" customHeight="1">
      <c r="C164" s="647" t="s">
        <v>940</v>
      </c>
      <c r="E164" s="277">
        <v>-17746</v>
      </c>
      <c r="F164" s="277">
        <v>-18114</v>
      </c>
      <c r="G164" s="277">
        <v>-18500</v>
      </c>
      <c r="H164" s="277">
        <v>-18659</v>
      </c>
      <c r="I164" s="277">
        <v>-16441</v>
      </c>
      <c r="J164" s="277">
        <v>-16493</v>
      </c>
      <c r="K164" s="277">
        <v>-16670</v>
      </c>
      <c r="L164" s="277">
        <v>-16757</v>
      </c>
      <c r="M164" s="277">
        <v>-16827</v>
      </c>
      <c r="N164" s="277">
        <v>-17218</v>
      </c>
      <c r="O164" s="277">
        <v>-17632</v>
      </c>
      <c r="P164" s="277">
        <v>-18171</v>
      </c>
      <c r="Q164" s="277">
        <v>-18464</v>
      </c>
      <c r="R164" s="255">
        <f>-R167+Q164</f>
        <v>-18936.784218490688</v>
      </c>
      <c r="S164" s="255">
        <f>-S167+R164</f>
        <v>-19452.669224371119</v>
      </c>
      <c r="T164" s="255">
        <f>-T167+S164</f>
        <v>-19958.598824371118</v>
      </c>
      <c r="V164" s="277">
        <v>-15646</v>
      </c>
      <c r="W164" s="277">
        <v>-17443</v>
      </c>
      <c r="X164" s="254">
        <f>+SUMIF($E$6:$T$6,X$6,$E164:$T164)</f>
        <v>-18659</v>
      </c>
      <c r="Y164" s="254">
        <f>+SUMIF($E$6:$T$6,Y$6,$E164:$T164)</f>
        <v>-16757</v>
      </c>
      <c r="Z164" s="254">
        <f>+SUMIF($E$6:$T$6,Z$6,$E164:$T164)</f>
        <v>-18171</v>
      </c>
      <c r="AA164" s="254">
        <f>+SUMIF($E$6:$T$6,AA$6,$E164:$T164)</f>
        <v>-19958.598824371118</v>
      </c>
      <c r="AB164" s="255">
        <f>-AB167+AA164</f>
        <v>-22083.440542285782</v>
      </c>
      <c r="AC164" s="255">
        <f>-AC167+AB164</f>
        <v>-24389.101821909862</v>
      </c>
      <c r="AD164" s="255">
        <f>-AD167+AC164</f>
        <v>-26875.58266324336</v>
      </c>
    </row>
    <row r="165" spans="3:30" s="283" customFormat="1" ht="10.5" customHeight="1">
      <c r="C165" s="286" t="s">
        <v>941</v>
      </c>
      <c r="E165" s="358">
        <f t="shared" ref="E165:N165" si="100">SUM(E163:E164)</f>
        <v>34410</v>
      </c>
      <c r="F165" s="358">
        <f t="shared" si="100"/>
        <v>34702</v>
      </c>
      <c r="G165" s="358">
        <f t="shared" si="100"/>
        <v>34619</v>
      </c>
      <c r="H165" s="358">
        <f t="shared" si="100"/>
        <v>34995</v>
      </c>
      <c r="I165" s="358">
        <f t="shared" si="100"/>
        <v>34206</v>
      </c>
      <c r="J165" s="358">
        <f t="shared" si="100"/>
        <v>33351</v>
      </c>
      <c r="K165" s="358">
        <f t="shared" si="100"/>
        <v>32256</v>
      </c>
      <c r="L165" s="358">
        <f t="shared" si="100"/>
        <v>31699</v>
      </c>
      <c r="M165" s="358">
        <f t="shared" si="100"/>
        <v>30897</v>
      </c>
      <c r="N165" s="358">
        <f t="shared" si="100"/>
        <v>30205</v>
      </c>
      <c r="O165" s="358">
        <f t="shared" ref="O165:T165" si="101">SUM(O163:O164)</f>
        <v>29797</v>
      </c>
      <c r="P165" s="358">
        <f t="shared" si="101"/>
        <v>29537</v>
      </c>
      <c r="Q165" s="358">
        <f t="shared" si="101"/>
        <v>29858</v>
      </c>
      <c r="R165" s="358">
        <f t="shared" si="101"/>
        <v>30311.57187428945</v>
      </c>
      <c r="S165" s="358">
        <f t="shared" si="101"/>
        <v>30633.25367664162</v>
      </c>
      <c r="T165" s="358">
        <f t="shared" si="101"/>
        <v>31145.401175628882</v>
      </c>
      <c r="V165" s="358">
        <f t="shared" ref="V165:AD165" si="102">SUM(V163:V164)</f>
        <v>34156</v>
      </c>
      <c r="W165" s="358">
        <f t="shared" si="102"/>
        <v>34098</v>
      </c>
      <c r="X165" s="358">
        <f t="shared" si="102"/>
        <v>34995</v>
      </c>
      <c r="Y165" s="358">
        <f t="shared" si="102"/>
        <v>31699</v>
      </c>
      <c r="Z165" s="358">
        <f t="shared" si="102"/>
        <v>29537</v>
      </c>
      <c r="AA165" s="358">
        <f t="shared" si="102"/>
        <v>31145.401175628882</v>
      </c>
      <c r="AB165" s="358">
        <f t="shared" si="102"/>
        <v>33076.559457714218</v>
      </c>
      <c r="AC165" s="358">
        <f t="shared" si="102"/>
        <v>35464.898178090138</v>
      </c>
      <c r="AD165" s="358">
        <f t="shared" si="102"/>
        <v>37672.41733675664</v>
      </c>
    </row>
    <row r="167" spans="3:30" s="255" customFormat="1" ht="10.5" customHeight="1">
      <c r="C167" s="255" t="s">
        <v>384</v>
      </c>
      <c r="E167" s="255">
        <f t="shared" ref="E167:Q167" si="103">E24-E178</f>
        <v>458</v>
      </c>
      <c r="F167" s="255">
        <f t="shared" si="103"/>
        <v>479</v>
      </c>
      <c r="G167" s="255">
        <f t="shared" si="103"/>
        <v>489</v>
      </c>
      <c r="H167" s="255">
        <f t="shared" si="103"/>
        <v>502</v>
      </c>
      <c r="I167" s="255">
        <f t="shared" si="103"/>
        <v>535</v>
      </c>
      <c r="J167" s="255">
        <f t="shared" si="103"/>
        <v>489</v>
      </c>
      <c r="K167" s="255">
        <f t="shared" si="103"/>
        <v>488</v>
      </c>
      <c r="L167" s="255">
        <f t="shared" si="103"/>
        <v>474</v>
      </c>
      <c r="M167" s="255">
        <f t="shared" si="103"/>
        <v>468</v>
      </c>
      <c r="N167" s="255">
        <f t="shared" si="103"/>
        <v>470</v>
      </c>
      <c r="O167" s="255">
        <f t="shared" si="103"/>
        <v>470</v>
      </c>
      <c r="P167" s="255">
        <f t="shared" si="103"/>
        <v>569</v>
      </c>
      <c r="Q167" s="255">
        <f t="shared" si="103"/>
        <v>474</v>
      </c>
      <c r="R167" s="254">
        <f>R168*R163</f>
        <v>472.78421849068928</v>
      </c>
      <c r="S167" s="254">
        <f>S168*S163</f>
        <v>515.88500588043121</v>
      </c>
      <c r="T167" s="254">
        <f>T168*T163</f>
        <v>505.92960000000005</v>
      </c>
      <c r="V167" s="255">
        <f t="shared" ref="V167:AA167" si="104">V24-V178</f>
        <v>1702</v>
      </c>
      <c r="W167" s="255">
        <f t="shared" si="104"/>
        <v>1773</v>
      </c>
      <c r="X167" s="255">
        <f t="shared" si="104"/>
        <v>1928</v>
      </c>
      <c r="Y167" s="255">
        <f t="shared" si="104"/>
        <v>1986</v>
      </c>
      <c r="Z167" s="255">
        <f t="shared" si="104"/>
        <v>1977</v>
      </c>
      <c r="AA167" s="255">
        <f t="shared" si="104"/>
        <v>1968.5988243711204</v>
      </c>
      <c r="AB167" s="255">
        <f>AB163*AB168</f>
        <v>2124.8417179146641</v>
      </c>
      <c r="AC167" s="255">
        <f>AC163*AC168</f>
        <v>2305.6612796240806</v>
      </c>
      <c r="AD167" s="255">
        <f>AD163*AD168</f>
        <v>2486.4808413334977</v>
      </c>
    </row>
    <row r="168" spans="3:30" s="278" customFormat="1" ht="10.5" customHeight="1">
      <c r="C168" s="278" t="s">
        <v>1310</v>
      </c>
      <c r="E168" s="297">
        <f>E167/E163</f>
        <v>8.781348262903596E-3</v>
      </c>
      <c r="F168" s="297">
        <f t="shared" ref="F168:P168" si="105">F167/F163</f>
        <v>9.069221448046047E-3</v>
      </c>
      <c r="G168" s="297">
        <f t="shared" si="105"/>
        <v>9.2057455900901742E-3</v>
      </c>
      <c r="H168" s="297">
        <f t="shared" si="105"/>
        <v>9.3562455734893957E-3</v>
      </c>
      <c r="I168" s="297">
        <f t="shared" si="105"/>
        <v>1.0563310758781369E-2</v>
      </c>
      <c r="J168" s="297">
        <f t="shared" si="105"/>
        <v>9.8106091003932264E-3</v>
      </c>
      <c r="K168" s="297">
        <f t="shared" si="105"/>
        <v>9.9742468217307763E-3</v>
      </c>
      <c r="L168" s="297">
        <f t="shared" si="105"/>
        <v>9.7820703318474492E-3</v>
      </c>
      <c r="M168" s="297">
        <f t="shared" si="105"/>
        <v>9.8063867236610515E-3</v>
      </c>
      <c r="N168" s="297">
        <f t="shared" si="105"/>
        <v>9.9108027750247768E-3</v>
      </c>
      <c r="O168" s="297">
        <f t="shared" si="105"/>
        <v>9.9095490100993069E-3</v>
      </c>
      <c r="P168" s="297">
        <f t="shared" si="105"/>
        <v>1.19267208853861E-2</v>
      </c>
      <c r="Q168" s="297">
        <f>Q167/Q163</f>
        <v>9.8091966392119534E-3</v>
      </c>
      <c r="R168" s="419">
        <v>9.5999999999999992E-3</v>
      </c>
      <c r="S168" s="419">
        <v>1.03E-2</v>
      </c>
      <c r="T168" s="419">
        <v>9.9000000000000008E-3</v>
      </c>
      <c r="V168" s="297">
        <f t="shared" ref="V168:AA168" si="106">V167/V163</f>
        <v>3.4175334323922731E-2</v>
      </c>
      <c r="W168" s="297">
        <f t="shared" si="106"/>
        <v>3.4399798218893697E-2</v>
      </c>
      <c r="X168" s="297">
        <f t="shared" si="106"/>
        <v>3.5933947142803895E-2</v>
      </c>
      <c r="Y168" s="297">
        <f t="shared" si="106"/>
        <v>4.0985636453689946E-2</v>
      </c>
      <c r="Z168" s="297">
        <f t="shared" si="106"/>
        <v>4.1439590844302841E-2</v>
      </c>
      <c r="AA168" s="297">
        <f t="shared" si="106"/>
        <v>3.8521423457481219E-2</v>
      </c>
      <c r="AB168" s="419">
        <f>AA168</f>
        <v>3.8521423457481219E-2</v>
      </c>
      <c r="AC168" s="419">
        <f>AB168</f>
        <v>3.8521423457481219E-2</v>
      </c>
      <c r="AD168" s="419">
        <f>AC168</f>
        <v>3.8521423457481219E-2</v>
      </c>
    </row>
    <row r="170" spans="3:30" ht="10.5" customHeight="1">
      <c r="C170" s="253" t="s">
        <v>942</v>
      </c>
      <c r="E170" s="255">
        <f>-E226</f>
        <v>1305</v>
      </c>
      <c r="F170" s="255">
        <f t="shared" ref="F170:Q170" si="107">-F226</f>
        <v>1018</v>
      </c>
      <c r="G170" s="255">
        <f t="shared" si="107"/>
        <v>806</v>
      </c>
      <c r="H170" s="255">
        <f t="shared" si="107"/>
        <v>1237</v>
      </c>
      <c r="I170" s="255">
        <f t="shared" si="107"/>
        <v>845</v>
      </c>
      <c r="J170" s="255">
        <f t="shared" si="107"/>
        <v>388</v>
      </c>
      <c r="K170" s="255">
        <f t="shared" si="107"/>
        <v>577</v>
      </c>
      <c r="L170" s="255">
        <f t="shared" si="107"/>
        <v>321</v>
      </c>
      <c r="M170" s="255">
        <f t="shared" si="107"/>
        <v>-19</v>
      </c>
      <c r="N170" s="255">
        <f t="shared" si="107"/>
        <v>-99</v>
      </c>
      <c r="O170" s="255">
        <f t="shared" si="107"/>
        <v>143</v>
      </c>
      <c r="P170" s="255">
        <f t="shared" si="107"/>
        <v>387</v>
      </c>
      <c r="Q170" s="255">
        <f t="shared" si="107"/>
        <v>807</v>
      </c>
      <c r="R170" s="333">
        <v>500</v>
      </c>
      <c r="S170" s="333">
        <v>500</v>
      </c>
      <c r="T170" s="333">
        <v>500</v>
      </c>
      <c r="V170" s="255">
        <f t="shared" ref="V170:W170" si="108">-V226</f>
        <v>5971</v>
      </c>
      <c r="W170" s="255">
        <f t="shared" si="108"/>
        <v>3745</v>
      </c>
      <c r="X170" s="255">
        <f t="shared" ref="X170:AA171" si="109">+SUMIF($E$5:$T$5,X$5,$E170:$T170)</f>
        <v>4366</v>
      </c>
      <c r="Y170" s="255">
        <f t="shared" si="109"/>
        <v>2131</v>
      </c>
      <c r="Z170" s="255">
        <f t="shared" si="109"/>
        <v>412</v>
      </c>
      <c r="AA170" s="255">
        <f t="shared" si="109"/>
        <v>2307</v>
      </c>
      <c r="AB170" s="333">
        <v>2000</v>
      </c>
      <c r="AC170" s="333">
        <f t="shared" ref="AC170:AD170" si="110">AVERAGE($V$170:$X$170)-AC171</f>
        <v>1384</v>
      </c>
      <c r="AD170" s="333">
        <f t="shared" si="110"/>
        <v>1135</v>
      </c>
    </row>
    <row r="171" spans="3:30" ht="10.5" customHeight="1">
      <c r="C171" s="253" t="s">
        <v>1826</v>
      </c>
      <c r="E171" s="255"/>
      <c r="F171" s="255"/>
      <c r="G171" s="255"/>
      <c r="H171" s="255"/>
      <c r="I171" s="255"/>
      <c r="J171" s="255"/>
      <c r="K171" s="255"/>
      <c r="L171" s="255"/>
      <c r="M171" s="255"/>
      <c r="N171" s="255"/>
      <c r="O171" s="255"/>
      <c r="P171" s="255"/>
      <c r="Q171" s="255"/>
      <c r="R171" s="333">
        <f>1282*(F170/SUM($F$170:$H$170))</f>
        <v>426.3560927801372</v>
      </c>
      <c r="S171" s="333">
        <f t="shared" ref="S171:T171" si="111">1282*(G170/SUM($F$170:$H$170))</f>
        <v>337.56680823260376</v>
      </c>
      <c r="T171" s="333">
        <f t="shared" si="111"/>
        <v>518.07709898725909</v>
      </c>
      <c r="V171" s="255"/>
      <c r="W171" s="255"/>
      <c r="X171" s="255"/>
      <c r="Y171" s="255"/>
      <c r="Z171" s="255"/>
      <c r="AA171" s="255">
        <f t="shared" si="109"/>
        <v>1282</v>
      </c>
      <c r="AB171" s="333">
        <v>2056</v>
      </c>
      <c r="AC171" s="333">
        <v>3310</v>
      </c>
      <c r="AD171" s="333">
        <v>3559</v>
      </c>
    </row>
    <row r="172" spans="3:30" s="278" customFormat="1" ht="10.5" customHeight="1">
      <c r="C172" s="278" t="s">
        <v>1827</v>
      </c>
      <c r="E172" s="297">
        <f t="shared" ref="E172:Q172" si="112">E170/E13</f>
        <v>0.12329931972789115</v>
      </c>
      <c r="F172" s="297">
        <f t="shared" si="112"/>
        <v>8.5117056856187284E-2</v>
      </c>
      <c r="G172" s="297">
        <f t="shared" si="112"/>
        <v>6.7668541684157507E-2</v>
      </c>
      <c r="H172" s="297">
        <f t="shared" si="112"/>
        <v>0.10934323344824538</v>
      </c>
      <c r="I172" s="297">
        <f t="shared" si="112"/>
        <v>9.9236641221374045E-2</v>
      </c>
      <c r="J172" s="297">
        <f t="shared" si="112"/>
        <v>0.23921085080147966</v>
      </c>
      <c r="K172" s="297">
        <f t="shared" si="112"/>
        <v>0.18184683265048851</v>
      </c>
      <c r="L172" s="297">
        <f t="shared" si="112"/>
        <v>7.971194437546561E-2</v>
      </c>
      <c r="M172" s="297">
        <f t="shared" si="112"/>
        <v>-4.7405189620758487E-3</v>
      </c>
      <c r="N172" s="297">
        <f t="shared" si="112"/>
        <v>-1.3238833912810912E-2</v>
      </c>
      <c r="O172" s="297">
        <f t="shared" si="112"/>
        <v>1.5943806444419669E-2</v>
      </c>
      <c r="P172" s="297">
        <f t="shared" si="112"/>
        <v>4.1052296594887024E-2</v>
      </c>
      <c r="Q172" s="297">
        <f t="shared" si="112"/>
        <v>9.0684346555792786E-2</v>
      </c>
      <c r="R172" s="297">
        <f>(R170+R171)/R13</f>
        <v>7.2394608185271575E-2</v>
      </c>
      <c r="S172" s="297">
        <f t="shared" ref="S172:T172" si="113">(S170+S171)/S13</f>
        <v>6.4940950388947441E-2</v>
      </c>
      <c r="T172" s="297">
        <f t="shared" si="113"/>
        <v>8.5727688957767917E-2</v>
      </c>
      <c r="V172" s="297">
        <f t="shared" ref="V172:AA172" si="114">V170/V13</f>
        <v>0.14009197128243631</v>
      </c>
      <c r="W172" s="297">
        <f t="shared" si="114"/>
        <v>8.4079836555084081E-2</v>
      </c>
      <c r="X172" s="297">
        <f t="shared" si="114"/>
        <v>9.5394161859814725E-2</v>
      </c>
      <c r="Y172" s="297">
        <f t="shared" si="114"/>
        <v>0.12291630616600334</v>
      </c>
      <c r="Z172" s="297">
        <f t="shared" si="114"/>
        <v>1.3787564420052205E-2</v>
      </c>
      <c r="AA172" s="297">
        <f t="shared" si="114"/>
        <v>4.9647073629351259E-2</v>
      </c>
      <c r="AB172" s="297">
        <f t="shared" ref="AB172" si="115">(AB170+AB171)/AB13</f>
        <v>8.115430239287974E-2</v>
      </c>
      <c r="AC172" s="297">
        <f t="shared" ref="AC172" si="116">(AC170+AC171)/AC13</f>
        <v>8.9211022906513379E-2</v>
      </c>
      <c r="AD172" s="297">
        <f t="shared" ref="AD172" si="117">(AD170+AD171)/AD13</f>
        <v>8.8438499478914856E-2</v>
      </c>
    </row>
    <row r="174" spans="3:30" ht="10.5" customHeight="1">
      <c r="C174" s="253" t="s">
        <v>943</v>
      </c>
      <c r="R174" s="255">
        <f>Q176</f>
        <v>1970</v>
      </c>
      <c r="S174" s="255">
        <f>R176</f>
        <v>1962.3333333333333</v>
      </c>
      <c r="T174" s="255">
        <f>S176</f>
        <v>1954.6666666666665</v>
      </c>
      <c r="AB174" s="255">
        <f>AA176</f>
        <v>1946.9999999999998</v>
      </c>
      <c r="AC174" s="255">
        <f>AB176</f>
        <v>1939.9999999999998</v>
      </c>
      <c r="AD174" s="255">
        <f>AC176</f>
        <v>1932.9999999999998</v>
      </c>
    </row>
    <row r="175" spans="3:30" s="255" customFormat="1" ht="10.5" customHeight="1">
      <c r="C175" s="253" t="s">
        <v>383</v>
      </c>
      <c r="E175" s="254"/>
      <c r="F175" s="254"/>
      <c r="G175" s="254"/>
      <c r="H175" s="254"/>
      <c r="I175" s="254"/>
      <c r="J175" s="254"/>
      <c r="K175" s="254"/>
      <c r="L175" s="254"/>
      <c r="M175" s="254"/>
      <c r="N175" s="254"/>
      <c r="O175" s="254"/>
      <c r="P175" s="254"/>
      <c r="Q175" s="254"/>
      <c r="R175" s="255">
        <f>-R178</f>
        <v>-7.666666666666667</v>
      </c>
      <c r="S175" s="255">
        <f>-S178</f>
        <v>-7.666666666666667</v>
      </c>
      <c r="T175" s="255">
        <f>-T178</f>
        <v>-7.666666666666667</v>
      </c>
      <c r="V175" s="254"/>
      <c r="W175" s="254"/>
      <c r="X175" s="254"/>
      <c r="Y175" s="254"/>
      <c r="Z175" s="254"/>
      <c r="AB175" s="255">
        <f>-AB178</f>
        <v>-7</v>
      </c>
      <c r="AC175" s="255">
        <f>-AC178</f>
        <v>-7</v>
      </c>
      <c r="AD175" s="255">
        <f>-AD178</f>
        <v>-7</v>
      </c>
    </row>
    <row r="176" spans="3:30" s="283" customFormat="1" ht="10.5" customHeight="1">
      <c r="C176" s="286" t="s">
        <v>944</v>
      </c>
      <c r="E176" s="357">
        <f t="shared" ref="E176:Q176" si="118">E118</f>
        <v>2115</v>
      </c>
      <c r="F176" s="357">
        <f t="shared" si="118"/>
        <v>2105</v>
      </c>
      <c r="G176" s="357">
        <f t="shared" si="118"/>
        <v>2095</v>
      </c>
      <c r="H176" s="357">
        <f t="shared" si="118"/>
        <v>2084</v>
      </c>
      <c r="I176" s="357">
        <f t="shared" si="118"/>
        <v>2059</v>
      </c>
      <c r="J176" s="357">
        <f t="shared" si="118"/>
        <v>2049</v>
      </c>
      <c r="K176" s="357">
        <f t="shared" si="118"/>
        <v>2039</v>
      </c>
      <c r="L176" s="357">
        <f t="shared" si="118"/>
        <v>2029</v>
      </c>
      <c r="M176" s="357">
        <f t="shared" si="118"/>
        <v>2019</v>
      </c>
      <c r="N176" s="357">
        <f t="shared" si="118"/>
        <v>2008</v>
      </c>
      <c r="O176" s="357">
        <f t="shared" si="118"/>
        <v>1998</v>
      </c>
      <c r="P176" s="357">
        <f t="shared" si="118"/>
        <v>1988</v>
      </c>
      <c r="Q176" s="357">
        <f t="shared" si="118"/>
        <v>1970</v>
      </c>
      <c r="R176" s="358">
        <f>SUM(R174:R175)</f>
        <v>1962.3333333333333</v>
      </c>
      <c r="S176" s="358">
        <f>SUM(S174:S175)</f>
        <v>1954.6666666666665</v>
      </c>
      <c r="T176" s="358">
        <f>SUM(T174:T175)</f>
        <v>1946.9999999999998</v>
      </c>
      <c r="V176" s="357">
        <f>V118</f>
        <v>2203</v>
      </c>
      <c r="W176" s="357">
        <f>W118</f>
        <v>2137</v>
      </c>
      <c r="X176" s="357">
        <f>+SUMIF($E$6:$T$6,X$6,$E176:$T176)</f>
        <v>2084</v>
      </c>
      <c r="Y176" s="357">
        <f>+SUMIF($E$6:$T$6,Y$6,$E176:$T176)</f>
        <v>2029</v>
      </c>
      <c r="Z176" s="357">
        <f>+SUMIF($E$6:$T$6,Z$6,$E176:$T176)</f>
        <v>1988</v>
      </c>
      <c r="AA176" s="357">
        <f>+SUMIF($E$6:$T$6,AA$6,$E176:$T176)</f>
        <v>1946.9999999999998</v>
      </c>
      <c r="AB176" s="358">
        <f>SUM(AB174:AB175)</f>
        <v>1939.9999999999998</v>
      </c>
      <c r="AC176" s="358">
        <f>SUM(AC174:AC175)</f>
        <v>1932.9999999999998</v>
      </c>
      <c r="AD176" s="358">
        <f>SUM(AD174:AD175)</f>
        <v>1925.9999999999998</v>
      </c>
    </row>
    <row r="177" spans="2:44" s="255" customFormat="1" ht="10.5" customHeight="1">
      <c r="E177" s="254"/>
      <c r="F177" s="254"/>
      <c r="G177" s="254"/>
      <c r="H177" s="254"/>
      <c r="I177" s="254"/>
      <c r="J177" s="254"/>
      <c r="K177" s="254"/>
      <c r="L177" s="254"/>
      <c r="M177" s="254"/>
      <c r="N177" s="254"/>
      <c r="O177" s="254"/>
      <c r="P177" s="254"/>
      <c r="V177" s="254"/>
      <c r="W177" s="254"/>
      <c r="X177" s="254"/>
      <c r="Y177" s="254"/>
      <c r="Z177" s="254"/>
    </row>
    <row r="178" spans="2:44" ht="10.5" customHeight="1">
      <c r="C178" s="253" t="s">
        <v>945</v>
      </c>
      <c r="E178" s="383">
        <f>W176-E176</f>
        <v>22</v>
      </c>
      <c r="F178" s="383">
        <f t="shared" ref="F178:Q178" si="119">E176-F176</f>
        <v>10</v>
      </c>
      <c r="G178" s="383">
        <f t="shared" si="119"/>
        <v>10</v>
      </c>
      <c r="H178" s="383">
        <f t="shared" si="119"/>
        <v>11</v>
      </c>
      <c r="I178" s="383">
        <f t="shared" si="119"/>
        <v>25</v>
      </c>
      <c r="J178" s="383">
        <f t="shared" si="119"/>
        <v>10</v>
      </c>
      <c r="K178" s="383">
        <f t="shared" si="119"/>
        <v>10</v>
      </c>
      <c r="L178" s="383">
        <f t="shared" si="119"/>
        <v>10</v>
      </c>
      <c r="M178" s="383">
        <f t="shared" si="119"/>
        <v>10</v>
      </c>
      <c r="N178" s="383">
        <f t="shared" si="119"/>
        <v>11</v>
      </c>
      <c r="O178" s="383">
        <f t="shared" si="119"/>
        <v>10</v>
      </c>
      <c r="P178" s="383">
        <f t="shared" si="119"/>
        <v>10</v>
      </c>
      <c r="Q178" s="383">
        <f t="shared" si="119"/>
        <v>18</v>
      </c>
      <c r="R178" s="333">
        <f>(41-$Q$178)/3</f>
        <v>7.666666666666667</v>
      </c>
      <c r="S178" s="333">
        <f>(41-$Q$178)/3</f>
        <v>7.666666666666667</v>
      </c>
      <c r="T178" s="333">
        <f>(41-$Q$178)/3</f>
        <v>7.666666666666667</v>
      </c>
      <c r="W178" s="383">
        <f>V176-W176</f>
        <v>66</v>
      </c>
      <c r="X178" s="383">
        <f>W176-X176</f>
        <v>53</v>
      </c>
      <c r="Y178" s="383">
        <f>X176-Y176</f>
        <v>55</v>
      </c>
      <c r="Z178" s="383">
        <f>Y176-Z176</f>
        <v>41</v>
      </c>
      <c r="AA178" s="383">
        <f>Z176-AA176</f>
        <v>41.000000000000227</v>
      </c>
      <c r="AB178" s="333">
        <v>7</v>
      </c>
      <c r="AC178" s="333">
        <v>7</v>
      </c>
      <c r="AD178" s="333">
        <v>7</v>
      </c>
    </row>
    <row r="180" spans="2:44" ht="10.5" customHeight="1">
      <c r="C180" s="397" t="s">
        <v>1757</v>
      </c>
    </row>
    <row r="181" spans="2:44" ht="10.5" customHeight="1">
      <c r="C181" s="253" t="s">
        <v>1758</v>
      </c>
      <c r="R181" s="255">
        <f>Q183</f>
        <v>12924</v>
      </c>
      <c r="S181" s="255">
        <f ca="1">R183</f>
        <v>12356.130669848382</v>
      </c>
      <c r="T181" s="255">
        <f ca="1">S183</f>
        <v>11799.46587597219</v>
      </c>
      <c r="AB181" s="255">
        <f ca="1">AA183</f>
        <v>11202.927890786224</v>
      </c>
      <c r="AC181" s="255">
        <f ca="1">AB183</f>
        <v>8330.7931221102099</v>
      </c>
      <c r="AD181" s="255">
        <f ca="1">AC183</f>
        <v>10097.450034344329</v>
      </c>
    </row>
    <row r="182" spans="2:44" ht="10.5" customHeight="1">
      <c r="C182" s="253" t="s">
        <v>1830</v>
      </c>
      <c r="R182" s="255">
        <f ca="1">R224+R226+R246+R249-R105-R107</f>
        <v>-567.86933015161821</v>
      </c>
      <c r="S182" s="255">
        <f ca="1">S224+S226+S246+S249-S105-S107</f>
        <v>-556.66479387619188</v>
      </c>
      <c r="T182" s="255">
        <f ca="1">T224+T226+T246+T249-T105-T107</f>
        <v>-596.53798518596523</v>
      </c>
      <c r="AB182" s="255">
        <f ca="1">AB224+AB226+AB246+AB249-AB105-AB107</f>
        <v>-2872.1347686760141</v>
      </c>
      <c r="AC182" s="255">
        <f ca="1">AC224+AC226+AC246+AC249-AC105-AC107</f>
        <v>1766.6569122341198</v>
      </c>
      <c r="AD182" s="255">
        <f ca="1">AD224+AD226+AD246+AD249-AD105-AD107</f>
        <v>-2350.2885837610306</v>
      </c>
    </row>
    <row r="183" spans="2:44" ht="10.5" customHeight="1">
      <c r="C183" s="289" t="s">
        <v>281</v>
      </c>
      <c r="E183" s="966">
        <f t="shared" ref="E183:Q183" si="120">E110</f>
        <v>4157</v>
      </c>
      <c r="F183" s="966">
        <f t="shared" si="120"/>
        <v>5234</v>
      </c>
      <c r="G183" s="966">
        <f t="shared" si="120"/>
        <v>5003</v>
      </c>
      <c r="H183" s="966">
        <f t="shared" si="120"/>
        <v>3694</v>
      </c>
      <c r="I183" s="966">
        <f t="shared" si="120"/>
        <v>3247</v>
      </c>
      <c r="J183" s="966">
        <f t="shared" si="120"/>
        <v>9885</v>
      </c>
      <c r="K183" s="966">
        <f t="shared" si="120"/>
        <v>8495</v>
      </c>
      <c r="L183" s="966">
        <f t="shared" si="120"/>
        <v>7074</v>
      </c>
      <c r="M183" s="966">
        <f t="shared" si="120"/>
        <v>14411</v>
      </c>
      <c r="N183" s="966">
        <f t="shared" si="120"/>
        <v>18484</v>
      </c>
      <c r="O183" s="966">
        <f t="shared" si="120"/>
        <v>15028</v>
      </c>
      <c r="P183" s="966">
        <f t="shared" si="120"/>
        <v>13013</v>
      </c>
      <c r="Q183" s="966">
        <f t="shared" si="120"/>
        <v>12924</v>
      </c>
      <c r="R183" s="966">
        <f ca="1">SUM(R181:R182)</f>
        <v>12356.130669848382</v>
      </c>
      <c r="S183" s="966">
        <f ca="1">SUM(S181:S182)</f>
        <v>11799.46587597219</v>
      </c>
      <c r="T183" s="966">
        <f ca="1">SUM(T181:T182)</f>
        <v>11202.927890786224</v>
      </c>
      <c r="V183" s="966">
        <f>V110</f>
        <v>4986</v>
      </c>
      <c r="W183" s="966">
        <f>W110</f>
        <v>4628</v>
      </c>
      <c r="X183" s="966">
        <f>+SUMIF($E$6:$T$6,X$6,$E183:$T183)</f>
        <v>3694</v>
      </c>
      <c r="Y183" s="966">
        <f>+SUMIF($E$6:$T$6,Y$6,$E183:$T183)</f>
        <v>7074</v>
      </c>
      <c r="Z183" s="966">
        <f>+SUMIF($E$6:$T$6,Z$6,$E183:$T183)</f>
        <v>13013</v>
      </c>
      <c r="AA183" s="966">
        <f ca="1">+SUMIF($E$6:$T$6,AA$6,$E183:$T183)</f>
        <v>11202.927890786224</v>
      </c>
      <c r="AB183" s="966">
        <f ca="1">SUM(AB181:AB182)</f>
        <v>8330.7931221102099</v>
      </c>
      <c r="AC183" s="966">
        <f ca="1">SUM(AC181:AC182)</f>
        <v>10097.450034344329</v>
      </c>
      <c r="AD183" s="966">
        <f ca="1">SUM(AD181:AD182)</f>
        <v>7747.1614505832986</v>
      </c>
    </row>
    <row r="185" spans="2:44" ht="10.5" customHeight="1">
      <c r="B185" s="258" t="s">
        <v>133</v>
      </c>
      <c r="C185" s="259" t="s">
        <v>946</v>
      </c>
      <c r="D185" s="259"/>
      <c r="E185" s="258"/>
      <c r="F185" s="258"/>
      <c r="G185" s="258"/>
      <c r="H185" s="258"/>
      <c r="I185" s="258"/>
      <c r="J185" s="258"/>
      <c r="K185" s="258"/>
      <c r="L185" s="258"/>
      <c r="M185" s="258"/>
      <c r="N185" s="258"/>
      <c r="O185" s="258"/>
      <c r="P185" s="258"/>
      <c r="Q185" s="258"/>
      <c r="R185" s="258"/>
      <c r="S185" s="258"/>
      <c r="T185" s="258"/>
      <c r="V185" s="258"/>
      <c r="W185" s="258"/>
      <c r="X185" s="258"/>
      <c r="Y185" s="258"/>
      <c r="Z185" s="258"/>
      <c r="AA185" s="258"/>
      <c r="AB185" s="258"/>
      <c r="AC185" s="258"/>
      <c r="AD185" s="258"/>
      <c r="AF185" s="258"/>
      <c r="AG185" s="258"/>
      <c r="AH185" s="258"/>
      <c r="AI185" s="258"/>
      <c r="AJ185" s="258"/>
      <c r="AK185" s="258"/>
      <c r="AL185" s="258"/>
      <c r="AM185" s="258"/>
      <c r="AN185" s="258"/>
      <c r="AO185" s="258"/>
      <c r="AP185" s="258"/>
      <c r="AQ185" s="258"/>
      <c r="AR185" s="258"/>
    </row>
    <row r="187" spans="2:44" s="278" customFormat="1" ht="10.5" customHeight="1">
      <c r="C187" s="278" t="s">
        <v>376</v>
      </c>
      <c r="H187" s="601">
        <f t="shared" ref="H187:Q187" si="121">365/(SUM(E13:H13)/H108)</f>
        <v>13.956257647264465</v>
      </c>
      <c r="I187" s="601">
        <f t="shared" si="121"/>
        <v>8.5196457584841756</v>
      </c>
      <c r="J187" s="601">
        <f t="shared" si="121"/>
        <v>9.6170678336980302</v>
      </c>
      <c r="K187" s="601">
        <f t="shared" si="121"/>
        <v>16.824716728262192</v>
      </c>
      <c r="L187" s="601">
        <f t="shared" si="121"/>
        <v>28.253446386341349</v>
      </c>
      <c r="M187" s="601">
        <f t="shared" si="121"/>
        <v>27.623928293063134</v>
      </c>
      <c r="N187" s="601">
        <f t="shared" si="121"/>
        <v>24.397142245531413</v>
      </c>
      <c r="O187" s="601">
        <f t="shared" si="121"/>
        <v>19.858671677150561</v>
      </c>
      <c r="P187" s="601">
        <f t="shared" si="121"/>
        <v>18.383140352051402</v>
      </c>
      <c r="Q187" s="601">
        <f t="shared" si="121"/>
        <v>16.133350588099962</v>
      </c>
      <c r="R187" s="769">
        <v>15</v>
      </c>
      <c r="S187" s="769">
        <v>13</v>
      </c>
      <c r="T187" s="769">
        <v>12</v>
      </c>
      <c r="V187" s="601">
        <f t="shared" ref="V187:AA187" si="122">365/(V13/V108)</f>
        <v>15.0035193092769</v>
      </c>
      <c r="W187" s="601">
        <f t="shared" si="122"/>
        <v>13.980153117352552</v>
      </c>
      <c r="X187" s="601">
        <f t="shared" si="122"/>
        <v>13.956257647264465</v>
      </c>
      <c r="Y187" s="601">
        <f t="shared" si="122"/>
        <v>28.253446386341349</v>
      </c>
      <c r="Z187" s="601">
        <f t="shared" si="122"/>
        <v>18.383140352051402</v>
      </c>
      <c r="AA187" s="601">
        <f t="shared" si="122"/>
        <v>12</v>
      </c>
      <c r="AB187" s="769">
        <f t="shared" ref="AB187:AD189" si="123">AA187</f>
        <v>12</v>
      </c>
      <c r="AC187" s="769">
        <f t="shared" si="123"/>
        <v>12</v>
      </c>
      <c r="AD187" s="769">
        <f t="shared" si="123"/>
        <v>12</v>
      </c>
    </row>
    <row r="188" spans="2:44" s="278" customFormat="1" ht="10.5" customHeight="1">
      <c r="C188" s="278" t="s">
        <v>1797</v>
      </c>
      <c r="H188" s="601">
        <f t="shared" ref="H188:Q188" si="124">365/(SUM(E15:H15)/H109)</f>
        <v>71.912187333688138</v>
      </c>
      <c r="I188" s="601">
        <f t="shared" si="124"/>
        <v>71.625692137320044</v>
      </c>
      <c r="J188" s="601">
        <f t="shared" si="124"/>
        <v>87.989645617617029</v>
      </c>
      <c r="K188" s="601">
        <f t="shared" si="124"/>
        <v>119.35222266720064</v>
      </c>
      <c r="L188" s="601">
        <f t="shared" si="124"/>
        <v>173.16578483245152</v>
      </c>
      <c r="M188" s="601">
        <f t="shared" si="124"/>
        <v>228.19381598793362</v>
      </c>
      <c r="N188" s="601">
        <f t="shared" si="124"/>
        <v>165.14542235710672</v>
      </c>
      <c r="O188" s="601">
        <f t="shared" si="124"/>
        <v>127.59490084985835</v>
      </c>
      <c r="P188" s="601">
        <f t="shared" si="124"/>
        <v>96.448549977918447</v>
      </c>
      <c r="Q188" s="601">
        <f t="shared" si="124"/>
        <v>88.45539280958721</v>
      </c>
      <c r="R188" s="769">
        <v>70</v>
      </c>
      <c r="S188" s="769">
        <v>60</v>
      </c>
      <c r="T188" s="769">
        <v>55</v>
      </c>
      <c r="V188" s="601">
        <f t="shared" ref="V188:AA188" si="125">365/(V15/V109)</f>
        <v>66.049933422103862</v>
      </c>
      <c r="W188" s="601">
        <f t="shared" si="125"/>
        <v>56.136822958771219</v>
      </c>
      <c r="X188" s="601">
        <f t="shared" si="125"/>
        <v>71.912187333688138</v>
      </c>
      <c r="Y188" s="601">
        <f t="shared" si="125"/>
        <v>173.16578483245152</v>
      </c>
      <c r="Z188" s="601">
        <f t="shared" si="125"/>
        <v>96.448549977918447</v>
      </c>
      <c r="AA188" s="601">
        <f t="shared" si="125"/>
        <v>55</v>
      </c>
      <c r="AB188" s="769">
        <f t="shared" si="123"/>
        <v>55</v>
      </c>
      <c r="AC188" s="769">
        <f t="shared" si="123"/>
        <v>55</v>
      </c>
      <c r="AD188" s="769">
        <f t="shared" si="123"/>
        <v>55</v>
      </c>
    </row>
    <row r="189" spans="2:44" s="278" customFormat="1" ht="10.5" customHeight="1">
      <c r="C189" s="278" t="s">
        <v>377</v>
      </c>
      <c r="H189" s="601">
        <f t="shared" ref="H189:Q189" si="126">365/(SUM(E15:H20)/H123)</f>
        <v>22.539230953521802</v>
      </c>
      <c r="I189" s="601">
        <f t="shared" si="126"/>
        <v>18.202505598256973</v>
      </c>
      <c r="J189" s="601">
        <f t="shared" si="126"/>
        <v>14.715721932473237</v>
      </c>
      <c r="K189" s="601">
        <f t="shared" si="126"/>
        <v>15.233085328993258</v>
      </c>
      <c r="L189" s="601">
        <f t="shared" si="126"/>
        <v>19.119656622284513</v>
      </c>
      <c r="M189" s="601">
        <f t="shared" si="126"/>
        <v>28.080913354493344</v>
      </c>
      <c r="N189" s="601">
        <f t="shared" si="126"/>
        <v>34.080474593758062</v>
      </c>
      <c r="O189" s="601">
        <f t="shared" si="126"/>
        <v>26.251273810457004</v>
      </c>
      <c r="P189" s="601">
        <f t="shared" si="126"/>
        <v>22.866537033763478</v>
      </c>
      <c r="Q189" s="601">
        <f t="shared" si="126"/>
        <v>30.230644111906312</v>
      </c>
      <c r="R189" s="769">
        <v>28</v>
      </c>
      <c r="S189" s="769">
        <v>27</v>
      </c>
      <c r="T189" s="769">
        <v>27</v>
      </c>
      <c r="V189" s="601">
        <f t="shared" ref="V189:AA189" si="127">365/(SUM(V15:V20)/V123)</f>
        <v>20.837391774891774</v>
      </c>
      <c r="W189" s="601">
        <f t="shared" si="127"/>
        <v>19.82370960330832</v>
      </c>
      <c r="X189" s="601">
        <f t="shared" si="127"/>
        <v>22.539230953521802</v>
      </c>
      <c r="Y189" s="601">
        <f t="shared" si="127"/>
        <v>19.119656622284513</v>
      </c>
      <c r="Z189" s="601">
        <f t="shared" si="127"/>
        <v>22.866537033763478</v>
      </c>
      <c r="AA189" s="601">
        <f t="shared" si="127"/>
        <v>26.999999999999993</v>
      </c>
      <c r="AB189" s="769">
        <f t="shared" si="123"/>
        <v>26.999999999999993</v>
      </c>
      <c r="AC189" s="769">
        <f t="shared" si="123"/>
        <v>26.999999999999993</v>
      </c>
      <c r="AD189" s="769">
        <f t="shared" si="123"/>
        <v>26.999999999999993</v>
      </c>
    </row>
    <row r="190" spans="2:44" s="278" customFormat="1" ht="10.5" customHeight="1">
      <c r="C190" s="479" t="s">
        <v>947</v>
      </c>
      <c r="H190" s="770">
        <f>H187+H188-H189</f>
        <v>63.329214027430801</v>
      </c>
      <c r="I190" s="770">
        <f t="shared" ref="I190:T190" si="128">I187+I188-I189</f>
        <v>61.942832297547241</v>
      </c>
      <c r="J190" s="770">
        <f t="shared" si="128"/>
        <v>82.890991518841815</v>
      </c>
      <c r="K190" s="770">
        <f t="shared" si="128"/>
        <v>120.94385406646957</v>
      </c>
      <c r="L190" s="770">
        <f t="shared" si="128"/>
        <v>182.29957459650836</v>
      </c>
      <c r="M190" s="770">
        <f t="shared" si="128"/>
        <v>227.73683092650342</v>
      </c>
      <c r="N190" s="770">
        <f t="shared" si="128"/>
        <v>155.4620900088801</v>
      </c>
      <c r="O190" s="770">
        <f t="shared" si="128"/>
        <v>121.20229871655189</v>
      </c>
      <c r="P190" s="770">
        <f t="shared" si="128"/>
        <v>91.965153296206367</v>
      </c>
      <c r="Q190" s="770">
        <f>Q187+Q188-Q189</f>
        <v>74.358099285780852</v>
      </c>
      <c r="R190" s="770">
        <f t="shared" si="128"/>
        <v>57</v>
      </c>
      <c r="S190" s="770">
        <f t="shared" si="128"/>
        <v>46</v>
      </c>
      <c r="T190" s="770">
        <f t="shared" si="128"/>
        <v>40</v>
      </c>
      <c r="V190" s="770">
        <f t="shared" ref="V190:AD190" si="129">V187+V188-V189</f>
        <v>60.216060956488988</v>
      </c>
      <c r="W190" s="770">
        <f t="shared" si="129"/>
        <v>50.293266472815461</v>
      </c>
      <c r="X190" s="770">
        <f t="shared" si="129"/>
        <v>63.329214027430801</v>
      </c>
      <c r="Y190" s="770">
        <f t="shared" si="129"/>
        <v>182.29957459650836</v>
      </c>
      <c r="Z190" s="770">
        <f t="shared" si="129"/>
        <v>91.965153296206367</v>
      </c>
      <c r="AA190" s="770">
        <f t="shared" si="129"/>
        <v>40.000000000000007</v>
      </c>
      <c r="AB190" s="770">
        <f t="shared" si="129"/>
        <v>40.000000000000007</v>
      </c>
      <c r="AC190" s="770">
        <f t="shared" si="129"/>
        <v>40.000000000000007</v>
      </c>
      <c r="AD190" s="770">
        <f t="shared" si="129"/>
        <v>40.000000000000007</v>
      </c>
    </row>
    <row r="191" spans="2:44" s="278" customFormat="1" ht="10.5" customHeight="1"/>
    <row r="192" spans="2:44" s="278" customFormat="1" ht="10.5" customHeight="1">
      <c r="C192" s="278" t="s">
        <v>388</v>
      </c>
    </row>
    <row r="193" spans="2:44" s="278" customFormat="1" ht="10.5" customHeight="1">
      <c r="C193" s="278" t="s">
        <v>948</v>
      </c>
      <c r="H193" s="297">
        <f t="shared" ref="H193:Q193" si="130">H120/SUM(E$13:H$13)</f>
        <v>2.702761754937948E-2</v>
      </c>
      <c r="I193" s="297">
        <f t="shared" si="130"/>
        <v>2.7300395890066134E-2</v>
      </c>
      <c r="J193" s="297">
        <f t="shared" si="130"/>
        <v>3.6449746710230511E-2</v>
      </c>
      <c r="K193" s="297">
        <f t="shared" si="130"/>
        <v>6.6726231572107386E-2</v>
      </c>
      <c r="L193" s="297">
        <f t="shared" si="130"/>
        <v>0.10474707273461384</v>
      </c>
      <c r="M193" s="297">
        <f t="shared" si="130"/>
        <v>0.14972720187061575</v>
      </c>
      <c r="N193" s="297">
        <f t="shared" si="130"/>
        <v>0.10296478647115488</v>
      </c>
      <c r="O193" s="297">
        <f t="shared" si="130"/>
        <v>8.046728208479699E-2</v>
      </c>
      <c r="P193" s="297">
        <f t="shared" si="130"/>
        <v>7.0577605247306066E-2</v>
      </c>
      <c r="Q193" s="297">
        <f t="shared" si="130"/>
        <v>5.6796940154717743E-2</v>
      </c>
      <c r="R193" s="296">
        <v>0.05</v>
      </c>
      <c r="S193" s="296">
        <v>4.4999999999999998E-2</v>
      </c>
      <c r="T193" s="296">
        <v>4.2000000000000003E-2</v>
      </c>
      <c r="V193" s="297">
        <f t="shared" ref="V193:AA193" si="131">V120/V$13</f>
        <v>3.2213410914551169E-2</v>
      </c>
      <c r="W193" s="297">
        <f t="shared" si="131"/>
        <v>2.9658067847601086E-2</v>
      </c>
      <c r="X193" s="297">
        <f t="shared" si="131"/>
        <v>2.702761754937948E-2</v>
      </c>
      <c r="Y193" s="297">
        <f t="shared" si="131"/>
        <v>0.10474707273461384</v>
      </c>
      <c r="Z193" s="297">
        <f t="shared" si="131"/>
        <v>7.0577605247306066E-2</v>
      </c>
      <c r="AA193" s="297">
        <f t="shared" si="131"/>
        <v>4.2000000000000003E-2</v>
      </c>
      <c r="AB193" s="296">
        <f t="shared" ref="AB193:AD195" si="132">AA193</f>
        <v>4.2000000000000003E-2</v>
      </c>
      <c r="AC193" s="296">
        <f t="shared" si="132"/>
        <v>4.2000000000000003E-2</v>
      </c>
      <c r="AD193" s="296">
        <f t="shared" si="132"/>
        <v>4.2000000000000003E-2</v>
      </c>
    </row>
    <row r="194" spans="2:44" s="278" customFormat="1" ht="10.5" customHeight="1">
      <c r="C194" s="278" t="s">
        <v>949</v>
      </c>
      <c r="H194" s="297">
        <f t="shared" ref="H194:Q194" si="133">H124/SUM(E$13:H$13)</f>
        <v>3.3669812969760529E-2</v>
      </c>
      <c r="I194" s="297">
        <f t="shared" si="133"/>
        <v>3.7369276184809723E-2</v>
      </c>
      <c r="J194" s="297">
        <f t="shared" si="133"/>
        <v>4.5502233146488415E-2</v>
      </c>
      <c r="K194" s="297">
        <f t="shared" si="133"/>
        <v>7.7935263777768757E-2</v>
      </c>
      <c r="L194" s="297">
        <f t="shared" si="133"/>
        <v>9.8979062121474309E-2</v>
      </c>
      <c r="M194" s="297">
        <f t="shared" si="133"/>
        <v>0.12283710054559625</v>
      </c>
      <c r="N194" s="297">
        <f t="shared" si="133"/>
        <v>8.4555282029326773E-2</v>
      </c>
      <c r="O194" s="297">
        <f t="shared" si="133"/>
        <v>6.1310350461563599E-2</v>
      </c>
      <c r="P194" s="297">
        <f t="shared" si="133"/>
        <v>4.9829328692858575E-2</v>
      </c>
      <c r="Q194" s="297">
        <f t="shared" si="133"/>
        <v>3.9369625859143588E-2</v>
      </c>
      <c r="R194" s="296">
        <v>3.5000000000000003E-2</v>
      </c>
      <c r="S194" s="296">
        <v>3.3000000000000002E-2</v>
      </c>
      <c r="T194" s="296">
        <v>3.2000000000000001E-2</v>
      </c>
      <c r="V194" s="297">
        <f t="shared" ref="V194:AA194" si="134">V124/V$13</f>
        <v>3.9228567406503684E-2</v>
      </c>
      <c r="W194" s="297">
        <f t="shared" si="134"/>
        <v>3.2037897667317752E-2</v>
      </c>
      <c r="X194" s="297">
        <f t="shared" si="134"/>
        <v>3.3669812969760529E-2</v>
      </c>
      <c r="Y194" s="297">
        <f t="shared" si="134"/>
        <v>9.8979062121474309E-2</v>
      </c>
      <c r="Z194" s="297">
        <f t="shared" si="134"/>
        <v>4.9829328692858575E-2</v>
      </c>
      <c r="AA194" s="297">
        <f t="shared" si="134"/>
        <v>3.2000000000000001E-2</v>
      </c>
      <c r="AB194" s="296">
        <f t="shared" si="132"/>
        <v>3.2000000000000001E-2</v>
      </c>
      <c r="AC194" s="296">
        <f t="shared" si="132"/>
        <v>3.2000000000000001E-2</v>
      </c>
      <c r="AD194" s="296">
        <f t="shared" si="132"/>
        <v>3.2000000000000001E-2</v>
      </c>
    </row>
    <row r="195" spans="2:44" s="278" customFormat="1" ht="10.5" customHeight="1">
      <c r="C195" s="278" t="s">
        <v>951</v>
      </c>
      <c r="H195" s="297">
        <f t="shared" ref="H195:Q195" si="135">H142/SUM(E$13:H$13)</f>
        <v>3.1747072190176542E-2</v>
      </c>
      <c r="I195" s="297">
        <f t="shared" si="135"/>
        <v>3.0572781985857798E-2</v>
      </c>
      <c r="J195" s="297">
        <f t="shared" si="135"/>
        <v>4.2444770840202629E-2</v>
      </c>
      <c r="K195" s="297">
        <f t="shared" si="135"/>
        <v>6.5182959022052553E-2</v>
      </c>
      <c r="L195" s="297">
        <f t="shared" si="135"/>
        <v>8.663551940935571E-2</v>
      </c>
      <c r="M195" s="297">
        <f t="shared" si="135"/>
        <v>0.11348402182385035</v>
      </c>
      <c r="N195" s="297">
        <f t="shared" si="135"/>
        <v>7.4761853794284489E-2</v>
      </c>
      <c r="O195" s="297">
        <f t="shared" si="135"/>
        <v>5.8083489910954987E-2</v>
      </c>
      <c r="P195" s="297">
        <f t="shared" si="135"/>
        <v>4.4441469781139151E-2</v>
      </c>
      <c r="Q195" s="297">
        <f t="shared" si="135"/>
        <v>3.9628447358582806E-2</v>
      </c>
      <c r="R195" s="296">
        <v>3.5000000000000003E-2</v>
      </c>
      <c r="S195" s="296">
        <v>3.2000000000000001E-2</v>
      </c>
      <c r="T195" s="296">
        <v>3.1E-2</v>
      </c>
      <c r="V195" s="297">
        <f t="shared" ref="V195:AA195" si="136">V142/V$13</f>
        <v>5.8608230491295578E-2</v>
      </c>
      <c r="W195" s="297">
        <f t="shared" si="136"/>
        <v>3.1274556027031275E-2</v>
      </c>
      <c r="X195" s="297">
        <f t="shared" si="136"/>
        <v>3.1747072190176542E-2</v>
      </c>
      <c r="Y195" s="297">
        <f t="shared" si="136"/>
        <v>8.663551940935571E-2</v>
      </c>
      <c r="Z195" s="297">
        <f t="shared" si="136"/>
        <v>4.4441469781139151E-2</v>
      </c>
      <c r="AA195" s="297">
        <f t="shared" si="136"/>
        <v>3.1E-2</v>
      </c>
      <c r="AB195" s="296">
        <f t="shared" si="132"/>
        <v>3.1E-2</v>
      </c>
      <c r="AC195" s="296">
        <f t="shared" si="132"/>
        <v>3.1E-2</v>
      </c>
      <c r="AD195" s="296">
        <f t="shared" si="132"/>
        <v>3.1E-2</v>
      </c>
    </row>
    <row r="196" spans="2:44" s="278" customFormat="1" ht="10.5" customHeight="1"/>
    <row r="197" spans="2:44" s="278" customFormat="1" ht="10.5" customHeight="1">
      <c r="C197" s="278" t="s">
        <v>952</v>
      </c>
      <c r="F197" s="600">
        <f t="shared" ref="F197:Q197" si="137">F125-E125</f>
        <v>26</v>
      </c>
      <c r="G197" s="600">
        <f t="shared" si="137"/>
        <v>-387</v>
      </c>
      <c r="H197" s="600">
        <f t="shared" si="137"/>
        <v>-761</v>
      </c>
      <c r="I197" s="600">
        <f t="shared" si="137"/>
        <v>665</v>
      </c>
      <c r="J197" s="600">
        <f t="shared" si="137"/>
        <v>-354</v>
      </c>
      <c r="K197" s="600">
        <f t="shared" si="137"/>
        <v>-216</v>
      </c>
      <c r="L197" s="600">
        <f t="shared" si="137"/>
        <v>-146</v>
      </c>
      <c r="M197" s="600">
        <f t="shared" si="137"/>
        <v>841</v>
      </c>
      <c r="N197" s="600">
        <f t="shared" si="137"/>
        <v>1497</v>
      </c>
      <c r="O197" s="600">
        <f t="shared" si="137"/>
        <v>-645</v>
      </c>
      <c r="P197" s="600">
        <f t="shared" si="137"/>
        <v>-363</v>
      </c>
      <c r="Q197" s="600">
        <f t="shared" si="137"/>
        <v>2259</v>
      </c>
      <c r="R197" s="771">
        <v>750</v>
      </c>
      <c r="S197" s="771">
        <v>-500</v>
      </c>
      <c r="T197" s="771">
        <v>-450</v>
      </c>
      <c r="V197" s="600"/>
      <c r="W197" s="600">
        <f>W125-V125</f>
        <v>297</v>
      </c>
      <c r="X197" s="600">
        <f>X125-W125</f>
        <v>469</v>
      </c>
      <c r="Y197" s="600">
        <f>Y125-X125</f>
        <v>-51</v>
      </c>
      <c r="Z197" s="600">
        <f>Z125-Y125</f>
        <v>1330</v>
      </c>
      <c r="AA197" s="600">
        <f>AA125-Z125</f>
        <v>2059</v>
      </c>
      <c r="AB197" s="771">
        <v>-1500</v>
      </c>
      <c r="AC197" s="771">
        <v>300</v>
      </c>
      <c r="AD197" s="771">
        <v>300</v>
      </c>
    </row>
    <row r="198" spans="2:44" s="278" customFormat="1" ht="10.5" customHeight="1">
      <c r="C198" s="278" t="s">
        <v>950</v>
      </c>
      <c r="F198" s="600">
        <f t="shared" ref="F198:Q198" si="138">F139-E139</f>
        <v>-9</v>
      </c>
      <c r="G198" s="600">
        <f t="shared" si="138"/>
        <v>-37</v>
      </c>
      <c r="H198" s="600">
        <f t="shared" si="138"/>
        <v>93</v>
      </c>
      <c r="I198" s="600">
        <f t="shared" si="138"/>
        <v>236</v>
      </c>
      <c r="J198" s="600">
        <f t="shared" si="138"/>
        <v>111</v>
      </c>
      <c r="K198" s="600">
        <f t="shared" si="138"/>
        <v>132</v>
      </c>
      <c r="L198" s="600">
        <f t="shared" si="138"/>
        <v>101</v>
      </c>
      <c r="M198" s="600">
        <f t="shared" si="138"/>
        <v>183</v>
      </c>
      <c r="N198" s="600">
        <f t="shared" si="138"/>
        <v>-72</v>
      </c>
      <c r="O198" s="600">
        <f t="shared" si="138"/>
        <v>-111</v>
      </c>
      <c r="P198" s="600">
        <f t="shared" si="138"/>
        <v>-60</v>
      </c>
      <c r="Q198" s="600">
        <f t="shared" si="138"/>
        <v>169</v>
      </c>
      <c r="R198" s="771">
        <v>-85</v>
      </c>
      <c r="S198" s="771">
        <v>150</v>
      </c>
      <c r="T198" s="771">
        <v>150</v>
      </c>
      <c r="W198" s="600">
        <f>W139-V139</f>
        <v>-283</v>
      </c>
      <c r="X198" s="600">
        <f>X139-W139</f>
        <v>76</v>
      </c>
      <c r="Y198" s="600">
        <f>Y139-X139</f>
        <v>580</v>
      </c>
      <c r="Z198" s="600">
        <f>Z139-Y139</f>
        <v>-60</v>
      </c>
      <c r="AA198" s="600">
        <f>AA139-Z139</f>
        <v>384</v>
      </c>
      <c r="AB198" s="771">
        <v>200</v>
      </c>
      <c r="AC198" s="771">
        <v>200</v>
      </c>
      <c r="AD198" s="771">
        <v>200</v>
      </c>
    </row>
    <row r="199" spans="2:44" s="278" customFormat="1" ht="10.5" customHeight="1"/>
    <row r="200" spans="2:44" s="278" customFormat="1" ht="10.5" customHeight="1">
      <c r="C200" s="278" t="s">
        <v>953</v>
      </c>
      <c r="P200" s="297"/>
      <c r="Q200" s="297">
        <f>Q210/Q13</f>
        <v>2.5845600629284191E-3</v>
      </c>
      <c r="R200" s="296">
        <v>3.0000000000000001E-3</v>
      </c>
      <c r="S200" s="296">
        <v>3.0000000000000001E-3</v>
      </c>
      <c r="T200" s="296">
        <v>3.0000000000000001E-3</v>
      </c>
      <c r="V200" s="297">
        <f t="shared" ref="V200:AA200" si="139">V210/V13</f>
        <v>2.1115855661395524E-3</v>
      </c>
      <c r="W200" s="297">
        <f t="shared" si="139"/>
        <v>1.9308053254305023E-3</v>
      </c>
      <c r="X200" s="297">
        <f t="shared" si="139"/>
        <v>2.0538367418283516E-3</v>
      </c>
      <c r="Y200" s="297">
        <f t="shared" si="139"/>
        <v>5.2488896579569707E-3</v>
      </c>
      <c r="Z200" s="297">
        <f t="shared" si="139"/>
        <v>3.2795662940900876E-3</v>
      </c>
      <c r="AA200" s="297">
        <f t="shared" si="139"/>
        <v>0</v>
      </c>
      <c r="AB200" s="296">
        <v>3.0000000000000001E-3</v>
      </c>
      <c r="AC200" s="296">
        <v>3.0000000000000001E-3</v>
      </c>
      <c r="AD200" s="296">
        <v>3.0000000000000001E-3</v>
      </c>
    </row>
    <row r="201" spans="2:44" s="278" customFormat="1" ht="10.5" customHeight="1"/>
    <row r="202" spans="2:44" ht="10.5" customHeight="1">
      <c r="C202" s="253" t="s">
        <v>954</v>
      </c>
      <c r="E202" s="255">
        <f t="shared" ref="E202:T202" si="140">E105</f>
        <v>337</v>
      </c>
      <c r="F202" s="255">
        <f t="shared" si="140"/>
        <v>319</v>
      </c>
      <c r="G202" s="255">
        <f t="shared" si="140"/>
        <v>312</v>
      </c>
      <c r="H202" s="255">
        <f t="shared" si="140"/>
        <v>280</v>
      </c>
      <c r="I202" s="255">
        <f t="shared" si="140"/>
        <v>474</v>
      </c>
      <c r="J202" s="255">
        <f t="shared" si="140"/>
        <v>462</v>
      </c>
      <c r="K202" s="255">
        <f t="shared" si="140"/>
        <v>253</v>
      </c>
      <c r="L202" s="255">
        <f t="shared" si="140"/>
        <v>245</v>
      </c>
      <c r="M202" s="255">
        <f t="shared" si="140"/>
        <v>277</v>
      </c>
      <c r="N202" s="255">
        <f t="shared" si="140"/>
        <v>325</v>
      </c>
      <c r="O202" s="255">
        <f t="shared" si="140"/>
        <v>293</v>
      </c>
      <c r="P202" s="255">
        <f t="shared" si="140"/>
        <v>273</v>
      </c>
      <c r="Q202" s="255">
        <f t="shared" si="140"/>
        <v>376</v>
      </c>
      <c r="R202" s="255">
        <f t="shared" si="140"/>
        <v>350</v>
      </c>
      <c r="S202" s="255">
        <f t="shared" si="140"/>
        <v>350</v>
      </c>
      <c r="T202" s="255">
        <f t="shared" si="140"/>
        <v>350</v>
      </c>
      <c r="U202" s="278"/>
      <c r="V202" s="255">
        <f t="shared" ref="V202:AD202" si="141">V105</f>
        <v>295</v>
      </c>
      <c r="W202" s="255">
        <f t="shared" si="141"/>
        <v>275</v>
      </c>
      <c r="X202" s="255">
        <f t="shared" si="141"/>
        <v>280</v>
      </c>
      <c r="Y202" s="255">
        <f t="shared" si="141"/>
        <v>245</v>
      </c>
      <c r="Z202" s="255">
        <f t="shared" si="141"/>
        <v>273</v>
      </c>
      <c r="AA202" s="255">
        <f t="shared" si="141"/>
        <v>350</v>
      </c>
      <c r="AB202" s="255">
        <f t="shared" si="141"/>
        <v>350</v>
      </c>
      <c r="AC202" s="255">
        <f t="shared" si="141"/>
        <v>350</v>
      </c>
      <c r="AD202" s="255">
        <f t="shared" si="141"/>
        <v>350</v>
      </c>
    </row>
    <row r="203" spans="2:44" ht="10.5" customHeight="1">
      <c r="C203" s="253" t="s">
        <v>300</v>
      </c>
      <c r="E203" s="255">
        <f t="shared" ref="E203:Q203" si="142">-E29</f>
        <v>33</v>
      </c>
      <c r="F203" s="255">
        <f t="shared" si="142"/>
        <v>35</v>
      </c>
      <c r="G203" s="255">
        <f t="shared" si="142"/>
        <v>34</v>
      </c>
      <c r="H203" s="255">
        <f t="shared" si="142"/>
        <v>24</v>
      </c>
      <c r="I203" s="255">
        <f t="shared" si="142"/>
        <v>21</v>
      </c>
      <c r="J203" s="255">
        <f t="shared" si="142"/>
        <v>10</v>
      </c>
      <c r="K203" s="255">
        <f t="shared" si="142"/>
        <v>5</v>
      </c>
      <c r="L203" s="255">
        <f t="shared" si="142"/>
        <v>5</v>
      </c>
      <c r="M203" s="255">
        <f t="shared" si="142"/>
        <v>4</v>
      </c>
      <c r="N203" s="255">
        <f t="shared" si="142"/>
        <v>5</v>
      </c>
      <c r="O203" s="255">
        <f t="shared" si="142"/>
        <v>5</v>
      </c>
      <c r="P203" s="255">
        <f t="shared" si="142"/>
        <v>5</v>
      </c>
      <c r="Q203" s="255">
        <f t="shared" si="142"/>
        <v>8</v>
      </c>
      <c r="R203" s="255">
        <f>IF(Circ=1,R204*AVERAGE(Q202:R202),0)</f>
        <v>8.9491525423728824</v>
      </c>
      <c r="S203" s="255">
        <f>IF(Circ=1,S204*AVERAGE(R202:S202),0)</f>
        <v>8.6286594761171038</v>
      </c>
      <c r="T203" s="255">
        <f>IF(Circ=1,T204*AVERAGE(S202:T202),0)</f>
        <v>8.6286594761171038</v>
      </c>
      <c r="U203" s="278"/>
      <c r="W203" s="255"/>
      <c r="X203" s="255"/>
      <c r="Y203" s="255">
        <f>-Y29</f>
        <v>41</v>
      </c>
      <c r="Z203" s="255">
        <f>-Z29</f>
        <v>19</v>
      </c>
      <c r="AA203" s="255">
        <f>-AA29</f>
        <v>34.206471494607086</v>
      </c>
      <c r="AB203" s="255">
        <f>IF(Circ=1,AB204*AVERAGE(AA202:AB202),0)</f>
        <v>35</v>
      </c>
      <c r="AC203" s="255">
        <f>IF(Circ=1,AC204*AVERAGE(AB202:AC202),0)</f>
        <v>35</v>
      </c>
      <c r="AD203" s="255">
        <f>IF(Circ=1,AD204*AVERAGE(AC202:AD202),0)</f>
        <v>35</v>
      </c>
    </row>
    <row r="204" spans="2:44" s="278" customFormat="1" ht="10.5" customHeight="1">
      <c r="C204" s="298" t="s">
        <v>955</v>
      </c>
      <c r="F204" s="297">
        <f>F203/AVERAGE(E202:F202)</f>
        <v>0.10670731707317073</v>
      </c>
      <c r="G204" s="297">
        <f t="shared" ref="G204:Q204" si="143">G203/AVERAGE(F202:G202)</f>
        <v>0.10776545166402536</v>
      </c>
      <c r="H204" s="297">
        <f t="shared" si="143"/>
        <v>8.1081081081081086E-2</v>
      </c>
      <c r="I204" s="297">
        <f t="shared" si="143"/>
        <v>5.5702917771883291E-2</v>
      </c>
      <c r="J204" s="297">
        <f t="shared" si="143"/>
        <v>2.1367521367521368E-2</v>
      </c>
      <c r="K204" s="297">
        <f t="shared" si="143"/>
        <v>1.3986013986013986E-2</v>
      </c>
      <c r="L204" s="297">
        <f t="shared" si="143"/>
        <v>2.0080321285140562E-2</v>
      </c>
      <c r="M204" s="297">
        <f t="shared" si="143"/>
        <v>1.532567049808429E-2</v>
      </c>
      <c r="N204" s="297">
        <f t="shared" si="143"/>
        <v>1.6611295681063124E-2</v>
      </c>
      <c r="O204" s="297">
        <f t="shared" si="143"/>
        <v>1.6181229773462782E-2</v>
      </c>
      <c r="P204" s="297">
        <f t="shared" si="143"/>
        <v>1.7667844522968199E-2</v>
      </c>
      <c r="Q204" s="297">
        <f t="shared" si="143"/>
        <v>2.465331278890601E-2</v>
      </c>
      <c r="R204" s="296">
        <f>Q204</f>
        <v>2.465331278890601E-2</v>
      </c>
      <c r="S204" s="296">
        <f>R204</f>
        <v>2.465331278890601E-2</v>
      </c>
      <c r="T204" s="296">
        <f>S204</f>
        <v>2.465331278890601E-2</v>
      </c>
      <c r="V204" s="255"/>
      <c r="W204" s="297"/>
      <c r="X204" s="297"/>
      <c r="Y204" s="297">
        <f>Y203/AVERAGE(X202:Y202)</f>
        <v>0.15619047619047619</v>
      </c>
      <c r="Z204" s="297">
        <f>Z203/AVERAGE(Y202:Z202)</f>
        <v>7.3359073359073365E-2</v>
      </c>
      <c r="AA204" s="297">
        <f>AA203/AVERAGE(Z202:AA202)</f>
        <v>0.10981210752682853</v>
      </c>
      <c r="AB204" s="296">
        <v>0.1</v>
      </c>
      <c r="AC204" s="296">
        <v>0.1</v>
      </c>
      <c r="AD204" s="296">
        <v>0.1</v>
      </c>
    </row>
    <row r="205" spans="2:44" ht="10.5" customHeight="1">
      <c r="U205" s="278"/>
      <c r="V205" s="255"/>
      <c r="W205" s="255"/>
      <c r="X205" s="255"/>
    </row>
    <row r="206" spans="2:44" ht="10.5" customHeight="1">
      <c r="B206" s="258" t="s">
        <v>133</v>
      </c>
      <c r="C206" s="259" t="s">
        <v>956</v>
      </c>
      <c r="D206" s="259"/>
      <c r="E206" s="258"/>
      <c r="F206" s="258"/>
      <c r="G206" s="258"/>
      <c r="H206" s="258"/>
      <c r="I206" s="258"/>
      <c r="J206" s="258"/>
      <c r="K206" s="258"/>
      <c r="L206" s="258"/>
      <c r="M206" s="258"/>
      <c r="N206" s="258"/>
      <c r="O206" s="258"/>
      <c r="P206" s="258"/>
      <c r="Q206" s="258"/>
      <c r="R206" s="258"/>
      <c r="S206" s="258"/>
      <c r="T206" s="258"/>
      <c r="U206" s="278"/>
      <c r="V206" s="258"/>
      <c r="W206" s="258"/>
      <c r="X206" s="258"/>
      <c r="Y206" s="258"/>
      <c r="Z206" s="258"/>
      <c r="AA206" s="258"/>
      <c r="AB206" s="258"/>
      <c r="AC206" s="258"/>
      <c r="AD206" s="258"/>
      <c r="AF206" s="258"/>
      <c r="AG206" s="258"/>
      <c r="AH206" s="258"/>
      <c r="AI206" s="258"/>
      <c r="AJ206" s="258"/>
      <c r="AK206" s="258"/>
      <c r="AL206" s="258"/>
      <c r="AM206" s="258"/>
      <c r="AN206" s="258"/>
      <c r="AO206" s="258"/>
      <c r="AP206" s="258"/>
      <c r="AQ206" s="258"/>
      <c r="AR206" s="258"/>
    </row>
    <row r="207" spans="2:44" ht="10.5" customHeight="1">
      <c r="U207" s="278"/>
      <c r="V207" s="383"/>
      <c r="W207" s="383"/>
      <c r="X207" s="383"/>
      <c r="Y207" s="383"/>
      <c r="Z207" s="383"/>
      <c r="AA207" s="383"/>
    </row>
    <row r="208" spans="2:44" ht="10.5" customHeight="1">
      <c r="C208" s="253" t="s">
        <v>957</v>
      </c>
      <c r="Q208" s="255">
        <f>Q35</f>
        <v>-1635</v>
      </c>
      <c r="R208" s="255">
        <f ca="1">R35</f>
        <v>-494.4857485760943</v>
      </c>
      <c r="S208" s="255">
        <f ca="1">S35</f>
        <v>-259.84302349031503</v>
      </c>
      <c r="T208" s="255">
        <f ca="1">T35</f>
        <v>-362.46357820310055</v>
      </c>
      <c r="U208" s="278"/>
      <c r="V208" s="277">
        <v>1282</v>
      </c>
      <c r="W208" s="277">
        <v>1412</v>
      </c>
      <c r="X208" s="255">
        <f t="shared" ref="X208:Z215" si="144">SUMIF($AF$6:$AQ$6,X$6,$AF208:$AQ208)</f>
        <v>1686</v>
      </c>
      <c r="Y208" s="255">
        <f t="shared" si="144"/>
        <v>-8885</v>
      </c>
      <c r="Z208" s="255">
        <f t="shared" si="144"/>
        <v>-1993</v>
      </c>
      <c r="AA208" s="254"/>
      <c r="AB208" s="255">
        <f ca="1">AB35</f>
        <v>1005.2592737107389</v>
      </c>
      <c r="AC208" s="255">
        <f ca="1">AC35</f>
        <v>2785.621897535189</v>
      </c>
      <c r="AD208" s="255">
        <f ca="1">AD35</f>
        <v>3443.1198053369631</v>
      </c>
      <c r="AF208" s="277">
        <v>0</v>
      </c>
      <c r="AG208" s="277">
        <v>0</v>
      </c>
      <c r="AH208" s="277">
        <v>0</v>
      </c>
      <c r="AI208" s="277">
        <v>1686</v>
      </c>
      <c r="AJ208" s="277">
        <v>0</v>
      </c>
      <c r="AK208" s="277">
        <v>0</v>
      </c>
      <c r="AL208" s="277">
        <v>0</v>
      </c>
      <c r="AM208" s="277">
        <v>-8885</v>
      </c>
      <c r="AN208" s="277">
        <v>0</v>
      </c>
      <c r="AO208" s="277">
        <v>0</v>
      </c>
      <c r="AP208" s="277">
        <v>0</v>
      </c>
      <c r="AQ208" s="277">
        <v>-1993</v>
      </c>
      <c r="AR208" s="277">
        <v>0</v>
      </c>
    </row>
    <row r="209" spans="3:44" ht="10.5" customHeight="1">
      <c r="C209" s="651" t="s">
        <v>291</v>
      </c>
      <c r="Q209" s="383">
        <f>Q167+Q178</f>
        <v>492</v>
      </c>
      <c r="R209" s="383">
        <f>R167+R178</f>
        <v>480.45088515735597</v>
      </c>
      <c r="S209" s="383">
        <f>S167+S178</f>
        <v>523.55167254709784</v>
      </c>
      <c r="T209" s="383">
        <f>T167+T178</f>
        <v>513.59626666666668</v>
      </c>
      <c r="U209" s="278"/>
      <c r="V209" s="277">
        <v>2017</v>
      </c>
      <c r="W209" s="277">
        <v>2159</v>
      </c>
      <c r="X209" s="255">
        <f t="shared" si="144"/>
        <v>2318</v>
      </c>
      <c r="Y209" s="255">
        <f t="shared" si="144"/>
        <v>2370</v>
      </c>
      <c r="Z209" s="255">
        <f t="shared" si="144"/>
        <v>2335</v>
      </c>
      <c r="AA209" s="254"/>
      <c r="AB209" s="383">
        <f>AB167+AB178</f>
        <v>2131.8417179146641</v>
      </c>
      <c r="AC209" s="383">
        <f>AC167+AC178</f>
        <v>2312.6612796240806</v>
      </c>
      <c r="AD209" s="383">
        <f>AD167+AD178</f>
        <v>2493.4808413334977</v>
      </c>
      <c r="AF209" s="277">
        <v>0</v>
      </c>
      <c r="AG209" s="277">
        <v>0</v>
      </c>
      <c r="AH209" s="277">
        <v>0</v>
      </c>
      <c r="AI209" s="277">
        <v>2318</v>
      </c>
      <c r="AJ209" s="277">
        <v>0</v>
      </c>
      <c r="AK209" s="277">
        <v>0</v>
      </c>
      <c r="AL209" s="277">
        <v>0</v>
      </c>
      <c r="AM209" s="277">
        <v>2370</v>
      </c>
      <c r="AN209" s="277">
        <v>0</v>
      </c>
      <c r="AO209" s="277">
        <v>0</v>
      </c>
      <c r="AP209" s="277">
        <v>0</v>
      </c>
      <c r="AQ209" s="277">
        <v>2335</v>
      </c>
      <c r="AR209" s="277">
        <v>0</v>
      </c>
    </row>
    <row r="210" spans="3:44" ht="10.5" customHeight="1">
      <c r="C210" s="651" t="s">
        <v>958</v>
      </c>
      <c r="Q210" s="277">
        <v>23</v>
      </c>
      <c r="R210" s="255">
        <f>R200*R13</f>
        <v>38.387779808521756</v>
      </c>
      <c r="S210" s="255">
        <f>S200*S13</f>
        <v>38.692079645410573</v>
      </c>
      <c r="T210" s="255">
        <f>T200*T13</f>
        <v>35.627127408816364</v>
      </c>
      <c r="V210" s="277">
        <v>90</v>
      </c>
      <c r="W210" s="277">
        <v>86</v>
      </c>
      <c r="X210" s="255">
        <f t="shared" si="144"/>
        <v>94</v>
      </c>
      <c r="Y210" s="255">
        <f t="shared" si="144"/>
        <v>91</v>
      </c>
      <c r="Z210" s="255">
        <f t="shared" si="144"/>
        <v>98</v>
      </c>
      <c r="AA210" s="254"/>
      <c r="AB210" s="255">
        <f>AB200*AB13</f>
        <v>149.93659782931715</v>
      </c>
      <c r="AC210" s="255">
        <f>AC200*AC13</f>
        <v>157.85044875852287</v>
      </c>
      <c r="AD210" s="255">
        <f>AD200*AD13</f>
        <v>159.22929587195645</v>
      </c>
      <c r="AF210" s="277">
        <v>0</v>
      </c>
      <c r="AG210" s="277">
        <v>0</v>
      </c>
      <c r="AH210" s="277">
        <v>0</v>
      </c>
      <c r="AI210" s="277">
        <v>94</v>
      </c>
      <c r="AJ210" s="277">
        <v>0</v>
      </c>
      <c r="AK210" s="277">
        <v>0</v>
      </c>
      <c r="AL210" s="277">
        <v>0</v>
      </c>
      <c r="AM210" s="277">
        <v>91</v>
      </c>
      <c r="AN210" s="277">
        <v>0</v>
      </c>
      <c r="AO210" s="277">
        <v>0</v>
      </c>
      <c r="AP210" s="277">
        <v>0</v>
      </c>
      <c r="AQ210" s="277">
        <v>98</v>
      </c>
      <c r="AR210" s="277">
        <v>0</v>
      </c>
    </row>
    <row r="211" spans="3:44" ht="10.5" customHeight="1">
      <c r="C211" s="651" t="s">
        <v>959</v>
      </c>
      <c r="R211" s="287">
        <f>'AAL Debt'!R35-'AAL Debt'!Q35</f>
        <v>23.10526315789474</v>
      </c>
      <c r="S211" s="287">
        <f>'AAL Debt'!S35-'AAL Debt'!R35</f>
        <v>23.10526315789474</v>
      </c>
      <c r="T211" s="287">
        <f>'AAL Debt'!T35-'AAL Debt'!S35</f>
        <v>23.10526315789474</v>
      </c>
      <c r="V211" s="277">
        <v>-114</v>
      </c>
      <c r="W211" s="277">
        <v>-92</v>
      </c>
      <c r="X211" s="255">
        <f t="shared" si="144"/>
        <v>-112</v>
      </c>
      <c r="Y211" s="255">
        <f t="shared" si="144"/>
        <v>-95</v>
      </c>
      <c r="Z211" s="255">
        <f t="shared" si="144"/>
        <v>-22</v>
      </c>
      <c r="AA211" s="254"/>
      <c r="AB211" s="287">
        <f>'AAL Debt'!AB35-'AAL Debt'!AA35</f>
        <v>92.421052631578959</v>
      </c>
      <c r="AC211" s="287">
        <f>'AAL Debt'!AC35-'AAL Debt'!AB35</f>
        <v>92.421052631578959</v>
      </c>
      <c r="AD211" s="287">
        <f>'AAL Debt'!AD35-'AAL Debt'!AC35</f>
        <v>92.421052631578945</v>
      </c>
      <c r="AF211" s="277">
        <v>0</v>
      </c>
      <c r="AG211" s="277">
        <v>0</v>
      </c>
      <c r="AH211" s="277">
        <v>0</v>
      </c>
      <c r="AI211" s="277">
        <v>-112</v>
      </c>
      <c r="AJ211" s="277">
        <v>0</v>
      </c>
      <c r="AK211" s="277">
        <v>0</v>
      </c>
      <c r="AL211" s="277">
        <v>0</v>
      </c>
      <c r="AM211" s="277">
        <v>-95</v>
      </c>
      <c r="AN211" s="277">
        <v>0</v>
      </c>
      <c r="AO211" s="277">
        <v>0</v>
      </c>
      <c r="AP211" s="277">
        <v>0</v>
      </c>
      <c r="AQ211" s="277">
        <v>-22</v>
      </c>
      <c r="AR211" s="277">
        <v>0</v>
      </c>
    </row>
    <row r="212" spans="3:44" ht="10.5" customHeight="1">
      <c r="C212" s="651" t="s">
        <v>960</v>
      </c>
      <c r="R212" s="277">
        <v>0</v>
      </c>
      <c r="S212" s="277">
        <v>0</v>
      </c>
      <c r="T212" s="277">
        <v>0</v>
      </c>
      <c r="V212" s="277">
        <v>272</v>
      </c>
      <c r="W212" s="277">
        <v>458</v>
      </c>
      <c r="X212" s="255">
        <f t="shared" si="144"/>
        <v>376</v>
      </c>
      <c r="Y212" s="255">
        <f t="shared" si="144"/>
        <v>1599</v>
      </c>
      <c r="Z212" s="255">
        <f t="shared" si="144"/>
        <v>83</v>
      </c>
      <c r="AA212" s="254"/>
      <c r="AB212" s="277">
        <v>0</v>
      </c>
      <c r="AC212" s="277">
        <v>0</v>
      </c>
      <c r="AD212" s="277">
        <v>0</v>
      </c>
      <c r="AF212" s="277">
        <v>0</v>
      </c>
      <c r="AG212" s="277">
        <v>0</v>
      </c>
      <c r="AH212" s="277">
        <v>0</v>
      </c>
      <c r="AI212" s="277">
        <v>376</v>
      </c>
      <c r="AJ212" s="277">
        <v>0</v>
      </c>
      <c r="AK212" s="277">
        <v>0</v>
      </c>
      <c r="AL212" s="277">
        <v>0</v>
      </c>
      <c r="AM212" s="277">
        <v>1599</v>
      </c>
      <c r="AN212" s="277">
        <v>0</v>
      </c>
      <c r="AO212" s="277">
        <v>0</v>
      </c>
      <c r="AP212" s="277">
        <v>0</v>
      </c>
      <c r="AQ212" s="277">
        <v>83</v>
      </c>
      <c r="AR212" s="277">
        <v>0</v>
      </c>
    </row>
    <row r="213" spans="3:44" ht="10.5" customHeight="1">
      <c r="C213" s="651" t="s">
        <v>961</v>
      </c>
      <c r="R213" s="277">
        <v>0</v>
      </c>
      <c r="S213" s="277">
        <v>0</v>
      </c>
      <c r="T213" s="277">
        <v>0</v>
      </c>
      <c r="V213" s="277">
        <v>-132</v>
      </c>
      <c r="W213" s="277">
        <v>-300</v>
      </c>
      <c r="X213" s="255">
        <f t="shared" si="144"/>
        <v>-178</v>
      </c>
      <c r="Y213" s="255">
        <f t="shared" si="144"/>
        <v>-319</v>
      </c>
      <c r="Z213" s="255">
        <f t="shared" si="144"/>
        <v>-321</v>
      </c>
      <c r="AA213" s="254"/>
      <c r="AB213" s="277">
        <v>0</v>
      </c>
      <c r="AC213" s="277">
        <v>0</v>
      </c>
      <c r="AD213" s="277">
        <v>0</v>
      </c>
      <c r="AF213" s="277">
        <v>0</v>
      </c>
      <c r="AG213" s="277">
        <v>0</v>
      </c>
      <c r="AH213" s="277">
        <v>0</v>
      </c>
      <c r="AI213" s="277">
        <v>-178</v>
      </c>
      <c r="AJ213" s="277">
        <v>0</v>
      </c>
      <c r="AK213" s="277">
        <v>0</v>
      </c>
      <c r="AL213" s="277">
        <v>0</v>
      </c>
      <c r="AM213" s="277">
        <v>-319</v>
      </c>
      <c r="AN213" s="277">
        <v>0</v>
      </c>
      <c r="AO213" s="277">
        <v>0</v>
      </c>
      <c r="AP213" s="277">
        <v>0</v>
      </c>
      <c r="AQ213" s="277">
        <v>-321</v>
      </c>
      <c r="AR213" s="277">
        <v>0</v>
      </c>
    </row>
    <row r="214" spans="3:44" ht="10.5" customHeight="1">
      <c r="C214" s="651" t="s">
        <v>962</v>
      </c>
      <c r="R214" s="254">
        <f ca="1">R34</f>
        <v>0</v>
      </c>
      <c r="S214" s="254">
        <f ca="1">S34</f>
        <v>0</v>
      </c>
      <c r="T214" s="254">
        <f ca="1">T34</f>
        <v>0</v>
      </c>
      <c r="V214" s="277">
        <v>2089</v>
      </c>
      <c r="W214" s="277">
        <v>440</v>
      </c>
      <c r="X214" s="255">
        <f t="shared" si="144"/>
        <v>560</v>
      </c>
      <c r="Y214" s="255">
        <f t="shared" si="144"/>
        <v>-2568</v>
      </c>
      <c r="Z214" s="255">
        <f t="shared" si="144"/>
        <v>-555</v>
      </c>
      <c r="AA214" s="254"/>
      <c r="AB214" s="254">
        <f ca="1">AB34</f>
        <v>0</v>
      </c>
      <c r="AC214" s="254">
        <f ca="1">AC34</f>
        <v>0</v>
      </c>
      <c r="AD214" s="254">
        <f ca="1">AD34</f>
        <v>0</v>
      </c>
      <c r="AF214" s="277">
        <v>0</v>
      </c>
      <c r="AG214" s="277">
        <v>0</v>
      </c>
      <c r="AH214" s="277">
        <v>0</v>
      </c>
      <c r="AI214" s="277">
        <v>560</v>
      </c>
      <c r="AJ214" s="277">
        <v>0</v>
      </c>
      <c r="AK214" s="277">
        <v>0</v>
      </c>
      <c r="AL214" s="277">
        <v>0</v>
      </c>
      <c r="AM214" s="277">
        <v>-2568</v>
      </c>
      <c r="AN214" s="277">
        <v>0</v>
      </c>
      <c r="AO214" s="277">
        <v>0</v>
      </c>
      <c r="AP214" s="277">
        <v>0</v>
      </c>
      <c r="AQ214" s="277">
        <v>-555</v>
      </c>
      <c r="AR214" s="277">
        <v>0</v>
      </c>
    </row>
    <row r="215" spans="3:44" ht="10.5" customHeight="1">
      <c r="C215" s="651" t="s">
        <v>963</v>
      </c>
      <c r="R215" s="277">
        <v>0</v>
      </c>
      <c r="S215" s="277">
        <v>0</v>
      </c>
      <c r="T215" s="277">
        <v>0</v>
      </c>
      <c r="V215" s="277">
        <v>-39</v>
      </c>
      <c r="W215" s="277">
        <v>-64</v>
      </c>
      <c r="X215" s="255">
        <f t="shared" si="144"/>
        <v>-62</v>
      </c>
      <c r="Y215" s="255">
        <f t="shared" si="144"/>
        <v>47</v>
      </c>
      <c r="Z215" s="255">
        <f t="shared" si="144"/>
        <v>38</v>
      </c>
      <c r="AA215" s="254"/>
      <c r="AB215" s="277">
        <v>0</v>
      </c>
      <c r="AC215" s="277">
        <v>0</v>
      </c>
      <c r="AD215" s="277">
        <v>0</v>
      </c>
      <c r="AF215" s="277">
        <v>0</v>
      </c>
      <c r="AG215" s="277">
        <v>0</v>
      </c>
      <c r="AH215" s="277">
        <v>0</v>
      </c>
      <c r="AI215" s="277">
        <v>-62</v>
      </c>
      <c r="AJ215" s="277">
        <v>0</v>
      </c>
      <c r="AK215" s="277">
        <v>0</v>
      </c>
      <c r="AL215" s="277">
        <v>0</v>
      </c>
      <c r="AM215" s="277">
        <v>47</v>
      </c>
      <c r="AN215" s="277">
        <v>0</v>
      </c>
      <c r="AO215" s="277">
        <v>0</v>
      </c>
      <c r="AP215" s="277">
        <v>0</v>
      </c>
      <c r="AQ215" s="277">
        <v>38</v>
      </c>
      <c r="AR215" s="277">
        <v>0</v>
      </c>
    </row>
    <row r="216" spans="3:44" ht="10.5" customHeight="1">
      <c r="C216" s="253" t="s">
        <v>964</v>
      </c>
      <c r="Q216" s="284">
        <f>SUM(Q217:Q223)</f>
        <v>3027</v>
      </c>
      <c r="R216" s="255">
        <f>SUM(R217:R223)</f>
        <v>540.81999030071165</v>
      </c>
      <c r="S216" s="255">
        <f>SUM(S217:S223)</f>
        <v>-133.02328573628392</v>
      </c>
      <c r="T216" s="255">
        <f>SUM(T217:T223)</f>
        <v>-57.255564216244466</v>
      </c>
      <c r="V216" s="255">
        <f t="shared" ref="V216:AD216" si="145">SUM(V217:V223)</f>
        <v>-721</v>
      </c>
      <c r="W216" s="255">
        <f t="shared" si="145"/>
        <v>-566</v>
      </c>
      <c r="X216" s="255">
        <f t="shared" si="145"/>
        <v>-867</v>
      </c>
      <c r="Y216" s="255">
        <f t="shared" si="145"/>
        <v>1217</v>
      </c>
      <c r="Z216" s="255">
        <f t="shared" si="145"/>
        <v>1041</v>
      </c>
      <c r="AA216" s="284">
        <f t="shared" si="145"/>
        <v>3377.541140348183</v>
      </c>
      <c r="AB216" s="255">
        <f t="shared" si="145"/>
        <v>-1216.1634107623056</v>
      </c>
      <c r="AC216" s="255">
        <f t="shared" si="145"/>
        <v>619.17223368473924</v>
      </c>
      <c r="AD216" s="255">
        <f t="shared" si="145"/>
        <v>475.56792106497892</v>
      </c>
      <c r="AF216" s="255">
        <f t="shared" ref="AF216:AQ216" si="146">SUM(AF217:AF223)</f>
        <v>0</v>
      </c>
      <c r="AG216" s="255">
        <f t="shared" si="146"/>
        <v>0</v>
      </c>
      <c r="AH216" s="255">
        <f t="shared" si="146"/>
        <v>0</v>
      </c>
      <c r="AI216" s="255">
        <f t="shared" si="146"/>
        <v>-867</v>
      </c>
      <c r="AJ216" s="255">
        <f t="shared" si="146"/>
        <v>0</v>
      </c>
      <c r="AK216" s="255">
        <f t="shared" si="146"/>
        <v>0</v>
      </c>
      <c r="AL216" s="255">
        <f t="shared" si="146"/>
        <v>0</v>
      </c>
      <c r="AM216" s="255">
        <f t="shared" si="146"/>
        <v>1217</v>
      </c>
      <c r="AN216" s="255">
        <f t="shared" si="146"/>
        <v>0</v>
      </c>
      <c r="AO216" s="255">
        <f t="shared" si="146"/>
        <v>0</v>
      </c>
      <c r="AP216" s="255">
        <f t="shared" si="146"/>
        <v>0</v>
      </c>
      <c r="AQ216" s="255">
        <f t="shared" si="146"/>
        <v>1041</v>
      </c>
      <c r="AR216" s="255">
        <f>SUM(AR217:AR223)</f>
        <v>0</v>
      </c>
    </row>
    <row r="217" spans="3:44" s="255" customFormat="1" ht="10.5" customHeight="1" outlineLevel="1">
      <c r="C217" s="652" t="s">
        <v>965</v>
      </c>
      <c r="D217" s="395"/>
      <c r="E217" s="395"/>
      <c r="F217" s="395"/>
      <c r="G217" s="395"/>
      <c r="H217" s="395"/>
      <c r="I217" s="395"/>
      <c r="J217" s="395"/>
      <c r="K217" s="395"/>
      <c r="L217" s="395"/>
      <c r="M217" s="395"/>
      <c r="N217" s="395"/>
      <c r="O217" s="395"/>
      <c r="P217" s="395"/>
      <c r="Q217" s="928">
        <f>P108-Q108</f>
        <v>-32</v>
      </c>
      <c r="R217" s="395">
        <f>Q108-R108</f>
        <v>-110.57232614413374</v>
      </c>
      <c r="S217" s="395">
        <f>R108-S108</f>
        <v>79.762122581467111</v>
      </c>
      <c r="T217" s="395">
        <f>S108-T108</f>
        <v>40.09527903939329</v>
      </c>
      <c r="V217" s="385">
        <v>-190</v>
      </c>
      <c r="W217" s="385">
        <v>222</v>
      </c>
      <c r="X217" s="395">
        <f t="shared" ref="X217:Z223" si="147">SUMIF($AF$6:$AQ$6,X$6,$AF217:$AQ217)</f>
        <v>73</v>
      </c>
      <c r="Y217" s="395">
        <f t="shared" si="147"/>
        <v>538</v>
      </c>
      <c r="Z217" s="395">
        <f t="shared" si="147"/>
        <v>-304</v>
      </c>
      <c r="AA217" s="928">
        <f t="shared" ref="AA217:AA224" si="148">+SUMIF($E$5:$T$5,AA$5,$E217:$T217)</f>
        <v>-22.714924523273339</v>
      </c>
      <c r="AB217" s="395">
        <f>AA108-AB108</f>
        <v>-115.42587360622974</v>
      </c>
      <c r="AC217" s="395">
        <f>AB108-AC108</f>
        <v>-86.727133470747503</v>
      </c>
      <c r="AD217" s="395">
        <f>AC108-AD108</f>
        <v>-15.110653297902218</v>
      </c>
      <c r="AE217" s="253"/>
      <c r="AF217" s="385">
        <v>0</v>
      </c>
      <c r="AG217" s="385">
        <v>0</v>
      </c>
      <c r="AH217" s="385">
        <v>0</v>
      </c>
      <c r="AI217" s="385">
        <v>73</v>
      </c>
      <c r="AJ217" s="385">
        <v>0</v>
      </c>
      <c r="AK217" s="385">
        <v>0</v>
      </c>
      <c r="AL217" s="385">
        <v>0</v>
      </c>
      <c r="AM217" s="385">
        <v>538</v>
      </c>
      <c r="AN217" s="385">
        <v>0</v>
      </c>
      <c r="AO217" s="385">
        <v>0</v>
      </c>
      <c r="AP217" s="385">
        <v>0</v>
      </c>
      <c r="AQ217" s="385">
        <v>-304</v>
      </c>
      <c r="AR217" s="385">
        <v>0</v>
      </c>
    </row>
    <row r="218" spans="3:44" s="255" customFormat="1" ht="10.5" customHeight="1" outlineLevel="1">
      <c r="C218" s="652" t="s">
        <v>1794</v>
      </c>
      <c r="D218" s="395"/>
      <c r="E218" s="928"/>
      <c r="F218" s="928"/>
      <c r="G218" s="928"/>
      <c r="H218" s="928"/>
      <c r="I218" s="928"/>
      <c r="J218" s="928"/>
      <c r="K218" s="928"/>
      <c r="L218" s="928"/>
      <c r="M218" s="928"/>
      <c r="N218" s="928"/>
      <c r="O218" s="928"/>
      <c r="P218" s="928"/>
      <c r="Q218" s="928">
        <f>P120-Q120+P109-Q109</f>
        <v>-73</v>
      </c>
      <c r="R218" s="395">
        <f>Q120-R120+Q109-R109</f>
        <v>-192.72435726725303</v>
      </c>
      <c r="S218" s="395">
        <f>R120-S120+R109-S109</f>
        <v>-40.900041773532848</v>
      </c>
      <c r="T218" s="395">
        <f>S120-T120+S109-T109</f>
        <v>16.673242816703805</v>
      </c>
      <c r="V218" s="385">
        <v>-433</v>
      </c>
      <c r="W218" s="385">
        <v>-390</v>
      </c>
      <c r="X218" s="395">
        <f t="shared" si="147"/>
        <v>-373</v>
      </c>
      <c r="Y218" s="395">
        <f t="shared" si="147"/>
        <v>-38</v>
      </c>
      <c r="Z218" s="395">
        <f t="shared" si="147"/>
        <v>-402</v>
      </c>
      <c r="AA218" s="928">
        <f t="shared" si="148"/>
        <v>-289.95115622408207</v>
      </c>
      <c r="AB218" s="395">
        <f>AA120-AB120+AA109-AB109</f>
        <v>55.018072837264071</v>
      </c>
      <c r="AC218" s="395">
        <f>AB120-AC120+AB109-AC109</f>
        <v>26.69666033323324</v>
      </c>
      <c r="AD218" s="395">
        <f>AC120-AD120+AC109-AD109</f>
        <v>-60.983414006458361</v>
      </c>
      <c r="AE218" s="253"/>
      <c r="AF218" s="385">
        <v>0</v>
      </c>
      <c r="AG218" s="385">
        <v>0</v>
      </c>
      <c r="AH218" s="385">
        <v>0</v>
      </c>
      <c r="AI218" s="385">
        <v>-373</v>
      </c>
      <c r="AJ218" s="385">
        <v>0</v>
      </c>
      <c r="AK218" s="385">
        <v>0</v>
      </c>
      <c r="AL218" s="385">
        <v>0</v>
      </c>
      <c r="AM218" s="385">
        <v>-38</v>
      </c>
      <c r="AN218" s="385">
        <v>0</v>
      </c>
      <c r="AO218" s="385">
        <v>0</v>
      </c>
      <c r="AP218" s="385">
        <v>0</v>
      </c>
      <c r="AQ218" s="385">
        <v>-402</v>
      </c>
      <c r="AR218" s="385">
        <v>0</v>
      </c>
    </row>
    <row r="219" spans="3:44" s="255" customFormat="1" ht="10.5" customHeight="1" outlineLevel="1">
      <c r="C219" s="652" t="s">
        <v>966</v>
      </c>
      <c r="D219" s="395"/>
      <c r="E219" s="395"/>
      <c r="F219" s="395"/>
      <c r="G219" s="395"/>
      <c r="H219" s="395"/>
      <c r="I219" s="395"/>
      <c r="J219" s="395"/>
      <c r="K219" s="395"/>
      <c r="L219" s="395"/>
      <c r="M219" s="395"/>
      <c r="N219" s="395"/>
      <c r="O219" s="395"/>
      <c r="P219" s="395"/>
      <c r="Q219" s="928">
        <f>Q123-P123+Q124-P124</f>
        <v>654</v>
      </c>
      <c r="R219" s="395">
        <f>R123-Q123+R124-Q124</f>
        <v>153.93424261267796</v>
      </c>
      <c r="S219" s="395">
        <f>S123-R123+S124-R124</f>
        <v>172.6798970465909</v>
      </c>
      <c r="T219" s="395">
        <f>T123-S123+T124-S124</f>
        <v>154.08521718786665</v>
      </c>
      <c r="V219" s="385">
        <v>299</v>
      </c>
      <c r="W219" s="385">
        <v>-147</v>
      </c>
      <c r="X219" s="395">
        <f t="shared" si="147"/>
        <v>327</v>
      </c>
      <c r="Y219" s="395">
        <f t="shared" si="147"/>
        <v>-626</v>
      </c>
      <c r="Z219" s="395">
        <f t="shared" si="147"/>
        <v>461</v>
      </c>
      <c r="AA219" s="928">
        <f t="shared" si="148"/>
        <v>1134.6993568471355</v>
      </c>
      <c r="AB219" s="395">
        <f>AB123-AA123+AB124-AA124</f>
        <v>35.407410018786095</v>
      </c>
      <c r="AC219" s="395">
        <f>AC123-AB123+AC124-AB124</f>
        <v>97.426247220460937</v>
      </c>
      <c r="AD219" s="395">
        <f>AD123-AC123+AD124-AC124</f>
        <v>37.413901530525891</v>
      </c>
      <c r="AE219" s="253"/>
      <c r="AF219" s="385">
        <v>0</v>
      </c>
      <c r="AG219" s="385">
        <v>0</v>
      </c>
      <c r="AH219" s="385">
        <v>0</v>
      </c>
      <c r="AI219" s="385">
        <v>327</v>
      </c>
      <c r="AJ219" s="385">
        <v>0</v>
      </c>
      <c r="AK219" s="385">
        <v>0</v>
      </c>
      <c r="AL219" s="385">
        <v>0</v>
      </c>
      <c r="AM219" s="385">
        <v>-626</v>
      </c>
      <c r="AN219" s="385">
        <v>0</v>
      </c>
      <c r="AO219" s="385">
        <v>0</v>
      </c>
      <c r="AP219" s="385">
        <v>0</v>
      </c>
      <c r="AQ219" s="385">
        <v>461</v>
      </c>
      <c r="AR219" s="385">
        <v>0</v>
      </c>
    </row>
    <row r="220" spans="3:44" s="255" customFormat="1" ht="10.5" customHeight="1" outlineLevel="1">
      <c r="C220" s="652" t="s">
        <v>952</v>
      </c>
      <c r="D220" s="395"/>
      <c r="E220" s="395"/>
      <c r="F220" s="928">
        <f t="shared" ref="F220:T220" si="149">F125-E125</f>
        <v>26</v>
      </c>
      <c r="G220" s="928">
        <f t="shared" si="149"/>
        <v>-387</v>
      </c>
      <c r="H220" s="928">
        <f t="shared" si="149"/>
        <v>-761</v>
      </c>
      <c r="I220" s="928">
        <f t="shared" si="149"/>
        <v>665</v>
      </c>
      <c r="J220" s="928">
        <f t="shared" si="149"/>
        <v>-354</v>
      </c>
      <c r="K220" s="928">
        <f t="shared" si="149"/>
        <v>-216</v>
      </c>
      <c r="L220" s="928">
        <f t="shared" si="149"/>
        <v>-146</v>
      </c>
      <c r="M220" s="928">
        <f t="shared" si="149"/>
        <v>841</v>
      </c>
      <c r="N220" s="928">
        <f t="shared" si="149"/>
        <v>1497</v>
      </c>
      <c r="O220" s="928">
        <f t="shared" si="149"/>
        <v>-645</v>
      </c>
      <c r="P220" s="928">
        <f t="shared" si="149"/>
        <v>-363</v>
      </c>
      <c r="Q220" s="928">
        <f t="shared" si="149"/>
        <v>2259</v>
      </c>
      <c r="R220" s="395">
        <f t="shared" si="149"/>
        <v>750</v>
      </c>
      <c r="S220" s="395">
        <f t="shared" si="149"/>
        <v>-500</v>
      </c>
      <c r="T220" s="395">
        <f t="shared" si="149"/>
        <v>-450</v>
      </c>
      <c r="V220" s="385">
        <v>65</v>
      </c>
      <c r="W220" s="385">
        <v>297</v>
      </c>
      <c r="X220" s="395">
        <f t="shared" si="147"/>
        <v>469</v>
      </c>
      <c r="Y220" s="395">
        <f t="shared" si="147"/>
        <v>-51</v>
      </c>
      <c r="Z220" s="395">
        <f t="shared" si="147"/>
        <v>1454</v>
      </c>
      <c r="AA220" s="928">
        <f t="shared" si="148"/>
        <v>2059</v>
      </c>
      <c r="AB220" s="395">
        <f>AB125-AA125</f>
        <v>-1500</v>
      </c>
      <c r="AC220" s="395">
        <f>AC125-AB125</f>
        <v>300</v>
      </c>
      <c r="AD220" s="395">
        <f>AD125-AC125</f>
        <v>300</v>
      </c>
      <c r="AE220" s="253"/>
      <c r="AF220" s="385">
        <v>0</v>
      </c>
      <c r="AG220" s="385">
        <v>0</v>
      </c>
      <c r="AH220" s="385">
        <v>0</v>
      </c>
      <c r="AI220" s="385">
        <v>469</v>
      </c>
      <c r="AJ220" s="385">
        <v>0</v>
      </c>
      <c r="AK220" s="385">
        <v>0</v>
      </c>
      <c r="AL220" s="385">
        <v>0</v>
      </c>
      <c r="AM220" s="385">
        <v>-51</v>
      </c>
      <c r="AN220" s="385">
        <v>0</v>
      </c>
      <c r="AO220" s="385">
        <v>0</v>
      </c>
      <c r="AP220" s="385">
        <v>0</v>
      </c>
      <c r="AQ220" s="385">
        <v>1454</v>
      </c>
      <c r="AR220" s="385">
        <v>0</v>
      </c>
    </row>
    <row r="221" spans="3:44" s="255" customFormat="1" ht="10.5" customHeight="1" outlineLevel="1">
      <c r="C221" s="652" t="s">
        <v>950</v>
      </c>
      <c r="D221" s="395"/>
      <c r="E221" s="928"/>
      <c r="F221" s="928">
        <f t="shared" ref="F221:Q221" si="150">F139-E139</f>
        <v>-9</v>
      </c>
      <c r="G221" s="928">
        <f t="shared" si="150"/>
        <v>-37</v>
      </c>
      <c r="H221" s="928">
        <f t="shared" si="150"/>
        <v>93</v>
      </c>
      <c r="I221" s="928">
        <f t="shared" si="150"/>
        <v>236</v>
      </c>
      <c r="J221" s="928">
        <f t="shared" si="150"/>
        <v>111</v>
      </c>
      <c r="K221" s="928">
        <f t="shared" si="150"/>
        <v>132</v>
      </c>
      <c r="L221" s="928">
        <f t="shared" si="150"/>
        <v>101</v>
      </c>
      <c r="M221" s="928">
        <f t="shared" si="150"/>
        <v>183</v>
      </c>
      <c r="N221" s="928">
        <f t="shared" si="150"/>
        <v>-72</v>
      </c>
      <c r="O221" s="928">
        <f t="shared" si="150"/>
        <v>-111</v>
      </c>
      <c r="P221" s="928">
        <f t="shared" si="150"/>
        <v>-60</v>
      </c>
      <c r="Q221" s="928">
        <f t="shared" si="150"/>
        <v>169</v>
      </c>
      <c r="R221" s="395">
        <f>R198</f>
        <v>-85</v>
      </c>
      <c r="S221" s="395">
        <f>S198</f>
        <v>150</v>
      </c>
      <c r="T221" s="395">
        <f>T198</f>
        <v>150</v>
      </c>
      <c r="V221" s="385">
        <v>-308</v>
      </c>
      <c r="W221" s="385">
        <v>-283</v>
      </c>
      <c r="X221" s="395">
        <f t="shared" si="147"/>
        <v>76</v>
      </c>
      <c r="Y221" s="395">
        <f t="shared" si="147"/>
        <v>580</v>
      </c>
      <c r="Z221" s="395">
        <f t="shared" si="147"/>
        <v>-60</v>
      </c>
      <c r="AA221" s="928">
        <f t="shared" si="148"/>
        <v>384</v>
      </c>
      <c r="AB221" s="395">
        <f>AB139-AA139</f>
        <v>200</v>
      </c>
      <c r="AC221" s="395">
        <f>AC139-AB139</f>
        <v>200</v>
      </c>
      <c r="AD221" s="395">
        <f>AD139-AC139</f>
        <v>200</v>
      </c>
      <c r="AE221" s="253"/>
      <c r="AF221" s="385">
        <v>0</v>
      </c>
      <c r="AG221" s="385">
        <v>0</v>
      </c>
      <c r="AH221" s="385">
        <v>0</v>
      </c>
      <c r="AI221" s="385">
        <v>76</v>
      </c>
      <c r="AJ221" s="385">
        <v>0</v>
      </c>
      <c r="AK221" s="385">
        <v>0</v>
      </c>
      <c r="AL221" s="385">
        <v>0</v>
      </c>
      <c r="AM221" s="385">
        <v>580</v>
      </c>
      <c r="AN221" s="385">
        <v>0</v>
      </c>
      <c r="AO221" s="385">
        <v>0</v>
      </c>
      <c r="AP221" s="385">
        <v>0</v>
      </c>
      <c r="AQ221" s="385">
        <v>-60</v>
      </c>
      <c r="AR221" s="385">
        <v>0</v>
      </c>
    </row>
    <row r="222" spans="3:44" s="255" customFormat="1" ht="10.5" customHeight="1" outlineLevel="1">
      <c r="C222" s="652" t="s">
        <v>967</v>
      </c>
      <c r="D222" s="395"/>
      <c r="E222" s="395"/>
      <c r="F222" s="395"/>
      <c r="G222" s="395"/>
      <c r="H222" s="395"/>
      <c r="I222" s="395"/>
      <c r="J222" s="395"/>
      <c r="K222" s="395"/>
      <c r="L222" s="395"/>
      <c r="M222" s="395"/>
      <c r="N222" s="395"/>
      <c r="O222" s="395"/>
      <c r="P222" s="395"/>
      <c r="Q222" s="928">
        <v>0</v>
      </c>
      <c r="R222" s="385">
        <v>0</v>
      </c>
      <c r="S222" s="385">
        <v>0</v>
      </c>
      <c r="T222" s="385">
        <v>0</v>
      </c>
      <c r="V222" s="385">
        <v>-286</v>
      </c>
      <c r="W222" s="385">
        <v>-475</v>
      </c>
      <c r="X222" s="395">
        <f t="shared" si="147"/>
        <v>-1230</v>
      </c>
      <c r="Y222" s="395">
        <f t="shared" si="147"/>
        <v>-9</v>
      </c>
      <c r="Z222" s="395">
        <f t="shared" si="147"/>
        <v>-247</v>
      </c>
      <c r="AA222" s="928">
        <f t="shared" si="148"/>
        <v>0</v>
      </c>
      <c r="AB222" s="385">
        <v>0</v>
      </c>
      <c r="AC222" s="385">
        <v>0</v>
      </c>
      <c r="AD222" s="385">
        <v>0</v>
      </c>
      <c r="AE222" s="253"/>
      <c r="AF222" s="385">
        <v>0</v>
      </c>
      <c r="AG222" s="385">
        <v>0</v>
      </c>
      <c r="AH222" s="385">
        <v>0</v>
      </c>
      <c r="AI222" s="385">
        <v>-1230</v>
      </c>
      <c r="AJ222" s="385">
        <v>0</v>
      </c>
      <c r="AK222" s="385">
        <v>0</v>
      </c>
      <c r="AL222" s="385">
        <v>0</v>
      </c>
      <c r="AM222" s="385">
        <v>-9</v>
      </c>
      <c r="AN222" s="385">
        <v>0</v>
      </c>
      <c r="AO222" s="385">
        <v>0</v>
      </c>
      <c r="AP222" s="385">
        <v>0</v>
      </c>
      <c r="AQ222" s="385">
        <v>-247</v>
      </c>
      <c r="AR222" s="385">
        <v>0</v>
      </c>
    </row>
    <row r="223" spans="3:44" s="255" customFormat="1" ht="10.5" customHeight="1" outlineLevel="1">
      <c r="C223" s="652" t="s">
        <v>951</v>
      </c>
      <c r="D223" s="395"/>
      <c r="E223" s="395"/>
      <c r="F223" s="395"/>
      <c r="G223" s="395"/>
      <c r="H223" s="395"/>
      <c r="I223" s="395"/>
      <c r="J223" s="395"/>
      <c r="K223" s="395"/>
      <c r="L223" s="395"/>
      <c r="M223" s="395"/>
      <c r="N223" s="395"/>
      <c r="O223" s="395"/>
      <c r="P223" s="395"/>
      <c r="Q223" s="928">
        <f>Q142-P142</f>
        <v>50</v>
      </c>
      <c r="R223" s="395">
        <f>R142-Q142</f>
        <v>25.182431099420455</v>
      </c>
      <c r="S223" s="395">
        <f>S142-R142</f>
        <v>5.4347364091909185</v>
      </c>
      <c r="T223" s="395">
        <f>T142-S142</f>
        <v>31.890696739791792</v>
      </c>
      <c r="V223" s="385">
        <v>132</v>
      </c>
      <c r="W223" s="385">
        <v>210</v>
      </c>
      <c r="X223" s="395">
        <f t="shared" si="147"/>
        <v>-209</v>
      </c>
      <c r="Y223" s="395">
        <f t="shared" si="147"/>
        <v>823</v>
      </c>
      <c r="Z223" s="395">
        <f t="shared" si="147"/>
        <v>139</v>
      </c>
      <c r="AA223" s="928">
        <f t="shared" si="148"/>
        <v>112.50786424840317</v>
      </c>
      <c r="AB223" s="395">
        <f>AB142-AA142</f>
        <v>108.83697998787397</v>
      </c>
      <c r="AC223" s="395">
        <f>AC142-AB142</f>
        <v>81.776459601792567</v>
      </c>
      <c r="AD223" s="395">
        <f>AD142-AC142</f>
        <v>14.248086838813606</v>
      </c>
      <c r="AE223" s="253"/>
      <c r="AF223" s="385">
        <v>0</v>
      </c>
      <c r="AG223" s="385">
        <v>0</v>
      </c>
      <c r="AH223" s="385">
        <v>0</v>
      </c>
      <c r="AI223" s="385">
        <v>-209</v>
      </c>
      <c r="AJ223" s="385">
        <v>0</v>
      </c>
      <c r="AK223" s="385">
        <v>0</v>
      </c>
      <c r="AL223" s="385">
        <v>0</v>
      </c>
      <c r="AM223" s="385">
        <v>823</v>
      </c>
      <c r="AN223" s="385">
        <v>0</v>
      </c>
      <c r="AO223" s="385">
        <v>0</v>
      </c>
      <c r="AP223" s="385">
        <v>0</v>
      </c>
      <c r="AQ223" s="385">
        <v>139</v>
      </c>
      <c r="AR223" s="385">
        <v>0</v>
      </c>
    </row>
    <row r="224" spans="3:44" ht="10.5" customHeight="1">
      <c r="C224" s="289" t="s">
        <v>339</v>
      </c>
      <c r="E224" s="358">
        <f>AF224</f>
        <v>1651</v>
      </c>
      <c r="F224" s="358">
        <f>AG224-AF224</f>
        <v>736</v>
      </c>
      <c r="G224" s="358">
        <f>AH224-AG224</f>
        <v>828</v>
      </c>
      <c r="H224" s="358">
        <f>AI224-AH224</f>
        <v>600</v>
      </c>
      <c r="I224" s="358">
        <f>AJ224</f>
        <v>-168</v>
      </c>
      <c r="J224" s="358">
        <f>AK224-AJ224</f>
        <v>-908</v>
      </c>
      <c r="K224" s="358">
        <f>AL224-AK224</f>
        <v>-2604</v>
      </c>
      <c r="L224" s="358">
        <f>AM224-AL224</f>
        <v>-2863</v>
      </c>
      <c r="M224" s="358">
        <f>AN224</f>
        <v>174</v>
      </c>
      <c r="N224" s="358">
        <f>AO224-AN224</f>
        <v>3470</v>
      </c>
      <c r="O224" s="358">
        <f>AP224-AO224</f>
        <v>-1740</v>
      </c>
      <c r="P224" s="358">
        <f>AQ224-AP224</f>
        <v>-1200</v>
      </c>
      <c r="Q224" s="358">
        <f>AR224</f>
        <v>1185</v>
      </c>
      <c r="R224" s="357">
        <f ca="1">SUM(R208:R216)</f>
        <v>588.27816984838978</v>
      </c>
      <c r="S224" s="357">
        <f ca="1">SUM(S208:S216)</f>
        <v>192.48270612380418</v>
      </c>
      <c r="T224" s="357">
        <f ca="1">SUM(T208:T216)</f>
        <v>152.60951481403276</v>
      </c>
      <c r="V224" s="357">
        <f t="shared" ref="V224:AD224" si="151">SUM(V208:V216)</f>
        <v>4744</v>
      </c>
      <c r="W224" s="357">
        <f t="shared" si="151"/>
        <v>3533</v>
      </c>
      <c r="X224" s="357">
        <f t="shared" si="151"/>
        <v>3815</v>
      </c>
      <c r="Y224" s="357">
        <f t="shared" si="151"/>
        <v>-6543</v>
      </c>
      <c r="Z224" s="357">
        <f t="shared" si="151"/>
        <v>704</v>
      </c>
      <c r="AA224" s="357">
        <f t="shared" ca="1" si="148"/>
        <v>2118.3703907862264</v>
      </c>
      <c r="AB224" s="357">
        <f t="shared" ca="1" si="151"/>
        <v>2163.295231323993</v>
      </c>
      <c r="AC224" s="357">
        <f t="shared" ca="1" si="151"/>
        <v>5967.7269122341113</v>
      </c>
      <c r="AD224" s="357">
        <f t="shared" ca="1" si="151"/>
        <v>6663.8189162389745</v>
      </c>
      <c r="AF224" s="382">
        <v>1651</v>
      </c>
      <c r="AG224" s="382">
        <v>2387</v>
      </c>
      <c r="AH224" s="382">
        <v>3215</v>
      </c>
      <c r="AI224" s="357">
        <f>SUM(AI208:AI216)</f>
        <v>3815</v>
      </c>
      <c r="AJ224" s="382">
        <v>-168</v>
      </c>
      <c r="AK224" s="382">
        <v>-1076</v>
      </c>
      <c r="AL224" s="382">
        <v>-3680</v>
      </c>
      <c r="AM224" s="357">
        <f>SUM(AM208:AM216)</f>
        <v>-6543</v>
      </c>
      <c r="AN224" s="382">
        <v>174</v>
      </c>
      <c r="AO224" s="382">
        <v>3644</v>
      </c>
      <c r="AP224" s="382">
        <v>1904</v>
      </c>
      <c r="AQ224" s="357">
        <f>SUM(AQ208:AQ216)</f>
        <v>704</v>
      </c>
      <c r="AR224" s="382">
        <v>1185</v>
      </c>
    </row>
    <row r="225" spans="2:44" ht="10.5" customHeight="1">
      <c r="B225" s="279"/>
      <c r="C225" s="279"/>
      <c r="E225" s="255"/>
      <c r="F225" s="255"/>
      <c r="G225" s="255"/>
      <c r="H225" s="255"/>
      <c r="I225" s="255"/>
      <c r="J225" s="255"/>
      <c r="K225" s="255"/>
      <c r="L225" s="255"/>
      <c r="M225" s="255"/>
      <c r="N225" s="255"/>
      <c r="O225" s="255"/>
      <c r="P225" s="255"/>
      <c r="Q225" s="255"/>
      <c r="R225" s="255"/>
      <c r="S225" s="255"/>
      <c r="T225" s="255"/>
      <c r="V225" s="255"/>
      <c r="W225" s="255"/>
      <c r="X225" s="254"/>
      <c r="Y225" s="254"/>
      <c r="Z225" s="254"/>
      <c r="AB225" s="255"/>
      <c r="AC225" s="255"/>
      <c r="AD225" s="255"/>
      <c r="AF225" s="255"/>
      <c r="AG225" s="255"/>
      <c r="AH225" s="255"/>
      <c r="AI225" s="255"/>
      <c r="AJ225" s="255"/>
      <c r="AK225" s="255"/>
      <c r="AL225" s="255"/>
      <c r="AM225" s="255"/>
      <c r="AN225" s="255"/>
      <c r="AO225" s="255"/>
      <c r="AP225" s="255"/>
      <c r="AQ225" s="255"/>
      <c r="AR225" s="255"/>
    </row>
    <row r="226" spans="2:44" ht="10.5" customHeight="1">
      <c r="C226" s="381" t="s">
        <v>968</v>
      </c>
      <c r="E226" s="255">
        <f>AF226</f>
        <v>-1305</v>
      </c>
      <c r="F226" s="255">
        <f t="shared" ref="F226:H236" si="152">AG226-AF226</f>
        <v>-1018</v>
      </c>
      <c r="G226" s="255">
        <f t="shared" si="152"/>
        <v>-806</v>
      </c>
      <c r="H226" s="255">
        <f t="shared" si="152"/>
        <v>-1237</v>
      </c>
      <c r="I226" s="255">
        <f>AJ226</f>
        <v>-845</v>
      </c>
      <c r="J226" s="255">
        <f t="shared" ref="J226:L236" si="153">AK226-AJ226</f>
        <v>-388</v>
      </c>
      <c r="K226" s="255">
        <f t="shared" si="153"/>
        <v>-577</v>
      </c>
      <c r="L226" s="255">
        <f t="shared" si="153"/>
        <v>-321</v>
      </c>
      <c r="M226" s="255">
        <f>AN226</f>
        <v>19</v>
      </c>
      <c r="N226" s="255">
        <f t="shared" ref="N226:P236" si="154">AO226-AN226</f>
        <v>99</v>
      </c>
      <c r="O226" s="255">
        <f t="shared" si="154"/>
        <v>-143</v>
      </c>
      <c r="P226" s="255">
        <f t="shared" si="154"/>
        <v>-387</v>
      </c>
      <c r="Q226" s="255">
        <f>AR226</f>
        <v>-807</v>
      </c>
      <c r="R226" s="254">
        <f>-R170-R171</f>
        <v>-926.35609278013726</v>
      </c>
      <c r="S226" s="254">
        <f t="shared" ref="S226:T226" si="155">-S170-S171</f>
        <v>-837.56680823260376</v>
      </c>
      <c r="T226" s="254">
        <f t="shared" si="155"/>
        <v>-1018.0770989872591</v>
      </c>
      <c r="V226" s="277">
        <v>-5971</v>
      </c>
      <c r="W226" s="277">
        <v>-3745</v>
      </c>
      <c r="X226" s="255">
        <f>SUMIF($AF$6:$AQ$6,X$6,$AF226:$AQ226)</f>
        <v>-4366</v>
      </c>
      <c r="Y226" s="255">
        <f>SUMIF($AF$6:$AQ$6,Y$6,$AF226:$AQ226)</f>
        <v>-2131</v>
      </c>
      <c r="Z226" s="255">
        <f>SUMIF($AF$6:$AQ$6,Z$6,$AF226:$AQ226)</f>
        <v>-412</v>
      </c>
      <c r="AA226" s="254">
        <f>+SUMIF($E$5:$T$5,AA$5,$E226:$T226)</f>
        <v>-3589</v>
      </c>
      <c r="AB226" s="254">
        <f t="shared" ref="AB226:AD226" si="156">-AB170-AB171</f>
        <v>-4056</v>
      </c>
      <c r="AC226" s="254">
        <f t="shared" si="156"/>
        <v>-4694</v>
      </c>
      <c r="AD226" s="254">
        <f t="shared" si="156"/>
        <v>-4694</v>
      </c>
      <c r="AF226" s="277">
        <v>-1305</v>
      </c>
      <c r="AG226" s="277">
        <v>-2323</v>
      </c>
      <c r="AH226" s="277">
        <v>-3129</v>
      </c>
      <c r="AI226" s="277">
        <v>-4366</v>
      </c>
      <c r="AJ226" s="277">
        <v>-845</v>
      </c>
      <c r="AK226" s="277">
        <v>-1233</v>
      </c>
      <c r="AL226" s="277">
        <v>-1810</v>
      </c>
      <c r="AM226" s="277">
        <v>-2131</v>
      </c>
      <c r="AN226" s="277">
        <v>19</v>
      </c>
      <c r="AO226" s="277">
        <v>118</v>
      </c>
      <c r="AP226" s="277">
        <v>-25</v>
      </c>
      <c r="AQ226" s="277">
        <v>-412</v>
      </c>
      <c r="AR226" s="277">
        <v>-807</v>
      </c>
    </row>
    <row r="227" spans="2:44" ht="10.5" customHeight="1">
      <c r="C227" s="381" t="s">
        <v>969</v>
      </c>
      <c r="E227" s="255">
        <f t="shared" ref="E227:T227" si="157">SUM(E228:E236)</f>
        <v>825</v>
      </c>
      <c r="F227" s="255">
        <f t="shared" si="157"/>
        <v>-915</v>
      </c>
      <c r="G227" s="255">
        <f t="shared" si="157"/>
        <v>337</v>
      </c>
      <c r="H227" s="255">
        <f t="shared" si="157"/>
        <v>1876</v>
      </c>
      <c r="I227" s="255">
        <f t="shared" si="157"/>
        <v>683</v>
      </c>
      <c r="J227" s="255">
        <f t="shared" si="157"/>
        <v>-6411</v>
      </c>
      <c r="K227" s="255">
        <f t="shared" si="157"/>
        <v>1500</v>
      </c>
      <c r="L227" s="255">
        <f t="shared" si="157"/>
        <v>2017</v>
      </c>
      <c r="M227" s="255">
        <f t="shared" si="157"/>
        <v>-7171</v>
      </c>
      <c r="N227" s="255">
        <f t="shared" si="157"/>
        <v>-3983</v>
      </c>
      <c r="O227" s="255">
        <f t="shared" si="157"/>
        <v>3458</v>
      </c>
      <c r="P227" s="255">
        <f t="shared" si="157"/>
        <v>2125</v>
      </c>
      <c r="Q227" s="255">
        <f t="shared" si="157"/>
        <v>36</v>
      </c>
      <c r="R227" s="255">
        <f t="shared" ca="1" si="157"/>
        <v>567.86933015161821</v>
      </c>
      <c r="S227" s="255">
        <f t="shared" ca="1" si="157"/>
        <v>556.66479387619188</v>
      </c>
      <c r="T227" s="255">
        <f t="shared" ca="1" si="157"/>
        <v>596.53798518596523</v>
      </c>
      <c r="V227" s="255">
        <f t="shared" ref="V227:AD227" si="158">SUM(V228:V236)</f>
        <v>2335</v>
      </c>
      <c r="W227" s="255">
        <f t="shared" si="158"/>
        <v>1772</v>
      </c>
      <c r="X227" s="255">
        <f t="shared" si="158"/>
        <v>2123</v>
      </c>
      <c r="Y227" s="255">
        <f t="shared" si="158"/>
        <v>-2211</v>
      </c>
      <c r="Z227" s="255">
        <f t="shared" si="158"/>
        <v>-5571</v>
      </c>
      <c r="AA227" s="255">
        <f t="shared" ca="1" si="158"/>
        <v>1757.0721092137753</v>
      </c>
      <c r="AB227" s="255">
        <f t="shared" ca="1" si="158"/>
        <v>2872.1347686760141</v>
      </c>
      <c r="AC227" s="255">
        <f t="shared" ca="1" si="158"/>
        <v>-1766.6569122341198</v>
      </c>
      <c r="AD227" s="255">
        <f t="shared" ca="1" si="158"/>
        <v>2350.2885837610306</v>
      </c>
      <c r="AF227" s="255">
        <f t="shared" ref="AF227:AR227" si="159">SUM(AF228:AF236)</f>
        <v>825</v>
      </c>
      <c r="AG227" s="255">
        <f t="shared" si="159"/>
        <v>-90</v>
      </c>
      <c r="AH227" s="255">
        <f t="shared" si="159"/>
        <v>247</v>
      </c>
      <c r="AI227" s="255">
        <f t="shared" si="159"/>
        <v>2123</v>
      </c>
      <c r="AJ227" s="255">
        <f t="shared" si="159"/>
        <v>683</v>
      </c>
      <c r="AK227" s="255">
        <f t="shared" si="159"/>
        <v>-5728</v>
      </c>
      <c r="AL227" s="255">
        <f t="shared" si="159"/>
        <v>-4228</v>
      </c>
      <c r="AM227" s="255">
        <f t="shared" si="159"/>
        <v>-2211</v>
      </c>
      <c r="AN227" s="255">
        <f t="shared" si="159"/>
        <v>-7171</v>
      </c>
      <c r="AO227" s="255">
        <f t="shared" si="159"/>
        <v>-11154</v>
      </c>
      <c r="AP227" s="255">
        <f t="shared" si="159"/>
        <v>-7696</v>
      </c>
      <c r="AQ227" s="255">
        <f t="shared" si="159"/>
        <v>-5571</v>
      </c>
      <c r="AR227" s="255">
        <f t="shared" si="159"/>
        <v>36</v>
      </c>
    </row>
    <row r="228" spans="2:44" ht="10.5" customHeight="1" outlineLevel="1">
      <c r="C228" s="418" t="s">
        <v>970</v>
      </c>
      <c r="D228" s="390"/>
      <c r="E228" s="395">
        <f t="shared" ref="E228:E236" si="160">AF228</f>
        <v>352</v>
      </c>
      <c r="F228" s="395">
        <f t="shared" si="152"/>
        <v>166</v>
      </c>
      <c r="G228" s="395">
        <f t="shared" si="152"/>
        <v>111</v>
      </c>
      <c r="H228" s="395">
        <f t="shared" si="152"/>
        <v>221</v>
      </c>
      <c r="I228" s="395">
        <f t="shared" ref="I228:I236" si="161">AJ228</f>
        <v>35</v>
      </c>
      <c r="J228" s="395">
        <f t="shared" si="153"/>
        <v>341</v>
      </c>
      <c r="K228" s="395">
        <f t="shared" si="153"/>
        <v>57</v>
      </c>
      <c r="L228" s="395">
        <f t="shared" si="153"/>
        <v>232</v>
      </c>
      <c r="M228" s="395">
        <f t="shared" ref="M228:M236" si="162">AN228</f>
        <v>108</v>
      </c>
      <c r="N228" s="395">
        <f t="shared" si="154"/>
        <v>55</v>
      </c>
      <c r="O228" s="395">
        <f t="shared" si="154"/>
        <v>5</v>
      </c>
      <c r="P228" s="395">
        <f t="shared" si="154"/>
        <v>13</v>
      </c>
      <c r="Q228" s="395">
        <f t="shared" ref="Q228:Q236" si="163">AR228</f>
        <v>8</v>
      </c>
      <c r="R228" s="385">
        <v>0</v>
      </c>
      <c r="S228" s="385">
        <v>0</v>
      </c>
      <c r="T228" s="385">
        <v>0</v>
      </c>
      <c r="V228" s="385">
        <v>947</v>
      </c>
      <c r="W228" s="385">
        <v>1207</v>
      </c>
      <c r="X228" s="395">
        <f t="shared" ref="X228:Z236" si="164">SUMIF($AF$6:$AQ$6,X$6,$AF228:$AQ228)</f>
        <v>850</v>
      </c>
      <c r="Y228" s="395">
        <f t="shared" si="164"/>
        <v>665</v>
      </c>
      <c r="Z228" s="395">
        <f t="shared" si="164"/>
        <v>181</v>
      </c>
      <c r="AA228" s="641">
        <f t="shared" ref="AA228:AA236" si="165">+SUMIF($E$5:$T$5,AA$5,$E228:$T228)</f>
        <v>8</v>
      </c>
      <c r="AB228" s="385">
        <v>0</v>
      </c>
      <c r="AC228" s="385">
        <v>0</v>
      </c>
      <c r="AD228" s="385">
        <v>0</v>
      </c>
      <c r="AF228" s="385">
        <v>352</v>
      </c>
      <c r="AG228" s="385">
        <v>518</v>
      </c>
      <c r="AH228" s="385">
        <v>629</v>
      </c>
      <c r="AI228" s="385">
        <v>850</v>
      </c>
      <c r="AJ228" s="385">
        <v>35</v>
      </c>
      <c r="AK228" s="385">
        <v>376</v>
      </c>
      <c r="AL228" s="385">
        <v>433</v>
      </c>
      <c r="AM228" s="385">
        <v>665</v>
      </c>
      <c r="AN228" s="385">
        <v>108</v>
      </c>
      <c r="AO228" s="385">
        <v>163</v>
      </c>
      <c r="AP228" s="385">
        <v>168</v>
      </c>
      <c r="AQ228" s="385">
        <v>181</v>
      </c>
      <c r="AR228" s="385">
        <v>8</v>
      </c>
    </row>
    <row r="229" spans="2:44" ht="10.5" customHeight="1" outlineLevel="1">
      <c r="C229" s="418" t="s">
        <v>616</v>
      </c>
      <c r="D229" s="390"/>
      <c r="E229" s="395">
        <f t="shared" si="160"/>
        <v>7</v>
      </c>
      <c r="F229" s="395">
        <f t="shared" si="152"/>
        <v>12</v>
      </c>
      <c r="G229" s="395">
        <f t="shared" si="152"/>
        <v>23</v>
      </c>
      <c r="H229" s="395">
        <f t="shared" si="152"/>
        <v>12</v>
      </c>
      <c r="I229" s="395">
        <f t="shared" si="161"/>
        <v>280</v>
      </c>
      <c r="J229" s="395">
        <f t="shared" si="153"/>
        <v>-132</v>
      </c>
      <c r="K229" s="395">
        <f t="shared" si="153"/>
        <v>103</v>
      </c>
      <c r="L229" s="395">
        <f t="shared" si="153"/>
        <v>100</v>
      </c>
      <c r="M229" s="395">
        <f t="shared" si="162"/>
        <v>99</v>
      </c>
      <c r="N229" s="395">
        <f t="shared" si="154"/>
        <v>62</v>
      </c>
      <c r="O229" s="395">
        <f t="shared" si="154"/>
        <v>20</v>
      </c>
      <c r="P229" s="395">
        <f t="shared" si="154"/>
        <v>12</v>
      </c>
      <c r="Q229" s="395">
        <f t="shared" si="163"/>
        <v>0</v>
      </c>
      <c r="R229" s="385">
        <v>0</v>
      </c>
      <c r="S229" s="385">
        <v>0</v>
      </c>
      <c r="T229" s="385">
        <v>0</v>
      </c>
      <c r="V229" s="385">
        <v>0</v>
      </c>
      <c r="W229" s="385">
        <v>0</v>
      </c>
      <c r="X229" s="395">
        <f t="shared" si="164"/>
        <v>54</v>
      </c>
      <c r="Y229" s="395">
        <f t="shared" si="164"/>
        <v>351</v>
      </c>
      <c r="Z229" s="395">
        <f t="shared" si="164"/>
        <v>193</v>
      </c>
      <c r="AA229" s="641">
        <f t="shared" si="165"/>
        <v>0</v>
      </c>
      <c r="AB229" s="385">
        <v>0</v>
      </c>
      <c r="AC229" s="385">
        <v>0</v>
      </c>
      <c r="AD229" s="385">
        <v>0</v>
      </c>
      <c r="AF229" s="385">
        <v>7</v>
      </c>
      <c r="AG229" s="385">
        <v>19</v>
      </c>
      <c r="AH229" s="385">
        <v>42</v>
      </c>
      <c r="AI229" s="385">
        <v>54</v>
      </c>
      <c r="AJ229" s="385">
        <v>280</v>
      </c>
      <c r="AK229" s="385">
        <v>148</v>
      </c>
      <c r="AL229" s="385">
        <v>251</v>
      </c>
      <c r="AM229" s="385">
        <v>351</v>
      </c>
      <c r="AN229" s="385">
        <v>99</v>
      </c>
      <c r="AO229" s="385">
        <v>161</v>
      </c>
      <c r="AP229" s="385">
        <v>181</v>
      </c>
      <c r="AQ229" s="385">
        <v>193</v>
      </c>
      <c r="AR229" s="385">
        <v>0</v>
      </c>
    </row>
    <row r="230" spans="2:44" ht="10.5" customHeight="1" outlineLevel="1">
      <c r="C230" s="418" t="s">
        <v>971</v>
      </c>
      <c r="D230" s="390"/>
      <c r="E230" s="395">
        <f t="shared" si="160"/>
        <v>-570</v>
      </c>
      <c r="F230" s="395">
        <f t="shared" si="152"/>
        <v>-1631</v>
      </c>
      <c r="G230" s="395">
        <f t="shared" si="152"/>
        <v>-677</v>
      </c>
      <c r="H230" s="395">
        <f t="shared" si="152"/>
        <v>-306</v>
      </c>
      <c r="I230" s="395">
        <f t="shared" si="161"/>
        <v>-820</v>
      </c>
      <c r="J230" s="395">
        <f t="shared" si="153"/>
        <v>-7116</v>
      </c>
      <c r="K230" s="395">
        <f t="shared" si="153"/>
        <v>850</v>
      </c>
      <c r="L230" s="395">
        <f t="shared" si="153"/>
        <v>1213</v>
      </c>
      <c r="M230" s="395">
        <f t="shared" si="162"/>
        <v>-8557</v>
      </c>
      <c r="N230" s="395">
        <f t="shared" si="154"/>
        <v>-5283</v>
      </c>
      <c r="O230" s="395">
        <f t="shared" si="154"/>
        <v>-1319</v>
      </c>
      <c r="P230" s="395">
        <f t="shared" si="154"/>
        <v>-4295</v>
      </c>
      <c r="Q230" s="395">
        <f t="shared" si="163"/>
        <v>-7035</v>
      </c>
      <c r="R230" s="385">
        <v>0</v>
      </c>
      <c r="S230" s="385">
        <v>0</v>
      </c>
      <c r="T230" s="385">
        <v>0</v>
      </c>
      <c r="V230" s="385">
        <v>-4633</v>
      </c>
      <c r="W230" s="385">
        <v>-3412</v>
      </c>
      <c r="X230" s="395">
        <f t="shared" si="164"/>
        <v>-3184</v>
      </c>
      <c r="Y230" s="395">
        <f t="shared" si="164"/>
        <v>-5873</v>
      </c>
      <c r="Z230" s="395">
        <f t="shared" si="164"/>
        <v>-19454</v>
      </c>
      <c r="AA230" s="641">
        <f t="shared" si="165"/>
        <v>-7035</v>
      </c>
      <c r="AB230" s="385">
        <v>0</v>
      </c>
      <c r="AC230" s="385">
        <v>0</v>
      </c>
      <c r="AD230" s="385">
        <v>0</v>
      </c>
      <c r="AF230" s="385">
        <v>-570</v>
      </c>
      <c r="AG230" s="385">
        <v>-2201</v>
      </c>
      <c r="AH230" s="385">
        <v>-2878</v>
      </c>
      <c r="AI230" s="385">
        <v>-3184</v>
      </c>
      <c r="AJ230" s="385">
        <v>-820</v>
      </c>
      <c r="AK230" s="385">
        <v>-7936</v>
      </c>
      <c r="AL230" s="385">
        <v>-7086</v>
      </c>
      <c r="AM230" s="385">
        <v>-5873</v>
      </c>
      <c r="AN230" s="385">
        <v>-8557</v>
      </c>
      <c r="AO230" s="385">
        <v>-13840</v>
      </c>
      <c r="AP230" s="385">
        <v>-15159</v>
      </c>
      <c r="AQ230" s="385">
        <v>-19454</v>
      </c>
      <c r="AR230" s="385">
        <v>-7035</v>
      </c>
    </row>
    <row r="231" spans="2:44" ht="10.5" customHeight="1" outlineLevel="1">
      <c r="C231" s="418" t="s">
        <v>972</v>
      </c>
      <c r="D231" s="390"/>
      <c r="E231" s="395">
        <f t="shared" si="160"/>
        <v>1051</v>
      </c>
      <c r="F231" s="395">
        <f t="shared" si="152"/>
        <v>560</v>
      </c>
      <c r="G231" s="395">
        <f t="shared" si="152"/>
        <v>913</v>
      </c>
      <c r="H231" s="395">
        <f t="shared" si="152"/>
        <v>1620</v>
      </c>
      <c r="I231" s="395">
        <f t="shared" si="161"/>
        <v>1237</v>
      </c>
      <c r="J231" s="395">
        <f t="shared" si="153"/>
        <v>894</v>
      </c>
      <c r="K231" s="395">
        <f t="shared" si="153"/>
        <v>472</v>
      </c>
      <c r="L231" s="395">
        <f t="shared" si="153"/>
        <v>200</v>
      </c>
      <c r="M231" s="395">
        <f t="shared" si="162"/>
        <v>1415</v>
      </c>
      <c r="N231" s="395">
        <f t="shared" si="154"/>
        <v>1422</v>
      </c>
      <c r="O231" s="395">
        <f t="shared" si="154"/>
        <v>4703</v>
      </c>
      <c r="P231" s="395">
        <f t="shared" si="154"/>
        <v>6383</v>
      </c>
      <c r="Q231" s="395">
        <f t="shared" si="163"/>
        <v>7089</v>
      </c>
      <c r="R231" s="385">
        <v>0</v>
      </c>
      <c r="S231" s="385">
        <v>0</v>
      </c>
      <c r="T231" s="385">
        <v>0</v>
      </c>
      <c r="V231" s="385">
        <v>5915</v>
      </c>
      <c r="W231" s="385">
        <v>3705</v>
      </c>
      <c r="X231" s="395">
        <f t="shared" si="164"/>
        <v>4144</v>
      </c>
      <c r="Y231" s="395">
        <f t="shared" si="164"/>
        <v>2803</v>
      </c>
      <c r="Z231" s="395">
        <f t="shared" si="164"/>
        <v>13923</v>
      </c>
      <c r="AA231" s="641">
        <f t="shared" si="165"/>
        <v>7089</v>
      </c>
      <c r="AB231" s="385">
        <v>0</v>
      </c>
      <c r="AC231" s="385">
        <v>0</v>
      </c>
      <c r="AD231" s="385">
        <v>0</v>
      </c>
      <c r="AF231" s="385">
        <v>1051</v>
      </c>
      <c r="AG231" s="385">
        <v>1611</v>
      </c>
      <c r="AH231" s="385">
        <v>2524</v>
      </c>
      <c r="AI231" s="385">
        <v>4144</v>
      </c>
      <c r="AJ231" s="385">
        <v>1237</v>
      </c>
      <c r="AK231" s="385">
        <v>2131</v>
      </c>
      <c r="AL231" s="385">
        <v>2603</v>
      </c>
      <c r="AM231" s="385">
        <v>2803</v>
      </c>
      <c r="AN231" s="385">
        <v>1415</v>
      </c>
      <c r="AO231" s="385">
        <v>2837</v>
      </c>
      <c r="AP231" s="385">
        <v>7540</v>
      </c>
      <c r="AQ231" s="385">
        <v>13923</v>
      </c>
      <c r="AR231" s="385">
        <v>7089</v>
      </c>
    </row>
    <row r="232" spans="2:44" ht="10.5" customHeight="1" outlineLevel="1">
      <c r="C232" s="418" t="s">
        <v>1828</v>
      </c>
      <c r="D232" s="390"/>
      <c r="E232" s="395">
        <f t="shared" si="160"/>
        <v>0</v>
      </c>
      <c r="F232" s="395">
        <f t="shared" si="152"/>
        <v>-2</v>
      </c>
      <c r="G232" s="395">
        <f t="shared" si="152"/>
        <v>0</v>
      </c>
      <c r="H232" s="395">
        <f t="shared" si="152"/>
        <v>-1</v>
      </c>
      <c r="I232" s="395">
        <f t="shared" si="161"/>
        <v>0</v>
      </c>
      <c r="J232" s="395">
        <f t="shared" si="153"/>
        <v>-386</v>
      </c>
      <c r="K232" s="395">
        <f t="shared" si="153"/>
        <v>69</v>
      </c>
      <c r="L232" s="395">
        <f t="shared" si="153"/>
        <v>9</v>
      </c>
      <c r="M232" s="395">
        <f t="shared" si="162"/>
        <v>-194</v>
      </c>
      <c r="N232" s="395">
        <f t="shared" si="154"/>
        <v>-210</v>
      </c>
      <c r="O232" s="395">
        <f t="shared" si="154"/>
        <v>74</v>
      </c>
      <c r="P232" s="395">
        <f t="shared" si="154"/>
        <v>-71</v>
      </c>
      <c r="Q232" s="395">
        <f t="shared" si="163"/>
        <v>36</v>
      </c>
      <c r="R232" s="641">
        <f ca="1">-R182</f>
        <v>567.86933015161821</v>
      </c>
      <c r="S232" s="641">
        <f ca="1">-S182</f>
        <v>556.66479387619188</v>
      </c>
      <c r="T232" s="641">
        <f ca="1">-T182</f>
        <v>596.53798518596523</v>
      </c>
      <c r="V232" s="385">
        <v>309</v>
      </c>
      <c r="W232" s="385">
        <v>72</v>
      </c>
      <c r="X232" s="395">
        <f t="shared" si="164"/>
        <v>-3</v>
      </c>
      <c r="Y232" s="395">
        <f t="shared" si="164"/>
        <v>-308</v>
      </c>
      <c r="Z232" s="395">
        <f t="shared" si="164"/>
        <v>-401</v>
      </c>
      <c r="AA232" s="641">
        <f t="shared" ca="1" si="165"/>
        <v>1757.0721092137753</v>
      </c>
      <c r="AB232" s="641">
        <f ca="1">-AB182</f>
        <v>2872.1347686760141</v>
      </c>
      <c r="AC232" s="641">
        <f ca="1">-AC182</f>
        <v>-1766.6569122341198</v>
      </c>
      <c r="AD232" s="641">
        <f ca="1">-AD182</f>
        <v>2350.2885837610306</v>
      </c>
      <c r="AF232" s="385">
        <v>0</v>
      </c>
      <c r="AG232" s="385">
        <v>-2</v>
      </c>
      <c r="AH232" s="385">
        <v>-2</v>
      </c>
      <c r="AI232" s="385">
        <v>-3</v>
      </c>
      <c r="AJ232" s="385">
        <v>0</v>
      </c>
      <c r="AK232" s="385">
        <v>-386</v>
      </c>
      <c r="AL232" s="385">
        <v>-317</v>
      </c>
      <c r="AM232" s="385">
        <v>-308</v>
      </c>
      <c r="AN232" s="385">
        <v>-194</v>
      </c>
      <c r="AO232" s="385">
        <v>-404</v>
      </c>
      <c r="AP232" s="385">
        <v>-330</v>
      </c>
      <c r="AQ232" s="385">
        <v>-401</v>
      </c>
      <c r="AR232" s="385">
        <v>36</v>
      </c>
    </row>
    <row r="233" spans="2:44" ht="10.5" customHeight="1" outlineLevel="1">
      <c r="C233" s="418" t="s">
        <v>973</v>
      </c>
      <c r="D233" s="390"/>
      <c r="E233" s="395">
        <f t="shared" si="160"/>
        <v>0</v>
      </c>
      <c r="F233" s="395">
        <f t="shared" si="152"/>
        <v>0</v>
      </c>
      <c r="G233" s="395">
        <f t="shared" si="152"/>
        <v>0</v>
      </c>
      <c r="H233" s="395">
        <f t="shared" si="152"/>
        <v>0</v>
      </c>
      <c r="I233" s="395">
        <f t="shared" si="161"/>
        <v>0</v>
      </c>
      <c r="J233" s="395">
        <f t="shared" si="153"/>
        <v>0</v>
      </c>
      <c r="K233" s="395">
        <f t="shared" si="153"/>
        <v>0</v>
      </c>
      <c r="L233" s="395">
        <f t="shared" si="153"/>
        <v>0</v>
      </c>
      <c r="M233" s="395">
        <f t="shared" si="162"/>
        <v>0</v>
      </c>
      <c r="N233" s="395">
        <f t="shared" si="154"/>
        <v>0</v>
      </c>
      <c r="O233" s="395">
        <f t="shared" si="154"/>
        <v>0</v>
      </c>
      <c r="P233" s="395">
        <f t="shared" si="154"/>
        <v>-28</v>
      </c>
      <c r="Q233" s="395">
        <f t="shared" si="163"/>
        <v>0</v>
      </c>
      <c r="R233" s="385">
        <v>0</v>
      </c>
      <c r="S233" s="385">
        <v>0</v>
      </c>
      <c r="T233" s="385">
        <v>0</v>
      </c>
      <c r="V233" s="385">
        <v>-203</v>
      </c>
      <c r="W233" s="385">
        <v>0</v>
      </c>
      <c r="X233" s="395">
        <f t="shared" si="164"/>
        <v>0</v>
      </c>
      <c r="Y233" s="395">
        <f t="shared" si="164"/>
        <v>0</v>
      </c>
      <c r="Z233" s="395">
        <f t="shared" si="164"/>
        <v>-28</v>
      </c>
      <c r="AA233" s="641">
        <f t="shared" si="165"/>
        <v>0</v>
      </c>
      <c r="AB233" s="385">
        <v>0</v>
      </c>
      <c r="AC233" s="385">
        <v>0</v>
      </c>
      <c r="AD233" s="385">
        <v>0</v>
      </c>
      <c r="AF233" s="385">
        <v>0</v>
      </c>
      <c r="AG233" s="385">
        <v>0</v>
      </c>
      <c r="AH233" s="385">
        <v>0</v>
      </c>
      <c r="AI233" s="385">
        <v>0</v>
      </c>
      <c r="AJ233" s="385">
        <v>0</v>
      </c>
      <c r="AK233" s="385">
        <v>0</v>
      </c>
      <c r="AL233" s="385">
        <v>0</v>
      </c>
      <c r="AM233" s="385">
        <v>0</v>
      </c>
      <c r="AN233" s="385">
        <v>0</v>
      </c>
      <c r="AO233" s="385">
        <v>0</v>
      </c>
      <c r="AP233" s="385">
        <v>0</v>
      </c>
      <c r="AQ233" s="385">
        <v>-28</v>
      </c>
      <c r="AR233" s="385">
        <v>0</v>
      </c>
    </row>
    <row r="234" spans="2:44" ht="10.5" customHeight="1" outlineLevel="1">
      <c r="C234" s="418" t="s">
        <v>974</v>
      </c>
      <c r="D234" s="390"/>
      <c r="E234" s="395">
        <f t="shared" si="160"/>
        <v>0</v>
      </c>
      <c r="F234" s="395">
        <f t="shared" si="152"/>
        <v>0</v>
      </c>
      <c r="G234" s="395">
        <f t="shared" si="152"/>
        <v>0</v>
      </c>
      <c r="H234" s="395">
        <f t="shared" si="152"/>
        <v>0</v>
      </c>
      <c r="I234" s="395">
        <f t="shared" si="161"/>
        <v>0</v>
      </c>
      <c r="J234" s="395">
        <f t="shared" si="153"/>
        <v>0</v>
      </c>
      <c r="K234" s="395">
        <f t="shared" si="153"/>
        <v>0</v>
      </c>
      <c r="L234" s="395">
        <f t="shared" si="153"/>
        <v>41</v>
      </c>
      <c r="M234" s="395">
        <f t="shared" si="162"/>
        <v>0</v>
      </c>
      <c r="N234" s="395">
        <f t="shared" si="154"/>
        <v>0</v>
      </c>
      <c r="O234" s="395">
        <f t="shared" si="154"/>
        <v>0</v>
      </c>
      <c r="P234" s="395">
        <f t="shared" si="154"/>
        <v>5</v>
      </c>
      <c r="Q234" s="395">
        <f t="shared" si="163"/>
        <v>0</v>
      </c>
      <c r="R234" s="385">
        <v>0</v>
      </c>
      <c r="S234" s="385">
        <v>0</v>
      </c>
      <c r="T234" s="385">
        <v>0</v>
      </c>
      <c r="V234" s="385">
        <v>0</v>
      </c>
      <c r="W234" s="385">
        <v>207</v>
      </c>
      <c r="X234" s="395">
        <f t="shared" si="164"/>
        <v>0</v>
      </c>
      <c r="Y234" s="395">
        <f t="shared" si="164"/>
        <v>41</v>
      </c>
      <c r="Z234" s="395">
        <f t="shared" si="164"/>
        <v>5</v>
      </c>
      <c r="AA234" s="641">
        <f t="shared" si="165"/>
        <v>0</v>
      </c>
      <c r="AB234" s="385">
        <v>0</v>
      </c>
      <c r="AC234" s="385">
        <v>0</v>
      </c>
      <c r="AD234" s="385">
        <v>0</v>
      </c>
      <c r="AF234" s="385">
        <v>0</v>
      </c>
      <c r="AG234" s="385">
        <v>0</v>
      </c>
      <c r="AH234" s="385">
        <v>0</v>
      </c>
      <c r="AI234" s="385">
        <v>0</v>
      </c>
      <c r="AJ234" s="385">
        <v>0</v>
      </c>
      <c r="AK234" s="385">
        <v>0</v>
      </c>
      <c r="AL234" s="385">
        <v>0</v>
      </c>
      <c r="AM234" s="385">
        <v>41</v>
      </c>
      <c r="AN234" s="385">
        <v>0</v>
      </c>
      <c r="AO234" s="385">
        <v>0</v>
      </c>
      <c r="AP234" s="385">
        <v>0</v>
      </c>
      <c r="AQ234" s="385">
        <v>5</v>
      </c>
      <c r="AR234" s="385">
        <v>0</v>
      </c>
    </row>
    <row r="235" spans="2:44" ht="10.5" customHeight="1" outlineLevel="1">
      <c r="C235" s="418" t="s">
        <v>975</v>
      </c>
      <c r="D235" s="390"/>
      <c r="E235" s="395">
        <f t="shared" si="160"/>
        <v>0</v>
      </c>
      <c r="F235" s="395">
        <f t="shared" si="152"/>
        <v>0</v>
      </c>
      <c r="G235" s="395">
        <f t="shared" si="152"/>
        <v>0</v>
      </c>
      <c r="H235" s="395">
        <f t="shared" si="152"/>
        <v>250</v>
      </c>
      <c r="I235" s="395">
        <f t="shared" si="161"/>
        <v>0</v>
      </c>
      <c r="J235" s="395">
        <f t="shared" si="153"/>
        <v>0</v>
      </c>
      <c r="K235" s="395">
        <f t="shared" si="153"/>
        <v>0</v>
      </c>
      <c r="L235" s="395">
        <f t="shared" si="153"/>
        <v>90</v>
      </c>
      <c r="M235" s="395">
        <f t="shared" si="162"/>
        <v>0</v>
      </c>
      <c r="N235" s="395">
        <f t="shared" si="154"/>
        <v>0</v>
      </c>
      <c r="O235" s="395">
        <f t="shared" si="154"/>
        <v>0</v>
      </c>
      <c r="P235" s="395">
        <f t="shared" si="154"/>
        <v>0</v>
      </c>
      <c r="Q235" s="395">
        <f t="shared" si="163"/>
        <v>0</v>
      </c>
      <c r="R235" s="385">
        <v>0</v>
      </c>
      <c r="S235" s="385">
        <v>0</v>
      </c>
      <c r="T235" s="385">
        <v>0</v>
      </c>
      <c r="V235" s="385">
        <v>0</v>
      </c>
      <c r="W235" s="385">
        <v>0</v>
      </c>
      <c r="X235" s="395">
        <f t="shared" si="164"/>
        <v>250</v>
      </c>
      <c r="Y235" s="395">
        <f t="shared" si="164"/>
        <v>90</v>
      </c>
      <c r="Z235" s="395">
        <f t="shared" si="164"/>
        <v>0</v>
      </c>
      <c r="AA235" s="641">
        <f t="shared" si="165"/>
        <v>0</v>
      </c>
      <c r="AB235" s="385">
        <v>0</v>
      </c>
      <c r="AC235" s="385">
        <v>0</v>
      </c>
      <c r="AD235" s="385">
        <v>0</v>
      </c>
      <c r="AF235" s="385">
        <v>0</v>
      </c>
      <c r="AG235" s="385">
        <v>0</v>
      </c>
      <c r="AH235" s="385">
        <v>0</v>
      </c>
      <c r="AI235" s="385">
        <v>250</v>
      </c>
      <c r="AJ235" s="385">
        <v>0</v>
      </c>
      <c r="AK235" s="385">
        <v>0</v>
      </c>
      <c r="AL235" s="385">
        <v>0</v>
      </c>
      <c r="AM235" s="385">
        <v>90</v>
      </c>
      <c r="AN235" s="385">
        <v>0</v>
      </c>
      <c r="AO235" s="385">
        <v>0</v>
      </c>
      <c r="AP235" s="385">
        <v>0</v>
      </c>
      <c r="AQ235" s="385">
        <v>0</v>
      </c>
      <c r="AR235" s="385">
        <v>0</v>
      </c>
    </row>
    <row r="236" spans="2:44" ht="10.5" customHeight="1" outlineLevel="1">
      <c r="C236" s="418" t="s">
        <v>976</v>
      </c>
      <c r="D236" s="390"/>
      <c r="E236" s="395">
        <f t="shared" si="160"/>
        <v>-15</v>
      </c>
      <c r="F236" s="395">
        <f t="shared" si="152"/>
        <v>-20</v>
      </c>
      <c r="G236" s="395">
        <f t="shared" si="152"/>
        <v>-33</v>
      </c>
      <c r="H236" s="395">
        <f t="shared" si="152"/>
        <v>80</v>
      </c>
      <c r="I236" s="395">
        <f t="shared" si="161"/>
        <v>-49</v>
      </c>
      <c r="J236" s="395">
        <f t="shared" si="153"/>
        <v>-12</v>
      </c>
      <c r="K236" s="395">
        <f t="shared" si="153"/>
        <v>-51</v>
      </c>
      <c r="L236" s="395">
        <f t="shared" si="153"/>
        <v>132</v>
      </c>
      <c r="M236" s="395">
        <f t="shared" si="162"/>
        <v>-42</v>
      </c>
      <c r="N236" s="395">
        <f t="shared" si="154"/>
        <v>-29</v>
      </c>
      <c r="O236" s="395">
        <f t="shared" si="154"/>
        <v>-25</v>
      </c>
      <c r="P236" s="395">
        <f t="shared" si="154"/>
        <v>106</v>
      </c>
      <c r="Q236" s="395">
        <f t="shared" si="163"/>
        <v>-62</v>
      </c>
      <c r="R236" s="385">
        <v>0</v>
      </c>
      <c r="S236" s="385">
        <v>0</v>
      </c>
      <c r="T236" s="385">
        <v>0</v>
      </c>
      <c r="V236" s="385">
        <v>0</v>
      </c>
      <c r="W236" s="385">
        <v>-7</v>
      </c>
      <c r="X236" s="395">
        <f t="shared" si="164"/>
        <v>12</v>
      </c>
      <c r="Y236" s="395">
        <f t="shared" si="164"/>
        <v>20</v>
      </c>
      <c r="Z236" s="395">
        <f t="shared" si="164"/>
        <v>10</v>
      </c>
      <c r="AA236" s="641">
        <f t="shared" si="165"/>
        <v>-62</v>
      </c>
      <c r="AB236" s="385">
        <v>0</v>
      </c>
      <c r="AC236" s="385">
        <v>0</v>
      </c>
      <c r="AD236" s="385">
        <v>0</v>
      </c>
      <c r="AF236" s="385">
        <v>-15</v>
      </c>
      <c r="AG236" s="385">
        <v>-35</v>
      </c>
      <c r="AH236" s="385">
        <v>-68</v>
      </c>
      <c r="AI236" s="385">
        <v>12</v>
      </c>
      <c r="AJ236" s="385">
        <v>-49</v>
      </c>
      <c r="AK236" s="385">
        <v>-61</v>
      </c>
      <c r="AL236" s="385">
        <v>-112</v>
      </c>
      <c r="AM236" s="385">
        <v>20</v>
      </c>
      <c r="AN236" s="385">
        <v>-42</v>
      </c>
      <c r="AO236" s="385">
        <v>-71</v>
      </c>
      <c r="AP236" s="385">
        <v>-96</v>
      </c>
      <c r="AQ236" s="385">
        <v>10</v>
      </c>
      <c r="AR236" s="385">
        <v>-62</v>
      </c>
    </row>
    <row r="237" spans="2:44" ht="10.5" customHeight="1">
      <c r="C237" s="289" t="s">
        <v>977</v>
      </c>
      <c r="E237" s="358">
        <f t="shared" ref="E237:T237" si="166">SUM(E226:E227)</f>
        <v>-480</v>
      </c>
      <c r="F237" s="358">
        <f t="shared" si="166"/>
        <v>-1933</v>
      </c>
      <c r="G237" s="358">
        <f t="shared" si="166"/>
        <v>-469</v>
      </c>
      <c r="H237" s="358">
        <f t="shared" si="166"/>
        <v>639</v>
      </c>
      <c r="I237" s="358">
        <f t="shared" si="166"/>
        <v>-162</v>
      </c>
      <c r="J237" s="358">
        <f t="shared" si="166"/>
        <v>-6799</v>
      </c>
      <c r="K237" s="358">
        <f t="shared" si="166"/>
        <v>923</v>
      </c>
      <c r="L237" s="358">
        <f t="shared" si="166"/>
        <v>1696</v>
      </c>
      <c r="M237" s="358">
        <f t="shared" si="166"/>
        <v>-7152</v>
      </c>
      <c r="N237" s="358">
        <f t="shared" si="166"/>
        <v>-3884</v>
      </c>
      <c r="O237" s="358">
        <f t="shared" si="166"/>
        <v>3315</v>
      </c>
      <c r="P237" s="358">
        <f t="shared" si="166"/>
        <v>1738</v>
      </c>
      <c r="Q237" s="358">
        <f t="shared" si="166"/>
        <v>-771</v>
      </c>
      <c r="R237" s="358">
        <f t="shared" ca="1" si="166"/>
        <v>-358.48676262851905</v>
      </c>
      <c r="S237" s="358">
        <f t="shared" ca="1" si="166"/>
        <v>-280.90201435641188</v>
      </c>
      <c r="T237" s="358">
        <f t="shared" ca="1" si="166"/>
        <v>-421.53911380129387</v>
      </c>
      <c r="V237" s="358">
        <f t="shared" ref="V237:AD237" si="167">SUM(V226:V227)</f>
        <v>-3636</v>
      </c>
      <c r="W237" s="358">
        <f t="shared" si="167"/>
        <v>-1973</v>
      </c>
      <c r="X237" s="358">
        <f t="shared" si="167"/>
        <v>-2243</v>
      </c>
      <c r="Y237" s="358">
        <f t="shared" si="167"/>
        <v>-4342</v>
      </c>
      <c r="Z237" s="358">
        <f t="shared" si="167"/>
        <v>-5983</v>
      </c>
      <c r="AA237" s="358">
        <f t="shared" ca="1" si="167"/>
        <v>-1831.9278907862247</v>
      </c>
      <c r="AB237" s="358">
        <f t="shared" ca="1" si="167"/>
        <v>-1183.8652313239859</v>
      </c>
      <c r="AC237" s="358">
        <f t="shared" ca="1" si="167"/>
        <v>-6460.6569122341198</v>
      </c>
      <c r="AD237" s="358">
        <f t="shared" ca="1" si="167"/>
        <v>-2343.7114162389694</v>
      </c>
      <c r="AF237" s="358">
        <f t="shared" ref="AF237:AR237" si="168">SUM(AF226:AF227)</f>
        <v>-480</v>
      </c>
      <c r="AG237" s="358">
        <f t="shared" si="168"/>
        <v>-2413</v>
      </c>
      <c r="AH237" s="358">
        <f t="shared" si="168"/>
        <v>-2882</v>
      </c>
      <c r="AI237" s="358">
        <f t="shared" si="168"/>
        <v>-2243</v>
      </c>
      <c r="AJ237" s="358">
        <f t="shared" si="168"/>
        <v>-162</v>
      </c>
      <c r="AK237" s="358">
        <f t="shared" si="168"/>
        <v>-6961</v>
      </c>
      <c r="AL237" s="358">
        <f t="shared" si="168"/>
        <v>-6038</v>
      </c>
      <c r="AM237" s="358">
        <f t="shared" si="168"/>
        <v>-4342</v>
      </c>
      <c r="AN237" s="358">
        <f t="shared" si="168"/>
        <v>-7152</v>
      </c>
      <c r="AO237" s="358">
        <f t="shared" si="168"/>
        <v>-11036</v>
      </c>
      <c r="AP237" s="358">
        <f t="shared" si="168"/>
        <v>-7721</v>
      </c>
      <c r="AQ237" s="358">
        <f t="shared" si="168"/>
        <v>-5983</v>
      </c>
      <c r="AR237" s="358">
        <f t="shared" si="168"/>
        <v>-771</v>
      </c>
    </row>
    <row r="238" spans="2:44" ht="10.5" customHeight="1">
      <c r="E238" s="255"/>
      <c r="F238" s="255"/>
      <c r="G238" s="255"/>
      <c r="H238" s="255"/>
      <c r="I238" s="255"/>
      <c r="J238" s="255"/>
      <c r="K238" s="255"/>
      <c r="L238" s="255"/>
      <c r="M238" s="255"/>
      <c r="N238" s="255"/>
      <c r="O238" s="255"/>
      <c r="P238" s="255"/>
      <c r="Q238" s="255"/>
      <c r="R238" s="255"/>
      <c r="S238" s="255"/>
      <c r="T238" s="255"/>
      <c r="V238" s="255"/>
      <c r="W238" s="255"/>
      <c r="AB238" s="255"/>
      <c r="AC238" s="255"/>
      <c r="AD238" s="255"/>
      <c r="AF238" s="255"/>
      <c r="AG238" s="255"/>
      <c r="AH238" s="255"/>
      <c r="AI238" s="255"/>
      <c r="AJ238" s="255"/>
      <c r="AK238" s="255"/>
      <c r="AL238" s="255"/>
      <c r="AM238" s="255"/>
      <c r="AN238" s="255"/>
      <c r="AO238" s="255"/>
      <c r="AP238" s="255"/>
      <c r="AQ238" s="255"/>
      <c r="AR238" s="255"/>
    </row>
    <row r="239" spans="2:44" ht="10.5" customHeight="1">
      <c r="C239" s="381" t="s">
        <v>978</v>
      </c>
      <c r="E239" s="255">
        <f t="shared" ref="E239:E245" si="169">AF239</f>
        <v>400</v>
      </c>
      <c r="F239" s="255">
        <f t="shared" ref="F239:H245" si="170">AG239-AF239</f>
        <v>2189</v>
      </c>
      <c r="G239" s="255">
        <f t="shared" si="170"/>
        <v>961</v>
      </c>
      <c r="H239" s="255">
        <f t="shared" si="170"/>
        <v>410</v>
      </c>
      <c r="I239" s="255">
        <f t="shared" ref="I239:I245" si="171">AJ239</f>
        <v>1698</v>
      </c>
      <c r="J239" s="255">
        <f t="shared" ref="J239:L245" si="172">AK239-AJ239</f>
        <v>7766</v>
      </c>
      <c r="K239" s="255">
        <f t="shared" si="172"/>
        <v>2100</v>
      </c>
      <c r="L239" s="255">
        <f t="shared" si="172"/>
        <v>216</v>
      </c>
      <c r="M239" s="255">
        <f t="shared" ref="M239:M245" si="173">AN239</f>
        <v>10861</v>
      </c>
      <c r="N239" s="255">
        <f t="shared" ref="N239:P245" si="174">AO239-AN239</f>
        <v>1235</v>
      </c>
      <c r="O239" s="255">
        <f t="shared" si="174"/>
        <v>0</v>
      </c>
      <c r="P239" s="255">
        <f t="shared" si="174"/>
        <v>94</v>
      </c>
      <c r="Q239" s="255">
        <f t="shared" ref="Q239:Q245" si="175">AR239</f>
        <v>367</v>
      </c>
      <c r="R239" s="287">
        <f ca="1">IF(R129-Q129&gt;0,(R129-Q129)-('AAL Debt'!R35-'AAL Debt'!Q35),0)</f>
        <v>0</v>
      </c>
      <c r="S239" s="287">
        <f ca="1">IF(S129-R129&gt;0,(S129-R129)-('AAL Debt'!S35-'AAL Debt'!R35),0)</f>
        <v>88.419308232607648</v>
      </c>
      <c r="T239" s="287">
        <f ca="1">IF(T129-S129&gt;0,(T129-S129)-('AAL Debt'!T35-'AAL Debt'!S35),0)</f>
        <v>268.92959898726104</v>
      </c>
      <c r="V239" s="277">
        <v>3058</v>
      </c>
      <c r="W239" s="277">
        <v>2354</v>
      </c>
      <c r="X239" s="255">
        <f t="shared" ref="X239:Z245" si="176">SUMIF($AF$6:$AQ$6,X$6,$AF239:$AQ239)</f>
        <v>3960</v>
      </c>
      <c r="Y239" s="255">
        <f t="shared" si="176"/>
        <v>11780</v>
      </c>
      <c r="Z239" s="255">
        <f t="shared" si="176"/>
        <v>12190</v>
      </c>
      <c r="AA239" s="254">
        <f t="shared" ref="AA239:AA246" ca="1" si="177">+SUMIF($E$5:$T$5,AA$5,$E239:$T239)</f>
        <v>724.34890721986869</v>
      </c>
      <c r="AB239" s="287">
        <f ca="1">IF(AB129-AA129&gt;0,(AB129-AA129)-('AAL Debt'!AB35-'AAL Debt'!AA35),0)</f>
        <v>0</v>
      </c>
      <c r="AC239" s="287">
        <f ca="1">IF(AC129-AB129&gt;0,(AC129-AB129)-('AAL Debt'!AC35-'AAL Debt'!AB35),0)</f>
        <v>492.9300000000087</v>
      </c>
      <c r="AD239" s="287">
        <f ca="1">IF(AD129-AC129&gt;0,(AD129-AC129)-('AAL Debt'!AD35-'AAL Debt'!AC35),0)</f>
        <v>0</v>
      </c>
      <c r="AF239" s="277">
        <v>400</v>
      </c>
      <c r="AG239" s="277">
        <v>2589</v>
      </c>
      <c r="AH239" s="277">
        <v>3550</v>
      </c>
      <c r="AI239" s="277">
        <v>3960</v>
      </c>
      <c r="AJ239" s="277">
        <v>1698</v>
      </c>
      <c r="AK239" s="277">
        <v>9464</v>
      </c>
      <c r="AL239" s="277">
        <v>11564</v>
      </c>
      <c r="AM239" s="277">
        <v>11780</v>
      </c>
      <c r="AN239" s="277">
        <v>10861</v>
      </c>
      <c r="AO239" s="277">
        <v>12096</v>
      </c>
      <c r="AP239" s="277">
        <v>12096</v>
      </c>
      <c r="AQ239" s="277">
        <v>12190</v>
      </c>
      <c r="AR239" s="277">
        <v>367</v>
      </c>
    </row>
    <row r="240" spans="2:44" ht="10.5" customHeight="1">
      <c r="C240" s="381" t="s">
        <v>979</v>
      </c>
      <c r="E240" s="255">
        <f t="shared" si="169"/>
        <v>-849</v>
      </c>
      <c r="F240" s="255">
        <f t="shared" si="170"/>
        <v>-932</v>
      </c>
      <c r="G240" s="255">
        <f t="shared" si="170"/>
        <v>-1054</v>
      </c>
      <c r="H240" s="255">
        <f t="shared" si="170"/>
        <v>-1355</v>
      </c>
      <c r="I240" s="255">
        <f t="shared" si="171"/>
        <v>-926</v>
      </c>
      <c r="J240" s="255">
        <f t="shared" si="172"/>
        <v>-1551</v>
      </c>
      <c r="K240" s="255">
        <f t="shared" si="172"/>
        <v>-541</v>
      </c>
      <c r="L240" s="255">
        <f t="shared" si="172"/>
        <v>-517</v>
      </c>
      <c r="M240" s="255">
        <f t="shared" si="173"/>
        <v>-4054</v>
      </c>
      <c r="N240" s="255">
        <f t="shared" si="174"/>
        <v>-986</v>
      </c>
      <c r="O240" s="255">
        <f t="shared" si="174"/>
        <v>-1599</v>
      </c>
      <c r="P240" s="255">
        <f t="shared" si="174"/>
        <v>-704</v>
      </c>
      <c r="Q240" s="255">
        <f t="shared" si="175"/>
        <v>-661</v>
      </c>
      <c r="R240" s="287">
        <f ca="1">IF(R129-Q129&lt;0,(R129-Q129)-('AAL Debt'!R35-'AAL Debt'!Q35),0)</f>
        <v>-255.79140721987068</v>
      </c>
      <c r="S240" s="287">
        <f ca="1">IF(S129-R129&lt;0,(S129-R129)-('AAL Debt'!S35-'AAL Debt'!R35),0)</f>
        <v>0</v>
      </c>
      <c r="T240" s="287">
        <f ca="1">IF(T129-S129&lt;0,(T129-S129)-('AAL Debt'!T35-'AAL Debt'!S35),0)</f>
        <v>0</v>
      </c>
      <c r="V240" s="277">
        <v>-2332</v>
      </c>
      <c r="W240" s="277">
        <v>-2941</v>
      </c>
      <c r="X240" s="255">
        <f t="shared" si="176"/>
        <v>-4190</v>
      </c>
      <c r="Y240" s="255">
        <f t="shared" si="176"/>
        <v>-3535</v>
      </c>
      <c r="Z240" s="255">
        <f t="shared" si="176"/>
        <v>-7343</v>
      </c>
      <c r="AA240" s="254">
        <f t="shared" ca="1" si="177"/>
        <v>-916.79140721987073</v>
      </c>
      <c r="AB240" s="287">
        <f ca="1">IF(AB129-AA129&lt;0,(AB129-AA129)-('AAL Debt'!AB35-'AAL Debt'!AA35),0)</f>
        <v>-979.43000000000643</v>
      </c>
      <c r="AC240" s="287">
        <f ca="1">IF(AC129-AB129&lt;0,(AC129-AB129)-('AAL Debt'!AC35-'AAL Debt'!AB35),0)</f>
        <v>0</v>
      </c>
      <c r="AD240" s="287">
        <f ca="1">IF(AD129-AC129&lt;0,(AD129-AC129)-('AAL Debt'!AD35-'AAL Debt'!AC35),0)</f>
        <v>-4320.1075000000046</v>
      </c>
      <c r="AF240" s="277">
        <v>-849</v>
      </c>
      <c r="AG240" s="277">
        <v>-1781</v>
      </c>
      <c r="AH240" s="277">
        <v>-2835</v>
      </c>
      <c r="AI240" s="277">
        <v>-4190</v>
      </c>
      <c r="AJ240" s="277">
        <v>-926</v>
      </c>
      <c r="AK240" s="277">
        <v>-2477</v>
      </c>
      <c r="AL240" s="277">
        <v>-3018</v>
      </c>
      <c r="AM240" s="277">
        <v>-3535</v>
      </c>
      <c r="AN240" s="277">
        <v>-4054</v>
      </c>
      <c r="AO240" s="277">
        <v>-5040</v>
      </c>
      <c r="AP240" s="277">
        <v>-6639</v>
      </c>
      <c r="AQ240" s="277">
        <v>-7343</v>
      </c>
      <c r="AR240" s="277">
        <v>-661</v>
      </c>
    </row>
    <row r="241" spans="2:44" ht="10.5" customHeight="1">
      <c r="C241" s="381" t="s">
        <v>983</v>
      </c>
      <c r="E241" s="255">
        <f>AF241</f>
        <v>-46</v>
      </c>
      <c r="F241" s="255">
        <f>AG241-AF241</f>
        <v>-44</v>
      </c>
      <c r="G241" s="255">
        <f>AH241-AG241</f>
        <v>-45</v>
      </c>
      <c r="H241" s="255">
        <f>AI241-AH241</f>
        <v>-43</v>
      </c>
      <c r="I241" s="255">
        <f>AJ241</f>
        <v>-43</v>
      </c>
      <c r="J241" s="255">
        <f>AK241-AJ241</f>
        <v>0</v>
      </c>
      <c r="K241" s="255">
        <f>AL241-AK241</f>
        <v>0</v>
      </c>
      <c r="L241" s="255">
        <f>AM241-AL241</f>
        <v>0</v>
      </c>
      <c r="M241" s="255">
        <f>AN241</f>
        <v>0</v>
      </c>
      <c r="N241" s="255">
        <f>AO241-AN241</f>
        <v>0</v>
      </c>
      <c r="O241" s="255">
        <f>AP241-AO241</f>
        <v>0</v>
      </c>
      <c r="P241" s="255">
        <f>AQ241-AP241</f>
        <v>0</v>
      </c>
      <c r="Q241" s="255">
        <f>AR241</f>
        <v>0</v>
      </c>
      <c r="R241" s="277">
        <v>0</v>
      </c>
      <c r="S241" s="277">
        <v>0</v>
      </c>
      <c r="T241" s="277">
        <v>0</v>
      </c>
      <c r="V241" s="277">
        <v>-198</v>
      </c>
      <c r="W241" s="277">
        <v>-186</v>
      </c>
      <c r="X241" s="255">
        <f>SUMIF($AF$6:$AQ$6,X$6,$AF241:$AQ241)</f>
        <v>-178</v>
      </c>
      <c r="Y241" s="255">
        <f>SUMIF($AF$6:$AQ$6,Y$6,$AF241:$AQ241)</f>
        <v>-43</v>
      </c>
      <c r="Z241" s="255">
        <f>SUMIF($AF$6:$AQ$6,Z$6,$AF241:$AQ241)</f>
        <v>0</v>
      </c>
      <c r="AA241" s="254">
        <f>+SUMIF($E$5:$T$5,AA$5,$E241:$T241)</f>
        <v>0</v>
      </c>
      <c r="AB241" s="277">
        <v>0</v>
      </c>
      <c r="AC241" s="277">
        <v>0</v>
      </c>
      <c r="AD241" s="277">
        <v>0</v>
      </c>
      <c r="AF241" s="277">
        <v>-46</v>
      </c>
      <c r="AG241" s="277">
        <v>-90</v>
      </c>
      <c r="AH241" s="277">
        <v>-135</v>
      </c>
      <c r="AI241" s="277">
        <v>-178</v>
      </c>
      <c r="AJ241" s="277">
        <v>-43</v>
      </c>
      <c r="AK241" s="277">
        <v>-43</v>
      </c>
      <c r="AL241" s="277">
        <v>-43</v>
      </c>
      <c r="AM241" s="277">
        <v>-43</v>
      </c>
      <c r="AN241" s="277">
        <v>0</v>
      </c>
      <c r="AO241" s="277">
        <v>0</v>
      </c>
      <c r="AP241" s="277">
        <v>0</v>
      </c>
      <c r="AQ241" s="277">
        <v>0</v>
      </c>
      <c r="AR241" s="277">
        <v>0</v>
      </c>
    </row>
    <row r="242" spans="2:44" ht="10.5" customHeight="1">
      <c r="C242" s="381" t="s">
        <v>980</v>
      </c>
      <c r="E242" s="255">
        <f t="shared" si="169"/>
        <v>0</v>
      </c>
      <c r="F242" s="255">
        <f t="shared" si="170"/>
        <v>0</v>
      </c>
      <c r="G242" s="255">
        <f t="shared" si="170"/>
        <v>0</v>
      </c>
      <c r="H242" s="255">
        <f t="shared" si="170"/>
        <v>0</v>
      </c>
      <c r="I242" s="255">
        <f t="shared" si="171"/>
        <v>0</v>
      </c>
      <c r="J242" s="255">
        <f t="shared" si="172"/>
        <v>1527</v>
      </c>
      <c r="K242" s="255">
        <f t="shared" si="172"/>
        <v>0</v>
      </c>
      <c r="L242" s="255">
        <f t="shared" si="172"/>
        <v>1443</v>
      </c>
      <c r="M242" s="255">
        <f t="shared" si="173"/>
        <v>316</v>
      </c>
      <c r="N242" s="255">
        <f t="shared" si="174"/>
        <v>144</v>
      </c>
      <c r="O242" s="255">
        <f t="shared" si="174"/>
        <v>0</v>
      </c>
      <c r="P242" s="255">
        <f t="shared" si="174"/>
        <v>0</v>
      </c>
      <c r="Q242" s="255">
        <f t="shared" si="175"/>
        <v>0</v>
      </c>
      <c r="R242" s="277">
        <v>0</v>
      </c>
      <c r="S242" s="277">
        <v>0</v>
      </c>
      <c r="T242" s="277">
        <v>0</v>
      </c>
      <c r="V242" s="277">
        <v>0</v>
      </c>
      <c r="W242" s="277">
        <v>0</v>
      </c>
      <c r="X242" s="255">
        <f t="shared" si="176"/>
        <v>0</v>
      </c>
      <c r="Y242" s="255">
        <f t="shared" si="176"/>
        <v>2970</v>
      </c>
      <c r="Z242" s="255">
        <f t="shared" si="176"/>
        <v>460</v>
      </c>
      <c r="AA242" s="254">
        <f t="shared" si="177"/>
        <v>0</v>
      </c>
      <c r="AB242" s="277">
        <v>0</v>
      </c>
      <c r="AC242" s="277">
        <v>0</v>
      </c>
      <c r="AD242" s="277">
        <v>0</v>
      </c>
      <c r="AF242" s="277"/>
      <c r="AG242" s="277">
        <v>0</v>
      </c>
      <c r="AH242" s="277">
        <v>0</v>
      </c>
      <c r="AI242" s="277">
        <v>0</v>
      </c>
      <c r="AJ242" s="277">
        <v>0</v>
      </c>
      <c r="AK242" s="277">
        <v>1527</v>
      </c>
      <c r="AL242" s="277">
        <v>1527</v>
      </c>
      <c r="AM242" s="277">
        <v>2970</v>
      </c>
      <c r="AN242" s="277">
        <v>316</v>
      </c>
      <c r="AO242" s="277">
        <v>460</v>
      </c>
      <c r="AP242" s="277">
        <v>460</v>
      </c>
      <c r="AQ242" s="277">
        <v>460</v>
      </c>
      <c r="AR242" s="277">
        <v>0</v>
      </c>
    </row>
    <row r="243" spans="2:44" ht="10.5" customHeight="1">
      <c r="C243" s="381" t="s">
        <v>981</v>
      </c>
      <c r="E243" s="255">
        <f t="shared" si="169"/>
        <v>-6</v>
      </c>
      <c r="F243" s="255">
        <f t="shared" si="170"/>
        <v>-17</v>
      </c>
      <c r="G243" s="255">
        <f t="shared" si="170"/>
        <v>-28</v>
      </c>
      <c r="H243" s="255">
        <f t="shared" si="170"/>
        <v>-10</v>
      </c>
      <c r="I243" s="255">
        <f t="shared" si="171"/>
        <v>-31</v>
      </c>
      <c r="J243" s="255">
        <f t="shared" si="172"/>
        <v>-53</v>
      </c>
      <c r="K243" s="255">
        <f t="shared" si="172"/>
        <v>-48</v>
      </c>
      <c r="L243" s="255">
        <f t="shared" si="172"/>
        <v>39</v>
      </c>
      <c r="M243" s="255">
        <f t="shared" si="173"/>
        <v>-162</v>
      </c>
      <c r="N243" s="255">
        <f t="shared" si="174"/>
        <v>-4</v>
      </c>
      <c r="O243" s="255">
        <f t="shared" si="174"/>
        <v>-10</v>
      </c>
      <c r="P243" s="255">
        <f t="shared" si="174"/>
        <v>-33</v>
      </c>
      <c r="Q243" s="255">
        <f t="shared" si="175"/>
        <v>0</v>
      </c>
      <c r="R243" s="277">
        <v>0</v>
      </c>
      <c r="S243" s="277">
        <v>0</v>
      </c>
      <c r="T243" s="277">
        <v>0</v>
      </c>
      <c r="V243" s="277">
        <v>-85</v>
      </c>
      <c r="W243" s="277">
        <v>-59</v>
      </c>
      <c r="X243" s="255">
        <f t="shared" si="176"/>
        <v>-61</v>
      </c>
      <c r="Y243" s="255">
        <f t="shared" si="176"/>
        <v>-93</v>
      </c>
      <c r="Z243" s="255">
        <f t="shared" si="176"/>
        <v>-209</v>
      </c>
      <c r="AA243" s="254">
        <f t="shared" si="177"/>
        <v>0</v>
      </c>
      <c r="AB243" s="277">
        <v>0</v>
      </c>
      <c r="AC243" s="277">
        <v>0</v>
      </c>
      <c r="AD243" s="277">
        <v>0</v>
      </c>
      <c r="AF243" s="277">
        <v>-6</v>
      </c>
      <c r="AG243" s="277">
        <v>-23</v>
      </c>
      <c r="AH243" s="277">
        <v>-51</v>
      </c>
      <c r="AI243" s="277">
        <v>-61</v>
      </c>
      <c r="AJ243" s="277">
        <v>-31</v>
      </c>
      <c r="AK243" s="277">
        <v>-84</v>
      </c>
      <c r="AL243" s="277">
        <v>-132</v>
      </c>
      <c r="AM243" s="277">
        <v>-93</v>
      </c>
      <c r="AN243" s="277">
        <v>-162</v>
      </c>
      <c r="AO243" s="277">
        <v>-166</v>
      </c>
      <c r="AP243" s="277">
        <v>-176</v>
      </c>
      <c r="AQ243" s="277">
        <v>-209</v>
      </c>
      <c r="AR243" s="277">
        <v>0</v>
      </c>
    </row>
    <row r="244" spans="2:44" ht="10.5" customHeight="1">
      <c r="C244" s="381" t="s">
        <v>982</v>
      </c>
      <c r="E244" s="255">
        <f t="shared" si="169"/>
        <v>-608</v>
      </c>
      <c r="F244" s="255">
        <f t="shared" si="170"/>
        <v>-17</v>
      </c>
      <c r="G244" s="255">
        <f t="shared" si="170"/>
        <v>-200</v>
      </c>
      <c r="H244" s="255">
        <f t="shared" si="170"/>
        <v>-272</v>
      </c>
      <c r="I244" s="255">
        <f t="shared" si="171"/>
        <v>-171</v>
      </c>
      <c r="J244" s="255">
        <f t="shared" si="172"/>
        <v>-2</v>
      </c>
      <c r="K244" s="255">
        <f t="shared" si="172"/>
        <v>0</v>
      </c>
      <c r="L244" s="255">
        <f t="shared" si="172"/>
        <v>0</v>
      </c>
      <c r="M244" s="255">
        <f t="shared" si="173"/>
        <v>-13</v>
      </c>
      <c r="N244" s="255">
        <f t="shared" si="174"/>
        <v>0</v>
      </c>
      <c r="O244" s="255">
        <f t="shared" si="174"/>
        <v>0</v>
      </c>
      <c r="P244" s="255">
        <f t="shared" si="174"/>
        <v>-5</v>
      </c>
      <c r="Q244" s="255">
        <f t="shared" si="175"/>
        <v>-14</v>
      </c>
      <c r="R244" s="277">
        <v>0</v>
      </c>
      <c r="S244" s="277">
        <v>0</v>
      </c>
      <c r="T244" s="277">
        <v>0</v>
      </c>
      <c r="V244" s="277">
        <v>-1615</v>
      </c>
      <c r="W244" s="277">
        <v>-837</v>
      </c>
      <c r="X244" s="255">
        <f t="shared" si="176"/>
        <v>-1097</v>
      </c>
      <c r="Y244" s="255">
        <f t="shared" si="176"/>
        <v>-173</v>
      </c>
      <c r="Z244" s="255">
        <f t="shared" si="176"/>
        <v>-18</v>
      </c>
      <c r="AA244" s="254">
        <f t="shared" si="177"/>
        <v>-14</v>
      </c>
      <c r="AB244" s="277">
        <v>0</v>
      </c>
      <c r="AC244" s="277">
        <v>0</v>
      </c>
      <c r="AD244" s="277">
        <v>0</v>
      </c>
      <c r="AF244" s="277">
        <v>-608</v>
      </c>
      <c r="AG244" s="277">
        <v>-625</v>
      </c>
      <c r="AH244" s="277">
        <v>-825</v>
      </c>
      <c r="AI244" s="277">
        <v>-1097</v>
      </c>
      <c r="AJ244" s="277">
        <v>-171</v>
      </c>
      <c r="AK244" s="277">
        <v>-173</v>
      </c>
      <c r="AL244" s="277">
        <v>-173</v>
      </c>
      <c r="AM244" s="277">
        <v>-173</v>
      </c>
      <c r="AN244" s="277">
        <v>-13</v>
      </c>
      <c r="AO244" s="277">
        <v>-13</v>
      </c>
      <c r="AP244" s="277">
        <v>-13</v>
      </c>
      <c r="AQ244" s="277">
        <v>-18</v>
      </c>
      <c r="AR244" s="277">
        <v>-14</v>
      </c>
    </row>
    <row r="245" spans="2:44" ht="10.5" customHeight="1">
      <c r="C245" s="381" t="s">
        <v>984</v>
      </c>
      <c r="E245" s="255">
        <f t="shared" si="169"/>
        <v>0</v>
      </c>
      <c r="F245" s="255">
        <f t="shared" si="170"/>
        <v>0</v>
      </c>
      <c r="G245" s="255">
        <f t="shared" si="170"/>
        <v>0</v>
      </c>
      <c r="H245" s="255">
        <f t="shared" si="170"/>
        <v>-2</v>
      </c>
      <c r="I245" s="255">
        <f t="shared" si="171"/>
        <v>-1</v>
      </c>
      <c r="J245" s="255">
        <f t="shared" si="172"/>
        <v>1</v>
      </c>
      <c r="K245" s="255">
        <f t="shared" si="172"/>
        <v>0</v>
      </c>
      <c r="L245" s="255">
        <f t="shared" si="172"/>
        <v>88</v>
      </c>
      <c r="M245" s="255">
        <f t="shared" si="173"/>
        <v>65</v>
      </c>
      <c r="N245" s="255">
        <f t="shared" si="174"/>
        <v>56</v>
      </c>
      <c r="O245" s="255">
        <f t="shared" si="174"/>
        <v>0</v>
      </c>
      <c r="P245" s="255">
        <f t="shared" si="174"/>
        <v>87</v>
      </c>
      <c r="Q245" s="255">
        <f t="shared" si="175"/>
        <v>-2</v>
      </c>
      <c r="R245" s="277">
        <v>0</v>
      </c>
      <c r="S245" s="277">
        <v>0</v>
      </c>
      <c r="T245" s="277">
        <v>0</v>
      </c>
      <c r="V245" s="277">
        <v>27</v>
      </c>
      <c r="W245" s="277">
        <v>-3</v>
      </c>
      <c r="X245" s="255">
        <f t="shared" si="176"/>
        <v>-2</v>
      </c>
      <c r="Y245" s="255">
        <f t="shared" si="176"/>
        <v>88</v>
      </c>
      <c r="Z245" s="255">
        <f t="shared" si="176"/>
        <v>208</v>
      </c>
      <c r="AA245" s="254">
        <f t="shared" si="177"/>
        <v>-2</v>
      </c>
      <c r="AB245" s="277">
        <v>0</v>
      </c>
      <c r="AC245" s="277">
        <v>0</v>
      </c>
      <c r="AD245" s="277">
        <v>0</v>
      </c>
      <c r="AF245" s="277">
        <v>0</v>
      </c>
      <c r="AG245" s="277">
        <v>0</v>
      </c>
      <c r="AH245" s="277">
        <v>0</v>
      </c>
      <c r="AI245" s="277">
        <v>-2</v>
      </c>
      <c r="AJ245" s="277">
        <v>-1</v>
      </c>
      <c r="AK245" s="277">
        <v>0</v>
      </c>
      <c r="AL245" s="277">
        <v>0</v>
      </c>
      <c r="AM245" s="277">
        <v>88</v>
      </c>
      <c r="AN245" s="277">
        <v>65</v>
      </c>
      <c r="AO245" s="277">
        <v>121</v>
      </c>
      <c r="AP245" s="277">
        <v>121</v>
      </c>
      <c r="AQ245" s="277">
        <v>208</v>
      </c>
      <c r="AR245" s="277">
        <v>-2</v>
      </c>
    </row>
    <row r="246" spans="2:44" ht="10.5" customHeight="1">
      <c r="C246" s="289" t="s">
        <v>344</v>
      </c>
      <c r="E246" s="358">
        <f t="shared" ref="E246:T246" si="178">SUM(E239:E245)</f>
        <v>-1109</v>
      </c>
      <c r="F246" s="358">
        <f t="shared" si="178"/>
        <v>1179</v>
      </c>
      <c r="G246" s="358">
        <f t="shared" si="178"/>
        <v>-366</v>
      </c>
      <c r="H246" s="358">
        <f t="shared" si="178"/>
        <v>-1272</v>
      </c>
      <c r="I246" s="358">
        <f t="shared" si="178"/>
        <v>526</v>
      </c>
      <c r="J246" s="358">
        <f t="shared" si="178"/>
        <v>7688</v>
      </c>
      <c r="K246" s="358">
        <f t="shared" si="178"/>
        <v>1511</v>
      </c>
      <c r="L246" s="358">
        <f t="shared" si="178"/>
        <v>1269</v>
      </c>
      <c r="M246" s="358">
        <f t="shared" si="178"/>
        <v>7013</v>
      </c>
      <c r="N246" s="358">
        <f t="shared" si="178"/>
        <v>445</v>
      </c>
      <c r="O246" s="358">
        <f t="shared" si="178"/>
        <v>-1609</v>
      </c>
      <c r="P246" s="358">
        <f t="shared" si="178"/>
        <v>-561</v>
      </c>
      <c r="Q246" s="358">
        <f>SUM(Q239:Q245)</f>
        <v>-310</v>
      </c>
      <c r="R246" s="358">
        <f t="shared" ca="1" si="178"/>
        <v>-255.79140721987068</v>
      </c>
      <c r="S246" s="358">
        <f t="shared" ca="1" si="178"/>
        <v>88.419308232607648</v>
      </c>
      <c r="T246" s="358">
        <f t="shared" ca="1" si="178"/>
        <v>268.92959898726104</v>
      </c>
      <c r="U246" s="279"/>
      <c r="V246" s="358">
        <f>SUM(V239:V245)</f>
        <v>-1145</v>
      </c>
      <c r="W246" s="358">
        <f>SUM(W239:W245)</f>
        <v>-1672</v>
      </c>
      <c r="X246" s="357">
        <f>+SUMIF($E$5:$T$5,X$5,$E246:$T246)</f>
        <v>-1568</v>
      </c>
      <c r="Y246" s="357">
        <f>+SUMIF($E$5:$T$5,Y$5,$E246:$T246)</f>
        <v>10994</v>
      </c>
      <c r="Z246" s="357">
        <f>+SUMIF($E$5:$T$5,Z$5,$E246:$T246)</f>
        <v>5288</v>
      </c>
      <c r="AA246" s="357">
        <f t="shared" ca="1" si="177"/>
        <v>-208.44250000000204</v>
      </c>
      <c r="AB246" s="358">
        <f ca="1">SUM(AB239:AB245)</f>
        <v>-979.43000000000643</v>
      </c>
      <c r="AC246" s="358">
        <f ca="1">SUM(AC239:AC245)</f>
        <v>492.9300000000087</v>
      </c>
      <c r="AD246" s="358">
        <f ca="1">SUM(AD239:AD245)</f>
        <v>-4320.1075000000046</v>
      </c>
      <c r="AF246" s="358">
        <f t="shared" ref="AF246:AQ246" si="179">SUM(AF239:AF245)</f>
        <v>-1109</v>
      </c>
      <c r="AG246" s="358">
        <f t="shared" si="179"/>
        <v>70</v>
      </c>
      <c r="AH246" s="358">
        <f t="shared" si="179"/>
        <v>-296</v>
      </c>
      <c r="AI246" s="358">
        <f t="shared" si="179"/>
        <v>-1568</v>
      </c>
      <c r="AJ246" s="358">
        <f t="shared" si="179"/>
        <v>526</v>
      </c>
      <c r="AK246" s="358">
        <f t="shared" si="179"/>
        <v>8214</v>
      </c>
      <c r="AL246" s="358">
        <f t="shared" si="179"/>
        <v>9725</v>
      </c>
      <c r="AM246" s="358">
        <f t="shared" si="179"/>
        <v>10994</v>
      </c>
      <c r="AN246" s="358">
        <f t="shared" si="179"/>
        <v>7013</v>
      </c>
      <c r="AO246" s="358">
        <f t="shared" si="179"/>
        <v>7458</v>
      </c>
      <c r="AP246" s="358">
        <f t="shared" si="179"/>
        <v>5849</v>
      </c>
      <c r="AQ246" s="358">
        <f t="shared" si="179"/>
        <v>5288</v>
      </c>
      <c r="AR246" s="358">
        <f>SUM(AR239:AR245)</f>
        <v>-310</v>
      </c>
    </row>
    <row r="247" spans="2:44" ht="10.5" customHeight="1">
      <c r="C247" s="279"/>
      <c r="E247" s="255"/>
      <c r="F247" s="255"/>
      <c r="G247" s="255"/>
      <c r="H247" s="255"/>
      <c r="I247" s="255"/>
      <c r="J247" s="255"/>
      <c r="K247" s="255"/>
      <c r="L247" s="255"/>
      <c r="M247" s="255"/>
      <c r="N247" s="255"/>
      <c r="O247" s="255"/>
      <c r="P247" s="255"/>
      <c r="Q247" s="255"/>
      <c r="R247" s="255"/>
      <c r="S247" s="255"/>
      <c r="T247" s="255"/>
      <c r="V247" s="255"/>
      <c r="W247" s="255"/>
      <c r="AB247" s="255"/>
      <c r="AC247" s="255"/>
      <c r="AD247" s="255"/>
      <c r="AF247" s="255"/>
      <c r="AG247" s="255"/>
      <c r="AH247" s="255"/>
      <c r="AI247" s="255"/>
      <c r="AJ247" s="255"/>
      <c r="AK247" s="255"/>
      <c r="AL247" s="255"/>
      <c r="AM247" s="255"/>
      <c r="AN247" s="255"/>
      <c r="AO247" s="255"/>
      <c r="AP247" s="255"/>
      <c r="AQ247" s="255"/>
      <c r="AR247" s="255"/>
    </row>
    <row r="248" spans="2:44" s="255" customFormat="1" ht="10.5" customHeight="1">
      <c r="C248" s="255" t="s">
        <v>985</v>
      </c>
      <c r="E248" s="255">
        <f t="shared" ref="E248:T248" si="180">E246+E237+E224</f>
        <v>62</v>
      </c>
      <c r="F248" s="255">
        <f t="shared" si="180"/>
        <v>-18</v>
      </c>
      <c r="G248" s="255">
        <f t="shared" si="180"/>
        <v>-7</v>
      </c>
      <c r="H248" s="255">
        <f t="shared" si="180"/>
        <v>-33</v>
      </c>
      <c r="I248" s="255">
        <f t="shared" si="180"/>
        <v>196</v>
      </c>
      <c r="J248" s="255">
        <f t="shared" si="180"/>
        <v>-19</v>
      </c>
      <c r="K248" s="255">
        <f t="shared" si="180"/>
        <v>-170</v>
      </c>
      <c r="L248" s="255">
        <f t="shared" si="180"/>
        <v>102</v>
      </c>
      <c r="M248" s="255">
        <f t="shared" si="180"/>
        <v>35</v>
      </c>
      <c r="N248" s="255">
        <f t="shared" si="180"/>
        <v>31</v>
      </c>
      <c r="O248" s="255">
        <f t="shared" si="180"/>
        <v>-34</v>
      </c>
      <c r="P248" s="255">
        <f t="shared" si="180"/>
        <v>-23</v>
      </c>
      <c r="Q248" s="255">
        <f t="shared" si="180"/>
        <v>104</v>
      </c>
      <c r="R248" s="255">
        <f t="shared" ca="1" si="180"/>
        <v>-26</v>
      </c>
      <c r="S248" s="255">
        <f t="shared" ca="1" si="180"/>
        <v>0</v>
      </c>
      <c r="T248" s="255">
        <f t="shared" ca="1" si="180"/>
        <v>0</v>
      </c>
      <c r="V248" s="255">
        <f t="shared" ref="V248:AD248" si="181">V246+V237+V224</f>
        <v>-37</v>
      </c>
      <c r="W248" s="255">
        <f t="shared" si="181"/>
        <v>-112</v>
      </c>
      <c r="X248" s="255">
        <f t="shared" si="181"/>
        <v>4</v>
      </c>
      <c r="Y248" s="255">
        <f t="shared" si="181"/>
        <v>109</v>
      </c>
      <c r="Z248" s="255">
        <f t="shared" si="181"/>
        <v>9</v>
      </c>
      <c r="AA248" s="255">
        <f t="shared" ca="1" si="181"/>
        <v>77.999999999999545</v>
      </c>
      <c r="AB248" s="255">
        <f t="shared" ca="1" si="181"/>
        <v>0</v>
      </c>
      <c r="AC248" s="255">
        <f t="shared" ca="1" si="181"/>
        <v>0</v>
      </c>
      <c r="AD248" s="255">
        <f t="shared" ca="1" si="181"/>
        <v>0</v>
      </c>
      <c r="AF248" s="255">
        <f t="shared" ref="AF248:AR248" si="182">AF246+AF237+AF224</f>
        <v>62</v>
      </c>
      <c r="AG248" s="255">
        <f t="shared" si="182"/>
        <v>44</v>
      </c>
      <c r="AH248" s="255">
        <f t="shared" si="182"/>
        <v>37</v>
      </c>
      <c r="AI248" s="255">
        <f t="shared" si="182"/>
        <v>4</v>
      </c>
      <c r="AJ248" s="255">
        <f t="shared" si="182"/>
        <v>196</v>
      </c>
      <c r="AK248" s="255">
        <f t="shared" si="182"/>
        <v>177</v>
      </c>
      <c r="AL248" s="255">
        <f t="shared" si="182"/>
        <v>7</v>
      </c>
      <c r="AM248" s="255">
        <f t="shared" si="182"/>
        <v>109</v>
      </c>
      <c r="AN248" s="255">
        <f t="shared" si="182"/>
        <v>35</v>
      </c>
      <c r="AO248" s="255">
        <f t="shared" si="182"/>
        <v>66</v>
      </c>
      <c r="AP248" s="255">
        <f t="shared" si="182"/>
        <v>32</v>
      </c>
      <c r="AQ248" s="255">
        <f t="shared" si="182"/>
        <v>9</v>
      </c>
      <c r="AR248" s="255">
        <f t="shared" si="182"/>
        <v>104</v>
      </c>
    </row>
    <row r="249" spans="2:44" s="255" customFormat="1" ht="10.5" customHeight="1">
      <c r="C249" s="255" t="s">
        <v>986</v>
      </c>
      <c r="E249" s="255">
        <f>AF249</f>
        <v>286</v>
      </c>
      <c r="F249" s="255">
        <f t="shared" ref="F249:T249" si="183">E250</f>
        <v>348</v>
      </c>
      <c r="G249" s="255">
        <f t="shared" si="183"/>
        <v>330</v>
      </c>
      <c r="H249" s="255">
        <f t="shared" si="183"/>
        <v>323</v>
      </c>
      <c r="I249" s="255">
        <f t="shared" si="183"/>
        <v>290</v>
      </c>
      <c r="J249" s="255">
        <f t="shared" si="183"/>
        <v>486</v>
      </c>
      <c r="K249" s="255">
        <f t="shared" si="183"/>
        <v>467</v>
      </c>
      <c r="L249" s="255">
        <f t="shared" si="183"/>
        <v>297</v>
      </c>
      <c r="M249" s="255">
        <f t="shared" si="183"/>
        <v>399</v>
      </c>
      <c r="N249" s="255">
        <f t="shared" si="183"/>
        <v>434</v>
      </c>
      <c r="O249" s="255">
        <f t="shared" si="183"/>
        <v>465</v>
      </c>
      <c r="P249" s="255">
        <f t="shared" si="183"/>
        <v>431</v>
      </c>
      <c r="Q249" s="255">
        <f t="shared" si="183"/>
        <v>408</v>
      </c>
      <c r="R249" s="255">
        <f t="shared" si="183"/>
        <v>512</v>
      </c>
      <c r="S249" s="255">
        <f t="shared" ca="1" si="183"/>
        <v>486</v>
      </c>
      <c r="T249" s="255">
        <f t="shared" ca="1" si="183"/>
        <v>486</v>
      </c>
      <c r="V249" s="277">
        <v>435</v>
      </c>
      <c r="W249" s="255">
        <f>V250</f>
        <v>398</v>
      </c>
      <c r="X249" s="255">
        <f t="shared" ref="X249:AD249" si="184">W250</f>
        <v>286</v>
      </c>
      <c r="Y249" s="255">
        <f t="shared" si="184"/>
        <v>290</v>
      </c>
      <c r="Z249" s="255">
        <f t="shared" si="184"/>
        <v>399</v>
      </c>
      <c r="AA249" s="255">
        <f t="shared" si="184"/>
        <v>408</v>
      </c>
      <c r="AB249" s="255">
        <f t="shared" ca="1" si="184"/>
        <v>485.99999999999955</v>
      </c>
      <c r="AC249" s="255">
        <f t="shared" ca="1" si="184"/>
        <v>485.99999999999955</v>
      </c>
      <c r="AD249" s="255">
        <f t="shared" ca="1" si="184"/>
        <v>485.99999999999955</v>
      </c>
      <c r="AF249" s="277">
        <v>286</v>
      </c>
      <c r="AG249" s="288">
        <f>AF249</f>
        <v>286</v>
      </c>
      <c r="AH249" s="288">
        <f>AG249</f>
        <v>286</v>
      </c>
      <c r="AI249" s="288">
        <f>AH249</f>
        <v>286</v>
      </c>
      <c r="AJ249" s="254">
        <f>AI250</f>
        <v>290</v>
      </c>
      <c r="AK249" s="288">
        <f>AJ249</f>
        <v>290</v>
      </c>
      <c r="AL249" s="288">
        <f>AK249</f>
        <v>290</v>
      </c>
      <c r="AM249" s="288">
        <f>AL249</f>
        <v>290</v>
      </c>
      <c r="AN249" s="254">
        <f>AM250</f>
        <v>399</v>
      </c>
      <c r="AO249" s="288">
        <f>AN249</f>
        <v>399</v>
      </c>
      <c r="AP249" s="288">
        <f>AO249</f>
        <v>399</v>
      </c>
      <c r="AQ249" s="288">
        <f>AP249</f>
        <v>399</v>
      </c>
      <c r="AR249" s="254">
        <f>AQ250</f>
        <v>408</v>
      </c>
    </row>
    <row r="250" spans="2:44" s="255" customFormat="1" ht="10.5" customHeight="1">
      <c r="C250" s="286" t="s">
        <v>987</v>
      </c>
      <c r="E250" s="358">
        <f t="shared" ref="E250:T250" si="185">SUM(E248:E249)</f>
        <v>348</v>
      </c>
      <c r="F250" s="358">
        <f t="shared" si="185"/>
        <v>330</v>
      </c>
      <c r="G250" s="358">
        <f t="shared" si="185"/>
        <v>323</v>
      </c>
      <c r="H250" s="358">
        <f t="shared" si="185"/>
        <v>290</v>
      </c>
      <c r="I250" s="358">
        <f t="shared" si="185"/>
        <v>486</v>
      </c>
      <c r="J250" s="358">
        <f t="shared" si="185"/>
        <v>467</v>
      </c>
      <c r="K250" s="358">
        <f t="shared" si="185"/>
        <v>297</v>
      </c>
      <c r="L250" s="358">
        <f t="shared" si="185"/>
        <v>399</v>
      </c>
      <c r="M250" s="358">
        <f t="shared" si="185"/>
        <v>434</v>
      </c>
      <c r="N250" s="358">
        <f t="shared" si="185"/>
        <v>465</v>
      </c>
      <c r="O250" s="358">
        <f t="shared" si="185"/>
        <v>431</v>
      </c>
      <c r="P250" s="358">
        <f t="shared" si="185"/>
        <v>408</v>
      </c>
      <c r="Q250" s="358">
        <f>SUM(Q248:Q249)</f>
        <v>512</v>
      </c>
      <c r="R250" s="358">
        <f t="shared" ca="1" si="185"/>
        <v>486</v>
      </c>
      <c r="S250" s="358">
        <f t="shared" ca="1" si="185"/>
        <v>486</v>
      </c>
      <c r="T250" s="358">
        <f t="shared" ca="1" si="185"/>
        <v>486</v>
      </c>
      <c r="U250" s="283"/>
      <c r="V250" s="358">
        <f t="shared" ref="V250:AD250" si="186">SUM(V248:V249)</f>
        <v>398</v>
      </c>
      <c r="W250" s="358">
        <f t="shared" si="186"/>
        <v>286</v>
      </c>
      <c r="X250" s="358">
        <f t="shared" si="186"/>
        <v>290</v>
      </c>
      <c r="Y250" s="358">
        <f t="shared" si="186"/>
        <v>399</v>
      </c>
      <c r="Z250" s="358">
        <f t="shared" si="186"/>
        <v>408</v>
      </c>
      <c r="AA250" s="358">
        <f t="shared" ca="1" si="186"/>
        <v>485.99999999999955</v>
      </c>
      <c r="AB250" s="358">
        <f t="shared" ca="1" si="186"/>
        <v>485.99999999999955</v>
      </c>
      <c r="AC250" s="358">
        <f t="shared" ca="1" si="186"/>
        <v>485.99999999999955</v>
      </c>
      <c r="AD250" s="358">
        <f t="shared" ca="1" si="186"/>
        <v>485.99999999999955</v>
      </c>
      <c r="AF250" s="358">
        <f t="shared" ref="AF250:AQ250" si="187">SUM(AF248:AF249)</f>
        <v>348</v>
      </c>
      <c r="AG250" s="358">
        <f t="shared" si="187"/>
        <v>330</v>
      </c>
      <c r="AH250" s="358">
        <f t="shared" si="187"/>
        <v>323</v>
      </c>
      <c r="AI250" s="358">
        <f t="shared" si="187"/>
        <v>290</v>
      </c>
      <c r="AJ250" s="358">
        <f t="shared" si="187"/>
        <v>486</v>
      </c>
      <c r="AK250" s="358">
        <f t="shared" si="187"/>
        <v>467</v>
      </c>
      <c r="AL250" s="358">
        <f t="shared" si="187"/>
        <v>297</v>
      </c>
      <c r="AM250" s="358">
        <f t="shared" si="187"/>
        <v>399</v>
      </c>
      <c r="AN250" s="358">
        <f t="shared" si="187"/>
        <v>434</v>
      </c>
      <c r="AO250" s="358">
        <f t="shared" si="187"/>
        <v>465</v>
      </c>
      <c r="AP250" s="358">
        <f t="shared" si="187"/>
        <v>431</v>
      </c>
      <c r="AQ250" s="358">
        <f t="shared" si="187"/>
        <v>408</v>
      </c>
      <c r="AR250" s="358">
        <f>SUM(AR248:AR249)</f>
        <v>512</v>
      </c>
    </row>
    <row r="251" spans="2:44" ht="10.5" customHeight="1">
      <c r="E251" s="255"/>
    </row>
    <row r="252" spans="2:44" ht="10.5" customHeight="1">
      <c r="C252" s="653" t="s">
        <v>233</v>
      </c>
      <c r="E252" s="516">
        <f t="shared" ref="E252:T252" si="188">ROUND(E105+E107-E250,0)</f>
        <v>0</v>
      </c>
      <c r="F252" s="516">
        <f t="shared" si="188"/>
        <v>0</v>
      </c>
      <c r="G252" s="516">
        <f t="shared" si="188"/>
        <v>0</v>
      </c>
      <c r="H252" s="516">
        <f t="shared" si="188"/>
        <v>0</v>
      </c>
      <c r="I252" s="516">
        <f t="shared" si="188"/>
        <v>0</v>
      </c>
      <c r="J252" s="516">
        <f t="shared" si="188"/>
        <v>0</v>
      </c>
      <c r="K252" s="516">
        <f t="shared" si="188"/>
        <v>0</v>
      </c>
      <c r="L252" s="516">
        <f t="shared" si="188"/>
        <v>0</v>
      </c>
      <c r="M252" s="516">
        <f t="shared" si="188"/>
        <v>0</v>
      </c>
      <c r="N252" s="516">
        <f t="shared" si="188"/>
        <v>0</v>
      </c>
      <c r="O252" s="516">
        <f t="shared" si="188"/>
        <v>0</v>
      </c>
      <c r="P252" s="516">
        <f t="shared" si="188"/>
        <v>0</v>
      </c>
      <c r="Q252" s="516">
        <f t="shared" si="188"/>
        <v>0</v>
      </c>
      <c r="R252" s="516">
        <f t="shared" ca="1" si="188"/>
        <v>0</v>
      </c>
      <c r="S252" s="516">
        <f t="shared" ca="1" si="188"/>
        <v>0</v>
      </c>
      <c r="T252" s="516">
        <f t="shared" ca="1" si="188"/>
        <v>0</v>
      </c>
      <c r="U252" s="516"/>
      <c r="V252" s="516">
        <f t="shared" ref="V252:AD252" si="189">ROUND(V105+V107-V250,0)</f>
        <v>0</v>
      </c>
      <c r="W252" s="516">
        <f t="shared" si="189"/>
        <v>0</v>
      </c>
      <c r="X252" s="516">
        <f t="shared" si="189"/>
        <v>0</v>
      </c>
      <c r="Y252" s="516">
        <f t="shared" si="189"/>
        <v>0</v>
      </c>
      <c r="Z252" s="516">
        <f t="shared" si="189"/>
        <v>0</v>
      </c>
      <c r="AA252" s="516">
        <f t="shared" ca="1" si="189"/>
        <v>0</v>
      </c>
      <c r="AB252" s="516">
        <f t="shared" ca="1" si="189"/>
        <v>0</v>
      </c>
      <c r="AC252" s="516">
        <f t="shared" ca="1" si="189"/>
        <v>0</v>
      </c>
      <c r="AD252" s="516">
        <f t="shared" ca="1" si="189"/>
        <v>0</v>
      </c>
      <c r="AE252" s="516"/>
      <c r="AF252" s="516">
        <f t="shared" ref="AF252:AR252" si="190">E105+E107-AF250</f>
        <v>0</v>
      </c>
      <c r="AG252" s="516">
        <f t="shared" si="190"/>
        <v>0</v>
      </c>
      <c r="AH252" s="516">
        <f t="shared" si="190"/>
        <v>0</v>
      </c>
      <c r="AI252" s="516">
        <f t="shared" si="190"/>
        <v>0</v>
      </c>
      <c r="AJ252" s="516">
        <f t="shared" si="190"/>
        <v>0</v>
      </c>
      <c r="AK252" s="516">
        <f t="shared" si="190"/>
        <v>0</v>
      </c>
      <c r="AL252" s="516">
        <f t="shared" si="190"/>
        <v>0</v>
      </c>
      <c r="AM252" s="516">
        <f t="shared" si="190"/>
        <v>0</v>
      </c>
      <c r="AN252" s="516">
        <f t="shared" si="190"/>
        <v>0</v>
      </c>
      <c r="AO252" s="516">
        <f t="shared" si="190"/>
        <v>0</v>
      </c>
      <c r="AP252" s="516">
        <f t="shared" si="190"/>
        <v>0</v>
      </c>
      <c r="AQ252" s="516">
        <f t="shared" si="190"/>
        <v>0</v>
      </c>
      <c r="AR252" s="516">
        <f t="shared" si="190"/>
        <v>0</v>
      </c>
    </row>
    <row r="253" spans="2:44" ht="10.5" customHeight="1">
      <c r="B253" s="253" t="s">
        <v>133</v>
      </c>
    </row>
    <row r="254" spans="2:44" ht="10.5" customHeight="1">
      <c r="E254" s="255"/>
    </row>
    <row r="255" spans="2:44" ht="10.5" customHeight="1">
      <c r="E255" s="255"/>
    </row>
    <row r="256" spans="2:44" ht="10.5" customHeight="1">
      <c r="E256" s="255"/>
    </row>
    <row r="257" spans="5:5" ht="10.5" customHeight="1">
      <c r="E257" s="255"/>
    </row>
    <row r="258" spans="5:5" ht="10.5" customHeight="1">
      <c r="E258" s="255"/>
    </row>
    <row r="259" spans="5:5" ht="10.5" customHeight="1">
      <c r="E259" s="255"/>
    </row>
    <row r="260" spans="5:5" ht="10.5" customHeight="1">
      <c r="E260" s="255"/>
    </row>
    <row r="261" spans="5:5" ht="10.5" customHeight="1">
      <c r="E261" s="255"/>
    </row>
  </sheetData>
  <pageMargins left="0.7" right="0.7" top="0.75" bottom="0.75" header="0.3" footer="0.3"/>
  <pageSetup orientation="portrait" horizontalDpi="300" verticalDpi="300" r:id="rId1"/>
  <ignoredErrors>
    <ignoredError sqref="I242:N244 I224:N232 I245:N250 I233:N240" formula="1"/>
    <ignoredError sqref="Q80:T80 E142:T142 E140:Q140 E135:T138"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644C9-47E0-4D11-BB6A-D846EE183569}">
  <sheetPr>
    <tabColor theme="8" tint="0.39997558519241921"/>
  </sheetPr>
  <dimension ref="A1:AR287"/>
  <sheetViews>
    <sheetView showGridLines="0" zoomScaleNormal="100" workbookViewId="0">
      <pane xSplit="4" ySplit="6" topLeftCell="E7" activePane="bottomRight" state="frozen"/>
      <selection pane="topRight"/>
      <selection pane="bottomLeft"/>
      <selection pane="bottomRight" activeCell="Q6" sqref="Q6"/>
    </sheetView>
  </sheetViews>
  <sheetFormatPr defaultColWidth="8.796875" defaultRowHeight="11.25" customHeight="1" outlineLevelRow="1" outlineLevelCol="1"/>
  <cols>
    <col min="1" max="2" width="1.796875" style="253" customWidth="1"/>
    <col min="3" max="3" width="35.796875" style="253" customWidth="1"/>
    <col min="4" max="4" width="8.796875" style="253" hidden="1" customWidth="1" outlineLevel="1"/>
    <col min="5" max="5" width="8.796875" style="253" bestFit="1" customWidth="1" collapsed="1"/>
    <col min="6" max="6" width="8.796875" style="253" bestFit="1" customWidth="1"/>
    <col min="7" max="7" width="9.19921875" style="253" bestFit="1" customWidth="1"/>
    <col min="8" max="16" width="8.796875" style="253" bestFit="1" customWidth="1"/>
    <col min="17" max="17" width="8.796875" style="253"/>
    <col min="18" max="20" width="8.796875" style="253" outlineLevel="1"/>
    <col min="21" max="21" width="8.796875" style="253"/>
    <col min="22" max="22" width="10.73046875" style="253" bestFit="1" customWidth="1"/>
    <col min="23" max="24" width="9.19921875" style="253" bestFit="1" customWidth="1"/>
    <col min="25" max="26" width="8.796875" style="253" bestFit="1" customWidth="1"/>
    <col min="27" max="16384" width="8.796875" style="253"/>
  </cols>
  <sheetData>
    <row r="1" spans="1:43" ht="11.25" customHeight="1">
      <c r="A1" s="378" t="str">
        <f ca="1">'AAL One Pager'!$D$2</f>
        <v>American Airlines Group Inc</v>
      </c>
    </row>
    <row r="2" spans="1:43" ht="11.25" customHeight="1">
      <c r="A2" s="278" t="str">
        <f>'AAL Financials'!$A$2</f>
        <v>(All Values in US$ millions)</v>
      </c>
    </row>
    <row r="3" spans="1:43" ht="11.25" customHeight="1">
      <c r="A3" s="293"/>
      <c r="B3" s="293"/>
      <c r="C3" s="334"/>
      <c r="D3" s="293"/>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93"/>
      <c r="AM3" s="293"/>
      <c r="AN3" s="293"/>
      <c r="AO3" s="293"/>
      <c r="AP3" s="293"/>
      <c r="AQ3" s="293"/>
    </row>
    <row r="4" spans="1:43" ht="11.25" customHeight="1">
      <c r="A4" s="293"/>
      <c r="B4" s="293"/>
      <c r="C4" s="334"/>
      <c r="D4" s="293"/>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93"/>
      <c r="AH4" s="293"/>
      <c r="AI4" s="293"/>
      <c r="AJ4" s="293"/>
      <c r="AK4" s="293"/>
      <c r="AL4" s="293"/>
      <c r="AM4" s="293"/>
      <c r="AN4" s="293"/>
      <c r="AO4" s="293"/>
      <c r="AP4" s="293"/>
      <c r="AQ4" s="293"/>
    </row>
    <row r="5" spans="1:43" ht="12.75" customHeight="1">
      <c r="B5" s="276"/>
      <c r="C5" s="633" t="s">
        <v>65</v>
      </c>
      <c r="D5" s="276"/>
      <c r="E5" s="275">
        <f t="shared" ref="E5:T5" si="0">YEAR(E6)</f>
        <v>2019</v>
      </c>
      <c r="F5" s="274">
        <f t="shared" si="0"/>
        <v>2019</v>
      </c>
      <c r="G5" s="273">
        <f t="shared" si="0"/>
        <v>2019</v>
      </c>
      <c r="H5" s="272">
        <f t="shared" si="0"/>
        <v>2019</v>
      </c>
      <c r="I5" s="275">
        <f t="shared" si="0"/>
        <v>2020</v>
      </c>
      <c r="J5" s="274">
        <f t="shared" si="0"/>
        <v>2020</v>
      </c>
      <c r="K5" s="273">
        <f t="shared" si="0"/>
        <v>2020</v>
      </c>
      <c r="L5" s="272">
        <f t="shared" si="0"/>
        <v>2020</v>
      </c>
      <c r="M5" s="275">
        <f t="shared" si="0"/>
        <v>2021</v>
      </c>
      <c r="N5" s="274">
        <f t="shared" si="0"/>
        <v>2021</v>
      </c>
      <c r="O5" s="273">
        <f t="shared" si="0"/>
        <v>2021</v>
      </c>
      <c r="P5" s="272">
        <f t="shared" si="0"/>
        <v>2021</v>
      </c>
      <c r="Q5" s="275">
        <f t="shared" si="0"/>
        <v>2022</v>
      </c>
      <c r="R5" s="364">
        <f t="shared" si="0"/>
        <v>2022</v>
      </c>
      <c r="S5" s="365">
        <f t="shared" si="0"/>
        <v>2022</v>
      </c>
      <c r="T5" s="366">
        <f t="shared" si="0"/>
        <v>2022</v>
      </c>
      <c r="U5" s="265"/>
      <c r="V5" s="271">
        <f t="shared" ref="V5:AD5" si="1">YEAR(V6)</f>
        <v>2017</v>
      </c>
      <c r="W5" s="271">
        <f t="shared" si="1"/>
        <v>2018</v>
      </c>
      <c r="X5" s="271">
        <f t="shared" si="1"/>
        <v>2019</v>
      </c>
      <c r="Y5" s="271">
        <f t="shared" si="1"/>
        <v>2020</v>
      </c>
      <c r="Z5" s="271">
        <f t="shared" si="1"/>
        <v>2021</v>
      </c>
      <c r="AA5" s="270">
        <f t="shared" si="1"/>
        <v>2022</v>
      </c>
      <c r="AB5" s="270">
        <f t="shared" si="1"/>
        <v>2023</v>
      </c>
      <c r="AC5" s="270">
        <f t="shared" si="1"/>
        <v>2024</v>
      </c>
      <c r="AD5" s="270">
        <f t="shared" si="1"/>
        <v>2025</v>
      </c>
      <c r="AE5" s="269"/>
      <c r="AF5" s="268" t="s">
        <v>231</v>
      </c>
      <c r="AG5" s="267"/>
      <c r="AH5" s="267"/>
      <c r="AI5" s="267"/>
      <c r="AJ5" s="267"/>
      <c r="AK5" s="267"/>
      <c r="AL5" s="267"/>
      <c r="AM5" s="267"/>
      <c r="AN5" s="267"/>
      <c r="AO5" s="267"/>
      <c r="AP5" s="267"/>
      <c r="AQ5" s="267"/>
    </row>
    <row r="6" spans="1:43" s="260" customFormat="1" ht="12.75" customHeight="1">
      <c r="A6" s="253"/>
      <c r="B6" s="262"/>
      <c r="C6" s="262" t="s">
        <v>232</v>
      </c>
      <c r="D6" s="262"/>
      <c r="E6" s="262">
        <v>43555</v>
      </c>
      <c r="F6" s="262">
        <f t="shared" ref="F6:T6" si="2">+EOMONTH(E6,3)</f>
        <v>43646</v>
      </c>
      <c r="G6" s="262">
        <f t="shared" si="2"/>
        <v>43738</v>
      </c>
      <c r="H6" s="262">
        <f t="shared" si="2"/>
        <v>43830</v>
      </c>
      <c r="I6" s="262">
        <f t="shared" si="2"/>
        <v>43921</v>
      </c>
      <c r="J6" s="262">
        <f t="shared" si="2"/>
        <v>44012</v>
      </c>
      <c r="K6" s="262">
        <f t="shared" si="2"/>
        <v>44104</v>
      </c>
      <c r="L6" s="262">
        <f t="shared" si="2"/>
        <v>44196</v>
      </c>
      <c r="M6" s="262">
        <f t="shared" si="2"/>
        <v>44286</v>
      </c>
      <c r="N6" s="262">
        <f t="shared" si="2"/>
        <v>44377</v>
      </c>
      <c r="O6" s="262">
        <f t="shared" si="2"/>
        <v>44469</v>
      </c>
      <c r="P6" s="262">
        <f t="shared" si="2"/>
        <v>44561</v>
      </c>
      <c r="Q6" s="262">
        <f t="shared" si="2"/>
        <v>44651</v>
      </c>
      <c r="R6" s="262">
        <f t="shared" si="2"/>
        <v>44742</v>
      </c>
      <c r="S6" s="262">
        <f t="shared" si="2"/>
        <v>44834</v>
      </c>
      <c r="T6" s="262">
        <f t="shared" si="2"/>
        <v>44926</v>
      </c>
      <c r="U6" s="265"/>
      <c r="V6" s="261">
        <v>43100</v>
      </c>
      <c r="W6" s="261">
        <f t="shared" ref="W6:AD6" si="3">EOMONTH(V6,12)</f>
        <v>43465</v>
      </c>
      <c r="X6" s="261">
        <f t="shared" si="3"/>
        <v>43830</v>
      </c>
      <c r="Y6" s="261">
        <f t="shared" si="3"/>
        <v>44196</v>
      </c>
      <c r="Z6" s="261">
        <f t="shared" si="3"/>
        <v>44561</v>
      </c>
      <c r="AA6" s="261">
        <f t="shared" si="3"/>
        <v>44926</v>
      </c>
      <c r="AB6" s="264">
        <f t="shared" si="3"/>
        <v>45291</v>
      </c>
      <c r="AC6" s="264">
        <f t="shared" si="3"/>
        <v>45657</v>
      </c>
      <c r="AD6" s="264">
        <f t="shared" si="3"/>
        <v>46022</v>
      </c>
      <c r="AE6" s="263"/>
      <c r="AF6" s="262">
        <v>43555</v>
      </c>
      <c r="AG6" s="261">
        <f t="shared" ref="AG6:AQ6" si="4">+EOMONTH(AF6,3)</f>
        <v>43646</v>
      </c>
      <c r="AH6" s="261">
        <f t="shared" si="4"/>
        <v>43738</v>
      </c>
      <c r="AI6" s="261">
        <f t="shared" si="4"/>
        <v>43830</v>
      </c>
      <c r="AJ6" s="261">
        <f t="shared" si="4"/>
        <v>43921</v>
      </c>
      <c r="AK6" s="261">
        <f t="shared" si="4"/>
        <v>44012</v>
      </c>
      <c r="AL6" s="261">
        <f t="shared" si="4"/>
        <v>44104</v>
      </c>
      <c r="AM6" s="261">
        <f t="shared" si="4"/>
        <v>44196</v>
      </c>
      <c r="AN6" s="262">
        <f t="shared" si="4"/>
        <v>44286</v>
      </c>
      <c r="AO6" s="262">
        <f t="shared" si="4"/>
        <v>44377</v>
      </c>
      <c r="AP6" s="262">
        <f t="shared" si="4"/>
        <v>44469</v>
      </c>
      <c r="AQ6" s="261">
        <f t="shared" si="4"/>
        <v>44561</v>
      </c>
    </row>
    <row r="8" spans="1:43" ht="11.25" customHeight="1">
      <c r="B8" s="258" t="s">
        <v>133</v>
      </c>
      <c r="C8" s="259" t="s">
        <v>417</v>
      </c>
      <c r="D8" s="259"/>
      <c r="E8" s="258"/>
      <c r="F8" s="258"/>
      <c r="G8" s="258"/>
      <c r="H8" s="258"/>
      <c r="I8" s="258"/>
      <c r="J8" s="258"/>
      <c r="K8" s="258"/>
      <c r="L8" s="258"/>
      <c r="M8" s="258"/>
      <c r="N8" s="258"/>
      <c r="O8" s="258"/>
      <c r="P8" s="258"/>
      <c r="Q8" s="258"/>
      <c r="R8" s="258"/>
      <c r="S8" s="258"/>
      <c r="T8" s="258"/>
      <c r="U8" s="255"/>
      <c r="V8" s="258"/>
      <c r="W8" s="258"/>
      <c r="X8" s="258"/>
      <c r="Y8" s="258"/>
      <c r="Z8" s="258"/>
      <c r="AA8" s="258"/>
      <c r="AB8" s="258"/>
      <c r="AC8" s="258"/>
      <c r="AD8" s="258"/>
    </row>
    <row r="9" spans="1:43" ht="11.25" customHeight="1">
      <c r="R9" s="257"/>
    </row>
    <row r="10" spans="1:43" ht="11.25" customHeight="1">
      <c r="C10" s="253" t="str">
        <f>'AAL Financials'!C10</f>
        <v>Passenger</v>
      </c>
      <c r="E10" s="287">
        <f>'AAL Financials'!E10</f>
        <v>9658</v>
      </c>
      <c r="F10" s="287">
        <f>'AAL Financials'!F10</f>
        <v>11011</v>
      </c>
      <c r="G10" s="287">
        <f>'AAL Financials'!G10</f>
        <v>10995</v>
      </c>
      <c r="H10" s="287">
        <f>'AAL Financials'!H10</f>
        <v>10347</v>
      </c>
      <c r="I10" s="287">
        <f>'AAL Financials'!I10</f>
        <v>7681</v>
      </c>
      <c r="J10" s="287">
        <f>'AAL Financials'!J10</f>
        <v>1108</v>
      </c>
      <c r="K10" s="287">
        <f>'AAL Financials'!K10</f>
        <v>2540</v>
      </c>
      <c r="L10" s="287">
        <f>'AAL Financials'!L10</f>
        <v>3190</v>
      </c>
      <c r="M10" s="287">
        <f>'AAL Financials'!M10</f>
        <v>3179</v>
      </c>
      <c r="N10" s="287">
        <f>'AAL Financials'!N10</f>
        <v>6545</v>
      </c>
      <c r="O10" s="287">
        <f>'AAL Financials'!O10</f>
        <v>7957</v>
      </c>
      <c r="P10" s="287">
        <f>'AAL Financials'!P10</f>
        <v>8382</v>
      </c>
      <c r="Q10" s="287">
        <f>'AAL Financials'!Q10</f>
        <v>7818</v>
      </c>
      <c r="R10" s="254">
        <f>R93</f>
        <v>11285.026002582352</v>
      </c>
      <c r="S10" s="254">
        <f>S93</f>
        <v>11382.912619821385</v>
      </c>
      <c r="T10" s="254">
        <f>T93</f>
        <v>10496.174214792838</v>
      </c>
      <c r="V10" s="287">
        <f>'AAL Financials'!V10</f>
        <v>39131</v>
      </c>
      <c r="W10" s="287">
        <f>'AAL Financials'!W10</f>
        <v>40676</v>
      </c>
      <c r="X10" s="254">
        <f t="shared" ref="X10:AA12" si="5">+SUMIF($E$5:$T$5,X$5,$E10:$T10)</f>
        <v>42011</v>
      </c>
      <c r="Y10" s="254">
        <f t="shared" si="5"/>
        <v>14519</v>
      </c>
      <c r="Z10" s="254">
        <f t="shared" si="5"/>
        <v>26063</v>
      </c>
      <c r="AA10" s="254">
        <f t="shared" si="5"/>
        <v>40982.112837196575</v>
      </c>
      <c r="AB10" s="254">
        <f>AB93</f>
        <v>44721.565900572816</v>
      </c>
      <c r="AC10" s="254">
        <f>AC93</f>
        <v>47707.320635023789</v>
      </c>
      <c r="AD10" s="254">
        <f>AD93</f>
        <v>48700.309107129862</v>
      </c>
    </row>
    <row r="11" spans="1:43" ht="11.25" customHeight="1">
      <c r="C11" s="253" t="str">
        <f>'AAL Financials'!C11</f>
        <v>Cargo</v>
      </c>
      <c r="E11" s="287">
        <f>'AAL Financials'!E11</f>
        <v>218</v>
      </c>
      <c r="F11" s="287">
        <f>'AAL Financials'!F11</f>
        <v>221</v>
      </c>
      <c r="G11" s="287">
        <f>'AAL Financials'!G11</f>
        <v>208</v>
      </c>
      <c r="H11" s="287">
        <f>'AAL Financials'!H11</f>
        <v>216</v>
      </c>
      <c r="I11" s="287">
        <f>'AAL Financials'!I11</f>
        <v>147</v>
      </c>
      <c r="J11" s="287">
        <f>'AAL Financials'!J11</f>
        <v>130</v>
      </c>
      <c r="K11" s="287">
        <f>'AAL Financials'!K11</f>
        <v>207</v>
      </c>
      <c r="L11" s="287">
        <f>'AAL Financials'!L11</f>
        <v>285</v>
      </c>
      <c r="M11" s="287">
        <f>'AAL Financials'!M11</f>
        <v>315</v>
      </c>
      <c r="N11" s="287">
        <f>'AAL Financials'!N11</f>
        <v>326</v>
      </c>
      <c r="O11" s="287">
        <f>'AAL Financials'!O11</f>
        <v>332</v>
      </c>
      <c r="P11" s="287">
        <f>'AAL Financials'!P11</f>
        <v>341</v>
      </c>
      <c r="Q11" s="287">
        <f>'AAL Financials'!Q11</f>
        <v>364</v>
      </c>
      <c r="R11" s="254">
        <f>R185</f>
        <v>382.39799999999997</v>
      </c>
      <c r="S11" s="254">
        <f>S185</f>
        <v>376.15600000000001</v>
      </c>
      <c r="T11" s="254">
        <f>T185</f>
        <v>329.91750000000002</v>
      </c>
      <c r="V11" s="287">
        <f>'AAL Financials'!V11</f>
        <v>890</v>
      </c>
      <c r="W11" s="287">
        <f>'AAL Financials'!W11</f>
        <v>1013</v>
      </c>
      <c r="X11" s="254">
        <f t="shared" si="5"/>
        <v>863</v>
      </c>
      <c r="Y11" s="254">
        <f t="shared" si="5"/>
        <v>769</v>
      </c>
      <c r="Z11" s="254">
        <f t="shared" si="5"/>
        <v>1314</v>
      </c>
      <c r="AA11" s="254">
        <f t="shared" si="5"/>
        <v>1452.4714999999999</v>
      </c>
      <c r="AB11" s="254">
        <f>AB185</f>
        <v>1283.9848060000002</v>
      </c>
      <c r="AC11" s="254">
        <f>AC185</f>
        <v>1124.128697653</v>
      </c>
      <c r="AD11" s="254">
        <f>AD185</f>
        <v>974.61958086515097</v>
      </c>
    </row>
    <row r="12" spans="1:43" ht="11.25" customHeight="1">
      <c r="C12" s="253" t="str">
        <f>'AAL Financials'!C12</f>
        <v>Other</v>
      </c>
      <c r="E12" s="287">
        <f>'AAL Financials'!E12</f>
        <v>708</v>
      </c>
      <c r="F12" s="287">
        <f>'AAL Financials'!F12</f>
        <v>728</v>
      </c>
      <c r="G12" s="287">
        <f>'AAL Financials'!G12</f>
        <v>708</v>
      </c>
      <c r="H12" s="287">
        <f>'AAL Financials'!H12</f>
        <v>750</v>
      </c>
      <c r="I12" s="287">
        <f>'AAL Financials'!I12</f>
        <v>687</v>
      </c>
      <c r="J12" s="287">
        <f>'AAL Financials'!J12</f>
        <v>384</v>
      </c>
      <c r="K12" s="287">
        <f>'AAL Financials'!K12</f>
        <v>426</v>
      </c>
      <c r="L12" s="287">
        <f>'AAL Financials'!L12</f>
        <v>552</v>
      </c>
      <c r="M12" s="287">
        <f>'AAL Financials'!M12</f>
        <v>514</v>
      </c>
      <c r="N12" s="287">
        <f>'AAL Financials'!N12</f>
        <v>607</v>
      </c>
      <c r="O12" s="287">
        <f>'AAL Financials'!O12</f>
        <v>680</v>
      </c>
      <c r="P12" s="287">
        <f>'AAL Financials'!P12</f>
        <v>704</v>
      </c>
      <c r="Q12" s="287">
        <f>'AAL Financials'!Q12</f>
        <v>717</v>
      </c>
      <c r="R12" s="254">
        <f>R193+R194</f>
        <v>1128.5026002582351</v>
      </c>
      <c r="S12" s="254">
        <f>S193+S194</f>
        <v>1138.2912619821386</v>
      </c>
      <c r="T12" s="254">
        <f>T193+T194</f>
        <v>1049.6174214792838</v>
      </c>
      <c r="V12" s="287">
        <f>'AAL Financials'!V12</f>
        <v>2601</v>
      </c>
      <c r="W12" s="287">
        <f>'AAL Financials'!W12</f>
        <v>2852</v>
      </c>
      <c r="X12" s="254">
        <f t="shared" si="5"/>
        <v>2894</v>
      </c>
      <c r="Y12" s="254">
        <f t="shared" si="5"/>
        <v>2049</v>
      </c>
      <c r="Z12" s="254">
        <f t="shared" si="5"/>
        <v>2505</v>
      </c>
      <c r="AA12" s="254">
        <f t="shared" si="5"/>
        <v>4033.4112837196571</v>
      </c>
      <c r="AB12" s="254">
        <f>AB193+AB194</f>
        <v>3973.3152365328988</v>
      </c>
      <c r="AC12" s="254">
        <f>AC193+AC194</f>
        <v>3785.366920164166</v>
      </c>
      <c r="AD12" s="254">
        <f>AD193+AD194</f>
        <v>3401.5032693238009</v>
      </c>
    </row>
    <row r="13" spans="1:43" s="255" customFormat="1" ht="11.25" customHeight="1">
      <c r="C13" s="286" t="s">
        <v>864</v>
      </c>
      <c r="E13" s="357">
        <f>SUM(E10:E12)</f>
        <v>10584</v>
      </c>
      <c r="F13" s="357">
        <f t="shared" ref="F13:P13" si="6">SUM(F10:F12)</f>
        <v>11960</v>
      </c>
      <c r="G13" s="357">
        <f t="shared" si="6"/>
        <v>11911</v>
      </c>
      <c r="H13" s="357">
        <f t="shared" si="6"/>
        <v>11313</v>
      </c>
      <c r="I13" s="357">
        <f t="shared" si="6"/>
        <v>8515</v>
      </c>
      <c r="J13" s="357">
        <f t="shared" si="6"/>
        <v>1622</v>
      </c>
      <c r="K13" s="357">
        <f t="shared" si="6"/>
        <v>3173</v>
      </c>
      <c r="L13" s="357">
        <f t="shared" si="6"/>
        <v>4027</v>
      </c>
      <c r="M13" s="357">
        <f t="shared" si="6"/>
        <v>4008</v>
      </c>
      <c r="N13" s="357">
        <f t="shared" si="6"/>
        <v>7478</v>
      </c>
      <c r="O13" s="357">
        <f t="shared" si="6"/>
        <v>8969</v>
      </c>
      <c r="P13" s="357">
        <f t="shared" si="6"/>
        <v>9427</v>
      </c>
      <c r="Q13" s="357">
        <f>SUM(Q10:Q12)</f>
        <v>8899</v>
      </c>
      <c r="R13" s="358">
        <f>SUM(R10:R12)</f>
        <v>12795.926602840585</v>
      </c>
      <c r="S13" s="358">
        <f>SUM(S10:S12)</f>
        <v>12897.359881803524</v>
      </c>
      <c r="T13" s="358">
        <f>SUM(T10:T12)</f>
        <v>11875.709136272122</v>
      </c>
      <c r="V13" s="357">
        <f t="shared" ref="V13:AD13" si="7">SUM(V10:V12)</f>
        <v>42622</v>
      </c>
      <c r="W13" s="357">
        <f t="shared" si="7"/>
        <v>44541</v>
      </c>
      <c r="X13" s="357">
        <f t="shared" si="7"/>
        <v>45768</v>
      </c>
      <c r="Y13" s="357">
        <f t="shared" si="7"/>
        <v>17337</v>
      </c>
      <c r="Z13" s="357">
        <f t="shared" si="7"/>
        <v>29882</v>
      </c>
      <c r="AA13" s="357">
        <f t="shared" si="7"/>
        <v>46467.995620916234</v>
      </c>
      <c r="AB13" s="358">
        <f t="shared" si="7"/>
        <v>49978.865943105717</v>
      </c>
      <c r="AC13" s="358">
        <f t="shared" si="7"/>
        <v>52616.816252840959</v>
      </c>
      <c r="AD13" s="358">
        <f t="shared" si="7"/>
        <v>53076.431957318819</v>
      </c>
    </row>
    <row r="14" spans="1:43" s="255" customFormat="1" ht="11.25" customHeight="1">
      <c r="Q14" s="257"/>
      <c r="R14" s="257"/>
      <c r="S14" s="257"/>
      <c r="T14" s="257"/>
    </row>
    <row r="15" spans="1:43" s="255" customFormat="1" ht="11.25" customHeight="1">
      <c r="C15" s="255" t="s">
        <v>865</v>
      </c>
      <c r="E15" s="287">
        <f>'AAL Financials'!E15</f>
        <v>2149</v>
      </c>
      <c r="F15" s="287">
        <f>'AAL Financials'!F15</f>
        <v>2482</v>
      </c>
      <c r="G15" s="287">
        <f>'AAL Financials'!G15</f>
        <v>2474</v>
      </c>
      <c r="H15" s="287">
        <f>'AAL Financials'!H15</f>
        <v>2290</v>
      </c>
      <c r="I15" s="287">
        <f>'AAL Financials'!I15</f>
        <v>1784</v>
      </c>
      <c r="J15" s="287">
        <f>'AAL Financials'!J15</f>
        <v>309</v>
      </c>
      <c r="K15" s="287">
        <f>'AAL Financials'!K15</f>
        <v>611</v>
      </c>
      <c r="L15" s="287">
        <f>'AAL Financials'!L15</f>
        <v>698</v>
      </c>
      <c r="M15" s="287">
        <f>'AAL Financials'!M15</f>
        <v>1034</v>
      </c>
      <c r="N15" s="287">
        <f>'AAL Financials'!N15</f>
        <v>1611</v>
      </c>
      <c r="O15" s="287">
        <f>'AAL Financials'!O15</f>
        <v>1952</v>
      </c>
      <c r="P15" s="287">
        <f>'AAL Financials'!P15</f>
        <v>2196</v>
      </c>
      <c r="Q15" s="287">
        <f>'AAL Financials'!Q15</f>
        <v>2502</v>
      </c>
      <c r="R15" s="255">
        <f>R211</f>
        <v>4639.8568557243807</v>
      </c>
      <c r="S15" s="255">
        <f>S211</f>
        <v>4226.4952299357419</v>
      </c>
      <c r="T15" s="255">
        <f>T211</f>
        <v>3512.3351716697712</v>
      </c>
      <c r="V15" s="287">
        <f>'AAL Financials'!V15</f>
        <v>7510</v>
      </c>
      <c r="W15" s="287">
        <f>'AAL Financials'!W15</f>
        <v>9896</v>
      </c>
      <c r="X15" s="254">
        <f t="shared" ref="X15:AA20" si="8">+SUMIF($E$5:$T$5,X$5,$E15:$T15)</f>
        <v>9395</v>
      </c>
      <c r="Y15" s="254">
        <f t="shared" si="8"/>
        <v>3402</v>
      </c>
      <c r="Z15" s="254">
        <f t="shared" si="8"/>
        <v>6793</v>
      </c>
      <c r="AA15" s="254">
        <f t="shared" si="8"/>
        <v>14880.687257329893</v>
      </c>
      <c r="AB15" s="255">
        <f>AB211</f>
        <v>13536.992009606871</v>
      </c>
      <c r="AC15" s="255">
        <f>AC211</f>
        <v>12624.554568336482</v>
      </c>
      <c r="AD15" s="255">
        <f>AD211</f>
        <v>12901.155247658509</v>
      </c>
    </row>
    <row r="16" spans="1:43" s="255" customFormat="1" ht="11.25" customHeight="1">
      <c r="C16" s="255" t="s">
        <v>866</v>
      </c>
      <c r="E16" s="287">
        <f>'AAL Financials'!E16</f>
        <v>3090</v>
      </c>
      <c r="F16" s="287">
        <f>'AAL Financials'!F16</f>
        <v>3200</v>
      </c>
      <c r="G16" s="287">
        <f>'AAL Financials'!G16</f>
        <v>3219</v>
      </c>
      <c r="H16" s="287">
        <f>'AAL Financials'!H16</f>
        <v>3100</v>
      </c>
      <c r="I16" s="287">
        <f>'AAL Financials'!I16</f>
        <v>3219</v>
      </c>
      <c r="J16" s="287">
        <f>'AAL Financials'!J16</f>
        <v>2610</v>
      </c>
      <c r="K16" s="287">
        <f>'AAL Financials'!K16</f>
        <v>2763</v>
      </c>
      <c r="L16" s="287">
        <f>'AAL Financials'!L16</f>
        <v>2637</v>
      </c>
      <c r="M16" s="287">
        <f>'AAL Financials'!M16</f>
        <v>2730</v>
      </c>
      <c r="N16" s="287">
        <f>'AAL Financials'!N16</f>
        <v>2862</v>
      </c>
      <c r="O16" s="287">
        <f>'AAL Financials'!O16</f>
        <v>3018</v>
      </c>
      <c r="P16" s="287">
        <f>'AAL Financials'!P16</f>
        <v>3207</v>
      </c>
      <c r="Q16" s="287">
        <f>'AAL Financials'!Q16</f>
        <v>3154</v>
      </c>
      <c r="R16" s="255">
        <f>R244</f>
        <v>3254.7840000000001</v>
      </c>
      <c r="S16" s="255">
        <f>S244</f>
        <v>3282.9776249999995</v>
      </c>
      <c r="T16" s="255">
        <f>T244</f>
        <v>3284.3880000000004</v>
      </c>
      <c r="V16" s="287">
        <f>'AAL Financials'!V16</f>
        <v>11954</v>
      </c>
      <c r="W16" s="287">
        <f>'AAL Financials'!W16</f>
        <v>12251</v>
      </c>
      <c r="X16" s="254">
        <f t="shared" si="8"/>
        <v>12609</v>
      </c>
      <c r="Y16" s="254">
        <f t="shared" si="8"/>
        <v>11229</v>
      </c>
      <c r="Z16" s="254">
        <f t="shared" si="8"/>
        <v>11817</v>
      </c>
      <c r="AA16" s="254">
        <f t="shared" si="8"/>
        <v>12976.149625</v>
      </c>
      <c r="AB16" s="255">
        <f t="shared" ref="AB16:AD20" si="9">AB244</f>
        <v>13020.147967500001</v>
      </c>
      <c r="AC16" s="255">
        <f t="shared" si="9"/>
        <v>13289.25555</v>
      </c>
      <c r="AD16" s="255">
        <f t="shared" si="9"/>
        <v>13419.128250000002</v>
      </c>
    </row>
    <row r="17" spans="3:30" s="255" customFormat="1" ht="11.25" customHeight="1">
      <c r="C17" s="255" t="s">
        <v>867</v>
      </c>
      <c r="E17" s="287">
        <f>'AAL Financials'!E17</f>
        <v>1340</v>
      </c>
      <c r="F17" s="287">
        <f>'AAL Financials'!F17</f>
        <v>1399</v>
      </c>
      <c r="G17" s="287">
        <f>'AAL Financials'!G17</f>
        <v>1442</v>
      </c>
      <c r="H17" s="287">
        <f>'AAL Financials'!H17</f>
        <v>1445</v>
      </c>
      <c r="I17" s="287">
        <f>'AAL Financials'!I17</f>
        <v>1047</v>
      </c>
      <c r="J17" s="287">
        <f>'AAL Financials'!J17</f>
        <v>670</v>
      </c>
      <c r="K17" s="287">
        <f>'AAL Financials'!K17</f>
        <v>753</v>
      </c>
      <c r="L17" s="287">
        <f>'AAL Financials'!L17</f>
        <v>802</v>
      </c>
      <c r="M17" s="287">
        <f>'AAL Financials'!M17</f>
        <v>840</v>
      </c>
      <c r="N17" s="287">
        <f>'AAL Financials'!N17</f>
        <v>802</v>
      </c>
      <c r="O17" s="287">
        <f>'AAL Financials'!O17</f>
        <v>954</v>
      </c>
      <c r="P17" s="287">
        <f>'AAL Financials'!P17</f>
        <v>1055</v>
      </c>
      <c r="Q17" s="287">
        <f>'AAL Financials'!Q17</f>
        <v>1052</v>
      </c>
      <c r="R17" s="255">
        <f t="shared" ref="R17:T20" si="10">R245</f>
        <v>1170.968919277675</v>
      </c>
      <c r="S17" s="255">
        <f t="shared" si="10"/>
        <v>1235.0444719071486</v>
      </c>
      <c r="T17" s="255">
        <f t="shared" si="10"/>
        <v>1245.1169697745902</v>
      </c>
      <c r="V17" s="287">
        <f>'AAL Financials'!V17</f>
        <v>5142</v>
      </c>
      <c r="W17" s="287">
        <f>'AAL Financials'!W17</f>
        <v>5284</v>
      </c>
      <c r="X17" s="254">
        <f t="shared" si="8"/>
        <v>5626</v>
      </c>
      <c r="Y17" s="254">
        <f t="shared" si="8"/>
        <v>3272</v>
      </c>
      <c r="Z17" s="254">
        <f t="shared" si="8"/>
        <v>3651</v>
      </c>
      <c r="AA17" s="254">
        <f t="shared" si="8"/>
        <v>4703.1303609594133</v>
      </c>
      <c r="AB17" s="255">
        <f t="shared" si="9"/>
        <v>5239.5205344919814</v>
      </c>
      <c r="AC17" s="255">
        <f t="shared" si="9"/>
        <v>5688.425450729248</v>
      </c>
      <c r="AD17" s="255">
        <f t="shared" si="9"/>
        <v>6147.73548364014</v>
      </c>
    </row>
    <row r="18" spans="3:30" s="255" customFormat="1" ht="11.25" customHeight="1">
      <c r="C18" s="255" t="s">
        <v>868</v>
      </c>
      <c r="E18" s="287">
        <f>'AAL Financials'!E18</f>
        <v>561</v>
      </c>
      <c r="F18" s="287">
        <f>'AAL Financials'!F18</f>
        <v>575</v>
      </c>
      <c r="G18" s="287">
        <f>'AAL Financials'!G18</f>
        <v>610</v>
      </c>
      <c r="H18" s="287">
        <f>'AAL Financials'!H18</f>
        <v>635</v>
      </c>
      <c r="I18" s="287">
        <f>'AAL Financials'!I18</f>
        <v>629</v>
      </c>
      <c r="J18" s="287">
        <f>'AAL Financials'!J18</f>
        <v>287</v>
      </c>
      <c r="K18" s="287">
        <f>'AAL Financials'!K18</f>
        <v>337</v>
      </c>
      <c r="L18" s="287">
        <f>'AAL Financials'!L18</f>
        <v>331</v>
      </c>
      <c r="M18" s="287">
        <f>'AAL Financials'!M18</f>
        <v>376</v>
      </c>
      <c r="N18" s="287">
        <f>'AAL Financials'!N18</f>
        <v>459</v>
      </c>
      <c r="O18" s="287">
        <f>'AAL Financials'!O18</f>
        <v>548</v>
      </c>
      <c r="P18" s="287">
        <f>'AAL Financials'!P18</f>
        <v>596</v>
      </c>
      <c r="Q18" s="287">
        <f>'AAL Financials'!Q18</f>
        <v>617</v>
      </c>
      <c r="R18" s="255">
        <f t="shared" si="10"/>
        <v>641.70324382622175</v>
      </c>
      <c r="S18" s="255">
        <f t="shared" si="10"/>
        <v>667.57874637298858</v>
      </c>
      <c r="T18" s="255">
        <f t="shared" si="10"/>
        <v>683.95266073258199</v>
      </c>
      <c r="V18" s="287">
        <f>'AAL Financials'!V18</f>
        <v>1959</v>
      </c>
      <c r="W18" s="287">
        <f>'AAL Financials'!W18</f>
        <v>2050</v>
      </c>
      <c r="X18" s="254">
        <f t="shared" si="8"/>
        <v>2381</v>
      </c>
      <c r="Y18" s="254">
        <f t="shared" si="8"/>
        <v>1584</v>
      </c>
      <c r="Z18" s="254">
        <f t="shared" si="8"/>
        <v>1979</v>
      </c>
      <c r="AA18" s="254">
        <f t="shared" si="8"/>
        <v>2610.2346509317922</v>
      </c>
      <c r="AB18" s="255">
        <f t="shared" si="9"/>
        <v>2636.9516495590833</v>
      </c>
      <c r="AC18" s="255">
        <f t="shared" si="9"/>
        <v>2787.5381402146004</v>
      </c>
      <c r="AD18" s="255">
        <f t="shared" si="9"/>
        <v>2601.8055788388147</v>
      </c>
    </row>
    <row r="19" spans="3:30" s="255" customFormat="1" ht="11.25" customHeight="1">
      <c r="C19" s="255" t="s">
        <v>869</v>
      </c>
      <c r="E19" s="287">
        <f>'AAL Financials'!E19</f>
        <v>503</v>
      </c>
      <c r="F19" s="287">
        <f>'AAL Financials'!F19</f>
        <v>535</v>
      </c>
      <c r="G19" s="287">
        <f>'AAL Financials'!G19</f>
        <v>530</v>
      </c>
      <c r="H19" s="287">
        <f>'AAL Financials'!H19</f>
        <v>487</v>
      </c>
      <c r="I19" s="287">
        <f>'AAL Financials'!I19</f>
        <v>611</v>
      </c>
      <c r="J19" s="287">
        <f>'AAL Financials'!J19</f>
        <v>413</v>
      </c>
      <c r="K19" s="287">
        <f>'AAL Financials'!K19</f>
        <v>472</v>
      </c>
      <c r="L19" s="287">
        <f>'AAL Financials'!L19</f>
        <v>509</v>
      </c>
      <c r="M19" s="287">
        <f>'AAL Financials'!M19</f>
        <v>570</v>
      </c>
      <c r="N19" s="287">
        <f>'AAL Financials'!N19</f>
        <v>686</v>
      </c>
      <c r="O19" s="287">
        <f>'AAL Financials'!O19</f>
        <v>694</v>
      </c>
      <c r="P19" s="287">
        <f>'AAL Financials'!P19</f>
        <v>670</v>
      </c>
      <c r="Q19" s="287">
        <f>'AAL Financials'!Q19</f>
        <v>678</v>
      </c>
      <c r="R19" s="255">
        <f t="shared" si="10"/>
        <v>721.45114695390066</v>
      </c>
      <c r="S19" s="255">
        <f t="shared" si="10"/>
        <v>706.12035610656801</v>
      </c>
      <c r="T19" s="255">
        <f t="shared" si="10"/>
        <v>629.45186603483614</v>
      </c>
      <c r="V19" s="287">
        <f>'AAL Financials'!V19</f>
        <v>1806</v>
      </c>
      <c r="W19" s="287">
        <f>'AAL Financials'!W19</f>
        <v>1900</v>
      </c>
      <c r="X19" s="254">
        <f t="shared" si="8"/>
        <v>2055</v>
      </c>
      <c r="Y19" s="254">
        <f t="shared" si="8"/>
        <v>2005</v>
      </c>
      <c r="Z19" s="254">
        <f t="shared" si="8"/>
        <v>2620</v>
      </c>
      <c r="AA19" s="254">
        <f t="shared" si="8"/>
        <v>2735.023369095305</v>
      </c>
      <c r="AB19" s="255">
        <f t="shared" si="9"/>
        <v>2379.3577892484072</v>
      </c>
      <c r="AC19" s="255">
        <f t="shared" si="9"/>
        <v>2515.2340536299316</v>
      </c>
      <c r="AD19" s="255">
        <f t="shared" si="9"/>
        <v>2245.5734836261086</v>
      </c>
    </row>
    <row r="20" spans="3:30" s="255" customFormat="1" ht="11.25" customHeight="1">
      <c r="C20" s="255" t="s">
        <v>294</v>
      </c>
      <c r="E20" s="287">
        <f>'AAL Financials'!E20</f>
        <v>327</v>
      </c>
      <c r="F20" s="287">
        <f>'AAL Financials'!F20</f>
        <v>334</v>
      </c>
      <c r="G20" s="287">
        <f>'AAL Financials'!G20</f>
        <v>335</v>
      </c>
      <c r="H20" s="287">
        <f>'AAL Financials'!H20</f>
        <v>330</v>
      </c>
      <c r="I20" s="287">
        <f>'AAL Financials'!I20</f>
        <v>334</v>
      </c>
      <c r="J20" s="287">
        <f>'AAL Financials'!J20</f>
        <v>334</v>
      </c>
      <c r="K20" s="287">
        <f>'AAL Financials'!K20</f>
        <v>336</v>
      </c>
      <c r="L20" s="287">
        <f>'AAL Financials'!L20</f>
        <v>336</v>
      </c>
      <c r="M20" s="287">
        <f>'AAL Financials'!M20</f>
        <v>351</v>
      </c>
      <c r="N20" s="287">
        <f>'AAL Financials'!N20</f>
        <v>356</v>
      </c>
      <c r="O20" s="287">
        <f>'AAL Financials'!O20</f>
        <v>358</v>
      </c>
      <c r="P20" s="287">
        <f>'AAL Financials'!P20</f>
        <v>360</v>
      </c>
      <c r="Q20" s="287">
        <f>'AAL Financials'!Q20</f>
        <v>353</v>
      </c>
      <c r="R20" s="255">
        <f t="shared" si="10"/>
        <v>357.21480572993011</v>
      </c>
      <c r="S20" s="255">
        <f t="shared" si="10"/>
        <v>358.65109057636511</v>
      </c>
      <c r="T20" s="255">
        <f t="shared" si="10"/>
        <v>347.54129952185792</v>
      </c>
      <c r="V20" s="287">
        <f>'AAL Financials'!V20</f>
        <v>1197</v>
      </c>
      <c r="W20" s="287">
        <f>'AAL Financials'!W20</f>
        <v>1264</v>
      </c>
      <c r="X20" s="254">
        <f t="shared" si="8"/>
        <v>1326</v>
      </c>
      <c r="Y20" s="254">
        <f t="shared" si="8"/>
        <v>1340</v>
      </c>
      <c r="Z20" s="254">
        <f t="shared" si="8"/>
        <v>1425</v>
      </c>
      <c r="AA20" s="254">
        <f t="shared" si="8"/>
        <v>1416.4071958281529</v>
      </c>
      <c r="AB20" s="255">
        <f t="shared" si="9"/>
        <v>1468.5417418376078</v>
      </c>
      <c r="AC20" s="255">
        <f t="shared" si="9"/>
        <v>1552.4046929544561</v>
      </c>
      <c r="AD20" s="255">
        <f t="shared" si="9"/>
        <v>1448.9685835952409</v>
      </c>
    </row>
    <row r="21" spans="3:30" s="283" customFormat="1" ht="11.25" customHeight="1">
      <c r="C21" s="286" t="s">
        <v>154</v>
      </c>
      <c r="E21" s="358">
        <f>E13-SUM(E15:E20)</f>
        <v>2614</v>
      </c>
      <c r="F21" s="358">
        <f t="shared" ref="F21:P21" si="11">F13-SUM(F15:F20)</f>
        <v>3435</v>
      </c>
      <c r="G21" s="358">
        <f t="shared" si="11"/>
        <v>3301</v>
      </c>
      <c r="H21" s="358">
        <f t="shared" si="11"/>
        <v>3026</v>
      </c>
      <c r="I21" s="358">
        <f t="shared" si="11"/>
        <v>891</v>
      </c>
      <c r="J21" s="358">
        <f t="shared" si="11"/>
        <v>-3001</v>
      </c>
      <c r="K21" s="358">
        <f t="shared" si="11"/>
        <v>-2099</v>
      </c>
      <c r="L21" s="358">
        <f t="shared" si="11"/>
        <v>-1286</v>
      </c>
      <c r="M21" s="358">
        <f t="shared" si="11"/>
        <v>-1893</v>
      </c>
      <c r="N21" s="358">
        <f t="shared" si="11"/>
        <v>702</v>
      </c>
      <c r="O21" s="358">
        <f t="shared" si="11"/>
        <v>1445</v>
      </c>
      <c r="P21" s="358">
        <f t="shared" si="11"/>
        <v>1343</v>
      </c>
      <c r="Q21" s="358">
        <f>Q13-SUM(Q15:Q20)</f>
        <v>543</v>
      </c>
      <c r="R21" s="358">
        <f>R13-SUM(R15:R20)</f>
        <v>2009.9476313284758</v>
      </c>
      <c r="S21" s="358">
        <f>S13-SUM(S15:S20)</f>
        <v>2420.4923619047131</v>
      </c>
      <c r="T21" s="358">
        <f>T13-SUM(T15:T20)</f>
        <v>2172.9231685384839</v>
      </c>
      <c r="V21" s="358">
        <f t="shared" ref="V21:AD21" si="12">V13-SUM(V15:V20)</f>
        <v>13054</v>
      </c>
      <c r="W21" s="358">
        <f t="shared" si="12"/>
        <v>11896</v>
      </c>
      <c r="X21" s="358">
        <f t="shared" si="12"/>
        <v>12376</v>
      </c>
      <c r="Y21" s="358">
        <f t="shared" si="12"/>
        <v>-5495</v>
      </c>
      <c r="Z21" s="358">
        <f t="shared" si="12"/>
        <v>1597</v>
      </c>
      <c r="AA21" s="358">
        <f t="shared" si="12"/>
        <v>7146.3631617716746</v>
      </c>
      <c r="AB21" s="358">
        <f t="shared" si="12"/>
        <v>11697.354250861761</v>
      </c>
      <c r="AC21" s="358">
        <f t="shared" si="12"/>
        <v>14159.403796976243</v>
      </c>
      <c r="AD21" s="358">
        <f t="shared" si="12"/>
        <v>14312.065329960002</v>
      </c>
    </row>
    <row r="22" spans="3:30" s="283" customFormat="1" ht="11.25" customHeight="1">
      <c r="C22" s="286"/>
      <c r="R22" s="399"/>
    </row>
    <row r="23" spans="3:30" s="255" customFormat="1" ht="11.25" customHeight="1">
      <c r="C23" s="255" t="s">
        <v>870</v>
      </c>
      <c r="E23" s="287">
        <f>'AAL Financials'!E23</f>
        <v>370</v>
      </c>
      <c r="F23" s="287">
        <f>'AAL Financials'!F23</f>
        <v>401</v>
      </c>
      <c r="G23" s="287">
        <f>'AAL Financials'!G23</f>
        <v>424</v>
      </c>
      <c r="H23" s="287">
        <f>'AAL Financials'!H23</f>
        <v>407</v>
      </c>
      <c r="I23" s="287">
        <f>'AAL Financials'!I23</f>
        <v>385</v>
      </c>
      <c r="J23" s="287">
        <f>'AAL Financials'!J23</f>
        <v>57</v>
      </c>
      <c r="K23" s="287">
        <f>'AAL Financials'!K23</f>
        <v>97</v>
      </c>
      <c r="L23" s="287">
        <f>'AAL Financials'!L23</f>
        <v>126</v>
      </c>
      <c r="M23" s="287">
        <f>'AAL Financials'!M23</f>
        <v>151</v>
      </c>
      <c r="N23" s="287">
        <f>'AAL Financials'!N23</f>
        <v>277</v>
      </c>
      <c r="O23" s="287">
        <f>'AAL Financials'!O23</f>
        <v>318</v>
      </c>
      <c r="P23" s="287">
        <f>'AAL Financials'!P23</f>
        <v>353</v>
      </c>
      <c r="Q23" s="287">
        <f>'AAL Financials'!Q23</f>
        <v>332</v>
      </c>
      <c r="R23" s="255">
        <f t="shared" ref="R23:T24" si="13">R249</f>
        <v>380.39052288376985</v>
      </c>
      <c r="S23" s="255">
        <f t="shared" si="13"/>
        <v>403.49734634661041</v>
      </c>
      <c r="T23" s="255">
        <f t="shared" si="13"/>
        <v>389.66751764571944</v>
      </c>
      <c r="V23" s="287">
        <f>'AAL Financials'!V23</f>
        <v>1477</v>
      </c>
      <c r="W23" s="287">
        <f>'AAL Financials'!W23</f>
        <v>1520</v>
      </c>
      <c r="X23" s="254">
        <f t="shared" ref="X23:AA24" si="14">+SUMIF($E$5:$T$5,X$5,$E23:$T23)</f>
        <v>1602</v>
      </c>
      <c r="Y23" s="254">
        <f t="shared" si="14"/>
        <v>665</v>
      </c>
      <c r="Z23" s="254">
        <f t="shared" si="14"/>
        <v>1099</v>
      </c>
      <c r="AA23" s="254">
        <f t="shared" si="14"/>
        <v>1505.5553868760996</v>
      </c>
      <c r="AB23" s="255">
        <f t="shared" ref="AB23:AD24" si="15">AB249</f>
        <v>1612.9191487891458</v>
      </c>
      <c r="AC23" s="255">
        <f t="shared" si="15"/>
        <v>1790.278303865824</v>
      </c>
      <c r="AD23" s="255">
        <f t="shared" si="15"/>
        <v>1750.5638543888203</v>
      </c>
    </row>
    <row r="24" spans="3:30" s="255" customFormat="1" ht="11.25" customHeight="1">
      <c r="C24" s="255" t="s">
        <v>321</v>
      </c>
      <c r="E24" s="287">
        <f>'AAL Financials'!E26</f>
        <v>1251</v>
      </c>
      <c r="F24" s="287">
        <f>'AAL Financials'!F26</f>
        <v>1271</v>
      </c>
      <c r="G24" s="287">
        <f>'AAL Financials'!G26</f>
        <v>1336</v>
      </c>
      <c r="H24" s="287">
        <f>'AAL Financials'!H26</f>
        <v>1229</v>
      </c>
      <c r="I24" s="287">
        <f>'AAL Financials'!I26</f>
        <v>1270</v>
      </c>
      <c r="J24" s="287">
        <f>'AAL Financials'!J26</f>
        <v>601</v>
      </c>
      <c r="K24" s="287">
        <f>'AAL Financials'!K26</f>
        <v>696</v>
      </c>
      <c r="L24" s="287">
        <f>'AAL Financials'!L26</f>
        <v>619</v>
      </c>
      <c r="M24" s="287">
        <f>'AAL Financials'!M26</f>
        <v>716</v>
      </c>
      <c r="N24" s="287">
        <f>'AAL Financials'!N26</f>
        <v>958</v>
      </c>
      <c r="O24" s="287">
        <f>'AAL Financials'!O26</f>
        <v>1109</v>
      </c>
      <c r="P24" s="287">
        <f>'AAL Financials'!P26</f>
        <v>1211</v>
      </c>
      <c r="Q24" s="287">
        <f>'AAL Financials'!Q26</f>
        <v>1285</v>
      </c>
      <c r="R24" s="255">
        <f t="shared" si="13"/>
        <v>1312.0599324963362</v>
      </c>
      <c r="S24" s="255">
        <f t="shared" si="13"/>
        <v>1423.964974729623</v>
      </c>
      <c r="T24" s="255">
        <f t="shared" si="13"/>
        <v>1294.3280518556469</v>
      </c>
      <c r="V24" s="287">
        <f>'AAL Financials'!V26</f>
        <v>4910</v>
      </c>
      <c r="W24" s="287">
        <f>'AAL Financials'!W26</f>
        <v>5088</v>
      </c>
      <c r="X24" s="254">
        <f t="shared" si="14"/>
        <v>5087</v>
      </c>
      <c r="Y24" s="254">
        <f t="shared" si="14"/>
        <v>3186</v>
      </c>
      <c r="Z24" s="254">
        <f t="shared" si="14"/>
        <v>3994</v>
      </c>
      <c r="AA24" s="254">
        <f t="shared" si="14"/>
        <v>5315.3529590816061</v>
      </c>
      <c r="AB24" s="255">
        <f t="shared" si="15"/>
        <v>5633.840000548953</v>
      </c>
      <c r="AC24" s="255">
        <f t="shared" si="15"/>
        <v>6009.7091506210363</v>
      </c>
      <c r="AD24" s="255">
        <f t="shared" si="15"/>
        <v>5558.7505164019531</v>
      </c>
    </row>
    <row r="25" spans="3:30" s="283" customFormat="1" ht="11.25" customHeight="1">
      <c r="C25" s="286" t="s">
        <v>88</v>
      </c>
      <c r="E25" s="358">
        <f>E21-SUM(E23:E24)</f>
        <v>993</v>
      </c>
      <c r="F25" s="358">
        <f t="shared" ref="F25:P25" si="16">F21-SUM(F23:F24)</f>
        <v>1763</v>
      </c>
      <c r="G25" s="358">
        <f t="shared" si="16"/>
        <v>1541</v>
      </c>
      <c r="H25" s="358">
        <f t="shared" si="16"/>
        <v>1390</v>
      </c>
      <c r="I25" s="358">
        <f t="shared" si="16"/>
        <v>-764</v>
      </c>
      <c r="J25" s="358">
        <f t="shared" si="16"/>
        <v>-3659</v>
      </c>
      <c r="K25" s="358">
        <f t="shared" si="16"/>
        <v>-2892</v>
      </c>
      <c r="L25" s="358">
        <f t="shared" si="16"/>
        <v>-2031</v>
      </c>
      <c r="M25" s="358">
        <f t="shared" si="16"/>
        <v>-2760</v>
      </c>
      <c r="N25" s="358">
        <f t="shared" si="16"/>
        <v>-533</v>
      </c>
      <c r="O25" s="358">
        <f t="shared" si="16"/>
        <v>18</v>
      </c>
      <c r="P25" s="358">
        <f t="shared" si="16"/>
        <v>-221</v>
      </c>
      <c r="Q25" s="358">
        <f>Q21-SUM(Q23:Q24)</f>
        <v>-1074</v>
      </c>
      <c r="R25" s="358">
        <f>R21-SUM(R23:R24)</f>
        <v>317.49717594836989</v>
      </c>
      <c r="S25" s="358">
        <f>S21-SUM(S23:S24)</f>
        <v>593.03004082847974</v>
      </c>
      <c r="T25" s="358">
        <f>T21-SUM(T23:T24)</f>
        <v>488.92759903711749</v>
      </c>
      <c r="V25" s="358">
        <f t="shared" ref="V25:AD25" si="17">V21-SUM(V23:V24)</f>
        <v>6667</v>
      </c>
      <c r="W25" s="358">
        <f t="shared" si="17"/>
        <v>5288</v>
      </c>
      <c r="X25" s="358">
        <f t="shared" si="17"/>
        <v>5687</v>
      </c>
      <c r="Y25" s="358">
        <f t="shared" si="17"/>
        <v>-9346</v>
      </c>
      <c r="Z25" s="358">
        <f t="shared" si="17"/>
        <v>-3496</v>
      </c>
      <c r="AA25" s="358">
        <f t="shared" si="17"/>
        <v>325.45481581396871</v>
      </c>
      <c r="AB25" s="358">
        <f t="shared" si="17"/>
        <v>4450.5951015236624</v>
      </c>
      <c r="AC25" s="358">
        <f t="shared" si="17"/>
        <v>6359.4163424893832</v>
      </c>
      <c r="AD25" s="358">
        <f t="shared" si="17"/>
        <v>7002.7509591692287</v>
      </c>
    </row>
    <row r="26" spans="3:30" s="255" customFormat="1" ht="11.25" customHeight="1">
      <c r="R26" s="399"/>
    </row>
    <row r="27" spans="3:30" s="255" customFormat="1" ht="11.25" customHeight="1">
      <c r="C27" s="255" t="s">
        <v>291</v>
      </c>
      <c r="E27" s="287">
        <f>'AAL Financials'!E24</f>
        <v>480</v>
      </c>
      <c r="F27" s="287">
        <f>'AAL Financials'!F24</f>
        <v>489</v>
      </c>
      <c r="G27" s="287">
        <f>'AAL Financials'!G24</f>
        <v>499</v>
      </c>
      <c r="H27" s="287">
        <f>'AAL Financials'!H24</f>
        <v>513</v>
      </c>
      <c r="I27" s="287">
        <f>'AAL Financials'!I24</f>
        <v>560</v>
      </c>
      <c r="J27" s="287">
        <f>'AAL Financials'!J24</f>
        <v>499</v>
      </c>
      <c r="K27" s="287">
        <f>'AAL Financials'!K24</f>
        <v>498</v>
      </c>
      <c r="L27" s="287">
        <f>'AAL Financials'!L24</f>
        <v>484</v>
      </c>
      <c r="M27" s="287">
        <f>'AAL Financials'!M24</f>
        <v>478</v>
      </c>
      <c r="N27" s="287">
        <f>'AAL Financials'!N24</f>
        <v>481</v>
      </c>
      <c r="O27" s="287">
        <f>'AAL Financials'!O24</f>
        <v>480</v>
      </c>
      <c r="P27" s="287">
        <f>'AAL Financials'!P24</f>
        <v>579</v>
      </c>
      <c r="Q27" s="287">
        <f>'AAL Financials'!Q24</f>
        <v>492</v>
      </c>
      <c r="R27" s="287">
        <f>'AAL Financials'!R167+'AAL Financials'!R178</f>
        <v>480.45088515735597</v>
      </c>
      <c r="S27" s="287">
        <f>'AAL Financials'!S167+'AAL Financials'!S178</f>
        <v>523.55167254709784</v>
      </c>
      <c r="T27" s="287">
        <f>'AAL Financials'!T167+'AAL Financials'!T178</f>
        <v>513.59626666666668</v>
      </c>
      <c r="V27" s="287">
        <f>'AAL Financials'!V24</f>
        <v>1702</v>
      </c>
      <c r="W27" s="287">
        <f>'AAL Financials'!W24</f>
        <v>1839</v>
      </c>
      <c r="X27" s="254">
        <f>+SUMIF($E$5:$T$5,X$5,$E27:$T27)</f>
        <v>1981</v>
      </c>
      <c r="Y27" s="254">
        <f>+SUMIF($E$5:$T$5,Y$5,$E27:$T27)</f>
        <v>2041</v>
      </c>
      <c r="Z27" s="254">
        <f>+SUMIF($E$5:$T$5,Z$5,$E27:$T27)</f>
        <v>2018</v>
      </c>
      <c r="AA27" s="254">
        <f>+SUMIF($E$5:$T$5,AA$5,$E27:$T27)</f>
        <v>2009.5988243711206</v>
      </c>
      <c r="AB27" s="287">
        <f>'AAL Financials'!AB167+'AAL Financials'!AB178</f>
        <v>2131.8417179146641</v>
      </c>
      <c r="AC27" s="287">
        <f>'AAL Financials'!AC167+'AAL Financials'!AC178</f>
        <v>2312.6612796240806</v>
      </c>
      <c r="AD27" s="287">
        <f>'AAL Financials'!AD167+'AAL Financials'!AD178</f>
        <v>2493.4808413334977</v>
      </c>
    </row>
    <row r="28" spans="3:30" s="283" customFormat="1" ht="11.25" customHeight="1">
      <c r="C28" s="286" t="s">
        <v>157</v>
      </c>
      <c r="E28" s="358">
        <f>E25-E27</f>
        <v>513</v>
      </c>
      <c r="F28" s="358">
        <f t="shared" ref="F28:T28" si="18">F25-F27</f>
        <v>1274</v>
      </c>
      <c r="G28" s="358">
        <f t="shared" si="18"/>
        <v>1042</v>
      </c>
      <c r="H28" s="358">
        <f t="shared" si="18"/>
        <v>877</v>
      </c>
      <c r="I28" s="358">
        <f t="shared" si="18"/>
        <v>-1324</v>
      </c>
      <c r="J28" s="358">
        <f t="shared" si="18"/>
        <v>-4158</v>
      </c>
      <c r="K28" s="358">
        <f t="shared" si="18"/>
        <v>-3390</v>
      </c>
      <c r="L28" s="358">
        <f t="shared" si="18"/>
        <v>-2515</v>
      </c>
      <c r="M28" s="358">
        <f t="shared" si="18"/>
        <v>-3238</v>
      </c>
      <c r="N28" s="358">
        <f t="shared" si="18"/>
        <v>-1014</v>
      </c>
      <c r="O28" s="358">
        <f t="shared" si="18"/>
        <v>-462</v>
      </c>
      <c r="P28" s="358">
        <f t="shared" si="18"/>
        <v>-800</v>
      </c>
      <c r="Q28" s="358">
        <f>Q25-Q27</f>
        <v>-1566</v>
      </c>
      <c r="R28" s="358">
        <f t="shared" si="18"/>
        <v>-162.95370920898608</v>
      </c>
      <c r="S28" s="358">
        <f t="shared" si="18"/>
        <v>69.478368281381904</v>
      </c>
      <c r="T28" s="358">
        <f t="shared" si="18"/>
        <v>-24.668667629549191</v>
      </c>
      <c r="V28" s="358">
        <f t="shared" ref="V28:AD28" si="19">V25-V27</f>
        <v>4965</v>
      </c>
      <c r="W28" s="358">
        <f t="shared" si="19"/>
        <v>3449</v>
      </c>
      <c r="X28" s="358">
        <f t="shared" si="19"/>
        <v>3706</v>
      </c>
      <c r="Y28" s="358">
        <f t="shared" si="19"/>
        <v>-11387</v>
      </c>
      <c r="Z28" s="358">
        <f t="shared" si="19"/>
        <v>-5514</v>
      </c>
      <c r="AA28" s="358">
        <f t="shared" si="19"/>
        <v>-1684.1440085571519</v>
      </c>
      <c r="AB28" s="358">
        <f t="shared" si="19"/>
        <v>2318.7533836089983</v>
      </c>
      <c r="AC28" s="358">
        <f t="shared" si="19"/>
        <v>4046.7550628653025</v>
      </c>
      <c r="AD28" s="358">
        <f t="shared" si="19"/>
        <v>4509.2701178357311</v>
      </c>
    </row>
    <row r="29" spans="3:30" s="255" customFormat="1" ht="11.25" customHeight="1"/>
    <row r="30" spans="3:30" s="255" customFormat="1" ht="11.25" customHeight="1">
      <c r="C30" s="255" t="s">
        <v>300</v>
      </c>
      <c r="E30" s="287">
        <f>'AAL Financials'!E29</f>
        <v>-33</v>
      </c>
      <c r="F30" s="287">
        <f>'AAL Financials'!F29</f>
        <v>-35</v>
      </c>
      <c r="G30" s="287">
        <f>'AAL Financials'!G29</f>
        <v>-34</v>
      </c>
      <c r="H30" s="287">
        <f>'AAL Financials'!H29</f>
        <v>-24</v>
      </c>
      <c r="I30" s="287">
        <f>'AAL Financials'!I29</f>
        <v>-21</v>
      </c>
      <c r="J30" s="287">
        <f>'AAL Financials'!J29</f>
        <v>-10</v>
      </c>
      <c r="K30" s="287">
        <f>'AAL Financials'!K29</f>
        <v>-5</v>
      </c>
      <c r="L30" s="287">
        <f>'AAL Financials'!L29</f>
        <v>-5</v>
      </c>
      <c r="M30" s="287">
        <f>'AAL Financials'!M29</f>
        <v>-4</v>
      </c>
      <c r="N30" s="287">
        <f>'AAL Financials'!N29</f>
        <v>-5</v>
      </c>
      <c r="O30" s="287">
        <f>'AAL Financials'!O29</f>
        <v>-5</v>
      </c>
      <c r="P30" s="287">
        <f>'AAL Financials'!P29</f>
        <v>-5</v>
      </c>
      <c r="Q30" s="287">
        <f>'AAL Financials'!Q29</f>
        <v>-8</v>
      </c>
      <c r="R30" s="287">
        <f>'AAL Financials'!R29</f>
        <v>-8.9491525423728824</v>
      </c>
      <c r="S30" s="287">
        <f>'AAL Financials'!S29</f>
        <v>-8.6286594761171038</v>
      </c>
      <c r="T30" s="287">
        <f>'AAL Financials'!T29</f>
        <v>-8.6286594761171038</v>
      </c>
      <c r="V30" s="287">
        <f>'AAL Financials'!V29</f>
        <v>-94</v>
      </c>
      <c r="W30" s="287">
        <f>'AAL Financials'!W29</f>
        <v>-118</v>
      </c>
      <c r="X30" s="254">
        <f t="shared" ref="X30:AA32" si="20">+SUMIF($E$5:$T$5,X$5,$E30:$T30)</f>
        <v>-126</v>
      </c>
      <c r="Y30" s="254">
        <f t="shared" si="20"/>
        <v>-41</v>
      </c>
      <c r="Z30" s="254">
        <f t="shared" si="20"/>
        <v>-19</v>
      </c>
      <c r="AA30" s="254">
        <f t="shared" si="20"/>
        <v>-34.206471494607086</v>
      </c>
      <c r="AB30" s="287">
        <f>'AAL Financials'!AB29</f>
        <v>-35</v>
      </c>
      <c r="AC30" s="287">
        <f>'AAL Financials'!AC29</f>
        <v>-35</v>
      </c>
      <c r="AD30" s="287">
        <f>'AAL Financials'!AD29</f>
        <v>-35</v>
      </c>
    </row>
    <row r="31" spans="3:30" s="255" customFormat="1" ht="11.25" customHeight="1">
      <c r="C31" s="255" t="s">
        <v>872</v>
      </c>
      <c r="E31" s="287">
        <f>'AAL Financials'!E30</f>
        <v>271</v>
      </c>
      <c r="F31" s="287">
        <f>'AAL Financials'!F30</f>
        <v>275</v>
      </c>
      <c r="G31" s="287">
        <f>'AAL Financials'!G30</f>
        <v>284</v>
      </c>
      <c r="H31" s="287">
        <f>'AAL Financials'!H30</f>
        <v>265</v>
      </c>
      <c r="I31" s="287">
        <f>'AAL Financials'!I30</f>
        <v>257</v>
      </c>
      <c r="J31" s="287">
        <f>'AAL Financials'!J30</f>
        <v>254</v>
      </c>
      <c r="K31" s="287">
        <f>'AAL Financials'!K30</f>
        <v>340</v>
      </c>
      <c r="L31" s="287">
        <f>'AAL Financials'!L30</f>
        <v>376</v>
      </c>
      <c r="M31" s="287">
        <f>'AAL Financials'!M30</f>
        <v>371</v>
      </c>
      <c r="N31" s="287">
        <f>'AAL Financials'!N30</f>
        <v>486</v>
      </c>
      <c r="O31" s="287">
        <f>'AAL Financials'!O30</f>
        <v>476</v>
      </c>
      <c r="P31" s="287">
        <f>'AAL Financials'!P30</f>
        <v>468</v>
      </c>
      <c r="Q31" s="287">
        <f>'AAL Financials'!Q30</f>
        <v>463</v>
      </c>
      <c r="R31" s="287">
        <f ca="1">'AAL Debt'!R121</f>
        <v>430.0526781293654</v>
      </c>
      <c r="S31" s="287">
        <f ca="1">'AAL Debt'!S121</f>
        <v>428.23157042043857</v>
      </c>
      <c r="T31" s="287">
        <f ca="1">'AAL Debt'!T121</f>
        <v>429.55353400357308</v>
      </c>
      <c r="V31" s="287">
        <f>'AAL Financials'!V30</f>
        <v>1053</v>
      </c>
      <c r="W31" s="287">
        <f>'AAL Financials'!W30</f>
        <v>1056</v>
      </c>
      <c r="X31" s="254">
        <f t="shared" si="20"/>
        <v>1095</v>
      </c>
      <c r="Y31" s="254">
        <f t="shared" si="20"/>
        <v>1227</v>
      </c>
      <c r="Z31" s="254">
        <f t="shared" si="20"/>
        <v>1801</v>
      </c>
      <c r="AA31" s="254">
        <f t="shared" ca="1" si="20"/>
        <v>1750.8377825533771</v>
      </c>
      <c r="AB31" s="287">
        <f ca="1">'AAL Debt'!AB121</f>
        <v>1698.3461714999999</v>
      </c>
      <c r="AC31" s="287">
        <f ca="1">'AAL Debt'!AC121</f>
        <v>1664.4508791000003</v>
      </c>
      <c r="AD31" s="287">
        <f ca="1">'AAL Debt'!AD121</f>
        <v>1472.6853361999997</v>
      </c>
    </row>
    <row r="32" spans="3:30" s="255" customFormat="1" ht="11.25" customHeight="1">
      <c r="C32" s="255" t="s">
        <v>988</v>
      </c>
      <c r="E32" s="255">
        <f>E79</f>
        <v>-39</v>
      </c>
      <c r="F32" s="255">
        <f t="shared" ref="F32:P32" si="21">F79</f>
        <v>-38</v>
      </c>
      <c r="G32" s="255">
        <f t="shared" si="21"/>
        <v>-43</v>
      </c>
      <c r="H32" s="255">
        <f t="shared" si="21"/>
        <v>-42</v>
      </c>
      <c r="I32" s="255">
        <f t="shared" si="21"/>
        <v>-112</v>
      </c>
      <c r="J32" s="255">
        <f t="shared" si="21"/>
        <v>-82</v>
      </c>
      <c r="K32" s="255">
        <f t="shared" si="21"/>
        <v>-90</v>
      </c>
      <c r="L32" s="255">
        <f t="shared" si="21"/>
        <v>-40</v>
      </c>
      <c r="M32" s="255">
        <f t="shared" si="21"/>
        <v>-86</v>
      </c>
      <c r="N32" s="255">
        <f t="shared" si="21"/>
        <v>-86</v>
      </c>
      <c r="O32" s="255">
        <f t="shared" si="21"/>
        <v>-100</v>
      </c>
      <c r="P32" s="255">
        <f t="shared" si="21"/>
        <v>-80</v>
      </c>
      <c r="Q32" s="255">
        <f>Q79</f>
        <v>-95</v>
      </c>
      <c r="R32" s="255">
        <f>R68*R13</f>
        <v>-89.571486219884093</v>
      </c>
      <c r="S32" s="255">
        <f>S68*S13</f>
        <v>-90.28151917262467</v>
      </c>
      <c r="T32" s="255">
        <f>T68*T13</f>
        <v>-83.129963953904863</v>
      </c>
      <c r="V32" s="255">
        <f>V79</f>
        <v>-145</v>
      </c>
      <c r="W32" s="255">
        <f>W79</f>
        <v>-279</v>
      </c>
      <c r="X32" s="254">
        <f t="shared" si="20"/>
        <v>-162</v>
      </c>
      <c r="Y32" s="254">
        <f t="shared" si="20"/>
        <v>-324</v>
      </c>
      <c r="Z32" s="254">
        <f t="shared" si="20"/>
        <v>-352</v>
      </c>
      <c r="AA32" s="254">
        <f t="shared" si="20"/>
        <v>-357.9829693464136</v>
      </c>
      <c r="AB32" s="255">
        <f>AB68*AB13</f>
        <v>-349.85206160174005</v>
      </c>
      <c r="AC32" s="255">
        <f>AC68*AC13</f>
        <v>-368.31771376988672</v>
      </c>
      <c r="AD32" s="255">
        <f>AD68*AD13</f>
        <v>-371.53502370123175</v>
      </c>
    </row>
    <row r="33" spans="2:30" s="255" customFormat="1" ht="11.25" customHeight="1">
      <c r="C33" s="286" t="s">
        <v>989</v>
      </c>
      <c r="E33" s="358">
        <f>E28-SUM(E30:E32)</f>
        <v>314</v>
      </c>
      <c r="F33" s="358">
        <f t="shared" ref="F33:P33" si="22">F28-SUM(F30:F32)</f>
        <v>1072</v>
      </c>
      <c r="G33" s="358">
        <f t="shared" si="22"/>
        <v>835</v>
      </c>
      <c r="H33" s="358">
        <f t="shared" si="22"/>
        <v>678</v>
      </c>
      <c r="I33" s="358">
        <f t="shared" si="22"/>
        <v>-1448</v>
      </c>
      <c r="J33" s="358">
        <f t="shared" si="22"/>
        <v>-4320</v>
      </c>
      <c r="K33" s="358">
        <f t="shared" si="22"/>
        <v>-3635</v>
      </c>
      <c r="L33" s="358">
        <f t="shared" si="22"/>
        <v>-2846</v>
      </c>
      <c r="M33" s="358">
        <f t="shared" si="22"/>
        <v>-3519</v>
      </c>
      <c r="N33" s="358">
        <f t="shared" si="22"/>
        <v>-1409</v>
      </c>
      <c r="O33" s="358">
        <f t="shared" si="22"/>
        <v>-833</v>
      </c>
      <c r="P33" s="358">
        <f t="shared" si="22"/>
        <v>-1183</v>
      </c>
      <c r="Q33" s="358">
        <f>Q28-SUM(Q30:Q32)</f>
        <v>-1926</v>
      </c>
      <c r="R33" s="358">
        <f ca="1">R28-SUM(R30:R32)</f>
        <v>-494.48574857609452</v>
      </c>
      <c r="S33" s="358">
        <f ca="1">S28-SUM(S30:S32)</f>
        <v>-259.84302349031492</v>
      </c>
      <c r="T33" s="358">
        <f ca="1">T28-SUM(T30:T32)</f>
        <v>-362.46357820310033</v>
      </c>
      <c r="V33" s="358">
        <f t="shared" ref="V33:AD33" si="23">V28-SUM(V30:V32)</f>
        <v>4151</v>
      </c>
      <c r="W33" s="358">
        <f t="shared" si="23"/>
        <v>2790</v>
      </c>
      <c r="X33" s="358">
        <f t="shared" si="23"/>
        <v>2899</v>
      </c>
      <c r="Y33" s="358">
        <f t="shared" si="23"/>
        <v>-12249</v>
      </c>
      <c r="Z33" s="358">
        <f t="shared" si="23"/>
        <v>-6944</v>
      </c>
      <c r="AA33" s="358">
        <f t="shared" ca="1" si="23"/>
        <v>-3042.7923502695085</v>
      </c>
      <c r="AB33" s="358">
        <f t="shared" ca="1" si="23"/>
        <v>1005.2592737107384</v>
      </c>
      <c r="AC33" s="358">
        <f t="shared" ca="1" si="23"/>
        <v>2785.621897535189</v>
      </c>
      <c r="AD33" s="358">
        <f t="shared" ca="1" si="23"/>
        <v>3443.1198053369631</v>
      </c>
    </row>
    <row r="34" spans="2:30" s="255" customFormat="1" ht="11.25" customHeight="1"/>
    <row r="35" spans="2:30" s="255" customFormat="1" ht="11.25" customHeight="1">
      <c r="C35" s="255" t="s">
        <v>874</v>
      </c>
      <c r="E35" s="255">
        <f>E83</f>
        <v>77</v>
      </c>
      <c r="F35" s="255">
        <f t="shared" ref="F35:P35" si="24">F83</f>
        <v>262</v>
      </c>
      <c r="G35" s="255">
        <f t="shared" si="24"/>
        <v>205</v>
      </c>
      <c r="H35" s="255">
        <f t="shared" si="24"/>
        <v>177</v>
      </c>
      <c r="I35" s="255">
        <f t="shared" si="24"/>
        <v>-319</v>
      </c>
      <c r="J35" s="255">
        <f t="shared" si="24"/>
        <v>-966</v>
      </c>
      <c r="K35" s="255">
        <f t="shared" si="24"/>
        <v>-817</v>
      </c>
      <c r="L35" s="255">
        <f t="shared" si="24"/>
        <v>-635</v>
      </c>
      <c r="M35" s="255">
        <f t="shared" si="24"/>
        <v>-776</v>
      </c>
      <c r="N35" s="255">
        <f t="shared" si="24"/>
        <v>-319</v>
      </c>
      <c r="O35" s="255">
        <f t="shared" si="24"/>
        <v>-192</v>
      </c>
      <c r="P35" s="255">
        <f t="shared" si="24"/>
        <v>-261</v>
      </c>
      <c r="Q35" s="255">
        <f>Q83</f>
        <v>-416</v>
      </c>
      <c r="R35" s="255">
        <f ca="1">R36*ABS(R33)</f>
        <v>0</v>
      </c>
      <c r="S35" s="255">
        <f ca="1">S36*ABS(S33)</f>
        <v>0</v>
      </c>
      <c r="T35" s="255">
        <f ca="1">T36*ABS(T33)</f>
        <v>0</v>
      </c>
      <c r="V35" s="255">
        <f>V83</f>
        <v>1559</v>
      </c>
      <c r="W35" s="255">
        <f>W83</f>
        <v>673</v>
      </c>
      <c r="X35" s="254">
        <f>+SUMIF($E$5:$T$5,X$5,$E35:$T35)</f>
        <v>721</v>
      </c>
      <c r="Y35" s="254">
        <f>+SUMIF($E$5:$T$5,Y$5,$E35:$T35)</f>
        <v>-2737</v>
      </c>
      <c r="Z35" s="254">
        <f>+SUMIF($E$5:$T$5,Z$5,$E35:$T35)</f>
        <v>-1548</v>
      </c>
      <c r="AA35" s="254">
        <f ca="1">+SUMIF($E$5:$T$5,AA$5,$E35:$T35)</f>
        <v>-416</v>
      </c>
      <c r="AB35" s="255">
        <f ca="1">AB36*AB33</f>
        <v>0</v>
      </c>
      <c r="AC35" s="255">
        <f ca="1">AC36*AC33</f>
        <v>0</v>
      </c>
      <c r="AD35" s="255">
        <f ca="1">AD36*AD33</f>
        <v>0</v>
      </c>
    </row>
    <row r="36" spans="2:30" s="441" customFormat="1" ht="11.25" customHeight="1">
      <c r="C36" s="441" t="s">
        <v>475</v>
      </c>
      <c r="E36" s="297">
        <f>E35/ABS(E33)</f>
        <v>0.24522292993630573</v>
      </c>
      <c r="F36" s="297">
        <f t="shared" ref="F36:P36" si="25">F35/ABS(F33)</f>
        <v>0.24440298507462688</v>
      </c>
      <c r="G36" s="297">
        <f t="shared" si="25"/>
        <v>0.24550898203592814</v>
      </c>
      <c r="H36" s="297">
        <f t="shared" si="25"/>
        <v>0.26106194690265488</v>
      </c>
      <c r="I36" s="297">
        <f t="shared" si="25"/>
        <v>-0.22030386740331492</v>
      </c>
      <c r="J36" s="297">
        <f t="shared" si="25"/>
        <v>-0.22361111111111112</v>
      </c>
      <c r="K36" s="297">
        <f t="shared" si="25"/>
        <v>-0.22475928473177442</v>
      </c>
      <c r="L36" s="297">
        <f t="shared" si="25"/>
        <v>-0.22312016865776529</v>
      </c>
      <c r="M36" s="297">
        <f t="shared" si="25"/>
        <v>-0.22051719238420006</v>
      </c>
      <c r="N36" s="297">
        <f t="shared" si="25"/>
        <v>-0.22640170333569909</v>
      </c>
      <c r="O36" s="297">
        <f t="shared" si="25"/>
        <v>-0.2304921968787515</v>
      </c>
      <c r="P36" s="297">
        <f t="shared" si="25"/>
        <v>-0.22062552831783602</v>
      </c>
      <c r="Q36" s="297">
        <f>Q35/ABS(Q33)</f>
        <v>-0.21599169262720663</v>
      </c>
      <c r="R36" s="296">
        <v>0</v>
      </c>
      <c r="S36" s="296">
        <v>0</v>
      </c>
      <c r="T36" s="296">
        <v>0</v>
      </c>
      <c r="V36" s="297">
        <f t="shared" ref="V36:AA36" si="26">V35/ABS(V33)</f>
        <v>0.37557215128884608</v>
      </c>
      <c r="W36" s="297">
        <f t="shared" si="26"/>
        <v>0.24121863799283155</v>
      </c>
      <c r="X36" s="297">
        <f t="shared" si="26"/>
        <v>0.24870645050017248</v>
      </c>
      <c r="Y36" s="297">
        <f t="shared" si="26"/>
        <v>-0.2234468119846518</v>
      </c>
      <c r="Z36" s="297">
        <f t="shared" si="26"/>
        <v>-0.22292626728110598</v>
      </c>
      <c r="AA36" s="297">
        <f t="shared" ca="1" si="26"/>
        <v>-0.13671652617476632</v>
      </c>
      <c r="AB36" s="296">
        <v>0</v>
      </c>
      <c r="AC36" s="296">
        <v>0</v>
      </c>
      <c r="AD36" s="296">
        <v>0</v>
      </c>
    </row>
    <row r="37" spans="2:30" s="255" customFormat="1" ht="11.25" customHeight="1">
      <c r="C37" s="286" t="s">
        <v>990</v>
      </c>
      <c r="E37" s="358">
        <f t="shared" ref="E37:T37" si="27">E33-E35</f>
        <v>237</v>
      </c>
      <c r="F37" s="358">
        <f t="shared" si="27"/>
        <v>810</v>
      </c>
      <c r="G37" s="358">
        <f t="shared" si="27"/>
        <v>630</v>
      </c>
      <c r="H37" s="358">
        <f t="shared" si="27"/>
        <v>501</v>
      </c>
      <c r="I37" s="358">
        <f t="shared" si="27"/>
        <v>-1129</v>
      </c>
      <c r="J37" s="358">
        <f t="shared" si="27"/>
        <v>-3354</v>
      </c>
      <c r="K37" s="358">
        <f t="shared" si="27"/>
        <v>-2818</v>
      </c>
      <c r="L37" s="358">
        <f t="shared" si="27"/>
        <v>-2211</v>
      </c>
      <c r="M37" s="358">
        <f t="shared" si="27"/>
        <v>-2743</v>
      </c>
      <c r="N37" s="358">
        <f t="shared" si="27"/>
        <v>-1090</v>
      </c>
      <c r="O37" s="358">
        <f t="shared" si="27"/>
        <v>-641</v>
      </c>
      <c r="P37" s="358">
        <f t="shared" si="27"/>
        <v>-922</v>
      </c>
      <c r="Q37" s="358">
        <f>Q33-Q35</f>
        <v>-1510</v>
      </c>
      <c r="R37" s="358">
        <f t="shared" ca="1" si="27"/>
        <v>-494.48574857609452</v>
      </c>
      <c r="S37" s="358">
        <f t="shared" ca="1" si="27"/>
        <v>-259.84302349031492</v>
      </c>
      <c r="T37" s="358">
        <f t="shared" ca="1" si="27"/>
        <v>-362.46357820310033</v>
      </c>
      <c r="V37" s="358">
        <f t="shared" ref="V37:AD37" si="28">V33-V35</f>
        <v>2592</v>
      </c>
      <c r="W37" s="358">
        <f t="shared" si="28"/>
        <v>2117</v>
      </c>
      <c r="X37" s="358">
        <f t="shared" si="28"/>
        <v>2178</v>
      </c>
      <c r="Y37" s="358">
        <f t="shared" si="28"/>
        <v>-9512</v>
      </c>
      <c r="Z37" s="358">
        <f t="shared" si="28"/>
        <v>-5396</v>
      </c>
      <c r="AA37" s="358">
        <f t="shared" ca="1" si="28"/>
        <v>-2626.7923502695085</v>
      </c>
      <c r="AB37" s="358">
        <f t="shared" ca="1" si="28"/>
        <v>1005.2592737107384</v>
      </c>
      <c r="AC37" s="358">
        <f t="shared" ca="1" si="28"/>
        <v>2785.621897535189</v>
      </c>
      <c r="AD37" s="358">
        <f t="shared" ca="1" si="28"/>
        <v>3443.1198053369631</v>
      </c>
    </row>
    <row r="38" spans="2:30" s="255" customFormat="1" ht="11.25" customHeight="1">
      <c r="C38" s="286"/>
    </row>
    <row r="39" spans="2:30" s="284" customFormat="1" ht="11.25" customHeight="1">
      <c r="C39" s="284" t="s">
        <v>991</v>
      </c>
      <c r="E39" s="284">
        <f>ROUND('AAL Financials'!E59-'AAL KPI'!E33,0)</f>
        <v>0</v>
      </c>
      <c r="F39" s="284">
        <f>ROUND('AAL Financials'!F59-'AAL KPI'!F33,0)</f>
        <v>0</v>
      </c>
      <c r="G39" s="284">
        <f>ROUND('AAL Financials'!G59-'AAL KPI'!G33,0)</f>
        <v>0</v>
      </c>
      <c r="H39" s="284">
        <f>ROUND('AAL Financials'!H59-'AAL KPI'!H33,0)</f>
        <v>0</v>
      </c>
      <c r="I39" s="284">
        <f>ROUND('AAL Financials'!I59-'AAL KPI'!I33,0)</f>
        <v>0</v>
      </c>
      <c r="J39" s="284">
        <f>ROUND('AAL Financials'!J59-'AAL KPI'!J33,0)</f>
        <v>0</v>
      </c>
      <c r="K39" s="284">
        <f>ROUND('AAL Financials'!K59-'AAL KPI'!K33,0)</f>
        <v>0</v>
      </c>
      <c r="L39" s="284">
        <f>ROUND('AAL Financials'!L59-'AAL KPI'!L33,0)</f>
        <v>0</v>
      </c>
      <c r="M39" s="284">
        <f>ROUND('AAL Financials'!M59-'AAL KPI'!M33,0)</f>
        <v>0</v>
      </c>
      <c r="N39" s="284">
        <f>ROUND('AAL Financials'!N59-'AAL KPI'!N33,0)</f>
        <v>0</v>
      </c>
      <c r="O39" s="284">
        <f>ROUND('AAL Financials'!O59-'AAL KPI'!O33,0)</f>
        <v>0</v>
      </c>
      <c r="P39" s="284">
        <f>ROUND('AAL Financials'!P59-'AAL KPI'!P33,0)</f>
        <v>0</v>
      </c>
      <c r="Q39" s="284">
        <f>ROUND('AAL Financials'!Q59-'AAL KPI'!Q33,0)</f>
        <v>0</v>
      </c>
      <c r="R39" s="284">
        <f ca="1">ROUND('AAL Financials'!R59-'AAL KPI'!R33,0)</f>
        <v>0</v>
      </c>
      <c r="S39" s="284">
        <f ca="1">ROUND('AAL Financials'!S59-'AAL KPI'!S33,0)</f>
        <v>0</v>
      </c>
      <c r="T39" s="284">
        <f ca="1">ROUND('AAL Financials'!T59-'AAL KPI'!T33,0)</f>
        <v>0</v>
      </c>
      <c r="V39" s="284">
        <f>ROUND('AAL Financials'!V59-'AAL KPI'!V33,0)</f>
        <v>0</v>
      </c>
      <c r="W39" s="284">
        <f>ROUND('AAL Financials'!W59-'AAL KPI'!W33,0)</f>
        <v>0</v>
      </c>
      <c r="X39" s="284">
        <f>ROUND('AAL Financials'!X59-'AAL KPI'!X33,0)</f>
        <v>0</v>
      </c>
      <c r="Y39" s="284">
        <f>ROUND('AAL Financials'!Y59-'AAL KPI'!Y33,0)</f>
        <v>0</v>
      </c>
      <c r="Z39" s="284">
        <f>ROUND('AAL Financials'!Z59-'AAL KPI'!Z33,0)</f>
        <v>0</v>
      </c>
      <c r="AA39" s="284">
        <f ca="1">ROUND('AAL Financials'!AA59-'AAL KPI'!AA33,0)</f>
        <v>0</v>
      </c>
      <c r="AB39" s="284">
        <f ca="1">ROUND('AAL Financials'!AB59-'AAL KPI'!AB33,0)</f>
        <v>0</v>
      </c>
      <c r="AC39" s="284">
        <f ca="1">ROUND('AAL Financials'!AC59-'AAL KPI'!AC33,0)</f>
        <v>0</v>
      </c>
      <c r="AD39" s="284">
        <f ca="1">ROUND('AAL Financials'!AD59-'AAL KPI'!AD33,0)</f>
        <v>0</v>
      </c>
    </row>
    <row r="40" spans="2:30" s="284" customFormat="1" ht="11.25" customHeight="1">
      <c r="C40" s="284" t="s">
        <v>428</v>
      </c>
      <c r="E40" s="284">
        <f>ROUND('AAL Financials'!E64-E37,0)</f>
        <v>0</v>
      </c>
      <c r="F40" s="284">
        <f>ROUND('AAL Financials'!F64-F37,0)</f>
        <v>0</v>
      </c>
      <c r="G40" s="284">
        <f>ROUND('AAL Financials'!G64-G37,0)</f>
        <v>0</v>
      </c>
      <c r="H40" s="284">
        <f>ROUND('AAL Financials'!H64-H37,0)</f>
        <v>0</v>
      </c>
      <c r="I40" s="284">
        <f>ROUND('AAL Financials'!I64-I37,0)</f>
        <v>0</v>
      </c>
      <c r="J40" s="284">
        <f>ROUND('AAL Financials'!J64-J37,0)</f>
        <v>0</v>
      </c>
      <c r="K40" s="284">
        <f>ROUND('AAL Financials'!K64-K37,0)</f>
        <v>0</v>
      </c>
      <c r="L40" s="284">
        <f>ROUND('AAL Financials'!L64-L37,0)</f>
        <v>0</v>
      </c>
      <c r="M40" s="284">
        <f>ROUND('AAL Financials'!M64-M37,0)</f>
        <v>0</v>
      </c>
      <c r="N40" s="284">
        <f>ROUND('AAL Financials'!N64-N37,0)</f>
        <v>0</v>
      </c>
      <c r="O40" s="284">
        <f>ROUND('AAL Financials'!O64-O37,0)</f>
        <v>0</v>
      </c>
      <c r="P40" s="284">
        <f>ROUND('AAL Financials'!P64-P37,0)</f>
        <v>0</v>
      </c>
      <c r="Q40" s="284">
        <f>ROUND('AAL Financials'!Q64-Q37,0)</f>
        <v>0</v>
      </c>
      <c r="R40" s="284">
        <f ca="1">ROUND('AAL Financials'!R64-R37,0)</f>
        <v>0</v>
      </c>
      <c r="S40" s="284">
        <f ca="1">ROUND('AAL Financials'!S64-S37,0)</f>
        <v>0</v>
      </c>
      <c r="T40" s="284">
        <f ca="1">ROUND('AAL Financials'!T64-T37,0)</f>
        <v>0</v>
      </c>
      <c r="V40" s="284">
        <f>ROUND('AAL Financials'!V64-V37,0)</f>
        <v>0</v>
      </c>
      <c r="W40" s="284">
        <f>ROUND('AAL Financials'!W64-W37,0)</f>
        <v>0</v>
      </c>
      <c r="X40" s="284">
        <f>ROUND('AAL Financials'!X64-X37,0)</f>
        <v>0</v>
      </c>
      <c r="Y40" s="284">
        <f>ROUND('AAL Financials'!Y64-Y37,0)</f>
        <v>0</v>
      </c>
      <c r="Z40" s="284">
        <f>ROUND('AAL Financials'!Z64-Z37,0)</f>
        <v>0</v>
      </c>
      <c r="AA40" s="284">
        <f ca="1">ROUND('AAL Financials'!AA64-AA37,0)</f>
        <v>0</v>
      </c>
      <c r="AB40" s="284">
        <f ca="1">ROUND('AAL Financials'!AB64-AB37,0)</f>
        <v>0</v>
      </c>
      <c r="AC40" s="284">
        <f ca="1">ROUND('AAL Financials'!AC64-AC37,0)</f>
        <v>0</v>
      </c>
      <c r="AD40" s="284">
        <f ca="1">ROUND('AAL Financials'!AD64-AD37,0)</f>
        <v>0</v>
      </c>
    </row>
    <row r="41" spans="2:30" s="255" customFormat="1" ht="11.25" customHeight="1"/>
    <row r="42" spans="2:30" ht="11.25" customHeight="1">
      <c r="B42" s="258" t="s">
        <v>133</v>
      </c>
      <c r="C42" s="259" t="s">
        <v>476</v>
      </c>
      <c r="D42" s="259"/>
      <c r="E42" s="258"/>
      <c r="F42" s="258"/>
      <c r="G42" s="258"/>
      <c r="H42" s="258"/>
      <c r="I42" s="258"/>
      <c r="J42" s="258"/>
      <c r="K42" s="258"/>
      <c r="L42" s="258"/>
      <c r="M42" s="258"/>
      <c r="N42" s="258"/>
      <c r="O42" s="258"/>
      <c r="P42" s="258"/>
      <c r="Q42" s="258"/>
      <c r="R42" s="258"/>
      <c r="S42" s="258"/>
      <c r="T42" s="258"/>
      <c r="U42" s="255"/>
      <c r="V42" s="258"/>
      <c r="W42" s="258"/>
      <c r="X42" s="258"/>
      <c r="Y42" s="258"/>
      <c r="Z42" s="258"/>
      <c r="AA42" s="258"/>
      <c r="AB42" s="258"/>
      <c r="AC42" s="258"/>
      <c r="AD42" s="258"/>
    </row>
    <row r="43" spans="2:30" s="255" customFormat="1" ht="11.25" customHeight="1"/>
    <row r="44" spans="2:30" s="255" customFormat="1" ht="11.25" customHeight="1">
      <c r="B44" s="627"/>
      <c r="C44" s="627" t="s">
        <v>1575</v>
      </c>
      <c r="E44" s="487"/>
      <c r="F44" s="487"/>
      <c r="G44" s="487"/>
      <c r="H44" s="487"/>
      <c r="I44" s="487">
        <f>I13/E13-1</f>
        <v>-0.19548374905517762</v>
      </c>
      <c r="J44" s="487">
        <f>J13/F13-1</f>
        <v>-0.86438127090301009</v>
      </c>
      <c r="K44" s="487">
        <f>K13/G13-1</f>
        <v>-0.73360758962303751</v>
      </c>
      <c r="L44" s="487">
        <f>L13/H13-1</f>
        <v>-0.64403783258198533</v>
      </c>
      <c r="M44" s="487">
        <f>M13/E13-1</f>
        <v>-0.62131519274376412</v>
      </c>
      <c r="N44" s="487">
        <f>N13/F13-1</f>
        <v>-0.37474916387959867</v>
      </c>
      <c r="O44" s="487">
        <f>O13/G13-1</f>
        <v>-0.24699857274788006</v>
      </c>
      <c r="P44" s="487">
        <f>P13/H13-1</f>
        <v>-0.16671086360823828</v>
      </c>
      <c r="Q44" s="487">
        <f>Q13/E13-1</f>
        <v>-0.15920256991685566</v>
      </c>
      <c r="R44" s="487">
        <f>R13/F13-1</f>
        <v>6.9893528665600835E-2</v>
      </c>
      <c r="S44" s="487">
        <f>S13/G13-1</f>
        <v>8.2810837192806908E-2</v>
      </c>
      <c r="T44" s="487">
        <f>T13/H13-1</f>
        <v>4.9740045635297658E-2</v>
      </c>
      <c r="U44" s="441"/>
      <c r="V44" s="487"/>
      <c r="W44" s="487"/>
      <c r="X44" s="487"/>
      <c r="Y44" s="487"/>
      <c r="Z44" s="487"/>
      <c r="AA44" s="487"/>
      <c r="AB44" s="487"/>
      <c r="AC44" s="487"/>
      <c r="AD44" s="487"/>
    </row>
    <row r="45" spans="2:30" s="255" customFormat="1" ht="11.25" customHeight="1">
      <c r="B45" s="627"/>
      <c r="C45" s="627"/>
      <c r="E45" s="487"/>
      <c r="F45" s="487"/>
      <c r="G45" s="487"/>
      <c r="H45" s="487"/>
      <c r="I45" s="487"/>
      <c r="J45" s="487"/>
      <c r="K45" s="487"/>
      <c r="L45" s="487"/>
      <c r="M45" s="487"/>
      <c r="N45" s="487"/>
      <c r="O45" s="487"/>
      <c r="P45" s="487"/>
      <c r="Q45" s="487"/>
      <c r="R45" s="487"/>
      <c r="S45" s="487"/>
      <c r="T45" s="487"/>
      <c r="U45" s="441"/>
      <c r="V45" s="487"/>
      <c r="W45" s="487"/>
      <c r="X45" s="487"/>
      <c r="Y45" s="487"/>
      <c r="Z45" s="487"/>
      <c r="AA45" s="487"/>
      <c r="AB45" s="487"/>
      <c r="AC45" s="487"/>
      <c r="AD45" s="487"/>
    </row>
    <row r="46" spans="2:30" s="255" customFormat="1" ht="11.25" customHeight="1">
      <c r="B46" s="627"/>
      <c r="C46" s="627" t="str">
        <f>C10</f>
        <v>Passenger</v>
      </c>
      <c r="E46" s="487">
        <f t="shared" ref="E46:T46" si="29">E10/E$13</f>
        <v>0.91250944822373392</v>
      </c>
      <c r="F46" s="487">
        <f t="shared" si="29"/>
        <v>0.92065217391304344</v>
      </c>
      <c r="G46" s="487">
        <f t="shared" si="29"/>
        <v>0.92309629754008904</v>
      </c>
      <c r="H46" s="487">
        <f t="shared" si="29"/>
        <v>0.91461150888358522</v>
      </c>
      <c r="I46" s="487">
        <f t="shared" si="29"/>
        <v>0.90205519671168521</v>
      </c>
      <c r="J46" s="487">
        <f t="shared" si="29"/>
        <v>0.68310727496917389</v>
      </c>
      <c r="K46" s="487">
        <f t="shared" si="29"/>
        <v>0.80050425464859754</v>
      </c>
      <c r="L46" s="487">
        <f t="shared" si="29"/>
        <v>0.7921529674695803</v>
      </c>
      <c r="M46" s="487">
        <f t="shared" si="29"/>
        <v>0.79316367265469057</v>
      </c>
      <c r="N46" s="487">
        <f t="shared" si="29"/>
        <v>0.87523401979138804</v>
      </c>
      <c r="O46" s="487">
        <f t="shared" si="29"/>
        <v>0.88716690823949163</v>
      </c>
      <c r="P46" s="487">
        <f t="shared" si="29"/>
        <v>0.88914819136522749</v>
      </c>
      <c r="Q46" s="487">
        <f t="shared" si="29"/>
        <v>0.87852567704236428</v>
      </c>
      <c r="R46" s="487">
        <f t="shared" si="29"/>
        <v>0.8819233145708395</v>
      </c>
      <c r="S46" s="487">
        <f t="shared" si="29"/>
        <v>0.88257695560478044</v>
      </c>
      <c r="T46" s="487">
        <f t="shared" si="29"/>
        <v>0.88383557515182365</v>
      </c>
      <c r="U46" s="441"/>
      <c r="V46" s="487">
        <f t="shared" ref="V46:AD47" si="30">V10/V$13</f>
        <v>0.91809394209563133</v>
      </c>
      <c r="W46" s="487">
        <f t="shared" si="30"/>
        <v>0.91322601647919899</v>
      </c>
      <c r="X46" s="487">
        <f t="shared" si="30"/>
        <v>0.91791207830798816</v>
      </c>
      <c r="Y46" s="487">
        <f t="shared" si="30"/>
        <v>0.83745746092172813</v>
      </c>
      <c r="Z46" s="487">
        <f t="shared" si="30"/>
        <v>0.87219730941704032</v>
      </c>
      <c r="AA46" s="487">
        <f t="shared" si="30"/>
        <v>0.88194277135443422</v>
      </c>
      <c r="AB46" s="487">
        <f t="shared" si="30"/>
        <v>0.89480953712479916</v>
      </c>
      <c r="AC46" s="487">
        <f t="shared" si="30"/>
        <v>0.90669341158489247</v>
      </c>
      <c r="AD46" s="487">
        <f t="shared" si="30"/>
        <v>0.91755054571663752</v>
      </c>
    </row>
    <row r="47" spans="2:30" s="255" customFormat="1" ht="11.25" customHeight="1">
      <c r="B47" s="627"/>
      <c r="C47" s="627" t="str">
        <f>C11</f>
        <v>Cargo</v>
      </c>
      <c r="E47" s="487">
        <f t="shared" ref="E47:T47" si="31">E11/E$13</f>
        <v>2.0597127739984882E-2</v>
      </c>
      <c r="F47" s="487">
        <f t="shared" si="31"/>
        <v>1.8478260869565218E-2</v>
      </c>
      <c r="G47" s="487">
        <f t="shared" si="31"/>
        <v>1.7462849466879354E-2</v>
      </c>
      <c r="H47" s="487">
        <f t="shared" si="31"/>
        <v>1.9093078758949882E-2</v>
      </c>
      <c r="I47" s="487">
        <f t="shared" si="31"/>
        <v>1.7263652378156195E-2</v>
      </c>
      <c r="J47" s="487">
        <f t="shared" si="31"/>
        <v>8.0147965474722568E-2</v>
      </c>
      <c r="K47" s="487">
        <f t="shared" si="31"/>
        <v>6.5237945162306965E-2</v>
      </c>
      <c r="L47" s="487">
        <f t="shared" si="31"/>
        <v>7.0772287062329284E-2</v>
      </c>
      <c r="M47" s="487">
        <f t="shared" si="31"/>
        <v>7.859281437125748E-2</v>
      </c>
      <c r="N47" s="487">
        <f t="shared" si="31"/>
        <v>4.3594543995720783E-2</v>
      </c>
      <c r="O47" s="487">
        <f t="shared" si="31"/>
        <v>3.7016389787044267E-2</v>
      </c>
      <c r="P47" s="487">
        <f t="shared" si="31"/>
        <v>3.6172695449241538E-2</v>
      </c>
      <c r="Q47" s="487">
        <f t="shared" si="31"/>
        <v>4.0903472300258453E-2</v>
      </c>
      <c r="R47" s="487">
        <f t="shared" si="31"/>
        <v>2.9884353972076623E-2</v>
      </c>
      <c r="S47" s="487">
        <f t="shared" si="31"/>
        <v>2.9165348834741485E-2</v>
      </c>
      <c r="T47" s="487">
        <f t="shared" si="31"/>
        <v>2.7780867332993953E-2</v>
      </c>
      <c r="U47" s="441"/>
      <c r="V47" s="487">
        <f t="shared" si="30"/>
        <v>2.0881235042935573E-2</v>
      </c>
      <c r="W47" s="487">
        <f t="shared" si="30"/>
        <v>2.2743090635594172E-2</v>
      </c>
      <c r="X47" s="487">
        <f t="shared" si="30"/>
        <v>1.8855969236147525E-2</v>
      </c>
      <c r="Y47" s="487">
        <f t="shared" si="30"/>
        <v>4.4356001615042974E-2</v>
      </c>
      <c r="Z47" s="487">
        <f t="shared" si="30"/>
        <v>4.3972960310554851E-2</v>
      </c>
      <c r="AA47" s="487">
        <f t="shared" si="30"/>
        <v>3.1257459690088536E-2</v>
      </c>
      <c r="AB47" s="487">
        <f t="shared" si="30"/>
        <v>2.5690555033034281E-2</v>
      </c>
      <c r="AC47" s="487">
        <f t="shared" si="30"/>
        <v>2.1364437792115644E-2</v>
      </c>
      <c r="AD47" s="487">
        <f t="shared" si="30"/>
        <v>1.8362567808794816E-2</v>
      </c>
    </row>
    <row r="48" spans="2:30" s="255" customFormat="1" ht="11.25" customHeight="1">
      <c r="B48" s="627"/>
      <c r="C48" s="627" t="str">
        <f>C12</f>
        <v>Other</v>
      </c>
      <c r="E48" s="487">
        <f t="shared" ref="E48:P48" si="32">E12/E$13</f>
        <v>6.6893424036281179E-2</v>
      </c>
      <c r="F48" s="487">
        <f t="shared" si="32"/>
        <v>6.0869565217391307E-2</v>
      </c>
      <c r="G48" s="487">
        <f t="shared" si="32"/>
        <v>5.9440852993031652E-2</v>
      </c>
      <c r="H48" s="487">
        <f t="shared" si="32"/>
        <v>6.6295412357464861E-2</v>
      </c>
      <c r="I48" s="487">
        <f t="shared" si="32"/>
        <v>8.0681150910158539E-2</v>
      </c>
      <c r="J48" s="487">
        <f t="shared" si="32"/>
        <v>0.23674475955610358</v>
      </c>
      <c r="K48" s="487">
        <f t="shared" si="32"/>
        <v>0.1342578001890955</v>
      </c>
      <c r="L48" s="487">
        <f t="shared" si="32"/>
        <v>0.1370747454680904</v>
      </c>
      <c r="M48" s="487">
        <f t="shared" si="32"/>
        <v>0.1282435129740519</v>
      </c>
      <c r="N48" s="487">
        <f t="shared" si="32"/>
        <v>8.1171436212891149E-2</v>
      </c>
      <c r="O48" s="487">
        <f t="shared" si="32"/>
        <v>7.5816701973464157E-2</v>
      </c>
      <c r="P48" s="487">
        <f t="shared" si="32"/>
        <v>7.4679113185530915E-2</v>
      </c>
      <c r="Q48" s="487">
        <f t="shared" ref="Q48:T49" si="33">Q12/Q$13</f>
        <v>8.0570850657377235E-2</v>
      </c>
      <c r="R48" s="487">
        <f t="shared" si="33"/>
        <v>8.8192331457083953E-2</v>
      </c>
      <c r="S48" s="487">
        <f t="shared" si="33"/>
        <v>8.825769556047805E-2</v>
      </c>
      <c r="T48" s="487">
        <f t="shared" si="33"/>
        <v>8.838355751518237E-2</v>
      </c>
      <c r="U48" s="441"/>
      <c r="V48" s="487">
        <f t="shared" ref="V48:AD48" si="34">V12/V$13</f>
        <v>6.1024822861433063E-2</v>
      </c>
      <c r="W48" s="487">
        <f t="shared" si="34"/>
        <v>6.4030892885206886E-2</v>
      </c>
      <c r="X48" s="487">
        <f t="shared" si="34"/>
        <v>6.3231952455864354E-2</v>
      </c>
      <c r="Y48" s="487">
        <f t="shared" si="34"/>
        <v>0.11818653746322894</v>
      </c>
      <c r="Z48" s="487">
        <f t="shared" si="34"/>
        <v>8.3829730272404798E-2</v>
      </c>
      <c r="AA48" s="487">
        <f t="shared" si="34"/>
        <v>8.6799768955477238E-2</v>
      </c>
      <c r="AB48" s="487">
        <f t="shared" si="34"/>
        <v>7.9499907842166512E-2</v>
      </c>
      <c r="AC48" s="487">
        <f t="shared" si="34"/>
        <v>7.194215062299178E-2</v>
      </c>
      <c r="AD48" s="487">
        <f t="shared" si="34"/>
        <v>6.4086886474567561E-2</v>
      </c>
    </row>
    <row r="49" spans="2:30" s="441" customFormat="1" ht="11.25" customHeight="1">
      <c r="B49" s="627"/>
      <c r="C49" s="898" t="str">
        <f>C13</f>
        <v>Total operating revenues</v>
      </c>
      <c r="D49" s="627"/>
      <c r="E49" s="487">
        <f t="shared" ref="E49:P49" si="35">E13/E$13</f>
        <v>1</v>
      </c>
      <c r="F49" s="487">
        <f t="shared" si="35"/>
        <v>1</v>
      </c>
      <c r="G49" s="487">
        <f t="shared" si="35"/>
        <v>1</v>
      </c>
      <c r="H49" s="487">
        <f t="shared" si="35"/>
        <v>1</v>
      </c>
      <c r="I49" s="487">
        <f t="shared" si="35"/>
        <v>1</v>
      </c>
      <c r="J49" s="487">
        <f t="shared" si="35"/>
        <v>1</v>
      </c>
      <c r="K49" s="487">
        <f t="shared" si="35"/>
        <v>1</v>
      </c>
      <c r="L49" s="487">
        <f t="shared" si="35"/>
        <v>1</v>
      </c>
      <c r="M49" s="487">
        <f t="shared" si="35"/>
        <v>1</v>
      </c>
      <c r="N49" s="487">
        <f t="shared" si="35"/>
        <v>1</v>
      </c>
      <c r="O49" s="487">
        <f t="shared" si="35"/>
        <v>1</v>
      </c>
      <c r="P49" s="487">
        <f t="shared" si="35"/>
        <v>1</v>
      </c>
      <c r="Q49" s="487">
        <f t="shared" si="33"/>
        <v>1</v>
      </c>
      <c r="R49" s="487">
        <f t="shared" si="33"/>
        <v>1</v>
      </c>
      <c r="S49" s="487">
        <f t="shared" si="33"/>
        <v>1</v>
      </c>
      <c r="T49" s="487">
        <f t="shared" si="33"/>
        <v>1</v>
      </c>
      <c r="V49" s="487">
        <f t="shared" ref="V49:AD49" si="36">V13/V$13</f>
        <v>1</v>
      </c>
      <c r="W49" s="487">
        <f t="shared" si="36"/>
        <v>1</v>
      </c>
      <c r="X49" s="487">
        <f t="shared" si="36"/>
        <v>1</v>
      </c>
      <c r="Y49" s="487">
        <f t="shared" si="36"/>
        <v>1</v>
      </c>
      <c r="Z49" s="487">
        <f t="shared" si="36"/>
        <v>1</v>
      </c>
      <c r="AA49" s="487">
        <f t="shared" si="36"/>
        <v>1</v>
      </c>
      <c r="AB49" s="487">
        <f t="shared" si="36"/>
        <v>1</v>
      </c>
      <c r="AC49" s="487">
        <f t="shared" si="36"/>
        <v>1</v>
      </c>
      <c r="AD49" s="487">
        <f t="shared" si="36"/>
        <v>1</v>
      </c>
    </row>
    <row r="50" spans="2:30" s="441" customFormat="1" ht="11.25" customHeight="1">
      <c r="B50" s="627"/>
      <c r="C50" s="627"/>
      <c r="D50" s="627"/>
      <c r="E50" s="487"/>
      <c r="F50" s="487"/>
      <c r="G50" s="487"/>
      <c r="H50" s="487"/>
      <c r="I50" s="487"/>
      <c r="J50" s="487"/>
      <c r="K50" s="487"/>
      <c r="L50" s="487"/>
      <c r="M50" s="487"/>
      <c r="N50" s="487"/>
      <c r="O50" s="487"/>
      <c r="P50" s="487"/>
      <c r="Q50" s="487"/>
      <c r="R50" s="487"/>
      <c r="S50" s="487"/>
      <c r="T50" s="487"/>
      <c r="V50" s="487"/>
      <c r="W50" s="487"/>
      <c r="X50" s="487"/>
      <c r="Y50" s="487"/>
      <c r="Z50" s="487"/>
      <c r="AA50" s="487"/>
      <c r="AB50" s="487"/>
      <c r="AC50" s="487"/>
      <c r="AD50" s="487"/>
    </row>
    <row r="51" spans="2:30" s="441" customFormat="1" ht="11.25" customHeight="1">
      <c r="B51" s="627"/>
      <c r="C51" s="627" t="s">
        <v>865</v>
      </c>
      <c r="D51" s="627"/>
      <c r="E51" s="487">
        <f t="shared" ref="E51:P51" si="37">E15/E$13</f>
        <v>0.20304232804232805</v>
      </c>
      <c r="F51" s="487">
        <f t="shared" si="37"/>
        <v>0.20752508361204014</v>
      </c>
      <c r="G51" s="487">
        <f t="shared" si="37"/>
        <v>0.20770716144740156</v>
      </c>
      <c r="H51" s="487">
        <f t="shared" si="37"/>
        <v>0.20242199239812605</v>
      </c>
      <c r="I51" s="487">
        <f t="shared" si="37"/>
        <v>0.20951262477980034</v>
      </c>
      <c r="J51" s="487">
        <f t="shared" si="37"/>
        <v>0.19050554870530209</v>
      </c>
      <c r="K51" s="487">
        <f t="shared" si="37"/>
        <v>0.19256224393318627</v>
      </c>
      <c r="L51" s="487">
        <f t="shared" si="37"/>
        <v>0.17333002234914327</v>
      </c>
      <c r="M51" s="487">
        <f t="shared" si="37"/>
        <v>0.25798403193612773</v>
      </c>
      <c r="N51" s="487">
        <f t="shared" si="37"/>
        <v>0.21543193367210484</v>
      </c>
      <c r="O51" s="487">
        <f t="shared" si="37"/>
        <v>0.21763853272382652</v>
      </c>
      <c r="P51" s="487">
        <f t="shared" si="37"/>
        <v>0.23294791556168451</v>
      </c>
      <c r="Q51" s="487">
        <f t="shared" ref="Q51:Q57" si="38">Q15/Q$13</f>
        <v>0.28115518597595235</v>
      </c>
      <c r="R51" s="487">
        <f t="shared" ref="R51:T57" si="39">R15/R$13</f>
        <v>0.36260420989710684</v>
      </c>
      <c r="S51" s="487">
        <f t="shared" si="39"/>
        <v>0.32770235681325521</v>
      </c>
      <c r="T51" s="487">
        <f t="shared" si="39"/>
        <v>0.29575793170464265</v>
      </c>
      <c r="U51" s="297"/>
      <c r="V51" s="487">
        <f t="shared" ref="V51:AD51" si="40">V15/V$13</f>
        <v>0.17620008446342264</v>
      </c>
      <c r="W51" s="487">
        <f t="shared" si="40"/>
        <v>0.22217731977279362</v>
      </c>
      <c r="X51" s="487">
        <f t="shared" si="40"/>
        <v>0.20527442754763153</v>
      </c>
      <c r="Y51" s="487">
        <f t="shared" si="40"/>
        <v>0.19622772105900674</v>
      </c>
      <c r="Z51" s="487">
        <f t="shared" si="40"/>
        <v>0.22732748811993841</v>
      </c>
      <c r="AA51" s="487">
        <f t="shared" si="40"/>
        <v>0.32023518678803908</v>
      </c>
      <c r="AB51" s="487">
        <f t="shared" si="40"/>
        <v>0.27085432520651698</v>
      </c>
      <c r="AC51" s="487">
        <f t="shared" si="40"/>
        <v>0.23993383612705452</v>
      </c>
      <c r="AD51" s="487">
        <f t="shared" si="40"/>
        <v>0.24306749289464138</v>
      </c>
    </row>
    <row r="52" spans="2:30" s="441" customFormat="1" ht="11.25" customHeight="1">
      <c r="B52" s="627"/>
      <c r="C52" s="627" t="s">
        <v>866</v>
      </c>
      <c r="D52" s="627"/>
      <c r="E52" s="487">
        <f t="shared" ref="E52:P52" si="41">E16/E$13</f>
        <v>0.29195011337868482</v>
      </c>
      <c r="F52" s="487">
        <f t="shared" si="41"/>
        <v>0.26755852842809363</v>
      </c>
      <c r="G52" s="487">
        <f t="shared" si="41"/>
        <v>0.27025438670136848</v>
      </c>
      <c r="H52" s="487">
        <f t="shared" si="41"/>
        <v>0.27402103774418812</v>
      </c>
      <c r="I52" s="487">
        <f t="shared" si="41"/>
        <v>0.37803875513799179</v>
      </c>
      <c r="J52" s="487">
        <f t="shared" si="41"/>
        <v>1.6091245376078915</v>
      </c>
      <c r="K52" s="487">
        <f t="shared" si="41"/>
        <v>0.87078474629687996</v>
      </c>
      <c r="L52" s="487">
        <f t="shared" si="41"/>
        <v>0.65482989818723614</v>
      </c>
      <c r="M52" s="487">
        <f t="shared" si="41"/>
        <v>0.68113772455089816</v>
      </c>
      <c r="N52" s="487">
        <f t="shared" si="41"/>
        <v>0.38272265311580639</v>
      </c>
      <c r="O52" s="487">
        <f t="shared" si="41"/>
        <v>0.3364923625822277</v>
      </c>
      <c r="P52" s="487">
        <f t="shared" si="41"/>
        <v>0.34019306248011033</v>
      </c>
      <c r="Q52" s="487">
        <f t="shared" si="38"/>
        <v>0.35442184515114056</v>
      </c>
      <c r="R52" s="487">
        <f t="shared" si="39"/>
        <v>0.25436094634033507</v>
      </c>
      <c r="S52" s="487">
        <f t="shared" si="39"/>
        <v>0.2545464851013306</v>
      </c>
      <c r="T52" s="487">
        <f t="shared" si="39"/>
        <v>0.27656352663340789</v>
      </c>
      <c r="U52" s="297"/>
      <c r="V52" s="487">
        <f t="shared" ref="V52:AD52" si="42">V16/V$13</f>
        <v>0.28046548730702453</v>
      </c>
      <c r="W52" s="487">
        <f t="shared" si="42"/>
        <v>0.27504995397498933</v>
      </c>
      <c r="X52" s="487">
        <f t="shared" si="42"/>
        <v>0.2754981646565286</v>
      </c>
      <c r="Y52" s="487">
        <f t="shared" si="42"/>
        <v>0.64768991174943757</v>
      </c>
      <c r="Z52" s="487">
        <f t="shared" si="42"/>
        <v>0.39545545813533228</v>
      </c>
      <c r="AA52" s="487">
        <f t="shared" si="42"/>
        <v>0.27924917895875756</v>
      </c>
      <c r="AB52" s="487">
        <f t="shared" si="42"/>
        <v>0.26051307331226176</v>
      </c>
      <c r="AC52" s="487">
        <f t="shared" si="42"/>
        <v>0.25256669818524924</v>
      </c>
      <c r="AD52" s="487">
        <f t="shared" si="42"/>
        <v>0.25282649483279007</v>
      </c>
    </row>
    <row r="53" spans="2:30" s="441" customFormat="1" ht="11.25" customHeight="1">
      <c r="B53" s="627"/>
      <c r="C53" s="627" t="s">
        <v>867</v>
      </c>
      <c r="D53" s="627"/>
      <c r="E53" s="487">
        <f t="shared" ref="E53:P53" si="43">E17/E$13</f>
        <v>0.12660619803476947</v>
      </c>
      <c r="F53" s="487">
        <f t="shared" si="43"/>
        <v>0.11697324414715719</v>
      </c>
      <c r="G53" s="487">
        <f t="shared" si="43"/>
        <v>0.12106456216942323</v>
      </c>
      <c r="H53" s="487">
        <f t="shared" si="43"/>
        <v>0.12772916114204896</v>
      </c>
      <c r="I53" s="487">
        <f t="shared" si="43"/>
        <v>0.12295948326482678</v>
      </c>
      <c r="J53" s="487">
        <f t="shared" si="43"/>
        <v>0.41307028360049319</v>
      </c>
      <c r="K53" s="487">
        <f t="shared" si="43"/>
        <v>0.23731484399621808</v>
      </c>
      <c r="L53" s="487">
        <f t="shared" si="43"/>
        <v>0.19915569903153713</v>
      </c>
      <c r="M53" s="487">
        <f t="shared" si="43"/>
        <v>0.20958083832335328</v>
      </c>
      <c r="N53" s="487">
        <f t="shared" si="43"/>
        <v>0.10724792725327628</v>
      </c>
      <c r="O53" s="487">
        <f t="shared" si="43"/>
        <v>0.10636637306277177</v>
      </c>
      <c r="P53" s="487">
        <f t="shared" si="43"/>
        <v>0.11191259149252149</v>
      </c>
      <c r="Q53" s="487">
        <f t="shared" si="38"/>
        <v>0.1182155298348129</v>
      </c>
      <c r="R53" s="487">
        <f t="shared" si="39"/>
        <v>9.1511068766034501E-2</v>
      </c>
      <c r="S53" s="487">
        <f t="shared" si="39"/>
        <v>9.57594797094585E-2</v>
      </c>
      <c r="T53" s="487">
        <f t="shared" si="39"/>
        <v>0.10484569430650792</v>
      </c>
      <c r="U53" s="297"/>
      <c r="V53" s="487">
        <f t="shared" ref="V53:AD53" si="44">V17/V$13</f>
        <v>0.12064192201210643</v>
      </c>
      <c r="W53" s="487">
        <f t="shared" si="44"/>
        <v>0.11863227139040435</v>
      </c>
      <c r="X53" s="487">
        <f t="shared" si="44"/>
        <v>0.12292431393113092</v>
      </c>
      <c r="Y53" s="487">
        <f t="shared" si="44"/>
        <v>0.18872930726192536</v>
      </c>
      <c r="Z53" s="487">
        <f t="shared" si="44"/>
        <v>0.12218057693594807</v>
      </c>
      <c r="AA53" s="487">
        <f t="shared" si="44"/>
        <v>0.1012122493797093</v>
      </c>
      <c r="AB53" s="487">
        <f t="shared" si="44"/>
        <v>0.10483472234957228</v>
      </c>
      <c r="AC53" s="487">
        <f t="shared" si="44"/>
        <v>0.10811040758138062</v>
      </c>
      <c r="AD53" s="487">
        <f t="shared" si="44"/>
        <v>0.11582797217009265</v>
      </c>
    </row>
    <row r="54" spans="2:30" s="441" customFormat="1" ht="11.25" customHeight="1">
      <c r="B54" s="627"/>
      <c r="C54" s="627" t="s">
        <v>868</v>
      </c>
      <c r="D54" s="627"/>
      <c r="E54" s="487">
        <f t="shared" ref="E54:P54" si="45">E18/E$13</f>
        <v>5.3004535147392291E-2</v>
      </c>
      <c r="F54" s="487">
        <f t="shared" si="45"/>
        <v>4.807692307692308E-2</v>
      </c>
      <c r="G54" s="487">
        <f t="shared" si="45"/>
        <v>5.1213164301905804E-2</v>
      </c>
      <c r="H54" s="487">
        <f t="shared" si="45"/>
        <v>5.6130115795986917E-2</v>
      </c>
      <c r="I54" s="487">
        <f t="shared" si="45"/>
        <v>7.3869641808573111E-2</v>
      </c>
      <c r="J54" s="487">
        <f t="shared" si="45"/>
        <v>0.17694204685573367</v>
      </c>
      <c r="K54" s="487">
        <f t="shared" si="45"/>
        <v>0.10620863536085723</v>
      </c>
      <c r="L54" s="487">
        <f t="shared" si="45"/>
        <v>8.2195182518003479E-2</v>
      </c>
      <c r="M54" s="487">
        <f t="shared" si="45"/>
        <v>9.3812375249500993E-2</v>
      </c>
      <c r="N54" s="487">
        <f t="shared" si="45"/>
        <v>6.1380048141214227E-2</v>
      </c>
      <c r="O54" s="487">
        <f t="shared" si="45"/>
        <v>6.1099342178615228E-2</v>
      </c>
      <c r="P54" s="487">
        <f t="shared" si="45"/>
        <v>6.3222658321841513E-2</v>
      </c>
      <c r="Q54" s="487">
        <f t="shared" si="38"/>
        <v>6.933363299247107E-2</v>
      </c>
      <c r="R54" s="487">
        <f t="shared" si="39"/>
        <v>5.0149025056440158E-2</v>
      </c>
      <c r="S54" s="487">
        <f t="shared" si="39"/>
        <v>5.176088381583073E-2</v>
      </c>
      <c r="T54" s="487">
        <f t="shared" si="39"/>
        <v>5.7592574294664821E-2</v>
      </c>
      <c r="U54" s="297"/>
      <c r="V54" s="487">
        <f t="shared" ref="V54:AD54" si="46">V18/V$13</f>
        <v>4.5962179156304253E-2</v>
      </c>
      <c r="W54" s="487">
        <f t="shared" si="46"/>
        <v>4.6025010664331741E-2</v>
      </c>
      <c r="X54" s="487">
        <f t="shared" si="46"/>
        <v>5.2023247683971333E-2</v>
      </c>
      <c r="Y54" s="487">
        <f t="shared" si="46"/>
        <v>9.1365288112130127E-2</v>
      </c>
      <c r="Z54" s="487">
        <f t="shared" si="46"/>
        <v>6.6227160163309012E-2</v>
      </c>
      <c r="AA54" s="487">
        <f t="shared" si="46"/>
        <v>5.617274031412859E-2</v>
      </c>
      <c r="AB54" s="487">
        <f t="shared" si="46"/>
        <v>5.2761334211962746E-2</v>
      </c>
      <c r="AC54" s="487">
        <f t="shared" si="46"/>
        <v>5.2978084550375885E-2</v>
      </c>
      <c r="AD54" s="487">
        <f t="shared" si="46"/>
        <v>4.9019978979202017E-2</v>
      </c>
    </row>
    <row r="55" spans="2:30" s="441" customFormat="1" ht="11.25" customHeight="1">
      <c r="B55" s="627"/>
      <c r="C55" s="627" t="s">
        <v>869</v>
      </c>
      <c r="D55" s="627"/>
      <c r="E55" s="487">
        <f t="shared" ref="E55:P55" si="47">E19/E$13</f>
        <v>4.7524565381708239E-2</v>
      </c>
      <c r="F55" s="487">
        <f t="shared" si="47"/>
        <v>4.4732441471571904E-2</v>
      </c>
      <c r="G55" s="487">
        <f t="shared" si="47"/>
        <v>4.4496683737721435E-2</v>
      </c>
      <c r="H55" s="487">
        <f t="shared" si="47"/>
        <v>4.3047821090780515E-2</v>
      </c>
      <c r="I55" s="487">
        <f t="shared" si="47"/>
        <v>7.1755725190839698E-2</v>
      </c>
      <c r="J55" s="487">
        <f t="shared" si="47"/>
        <v>0.25462392108508014</v>
      </c>
      <c r="K55" s="487">
        <f t="shared" si="47"/>
        <v>0.14875512133627483</v>
      </c>
      <c r="L55" s="487">
        <f t="shared" si="47"/>
        <v>0.12639682145517755</v>
      </c>
      <c r="M55" s="487">
        <f t="shared" si="47"/>
        <v>0.14221556886227546</v>
      </c>
      <c r="N55" s="487">
        <f t="shared" si="47"/>
        <v>9.1735758224124095E-2</v>
      </c>
      <c r="O55" s="487">
        <f t="shared" si="47"/>
        <v>7.7377634072917825E-2</v>
      </c>
      <c r="P55" s="487">
        <f t="shared" si="47"/>
        <v>7.1072451469184256E-2</v>
      </c>
      <c r="Q55" s="487">
        <f t="shared" si="38"/>
        <v>7.6188335768063831E-2</v>
      </c>
      <c r="R55" s="487">
        <f t="shared" si="39"/>
        <v>5.6381313315265871E-2</v>
      </c>
      <c r="S55" s="487">
        <f t="shared" si="39"/>
        <v>5.4749217093865141E-2</v>
      </c>
      <c r="T55" s="487">
        <f t="shared" si="39"/>
        <v>5.3003307744570273E-2</v>
      </c>
      <c r="U55" s="297"/>
      <c r="V55" s="487">
        <f t="shared" ref="V55:AD55" si="48">V19/V$13</f>
        <v>4.2372483693867015E-2</v>
      </c>
      <c r="W55" s="487">
        <f t="shared" si="48"/>
        <v>4.2657326957185514E-2</v>
      </c>
      <c r="X55" s="487">
        <f t="shared" si="48"/>
        <v>4.4900367068694283E-2</v>
      </c>
      <c r="Y55" s="487">
        <f t="shared" si="48"/>
        <v>0.11564861279344754</v>
      </c>
      <c r="Z55" s="487">
        <f t="shared" si="48"/>
        <v>8.767820092363296E-2</v>
      </c>
      <c r="AA55" s="487">
        <f t="shared" si="48"/>
        <v>5.8858216984599455E-2</v>
      </c>
      <c r="AB55" s="487">
        <f t="shared" si="48"/>
        <v>4.7607278483609239E-2</v>
      </c>
      <c r="AC55" s="487">
        <f t="shared" si="48"/>
        <v>4.7802855299024782E-2</v>
      </c>
      <c r="AD55" s="487">
        <f t="shared" si="48"/>
        <v>4.2308297690995443E-2</v>
      </c>
    </row>
    <row r="56" spans="2:30" s="441" customFormat="1" ht="11.25" customHeight="1">
      <c r="B56" s="627"/>
      <c r="C56" s="627" t="s">
        <v>294</v>
      </c>
      <c r="D56" s="627"/>
      <c r="E56" s="487">
        <f t="shared" ref="E56:P56" si="49">E20/E$13</f>
        <v>3.0895691609977325E-2</v>
      </c>
      <c r="F56" s="487">
        <f t="shared" si="49"/>
        <v>2.7926421404682274E-2</v>
      </c>
      <c r="G56" s="487">
        <f t="shared" si="49"/>
        <v>2.8125262362522038E-2</v>
      </c>
      <c r="H56" s="487">
        <f t="shared" si="49"/>
        <v>2.916998143728454E-2</v>
      </c>
      <c r="I56" s="487">
        <f t="shared" si="49"/>
        <v>3.9224897240164418E-2</v>
      </c>
      <c r="J56" s="487">
        <f t="shared" si="49"/>
        <v>0.2059186189889026</v>
      </c>
      <c r="K56" s="487">
        <f t="shared" si="49"/>
        <v>0.10589347620548377</v>
      </c>
      <c r="L56" s="487">
        <f t="shared" si="49"/>
        <v>8.3436801589272414E-2</v>
      </c>
      <c r="M56" s="487">
        <f t="shared" si="49"/>
        <v>8.7574850299401194E-2</v>
      </c>
      <c r="N56" s="487">
        <f t="shared" si="49"/>
        <v>4.7606311848087723E-2</v>
      </c>
      <c r="O56" s="487">
        <f t="shared" si="49"/>
        <v>3.9915263686029656E-2</v>
      </c>
      <c r="P56" s="487">
        <f t="shared" si="49"/>
        <v>3.8188182878964673E-2</v>
      </c>
      <c r="Q56" s="487">
        <f t="shared" si="38"/>
        <v>3.9667378357118775E-2</v>
      </c>
      <c r="R56" s="487">
        <f t="shared" si="39"/>
        <v>2.791629061475169E-2</v>
      </c>
      <c r="S56" s="487">
        <f t="shared" si="39"/>
        <v>2.7808101337264732E-2</v>
      </c>
      <c r="T56" s="487">
        <f t="shared" si="39"/>
        <v>2.9264888145530469E-2</v>
      </c>
      <c r="U56" s="297"/>
      <c r="V56" s="487">
        <f t="shared" ref="V56:AD56" si="50">V20/V$13</f>
        <v>2.8084088029656045E-2</v>
      </c>
      <c r="W56" s="487">
        <f t="shared" si="50"/>
        <v>2.8378348038885521E-2</v>
      </c>
      <c r="X56" s="487">
        <f t="shared" si="50"/>
        <v>2.8972207656004195E-2</v>
      </c>
      <c r="Y56" s="487">
        <f t="shared" si="50"/>
        <v>7.7291342216069675E-2</v>
      </c>
      <c r="Z56" s="487">
        <f t="shared" si="50"/>
        <v>4.7687571113044641E-2</v>
      </c>
      <c r="AA56" s="487">
        <f t="shared" si="50"/>
        <v>3.0481349085575749E-2</v>
      </c>
      <c r="AB56" s="487">
        <f t="shared" si="50"/>
        <v>2.9383254584234603E-2</v>
      </c>
      <c r="AC56" s="487">
        <f t="shared" si="50"/>
        <v>2.9503964768499966E-2</v>
      </c>
      <c r="AD56" s="487">
        <f t="shared" si="50"/>
        <v>2.7299660699883193E-2</v>
      </c>
    </row>
    <row r="57" spans="2:30" s="441" customFormat="1" ht="11.25" customHeight="1">
      <c r="B57" s="627"/>
      <c r="C57" s="765" t="s">
        <v>154</v>
      </c>
      <c r="D57" s="627"/>
      <c r="E57" s="490">
        <f t="shared" ref="E57:P57" si="51">E21/E$13</f>
        <v>0.24697656840513985</v>
      </c>
      <c r="F57" s="490">
        <f t="shared" si="51"/>
        <v>0.28720735785953178</v>
      </c>
      <c r="G57" s="490">
        <f t="shared" si="51"/>
        <v>0.27713877927965747</v>
      </c>
      <c r="H57" s="490">
        <f t="shared" si="51"/>
        <v>0.26747989039158493</v>
      </c>
      <c r="I57" s="490">
        <f t="shared" si="51"/>
        <v>0.10463887257780388</v>
      </c>
      <c r="J57" s="490">
        <f t="shared" si="51"/>
        <v>-1.8501849568434032</v>
      </c>
      <c r="K57" s="490">
        <f t="shared" si="51"/>
        <v>-0.66151906712890007</v>
      </c>
      <c r="L57" s="490">
        <f t="shared" si="51"/>
        <v>-0.31934442513036998</v>
      </c>
      <c r="M57" s="490">
        <f t="shared" si="51"/>
        <v>-0.4723053892215569</v>
      </c>
      <c r="N57" s="490">
        <f t="shared" si="51"/>
        <v>9.3875367745386462E-2</v>
      </c>
      <c r="O57" s="490">
        <f t="shared" si="51"/>
        <v>0.16111049169361133</v>
      </c>
      <c r="P57" s="490">
        <f t="shared" si="51"/>
        <v>0.14246313779569322</v>
      </c>
      <c r="Q57" s="490">
        <f t="shared" si="38"/>
        <v>6.1018091920440498E-2</v>
      </c>
      <c r="R57" s="490">
        <f t="shared" si="39"/>
        <v>0.15707714601006578</v>
      </c>
      <c r="S57" s="490">
        <f t="shared" si="39"/>
        <v>0.18767347612899513</v>
      </c>
      <c r="T57" s="490">
        <f t="shared" si="39"/>
        <v>0.18297207717067593</v>
      </c>
      <c r="U57" s="297"/>
      <c r="V57" s="490">
        <f t="shared" ref="V57:AD57" si="52">V21/V$13</f>
        <v>0.30627375533761908</v>
      </c>
      <c r="W57" s="490">
        <f t="shared" si="52"/>
        <v>0.26707976920140991</v>
      </c>
      <c r="X57" s="490">
        <f t="shared" si="52"/>
        <v>0.27040727145603916</v>
      </c>
      <c r="Y57" s="490">
        <f t="shared" si="52"/>
        <v>-0.31695218319201707</v>
      </c>
      <c r="Z57" s="490">
        <f t="shared" si="52"/>
        <v>5.3443544608794594E-2</v>
      </c>
      <c r="AA57" s="490">
        <f t="shared" si="52"/>
        <v>0.15379107848919019</v>
      </c>
      <c r="AB57" s="490">
        <f t="shared" si="52"/>
        <v>0.23404601185184237</v>
      </c>
      <c r="AC57" s="490">
        <f t="shared" si="52"/>
        <v>0.26910415348841499</v>
      </c>
      <c r="AD57" s="490">
        <f t="shared" si="52"/>
        <v>0.26965010273239515</v>
      </c>
    </row>
    <row r="58" spans="2:30" s="441" customFormat="1" ht="11.25" customHeight="1">
      <c r="B58" s="627"/>
      <c r="C58" s="765"/>
      <c r="D58" s="627"/>
      <c r="E58" s="487"/>
      <c r="F58" s="487"/>
      <c r="G58" s="487"/>
      <c r="H58" s="487"/>
      <c r="I58" s="487"/>
      <c r="J58" s="487"/>
      <c r="K58" s="487"/>
      <c r="L58" s="487"/>
      <c r="M58" s="487"/>
      <c r="N58" s="487"/>
      <c r="O58" s="487"/>
      <c r="P58" s="487"/>
      <c r="Q58" s="487"/>
      <c r="R58" s="487"/>
      <c r="S58" s="487"/>
      <c r="T58" s="487"/>
      <c r="U58" s="297"/>
      <c r="V58" s="487"/>
      <c r="W58" s="487"/>
      <c r="X58" s="487"/>
      <c r="Y58" s="487"/>
      <c r="Z58" s="487"/>
      <c r="AA58" s="487"/>
      <c r="AB58" s="487"/>
      <c r="AC58" s="487"/>
      <c r="AD58" s="487"/>
    </row>
    <row r="59" spans="2:30" s="441" customFormat="1" ht="11.25" customHeight="1">
      <c r="B59" s="627"/>
      <c r="C59" s="627" t="s">
        <v>870</v>
      </c>
      <c r="D59" s="627"/>
      <c r="E59" s="487">
        <f t="shared" ref="E59:P59" si="53">E23/E$13</f>
        <v>3.4958427815570674E-2</v>
      </c>
      <c r="F59" s="487">
        <f t="shared" si="53"/>
        <v>3.3528428093645486E-2</v>
      </c>
      <c r="G59" s="487">
        <f t="shared" si="53"/>
        <v>3.5597346990177151E-2</v>
      </c>
      <c r="H59" s="487">
        <f t="shared" si="53"/>
        <v>3.5976310439317601E-2</v>
      </c>
      <c r="I59" s="487">
        <f t="shared" si="53"/>
        <v>4.5214327657075747E-2</v>
      </c>
      <c r="J59" s="487">
        <f t="shared" si="53"/>
        <v>3.5141800246609123E-2</v>
      </c>
      <c r="K59" s="487">
        <f t="shared" si="53"/>
        <v>3.0570438071225968E-2</v>
      </c>
      <c r="L59" s="487">
        <f t="shared" si="53"/>
        <v>3.1288800595977155E-2</v>
      </c>
      <c r="M59" s="487">
        <f t="shared" si="53"/>
        <v>3.7674650698602798E-2</v>
      </c>
      <c r="N59" s="487">
        <f t="shared" si="53"/>
        <v>3.7041989836854777E-2</v>
      </c>
      <c r="O59" s="487">
        <f t="shared" si="53"/>
        <v>3.5455457687590591E-2</v>
      </c>
      <c r="P59" s="487">
        <f t="shared" si="53"/>
        <v>3.7445634878540364E-2</v>
      </c>
      <c r="Q59" s="487">
        <f>Q23/Q$13</f>
        <v>3.7307562647488482E-2</v>
      </c>
      <c r="R59" s="487">
        <f t="shared" ref="R59:T61" si="54">R23/R$13</f>
        <v>2.9727469896500221E-2</v>
      </c>
      <c r="S59" s="487">
        <f t="shared" si="54"/>
        <v>3.1285266910780089E-2</v>
      </c>
      <c r="T59" s="487">
        <f t="shared" si="54"/>
        <v>3.2812147314685673E-2</v>
      </c>
      <c r="U59" s="297"/>
      <c r="V59" s="487">
        <f t="shared" ref="V59:AD59" si="55">V23/V$13</f>
        <v>3.4653465346534656E-2</v>
      </c>
      <c r="W59" s="487">
        <f t="shared" si="55"/>
        <v>3.4125861565748414E-2</v>
      </c>
      <c r="X59" s="487">
        <f t="shared" si="55"/>
        <v>3.5002621919244886E-2</v>
      </c>
      <c r="Y59" s="487">
        <f t="shared" si="55"/>
        <v>3.835727057737786E-2</v>
      </c>
      <c r="Z59" s="487">
        <f t="shared" si="55"/>
        <v>3.6777993440867414E-2</v>
      </c>
      <c r="AA59" s="487">
        <f t="shared" si="55"/>
        <v>3.239983491343916E-2</v>
      </c>
      <c r="AB59" s="487">
        <f t="shared" si="55"/>
        <v>3.2272023751504071E-2</v>
      </c>
      <c r="AC59" s="487">
        <f t="shared" si="55"/>
        <v>3.4024831439115451E-2</v>
      </c>
      <c r="AD59" s="487">
        <f t="shared" si="55"/>
        <v>3.2981943017505934E-2</v>
      </c>
    </row>
    <row r="60" spans="2:30" s="441" customFormat="1" ht="11.25" customHeight="1">
      <c r="B60" s="627"/>
      <c r="C60" s="627" t="s">
        <v>321</v>
      </c>
      <c r="D60" s="627"/>
      <c r="E60" s="487">
        <f t="shared" ref="E60:P60" si="56">E24/E$13</f>
        <v>0.11819727891156463</v>
      </c>
      <c r="F60" s="487">
        <f t="shared" si="56"/>
        <v>0.10627090301003345</v>
      </c>
      <c r="G60" s="487">
        <f t="shared" si="56"/>
        <v>0.11216522542187894</v>
      </c>
      <c r="H60" s="487">
        <f t="shared" si="56"/>
        <v>0.10863608238309909</v>
      </c>
      <c r="I60" s="487">
        <f t="shared" si="56"/>
        <v>0.14914856136230181</v>
      </c>
      <c r="J60" s="487">
        <f t="shared" si="56"/>
        <v>0.37053020961775585</v>
      </c>
      <c r="K60" s="487">
        <f t="shared" si="56"/>
        <v>0.21935077213993068</v>
      </c>
      <c r="L60" s="487">
        <f t="shared" si="56"/>
        <v>0.15371244102309412</v>
      </c>
      <c r="M60" s="487">
        <f t="shared" si="56"/>
        <v>0.17864271457085829</v>
      </c>
      <c r="N60" s="487">
        <f t="shared" si="56"/>
        <v>0.12810912008558439</v>
      </c>
      <c r="O60" s="487">
        <f t="shared" si="56"/>
        <v>0.12364812130672316</v>
      </c>
      <c r="P60" s="487">
        <f t="shared" si="56"/>
        <v>0.12846080407340618</v>
      </c>
      <c r="Q60" s="487">
        <f>Q24/Q$13</f>
        <v>0.14439824699404427</v>
      </c>
      <c r="R60" s="487">
        <f t="shared" si="54"/>
        <v>0.10253731310127007</v>
      </c>
      <c r="S60" s="487">
        <f t="shared" si="54"/>
        <v>0.11040747779230771</v>
      </c>
      <c r="T60" s="487">
        <f t="shared" si="54"/>
        <v>0.1089895379722938</v>
      </c>
      <c r="U60" s="297"/>
      <c r="V60" s="487">
        <f t="shared" ref="V60:AD60" si="57">V24/V$13</f>
        <v>0.11519872366383557</v>
      </c>
      <c r="W60" s="487">
        <f t="shared" si="57"/>
        <v>0.11423183134639994</v>
      </c>
      <c r="X60" s="487">
        <f t="shared" si="57"/>
        <v>0.111147526656179</v>
      </c>
      <c r="Y60" s="487">
        <f t="shared" si="57"/>
        <v>0.18376881813462537</v>
      </c>
      <c r="Z60" s="487">
        <f t="shared" si="57"/>
        <v>0.13365905896526337</v>
      </c>
      <c r="AA60" s="487">
        <f t="shared" si="57"/>
        <v>0.11438739476615283</v>
      </c>
      <c r="AB60" s="487">
        <f t="shared" si="57"/>
        <v>0.11272444650829672</v>
      </c>
      <c r="AC60" s="487">
        <f t="shared" si="57"/>
        <v>0.1142165105874598</v>
      </c>
      <c r="AD60" s="487">
        <f t="shared" si="57"/>
        <v>0.10473105126719894</v>
      </c>
    </row>
    <row r="61" spans="2:30" s="441" customFormat="1" ht="11.25" customHeight="1">
      <c r="B61" s="627"/>
      <c r="C61" s="765" t="s">
        <v>88</v>
      </c>
      <c r="D61" s="627"/>
      <c r="E61" s="490">
        <f t="shared" ref="E61:P61" si="58">E25/E$13</f>
        <v>9.3820861678004533E-2</v>
      </c>
      <c r="F61" s="490">
        <f t="shared" si="58"/>
        <v>0.14740802675585285</v>
      </c>
      <c r="G61" s="490">
        <f t="shared" si="58"/>
        <v>0.12937620686760137</v>
      </c>
      <c r="H61" s="490">
        <f t="shared" si="58"/>
        <v>0.12286749756916822</v>
      </c>
      <c r="I61" s="490">
        <f t="shared" si="58"/>
        <v>-8.9724016441573698E-2</v>
      </c>
      <c r="J61" s="490">
        <f t="shared" si="58"/>
        <v>-2.2558569667077681</v>
      </c>
      <c r="K61" s="490">
        <f t="shared" si="58"/>
        <v>-0.91144027734005673</v>
      </c>
      <c r="L61" s="490">
        <f t="shared" si="58"/>
        <v>-0.50434566674944126</v>
      </c>
      <c r="M61" s="490">
        <f t="shared" si="58"/>
        <v>-0.68862275449101795</v>
      </c>
      <c r="N61" s="490">
        <f t="shared" si="58"/>
        <v>-7.1275742177052681E-2</v>
      </c>
      <c r="O61" s="490">
        <f t="shared" si="58"/>
        <v>2.0069126992975804E-3</v>
      </c>
      <c r="P61" s="490">
        <f t="shared" si="58"/>
        <v>-2.3443301156253316E-2</v>
      </c>
      <c r="Q61" s="490">
        <f>Q25/Q$13</f>
        <v>-0.12068771772109226</v>
      </c>
      <c r="R61" s="490">
        <f t="shared" si="54"/>
        <v>2.4812363012295509E-2</v>
      </c>
      <c r="S61" s="490">
        <f t="shared" si="54"/>
        <v>4.5980731425907327E-2</v>
      </c>
      <c r="T61" s="490">
        <f t="shared" si="54"/>
        <v>4.1170391883696443E-2</v>
      </c>
      <c r="V61" s="490">
        <f t="shared" ref="V61:AD61" si="59">V25/V$13</f>
        <v>0.15642156632724885</v>
      </c>
      <c r="W61" s="490">
        <f t="shared" si="59"/>
        <v>0.11872207628926158</v>
      </c>
      <c r="X61" s="490">
        <f t="shared" si="59"/>
        <v>0.12425712288061527</v>
      </c>
      <c r="Y61" s="490">
        <f t="shared" si="59"/>
        <v>-0.53907827190402036</v>
      </c>
      <c r="Z61" s="490">
        <f t="shared" si="59"/>
        <v>-0.11699350779733619</v>
      </c>
      <c r="AA61" s="490">
        <f t="shared" si="59"/>
        <v>7.0038488095982036E-3</v>
      </c>
      <c r="AB61" s="490">
        <f t="shared" si="59"/>
        <v>8.9049541592041564E-2</v>
      </c>
      <c r="AC61" s="490">
        <f t="shared" si="59"/>
        <v>0.12086281146183976</v>
      </c>
      <c r="AD61" s="490">
        <f t="shared" si="59"/>
        <v>0.1319371084476903</v>
      </c>
    </row>
    <row r="62" spans="2:30" s="441" customFormat="1" ht="11.25" customHeight="1">
      <c r="B62" s="627"/>
      <c r="C62" s="627"/>
      <c r="D62" s="627"/>
      <c r="E62" s="487"/>
      <c r="F62" s="487"/>
      <c r="G62" s="487"/>
      <c r="H62" s="487"/>
      <c r="I62" s="487"/>
      <c r="J62" s="487"/>
      <c r="K62" s="487"/>
      <c r="L62" s="487"/>
      <c r="M62" s="487"/>
      <c r="N62" s="487"/>
      <c r="O62" s="487"/>
      <c r="P62" s="487"/>
      <c r="Q62" s="487"/>
      <c r="R62" s="487"/>
      <c r="S62" s="487"/>
      <c r="T62" s="487"/>
      <c r="V62" s="487"/>
      <c r="W62" s="487"/>
      <c r="X62" s="487"/>
      <c r="Y62" s="487"/>
      <c r="Z62" s="487"/>
      <c r="AA62" s="487"/>
      <c r="AB62" s="487"/>
      <c r="AC62" s="487"/>
      <c r="AD62" s="487"/>
    </row>
    <row r="63" spans="2:30" s="441" customFormat="1" ht="11.25" customHeight="1">
      <c r="B63" s="627"/>
      <c r="C63" s="627" t="s">
        <v>291</v>
      </c>
      <c r="D63" s="627"/>
      <c r="E63" s="487">
        <f t="shared" ref="E63:P63" si="60">E27/E$13</f>
        <v>4.5351473922902494E-2</v>
      </c>
      <c r="F63" s="487">
        <f t="shared" si="60"/>
        <v>4.0886287625418058E-2</v>
      </c>
      <c r="G63" s="487">
        <f t="shared" si="60"/>
        <v>4.1894047519099989E-2</v>
      </c>
      <c r="H63" s="487">
        <f t="shared" si="60"/>
        <v>4.5346062052505964E-2</v>
      </c>
      <c r="I63" s="487">
        <f t="shared" si="60"/>
        <v>6.5766294773928355E-2</v>
      </c>
      <c r="J63" s="487">
        <f t="shared" si="60"/>
        <v>0.30764488286066582</v>
      </c>
      <c r="K63" s="487">
        <f t="shared" si="60"/>
        <v>0.15694925937598486</v>
      </c>
      <c r="L63" s="487">
        <f t="shared" si="60"/>
        <v>0.12018872609883288</v>
      </c>
      <c r="M63" s="487">
        <f t="shared" si="60"/>
        <v>0.11926147704590818</v>
      </c>
      <c r="N63" s="487">
        <f t="shared" si="60"/>
        <v>6.4322011232949991E-2</v>
      </c>
      <c r="O63" s="487">
        <f t="shared" si="60"/>
        <v>5.3517671981268812E-2</v>
      </c>
      <c r="P63" s="487">
        <f t="shared" si="60"/>
        <v>6.141932746366819E-2</v>
      </c>
      <c r="Q63" s="487">
        <f>Q27/Q$13</f>
        <v>5.5287110911338352E-2</v>
      </c>
      <c r="R63" s="487">
        <f t="shared" ref="R63:T64" si="61">R27/R$13</f>
        <v>3.7547174196099251E-2</v>
      </c>
      <c r="S63" s="487">
        <f t="shared" si="61"/>
        <v>4.059370889431102E-2</v>
      </c>
      <c r="T63" s="487">
        <f t="shared" si="61"/>
        <v>4.3247629322444706E-2</v>
      </c>
      <c r="V63" s="487">
        <f t="shared" ref="V63:AD63" si="62">V27/V$13</f>
        <v>3.9932429261883534E-2</v>
      </c>
      <c r="W63" s="487">
        <f t="shared" si="62"/>
        <v>4.1287802249612718E-2</v>
      </c>
      <c r="X63" s="487">
        <f t="shared" si="62"/>
        <v>4.3283516867680477E-2</v>
      </c>
      <c r="Y63" s="487">
        <f t="shared" si="62"/>
        <v>0.11772509661417777</v>
      </c>
      <c r="Z63" s="487">
        <f t="shared" si="62"/>
        <v>6.7532293688508133E-2</v>
      </c>
      <c r="AA63" s="487">
        <f t="shared" si="62"/>
        <v>4.3246944429566864E-2</v>
      </c>
      <c r="AB63" s="487">
        <f t="shared" si="62"/>
        <v>4.2654863764645681E-2</v>
      </c>
      <c r="AC63" s="487">
        <f t="shared" si="62"/>
        <v>4.3952892712303022E-2</v>
      </c>
      <c r="AD63" s="487">
        <f t="shared" si="62"/>
        <v>4.6979059243067042E-2</v>
      </c>
    </row>
    <row r="64" spans="2:30" s="441" customFormat="1" ht="11.25" customHeight="1">
      <c r="B64" s="627"/>
      <c r="C64" s="765" t="s">
        <v>157</v>
      </c>
      <c r="D64" s="627"/>
      <c r="E64" s="487">
        <f t="shared" ref="E64:P64" si="63">E28/E$13</f>
        <v>4.8469387755102039E-2</v>
      </c>
      <c r="F64" s="487">
        <f t="shared" si="63"/>
        <v>0.10652173913043478</v>
      </c>
      <c r="G64" s="487">
        <f t="shared" si="63"/>
        <v>8.7482159348501384E-2</v>
      </c>
      <c r="H64" s="487">
        <f t="shared" si="63"/>
        <v>7.752143551666224E-2</v>
      </c>
      <c r="I64" s="487">
        <f t="shared" si="63"/>
        <v>-0.15549031121550205</v>
      </c>
      <c r="J64" s="487">
        <f t="shared" si="63"/>
        <v>-2.5635018495684339</v>
      </c>
      <c r="K64" s="487">
        <f t="shared" si="63"/>
        <v>-1.0683895367160416</v>
      </c>
      <c r="L64" s="487">
        <f t="shared" si="63"/>
        <v>-0.62453439284827417</v>
      </c>
      <c r="M64" s="487">
        <f t="shared" si="63"/>
        <v>-0.80788423153692612</v>
      </c>
      <c r="N64" s="487">
        <f t="shared" si="63"/>
        <v>-0.13559775341000269</v>
      </c>
      <c r="O64" s="487">
        <f t="shared" si="63"/>
        <v>-5.1510759281971234E-2</v>
      </c>
      <c r="P64" s="487">
        <f t="shared" si="63"/>
        <v>-8.4862628619921499E-2</v>
      </c>
      <c r="Q64" s="487">
        <f>Q28/Q$13</f>
        <v>-0.17597482863243061</v>
      </c>
      <c r="R64" s="487">
        <f t="shared" si="61"/>
        <v>-1.273481118380374E-2</v>
      </c>
      <c r="S64" s="487">
        <f t="shared" si="61"/>
        <v>5.3870225315963095E-3</v>
      </c>
      <c r="T64" s="487">
        <f t="shared" si="61"/>
        <v>-2.0772374387482582E-3</v>
      </c>
      <c r="V64" s="487">
        <f t="shared" ref="V64:AD64" si="64">V28/V$13</f>
        <v>0.1164891370653653</v>
      </c>
      <c r="W64" s="487">
        <f t="shared" si="64"/>
        <v>7.7434274039648865E-2</v>
      </c>
      <c r="X64" s="487">
        <f t="shared" si="64"/>
        <v>8.0973606012934796E-2</v>
      </c>
      <c r="Y64" s="487">
        <f t="shared" si="64"/>
        <v>-0.65680336851819809</v>
      </c>
      <c r="Z64" s="487">
        <f t="shared" si="64"/>
        <v>-0.18452580148584433</v>
      </c>
      <c r="AA64" s="487">
        <f t="shared" si="64"/>
        <v>-3.6243095619968656E-2</v>
      </c>
      <c r="AB64" s="487">
        <f t="shared" si="64"/>
        <v>4.639467782739589E-2</v>
      </c>
      <c r="AC64" s="487">
        <f t="shared" si="64"/>
        <v>7.6909918749536746E-2</v>
      </c>
      <c r="AD64" s="487">
        <f t="shared" si="64"/>
        <v>8.495804920462327E-2</v>
      </c>
    </row>
    <row r="65" spans="2:30" s="441" customFormat="1" ht="11.25" customHeight="1">
      <c r="B65" s="627"/>
      <c r="C65" s="627"/>
      <c r="D65" s="627"/>
      <c r="E65" s="487"/>
      <c r="F65" s="487"/>
      <c r="G65" s="487"/>
      <c r="H65" s="487"/>
      <c r="I65" s="487"/>
      <c r="J65" s="487"/>
      <c r="K65" s="487"/>
      <c r="L65" s="487"/>
      <c r="M65" s="487"/>
      <c r="N65" s="487"/>
      <c r="O65" s="487"/>
      <c r="P65" s="487"/>
      <c r="Q65" s="487"/>
      <c r="R65" s="487"/>
      <c r="S65" s="487"/>
      <c r="T65" s="487"/>
      <c r="V65" s="487"/>
      <c r="W65" s="487"/>
      <c r="X65" s="487"/>
      <c r="Y65" s="487"/>
      <c r="Z65" s="487"/>
      <c r="AA65" s="487"/>
      <c r="AB65" s="487"/>
      <c r="AC65" s="487"/>
      <c r="AD65" s="487"/>
    </row>
    <row r="66" spans="2:30" s="441" customFormat="1" ht="11.25" customHeight="1">
      <c r="B66" s="627"/>
      <c r="C66" s="627" t="s">
        <v>300</v>
      </c>
      <c r="D66" s="627"/>
      <c r="E66" s="487">
        <f t="shared" ref="E66:P66" si="65">E30/E$13</f>
        <v>-3.1179138321995466E-3</v>
      </c>
      <c r="F66" s="487">
        <f t="shared" si="65"/>
        <v>-2.926421404682274E-3</v>
      </c>
      <c r="G66" s="487">
        <f t="shared" si="65"/>
        <v>-2.8545042397783564E-3</v>
      </c>
      <c r="H66" s="487">
        <f t="shared" si="65"/>
        <v>-2.1214531954388757E-3</v>
      </c>
      <c r="I66" s="487">
        <f t="shared" si="65"/>
        <v>-2.4662360540223137E-3</v>
      </c>
      <c r="J66" s="487">
        <f t="shared" si="65"/>
        <v>-6.1652281134401974E-3</v>
      </c>
      <c r="K66" s="487">
        <f t="shared" si="65"/>
        <v>-1.5757957768673179E-3</v>
      </c>
      <c r="L66" s="487">
        <f t="shared" si="65"/>
        <v>-1.2416190712689348E-3</v>
      </c>
      <c r="M66" s="487">
        <f t="shared" si="65"/>
        <v>-9.9800399201596798E-4</v>
      </c>
      <c r="N66" s="487">
        <f t="shared" si="65"/>
        <v>-6.6862797539449053E-4</v>
      </c>
      <c r="O66" s="487">
        <f t="shared" si="65"/>
        <v>-5.5747574980488353E-4</v>
      </c>
      <c r="P66" s="487">
        <f t="shared" si="65"/>
        <v>-5.3039142887450943E-4</v>
      </c>
      <c r="Q66" s="487">
        <f>Q30/Q$13</f>
        <v>-8.9897741319249359E-4</v>
      </c>
      <c r="R66" s="487">
        <f t="shared" ref="R66:T67" si="66">R30/R$13</f>
        <v>-6.9937510741787529E-4</v>
      </c>
      <c r="S66" s="487">
        <f t="shared" si="66"/>
        <v>-6.690252544081526E-4</v>
      </c>
      <c r="T66" s="487">
        <f t="shared" si="66"/>
        <v>-7.2658056686168617E-4</v>
      </c>
      <c r="V66" s="487">
        <f t="shared" ref="V66:AD66" si="67">V30/V$13</f>
        <v>-2.2054338135235325E-3</v>
      </c>
      <c r="W66" s="487">
        <f t="shared" si="67"/>
        <v>-2.6492445162883634E-3</v>
      </c>
      <c r="X66" s="487">
        <f t="shared" si="67"/>
        <v>-2.7530152071316202E-3</v>
      </c>
      <c r="Y66" s="487">
        <f t="shared" si="67"/>
        <v>-2.3648843513872065E-3</v>
      </c>
      <c r="Z66" s="487">
        <f t="shared" si="67"/>
        <v>-6.3583428150726189E-4</v>
      </c>
      <c r="AA66" s="487">
        <f t="shared" si="67"/>
        <v>-7.3612969609582266E-4</v>
      </c>
      <c r="AB66" s="487">
        <f t="shared" si="67"/>
        <v>-7.0029600191094448E-4</v>
      </c>
      <c r="AC66" s="487">
        <f t="shared" si="67"/>
        <v>-6.6518657897911553E-4</v>
      </c>
      <c r="AD66" s="487">
        <f t="shared" si="67"/>
        <v>-6.594263915129995E-4</v>
      </c>
    </row>
    <row r="67" spans="2:30" s="441" customFormat="1" ht="11.25" customHeight="1">
      <c r="B67" s="627"/>
      <c r="C67" s="627" t="s">
        <v>872</v>
      </c>
      <c r="D67" s="627"/>
      <c r="E67" s="487">
        <f t="shared" ref="E67:P67" si="68">E31/E$13</f>
        <v>2.5604686318972034E-2</v>
      </c>
      <c r="F67" s="487">
        <f t="shared" si="68"/>
        <v>2.2993311036789296E-2</v>
      </c>
      <c r="G67" s="487">
        <f t="shared" si="68"/>
        <v>2.3843506002854505E-2</v>
      </c>
      <c r="H67" s="487">
        <f t="shared" si="68"/>
        <v>2.342437903297092E-2</v>
      </c>
      <c r="I67" s="487">
        <f t="shared" si="68"/>
        <v>3.0182031708749266E-2</v>
      </c>
      <c r="J67" s="487">
        <f t="shared" si="68"/>
        <v>0.15659679408138102</v>
      </c>
      <c r="K67" s="487">
        <f t="shared" si="68"/>
        <v>0.10715411282697762</v>
      </c>
      <c r="L67" s="487">
        <f t="shared" si="68"/>
        <v>9.336975415942389E-2</v>
      </c>
      <c r="M67" s="487">
        <f t="shared" si="68"/>
        <v>9.2564870259481041E-2</v>
      </c>
      <c r="N67" s="487">
        <f t="shared" si="68"/>
        <v>6.4990639208344483E-2</v>
      </c>
      <c r="O67" s="487">
        <f t="shared" si="68"/>
        <v>5.307169138142491E-2</v>
      </c>
      <c r="P67" s="487">
        <f t="shared" si="68"/>
        <v>4.9644637742654076E-2</v>
      </c>
      <c r="Q67" s="487">
        <f>Q31/Q$13</f>
        <v>5.2028317788515563E-2</v>
      </c>
      <c r="R67" s="487">
        <f t="shared" ca="1" si="66"/>
        <v>3.360856087076159E-2</v>
      </c>
      <c r="S67" s="487">
        <f t="shared" ca="1" si="66"/>
        <v>3.3203041114221905E-2</v>
      </c>
      <c r="T67" s="487">
        <f t="shared" ca="1" si="66"/>
        <v>3.6170769178876447E-2</v>
      </c>
      <c r="V67" s="487">
        <f t="shared" ref="V67:AD67" si="69">V31/V$13</f>
        <v>2.4705551123832763E-2</v>
      </c>
      <c r="W67" s="487">
        <f t="shared" si="69"/>
        <v>2.3708493298309423E-2</v>
      </c>
      <c r="X67" s="487">
        <f t="shared" si="69"/>
        <v>2.3925013109596223E-2</v>
      </c>
      <c r="Y67" s="487">
        <f t="shared" si="69"/>
        <v>7.0773490223222005E-2</v>
      </c>
      <c r="Z67" s="487">
        <f t="shared" si="69"/>
        <v>6.027039689445151E-2</v>
      </c>
      <c r="AA67" s="487">
        <f t="shared" ca="1" si="69"/>
        <v>3.7678358172291981E-2</v>
      </c>
      <c r="AB67" s="487">
        <f t="shared" ca="1" si="69"/>
        <v>3.398128667892026E-2</v>
      </c>
      <c r="AC67" s="487">
        <f t="shared" ca="1" si="69"/>
        <v>3.163343960420887E-2</v>
      </c>
      <c r="AD67" s="487">
        <f t="shared" ca="1" si="69"/>
        <v>2.7746502202413554E-2</v>
      </c>
    </row>
    <row r="68" spans="2:30" s="441" customFormat="1" ht="11.25" customHeight="1">
      <c r="B68" s="627"/>
      <c r="C68" s="627" t="s">
        <v>988</v>
      </c>
      <c r="D68" s="627"/>
      <c r="E68" s="487">
        <f t="shared" ref="E68:P68" si="70">E32/E$13</f>
        <v>-3.6848072562358277E-3</v>
      </c>
      <c r="F68" s="487">
        <f t="shared" si="70"/>
        <v>-3.1772575250836122E-3</v>
      </c>
      <c r="G68" s="487">
        <f t="shared" si="70"/>
        <v>-3.6101083032490976E-3</v>
      </c>
      <c r="H68" s="487">
        <f t="shared" si="70"/>
        <v>-3.7125430920180325E-3</v>
      </c>
      <c r="I68" s="487">
        <f t="shared" si="70"/>
        <v>-1.3153258954785672E-2</v>
      </c>
      <c r="J68" s="487">
        <f t="shared" si="70"/>
        <v>-5.0554870530209621E-2</v>
      </c>
      <c r="K68" s="487">
        <f t="shared" si="70"/>
        <v>-2.8364323983611724E-2</v>
      </c>
      <c r="L68" s="487">
        <f t="shared" si="70"/>
        <v>-9.9329525701514782E-3</v>
      </c>
      <c r="M68" s="487">
        <f t="shared" si="70"/>
        <v>-2.1457085828343315E-2</v>
      </c>
      <c r="N68" s="487">
        <f t="shared" si="70"/>
        <v>-1.1500401176785236E-2</v>
      </c>
      <c r="O68" s="487">
        <f t="shared" si="70"/>
        <v>-1.1149514996097669E-2</v>
      </c>
      <c r="P68" s="487">
        <f t="shared" si="70"/>
        <v>-8.4862628619921509E-3</v>
      </c>
      <c r="Q68" s="487">
        <f>Q32/Q$13</f>
        <v>-1.0675356781660861E-2</v>
      </c>
      <c r="R68" s="296">
        <v>-7.0000000000000001E-3</v>
      </c>
      <c r="S68" s="296">
        <v>-7.0000000000000001E-3</v>
      </c>
      <c r="T68" s="296">
        <v>-7.0000000000000001E-3</v>
      </c>
      <c r="V68" s="487">
        <f t="shared" ref="V68:AA69" si="71">V32/V$13</f>
        <v>-3.4019989676692787E-3</v>
      </c>
      <c r="W68" s="487">
        <f t="shared" si="71"/>
        <v>-6.2638916952919782E-3</v>
      </c>
      <c r="X68" s="487">
        <f t="shared" si="71"/>
        <v>-3.5395909805977974E-3</v>
      </c>
      <c r="Y68" s="487">
        <f t="shared" si="71"/>
        <v>-1.868835438657207E-2</v>
      </c>
      <c r="Z68" s="487">
        <f t="shared" si="71"/>
        <v>-1.1779666688976641E-2</v>
      </c>
      <c r="AA68" s="487">
        <f t="shared" si="71"/>
        <v>-7.7038607876875548E-3</v>
      </c>
      <c r="AB68" s="296">
        <v>-7.0000000000000001E-3</v>
      </c>
      <c r="AC68" s="296">
        <v>-7.0000000000000001E-3</v>
      </c>
      <c r="AD68" s="296">
        <v>-7.0000000000000001E-3</v>
      </c>
    </row>
    <row r="69" spans="2:30" s="441" customFormat="1" ht="11.25" customHeight="1">
      <c r="B69" s="627"/>
      <c r="C69" s="765" t="s">
        <v>989</v>
      </c>
      <c r="D69" s="627"/>
      <c r="E69" s="490">
        <f t="shared" ref="E69:P69" si="72">E33/E$13</f>
        <v>2.9667422524565383E-2</v>
      </c>
      <c r="F69" s="490">
        <f t="shared" si="72"/>
        <v>8.9632107023411373E-2</v>
      </c>
      <c r="G69" s="490">
        <f t="shared" si="72"/>
        <v>7.010326588867434E-2</v>
      </c>
      <c r="H69" s="490">
        <f t="shared" si="72"/>
        <v>5.9931052771148234E-2</v>
      </c>
      <c r="I69" s="490">
        <f t="shared" si="72"/>
        <v>-0.17005284791544334</v>
      </c>
      <c r="J69" s="490">
        <f t="shared" si="72"/>
        <v>-2.6633785450061653</v>
      </c>
      <c r="K69" s="490">
        <f t="shared" si="72"/>
        <v>-1.1456035297825402</v>
      </c>
      <c r="L69" s="490">
        <f t="shared" si="72"/>
        <v>-0.70672957536627767</v>
      </c>
      <c r="M69" s="490">
        <f t="shared" si="72"/>
        <v>-0.87799401197604787</v>
      </c>
      <c r="N69" s="490">
        <f t="shared" si="72"/>
        <v>-0.18841936346616742</v>
      </c>
      <c r="O69" s="490">
        <f t="shared" si="72"/>
        <v>-9.2875459917493589E-2</v>
      </c>
      <c r="P69" s="490">
        <f t="shared" si="72"/>
        <v>-0.12549061207170892</v>
      </c>
      <c r="Q69" s="490">
        <f>Q33/Q$13</f>
        <v>-0.21642881222609281</v>
      </c>
      <c r="R69" s="490">
        <f ca="1">R33/R$13</f>
        <v>-3.8643996947147458E-2</v>
      </c>
      <c r="S69" s="490">
        <f ca="1">S33/S$13</f>
        <v>-2.0146993328217445E-2</v>
      </c>
      <c r="T69" s="490">
        <f ca="1">T33/T$13</f>
        <v>-3.0521426050763016E-2</v>
      </c>
      <c r="V69" s="490">
        <f t="shared" si="71"/>
        <v>9.7391018722725348E-2</v>
      </c>
      <c r="W69" s="490">
        <f t="shared" si="71"/>
        <v>6.2638916952919788E-2</v>
      </c>
      <c r="X69" s="490">
        <f t="shared" si="71"/>
        <v>6.3341199091068001E-2</v>
      </c>
      <c r="Y69" s="490">
        <f t="shared" si="71"/>
        <v>-0.70652362000346081</v>
      </c>
      <c r="Z69" s="490">
        <f t="shared" si="71"/>
        <v>-0.23238069740981193</v>
      </c>
      <c r="AA69" s="490">
        <f t="shared" ca="1" si="71"/>
        <v>-6.5481463308477261E-2</v>
      </c>
      <c r="AB69" s="490">
        <f ca="1">AB33/AB$13</f>
        <v>2.0113687150386569E-2</v>
      </c>
      <c r="AC69" s="490">
        <f ca="1">AC33/AC$13</f>
        <v>5.2941665724306988E-2</v>
      </c>
      <c r="AD69" s="490">
        <f ca="1">AD33/AD$13</f>
        <v>6.487097339372272E-2</v>
      </c>
    </row>
    <row r="70" spans="2:30" s="441" customFormat="1" ht="11.25" customHeight="1">
      <c r="B70" s="627"/>
      <c r="C70" s="627"/>
      <c r="D70" s="627"/>
      <c r="E70" s="487"/>
      <c r="F70" s="487"/>
      <c r="G70" s="487"/>
      <c r="H70" s="487"/>
      <c r="I70" s="487"/>
      <c r="J70" s="487"/>
      <c r="K70" s="487"/>
      <c r="L70" s="487"/>
      <c r="M70" s="487"/>
      <c r="N70" s="487"/>
      <c r="O70" s="487"/>
      <c r="P70" s="487"/>
      <c r="Q70" s="487"/>
      <c r="R70" s="487"/>
      <c r="S70" s="487"/>
      <c r="T70" s="487"/>
      <c r="V70" s="487"/>
      <c r="W70" s="487"/>
      <c r="X70" s="487"/>
      <c r="Y70" s="487"/>
      <c r="Z70" s="487"/>
      <c r="AA70" s="487"/>
      <c r="AB70" s="487"/>
      <c r="AC70" s="487"/>
      <c r="AD70" s="487"/>
    </row>
    <row r="71" spans="2:30" s="441" customFormat="1" ht="11.25" customHeight="1">
      <c r="B71" s="627"/>
      <c r="C71" s="627" t="s">
        <v>874</v>
      </c>
      <c r="D71" s="627"/>
      <c r="E71" s="487">
        <f t="shared" ref="E71:T71" si="73">E35/E$13</f>
        <v>7.2751322751322747E-3</v>
      </c>
      <c r="F71" s="487">
        <f t="shared" si="73"/>
        <v>2.1906354515050169E-2</v>
      </c>
      <c r="G71" s="487">
        <f t="shared" si="73"/>
        <v>1.7210981445722442E-2</v>
      </c>
      <c r="H71" s="487">
        <f t="shared" si="73"/>
        <v>1.5645717316361708E-2</v>
      </c>
      <c r="I71" s="487">
        <f t="shared" si="73"/>
        <v>-3.7463300058719909E-2</v>
      </c>
      <c r="J71" s="487">
        <f t="shared" si="73"/>
        <v>-0.59556103575832309</v>
      </c>
      <c r="K71" s="487">
        <f t="shared" si="73"/>
        <v>-0.25748502994011974</v>
      </c>
      <c r="L71" s="487">
        <f t="shared" si="73"/>
        <v>-0.15768562205115472</v>
      </c>
      <c r="M71" s="487">
        <f t="shared" si="73"/>
        <v>-0.19361277445109781</v>
      </c>
      <c r="N71" s="487">
        <f t="shared" si="73"/>
        <v>-4.2658464830168497E-2</v>
      </c>
      <c r="O71" s="487">
        <f t="shared" si="73"/>
        <v>-2.1407068792507526E-2</v>
      </c>
      <c r="P71" s="487">
        <f t="shared" si="73"/>
        <v>-2.7686432587249388E-2</v>
      </c>
      <c r="Q71" s="487">
        <f>Q35/Q$13</f>
        <v>-4.6746825486009662E-2</v>
      </c>
      <c r="R71" s="487">
        <f t="shared" ca="1" si="73"/>
        <v>0</v>
      </c>
      <c r="S71" s="487">
        <f t="shared" ca="1" si="73"/>
        <v>0</v>
      </c>
      <c r="T71" s="487">
        <f t="shared" ca="1" si="73"/>
        <v>0</v>
      </c>
      <c r="V71" s="487">
        <f t="shared" ref="V71:AD71" si="74">V35/V$13</f>
        <v>3.6577354417906244E-2</v>
      </c>
      <c r="W71" s="487">
        <f t="shared" si="74"/>
        <v>1.5109674232729395E-2</v>
      </c>
      <c r="X71" s="487">
        <f t="shared" si="74"/>
        <v>1.5753364796364272E-2</v>
      </c>
      <c r="Y71" s="487">
        <f t="shared" si="74"/>
        <v>-0.1578704504816289</v>
      </c>
      <c r="Z71" s="487">
        <f t="shared" si="74"/>
        <v>-5.1803761461749545E-2</v>
      </c>
      <c r="AA71" s="487">
        <f t="shared" ca="1" si="74"/>
        <v>-8.9523981923754319E-3</v>
      </c>
      <c r="AB71" s="487">
        <f t="shared" ca="1" si="74"/>
        <v>0</v>
      </c>
      <c r="AC71" s="487">
        <f t="shared" ca="1" si="74"/>
        <v>0</v>
      </c>
      <c r="AD71" s="487">
        <f t="shared" ca="1" si="74"/>
        <v>0</v>
      </c>
    </row>
    <row r="72" spans="2:30" s="441" customFormat="1" ht="11.25" customHeight="1">
      <c r="B72" s="627"/>
      <c r="C72" s="765" t="s">
        <v>990</v>
      </c>
      <c r="D72" s="627"/>
      <c r="E72" s="490">
        <f t="shared" ref="E72:T72" si="75">E37/E$13</f>
        <v>2.2392290249433108E-2</v>
      </c>
      <c r="F72" s="490">
        <f t="shared" si="75"/>
        <v>6.7725752508361201E-2</v>
      </c>
      <c r="G72" s="490">
        <f t="shared" si="75"/>
        <v>5.2892284442951895E-2</v>
      </c>
      <c r="H72" s="490">
        <f t="shared" si="75"/>
        <v>4.428533545478653E-2</v>
      </c>
      <c r="I72" s="490">
        <f t="shared" si="75"/>
        <v>-0.13258954785672342</v>
      </c>
      <c r="J72" s="490">
        <f t="shared" si="75"/>
        <v>-2.0678175092478424</v>
      </c>
      <c r="K72" s="490">
        <f t="shared" si="75"/>
        <v>-0.88811849984242042</v>
      </c>
      <c r="L72" s="490">
        <f t="shared" si="75"/>
        <v>-0.5490439533151229</v>
      </c>
      <c r="M72" s="490">
        <f t="shared" si="75"/>
        <v>-0.68438123752495006</v>
      </c>
      <c r="N72" s="490">
        <f t="shared" si="75"/>
        <v>-0.14576089863599892</v>
      </c>
      <c r="O72" s="490">
        <f t="shared" si="75"/>
        <v>-7.1468391124986069E-2</v>
      </c>
      <c r="P72" s="490">
        <f t="shared" si="75"/>
        <v>-9.7804179484459533E-2</v>
      </c>
      <c r="Q72" s="490">
        <f>Q37/Q$13</f>
        <v>-0.16968198674008317</v>
      </c>
      <c r="R72" s="490">
        <f t="shared" ca="1" si="75"/>
        <v>-3.8643996947147458E-2</v>
      </c>
      <c r="S72" s="490">
        <f t="shared" ca="1" si="75"/>
        <v>-2.0146993328217445E-2</v>
      </c>
      <c r="T72" s="490">
        <f t="shared" ca="1" si="75"/>
        <v>-3.0521426050763016E-2</v>
      </c>
      <c r="V72" s="490">
        <f t="shared" ref="V72:AD72" si="76">V37/V$13</f>
        <v>6.0813664304819111E-2</v>
      </c>
      <c r="W72" s="490">
        <f t="shared" si="76"/>
        <v>4.7529242720190386E-2</v>
      </c>
      <c r="X72" s="490">
        <f t="shared" si="76"/>
        <v>4.7587834294703722E-2</v>
      </c>
      <c r="Y72" s="490">
        <f t="shared" si="76"/>
        <v>-0.54865316952183196</v>
      </c>
      <c r="Z72" s="490">
        <f t="shared" si="76"/>
        <v>-0.18057693594806237</v>
      </c>
      <c r="AA72" s="490">
        <f t="shared" ca="1" si="76"/>
        <v>-5.6529065116101833E-2</v>
      </c>
      <c r="AB72" s="490">
        <f t="shared" ca="1" si="76"/>
        <v>2.0113687150386569E-2</v>
      </c>
      <c r="AC72" s="490">
        <f t="shared" ca="1" si="76"/>
        <v>5.2941665724306988E-2</v>
      </c>
      <c r="AD72" s="490">
        <f t="shared" ca="1" si="76"/>
        <v>6.487097339372272E-2</v>
      </c>
    </row>
    <row r="73" spans="2:30" s="255" customFormat="1" ht="11.25" customHeight="1">
      <c r="C73" s="286"/>
    </row>
    <row r="74" spans="2:30" ht="11.25" customHeight="1">
      <c r="B74" s="258" t="s">
        <v>133</v>
      </c>
      <c r="C74" s="259" t="s">
        <v>992</v>
      </c>
      <c r="D74" s="259"/>
      <c r="E74" s="258"/>
      <c r="F74" s="258"/>
      <c r="G74" s="258"/>
      <c r="H74" s="258"/>
      <c r="I74" s="258"/>
      <c r="J74" s="258"/>
      <c r="K74" s="258"/>
      <c r="L74" s="258"/>
      <c r="M74" s="258"/>
      <c r="N74" s="258"/>
      <c r="O74" s="258"/>
      <c r="P74" s="258"/>
      <c r="Q74" s="258"/>
      <c r="R74" s="258"/>
      <c r="S74" s="258"/>
      <c r="T74" s="258"/>
      <c r="U74" s="255"/>
      <c r="V74" s="258"/>
      <c r="W74" s="258"/>
      <c r="X74" s="258"/>
      <c r="Y74" s="258"/>
      <c r="Z74" s="258"/>
      <c r="AA74" s="258"/>
      <c r="AB74" s="258"/>
      <c r="AC74" s="258"/>
      <c r="AD74" s="258"/>
    </row>
    <row r="75" spans="2:30" s="255" customFormat="1" ht="11.25" customHeight="1"/>
    <row r="76" spans="2:30" s="255" customFormat="1" ht="11.25" customHeight="1">
      <c r="C76" s="255" t="s">
        <v>993</v>
      </c>
      <c r="E76" s="287">
        <f>'AAL Financials'!E31</f>
        <v>-108</v>
      </c>
      <c r="F76" s="287">
        <f>'AAL Financials'!F31</f>
        <v>31</v>
      </c>
      <c r="G76" s="287">
        <f>'AAL Financials'!G31</f>
        <v>1</v>
      </c>
      <c r="H76" s="287">
        <f>'AAL Financials'!H31</f>
        <v>-83</v>
      </c>
      <c r="I76" s="287">
        <f>'AAL Financials'!I31</f>
        <v>105</v>
      </c>
      <c r="J76" s="287">
        <f>'AAL Financials'!J31</f>
        <v>-71</v>
      </c>
      <c r="K76" s="287">
        <f>'AAL Financials'!K31</f>
        <v>-111</v>
      </c>
      <c r="L76" s="287">
        <f>'AAL Financials'!L31</f>
        <v>-77</v>
      </c>
      <c r="M76" s="287">
        <f>'AAL Financials'!M31</f>
        <v>-109</v>
      </c>
      <c r="N76" s="287">
        <f>'AAL Financials'!N31</f>
        <v>-49</v>
      </c>
      <c r="O76" s="287">
        <f>'AAL Financials'!O31</f>
        <v>-82</v>
      </c>
      <c r="P76" s="287">
        <f>'AAL Financials'!P31</f>
        <v>-52</v>
      </c>
      <c r="Q76" s="287">
        <f>'AAL Financials'!Q31</f>
        <v>-92</v>
      </c>
      <c r="R76" s="255">
        <f>SUM(R77:R79)</f>
        <v>-89.571486219884093</v>
      </c>
      <c r="S76" s="255">
        <f>SUM(S77:S79)</f>
        <v>-90.28151917262467</v>
      </c>
      <c r="T76" s="255">
        <f>SUM(T77:T79)</f>
        <v>-83.129963953904863</v>
      </c>
      <c r="V76" s="287">
        <f>'AAL Financials'!V31</f>
        <v>-123</v>
      </c>
      <c r="W76" s="287">
        <f>'AAL Financials'!W31</f>
        <v>-166</v>
      </c>
      <c r="X76" s="254">
        <f t="shared" ref="X76:AA78" si="77">+SUMIF($E$5:$T$5,X$5,$E76:$T76)</f>
        <v>-159</v>
      </c>
      <c r="Y76" s="254">
        <f t="shared" si="77"/>
        <v>-154</v>
      </c>
      <c r="Z76" s="254">
        <f t="shared" si="77"/>
        <v>-292</v>
      </c>
      <c r="AA76" s="254">
        <f t="shared" si="77"/>
        <v>-354.9829693464136</v>
      </c>
      <c r="AB76" s="255">
        <f>SUM(AB77:AB79)</f>
        <v>-349.85206160174005</v>
      </c>
      <c r="AC76" s="255">
        <f>SUM(AC77:AC79)</f>
        <v>-368.31771376988672</v>
      </c>
      <c r="AD76" s="255">
        <f>SUM(AD77:AD79)</f>
        <v>-371.53502370123175</v>
      </c>
    </row>
    <row r="77" spans="2:30" s="255" customFormat="1" ht="11.25" customHeight="1">
      <c r="C77" s="255" t="s">
        <v>909</v>
      </c>
      <c r="E77" s="287">
        <f>'AAL Financials'!E94</f>
        <v>-69</v>
      </c>
      <c r="F77" s="287">
        <f>'AAL Financials'!F94</f>
        <v>61</v>
      </c>
      <c r="G77" s="287">
        <f>'AAL Financials'!G94</f>
        <v>45</v>
      </c>
      <c r="H77" s="287">
        <f>'AAL Financials'!H94</f>
        <v>-42</v>
      </c>
      <c r="I77" s="287">
        <f>'AAL Financials'!I94</f>
        <v>180</v>
      </c>
      <c r="J77" s="287">
        <f>'AAL Financials'!J94</f>
        <v>0</v>
      </c>
      <c r="K77" s="287">
        <f>'AAL Financials'!K94</f>
        <v>-21</v>
      </c>
      <c r="L77" s="287">
        <f>'AAL Financials'!L94</f>
        <v>-24</v>
      </c>
      <c r="M77" s="287">
        <f>'AAL Financials'!M94</f>
        <v>-49</v>
      </c>
      <c r="N77" s="287">
        <f>'AAL Financials'!N94</f>
        <v>37</v>
      </c>
      <c r="O77" s="287">
        <f>'AAL Financials'!O94</f>
        <v>16</v>
      </c>
      <c r="P77" s="287">
        <f>'AAL Financials'!P94</f>
        <v>27</v>
      </c>
      <c r="Q77" s="287">
        <f>'AAL Financials'!Q94</f>
        <v>1</v>
      </c>
      <c r="R77" s="277">
        <v>0</v>
      </c>
      <c r="S77" s="277">
        <v>0</v>
      </c>
      <c r="T77" s="277">
        <v>0</v>
      </c>
      <c r="V77" s="287">
        <f>'AAL Financials'!V94</f>
        <v>0</v>
      </c>
      <c r="W77" s="287">
        <f>'AAL Financials'!W94</f>
        <v>104</v>
      </c>
      <c r="X77" s="254">
        <f t="shared" si="77"/>
        <v>-5</v>
      </c>
      <c r="Y77" s="254">
        <f t="shared" si="77"/>
        <v>135</v>
      </c>
      <c r="Z77" s="254">
        <f t="shared" si="77"/>
        <v>31</v>
      </c>
      <c r="AA77" s="254">
        <f t="shared" si="77"/>
        <v>1</v>
      </c>
      <c r="AB77" s="277">
        <v>0</v>
      </c>
      <c r="AC77" s="277">
        <v>0</v>
      </c>
      <c r="AD77" s="277">
        <v>0</v>
      </c>
    </row>
    <row r="78" spans="2:30" s="255" customFormat="1" ht="11.25" customHeight="1">
      <c r="C78" s="255" t="s">
        <v>910</v>
      </c>
      <c r="E78" s="287">
        <f>'AAL Financials'!E95</f>
        <v>0</v>
      </c>
      <c r="F78" s="287">
        <f>'AAL Financials'!F95</f>
        <v>8</v>
      </c>
      <c r="G78" s="287">
        <f>'AAL Financials'!G95</f>
        <v>-1</v>
      </c>
      <c r="H78" s="287">
        <f>'AAL Financials'!H95</f>
        <v>1</v>
      </c>
      <c r="I78" s="287">
        <f>'AAL Financials'!I95</f>
        <v>37</v>
      </c>
      <c r="J78" s="287">
        <f>'AAL Financials'!J95</f>
        <v>11</v>
      </c>
      <c r="K78" s="287">
        <f>'AAL Financials'!K95</f>
        <v>0</v>
      </c>
      <c r="L78" s="287">
        <f>'AAL Financials'!L95</f>
        <v>-13</v>
      </c>
      <c r="M78" s="287">
        <f>'AAL Financials'!M95</f>
        <v>26</v>
      </c>
      <c r="N78" s="287">
        <f>'AAL Financials'!N95</f>
        <v>0</v>
      </c>
      <c r="O78" s="287">
        <f>'AAL Financials'!O95</f>
        <v>2</v>
      </c>
      <c r="P78" s="287">
        <f>'AAL Financials'!P95</f>
        <v>1</v>
      </c>
      <c r="Q78" s="287">
        <f>'AAL Financials'!Q95</f>
        <v>2</v>
      </c>
      <c r="R78" s="277">
        <v>0</v>
      </c>
      <c r="S78" s="277">
        <v>0</v>
      </c>
      <c r="T78" s="277">
        <v>0</v>
      </c>
      <c r="V78" s="287">
        <f>'AAL Financials'!V95</f>
        <v>22</v>
      </c>
      <c r="W78" s="287">
        <f>'AAL Financials'!W95</f>
        <v>9</v>
      </c>
      <c r="X78" s="254">
        <f t="shared" si="77"/>
        <v>8</v>
      </c>
      <c r="Y78" s="254">
        <f t="shared" si="77"/>
        <v>35</v>
      </c>
      <c r="Z78" s="254">
        <f t="shared" si="77"/>
        <v>29</v>
      </c>
      <c r="AA78" s="254">
        <f t="shared" si="77"/>
        <v>2</v>
      </c>
      <c r="AB78" s="277">
        <v>0</v>
      </c>
      <c r="AC78" s="277">
        <v>0</v>
      </c>
      <c r="AD78" s="277">
        <v>0</v>
      </c>
    </row>
    <row r="79" spans="2:30" s="255" customFormat="1" ht="11.25" customHeight="1">
      <c r="C79" s="286" t="s">
        <v>988</v>
      </c>
      <c r="E79" s="358">
        <f>E76-SUM(E77:E78)</f>
        <v>-39</v>
      </c>
      <c r="F79" s="358">
        <f t="shared" ref="F79:P79" si="78">F76-SUM(F77:F78)</f>
        <v>-38</v>
      </c>
      <c r="G79" s="358">
        <f t="shared" si="78"/>
        <v>-43</v>
      </c>
      <c r="H79" s="358">
        <f t="shared" si="78"/>
        <v>-42</v>
      </c>
      <c r="I79" s="358">
        <f t="shared" si="78"/>
        <v>-112</v>
      </c>
      <c r="J79" s="358">
        <f t="shared" si="78"/>
        <v>-82</v>
      </c>
      <c r="K79" s="358">
        <f t="shared" si="78"/>
        <v>-90</v>
      </c>
      <c r="L79" s="358">
        <f t="shared" si="78"/>
        <v>-40</v>
      </c>
      <c r="M79" s="358">
        <f t="shared" si="78"/>
        <v>-86</v>
      </c>
      <c r="N79" s="358">
        <f t="shared" si="78"/>
        <v>-86</v>
      </c>
      <c r="O79" s="358">
        <f t="shared" si="78"/>
        <v>-100</v>
      </c>
      <c r="P79" s="358">
        <f t="shared" si="78"/>
        <v>-80</v>
      </c>
      <c r="Q79" s="358">
        <f>Q76-SUM(Q77:Q78)</f>
        <v>-95</v>
      </c>
      <c r="R79" s="358">
        <f>R32</f>
        <v>-89.571486219884093</v>
      </c>
      <c r="S79" s="358">
        <f>S32</f>
        <v>-90.28151917262467</v>
      </c>
      <c r="T79" s="358">
        <f>T32</f>
        <v>-83.129963953904863</v>
      </c>
      <c r="V79" s="358">
        <f t="shared" ref="V79:AA79" si="79">V76-SUM(V77:V78)</f>
        <v>-145</v>
      </c>
      <c r="W79" s="358">
        <f t="shared" si="79"/>
        <v>-279</v>
      </c>
      <c r="X79" s="358">
        <f t="shared" si="79"/>
        <v>-162</v>
      </c>
      <c r="Y79" s="358">
        <f t="shared" si="79"/>
        <v>-324</v>
      </c>
      <c r="Z79" s="358">
        <f t="shared" si="79"/>
        <v>-352</v>
      </c>
      <c r="AA79" s="358">
        <f t="shared" si="79"/>
        <v>-357.9829693464136</v>
      </c>
      <c r="AB79" s="358">
        <f>AB32</f>
        <v>-349.85206160174005</v>
      </c>
      <c r="AC79" s="358">
        <f>AC32</f>
        <v>-368.31771376988672</v>
      </c>
      <c r="AD79" s="358">
        <f>AD32</f>
        <v>-371.53502370123175</v>
      </c>
    </row>
    <row r="80" spans="2:30" s="255" customFormat="1" ht="11.25" customHeight="1"/>
    <row r="81" spans="2:30" s="255" customFormat="1" ht="11.25" customHeight="1">
      <c r="C81" s="255" t="s">
        <v>874</v>
      </c>
      <c r="E81" s="287">
        <f>'AAL Financials'!E34</f>
        <v>60</v>
      </c>
      <c r="F81" s="287">
        <f>'AAL Financials'!F34</f>
        <v>220</v>
      </c>
      <c r="G81" s="287">
        <f>'AAL Financials'!G34</f>
        <v>132</v>
      </c>
      <c r="H81" s="287">
        <f>'AAL Financials'!H34</f>
        <v>157</v>
      </c>
      <c r="I81" s="287">
        <f>'AAL Financials'!I34</f>
        <v>-649</v>
      </c>
      <c r="J81" s="287">
        <f>'AAL Financials'!J34</f>
        <v>-592</v>
      </c>
      <c r="K81" s="287">
        <f>'AAL Financials'!K34</f>
        <v>-696</v>
      </c>
      <c r="L81" s="287">
        <f>'AAL Financials'!L34</f>
        <v>-631</v>
      </c>
      <c r="M81" s="287">
        <f>'AAL Financials'!M34</f>
        <v>-323</v>
      </c>
      <c r="N81" s="287">
        <f>'AAL Financials'!N34</f>
        <v>-10</v>
      </c>
      <c r="O81" s="287">
        <f>'AAL Financials'!O34</f>
        <v>37</v>
      </c>
      <c r="P81" s="287">
        <f>'AAL Financials'!P34</f>
        <v>-260</v>
      </c>
      <c r="Q81" s="287">
        <f>'AAL Financials'!Q34</f>
        <v>-451</v>
      </c>
      <c r="R81" s="255">
        <f ca="1">SUM(R82:R83)</f>
        <v>0</v>
      </c>
      <c r="S81" s="255">
        <f ca="1">SUM(S82:S83)</f>
        <v>0</v>
      </c>
      <c r="T81" s="255">
        <f ca="1">SUM(T82:T83)</f>
        <v>0</v>
      </c>
      <c r="V81" s="287">
        <f>'AAL Financials'!V34</f>
        <v>2113</v>
      </c>
      <c r="W81" s="287">
        <f>'AAL Financials'!W34</f>
        <v>472</v>
      </c>
      <c r="X81" s="254">
        <f t="shared" ref="X81:AA82" si="80">+SUMIF($E$5:$T$5,X$5,$E81:$T81)</f>
        <v>569</v>
      </c>
      <c r="Y81" s="254">
        <f t="shared" si="80"/>
        <v>-2568</v>
      </c>
      <c r="Z81" s="254">
        <f t="shared" si="80"/>
        <v>-556</v>
      </c>
      <c r="AA81" s="254">
        <f t="shared" ca="1" si="80"/>
        <v>-451</v>
      </c>
      <c r="AB81" s="255">
        <f ca="1">SUM(AB82:AB83)</f>
        <v>0</v>
      </c>
      <c r="AC81" s="255">
        <f ca="1">SUM(AC82:AC83)</f>
        <v>0</v>
      </c>
      <c r="AD81" s="255">
        <f ca="1">SUM(AD82:AD83)</f>
        <v>0</v>
      </c>
    </row>
    <row r="82" spans="2:30" s="255" customFormat="1" ht="11.25" customHeight="1">
      <c r="C82" s="255" t="s">
        <v>891</v>
      </c>
      <c r="E82" s="287">
        <f>'AAL Financials'!E63</f>
        <v>-17</v>
      </c>
      <c r="F82" s="287">
        <f>'AAL Financials'!F63</f>
        <v>-42</v>
      </c>
      <c r="G82" s="287">
        <f>'AAL Financials'!G63</f>
        <v>-73</v>
      </c>
      <c r="H82" s="287">
        <f>'AAL Financials'!H63</f>
        <v>-20</v>
      </c>
      <c r="I82" s="287">
        <f>'AAL Financials'!I63</f>
        <v>-330</v>
      </c>
      <c r="J82" s="287">
        <f>'AAL Financials'!J63</f>
        <v>374</v>
      </c>
      <c r="K82" s="287">
        <f>'AAL Financials'!K63</f>
        <v>121</v>
      </c>
      <c r="L82" s="287">
        <f>'AAL Financials'!L63</f>
        <v>4</v>
      </c>
      <c r="M82" s="287">
        <f>'AAL Financials'!M63</f>
        <v>453</v>
      </c>
      <c r="N82" s="287">
        <f>'AAL Financials'!N63</f>
        <v>309</v>
      </c>
      <c r="O82" s="287">
        <f>'AAL Financials'!O63</f>
        <v>229</v>
      </c>
      <c r="P82" s="287">
        <f>'AAL Financials'!P63</f>
        <v>1</v>
      </c>
      <c r="Q82" s="287">
        <f>'AAL Financials'!Q63</f>
        <v>-35</v>
      </c>
      <c r="R82" s="277">
        <v>0</v>
      </c>
      <c r="S82" s="277">
        <v>0</v>
      </c>
      <c r="T82" s="277">
        <v>0</v>
      </c>
      <c r="V82" s="287">
        <f>'AAL Financials'!V63</f>
        <v>554</v>
      </c>
      <c r="W82" s="287">
        <f>'AAL Financials'!W63</f>
        <v>-201</v>
      </c>
      <c r="X82" s="254">
        <f t="shared" si="80"/>
        <v>-152</v>
      </c>
      <c r="Y82" s="254">
        <f t="shared" si="80"/>
        <v>169</v>
      </c>
      <c r="Z82" s="254">
        <f t="shared" si="80"/>
        <v>992</v>
      </c>
      <c r="AA82" s="254">
        <f t="shared" si="80"/>
        <v>-35</v>
      </c>
      <c r="AB82" s="277">
        <v>0</v>
      </c>
      <c r="AC82" s="277">
        <v>0</v>
      </c>
      <c r="AD82" s="277">
        <v>0</v>
      </c>
    </row>
    <row r="83" spans="2:30" s="255" customFormat="1" ht="11.25" customHeight="1">
      <c r="C83" s="286" t="s">
        <v>994</v>
      </c>
      <c r="E83" s="358">
        <f>E81-E82</f>
        <v>77</v>
      </c>
      <c r="F83" s="358">
        <f t="shared" ref="F83:P83" si="81">F81-F82</f>
        <v>262</v>
      </c>
      <c r="G83" s="358">
        <f t="shared" si="81"/>
        <v>205</v>
      </c>
      <c r="H83" s="358">
        <f t="shared" si="81"/>
        <v>177</v>
      </c>
      <c r="I83" s="358">
        <f t="shared" si="81"/>
        <v>-319</v>
      </c>
      <c r="J83" s="358">
        <f t="shared" si="81"/>
        <v>-966</v>
      </c>
      <c r="K83" s="358">
        <f t="shared" si="81"/>
        <v>-817</v>
      </c>
      <c r="L83" s="358">
        <f t="shared" si="81"/>
        <v>-635</v>
      </c>
      <c r="M83" s="358">
        <f t="shared" si="81"/>
        <v>-776</v>
      </c>
      <c r="N83" s="358">
        <f t="shared" si="81"/>
        <v>-319</v>
      </c>
      <c r="O83" s="358">
        <f t="shared" si="81"/>
        <v>-192</v>
      </c>
      <c r="P83" s="358">
        <f t="shared" si="81"/>
        <v>-261</v>
      </c>
      <c r="Q83" s="358">
        <f>Q81-Q82</f>
        <v>-416</v>
      </c>
      <c r="R83" s="358">
        <f ca="1">R35</f>
        <v>0</v>
      </c>
      <c r="S83" s="358">
        <f ca="1">S35</f>
        <v>0</v>
      </c>
      <c r="T83" s="358">
        <f ca="1">T35</f>
        <v>0</v>
      </c>
      <c r="V83" s="358">
        <f t="shared" ref="V83:AA83" si="82">V81-V82</f>
        <v>1559</v>
      </c>
      <c r="W83" s="358">
        <f t="shared" si="82"/>
        <v>673</v>
      </c>
      <c r="X83" s="358">
        <f t="shared" si="82"/>
        <v>721</v>
      </c>
      <c r="Y83" s="358">
        <f t="shared" si="82"/>
        <v>-2737</v>
      </c>
      <c r="Z83" s="358">
        <f t="shared" si="82"/>
        <v>-1548</v>
      </c>
      <c r="AA83" s="358">
        <f t="shared" ca="1" si="82"/>
        <v>-416</v>
      </c>
      <c r="AB83" s="358">
        <f ca="1">AB35</f>
        <v>0</v>
      </c>
      <c r="AC83" s="358">
        <f ca="1">AC35</f>
        <v>0</v>
      </c>
      <c r="AD83" s="358">
        <f ca="1">AD35</f>
        <v>0</v>
      </c>
    </row>
    <row r="84" spans="2:30" s="255" customFormat="1" ht="11.25" customHeight="1"/>
    <row r="85" spans="2:30" ht="11.25" customHeight="1">
      <c r="B85" s="258" t="s">
        <v>133</v>
      </c>
      <c r="C85" s="259" t="s">
        <v>995</v>
      </c>
      <c r="D85" s="259"/>
      <c r="E85" s="258"/>
      <c r="F85" s="258"/>
      <c r="G85" s="258"/>
      <c r="H85" s="258"/>
      <c r="I85" s="258"/>
      <c r="J85" s="258"/>
      <c r="K85" s="258"/>
      <c r="L85" s="258"/>
      <c r="M85" s="258"/>
      <c r="N85" s="258"/>
      <c r="O85" s="258"/>
      <c r="P85" s="258"/>
      <c r="Q85" s="258"/>
      <c r="R85" s="258"/>
      <c r="S85" s="258"/>
      <c r="T85" s="258"/>
      <c r="V85" s="258"/>
      <c r="W85" s="258"/>
      <c r="X85" s="258"/>
      <c r="Y85" s="258"/>
      <c r="Z85" s="258"/>
      <c r="AA85" s="258"/>
      <c r="AB85" s="258"/>
      <c r="AC85" s="258"/>
      <c r="AD85" s="258"/>
    </row>
    <row r="86" spans="2:30" ht="11.25" customHeight="1" thickBot="1"/>
    <row r="87" spans="2:30" ht="11.25" customHeight="1">
      <c r="B87" s="508"/>
      <c r="C87" s="581" t="s">
        <v>996</v>
      </c>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4"/>
    </row>
    <row r="88" spans="2:30" ht="3" customHeight="1">
      <c r="B88" s="425"/>
      <c r="AD88" s="426"/>
    </row>
    <row r="89" spans="2:30" ht="11.25" customHeight="1">
      <c r="B89" s="425"/>
      <c r="C89" s="253" t="s">
        <v>396</v>
      </c>
      <c r="E89" s="277">
        <v>7226</v>
      </c>
      <c r="F89" s="277">
        <v>8009</v>
      </c>
      <c r="G89" s="277">
        <v>7814</v>
      </c>
      <c r="H89" s="277">
        <v>7832</v>
      </c>
      <c r="I89" s="277">
        <v>5780</v>
      </c>
      <c r="J89" s="277">
        <v>1026</v>
      </c>
      <c r="K89" s="277">
        <v>2296</v>
      </c>
      <c r="L89" s="277">
        <v>2663</v>
      </c>
      <c r="M89" s="277">
        <v>2655</v>
      </c>
      <c r="N89" s="277">
        <v>5444</v>
      </c>
      <c r="O89" s="277">
        <v>6547</v>
      </c>
      <c r="P89" s="277">
        <v>6807</v>
      </c>
      <c r="Q89" s="277">
        <v>6060</v>
      </c>
      <c r="R89" s="255">
        <f t="shared" ref="R89:T92" si="83">R160*R149*10</f>
        <v>8502.960914915946</v>
      </c>
      <c r="S89" s="255">
        <f t="shared" si="83"/>
        <v>8322.4993794855909</v>
      </c>
      <c r="T89" s="255">
        <f t="shared" si="83"/>
        <v>7937.9045379760601</v>
      </c>
      <c r="V89" s="277">
        <v>28749</v>
      </c>
      <c r="W89" s="277">
        <v>29573</v>
      </c>
      <c r="X89" s="254">
        <f t="shared" ref="X89:AA92" si="84">+SUMIF($E$5:$T$5,X$5,$E89:$T89)</f>
        <v>30881</v>
      </c>
      <c r="Y89" s="254">
        <f t="shared" si="84"/>
        <v>11765</v>
      </c>
      <c r="Z89" s="254">
        <f t="shared" si="84"/>
        <v>21453</v>
      </c>
      <c r="AA89" s="254">
        <f t="shared" si="84"/>
        <v>30823.364832377596</v>
      </c>
      <c r="AB89" s="255">
        <f t="shared" ref="AB89:AD92" si="85">AB160*AB149*10</f>
        <v>32991.522613536799</v>
      </c>
      <c r="AC89" s="255">
        <f t="shared" si="85"/>
        <v>34521.943644223997</v>
      </c>
      <c r="AD89" s="504">
        <f t="shared" si="85"/>
        <v>34850.72405988328</v>
      </c>
    </row>
    <row r="90" spans="2:30" ht="11.25" customHeight="1">
      <c r="B90" s="425"/>
      <c r="C90" s="253" t="s">
        <v>397</v>
      </c>
      <c r="E90" s="277">
        <v>1371</v>
      </c>
      <c r="F90" s="277">
        <v>1241</v>
      </c>
      <c r="G90" s="277">
        <v>1218</v>
      </c>
      <c r="H90" s="277">
        <v>1217</v>
      </c>
      <c r="I90" s="277">
        <v>1180</v>
      </c>
      <c r="J90" s="277">
        <v>34</v>
      </c>
      <c r="K90" s="277">
        <v>172</v>
      </c>
      <c r="L90" s="277">
        <v>466</v>
      </c>
      <c r="M90" s="277">
        <v>482</v>
      </c>
      <c r="N90" s="277">
        <v>936</v>
      </c>
      <c r="O90" s="277">
        <v>957</v>
      </c>
      <c r="P90" s="277">
        <v>1131</v>
      </c>
      <c r="Q90" s="277">
        <v>1227</v>
      </c>
      <c r="R90" s="255">
        <f t="shared" si="83"/>
        <v>1696.9007143712479</v>
      </c>
      <c r="S90" s="255">
        <f t="shared" si="83"/>
        <v>1658.0479842626396</v>
      </c>
      <c r="T90" s="255">
        <f t="shared" si="83"/>
        <v>1454.9908277705595</v>
      </c>
      <c r="V90" s="277">
        <v>4840</v>
      </c>
      <c r="W90" s="277">
        <v>5125</v>
      </c>
      <c r="X90" s="254">
        <f t="shared" si="84"/>
        <v>5047</v>
      </c>
      <c r="Y90" s="254">
        <f t="shared" si="84"/>
        <v>1852</v>
      </c>
      <c r="Z90" s="254">
        <f t="shared" si="84"/>
        <v>3506</v>
      </c>
      <c r="AA90" s="254">
        <f t="shared" si="84"/>
        <v>6036.939526404447</v>
      </c>
      <c r="AB90" s="255">
        <f t="shared" si="85"/>
        <v>6249.8094457028674</v>
      </c>
      <c r="AC90" s="255">
        <f t="shared" si="85"/>
        <v>6619.3925043707695</v>
      </c>
      <c r="AD90" s="504">
        <f t="shared" si="85"/>
        <v>6619.3925043707695</v>
      </c>
    </row>
    <row r="91" spans="2:30" ht="11.25" customHeight="1">
      <c r="B91" s="425"/>
      <c r="C91" s="253" t="s">
        <v>398</v>
      </c>
      <c r="E91" s="277">
        <v>673</v>
      </c>
      <c r="F91" s="277">
        <v>1407</v>
      </c>
      <c r="G91" s="277">
        <v>1596</v>
      </c>
      <c r="H91" s="277">
        <v>948</v>
      </c>
      <c r="I91" s="277">
        <v>523</v>
      </c>
      <c r="J91" s="277">
        <v>42</v>
      </c>
      <c r="K91" s="277">
        <v>56</v>
      </c>
      <c r="L91" s="277">
        <v>33</v>
      </c>
      <c r="M91" s="277">
        <v>22</v>
      </c>
      <c r="N91" s="277">
        <v>125</v>
      </c>
      <c r="O91" s="277">
        <v>408</v>
      </c>
      <c r="P91" s="277">
        <v>410</v>
      </c>
      <c r="Q91" s="277">
        <v>466</v>
      </c>
      <c r="R91" s="255">
        <f t="shared" si="83"/>
        <v>958.50985086551259</v>
      </c>
      <c r="S91" s="255">
        <f t="shared" si="83"/>
        <v>1173.7877498248911</v>
      </c>
      <c r="T91" s="255">
        <f t="shared" si="83"/>
        <v>897.81199293310647</v>
      </c>
      <c r="V91" s="277">
        <v>4028</v>
      </c>
      <c r="W91" s="277">
        <v>4376</v>
      </c>
      <c r="X91" s="254">
        <f t="shared" si="84"/>
        <v>4624</v>
      </c>
      <c r="Y91" s="254">
        <f t="shared" si="84"/>
        <v>654</v>
      </c>
      <c r="Z91" s="254">
        <f t="shared" si="84"/>
        <v>965</v>
      </c>
      <c r="AA91" s="254">
        <f t="shared" si="84"/>
        <v>3496.1095936235101</v>
      </c>
      <c r="AB91" s="255">
        <f t="shared" si="85"/>
        <v>4377.4561352112669</v>
      </c>
      <c r="AC91" s="255">
        <f t="shared" si="85"/>
        <v>5111.772126707855</v>
      </c>
      <c r="AD91" s="504">
        <f t="shared" si="85"/>
        <v>5230.6505482592011</v>
      </c>
    </row>
    <row r="92" spans="2:30" ht="11.25" customHeight="1">
      <c r="B92" s="425"/>
      <c r="C92" s="253" t="s">
        <v>399</v>
      </c>
      <c r="E92" s="277">
        <v>388</v>
      </c>
      <c r="F92" s="277">
        <v>354</v>
      </c>
      <c r="G92" s="277">
        <v>367</v>
      </c>
      <c r="H92" s="277">
        <v>349</v>
      </c>
      <c r="I92" s="277">
        <v>198</v>
      </c>
      <c r="J92" s="277">
        <v>6</v>
      </c>
      <c r="K92" s="277">
        <v>16</v>
      </c>
      <c r="L92" s="277">
        <v>27</v>
      </c>
      <c r="M92" s="277">
        <v>20</v>
      </c>
      <c r="N92" s="277">
        <v>40</v>
      </c>
      <c r="O92" s="277">
        <v>45</v>
      </c>
      <c r="P92" s="277">
        <v>34</v>
      </c>
      <c r="Q92" s="277">
        <v>65</v>
      </c>
      <c r="R92" s="255">
        <f t="shared" si="83"/>
        <v>126.65452242964612</v>
      </c>
      <c r="S92" s="255">
        <f t="shared" si="83"/>
        <v>228.57750624826437</v>
      </c>
      <c r="T92" s="255">
        <f t="shared" si="83"/>
        <v>205.46685611311341</v>
      </c>
      <c r="V92" s="277">
        <v>1514</v>
      </c>
      <c r="W92" s="277">
        <v>1602</v>
      </c>
      <c r="X92" s="254">
        <f t="shared" si="84"/>
        <v>1458</v>
      </c>
      <c r="Y92" s="254">
        <f t="shared" si="84"/>
        <v>247</v>
      </c>
      <c r="Z92" s="254">
        <f t="shared" si="84"/>
        <v>139</v>
      </c>
      <c r="AA92" s="254">
        <f t="shared" si="84"/>
        <v>625.69888479102394</v>
      </c>
      <c r="AB92" s="255">
        <f t="shared" si="85"/>
        <v>1102.7777061218853</v>
      </c>
      <c r="AC92" s="255">
        <f t="shared" si="85"/>
        <v>1454.2123597211676</v>
      </c>
      <c r="AD92" s="504">
        <f t="shared" si="85"/>
        <v>1999.5419946166055</v>
      </c>
    </row>
    <row r="93" spans="2:30" ht="11.25" customHeight="1">
      <c r="B93" s="425"/>
      <c r="C93" s="289" t="s">
        <v>997</v>
      </c>
      <c r="E93" s="358">
        <f t="shared" ref="E93:T93" si="86">SUM(E89:E92)</f>
        <v>9658</v>
      </c>
      <c r="F93" s="358">
        <f t="shared" si="86"/>
        <v>11011</v>
      </c>
      <c r="G93" s="358">
        <f t="shared" si="86"/>
        <v>10995</v>
      </c>
      <c r="H93" s="358">
        <f t="shared" si="86"/>
        <v>10346</v>
      </c>
      <c r="I93" s="358">
        <f t="shared" si="86"/>
        <v>7681</v>
      </c>
      <c r="J93" s="358">
        <f t="shared" si="86"/>
        <v>1108</v>
      </c>
      <c r="K93" s="358">
        <f t="shared" si="86"/>
        <v>2540</v>
      </c>
      <c r="L93" s="358">
        <f t="shared" si="86"/>
        <v>3189</v>
      </c>
      <c r="M93" s="358">
        <f t="shared" si="86"/>
        <v>3179</v>
      </c>
      <c r="N93" s="358">
        <f t="shared" si="86"/>
        <v>6545</v>
      </c>
      <c r="O93" s="358">
        <f t="shared" si="86"/>
        <v>7957</v>
      </c>
      <c r="P93" s="358">
        <f t="shared" si="86"/>
        <v>8382</v>
      </c>
      <c r="Q93" s="358">
        <f t="shared" si="86"/>
        <v>7818</v>
      </c>
      <c r="R93" s="358">
        <f t="shared" si="86"/>
        <v>11285.026002582352</v>
      </c>
      <c r="S93" s="358">
        <f t="shared" si="86"/>
        <v>11382.912619821385</v>
      </c>
      <c r="T93" s="358">
        <f t="shared" si="86"/>
        <v>10496.174214792838</v>
      </c>
      <c r="V93" s="358">
        <f t="shared" ref="V93:AD93" si="87">SUM(V89:V92)</f>
        <v>39131</v>
      </c>
      <c r="W93" s="358">
        <f t="shared" si="87"/>
        <v>40676</v>
      </c>
      <c r="X93" s="358">
        <f t="shared" si="87"/>
        <v>42010</v>
      </c>
      <c r="Y93" s="358">
        <f t="shared" si="87"/>
        <v>14518</v>
      </c>
      <c r="Z93" s="358">
        <f t="shared" si="87"/>
        <v>26063</v>
      </c>
      <c r="AA93" s="358">
        <f t="shared" si="87"/>
        <v>40982.112837196575</v>
      </c>
      <c r="AB93" s="358">
        <f t="shared" si="87"/>
        <v>44721.565900572816</v>
      </c>
      <c r="AC93" s="358">
        <f t="shared" si="87"/>
        <v>47707.320635023789</v>
      </c>
      <c r="AD93" s="518">
        <f t="shared" si="87"/>
        <v>48700.309107129862</v>
      </c>
    </row>
    <row r="94" spans="2:30" ht="11.25" customHeight="1">
      <c r="B94" s="425"/>
      <c r="Q94" s="257"/>
      <c r="R94" s="257"/>
      <c r="S94" s="257"/>
      <c r="T94" s="257"/>
      <c r="AD94" s="426"/>
    </row>
    <row r="95" spans="2:30" s="278" customFormat="1" ht="11.25" customHeight="1">
      <c r="B95" s="573"/>
      <c r="C95" s="587" t="s">
        <v>588</v>
      </c>
      <c r="D95" s="486"/>
      <c r="E95" s="486"/>
      <c r="F95" s="486"/>
      <c r="G95" s="486"/>
      <c r="H95" s="486"/>
      <c r="I95" s="519"/>
      <c r="J95" s="519"/>
      <c r="K95" s="519"/>
      <c r="L95" s="519"/>
      <c r="M95" s="519"/>
      <c r="N95" s="519"/>
      <c r="O95" s="519"/>
      <c r="P95" s="519"/>
      <c r="Q95" s="519"/>
      <c r="R95" s="519"/>
      <c r="S95" s="519"/>
      <c r="T95" s="519"/>
      <c r="V95" s="486"/>
      <c r="W95" s="486"/>
      <c r="X95" s="486"/>
      <c r="Y95" s="486"/>
      <c r="Z95" s="486"/>
      <c r="AA95" s="486"/>
      <c r="AB95" s="486"/>
      <c r="AC95" s="486"/>
      <c r="AD95" s="520"/>
    </row>
    <row r="96" spans="2:30" s="278" customFormat="1" ht="11.25" customHeight="1">
      <c r="B96" s="573"/>
      <c r="C96" s="487" t="s">
        <v>592</v>
      </c>
      <c r="D96" s="486"/>
      <c r="E96" s="486"/>
      <c r="F96" s="486"/>
      <c r="G96" s="486"/>
      <c r="H96" s="486"/>
      <c r="I96" s="487">
        <f>I137</f>
        <v>-6.8617452080271146E-2</v>
      </c>
      <c r="J96" s="487">
        <f t="shared" ref="J96:T96" si="88">J137</f>
        <v>-0.76382013771743029</v>
      </c>
      <c r="K96" s="487">
        <f t="shared" si="88"/>
        <v>-0.59419678185175417</v>
      </c>
      <c r="L96" s="487">
        <f t="shared" si="88"/>
        <v>-0.52727971311475419</v>
      </c>
      <c r="M96" s="487">
        <f t="shared" si="88"/>
        <v>-0.43360230374658781</v>
      </c>
      <c r="N96" s="487">
        <f t="shared" si="88"/>
        <v>-0.24566521943530306</v>
      </c>
      <c r="O96" s="487">
        <f t="shared" si="88"/>
        <v>-0.1939989448694277</v>
      </c>
      <c r="P96" s="487">
        <f t="shared" si="88"/>
        <v>-0.1304502504553734</v>
      </c>
      <c r="Q96" s="487">
        <f t="shared" si="88"/>
        <v>-0.10710321864594885</v>
      </c>
      <c r="R96" s="487">
        <f t="shared" si="88"/>
        <v>-6.9995298802577266E-2</v>
      </c>
      <c r="S96" s="487">
        <f t="shared" si="88"/>
        <v>-4.8355315220258599E-2</v>
      </c>
      <c r="T96" s="487">
        <f t="shared" si="88"/>
        <v>-4.2585951730418903E-2</v>
      </c>
      <c r="U96" s="297"/>
      <c r="V96" s="486"/>
      <c r="W96" s="486"/>
      <c r="X96" s="486"/>
      <c r="Y96" s="487">
        <f t="shared" ref="Y96:AD96" si="89">Y137</f>
        <v>-0.49781470984397813</v>
      </c>
      <c r="Z96" s="487">
        <f t="shared" si="89"/>
        <v>-0.24747797171399721</v>
      </c>
      <c r="AA96" s="487">
        <f t="shared" si="89"/>
        <v>-6.6162377932427852E-2</v>
      </c>
      <c r="AB96" s="487">
        <f t="shared" si="89"/>
        <v>6.8159480581433396E-3</v>
      </c>
      <c r="AC96" s="487">
        <f t="shared" si="89"/>
        <v>6.4311458216410156E-2</v>
      </c>
      <c r="AD96" s="521">
        <f t="shared" si="89"/>
        <v>9.2736488382534565E-2</v>
      </c>
    </row>
    <row r="97" spans="2:30" s="278" customFormat="1" ht="11.25" customHeight="1">
      <c r="B97" s="573"/>
      <c r="C97" s="487" t="s">
        <v>602</v>
      </c>
      <c r="D97" s="486"/>
      <c r="E97" s="486"/>
      <c r="F97" s="486"/>
      <c r="G97" s="486"/>
      <c r="H97" s="486"/>
      <c r="I97" s="487">
        <f>I145/E145-1</f>
        <v>-0.11501644454105731</v>
      </c>
      <c r="J97" s="487">
        <f>J145/F145-1</f>
        <v>-0.51137130439336875</v>
      </c>
      <c r="K97" s="487">
        <f>K145/G145-1</f>
        <v>-0.31167111113954071</v>
      </c>
      <c r="L97" s="487">
        <f>L145/H145-1</f>
        <v>-0.23511542651276562</v>
      </c>
      <c r="M97" s="487">
        <f>M145/E145-1</f>
        <v>-0.27628228413170508</v>
      </c>
      <c r="N97" s="487">
        <f>N145/F145-1</f>
        <v>-0.11092979212321763</v>
      </c>
      <c r="O97" s="487">
        <f>O145/G145-1</f>
        <v>-8.0696739164877851E-2</v>
      </c>
      <c r="P97" s="487">
        <f>P145/H145-1</f>
        <v>-4.3904102300763248E-2</v>
      </c>
      <c r="Q97" s="487">
        <f>Q145/E145-1</f>
        <v>-9.4876137971492747E-2</v>
      </c>
      <c r="R97" s="487">
        <f>R145/F145-1</f>
        <v>-4.7803352607805882E-3</v>
      </c>
      <c r="S97" s="487">
        <f>S145/G145-1</f>
        <v>1.7393390785138463E-2</v>
      </c>
      <c r="T97" s="487">
        <f>T145/H145-1</f>
        <v>3.1578536223394904E-2</v>
      </c>
      <c r="V97" s="486"/>
      <c r="W97" s="486"/>
      <c r="X97" s="486"/>
      <c r="Y97" s="487">
        <f t="shared" ref="Y97:AD97" si="90">Y145/$X145-1</f>
        <v>-0.24206396228756388</v>
      </c>
      <c r="Z97" s="487">
        <f t="shared" si="90"/>
        <v>-0.1102178819264692</v>
      </c>
      <c r="AA97" s="487">
        <f t="shared" si="90"/>
        <v>-8.9020178324827892E-3</v>
      </c>
      <c r="AB97" s="487">
        <f t="shared" si="90"/>
        <v>-4.3186543771620567E-3</v>
      </c>
      <c r="AC97" s="487">
        <f t="shared" si="90"/>
        <v>5.7725466709248607E-3</v>
      </c>
      <c r="AD97" s="521">
        <f t="shared" si="90"/>
        <v>3.7247424203967761E-3</v>
      </c>
    </row>
    <row r="98" spans="2:30" s="278" customFormat="1" ht="11.25" customHeight="1">
      <c r="B98" s="573"/>
      <c r="C98" s="486" t="s">
        <v>601</v>
      </c>
      <c r="D98" s="486"/>
      <c r="E98" s="486"/>
      <c r="F98" s="486"/>
      <c r="G98" s="486"/>
      <c r="H98" s="486"/>
      <c r="I98" s="487">
        <f t="shared" ref="I98:T98" si="91">I171</f>
        <v>-3.5133412798513342E-2</v>
      </c>
      <c r="J98" s="487">
        <f t="shared" si="91"/>
        <v>-0.12805083803688322</v>
      </c>
      <c r="K98" s="487">
        <f t="shared" si="91"/>
        <v>-0.17295907790184784</v>
      </c>
      <c r="L98" s="487">
        <f t="shared" si="91"/>
        <v>-0.14752450714366161</v>
      </c>
      <c r="M98" s="487">
        <f t="shared" si="91"/>
        <v>-0.19700536297204874</v>
      </c>
      <c r="N98" s="487">
        <f t="shared" si="91"/>
        <v>-0.11369602269607049</v>
      </c>
      <c r="O98" s="487">
        <f t="shared" si="91"/>
        <v>-2.3303315566032046E-2</v>
      </c>
      <c r="P98" s="487">
        <f t="shared" si="91"/>
        <v>-2.550572217524516E-2</v>
      </c>
      <c r="Q98" s="487">
        <f t="shared" si="91"/>
        <v>1.6112482905432657E-3</v>
      </c>
      <c r="R98" s="487">
        <f t="shared" si="91"/>
        <v>0.10731634053494665</v>
      </c>
      <c r="S98" s="487">
        <f t="shared" si="91"/>
        <v>6.9287352478902831E-2</v>
      </c>
      <c r="T98" s="487">
        <f t="shared" si="91"/>
        <v>2.7203435992994685E-2</v>
      </c>
      <c r="V98" s="486"/>
      <c r="W98" s="486"/>
      <c r="X98" s="486"/>
      <c r="Y98" s="487">
        <f t="shared" ref="Y98:AD98" si="92">Y171</f>
        <v>-9.2059129374049364E-2</v>
      </c>
      <c r="Z98" s="487">
        <f t="shared" si="92"/>
        <v>-7.3450061415133883E-2</v>
      </c>
      <c r="AA98" s="487">
        <f t="shared" si="92"/>
        <v>5.4031778066067959E-2</v>
      </c>
      <c r="AB98" s="487">
        <f t="shared" si="92"/>
        <v>6.1925044669761897E-2</v>
      </c>
      <c r="AC98" s="487">
        <f t="shared" si="92"/>
        <v>6.0874058712506951E-2</v>
      </c>
      <c r="AD98" s="521">
        <f t="shared" si="92"/>
        <v>5.6936658553963682E-2</v>
      </c>
    </row>
    <row r="99" spans="2:30" s="392" customFormat="1" ht="11.25" customHeight="1">
      <c r="B99" s="585"/>
      <c r="C99" s="489" t="s">
        <v>585</v>
      </c>
      <c r="D99" s="488"/>
      <c r="E99" s="522"/>
      <c r="F99" s="522"/>
      <c r="G99" s="522"/>
      <c r="H99" s="522"/>
      <c r="I99" s="490">
        <f t="shared" ref="I99:T99" si="93">(1+I98)*(1+I97)*(1+I96)-1</f>
        <v>-0.20470076620418298</v>
      </c>
      <c r="J99" s="490">
        <f t="shared" si="93"/>
        <v>-0.89937335391880846</v>
      </c>
      <c r="K99" s="490">
        <f t="shared" si="93"/>
        <v>-0.76898590268303768</v>
      </c>
      <c r="L99" s="490">
        <f t="shared" si="93"/>
        <v>-0.6917649333075585</v>
      </c>
      <c r="M99" s="490">
        <f t="shared" si="93"/>
        <v>-0.67084282460136668</v>
      </c>
      <c r="N99" s="490">
        <f t="shared" si="93"/>
        <v>-0.40559440559440563</v>
      </c>
      <c r="O99" s="490">
        <f t="shared" si="93"/>
        <v>-0.27630741246020896</v>
      </c>
      <c r="P99" s="490">
        <f t="shared" si="93"/>
        <v>-0.1898318190605065</v>
      </c>
      <c r="Q99" s="490">
        <f t="shared" si="93"/>
        <v>-0.19051563470697863</v>
      </c>
      <c r="R99" s="490">
        <f t="shared" si="93"/>
        <v>2.4886568212001636E-2</v>
      </c>
      <c r="S99" s="490">
        <f t="shared" si="93"/>
        <v>3.5280820356651921E-2</v>
      </c>
      <c r="T99" s="490">
        <f t="shared" si="93"/>
        <v>1.4515195707794248E-2</v>
      </c>
      <c r="V99" s="522"/>
      <c r="W99" s="522"/>
      <c r="X99" s="522"/>
      <c r="Y99" s="490">
        <f t="shared" ref="Y99:AD99" si="94">(1+Y98)*(1+Y97)*(1+Y96)-1</f>
        <v>-0.6544156153296834</v>
      </c>
      <c r="Z99" s="490">
        <f t="shared" si="94"/>
        <v>-0.37960009521542493</v>
      </c>
      <c r="AA99" s="490">
        <f t="shared" si="94"/>
        <v>-2.4467678238596413E-2</v>
      </c>
      <c r="AB99" s="490">
        <f t="shared" si="94"/>
        <v>6.454572484105725E-2</v>
      </c>
      <c r="AC99" s="490">
        <f t="shared" si="94"/>
        <v>0.13561820126217028</v>
      </c>
      <c r="AD99" s="524">
        <f t="shared" si="94"/>
        <v>0.15925515608497642</v>
      </c>
    </row>
    <row r="100" spans="2:30" s="499" customFormat="1" ht="11.25" customHeight="1">
      <c r="B100" s="584"/>
      <c r="C100" s="588"/>
      <c r="E100" s="534"/>
      <c r="F100" s="534"/>
      <c r="G100" s="534"/>
      <c r="H100" s="534"/>
      <c r="I100" s="525"/>
      <c r="J100" s="525"/>
      <c r="K100" s="525"/>
      <c r="L100" s="525"/>
      <c r="M100" s="525"/>
      <c r="N100" s="525"/>
      <c r="O100" s="525"/>
      <c r="P100" s="525"/>
      <c r="Q100" s="525"/>
      <c r="R100" s="525"/>
      <c r="S100" s="525"/>
      <c r="T100" s="525"/>
      <c r="V100" s="534"/>
      <c r="W100" s="534"/>
      <c r="X100" s="534"/>
      <c r="Y100" s="526"/>
      <c r="Z100" s="526"/>
      <c r="AA100" s="526"/>
      <c r="AB100" s="526"/>
      <c r="AC100" s="526"/>
      <c r="AD100" s="535"/>
    </row>
    <row r="101" spans="2:30" ht="11.25" customHeight="1">
      <c r="B101" s="425"/>
      <c r="C101" s="589" t="s">
        <v>603</v>
      </c>
      <c r="D101" s="527"/>
      <c r="E101" s="527"/>
      <c r="F101" s="527"/>
      <c r="G101" s="527"/>
      <c r="H101" s="527"/>
      <c r="I101" s="527"/>
      <c r="J101" s="527"/>
      <c r="K101" s="527"/>
      <c r="L101" s="527"/>
      <c r="M101" s="528"/>
      <c r="N101" s="528"/>
      <c r="O101" s="528"/>
      <c r="P101" s="528"/>
      <c r="Q101" s="527"/>
      <c r="R101" s="527"/>
      <c r="S101" s="527"/>
      <c r="T101" s="527"/>
      <c r="V101" s="527"/>
      <c r="W101" s="527"/>
      <c r="X101" s="527"/>
      <c r="Y101" s="528"/>
      <c r="Z101" s="527"/>
      <c r="AA101" s="527"/>
      <c r="AB101" s="527"/>
      <c r="AC101" s="527"/>
      <c r="AD101" s="412"/>
    </row>
    <row r="102" spans="2:30" ht="11.25" customHeight="1">
      <c r="B102" s="425"/>
      <c r="C102" s="590" t="s">
        <v>592</v>
      </c>
      <c r="D102" s="527"/>
      <c r="E102" s="527"/>
      <c r="F102" s="527"/>
      <c r="G102" s="527"/>
      <c r="H102" s="527"/>
      <c r="I102" s="529">
        <f>I96*E$93</f>
        <v>-662.70735219125868</v>
      </c>
      <c r="J102" s="529">
        <f t="shared" ref="J102:L104" si="95">J96*F$93</f>
        <v>-8410.4235364066244</v>
      </c>
      <c r="K102" s="529">
        <f t="shared" si="95"/>
        <v>-6533.1936164600374</v>
      </c>
      <c r="L102" s="529">
        <f t="shared" si="95"/>
        <v>-5455.2359118852464</v>
      </c>
      <c r="M102" s="529">
        <f>M96*E$93</f>
        <v>-4187.731049584545</v>
      </c>
      <c r="N102" s="529">
        <f t="shared" ref="N102:P104" si="96">N96*F$93</f>
        <v>-2705.0197312021219</v>
      </c>
      <c r="O102" s="529">
        <f t="shared" si="96"/>
        <v>-2133.0183988393578</v>
      </c>
      <c r="P102" s="529">
        <f t="shared" si="96"/>
        <v>-1349.6382912112931</v>
      </c>
      <c r="Q102" s="529">
        <f>Q96*E$93</f>
        <v>-1034.4028856825739</v>
      </c>
      <c r="R102" s="529">
        <f t="shared" ref="R102:T104" si="97">R96*F$93</f>
        <v>-770.71823511517823</v>
      </c>
      <c r="S102" s="529">
        <f t="shared" si="97"/>
        <v>-531.66669084674334</v>
      </c>
      <c r="T102" s="529">
        <f t="shared" si="97"/>
        <v>-440.59425660291396</v>
      </c>
      <c r="V102" s="527"/>
      <c r="W102" s="527"/>
      <c r="X102" s="527"/>
      <c r="Y102" s="529">
        <f>Y96*$X$93</f>
        <v>-20913.195960545523</v>
      </c>
      <c r="Z102" s="529">
        <f t="shared" ref="Z102:AD104" si="98">Z96*$X$93</f>
        <v>-10396.549591705023</v>
      </c>
      <c r="AA102" s="529">
        <f t="shared" si="98"/>
        <v>-2779.4814969412942</v>
      </c>
      <c r="AB102" s="529">
        <f t="shared" si="98"/>
        <v>286.33797792260168</v>
      </c>
      <c r="AC102" s="529">
        <f t="shared" si="98"/>
        <v>2701.7243596713906</v>
      </c>
      <c r="AD102" s="530">
        <f t="shared" si="98"/>
        <v>3895.8598769502769</v>
      </c>
    </row>
    <row r="103" spans="2:30" ht="11.25" customHeight="1">
      <c r="B103" s="425"/>
      <c r="C103" s="590" t="s">
        <v>602</v>
      </c>
      <c r="D103" s="527"/>
      <c r="E103" s="527"/>
      <c r="F103" s="527"/>
      <c r="G103" s="527"/>
      <c r="H103" s="527"/>
      <c r="I103" s="529">
        <f>I97*E$93</f>
        <v>-1110.8288213775315</v>
      </c>
      <c r="J103" s="529">
        <f t="shared" si="95"/>
        <v>-5630.7094326753831</v>
      </c>
      <c r="K103" s="529">
        <f t="shared" si="95"/>
        <v>-3426.8238669792499</v>
      </c>
      <c r="L103" s="529">
        <f t="shared" si="95"/>
        <v>-2432.5042027010732</v>
      </c>
      <c r="M103" s="529">
        <f>M97*E$93</f>
        <v>-2668.3343001440076</v>
      </c>
      <c r="N103" s="529">
        <f t="shared" si="96"/>
        <v>-1221.4479410687493</v>
      </c>
      <c r="O103" s="529">
        <f t="shared" si="96"/>
        <v>-887.26064711783192</v>
      </c>
      <c r="P103" s="529">
        <f t="shared" si="96"/>
        <v>-454.23184240369659</v>
      </c>
      <c r="Q103" s="529">
        <f>Q97*E$93</f>
        <v>-916.31374052867693</v>
      </c>
      <c r="R103" s="529">
        <f t="shared" si="97"/>
        <v>-52.636271556455057</v>
      </c>
      <c r="S103" s="529">
        <f t="shared" si="97"/>
        <v>191.2403316825974</v>
      </c>
      <c r="T103" s="529">
        <f t="shared" si="97"/>
        <v>326.71153576724367</v>
      </c>
      <c r="V103" s="527"/>
      <c r="W103" s="527"/>
      <c r="X103" s="527"/>
      <c r="Y103" s="529">
        <f>Y97*$X$93</f>
        <v>-10169.107055700559</v>
      </c>
      <c r="Z103" s="529">
        <f t="shared" si="98"/>
        <v>-4630.2532197309711</v>
      </c>
      <c r="AA103" s="529">
        <f t="shared" si="98"/>
        <v>-373.97376914260195</v>
      </c>
      <c r="AB103" s="529">
        <f t="shared" si="98"/>
        <v>-181.42667038457799</v>
      </c>
      <c r="AC103" s="529">
        <f t="shared" si="98"/>
        <v>242.50468564555339</v>
      </c>
      <c r="AD103" s="530">
        <f t="shared" si="98"/>
        <v>156.47642908086857</v>
      </c>
    </row>
    <row r="104" spans="2:30" ht="11.25" customHeight="1">
      <c r="B104" s="425"/>
      <c r="C104" s="527" t="s">
        <v>601</v>
      </c>
      <c r="D104" s="527"/>
      <c r="E104" s="527"/>
      <c r="F104" s="527"/>
      <c r="G104" s="527"/>
      <c r="H104" s="527"/>
      <c r="I104" s="529">
        <f>I98*E$93</f>
        <v>-339.31850080804185</v>
      </c>
      <c r="J104" s="529">
        <f t="shared" si="95"/>
        <v>-1409.967777624121</v>
      </c>
      <c r="K104" s="529">
        <f t="shared" si="95"/>
        <v>-1901.6850615308169</v>
      </c>
      <c r="L104" s="529">
        <f t="shared" si="95"/>
        <v>-1526.288550908323</v>
      </c>
      <c r="M104" s="529">
        <f>M98*E$93</f>
        <v>-1902.6777955840466</v>
      </c>
      <c r="N104" s="529">
        <f t="shared" si="96"/>
        <v>-1251.906905906432</v>
      </c>
      <c r="O104" s="529">
        <f t="shared" si="96"/>
        <v>-256.21995464852233</v>
      </c>
      <c r="P104" s="529">
        <f t="shared" si="96"/>
        <v>-263.88220162508645</v>
      </c>
      <c r="Q104" s="529">
        <f>Q98*E$93</f>
        <v>15.56143599006686</v>
      </c>
      <c r="R104" s="529">
        <f t="shared" si="97"/>
        <v>1181.6602256302976</v>
      </c>
      <c r="S104" s="529">
        <f t="shared" si="97"/>
        <v>761.8144405055366</v>
      </c>
      <c r="T104" s="529">
        <f t="shared" si="97"/>
        <v>281.44674878352299</v>
      </c>
      <c r="V104" s="527"/>
      <c r="W104" s="527"/>
      <c r="X104" s="527"/>
      <c r="Y104" s="529">
        <f>Y98*$X$93</f>
        <v>-3867.4040250038138</v>
      </c>
      <c r="Z104" s="529">
        <f t="shared" si="98"/>
        <v>-3085.6370800497743</v>
      </c>
      <c r="AA104" s="529">
        <f t="shared" si="98"/>
        <v>2269.8749965555148</v>
      </c>
      <c r="AB104" s="529">
        <f t="shared" si="98"/>
        <v>2601.4711265766973</v>
      </c>
      <c r="AC104" s="529">
        <f t="shared" si="98"/>
        <v>2557.3192065124172</v>
      </c>
      <c r="AD104" s="530">
        <f t="shared" si="98"/>
        <v>2391.9090258520141</v>
      </c>
    </row>
    <row r="105" spans="2:30" ht="11.25" customHeight="1">
      <c r="B105" s="425"/>
      <c r="C105" s="527" t="s">
        <v>587</v>
      </c>
      <c r="D105" s="527"/>
      <c r="E105" s="527"/>
      <c r="F105" s="527"/>
      <c r="G105" s="527"/>
      <c r="H105" s="527"/>
      <c r="I105" s="529">
        <f>(I98*I97*E93+I98*I96*E93+I97*I96*E93)+I98*I97*I96*E93</f>
        <v>135.85467437683232</v>
      </c>
      <c r="J105" s="529">
        <f>(J98*J97*F93+J98*J96*F93+J97*J96*F93)+J98*J97*J96*F93</f>
        <v>5548.1007467061299</v>
      </c>
      <c r="K105" s="529">
        <f>(K98*K97*G93+K98*K96*G93+K97*K96*G93)+K98*K97*K96*G93</f>
        <v>3406.7025449701055</v>
      </c>
      <c r="L105" s="529">
        <f>(L98*L97*H93+L98*L96*H93+L97*L96*H93)+L98*L97*L96*H93</f>
        <v>2257.0286654946422</v>
      </c>
      <c r="M105" s="529">
        <f>(M98*M97*E93+M98*M96*E93+M97*M96*E93)+M98*M97*M96*E93</f>
        <v>2279.7431453125992</v>
      </c>
      <c r="N105" s="529">
        <f>(N98*N97*F93+N98*N96*F93+N97*N96*F93)+N98*N97*N96*F93</f>
        <v>712.37457817730296</v>
      </c>
      <c r="O105" s="529">
        <f>(O98*O97*G93+O98*O96*G93+O97*O96*G93)+O98*O97*O96*G93</f>
        <v>238.49900060571343</v>
      </c>
      <c r="P105" s="529">
        <f>(P98*P97*H93+P98*P96*H93+P97*P96*H93)+P98*P97*P96*H93</f>
        <v>103.75233524007692</v>
      </c>
      <c r="Q105" s="529">
        <f>(Q98*Q97*E93+Q98*Q96*E93+Q97*Q96*E93)+Q98*Q97*Q96*E93</f>
        <v>95.155190221184412</v>
      </c>
      <c r="R105" s="529">
        <f>(R98*R97*F93+R98*R96*F93+R97*R96*F93)+R98*R97*R96*F93</f>
        <v>-84.279716376313885</v>
      </c>
      <c r="S105" s="529">
        <f>(S98*S97*G93+S98*S96*G93+S97*S96*G93)+S98*S97*S96*G93</f>
        <v>-33.475461520002462</v>
      </c>
      <c r="T105" s="529">
        <f>(T98*T97*H93+T98*T96*H93+T97*T96*H93)+T98*T97*T96*H93</f>
        <v>-17.389813155013147</v>
      </c>
      <c r="V105" s="527"/>
      <c r="W105" s="527"/>
      <c r="X105" s="527"/>
      <c r="Y105" s="529">
        <f t="shared" ref="Y105:AD105" si="99">(Y98*Y97*$X$93+Y98*Y96*$X$93+Y97*Y96*$X$93)+Y98*Y97*Y96*$X$93</f>
        <v>7457.7070412498906</v>
      </c>
      <c r="Z105" s="529">
        <f t="shared" si="99"/>
        <v>2165.4398914857707</v>
      </c>
      <c r="AA105" s="529">
        <f t="shared" si="99"/>
        <v>-144.306893275053</v>
      </c>
      <c r="AB105" s="529">
        <f t="shared" si="99"/>
        <v>5.1834664580952055</v>
      </c>
      <c r="AC105" s="529">
        <f t="shared" si="99"/>
        <v>195.77238319441403</v>
      </c>
      <c r="AD105" s="530">
        <f t="shared" si="99"/>
        <v>246.06377524669202</v>
      </c>
    </row>
    <row r="106" spans="2:30" s="392" customFormat="1" ht="11.25" customHeight="1">
      <c r="B106" s="585"/>
      <c r="C106" s="614" t="s">
        <v>585</v>
      </c>
      <c r="D106" s="612"/>
      <c r="E106" s="612"/>
      <c r="F106" s="612"/>
      <c r="G106" s="612"/>
      <c r="H106" s="612"/>
      <c r="I106" s="515">
        <f>SUM(I102:I105)</f>
        <v>-1976.9999999999998</v>
      </c>
      <c r="J106" s="515">
        <f t="shared" ref="J106:T106" si="100">SUM(J102:J105)</f>
        <v>-9902.9999999999982</v>
      </c>
      <c r="K106" s="515">
        <f t="shared" si="100"/>
        <v>-8455</v>
      </c>
      <c r="L106" s="515">
        <f t="shared" si="100"/>
        <v>-7157.0000000000009</v>
      </c>
      <c r="M106" s="515">
        <f t="shared" si="100"/>
        <v>-6479</v>
      </c>
      <c r="N106" s="515">
        <f t="shared" si="100"/>
        <v>-4466</v>
      </c>
      <c r="O106" s="515">
        <f t="shared" si="100"/>
        <v>-3037.9999999999986</v>
      </c>
      <c r="P106" s="515">
        <f t="shared" si="100"/>
        <v>-1963.9999999999993</v>
      </c>
      <c r="Q106" s="515">
        <f t="shared" si="100"/>
        <v>-1839.9999999999995</v>
      </c>
      <c r="R106" s="515">
        <f t="shared" si="100"/>
        <v>274.02600258235043</v>
      </c>
      <c r="S106" s="515">
        <f t="shared" si="100"/>
        <v>387.9126198213882</v>
      </c>
      <c r="T106" s="515">
        <f t="shared" si="100"/>
        <v>150.17421479283956</v>
      </c>
      <c r="V106" s="612"/>
      <c r="W106" s="612"/>
      <c r="X106" s="612"/>
      <c r="Y106" s="515">
        <f t="shared" ref="Y106:AD106" si="101">SUM(Y102:Y105)</f>
        <v>-27492.000000000004</v>
      </c>
      <c r="Z106" s="515">
        <f t="shared" si="101"/>
        <v>-15947</v>
      </c>
      <c r="AA106" s="515">
        <f t="shared" si="101"/>
        <v>-1027.8871628034344</v>
      </c>
      <c r="AB106" s="515">
        <f t="shared" si="101"/>
        <v>2711.5659005728162</v>
      </c>
      <c r="AC106" s="515">
        <f t="shared" si="101"/>
        <v>5697.3206350237751</v>
      </c>
      <c r="AD106" s="533">
        <f t="shared" si="101"/>
        <v>6690.3091071298513</v>
      </c>
    </row>
    <row r="107" spans="2:30" s="293" customFormat="1" ht="11.25" customHeight="1" outlineLevel="1">
      <c r="B107" s="618"/>
      <c r="C107" s="615"/>
      <c r="D107" s="536"/>
      <c r="E107" s="536"/>
      <c r="F107" s="536"/>
      <c r="G107" s="536"/>
      <c r="H107" s="536"/>
      <c r="I107" s="537">
        <f>SUM(I102:I105)-(I93-E93)</f>
        <v>0</v>
      </c>
      <c r="J107" s="537">
        <f>SUM(J102:J105)-(J93-F93)</f>
        <v>0</v>
      </c>
      <c r="K107" s="537">
        <f>SUM(K102:K105)-(K93-G93)</f>
        <v>0</v>
      </c>
      <c r="L107" s="537">
        <f>SUM(L102:L105)-(L93-H93)</f>
        <v>0</v>
      </c>
      <c r="M107" s="537">
        <f>SUM(M102:M105)-(M93-E93)</f>
        <v>0</v>
      </c>
      <c r="N107" s="537">
        <f>SUM(N102:N105)-(N93-F93)</f>
        <v>0</v>
      </c>
      <c r="O107" s="537">
        <f>SUM(O102:O105)-(O93-G93)</f>
        <v>0</v>
      </c>
      <c r="P107" s="537">
        <f>SUM(P102:P105)-(P93-H93)</f>
        <v>0</v>
      </c>
      <c r="Q107" s="537">
        <f>SUM(Q102:Q105)-(Q93-E93)</f>
        <v>0</v>
      </c>
      <c r="R107" s="537">
        <f>SUM(R102:R105)-(R93-F93)</f>
        <v>-1.3642420526593924E-12</v>
      </c>
      <c r="S107" s="537">
        <f>SUM(S102:S105)-(S93-G93)</f>
        <v>2.8990143619012088E-12</v>
      </c>
      <c r="T107" s="537">
        <f>SUM(T102:T105)-(T93-H93)</f>
        <v>1.5347723092418164E-12</v>
      </c>
      <c r="V107" s="536"/>
      <c r="W107" s="536"/>
      <c r="X107" s="536"/>
      <c r="Y107" s="537">
        <f t="shared" ref="Y107:AD107" si="102">SUM(Y102:Y105)-(Y93-$X93)</f>
        <v>0</v>
      </c>
      <c r="Z107" s="537">
        <f t="shared" si="102"/>
        <v>0</v>
      </c>
      <c r="AA107" s="537">
        <f t="shared" si="102"/>
        <v>-9.5496943686157465E-12</v>
      </c>
      <c r="AB107" s="537">
        <f t="shared" si="102"/>
        <v>0</v>
      </c>
      <c r="AC107" s="537">
        <f t="shared" si="102"/>
        <v>-1.3642420526593924E-11</v>
      </c>
      <c r="AD107" s="538">
        <f t="shared" si="102"/>
        <v>-1.0913936421275139E-11</v>
      </c>
    </row>
    <row r="108" spans="2:30" ht="11.25" customHeight="1">
      <c r="B108" s="425"/>
      <c r="AD108" s="426"/>
    </row>
    <row r="109" spans="2:30" s="278" customFormat="1" ht="11.25" customHeight="1">
      <c r="B109" s="573"/>
      <c r="C109" s="617" t="s">
        <v>590</v>
      </c>
      <c r="D109" s="540"/>
      <c r="E109" s="540"/>
      <c r="F109" s="540"/>
      <c r="G109" s="540"/>
      <c r="H109" s="540"/>
      <c r="I109" s="540"/>
      <c r="J109" s="540"/>
      <c r="K109" s="540"/>
      <c r="L109" s="540"/>
      <c r="M109" s="540"/>
      <c r="N109" s="540"/>
      <c r="O109" s="541"/>
      <c r="P109" s="540"/>
      <c r="Q109" s="540"/>
      <c r="R109" s="540"/>
      <c r="S109" s="540"/>
      <c r="T109" s="540"/>
      <c r="U109" s="253"/>
      <c r="V109" s="540"/>
      <c r="W109" s="540"/>
      <c r="X109" s="540"/>
      <c r="Y109" s="540"/>
      <c r="Z109" s="540"/>
      <c r="AA109" s="540"/>
      <c r="AB109" s="540"/>
      <c r="AC109" s="540"/>
      <c r="AD109" s="542"/>
    </row>
    <row r="110" spans="2:30" s="278" customFormat="1" ht="11.25" customHeight="1">
      <c r="B110" s="573"/>
      <c r="C110" s="540" t="str">
        <f>C89</f>
        <v xml:space="preserve">  Domestic</v>
      </c>
      <c r="D110" s="540"/>
      <c r="E110" s="541">
        <f>E89/E$93</f>
        <v>0.7481880306481673</v>
      </c>
      <c r="F110" s="541">
        <f t="shared" ref="F110:AD113" si="103">F89/F$93</f>
        <v>0.72736354554536375</v>
      </c>
      <c r="G110" s="541">
        <f t="shared" si="103"/>
        <v>0.71068667576170985</v>
      </c>
      <c r="H110" s="541">
        <f t="shared" si="103"/>
        <v>0.75700753914556351</v>
      </c>
      <c r="I110" s="541">
        <f t="shared" si="103"/>
        <v>0.75250618409061321</v>
      </c>
      <c r="J110" s="541">
        <f t="shared" si="103"/>
        <v>0.92599277978339345</v>
      </c>
      <c r="K110" s="541">
        <f t="shared" si="103"/>
        <v>0.90393700787401576</v>
      </c>
      <c r="L110" s="541">
        <f t="shared" si="103"/>
        <v>0.83505801191596107</v>
      </c>
      <c r="M110" s="541">
        <f t="shared" si="103"/>
        <v>0.83516829191569675</v>
      </c>
      <c r="N110" s="541">
        <f t="shared" si="103"/>
        <v>0.83177998472116121</v>
      </c>
      <c r="O110" s="541">
        <f t="shared" si="103"/>
        <v>0.82279753676008549</v>
      </c>
      <c r="P110" s="541">
        <f t="shared" si="103"/>
        <v>0.81209735146743023</v>
      </c>
      <c r="Q110" s="541">
        <f t="shared" si="103"/>
        <v>0.77513430544896389</v>
      </c>
      <c r="R110" s="541">
        <f t="shared" si="103"/>
        <v>0.7534728686464891</v>
      </c>
      <c r="S110" s="541">
        <f t="shared" si="103"/>
        <v>0.73113970540311357</v>
      </c>
      <c r="T110" s="541">
        <f t="shared" si="103"/>
        <v>0.75626646200181513</v>
      </c>
      <c r="U110" s="253"/>
      <c r="V110" s="541">
        <f t="shared" si="103"/>
        <v>0.73468605453476787</v>
      </c>
      <c r="W110" s="541">
        <f t="shared" si="103"/>
        <v>0.72703805683941392</v>
      </c>
      <c r="X110" s="541">
        <f t="shared" si="103"/>
        <v>0.73508688407522016</v>
      </c>
      <c r="Y110" s="541">
        <f t="shared" si="103"/>
        <v>0.81037332965973274</v>
      </c>
      <c r="Z110" s="541">
        <f t="shared" si="103"/>
        <v>0.82312089935924493</v>
      </c>
      <c r="AA110" s="541">
        <f t="shared" si="103"/>
        <v>0.75211751416587291</v>
      </c>
      <c r="AB110" s="541">
        <f t="shared" si="103"/>
        <v>0.73770946855674002</v>
      </c>
      <c r="AC110" s="541">
        <f t="shared" si="103"/>
        <v>0.72361941908932326</v>
      </c>
      <c r="AD110" s="543">
        <f t="shared" si="103"/>
        <v>0.71561607510990188</v>
      </c>
    </row>
    <row r="111" spans="2:30" s="278" customFormat="1" ht="11.25" customHeight="1">
      <c r="B111" s="573"/>
      <c r="C111" s="540" t="str">
        <f>C90</f>
        <v xml:space="preserve">  Latin America</v>
      </c>
      <c r="D111" s="540"/>
      <c r="E111" s="541">
        <f>E90/E$93</f>
        <v>0.1419548560778629</v>
      </c>
      <c r="F111" s="541">
        <f t="shared" ref="F111:T111" si="104">F90/F$93</f>
        <v>0.11270547634183997</v>
      </c>
      <c r="G111" s="541">
        <f t="shared" si="104"/>
        <v>0.11077762619372442</v>
      </c>
      <c r="H111" s="541">
        <f t="shared" si="104"/>
        <v>0.11763000193311425</v>
      </c>
      <c r="I111" s="541">
        <f t="shared" si="104"/>
        <v>0.15362582997005597</v>
      </c>
      <c r="J111" s="541">
        <f t="shared" si="104"/>
        <v>3.0685920577617327E-2</v>
      </c>
      <c r="K111" s="541">
        <f t="shared" si="104"/>
        <v>6.7716535433070865E-2</v>
      </c>
      <c r="L111" s="541">
        <f t="shared" si="104"/>
        <v>0.14612731263719034</v>
      </c>
      <c r="M111" s="541">
        <f t="shared" si="104"/>
        <v>0.15162000629128658</v>
      </c>
      <c r="N111" s="541">
        <f t="shared" si="104"/>
        <v>0.14300993124522537</v>
      </c>
      <c r="O111" s="541">
        <f t="shared" si="104"/>
        <v>0.12027145909262285</v>
      </c>
      <c r="P111" s="541">
        <f t="shared" si="104"/>
        <v>0.13493199713672155</v>
      </c>
      <c r="Q111" s="541">
        <f t="shared" si="104"/>
        <v>0.15694551036070606</v>
      </c>
      <c r="R111" s="541">
        <f t="shared" si="104"/>
        <v>0.15036746162418643</v>
      </c>
      <c r="S111" s="541">
        <f t="shared" si="104"/>
        <v>0.14566113609406384</v>
      </c>
      <c r="T111" s="541">
        <f t="shared" si="104"/>
        <v>0.13862106306505093</v>
      </c>
      <c r="U111" s="253"/>
      <c r="V111" s="541">
        <f t="shared" si="103"/>
        <v>0.12368710229741126</v>
      </c>
      <c r="W111" s="541">
        <f t="shared" si="103"/>
        <v>0.12599567312420101</v>
      </c>
      <c r="X111" s="541">
        <f t="shared" si="103"/>
        <v>0.1201380623661033</v>
      </c>
      <c r="Y111" s="541">
        <f t="shared" si="103"/>
        <v>0.12756578041052485</v>
      </c>
      <c r="Z111" s="541">
        <f t="shared" si="103"/>
        <v>0.13452020105129878</v>
      </c>
      <c r="AA111" s="541">
        <f t="shared" si="103"/>
        <v>0.14730669329779264</v>
      </c>
      <c r="AB111" s="541">
        <f t="shared" si="103"/>
        <v>0.13974934284720153</v>
      </c>
      <c r="AC111" s="541">
        <f t="shared" si="103"/>
        <v>0.1387500370228551</v>
      </c>
      <c r="AD111" s="543">
        <f t="shared" si="103"/>
        <v>0.13592095462494039</v>
      </c>
    </row>
    <row r="112" spans="2:30" s="278" customFormat="1" ht="11.25" customHeight="1">
      <c r="B112" s="573"/>
      <c r="C112" s="540" t="str">
        <f>C91</f>
        <v xml:space="preserve">  Atlantic</v>
      </c>
      <c r="D112" s="540"/>
      <c r="E112" s="541">
        <f>E91/E$93</f>
        <v>6.9683164216193832E-2</v>
      </c>
      <c r="F112" s="541">
        <f t="shared" si="103"/>
        <v>0.12778130959949141</v>
      </c>
      <c r="G112" s="541">
        <f t="shared" si="103"/>
        <v>0.14515688949522509</v>
      </c>
      <c r="H112" s="541">
        <f t="shared" si="103"/>
        <v>9.1629615310264839E-2</v>
      </c>
      <c r="I112" s="541">
        <f t="shared" si="103"/>
        <v>6.8090092435880739E-2</v>
      </c>
      <c r="J112" s="541">
        <f t="shared" si="103"/>
        <v>3.7906137184115521E-2</v>
      </c>
      <c r="K112" s="541">
        <f t="shared" si="103"/>
        <v>2.2047244094488189E-2</v>
      </c>
      <c r="L112" s="541">
        <f t="shared" si="103"/>
        <v>1.0348071495766699E-2</v>
      </c>
      <c r="M112" s="541">
        <f t="shared" si="103"/>
        <v>6.920415224913495E-3</v>
      </c>
      <c r="N112" s="541">
        <f t="shared" si="103"/>
        <v>1.9098548510313215E-2</v>
      </c>
      <c r="O112" s="541">
        <f t="shared" si="103"/>
        <v>5.1275606384315699E-2</v>
      </c>
      <c r="P112" s="541">
        <f t="shared" si="103"/>
        <v>4.8914340252922933E-2</v>
      </c>
      <c r="Q112" s="541">
        <f t="shared" si="103"/>
        <v>5.9606037349705807E-2</v>
      </c>
      <c r="R112" s="541">
        <f t="shared" si="103"/>
        <v>8.4936432636147835E-2</v>
      </c>
      <c r="S112" s="541">
        <f t="shared" si="103"/>
        <v>0.1031184011534044</v>
      </c>
      <c r="T112" s="541">
        <f t="shared" si="103"/>
        <v>8.5537070418264444E-2</v>
      </c>
      <c r="U112" s="253"/>
      <c r="V112" s="541">
        <f t="shared" si="103"/>
        <v>0.10293629092024226</v>
      </c>
      <c r="W112" s="541">
        <f t="shared" si="103"/>
        <v>0.10758186645687876</v>
      </c>
      <c r="X112" s="541">
        <f t="shared" si="103"/>
        <v>0.11006903118305165</v>
      </c>
      <c r="Y112" s="541">
        <f t="shared" si="103"/>
        <v>4.5047527207604354E-2</v>
      </c>
      <c r="Z112" s="541">
        <f t="shared" si="103"/>
        <v>3.7025668572305569E-2</v>
      </c>
      <c r="AA112" s="541">
        <f t="shared" si="103"/>
        <v>8.5308183292354262E-2</v>
      </c>
      <c r="AB112" s="541">
        <f t="shared" si="103"/>
        <v>9.7882443225343285E-2</v>
      </c>
      <c r="AC112" s="541">
        <f t="shared" si="103"/>
        <v>0.10714858974819695</v>
      </c>
      <c r="AD112" s="543">
        <f t="shared" si="103"/>
        <v>0.10740487368884932</v>
      </c>
    </row>
    <row r="113" spans="2:30" s="278" customFormat="1" ht="11.25" customHeight="1" thickBot="1">
      <c r="B113" s="619"/>
      <c r="C113" s="544" t="str">
        <f>C92</f>
        <v xml:space="preserve">  Pacific</v>
      </c>
      <c r="D113" s="544"/>
      <c r="E113" s="545">
        <f>E92/E$93</f>
        <v>4.0173949057775937E-2</v>
      </c>
      <c r="F113" s="545">
        <f t="shared" si="103"/>
        <v>3.2149668513304877E-2</v>
      </c>
      <c r="G113" s="545">
        <f t="shared" si="103"/>
        <v>3.3378808549340611E-2</v>
      </c>
      <c r="H113" s="545">
        <f t="shared" si="103"/>
        <v>3.3732843611057411E-2</v>
      </c>
      <c r="I113" s="545">
        <f t="shared" si="103"/>
        <v>2.5777893503450073E-2</v>
      </c>
      <c r="J113" s="545">
        <f t="shared" si="103"/>
        <v>5.415162454873646E-3</v>
      </c>
      <c r="K113" s="545">
        <f t="shared" si="103"/>
        <v>6.2992125984251968E-3</v>
      </c>
      <c r="L113" s="545">
        <f t="shared" si="103"/>
        <v>8.4666039510818431E-3</v>
      </c>
      <c r="M113" s="545">
        <f t="shared" si="103"/>
        <v>6.2912865681031774E-3</v>
      </c>
      <c r="N113" s="545">
        <f t="shared" si="103"/>
        <v>6.1115355233002291E-3</v>
      </c>
      <c r="O113" s="545">
        <f t="shared" si="103"/>
        <v>5.6553977629759961E-3</v>
      </c>
      <c r="P113" s="545">
        <f t="shared" si="103"/>
        <v>4.0563111429253165E-3</v>
      </c>
      <c r="Q113" s="545">
        <f t="shared" si="103"/>
        <v>8.3141468406242001E-3</v>
      </c>
      <c r="R113" s="545">
        <f t="shared" si="103"/>
        <v>1.1223237093176726E-2</v>
      </c>
      <c r="S113" s="545">
        <f t="shared" si="103"/>
        <v>2.008075734941828E-2</v>
      </c>
      <c r="T113" s="545">
        <f t="shared" si="103"/>
        <v>1.9575404514869582E-2</v>
      </c>
      <c r="U113" s="430"/>
      <c r="V113" s="545">
        <f t="shared" si="103"/>
        <v>3.8690552247578648E-2</v>
      </c>
      <c r="W113" s="545">
        <f t="shared" si="103"/>
        <v>3.9384403579506344E-2</v>
      </c>
      <c r="X113" s="545">
        <f t="shared" si="103"/>
        <v>3.4706022375624854E-2</v>
      </c>
      <c r="Y113" s="545">
        <f t="shared" si="103"/>
        <v>1.7013362722138034E-2</v>
      </c>
      <c r="Z113" s="545">
        <f t="shared" si="103"/>
        <v>5.3332310171507503E-3</v>
      </c>
      <c r="AA113" s="545">
        <f t="shared" si="103"/>
        <v>1.5267609243980245E-2</v>
      </c>
      <c r="AB113" s="545">
        <f t="shared" si="103"/>
        <v>2.4658745370715215E-2</v>
      </c>
      <c r="AC113" s="545">
        <f t="shared" si="103"/>
        <v>3.0481954139624727E-2</v>
      </c>
      <c r="AD113" s="546">
        <f t="shared" si="103"/>
        <v>4.1058096576308323E-2</v>
      </c>
    </row>
    <row r="115" spans="2:30" ht="11.25" customHeight="1">
      <c r="C115" s="397" t="s">
        <v>998</v>
      </c>
    </row>
    <row r="116" spans="2:30" ht="2.2000000000000002" customHeight="1">
      <c r="C116" s="397"/>
    </row>
    <row r="117" spans="2:30" ht="11.25" customHeight="1">
      <c r="C117" s="253" t="s">
        <v>396</v>
      </c>
      <c r="E117" s="277">
        <v>45.281999999999996</v>
      </c>
      <c r="F117" s="277">
        <v>47.05</v>
      </c>
      <c r="G117" s="277">
        <v>48.820999999999998</v>
      </c>
      <c r="H117" s="277">
        <v>48.067999999999998</v>
      </c>
      <c r="I117" s="277">
        <v>44.238</v>
      </c>
      <c r="J117" s="277">
        <v>15.433999999999999</v>
      </c>
      <c r="K117" s="277">
        <v>26.283999999999999</v>
      </c>
      <c r="L117" s="277">
        <v>26.391999999999999</v>
      </c>
      <c r="M117" s="277">
        <v>27.952000000000002</v>
      </c>
      <c r="N117" s="277">
        <v>41.036999999999999</v>
      </c>
      <c r="O117" s="277">
        <v>46.505000000000003</v>
      </c>
      <c r="P117" s="277">
        <v>46.23</v>
      </c>
      <c r="Q117" s="277">
        <v>41.872999999999998</v>
      </c>
      <c r="R117" s="254">
        <f t="shared" ref="R117:T120" si="105">(R133+1)*F117</f>
        <v>46.814749999999997</v>
      </c>
      <c r="S117" s="254">
        <f t="shared" si="105"/>
        <v>48.820999999999998</v>
      </c>
      <c r="T117" s="254">
        <f t="shared" si="105"/>
        <v>47.106639999999999</v>
      </c>
      <c r="U117" s="699"/>
      <c r="V117" s="277">
        <v>181.86199999999999</v>
      </c>
      <c r="W117" s="277">
        <v>184.90100000000001</v>
      </c>
      <c r="X117" s="254">
        <f t="shared" ref="X117:AA120" si="106">+SUMIF($E$5:$T$5,X$5,$E117:$T117)</f>
        <v>189.221</v>
      </c>
      <c r="Y117" s="254">
        <f t="shared" si="106"/>
        <v>112.34799999999998</v>
      </c>
      <c r="Z117" s="254">
        <f t="shared" si="106"/>
        <v>161.72399999999999</v>
      </c>
      <c r="AA117" s="254">
        <f t="shared" si="106"/>
        <v>184.61538999999999</v>
      </c>
      <c r="AB117" s="254">
        <f t="shared" ref="AB117:AD120" si="107">(AB133+1)*$X117</f>
        <v>193.00542000000002</v>
      </c>
      <c r="AC117" s="254">
        <f t="shared" si="107"/>
        <v>198.68205</v>
      </c>
      <c r="AD117" s="254">
        <f t="shared" si="107"/>
        <v>200.57426000000001</v>
      </c>
    </row>
    <row r="118" spans="2:30" ht="11.25" customHeight="1">
      <c r="C118" s="253" t="s">
        <v>397</v>
      </c>
      <c r="E118" s="277">
        <v>10.208</v>
      </c>
      <c r="F118" s="277">
        <v>9.157</v>
      </c>
      <c r="G118" s="277">
        <v>8.8130000000000006</v>
      </c>
      <c r="H118" s="277">
        <v>8.4760000000000009</v>
      </c>
      <c r="I118" s="277">
        <v>9.0679999999999996</v>
      </c>
      <c r="J118" s="277">
        <v>0.7</v>
      </c>
      <c r="K118" s="277">
        <v>1.7729999999999999</v>
      </c>
      <c r="L118" s="277">
        <v>4.7320000000000002</v>
      </c>
      <c r="M118" s="277">
        <v>7.8650000000000002</v>
      </c>
      <c r="N118" s="277">
        <v>8.4610000000000003</v>
      </c>
      <c r="O118" s="277">
        <v>7.7329999999999997</v>
      </c>
      <c r="P118" s="277">
        <v>9.093</v>
      </c>
      <c r="Q118" s="277">
        <v>10.31</v>
      </c>
      <c r="R118" s="254">
        <f t="shared" si="105"/>
        <v>11.446249999999999</v>
      </c>
      <c r="S118" s="254">
        <f t="shared" si="105"/>
        <v>11.456900000000001</v>
      </c>
      <c r="T118" s="254">
        <f t="shared" si="105"/>
        <v>9.7474000000000007</v>
      </c>
      <c r="U118" s="699"/>
      <c r="V118" s="277">
        <v>37.701999999999998</v>
      </c>
      <c r="W118" s="277">
        <v>38.493000000000002</v>
      </c>
      <c r="X118" s="254">
        <f t="shared" si="106"/>
        <v>36.654000000000003</v>
      </c>
      <c r="Y118" s="254">
        <f t="shared" si="106"/>
        <v>16.273</v>
      </c>
      <c r="Z118" s="254">
        <f t="shared" si="106"/>
        <v>33.152000000000001</v>
      </c>
      <c r="AA118" s="254">
        <f t="shared" si="106"/>
        <v>42.960549999999998</v>
      </c>
      <c r="AB118" s="254">
        <f t="shared" si="107"/>
        <v>43.9848</v>
      </c>
      <c r="AC118" s="254">
        <f t="shared" si="107"/>
        <v>45.817500000000003</v>
      </c>
      <c r="AD118" s="254">
        <f t="shared" si="107"/>
        <v>45.817500000000003</v>
      </c>
    </row>
    <row r="119" spans="2:30" ht="11.25" customHeight="1">
      <c r="C119" s="253" t="s">
        <v>398</v>
      </c>
      <c r="E119" s="277">
        <v>6.8250000000000002</v>
      </c>
      <c r="F119" s="277">
        <v>11.898</v>
      </c>
      <c r="G119" s="277">
        <v>13.914</v>
      </c>
      <c r="H119" s="277">
        <v>9.3719999999999999</v>
      </c>
      <c r="I119" s="277">
        <v>6.2389999999999999</v>
      </c>
      <c r="J119" s="277">
        <v>0.81699999999999995</v>
      </c>
      <c r="K119" s="277">
        <v>1.827</v>
      </c>
      <c r="L119" s="277">
        <v>1.3680000000000001</v>
      </c>
      <c r="M119" s="277">
        <v>1.151</v>
      </c>
      <c r="N119" s="277">
        <v>4.0350000000000001</v>
      </c>
      <c r="O119" s="277">
        <v>6.0350000000000001</v>
      </c>
      <c r="P119" s="277">
        <v>5.157</v>
      </c>
      <c r="Q119" s="277">
        <v>6.38</v>
      </c>
      <c r="R119" s="254">
        <f t="shared" si="105"/>
        <v>7.7336999999999998</v>
      </c>
      <c r="S119" s="254">
        <f t="shared" si="105"/>
        <v>9.7397999999999989</v>
      </c>
      <c r="T119" s="254">
        <f t="shared" si="105"/>
        <v>8.2473600000000005</v>
      </c>
      <c r="U119" s="699"/>
      <c r="V119" s="277">
        <v>38.112000000000002</v>
      </c>
      <c r="W119" s="277">
        <v>39.177999999999997</v>
      </c>
      <c r="X119" s="254">
        <f t="shared" si="106"/>
        <v>42.009</v>
      </c>
      <c r="Y119" s="254">
        <f t="shared" si="106"/>
        <v>10.250999999999999</v>
      </c>
      <c r="Z119" s="254">
        <f t="shared" si="106"/>
        <v>16.378</v>
      </c>
      <c r="AA119" s="254">
        <f t="shared" si="106"/>
        <v>32.100859999999997</v>
      </c>
      <c r="AB119" s="254">
        <f t="shared" si="107"/>
        <v>38.858325000000001</v>
      </c>
      <c r="AC119" s="254">
        <f t="shared" si="107"/>
        <v>45.159675</v>
      </c>
      <c r="AD119" s="254">
        <f t="shared" si="107"/>
        <v>46.209900000000005</v>
      </c>
    </row>
    <row r="120" spans="2:30" ht="11.25" customHeight="1">
      <c r="C120" s="253" t="s">
        <v>399</v>
      </c>
      <c r="E120" s="277">
        <v>4.359</v>
      </c>
      <c r="F120" s="277">
        <v>4.2169999999999996</v>
      </c>
      <c r="G120" s="277">
        <v>4.2720000000000002</v>
      </c>
      <c r="H120" s="277">
        <v>4.3559999999999999</v>
      </c>
      <c r="I120" s="277">
        <v>2.5539999999999998</v>
      </c>
      <c r="J120" s="277">
        <v>0.13</v>
      </c>
      <c r="K120" s="277">
        <v>0.88400000000000001</v>
      </c>
      <c r="L120" s="277">
        <v>0.72699999999999998</v>
      </c>
      <c r="M120" s="277">
        <v>0.79600000000000004</v>
      </c>
      <c r="N120" s="277">
        <v>1.022</v>
      </c>
      <c r="O120" s="277">
        <v>0.83799999999999997</v>
      </c>
      <c r="P120" s="277">
        <v>0.625</v>
      </c>
      <c r="Q120" s="277">
        <v>0.97</v>
      </c>
      <c r="R120" s="254">
        <f t="shared" si="105"/>
        <v>1.2651000000000001</v>
      </c>
      <c r="S120" s="254">
        <f t="shared" si="105"/>
        <v>2.1360000000000001</v>
      </c>
      <c r="T120" s="254">
        <f t="shared" si="105"/>
        <v>2.1779999999999999</v>
      </c>
      <c r="U120" s="699"/>
      <c r="V120" s="277">
        <v>18.817</v>
      </c>
      <c r="W120" s="277">
        <v>19.481999999999999</v>
      </c>
      <c r="X120" s="254">
        <f t="shared" si="106"/>
        <v>17.204000000000001</v>
      </c>
      <c r="Y120" s="254">
        <f t="shared" si="106"/>
        <v>4.2949999999999999</v>
      </c>
      <c r="Z120" s="254">
        <f t="shared" si="106"/>
        <v>3.2810000000000001</v>
      </c>
      <c r="AA120" s="254">
        <f t="shared" si="106"/>
        <v>6.5491000000000001</v>
      </c>
      <c r="AB120" s="254">
        <f t="shared" si="107"/>
        <v>11.182600000000001</v>
      </c>
      <c r="AC120" s="254">
        <f t="shared" si="107"/>
        <v>13.763200000000001</v>
      </c>
      <c r="AD120" s="254">
        <f t="shared" si="107"/>
        <v>18.924400000000002</v>
      </c>
    </row>
    <row r="121" spans="2:30" s="279" customFormat="1" ht="11.25" customHeight="1">
      <c r="C121" s="289" t="s">
        <v>393</v>
      </c>
      <c r="E121" s="358">
        <f t="shared" ref="E121:AD121" si="108">SUM(E117:E120)</f>
        <v>66.673999999999992</v>
      </c>
      <c r="F121" s="358">
        <f t="shared" si="108"/>
        <v>72.321999999999989</v>
      </c>
      <c r="G121" s="358">
        <f t="shared" si="108"/>
        <v>75.820000000000007</v>
      </c>
      <c r="H121" s="358">
        <f t="shared" si="108"/>
        <v>70.271999999999991</v>
      </c>
      <c r="I121" s="358">
        <f t="shared" si="108"/>
        <v>62.098999999999997</v>
      </c>
      <c r="J121" s="358">
        <f t="shared" si="108"/>
        <v>17.081</v>
      </c>
      <c r="K121" s="358">
        <f t="shared" si="108"/>
        <v>30.768000000000001</v>
      </c>
      <c r="L121" s="358">
        <f t="shared" si="108"/>
        <v>33.218999999999994</v>
      </c>
      <c r="M121" s="358">
        <f t="shared" si="108"/>
        <v>37.764000000000003</v>
      </c>
      <c r="N121" s="358">
        <f t="shared" si="108"/>
        <v>54.555</v>
      </c>
      <c r="O121" s="358">
        <f t="shared" si="108"/>
        <v>61.110999999999997</v>
      </c>
      <c r="P121" s="358">
        <f t="shared" si="108"/>
        <v>61.10499999999999</v>
      </c>
      <c r="Q121" s="358">
        <f t="shared" si="108"/>
        <v>59.533000000000001</v>
      </c>
      <c r="R121" s="358">
        <f t="shared" si="108"/>
        <v>67.259799999999998</v>
      </c>
      <c r="S121" s="358">
        <f t="shared" si="108"/>
        <v>72.153700000000001</v>
      </c>
      <c r="T121" s="358">
        <f t="shared" si="108"/>
        <v>67.279399999999995</v>
      </c>
      <c r="U121" s="277"/>
      <c r="V121" s="358">
        <f t="shared" si="108"/>
        <v>276.49299999999999</v>
      </c>
      <c r="W121" s="358">
        <f t="shared" si="108"/>
        <v>282.05399999999997</v>
      </c>
      <c r="X121" s="358">
        <f t="shared" si="108"/>
        <v>285.08800000000002</v>
      </c>
      <c r="Y121" s="358">
        <f t="shared" si="108"/>
        <v>143.16699999999997</v>
      </c>
      <c r="Z121" s="358">
        <f t="shared" si="108"/>
        <v>214.53499999999997</v>
      </c>
      <c r="AA121" s="358">
        <f t="shared" si="108"/>
        <v>266.22590000000002</v>
      </c>
      <c r="AB121" s="358">
        <f t="shared" si="108"/>
        <v>287.03114499999998</v>
      </c>
      <c r="AC121" s="358">
        <f t="shared" si="108"/>
        <v>303.42242499999998</v>
      </c>
      <c r="AD121" s="358">
        <f t="shared" si="108"/>
        <v>311.52606000000003</v>
      </c>
    </row>
    <row r="122" spans="2:30" s="279" customFormat="1" ht="11.25" customHeight="1">
      <c r="C122" s="289"/>
      <c r="E122" s="283"/>
      <c r="F122" s="283"/>
      <c r="G122" s="283"/>
      <c r="H122" s="403"/>
      <c r="I122" s="283"/>
      <c r="J122" s="283"/>
      <c r="K122" s="283"/>
      <c r="L122" s="283"/>
      <c r="M122" s="283"/>
      <c r="N122" s="283"/>
      <c r="O122" s="283"/>
      <c r="P122" s="283"/>
      <c r="Q122" s="283"/>
      <c r="R122" s="283"/>
      <c r="S122" s="283"/>
      <c r="T122" s="403"/>
      <c r="U122" s="277"/>
      <c r="V122" s="283"/>
      <c r="W122" s="283"/>
      <c r="X122" s="283"/>
      <c r="Y122" s="283"/>
      <c r="Z122" s="283"/>
      <c r="AA122" s="283"/>
      <c r="AB122" s="283"/>
      <c r="AC122" s="283"/>
      <c r="AD122" s="283"/>
    </row>
    <row r="123" spans="2:30" s="278" customFormat="1" ht="11.25" customHeight="1">
      <c r="C123" s="617" t="s">
        <v>1763</v>
      </c>
      <c r="D123" s="540"/>
      <c r="E123" s="540"/>
      <c r="F123" s="540"/>
      <c r="G123" s="540"/>
      <c r="H123" s="540"/>
      <c r="I123" s="540"/>
      <c r="J123" s="540"/>
      <c r="K123" s="540"/>
      <c r="L123" s="540"/>
      <c r="M123" s="540"/>
      <c r="N123" s="540"/>
      <c r="O123" s="541"/>
      <c r="P123" s="540"/>
      <c r="Q123" s="540"/>
      <c r="R123" s="540"/>
      <c r="S123" s="540"/>
      <c r="T123" s="540"/>
      <c r="U123" s="253"/>
      <c r="V123" s="540"/>
      <c r="W123" s="540"/>
      <c r="X123" s="540"/>
      <c r="Y123" s="540"/>
      <c r="Z123" s="540"/>
      <c r="AA123" s="540"/>
      <c r="AB123" s="540"/>
      <c r="AC123" s="540"/>
      <c r="AD123" s="540"/>
    </row>
    <row r="124" spans="2:30" s="278" customFormat="1" ht="11.25" customHeight="1">
      <c r="C124" s="540" t="s">
        <v>396</v>
      </c>
      <c r="D124" s="540"/>
      <c r="E124" s="541">
        <f>E117/E$121</f>
        <v>0.6791552929177791</v>
      </c>
      <c r="F124" s="541">
        <f t="shared" ref="F124:AD127" si="109">F117/F$121</f>
        <v>0.65056276098559229</v>
      </c>
      <c r="G124" s="541">
        <f t="shared" si="109"/>
        <v>0.64390662094434181</v>
      </c>
      <c r="H124" s="541">
        <f t="shared" si="109"/>
        <v>0.68402777777777779</v>
      </c>
      <c r="I124" s="541">
        <f t="shared" si="109"/>
        <v>0.71237862123383633</v>
      </c>
      <c r="J124" s="541">
        <f t="shared" si="109"/>
        <v>0.90357707394180664</v>
      </c>
      <c r="K124" s="541">
        <f t="shared" si="109"/>
        <v>0.85426417056682258</v>
      </c>
      <c r="L124" s="541">
        <f t="shared" si="109"/>
        <v>0.794485083837563</v>
      </c>
      <c r="M124" s="541">
        <f t="shared" si="109"/>
        <v>0.74017582883169153</v>
      </c>
      <c r="N124" s="541">
        <f t="shared" si="109"/>
        <v>0.75221336266153427</v>
      </c>
      <c r="O124" s="541">
        <f t="shared" si="109"/>
        <v>0.76099229271325952</v>
      </c>
      <c r="P124" s="541">
        <f t="shared" si="109"/>
        <v>0.75656656574748393</v>
      </c>
      <c r="Q124" s="541">
        <f t="shared" si="109"/>
        <v>0.70335780155543981</v>
      </c>
      <c r="R124" s="541">
        <f t="shared" si="109"/>
        <v>0.69602868280904784</v>
      </c>
      <c r="S124" s="541">
        <f t="shared" si="109"/>
        <v>0.6766250379398423</v>
      </c>
      <c r="T124" s="541">
        <f t="shared" si="109"/>
        <v>0.70016438909978396</v>
      </c>
      <c r="U124" s="253"/>
      <c r="V124" s="541">
        <f t="shared" si="109"/>
        <v>0.6577454040427787</v>
      </c>
      <c r="W124" s="541">
        <f t="shared" si="109"/>
        <v>0.65555177377381646</v>
      </c>
      <c r="X124" s="541">
        <f t="shared" si="109"/>
        <v>0.6637283926366595</v>
      </c>
      <c r="Y124" s="541">
        <f t="shared" si="109"/>
        <v>0.78473391214455845</v>
      </c>
      <c r="Z124" s="541">
        <f t="shared" si="109"/>
        <v>0.7538350385717949</v>
      </c>
      <c r="AA124" s="541">
        <f t="shared" si="109"/>
        <v>0.69345390512343075</v>
      </c>
      <c r="AB124" s="541">
        <f t="shared" si="109"/>
        <v>0.67241978218078047</v>
      </c>
      <c r="AC124" s="541">
        <f t="shared" si="109"/>
        <v>0.65480344770166554</v>
      </c>
      <c r="AD124" s="541">
        <f t="shared" si="109"/>
        <v>0.64384424211573177</v>
      </c>
    </row>
    <row r="125" spans="2:30" s="278" customFormat="1" ht="11.25" customHeight="1">
      <c r="C125" s="540" t="s">
        <v>397</v>
      </c>
      <c r="D125" s="540"/>
      <c r="E125" s="541">
        <f>E118/E$121</f>
        <v>0.15310315865254823</v>
      </c>
      <c r="F125" s="541">
        <f t="shared" ref="F125:T125" si="110">F118/F$121</f>
        <v>0.12661430823262634</v>
      </c>
      <c r="G125" s="541">
        <f t="shared" si="110"/>
        <v>0.11623582168293325</v>
      </c>
      <c r="H125" s="541">
        <f t="shared" si="110"/>
        <v>0.12061703096539164</v>
      </c>
      <c r="I125" s="541">
        <f t="shared" si="110"/>
        <v>0.14602489573101016</v>
      </c>
      <c r="J125" s="541">
        <f t="shared" si="110"/>
        <v>4.0981207189274629E-2</v>
      </c>
      <c r="K125" s="541">
        <f t="shared" si="110"/>
        <v>5.7624804992199685E-2</v>
      </c>
      <c r="L125" s="541">
        <f t="shared" si="110"/>
        <v>0.14244859869351881</v>
      </c>
      <c r="M125" s="541">
        <f t="shared" si="110"/>
        <v>0.20826713271899161</v>
      </c>
      <c r="N125" s="541">
        <f t="shared" si="110"/>
        <v>0.15509119237466779</v>
      </c>
      <c r="O125" s="541">
        <f t="shared" si="110"/>
        <v>0.12654023007314558</v>
      </c>
      <c r="P125" s="541">
        <f t="shared" si="110"/>
        <v>0.1488094263971852</v>
      </c>
      <c r="Q125" s="541">
        <f t="shared" si="110"/>
        <v>0.17318126081333043</v>
      </c>
      <c r="R125" s="541">
        <f t="shared" si="110"/>
        <v>0.17017966155117914</v>
      </c>
      <c r="S125" s="541">
        <f t="shared" si="110"/>
        <v>0.1587846499902292</v>
      </c>
      <c r="T125" s="541">
        <f t="shared" si="110"/>
        <v>0.14487941331224716</v>
      </c>
      <c r="U125" s="253"/>
      <c r="V125" s="541">
        <f t="shared" si="109"/>
        <v>0.1363578824780374</v>
      </c>
      <c r="W125" s="541">
        <f t="shared" si="109"/>
        <v>0.1364738667063754</v>
      </c>
      <c r="X125" s="541">
        <f t="shared" si="109"/>
        <v>0.12857082725333932</v>
      </c>
      <c r="Y125" s="541">
        <f t="shared" si="109"/>
        <v>0.11366446178239401</v>
      </c>
      <c r="Z125" s="541">
        <f t="shared" si="109"/>
        <v>0.15452956394061579</v>
      </c>
      <c r="AA125" s="541">
        <f t="shared" si="109"/>
        <v>0.16136878493039181</v>
      </c>
      <c r="AB125" s="541">
        <f t="shared" si="109"/>
        <v>0.15324051332478225</v>
      </c>
      <c r="AC125" s="541">
        <f t="shared" si="109"/>
        <v>0.15100235257825786</v>
      </c>
      <c r="AD125" s="541">
        <f t="shared" si="109"/>
        <v>0.14707437316801039</v>
      </c>
    </row>
    <row r="126" spans="2:30" s="278" customFormat="1" ht="11.25" customHeight="1">
      <c r="C126" s="540" t="s">
        <v>398</v>
      </c>
      <c r="D126" s="540"/>
      <c r="E126" s="541">
        <f>E119/E$121</f>
        <v>0.10236373998860127</v>
      </c>
      <c r="F126" s="541">
        <f t="shared" si="109"/>
        <v>0.16451425568983161</v>
      </c>
      <c r="G126" s="541">
        <f t="shared" si="109"/>
        <v>0.18351358480611973</v>
      </c>
      <c r="H126" s="541">
        <f t="shared" si="109"/>
        <v>0.13336748633879783</v>
      </c>
      <c r="I126" s="541">
        <f t="shared" si="109"/>
        <v>0.1004686065798161</v>
      </c>
      <c r="J126" s="541">
        <f t="shared" si="109"/>
        <v>4.7830923248053388E-2</v>
      </c>
      <c r="K126" s="541">
        <f t="shared" si="109"/>
        <v>5.93798751950078E-2</v>
      </c>
      <c r="L126" s="541">
        <f t="shared" si="109"/>
        <v>4.1181251693308059E-2</v>
      </c>
      <c r="M126" s="541">
        <f t="shared" si="109"/>
        <v>3.0478762842919182E-2</v>
      </c>
      <c r="N126" s="541">
        <f t="shared" si="109"/>
        <v>7.3962056640087981E-2</v>
      </c>
      <c r="O126" s="541">
        <f t="shared" si="109"/>
        <v>9.8754725008590935E-2</v>
      </c>
      <c r="P126" s="541">
        <f t="shared" si="109"/>
        <v>8.4395712298502595E-2</v>
      </c>
      <c r="Q126" s="541">
        <f t="shared" si="109"/>
        <v>0.1071674533452035</v>
      </c>
      <c r="R126" s="541">
        <f t="shared" si="109"/>
        <v>0.11498250069134906</v>
      </c>
      <c r="S126" s="541">
        <f t="shared" si="109"/>
        <v>0.13498684059168134</v>
      </c>
      <c r="T126" s="541">
        <f t="shared" si="109"/>
        <v>0.1225837329108167</v>
      </c>
      <c r="U126" s="253"/>
      <c r="V126" s="541">
        <f t="shared" si="109"/>
        <v>0.13784074099525123</v>
      </c>
      <c r="W126" s="541">
        <f t="shared" si="109"/>
        <v>0.13890247966701413</v>
      </c>
      <c r="X126" s="541">
        <f t="shared" si="109"/>
        <v>0.14735450106633741</v>
      </c>
      <c r="Y126" s="541">
        <f t="shared" si="109"/>
        <v>7.160169592154618E-2</v>
      </c>
      <c r="Z126" s="541">
        <f t="shared" si="109"/>
        <v>7.6341855641270662E-2</v>
      </c>
      <c r="AA126" s="541">
        <f t="shared" si="109"/>
        <v>0.12057752457593343</v>
      </c>
      <c r="AB126" s="541">
        <f t="shared" si="109"/>
        <v>0.13538016928441687</v>
      </c>
      <c r="AC126" s="541">
        <f t="shared" si="109"/>
        <v>0.14883433549778005</v>
      </c>
      <c r="AD126" s="541">
        <f t="shared" si="109"/>
        <v>0.14833397886520314</v>
      </c>
    </row>
    <row r="127" spans="2:30" s="278" customFormat="1" ht="11.25" customHeight="1">
      <c r="C127" s="540" t="s">
        <v>399</v>
      </c>
      <c r="D127" s="540"/>
      <c r="E127" s="541">
        <f>E120/E$121</f>
        <v>6.5377808441071494E-2</v>
      </c>
      <c r="F127" s="541">
        <f t="shared" si="109"/>
        <v>5.8308675091949896E-2</v>
      </c>
      <c r="G127" s="541">
        <f t="shared" si="109"/>
        <v>5.6343972566605116E-2</v>
      </c>
      <c r="H127" s="541">
        <f t="shared" si="109"/>
        <v>6.1987704918032793E-2</v>
      </c>
      <c r="I127" s="541">
        <f t="shared" si="109"/>
        <v>4.1127876455337442E-2</v>
      </c>
      <c r="J127" s="541">
        <f t="shared" si="109"/>
        <v>7.6107956208652898E-3</v>
      </c>
      <c r="K127" s="541">
        <f t="shared" si="109"/>
        <v>2.8731149245969839E-2</v>
      </c>
      <c r="L127" s="541">
        <f t="shared" si="109"/>
        <v>2.1885065775610345E-2</v>
      </c>
      <c r="M127" s="541">
        <f t="shared" si="109"/>
        <v>2.1078275606397627E-2</v>
      </c>
      <c r="N127" s="541">
        <f t="shared" si="109"/>
        <v>1.8733388323710017E-2</v>
      </c>
      <c r="O127" s="541">
        <f t="shared" si="109"/>
        <v>1.3712752205004008E-2</v>
      </c>
      <c r="P127" s="541">
        <f t="shared" si="109"/>
        <v>1.0228295556828412E-2</v>
      </c>
      <c r="Q127" s="541">
        <f t="shared" si="109"/>
        <v>1.6293484286026238E-2</v>
      </c>
      <c r="R127" s="541">
        <f t="shared" si="109"/>
        <v>1.8809154948423876E-2</v>
      </c>
      <c r="S127" s="541">
        <f t="shared" si="109"/>
        <v>2.9603471478247132E-2</v>
      </c>
      <c r="T127" s="541">
        <f t="shared" si="109"/>
        <v>3.2372464677152296E-2</v>
      </c>
      <c r="U127" s="253"/>
      <c r="V127" s="541">
        <f t="shared" si="109"/>
        <v>6.8055972483932692E-2</v>
      </c>
      <c r="W127" s="541">
        <f t="shared" si="109"/>
        <v>6.9071879852794144E-2</v>
      </c>
      <c r="X127" s="541">
        <f t="shared" si="109"/>
        <v>6.0346279043663707E-2</v>
      </c>
      <c r="Y127" s="541">
        <f t="shared" si="109"/>
        <v>2.9999930151501399E-2</v>
      </c>
      <c r="Z127" s="541">
        <f t="shared" si="109"/>
        <v>1.5293541846318785E-2</v>
      </c>
      <c r="AA127" s="541">
        <f t="shared" si="109"/>
        <v>2.4599785370243842E-2</v>
      </c>
      <c r="AB127" s="541">
        <f t="shared" si="109"/>
        <v>3.8959535210020504E-2</v>
      </c>
      <c r="AC127" s="541">
        <f t="shared" si="109"/>
        <v>4.5359864222296695E-2</v>
      </c>
      <c r="AD127" s="541">
        <f t="shared" si="109"/>
        <v>6.0747405851054648E-2</v>
      </c>
    </row>
    <row r="128" spans="2:30" ht="11.25" customHeight="1">
      <c r="C128" s="289"/>
      <c r="U128" s="277"/>
    </row>
    <row r="129" spans="2:30" ht="11.25" customHeight="1">
      <c r="B129" s="604"/>
      <c r="C129" s="605" t="s">
        <v>548</v>
      </c>
      <c r="D129" s="604"/>
      <c r="E129" s="606">
        <f>SUMIF(Info!$X$8:$X$67,E$6,Info!$Z$8:$Z$67)</f>
        <v>293.17357600000003</v>
      </c>
      <c r="F129" s="606">
        <f>SUMIF(Info!$X$8:$X$67,F$6,Info!$Z$8:$Z$67)</f>
        <v>322.32858799999997</v>
      </c>
      <c r="G129" s="606">
        <f>SUMIF(Info!$X$8:$X$67,G$6,Info!$Z$8:$Z$67)</f>
        <v>332.26616200000001</v>
      </c>
      <c r="H129" s="606">
        <f>SUMIF(Info!$X$8:$X$67,H$6,Info!$Z$8:$Z$67)</f>
        <v>311.70819500000005</v>
      </c>
      <c r="I129" s="606">
        <f>SUMIF(Info!$X$8:$X$67,I$6,Info!$Z$8:$Z$67)</f>
        <v>280.09299800000002</v>
      </c>
      <c r="J129" s="606">
        <f>SUMIF(Info!$X$8:$X$67,J$6,Info!$Z$8:$Z$67)</f>
        <v>69.511411999999993</v>
      </c>
      <c r="K129" s="606">
        <f>SUMIF(Info!$X$8:$X$67,K$6,Info!$Z$8:$Z$67)</f>
        <v>141.68097799999998</v>
      </c>
      <c r="L129" s="606">
        <f>SUMIF(Info!$X$8:$X$67,L$6,Info!$Z$8:$Z$67)</f>
        <v>163.252016</v>
      </c>
      <c r="M129" s="606">
        <f>SUMIF(Info!$X$8:$X$67,M$6,Info!$Z$8:$Z$67)</f>
        <v>183.83295699999999</v>
      </c>
      <c r="N129" s="606">
        <f>SUMIF(Info!$X$8:$X$67,N$6,Info!$Z$8:$Z$67)</f>
        <v>233.48962</v>
      </c>
      <c r="O129" s="606">
        <f>SUMIF(Info!$X$8:$X$67,O$6,Info!$Z$8:$Z$67)</f>
        <v>271.30579599999999</v>
      </c>
      <c r="P129" s="606">
        <f>SUMIF(Info!$X$8:$X$67,P$6,Info!$Z$8:$Z$67)</f>
        <v>266.49204600000002</v>
      </c>
      <c r="Q129" s="607"/>
      <c r="R129" s="607"/>
      <c r="S129" s="607"/>
      <c r="T129" s="607"/>
      <c r="U129" s="277"/>
      <c r="V129" s="606">
        <f>SUMIF(Info!$X$8:$X$67,V$6,Info!$AA$8:$AA$67)</f>
        <v>1167.9958409999999</v>
      </c>
      <c r="W129" s="606">
        <f>SUMIF(Info!$X$8:$X$67,W$6,Info!$AA$8:$AA$67)</f>
        <v>1220.4833229999999</v>
      </c>
      <c r="X129" s="606">
        <f>SUMIF(Info!$X$8:$X$67,X$6,Info!$AA$8:$AA$67)</f>
        <v>1259.4765209999998</v>
      </c>
      <c r="Y129" s="606">
        <f>SUMIF(Info!$X$8:$X$67,Y$6,Info!$AA$8:$AA$67)</f>
        <v>654.53740400000004</v>
      </c>
      <c r="Z129" s="606">
        <f>SUMIF(Info!$X$8:$X$67,Z$6,Info!$AA$8:$AA$67)</f>
        <v>955.12041900000008</v>
      </c>
      <c r="AA129" s="607"/>
      <c r="AB129" s="607"/>
      <c r="AC129" s="607"/>
      <c r="AD129" s="607"/>
    </row>
    <row r="130" spans="2:30" s="278" customFormat="1" ht="11.25" customHeight="1">
      <c r="B130" s="608"/>
      <c r="C130" s="609" t="s">
        <v>550</v>
      </c>
      <c r="D130" s="608"/>
      <c r="E130" s="610">
        <f t="shared" ref="E130:P130" si="111">E121/E129</f>
        <v>0.22742158727156225</v>
      </c>
      <c r="F130" s="610">
        <f t="shared" si="111"/>
        <v>0.22437352035308764</v>
      </c>
      <c r="G130" s="610">
        <f t="shared" si="111"/>
        <v>0.22819055525732412</v>
      </c>
      <c r="H130" s="610">
        <f t="shared" si="111"/>
        <v>0.2254416185625148</v>
      </c>
      <c r="I130" s="610">
        <f t="shared" si="111"/>
        <v>0.22170850554429067</v>
      </c>
      <c r="J130" s="610">
        <f t="shared" si="111"/>
        <v>0.24572943504585984</v>
      </c>
      <c r="K130" s="610">
        <f t="shared" si="111"/>
        <v>0.21716394419581156</v>
      </c>
      <c r="L130" s="610">
        <f t="shared" si="111"/>
        <v>0.20348293891819377</v>
      </c>
      <c r="M130" s="610">
        <f t="shared" si="111"/>
        <v>0.20542562452498658</v>
      </c>
      <c r="N130" s="610">
        <f t="shared" si="111"/>
        <v>0.23365064365602206</v>
      </c>
      <c r="O130" s="610">
        <f t="shared" si="111"/>
        <v>0.22524767587346348</v>
      </c>
      <c r="P130" s="610">
        <f t="shared" si="111"/>
        <v>0.22929389794995977</v>
      </c>
      <c r="Q130" s="611"/>
      <c r="R130" s="611"/>
      <c r="S130" s="611"/>
      <c r="T130" s="611"/>
      <c r="V130" s="610">
        <f>V121/V129</f>
        <v>0.23672430182908502</v>
      </c>
      <c r="W130" s="610">
        <f>W121/W129</f>
        <v>0.2311002491264684</v>
      </c>
      <c r="X130" s="610">
        <f>X121/X129</f>
        <v>0.22635435853432639</v>
      </c>
      <c r="Y130" s="610">
        <f>Y121/Y129</f>
        <v>0.21873005136922621</v>
      </c>
      <c r="Z130" s="610">
        <f>Z121/Z129</f>
        <v>0.224615656552098</v>
      </c>
      <c r="AA130" s="611"/>
      <c r="AB130" s="611"/>
      <c r="AC130" s="611"/>
      <c r="AD130" s="611"/>
    </row>
    <row r="132" spans="2:30" s="278" customFormat="1" ht="11.25" customHeight="1">
      <c r="C132" s="392" t="s">
        <v>394</v>
      </c>
    </row>
    <row r="133" spans="2:30" s="278" customFormat="1" ht="11.25" customHeight="1">
      <c r="C133" s="278" t="s">
        <v>396</v>
      </c>
      <c r="I133" s="297">
        <f t="shared" ref="I133:L137" si="112">I117/E117-1</f>
        <v>-2.3055518749171777E-2</v>
      </c>
      <c r="J133" s="297">
        <f t="shared" si="112"/>
        <v>-0.67196599362380449</v>
      </c>
      <c r="K133" s="297">
        <f t="shared" si="112"/>
        <v>-0.46162512033755965</v>
      </c>
      <c r="L133" s="297">
        <f t="shared" si="112"/>
        <v>-0.45094449529832736</v>
      </c>
      <c r="M133" s="297">
        <f t="shared" ref="M133:P137" si="113">M117/E117-1</f>
        <v>-0.3827127777041649</v>
      </c>
      <c r="N133" s="297">
        <f t="shared" si="113"/>
        <v>-0.12780021253985119</v>
      </c>
      <c r="O133" s="297">
        <f t="shared" si="113"/>
        <v>-4.7438602240838845E-2</v>
      </c>
      <c r="P133" s="297">
        <f t="shared" si="113"/>
        <v>-3.8237496879420796E-2</v>
      </c>
      <c r="Q133" s="297">
        <f>Q117/E117-1</f>
        <v>-7.5283777218320691E-2</v>
      </c>
      <c r="R133" s="296">
        <v>-5.0000000000000001E-3</v>
      </c>
      <c r="S133" s="296">
        <v>0</v>
      </c>
      <c r="T133" s="296">
        <v>-0.02</v>
      </c>
      <c r="W133" s="297">
        <f t="shared" ref="W133:Y137" si="114">W117/V117-1</f>
        <v>1.6710472776060969E-2</v>
      </c>
      <c r="X133" s="297">
        <f t="shared" si="114"/>
        <v>2.3363854170610265E-2</v>
      </c>
      <c r="Y133" s="297">
        <f t="shared" si="114"/>
        <v>-0.40626040450055767</v>
      </c>
      <c r="Z133" s="297">
        <f t="shared" ref="Z133:AA137" si="115">Z117/$X117-1</f>
        <v>-0.14531685172364595</v>
      </c>
      <c r="AA133" s="297">
        <f t="shared" si="115"/>
        <v>-2.4339846000179799E-2</v>
      </c>
      <c r="AB133" s="296">
        <v>0.02</v>
      </c>
      <c r="AC133" s="296">
        <v>0.05</v>
      </c>
      <c r="AD133" s="296">
        <v>0.06</v>
      </c>
    </row>
    <row r="134" spans="2:30" s="278" customFormat="1" ht="11.25" customHeight="1">
      <c r="C134" s="278" t="s">
        <v>397</v>
      </c>
      <c r="I134" s="297">
        <f t="shared" si="112"/>
        <v>-0.11167711598746088</v>
      </c>
      <c r="J134" s="297">
        <f t="shared" si="112"/>
        <v>-0.92355574969968335</v>
      </c>
      <c r="K134" s="297">
        <f t="shared" si="112"/>
        <v>-0.79881992511063205</v>
      </c>
      <c r="L134" s="297">
        <f t="shared" si="112"/>
        <v>-0.44171779141104295</v>
      </c>
      <c r="M134" s="297">
        <f t="shared" si="113"/>
        <v>-0.22952586206896552</v>
      </c>
      <c r="N134" s="297">
        <f t="shared" si="113"/>
        <v>-7.6007426012886237E-2</v>
      </c>
      <c r="O134" s="297">
        <f t="shared" si="113"/>
        <v>-0.12254623851129021</v>
      </c>
      <c r="P134" s="297">
        <f t="shared" si="113"/>
        <v>7.2793770646531364E-2</v>
      </c>
      <c r="Q134" s="297">
        <f>Q118/E118-1</f>
        <v>9.99216300940442E-3</v>
      </c>
      <c r="R134" s="296">
        <v>0.25</v>
      </c>
      <c r="S134" s="296">
        <v>0.3</v>
      </c>
      <c r="T134" s="296">
        <v>0.15</v>
      </c>
      <c r="W134" s="297">
        <f t="shared" si="114"/>
        <v>2.0980319346453946E-2</v>
      </c>
      <c r="X134" s="297">
        <f t="shared" si="114"/>
        <v>-4.7774920115345565E-2</v>
      </c>
      <c r="Y134" s="297">
        <f t="shared" si="114"/>
        <v>-0.55603754024117436</v>
      </c>
      <c r="Z134" s="297">
        <f t="shared" si="115"/>
        <v>-9.5542096360560991E-2</v>
      </c>
      <c r="AA134" s="297">
        <f t="shared" si="115"/>
        <v>0.1720562557974572</v>
      </c>
      <c r="AB134" s="296">
        <v>0.2</v>
      </c>
      <c r="AC134" s="296">
        <v>0.25</v>
      </c>
      <c r="AD134" s="296">
        <v>0.25</v>
      </c>
    </row>
    <row r="135" spans="2:30" s="278" customFormat="1" ht="11.25" customHeight="1">
      <c r="C135" s="278" t="s">
        <v>398</v>
      </c>
      <c r="I135" s="297">
        <f t="shared" si="112"/>
        <v>-8.5860805860805911E-2</v>
      </c>
      <c r="J135" s="297">
        <f t="shared" si="112"/>
        <v>-0.93133299714237683</v>
      </c>
      <c r="K135" s="297">
        <f t="shared" si="112"/>
        <v>-0.86869340232858994</v>
      </c>
      <c r="L135" s="297">
        <f t="shared" si="112"/>
        <v>-0.85403329065300893</v>
      </c>
      <c r="M135" s="297">
        <f t="shared" si="113"/>
        <v>-0.83135531135531138</v>
      </c>
      <c r="N135" s="297">
        <f t="shared" si="113"/>
        <v>-0.66086737266767526</v>
      </c>
      <c r="O135" s="297">
        <f t="shared" si="113"/>
        <v>-0.56626419433663933</v>
      </c>
      <c r="P135" s="297">
        <f t="shared" si="113"/>
        <v>-0.44974391805377723</v>
      </c>
      <c r="Q135" s="297">
        <f>Q119/E119-1</f>
        <v>-6.5201465201465192E-2</v>
      </c>
      <c r="R135" s="296">
        <v>-0.35</v>
      </c>
      <c r="S135" s="296">
        <v>-0.3</v>
      </c>
      <c r="T135" s="296">
        <v>-0.12</v>
      </c>
      <c r="W135" s="297">
        <f t="shared" si="114"/>
        <v>2.7970193115029351E-2</v>
      </c>
      <c r="X135" s="297">
        <f t="shared" si="114"/>
        <v>7.2259941804073691E-2</v>
      </c>
      <c r="Y135" s="297">
        <f t="shared" si="114"/>
        <v>-0.75598086124401909</v>
      </c>
      <c r="Z135" s="297">
        <f t="shared" si="115"/>
        <v>-0.61013116236996834</v>
      </c>
      <c r="AA135" s="297">
        <f t="shared" si="115"/>
        <v>-0.23585755433359523</v>
      </c>
      <c r="AB135" s="296">
        <v>-7.4999999999999997E-2</v>
      </c>
      <c r="AC135" s="296">
        <v>7.4999999999999997E-2</v>
      </c>
      <c r="AD135" s="296">
        <v>0.1</v>
      </c>
    </row>
    <row r="136" spans="2:30" s="278" customFormat="1" ht="11.25" customHeight="1">
      <c r="C136" s="278" t="s">
        <v>399</v>
      </c>
      <c r="I136" s="297">
        <f t="shared" si="112"/>
        <v>-0.41408579949529711</v>
      </c>
      <c r="J136" s="297">
        <f t="shared" si="112"/>
        <v>-0.96917239743893768</v>
      </c>
      <c r="K136" s="297">
        <f t="shared" si="112"/>
        <v>-0.79307116104868913</v>
      </c>
      <c r="L136" s="297">
        <f t="shared" si="112"/>
        <v>-0.83310376492194671</v>
      </c>
      <c r="M136" s="297">
        <f t="shared" si="113"/>
        <v>-0.81738930947465016</v>
      </c>
      <c r="N136" s="297">
        <f t="shared" si="113"/>
        <v>-0.75764761678918657</v>
      </c>
      <c r="O136" s="297">
        <f t="shared" si="113"/>
        <v>-0.80383895131086147</v>
      </c>
      <c r="P136" s="297">
        <f t="shared" si="113"/>
        <v>-0.85651974288337929</v>
      </c>
      <c r="Q136" s="297">
        <f>Q120/E120-1</f>
        <v>-0.77747189722413401</v>
      </c>
      <c r="R136" s="296">
        <v>-0.7</v>
      </c>
      <c r="S136" s="296">
        <v>-0.5</v>
      </c>
      <c r="T136" s="296">
        <v>-0.5</v>
      </c>
      <c r="W136" s="297">
        <f t="shared" si="114"/>
        <v>3.5340383695594335E-2</v>
      </c>
      <c r="X136" s="297">
        <f t="shared" si="114"/>
        <v>-0.11692844677137859</v>
      </c>
      <c r="Y136" s="297">
        <f t="shared" si="114"/>
        <v>-0.75034875610323182</v>
      </c>
      <c r="Z136" s="297">
        <f t="shared" si="115"/>
        <v>-0.80928853754940711</v>
      </c>
      <c r="AA136" s="297">
        <f t="shared" si="115"/>
        <v>-0.61932690072076269</v>
      </c>
      <c r="AB136" s="296">
        <v>-0.35</v>
      </c>
      <c r="AC136" s="296">
        <v>-0.2</v>
      </c>
      <c r="AD136" s="296">
        <v>0.1</v>
      </c>
    </row>
    <row r="137" spans="2:30" s="278" customFormat="1" ht="11.25" customHeight="1">
      <c r="C137" s="479" t="s">
        <v>393</v>
      </c>
      <c r="I137" s="480">
        <f t="shared" si="112"/>
        <v>-6.8617452080271146E-2</v>
      </c>
      <c r="J137" s="480">
        <f t="shared" si="112"/>
        <v>-0.76382013771743029</v>
      </c>
      <c r="K137" s="480">
        <f t="shared" si="112"/>
        <v>-0.59419678185175417</v>
      </c>
      <c r="L137" s="480">
        <f t="shared" si="112"/>
        <v>-0.52727971311475419</v>
      </c>
      <c r="M137" s="480">
        <f t="shared" si="113"/>
        <v>-0.43360230374658781</v>
      </c>
      <c r="N137" s="480">
        <f t="shared" si="113"/>
        <v>-0.24566521943530306</v>
      </c>
      <c r="O137" s="480">
        <f t="shared" si="113"/>
        <v>-0.1939989448694277</v>
      </c>
      <c r="P137" s="480">
        <f t="shared" si="113"/>
        <v>-0.1304502504553734</v>
      </c>
      <c r="Q137" s="480">
        <f>Q121/E121-1</f>
        <v>-0.10710321864594885</v>
      </c>
      <c r="R137" s="480">
        <f>R121/F121-1</f>
        <v>-6.9995298802577266E-2</v>
      </c>
      <c r="S137" s="480">
        <f>S121/G121-1</f>
        <v>-4.8355315220258599E-2</v>
      </c>
      <c r="T137" s="480">
        <f>T121/H121-1</f>
        <v>-4.2585951730418903E-2</v>
      </c>
      <c r="W137" s="480">
        <f t="shared" si="114"/>
        <v>2.0112624912746346E-2</v>
      </c>
      <c r="X137" s="480">
        <f t="shared" si="114"/>
        <v>1.075680543442048E-2</v>
      </c>
      <c r="Y137" s="480">
        <f t="shared" si="114"/>
        <v>-0.49781470984397813</v>
      </c>
      <c r="Z137" s="480">
        <f t="shared" si="115"/>
        <v>-0.24747797171399721</v>
      </c>
      <c r="AA137" s="480">
        <f t="shared" si="115"/>
        <v>-6.6162377932427852E-2</v>
      </c>
      <c r="AB137" s="480">
        <f>AB121/$X121-1</f>
        <v>6.8159480581433396E-3</v>
      </c>
      <c r="AC137" s="480">
        <f>AC121/$X121-1</f>
        <v>6.4311458216410156E-2</v>
      </c>
      <c r="AD137" s="480">
        <f>AD121/$X121-1</f>
        <v>9.2736488382534565E-2</v>
      </c>
    </row>
    <row r="139" spans="2:30" s="278" customFormat="1" ht="11.25" customHeight="1">
      <c r="C139" s="478" t="s">
        <v>402</v>
      </c>
      <c r="U139" s="424"/>
    </row>
    <row r="140" spans="2:30" s="654" customFormat="1" ht="3" customHeight="1">
      <c r="C140" s="655"/>
      <c r="U140" s="424"/>
    </row>
    <row r="141" spans="2:30" s="278" customFormat="1" ht="11.25" customHeight="1">
      <c r="C141" s="278" t="s">
        <v>396</v>
      </c>
      <c r="E141" s="297">
        <f t="shared" ref="E141:Q141" si="116">E149/E117</f>
        <v>0.83293582438938218</v>
      </c>
      <c r="F141" s="297">
        <f t="shared" si="116"/>
        <v>0.88155154091392129</v>
      </c>
      <c r="G141" s="297">
        <f t="shared" si="116"/>
        <v>0.85928186640994664</v>
      </c>
      <c r="H141" s="297">
        <f t="shared" si="116"/>
        <v>0.84122493134725806</v>
      </c>
      <c r="I141" s="297">
        <f t="shared" si="116"/>
        <v>0.72010488720104893</v>
      </c>
      <c r="J141" s="297">
        <f t="shared" si="116"/>
        <v>0.44084488790980952</v>
      </c>
      <c r="K141" s="297">
        <f t="shared" si="116"/>
        <v>0.62806269974128748</v>
      </c>
      <c r="L141" s="297">
        <f t="shared" si="116"/>
        <v>0.67880418308578361</v>
      </c>
      <c r="M141" s="297">
        <f t="shared" si="116"/>
        <v>0.66320835718374349</v>
      </c>
      <c r="N141" s="297">
        <f t="shared" si="116"/>
        <v>0.84974535175573274</v>
      </c>
      <c r="O141" s="297">
        <f t="shared" si="116"/>
        <v>0.83580260187076649</v>
      </c>
      <c r="P141" s="297">
        <f t="shared" si="116"/>
        <v>0.8354531689379191</v>
      </c>
      <c r="Q141" s="297">
        <f t="shared" si="116"/>
        <v>0.77930886251283638</v>
      </c>
      <c r="R141" s="296">
        <v>0.875</v>
      </c>
      <c r="S141" s="296">
        <v>0.88</v>
      </c>
      <c r="T141" s="296">
        <v>0.87</v>
      </c>
      <c r="U141" s="424"/>
      <c r="V141" s="297">
        <f t="shared" ref="V141:AA145" si="117">V149/V117</f>
        <v>0.83503975541894404</v>
      </c>
      <c r="W141" s="297">
        <f t="shared" si="117"/>
        <v>0.83691272626973356</v>
      </c>
      <c r="X141" s="297">
        <f t="shared" si="117"/>
        <v>0.85392741820411044</v>
      </c>
      <c r="Y141" s="297">
        <f t="shared" si="117"/>
        <v>0.6505055719727989</v>
      </c>
      <c r="Z141" s="297">
        <f t="shared" si="117"/>
        <v>0.80940985877173466</v>
      </c>
      <c r="AA141" s="297">
        <f t="shared" si="117"/>
        <v>0.85334252496500973</v>
      </c>
      <c r="AB141" s="296">
        <v>0.86</v>
      </c>
      <c r="AC141" s="296">
        <v>0.87</v>
      </c>
      <c r="AD141" s="296">
        <v>0.87</v>
      </c>
    </row>
    <row r="142" spans="2:30" s="278" customFormat="1" ht="11.25" customHeight="1">
      <c r="C142" s="278" t="s">
        <v>397</v>
      </c>
      <c r="E142" s="297">
        <f t="shared" ref="E142:Q142" si="118">E150/E118</f>
        <v>0.81808385579937315</v>
      </c>
      <c r="F142" s="297">
        <f t="shared" si="118"/>
        <v>0.85497433657311339</v>
      </c>
      <c r="G142" s="297">
        <f t="shared" si="118"/>
        <v>0.86406445024395773</v>
      </c>
      <c r="H142" s="297">
        <f t="shared" si="118"/>
        <v>0.85358659745162813</v>
      </c>
      <c r="I142" s="297">
        <f t="shared" si="118"/>
        <v>0.78473753859726514</v>
      </c>
      <c r="J142" s="297">
        <f t="shared" si="118"/>
        <v>0.28571428571428575</v>
      </c>
      <c r="K142" s="297">
        <f t="shared" si="118"/>
        <v>0.63902989283699951</v>
      </c>
      <c r="L142" s="297">
        <f t="shared" si="118"/>
        <v>0.62468300929839393</v>
      </c>
      <c r="M142" s="297">
        <f t="shared" si="118"/>
        <v>0.45467260012714555</v>
      </c>
      <c r="N142" s="297">
        <f t="shared" si="118"/>
        <v>0.70559035574991136</v>
      </c>
      <c r="O142" s="297">
        <f t="shared" si="118"/>
        <v>0.74473037630932371</v>
      </c>
      <c r="P142" s="297">
        <f t="shared" si="118"/>
        <v>0.7627845595513032</v>
      </c>
      <c r="Q142" s="297">
        <f t="shared" si="118"/>
        <v>0.74219204655674098</v>
      </c>
      <c r="R142" s="296">
        <v>0.87</v>
      </c>
      <c r="S142" s="296">
        <v>0.87</v>
      </c>
      <c r="T142" s="296">
        <v>0.87</v>
      </c>
      <c r="U142" s="424"/>
      <c r="V142" s="297">
        <f t="shared" si="117"/>
        <v>0.78841971248209652</v>
      </c>
      <c r="W142" s="297">
        <f t="shared" si="117"/>
        <v>0.79567713610266799</v>
      </c>
      <c r="X142" s="297">
        <f t="shared" si="117"/>
        <v>0.84656517706116652</v>
      </c>
      <c r="Y142" s="297">
        <f t="shared" si="117"/>
        <v>0.7008541756283414</v>
      </c>
      <c r="Z142" s="297">
        <f t="shared" si="117"/>
        <v>0.67087958494208488</v>
      </c>
      <c r="AA142" s="297">
        <f t="shared" si="117"/>
        <v>0.83932767387754592</v>
      </c>
      <c r="AB142" s="296">
        <v>0.84</v>
      </c>
      <c r="AC142" s="296">
        <v>0.85</v>
      </c>
      <c r="AD142" s="296">
        <f>AC142</f>
        <v>0.85</v>
      </c>
    </row>
    <row r="143" spans="2:30" s="278" customFormat="1" ht="11.25" customHeight="1">
      <c r="C143" s="278" t="s">
        <v>398</v>
      </c>
      <c r="E143" s="297">
        <f t="shared" ref="E143:Q143" si="119">E151/E119</f>
        <v>0.73875457875457873</v>
      </c>
      <c r="F143" s="297">
        <f t="shared" si="119"/>
        <v>0.82055807698772909</v>
      </c>
      <c r="G143" s="297">
        <f t="shared" si="119"/>
        <v>0.84138277993387967</v>
      </c>
      <c r="H143" s="297">
        <f t="shared" si="119"/>
        <v>0.81508749466495944</v>
      </c>
      <c r="I143" s="297">
        <f t="shared" si="119"/>
        <v>0.67078057380990541</v>
      </c>
      <c r="J143" s="297">
        <f t="shared" si="119"/>
        <v>0.2313341493268054</v>
      </c>
      <c r="K143" s="297">
        <f t="shared" si="119"/>
        <v>0.18719211822660101</v>
      </c>
      <c r="L143" s="297">
        <f t="shared" si="119"/>
        <v>0.19444444444444445</v>
      </c>
      <c r="M143" s="297">
        <f t="shared" si="119"/>
        <v>0.17289313640312773</v>
      </c>
      <c r="N143" s="297">
        <f t="shared" si="119"/>
        <v>0.23271375464684013</v>
      </c>
      <c r="O143" s="297">
        <f t="shared" si="119"/>
        <v>0.52410936205468095</v>
      </c>
      <c r="P143" s="297">
        <f t="shared" si="119"/>
        <v>0.61043242195074654</v>
      </c>
      <c r="Q143" s="297">
        <f t="shared" si="119"/>
        <v>0.5650470219435737</v>
      </c>
      <c r="R143" s="296">
        <v>0.8</v>
      </c>
      <c r="S143" s="296">
        <v>0.85</v>
      </c>
      <c r="T143" s="296">
        <v>0.86</v>
      </c>
      <c r="U143" s="424"/>
      <c r="V143" s="297">
        <f t="shared" si="117"/>
        <v>0.76978379513014272</v>
      </c>
      <c r="W143" s="297">
        <f t="shared" si="117"/>
        <v>0.77293378937158619</v>
      </c>
      <c r="X143" s="297">
        <f t="shared" si="117"/>
        <v>0.81294484515222931</v>
      </c>
      <c r="Y143" s="297">
        <f t="shared" si="117"/>
        <v>0.48600136572041747</v>
      </c>
      <c r="Z143" s="297">
        <f t="shared" si="117"/>
        <v>0.45481743802662106</v>
      </c>
      <c r="AA143" s="297">
        <f t="shared" si="117"/>
        <v>0.78388926651809332</v>
      </c>
      <c r="AB143" s="296">
        <v>0.8</v>
      </c>
      <c r="AC143" s="296">
        <f>AB143</f>
        <v>0.8</v>
      </c>
      <c r="AD143" s="296">
        <v>0.8</v>
      </c>
    </row>
    <row r="144" spans="2:30" s="278" customFormat="1" ht="11.25" customHeight="1">
      <c r="C144" s="278" t="s">
        <v>399</v>
      </c>
      <c r="E144" s="297">
        <f t="shared" ref="E144:Q144" si="120">E152/E120</f>
        <v>0.84698325303968802</v>
      </c>
      <c r="F144" s="297">
        <f t="shared" si="120"/>
        <v>0.85107896608963729</v>
      </c>
      <c r="G144" s="297">
        <f t="shared" si="120"/>
        <v>0.84293071161048683</v>
      </c>
      <c r="H144" s="297">
        <f t="shared" si="120"/>
        <v>0.82805325987144174</v>
      </c>
      <c r="I144" s="297">
        <f t="shared" si="120"/>
        <v>0.78856695379796393</v>
      </c>
      <c r="J144" s="297">
        <f t="shared" si="120"/>
        <v>0.29230769230769227</v>
      </c>
      <c r="K144" s="297">
        <f t="shared" si="120"/>
        <v>0.15610859728506787</v>
      </c>
      <c r="L144" s="297">
        <f t="shared" si="120"/>
        <v>0.22833562585969741</v>
      </c>
      <c r="M144" s="297">
        <f t="shared" si="120"/>
        <v>0.18969849246231155</v>
      </c>
      <c r="N144" s="297">
        <f t="shared" si="120"/>
        <v>0.23679060665362034</v>
      </c>
      <c r="O144" s="297">
        <f t="shared" si="120"/>
        <v>0.33174224343675424</v>
      </c>
      <c r="P144" s="297">
        <f t="shared" si="120"/>
        <v>0.44000000000000006</v>
      </c>
      <c r="Q144" s="297">
        <f t="shared" si="120"/>
        <v>0.41340206185567013</v>
      </c>
      <c r="R144" s="296">
        <v>0.7</v>
      </c>
      <c r="S144" s="296">
        <v>0.75</v>
      </c>
      <c r="T144" s="296">
        <v>0.75</v>
      </c>
      <c r="U144" s="424"/>
      <c r="V144" s="297">
        <f t="shared" si="117"/>
        <v>0.81952489769888925</v>
      </c>
      <c r="W144" s="297">
        <f t="shared" si="117"/>
        <v>0.79581151832460728</v>
      </c>
      <c r="X144" s="297">
        <f t="shared" si="117"/>
        <v>0.84218786328760753</v>
      </c>
      <c r="Y144" s="297">
        <f t="shared" si="117"/>
        <v>0.54854481955762502</v>
      </c>
      <c r="Z144" s="297">
        <f t="shared" si="117"/>
        <v>0.28832672965559281</v>
      </c>
      <c r="AA144" s="297">
        <f t="shared" si="117"/>
        <v>0.69048724252187321</v>
      </c>
      <c r="AB144" s="296">
        <v>0.7</v>
      </c>
      <c r="AC144" s="296">
        <v>0.75</v>
      </c>
      <c r="AD144" s="296">
        <v>0.75</v>
      </c>
    </row>
    <row r="145" spans="2:30" s="278" customFormat="1" ht="11.25" customHeight="1">
      <c r="C145" s="479" t="s">
        <v>999</v>
      </c>
      <c r="E145" s="480">
        <f t="shared" ref="E145:Q145" si="121">E153/E121</f>
        <v>0.82193958664546907</v>
      </c>
      <c r="F145" s="480">
        <f t="shared" si="121"/>
        <v>0.86637537678714638</v>
      </c>
      <c r="G145" s="480">
        <f t="shared" si="121"/>
        <v>0.85563175943022951</v>
      </c>
      <c r="H145" s="480">
        <f t="shared" si="121"/>
        <v>0.83841359289617501</v>
      </c>
      <c r="I145" s="480">
        <f t="shared" si="121"/>
        <v>0.72740301776196092</v>
      </c>
      <c r="J145" s="480">
        <f t="shared" si="121"/>
        <v>0.42333587026520703</v>
      </c>
      <c r="K145" s="480">
        <f t="shared" si="121"/>
        <v>0.58895605824232966</v>
      </c>
      <c r="L145" s="480">
        <f t="shared" si="121"/>
        <v>0.64128962340829054</v>
      </c>
      <c r="M145" s="480">
        <f t="shared" si="121"/>
        <v>0.59485224022878935</v>
      </c>
      <c r="N145" s="480">
        <f t="shared" si="121"/>
        <v>0.7702685363394739</v>
      </c>
      <c r="O145" s="480">
        <f t="shared" si="121"/>
        <v>0.78658506651830273</v>
      </c>
      <c r="P145" s="480">
        <f t="shared" si="121"/>
        <v>0.80160379674331084</v>
      </c>
      <c r="Q145" s="480">
        <f t="shared" si="121"/>
        <v>0.74395713301866184</v>
      </c>
      <c r="R145" s="480">
        <f>R153/R121</f>
        <v>0.86223381202441873</v>
      </c>
      <c r="S145" s="480">
        <f>S153/S121</f>
        <v>0.87051409699017512</v>
      </c>
      <c r="T145" s="480">
        <f>T153/T121</f>
        <v>0.86488946690963353</v>
      </c>
      <c r="U145" s="424"/>
      <c r="V145" s="480">
        <f t="shared" si="117"/>
        <v>0.81863193643238696</v>
      </c>
      <c r="W145" s="480">
        <f t="shared" si="117"/>
        <v>0.81955937515511235</v>
      </c>
      <c r="X145" s="480">
        <f t="shared" si="117"/>
        <v>0.8462334437086092</v>
      </c>
      <c r="Y145" s="480">
        <f t="shared" si="117"/>
        <v>0.64139082330425312</v>
      </c>
      <c r="Z145" s="480">
        <f t="shared" si="117"/>
        <v>0.75296338592770429</v>
      </c>
      <c r="AA145" s="480">
        <f t="shared" si="117"/>
        <v>0.83870025850227181</v>
      </c>
      <c r="AB145" s="480">
        <f>AB153/AB121</f>
        <v>0.84257885394283605</v>
      </c>
      <c r="AC145" s="480">
        <f>AC153/AC121</f>
        <v>0.85111836575691469</v>
      </c>
      <c r="AD145" s="480">
        <f>AD153/AD121</f>
        <v>0.84938544531394911</v>
      </c>
    </row>
    <row r="146" spans="2:30" s="278" customFormat="1" ht="11.25" customHeight="1">
      <c r="C146" s="479"/>
      <c r="E146" s="598"/>
      <c r="F146" s="598"/>
      <c r="G146" s="598"/>
      <c r="H146" s="598"/>
      <c r="I146" s="598"/>
      <c r="J146" s="598"/>
      <c r="K146" s="598"/>
      <c r="L146" s="598"/>
      <c r="M146" s="598"/>
      <c r="N146" s="598"/>
      <c r="O146" s="598"/>
      <c r="P146" s="598"/>
      <c r="Q146" s="598"/>
      <c r="R146" s="598"/>
      <c r="S146" s="598"/>
      <c r="T146" s="598"/>
      <c r="U146" s="424"/>
      <c r="V146" s="598"/>
      <c r="W146" s="598"/>
      <c r="X146" s="598"/>
      <c r="Y146" s="598"/>
      <c r="Z146" s="598"/>
      <c r="AA146" s="598"/>
      <c r="AB146" s="598"/>
      <c r="AC146" s="598"/>
      <c r="AD146" s="598"/>
    </row>
    <row r="147" spans="2:30" ht="11.25" customHeight="1">
      <c r="C147" s="397" t="s">
        <v>1000</v>
      </c>
    </row>
    <row r="148" spans="2:30" s="656" customFormat="1" ht="3" customHeight="1">
      <c r="C148" s="657"/>
    </row>
    <row r="149" spans="2:30" ht="11.25" customHeight="1">
      <c r="C149" s="253" t="s">
        <v>396</v>
      </c>
      <c r="E149" s="277">
        <v>37.716999999999999</v>
      </c>
      <c r="F149" s="277">
        <v>41.476999999999997</v>
      </c>
      <c r="G149" s="277">
        <v>41.951000000000001</v>
      </c>
      <c r="H149" s="277">
        <v>40.436</v>
      </c>
      <c r="I149" s="277">
        <v>31.856000000000002</v>
      </c>
      <c r="J149" s="277">
        <v>6.8040000000000003</v>
      </c>
      <c r="K149" s="277">
        <v>16.507999999999999</v>
      </c>
      <c r="L149" s="277">
        <v>17.914999999999999</v>
      </c>
      <c r="M149" s="277">
        <v>18.538</v>
      </c>
      <c r="N149" s="277">
        <v>34.871000000000002</v>
      </c>
      <c r="O149" s="277">
        <v>38.869</v>
      </c>
      <c r="P149" s="277">
        <v>38.622999999999998</v>
      </c>
      <c r="Q149" s="277">
        <v>32.631999999999998</v>
      </c>
      <c r="R149" s="254">
        <f t="shared" ref="R149:T152" si="122">R141*R117</f>
        <v>40.962906249999996</v>
      </c>
      <c r="S149" s="254">
        <f t="shared" si="122"/>
        <v>42.962479999999999</v>
      </c>
      <c r="T149" s="254">
        <f t="shared" si="122"/>
        <v>40.982776799999996</v>
      </c>
      <c r="U149" s="277"/>
      <c r="V149" s="277">
        <v>151.86199999999999</v>
      </c>
      <c r="W149" s="277">
        <v>154.74600000000001</v>
      </c>
      <c r="X149" s="254">
        <f t="shared" ref="X149:AA152" si="123">+SUMIF($E$5:$T$5,X$5,$E149:$T149)</f>
        <v>161.58099999999999</v>
      </c>
      <c r="Y149" s="254">
        <f t="shared" si="123"/>
        <v>73.082999999999998</v>
      </c>
      <c r="Z149" s="254">
        <f t="shared" si="123"/>
        <v>130.90100000000001</v>
      </c>
      <c r="AA149" s="254">
        <f t="shared" si="123"/>
        <v>157.54016304999999</v>
      </c>
      <c r="AB149" s="254">
        <f t="shared" ref="AB149:AD152" si="124">AB141*AB117</f>
        <v>165.98466120000001</v>
      </c>
      <c r="AC149" s="254">
        <f t="shared" si="124"/>
        <v>172.85338350000001</v>
      </c>
      <c r="AD149" s="254">
        <f t="shared" si="124"/>
        <v>174.49960620000002</v>
      </c>
    </row>
    <row r="150" spans="2:30" ht="11.25" customHeight="1">
      <c r="C150" s="253" t="s">
        <v>397</v>
      </c>
      <c r="E150" s="277">
        <v>8.3510000000000009</v>
      </c>
      <c r="F150" s="277">
        <v>7.8289999999999997</v>
      </c>
      <c r="G150" s="277">
        <v>7.6150000000000002</v>
      </c>
      <c r="H150" s="277">
        <v>7.2350000000000003</v>
      </c>
      <c r="I150" s="277">
        <v>7.1159999999999997</v>
      </c>
      <c r="J150" s="277">
        <v>0.2</v>
      </c>
      <c r="K150" s="277">
        <v>1.133</v>
      </c>
      <c r="L150" s="277">
        <v>2.956</v>
      </c>
      <c r="M150" s="277">
        <v>3.5760000000000001</v>
      </c>
      <c r="N150" s="277">
        <v>5.97</v>
      </c>
      <c r="O150" s="277">
        <v>5.7590000000000003</v>
      </c>
      <c r="P150" s="277">
        <v>6.9359999999999999</v>
      </c>
      <c r="Q150" s="277">
        <v>7.6520000000000001</v>
      </c>
      <c r="R150" s="254">
        <f t="shared" si="122"/>
        <v>9.9582374999999992</v>
      </c>
      <c r="S150" s="254">
        <f>S142*S118</f>
        <v>9.9675030000000007</v>
      </c>
      <c r="T150" s="254">
        <f t="shared" si="122"/>
        <v>8.4802379999999999</v>
      </c>
      <c r="U150" s="277"/>
      <c r="V150" s="277">
        <v>29.725000000000001</v>
      </c>
      <c r="W150" s="277">
        <v>30.628</v>
      </c>
      <c r="X150" s="254">
        <f t="shared" si="123"/>
        <v>31.03</v>
      </c>
      <c r="Y150" s="254">
        <f t="shared" si="123"/>
        <v>11.404999999999999</v>
      </c>
      <c r="Z150" s="254">
        <f t="shared" si="123"/>
        <v>22.241</v>
      </c>
      <c r="AA150" s="254">
        <f t="shared" si="123"/>
        <v>36.057978500000004</v>
      </c>
      <c r="AB150" s="254">
        <f t="shared" si="124"/>
        <v>36.947232</v>
      </c>
      <c r="AC150" s="254">
        <f t="shared" si="124"/>
        <v>38.944875000000003</v>
      </c>
      <c r="AD150" s="254">
        <f t="shared" si="124"/>
        <v>38.944875000000003</v>
      </c>
    </row>
    <row r="151" spans="2:30" ht="11.25" customHeight="1">
      <c r="C151" s="253" t="s">
        <v>398</v>
      </c>
      <c r="E151" s="277">
        <v>5.0419999999999998</v>
      </c>
      <c r="F151" s="277">
        <v>9.7629999999999999</v>
      </c>
      <c r="G151" s="277">
        <v>11.707000000000001</v>
      </c>
      <c r="H151" s="277">
        <v>7.6390000000000002</v>
      </c>
      <c r="I151" s="277">
        <v>4.1849999999999996</v>
      </c>
      <c r="J151" s="277">
        <v>0.189</v>
      </c>
      <c r="K151" s="277">
        <v>0.34200000000000003</v>
      </c>
      <c r="L151" s="277">
        <v>0.26600000000000001</v>
      </c>
      <c r="M151" s="277">
        <v>0.19900000000000001</v>
      </c>
      <c r="N151" s="277">
        <v>0.93899999999999995</v>
      </c>
      <c r="O151" s="277">
        <v>3.1629999999999998</v>
      </c>
      <c r="P151" s="277">
        <v>3.1480000000000001</v>
      </c>
      <c r="Q151" s="277">
        <v>3.605</v>
      </c>
      <c r="R151" s="254">
        <f t="shared" si="122"/>
        <v>6.18696</v>
      </c>
      <c r="S151" s="254">
        <f t="shared" si="122"/>
        <v>8.2788299999999992</v>
      </c>
      <c r="T151" s="254">
        <f t="shared" si="122"/>
        <v>7.0927296000000002</v>
      </c>
      <c r="U151" s="277"/>
      <c r="V151" s="277">
        <v>29.338000000000001</v>
      </c>
      <c r="W151" s="277">
        <v>30.282</v>
      </c>
      <c r="X151" s="254">
        <f t="shared" si="123"/>
        <v>34.151000000000003</v>
      </c>
      <c r="Y151" s="254">
        <f t="shared" si="123"/>
        <v>4.9819999999999993</v>
      </c>
      <c r="Z151" s="254">
        <f t="shared" si="123"/>
        <v>7.4489999999999998</v>
      </c>
      <c r="AA151" s="254">
        <f t="shared" si="123"/>
        <v>25.163519600000001</v>
      </c>
      <c r="AB151" s="254">
        <f t="shared" si="124"/>
        <v>31.086660000000002</v>
      </c>
      <c r="AC151" s="254">
        <f t="shared" si="124"/>
        <v>36.127740000000003</v>
      </c>
      <c r="AD151" s="254">
        <f t="shared" si="124"/>
        <v>36.967920000000007</v>
      </c>
    </row>
    <row r="152" spans="2:30" ht="11.25" customHeight="1">
      <c r="C152" s="253" t="s">
        <v>399</v>
      </c>
      <c r="E152" s="277">
        <v>3.6920000000000002</v>
      </c>
      <c r="F152" s="277">
        <v>3.589</v>
      </c>
      <c r="G152" s="277">
        <v>3.601</v>
      </c>
      <c r="H152" s="277">
        <v>3.6070000000000002</v>
      </c>
      <c r="I152" s="277">
        <v>2.0139999999999998</v>
      </c>
      <c r="J152" s="277">
        <v>3.7999999999999999E-2</v>
      </c>
      <c r="K152" s="277">
        <v>0.13800000000000001</v>
      </c>
      <c r="L152" s="277">
        <v>0.16600000000000001</v>
      </c>
      <c r="M152" s="277">
        <v>0.151</v>
      </c>
      <c r="N152" s="277">
        <v>0.24199999999999999</v>
      </c>
      <c r="O152" s="277">
        <v>0.27800000000000002</v>
      </c>
      <c r="P152" s="277">
        <v>0.27500000000000002</v>
      </c>
      <c r="Q152" s="277">
        <v>0.40100000000000002</v>
      </c>
      <c r="R152" s="254">
        <f t="shared" si="122"/>
        <v>0.88556999999999997</v>
      </c>
      <c r="S152" s="254">
        <f t="shared" si="122"/>
        <v>1.6020000000000001</v>
      </c>
      <c r="T152" s="254">
        <f t="shared" si="122"/>
        <v>1.6335</v>
      </c>
      <c r="U152" s="277"/>
      <c r="V152" s="277">
        <v>15.420999999999999</v>
      </c>
      <c r="W152" s="277">
        <v>15.504</v>
      </c>
      <c r="X152" s="254">
        <f t="shared" si="123"/>
        <v>14.489000000000001</v>
      </c>
      <c r="Y152" s="254">
        <f t="shared" si="123"/>
        <v>2.3559999999999994</v>
      </c>
      <c r="Z152" s="254">
        <f t="shared" si="123"/>
        <v>0.94600000000000006</v>
      </c>
      <c r="AA152" s="254">
        <f t="shared" si="123"/>
        <v>4.5220700000000003</v>
      </c>
      <c r="AB152" s="254">
        <f t="shared" si="124"/>
        <v>7.82782</v>
      </c>
      <c r="AC152" s="254">
        <f t="shared" si="124"/>
        <v>10.322400000000002</v>
      </c>
      <c r="AD152" s="254">
        <f t="shared" si="124"/>
        <v>14.193300000000001</v>
      </c>
    </row>
    <row r="153" spans="2:30" ht="11.25" customHeight="1">
      <c r="C153" s="289" t="s">
        <v>1001</v>
      </c>
      <c r="E153" s="358">
        <f t="shared" ref="E153:T153" si="125">SUM(E149:E152)</f>
        <v>54.802</v>
      </c>
      <c r="F153" s="358">
        <f t="shared" si="125"/>
        <v>62.657999999999994</v>
      </c>
      <c r="G153" s="358">
        <f t="shared" si="125"/>
        <v>64.874000000000009</v>
      </c>
      <c r="H153" s="358">
        <f t="shared" si="125"/>
        <v>58.917000000000002</v>
      </c>
      <c r="I153" s="358">
        <f t="shared" si="125"/>
        <v>45.171000000000006</v>
      </c>
      <c r="J153" s="358">
        <f t="shared" si="125"/>
        <v>7.2310000000000008</v>
      </c>
      <c r="K153" s="358">
        <f t="shared" si="125"/>
        <v>18.120999999999999</v>
      </c>
      <c r="L153" s="358">
        <f t="shared" si="125"/>
        <v>21.303000000000001</v>
      </c>
      <c r="M153" s="358">
        <f t="shared" si="125"/>
        <v>22.464000000000002</v>
      </c>
      <c r="N153" s="358">
        <f t="shared" si="125"/>
        <v>42.021999999999998</v>
      </c>
      <c r="O153" s="358">
        <f t="shared" si="125"/>
        <v>48.068999999999996</v>
      </c>
      <c r="P153" s="358">
        <f t="shared" si="125"/>
        <v>48.981999999999999</v>
      </c>
      <c r="Q153" s="358">
        <f t="shared" si="125"/>
        <v>44.29</v>
      </c>
      <c r="R153" s="358">
        <f t="shared" si="125"/>
        <v>57.993673749999999</v>
      </c>
      <c r="S153" s="358">
        <f t="shared" si="125"/>
        <v>62.810812999999996</v>
      </c>
      <c r="T153" s="358">
        <f t="shared" si="125"/>
        <v>58.189244399999993</v>
      </c>
      <c r="U153" s="277"/>
      <c r="V153" s="358">
        <f t="shared" ref="V153:AD153" si="126">SUM(V149:V152)</f>
        <v>226.34599999999998</v>
      </c>
      <c r="W153" s="358">
        <f t="shared" si="126"/>
        <v>231.16000000000003</v>
      </c>
      <c r="X153" s="358">
        <f t="shared" si="126"/>
        <v>241.251</v>
      </c>
      <c r="Y153" s="358">
        <f t="shared" si="126"/>
        <v>91.825999999999993</v>
      </c>
      <c r="Z153" s="358">
        <f t="shared" si="126"/>
        <v>161.53700000000001</v>
      </c>
      <c r="AA153" s="358">
        <f t="shared" si="126"/>
        <v>223.28373114999999</v>
      </c>
      <c r="AB153" s="358">
        <f t="shared" si="126"/>
        <v>241.84637319999999</v>
      </c>
      <c r="AC153" s="358">
        <f t="shared" si="126"/>
        <v>258.24839850000001</v>
      </c>
      <c r="AD153" s="358">
        <f t="shared" si="126"/>
        <v>264.60570120000006</v>
      </c>
    </row>
    <row r="154" spans="2:30" ht="11.25" customHeight="1">
      <c r="C154" s="289"/>
      <c r="E154" s="283"/>
      <c r="F154" s="283"/>
      <c r="G154" s="283"/>
      <c r="H154" s="283"/>
      <c r="I154" s="283"/>
      <c r="J154" s="283"/>
      <c r="K154" s="283"/>
      <c r="L154" s="283"/>
      <c r="M154" s="283"/>
      <c r="N154" s="283"/>
      <c r="O154" s="283"/>
      <c r="P154" s="283"/>
      <c r="Q154" s="283"/>
      <c r="R154" s="283"/>
      <c r="S154" s="283"/>
      <c r="T154" s="283"/>
      <c r="U154" s="277"/>
      <c r="V154" s="283"/>
      <c r="W154" s="283"/>
      <c r="X154" s="283"/>
      <c r="Y154" s="283"/>
      <c r="Z154" s="283"/>
    </row>
    <row r="155" spans="2:30" ht="11.25" customHeight="1">
      <c r="B155" s="604"/>
      <c r="C155" s="605" t="s">
        <v>554</v>
      </c>
      <c r="D155" s="604"/>
      <c r="E155" s="606">
        <f>SUMIF(Info!$X$8:$X$67,E$6,Info!$AD$8:$AD$67)</f>
        <v>238.94167999999999</v>
      </c>
      <c r="F155" s="606">
        <f>SUMIF(Info!$X$8:$X$67,F$6,Info!$AD$8:$AD$67)</f>
        <v>277.934909</v>
      </c>
      <c r="G155" s="606">
        <f>SUMIF(Info!$X$8:$X$67,G$6,Info!$AD$8:$AD$67)</f>
        <v>284.52064000000001</v>
      </c>
      <c r="H155" s="606">
        <f>SUMIF(Info!$X$8:$X$67,H$6,Info!$AD$8:$AD$67)</f>
        <v>259.60790700000001</v>
      </c>
      <c r="I155" s="606">
        <f>SUMIF(Info!$X$8:$X$67,I$6,Info!$AD$8:$AD$67)</f>
        <v>199.14042099999998</v>
      </c>
      <c r="J155" s="606">
        <f>SUMIF(Info!$X$8:$X$67,J$6,Info!$AD$8:$AD$67)</f>
        <v>25.597928</v>
      </c>
      <c r="K155" s="606">
        <f>SUMIF(Info!$X$8:$X$67,K$6,Info!$AD$8:$AD$67)</f>
        <v>69.709285999999992</v>
      </c>
      <c r="L155" s="606">
        <f>SUMIF(Info!$X$8:$X$67,L$6,Info!$AD$8:$AD$67)</f>
        <v>87.647578999999993</v>
      </c>
      <c r="M155" s="606">
        <f>SUMIF(Info!$X$8:$X$67,M$6,Info!$AD$8:$AD$67)</f>
        <v>108.73558800000001</v>
      </c>
      <c r="N155" s="606">
        <f>SUMIF(Info!$X$8:$X$67,N$6,Info!$AD$8:$AD$67)</f>
        <v>175.22572700000001</v>
      </c>
      <c r="O155" s="606">
        <f>SUMIF(Info!$X$8:$X$67,O$6,Info!$AD$8:$AD$67)</f>
        <v>211.78058999999999</v>
      </c>
      <c r="P155" s="606">
        <f>SUMIF(Info!$X$8:$X$67,P$6,Info!$AD$8:$AD$67)</f>
        <v>207.97623599999997</v>
      </c>
      <c r="Q155" s="607"/>
      <c r="R155" s="607"/>
      <c r="S155" s="607"/>
      <c r="T155" s="607"/>
      <c r="U155" s="277"/>
      <c r="V155" s="606">
        <f>SUMIF(Info!$X$8:$X$67,V$6,Info!$AE$8:$AE$67)</f>
        <v>969.90383900000006</v>
      </c>
      <c r="W155" s="606">
        <f>SUMIF(Info!$X$8:$X$67,W$6,Info!$AE$8:$AE$67)</f>
        <v>1016.9936430000001</v>
      </c>
      <c r="X155" s="606">
        <f>SUMIF(Info!$X$8:$X$67,X$6,Info!$AE$8:$AE$67)</f>
        <v>1061.0051359999998</v>
      </c>
      <c r="Y155" s="606">
        <f>SUMIF(Info!$X$8:$X$67,Y$6,Info!$AE$8:$AE$67)</f>
        <v>382.095214</v>
      </c>
      <c r="Z155" s="606">
        <f>SUMIF(Info!$X$8:$X$67,Z$6,Info!$AE$8:$AE$67)</f>
        <v>703.71814100000006</v>
      </c>
      <c r="AA155" s="607"/>
      <c r="AB155" s="607"/>
      <c r="AC155" s="607"/>
      <c r="AD155" s="607"/>
    </row>
    <row r="156" spans="2:30" s="278" customFormat="1" ht="11.25" customHeight="1">
      <c r="B156" s="608"/>
      <c r="C156" s="609" t="s">
        <v>550</v>
      </c>
      <c r="D156" s="608"/>
      <c r="E156" s="610">
        <f t="shared" ref="E156:P156" si="127">E153/E155</f>
        <v>0.22935303710930635</v>
      </c>
      <c r="F156" s="610">
        <f t="shared" si="127"/>
        <v>0.22544127409342449</v>
      </c>
      <c r="G156" s="610">
        <f t="shared" si="127"/>
        <v>0.22801157764863739</v>
      </c>
      <c r="H156" s="610">
        <f t="shared" si="127"/>
        <v>0.22694609220820072</v>
      </c>
      <c r="I156" s="610">
        <f t="shared" si="127"/>
        <v>0.22682989105461424</v>
      </c>
      <c r="J156" s="610">
        <f t="shared" si="127"/>
        <v>0.28248380103264609</v>
      </c>
      <c r="K156" s="610">
        <f t="shared" si="127"/>
        <v>0.25995102001188192</v>
      </c>
      <c r="L156" s="610">
        <f t="shared" si="127"/>
        <v>0.24305291992149608</v>
      </c>
      <c r="M156" s="610">
        <f t="shared" si="127"/>
        <v>0.20659289578679613</v>
      </c>
      <c r="N156" s="610">
        <f t="shared" si="127"/>
        <v>0.23981638267079353</v>
      </c>
      <c r="O156" s="610">
        <f t="shared" si="127"/>
        <v>0.22697547494791662</v>
      </c>
      <c r="P156" s="610">
        <f t="shared" si="127"/>
        <v>0.23551729246604888</v>
      </c>
      <c r="Q156" s="611"/>
      <c r="R156" s="611"/>
      <c r="S156" s="611"/>
      <c r="T156" s="611"/>
      <c r="V156" s="610">
        <f>V153/V155</f>
        <v>0.23336952685265117</v>
      </c>
      <c r="W156" s="610">
        <f>W153/W155</f>
        <v>0.22729738931121321</v>
      </c>
      <c r="X156" s="610">
        <f>X153/X155</f>
        <v>0.22737967217530985</v>
      </c>
      <c r="Y156" s="610">
        <f>Y153/Y155</f>
        <v>0.24032229830546895</v>
      </c>
      <c r="Z156" s="610">
        <f>Z153/Z155</f>
        <v>0.22954786950703321</v>
      </c>
      <c r="AA156" s="611"/>
      <c r="AB156" s="611"/>
      <c r="AC156" s="611"/>
      <c r="AD156" s="611"/>
    </row>
    <row r="158" spans="2:30" ht="11.25" customHeight="1">
      <c r="C158" s="397" t="s">
        <v>1002</v>
      </c>
      <c r="U158" s="277"/>
    </row>
    <row r="159" spans="2:30" s="656" customFormat="1" ht="3" customHeight="1">
      <c r="C159" s="657"/>
      <c r="U159" s="277"/>
    </row>
    <row r="160" spans="2:30" ht="11.25" customHeight="1">
      <c r="C160" s="253" t="s">
        <v>396</v>
      </c>
      <c r="E160" s="494">
        <f t="shared" ref="E160:Q160" si="128">E89/E149/10</f>
        <v>19.15846965559297</v>
      </c>
      <c r="F160" s="494">
        <f t="shared" si="128"/>
        <v>19.309496829568197</v>
      </c>
      <c r="G160" s="494">
        <f t="shared" si="128"/>
        <v>18.626492813043789</v>
      </c>
      <c r="H160" s="494">
        <f t="shared" si="128"/>
        <v>19.368879216539717</v>
      </c>
      <c r="I160" s="494">
        <f t="shared" si="128"/>
        <v>18.144148669010548</v>
      </c>
      <c r="J160" s="494">
        <f t="shared" si="128"/>
        <v>15.079365079365079</v>
      </c>
      <c r="K160" s="494">
        <f t="shared" si="128"/>
        <v>13.908408044584444</v>
      </c>
      <c r="L160" s="494">
        <f t="shared" si="128"/>
        <v>14.864638571029863</v>
      </c>
      <c r="M160" s="494">
        <f t="shared" si="128"/>
        <v>14.321933326140899</v>
      </c>
      <c r="N160" s="494">
        <f t="shared" si="128"/>
        <v>15.611826446043988</v>
      </c>
      <c r="O160" s="494">
        <f t="shared" si="128"/>
        <v>16.843757235843476</v>
      </c>
      <c r="P160" s="494">
        <f t="shared" si="128"/>
        <v>17.624213551510756</v>
      </c>
      <c r="Q160" s="494">
        <f t="shared" si="128"/>
        <v>18.570728119637167</v>
      </c>
      <c r="R160" s="494">
        <f t="shared" ref="R160:T163" si="129">(R167+1)*F160</f>
        <v>20.757709091785809</v>
      </c>
      <c r="S160" s="494">
        <f t="shared" si="129"/>
        <v>19.371552525565541</v>
      </c>
      <c r="T160" s="494">
        <f t="shared" si="129"/>
        <v>19.368879216539717</v>
      </c>
      <c r="U160" s="494"/>
      <c r="V160" s="494">
        <f t="shared" ref="V160:AA164" si="130">V89/V149/10</f>
        <v>18.931003147594527</v>
      </c>
      <c r="W160" s="494">
        <f t="shared" si="130"/>
        <v>19.110671681335866</v>
      </c>
      <c r="X160" s="494">
        <f t="shared" si="130"/>
        <v>19.111776755930464</v>
      </c>
      <c r="Y160" s="494">
        <f t="shared" si="130"/>
        <v>16.098134997194968</v>
      </c>
      <c r="Z160" s="494">
        <f t="shared" si="130"/>
        <v>16.388721247354869</v>
      </c>
      <c r="AA160" s="494">
        <f t="shared" si="130"/>
        <v>19.565401124153272</v>
      </c>
      <c r="AB160" s="494">
        <f t="shared" ref="AB160:AD163" si="131">(AB167+1)*$X160</f>
        <v>19.876247826167685</v>
      </c>
      <c r="AC160" s="494">
        <f t="shared" si="131"/>
        <v>19.971806709947334</v>
      </c>
      <c r="AD160" s="494">
        <f t="shared" si="131"/>
        <v>19.971806709947334</v>
      </c>
    </row>
    <row r="161" spans="3:30" ht="11.25" customHeight="1">
      <c r="C161" s="253" t="s">
        <v>397</v>
      </c>
      <c r="E161" s="494">
        <f t="shared" ref="E161:Q161" si="132">E90/E150/10</f>
        <v>16.417195545443658</v>
      </c>
      <c r="F161" s="494">
        <f t="shared" si="132"/>
        <v>15.851322007919276</v>
      </c>
      <c r="G161" s="494">
        <f t="shared" si="132"/>
        <v>15.994747209455022</v>
      </c>
      <c r="H161" s="494">
        <f t="shared" si="132"/>
        <v>16.821008984105042</v>
      </c>
      <c r="I161" s="494">
        <f t="shared" si="132"/>
        <v>16.582349634626194</v>
      </c>
      <c r="J161" s="494">
        <f t="shared" si="132"/>
        <v>17</v>
      </c>
      <c r="K161" s="494">
        <f t="shared" si="132"/>
        <v>15.180935569285083</v>
      </c>
      <c r="L161" s="494">
        <f t="shared" si="132"/>
        <v>15.764546684709066</v>
      </c>
      <c r="M161" s="494">
        <f t="shared" si="132"/>
        <v>13.478747203579417</v>
      </c>
      <c r="N161" s="494">
        <f t="shared" si="132"/>
        <v>15.678391959798995</v>
      </c>
      <c r="O161" s="494">
        <f t="shared" si="132"/>
        <v>16.617468310470567</v>
      </c>
      <c r="P161" s="494">
        <f t="shared" si="132"/>
        <v>16.306228373702421</v>
      </c>
      <c r="Q161" s="494">
        <f t="shared" si="132"/>
        <v>16.035023523261891</v>
      </c>
      <c r="R161" s="494">
        <f t="shared" si="129"/>
        <v>17.040171158513221</v>
      </c>
      <c r="S161" s="494">
        <f t="shared" si="129"/>
        <v>16.634537097833224</v>
      </c>
      <c r="T161" s="494">
        <f t="shared" si="129"/>
        <v>17.157429163787143</v>
      </c>
      <c r="U161" s="494"/>
      <c r="V161" s="494">
        <f t="shared" si="130"/>
        <v>16.282590412111016</v>
      </c>
      <c r="W161" s="494">
        <f t="shared" si="130"/>
        <v>16.73305472117017</v>
      </c>
      <c r="X161" s="494">
        <f t="shared" si="130"/>
        <v>16.264904930712213</v>
      </c>
      <c r="Y161" s="494">
        <f t="shared" si="130"/>
        <v>16.238491889522141</v>
      </c>
      <c r="Z161" s="494">
        <f t="shared" si="130"/>
        <v>15.763679690661391</v>
      </c>
      <c r="AA161" s="494">
        <f t="shared" si="130"/>
        <v>16.742312735042667</v>
      </c>
      <c r="AB161" s="494">
        <f t="shared" si="131"/>
        <v>16.915501127940701</v>
      </c>
      <c r="AC161" s="494">
        <f t="shared" si="131"/>
        <v>16.996825652594261</v>
      </c>
      <c r="AD161" s="494">
        <f t="shared" si="131"/>
        <v>16.996825652594261</v>
      </c>
    </row>
    <row r="162" spans="3:30" ht="11.25" customHeight="1">
      <c r="C162" s="253" t="s">
        <v>398</v>
      </c>
      <c r="E162" s="494">
        <f t="shared" ref="E162:Q162" si="133">E91/E151/10</f>
        <v>13.34787782625942</v>
      </c>
      <c r="F162" s="494">
        <f t="shared" si="133"/>
        <v>14.41155382566834</v>
      </c>
      <c r="G162" s="494">
        <f t="shared" si="133"/>
        <v>13.632869223541471</v>
      </c>
      <c r="H162" s="494">
        <f t="shared" si="133"/>
        <v>12.410001309071868</v>
      </c>
      <c r="I162" s="494">
        <f t="shared" si="133"/>
        <v>12.497013142174435</v>
      </c>
      <c r="J162" s="494">
        <f t="shared" si="133"/>
        <v>22.222222222222221</v>
      </c>
      <c r="K162" s="494">
        <f t="shared" si="133"/>
        <v>16.374269005847953</v>
      </c>
      <c r="L162" s="494">
        <f t="shared" si="133"/>
        <v>12.406015037593985</v>
      </c>
      <c r="M162" s="494">
        <f t="shared" si="133"/>
        <v>11.055276381909547</v>
      </c>
      <c r="N162" s="494">
        <f t="shared" si="133"/>
        <v>13.31203407880724</v>
      </c>
      <c r="O162" s="494">
        <f t="shared" si="133"/>
        <v>12.899146380018971</v>
      </c>
      <c r="P162" s="494">
        <f t="shared" si="133"/>
        <v>13.024142312579414</v>
      </c>
      <c r="Q162" s="494">
        <f t="shared" si="133"/>
        <v>12.926490984743413</v>
      </c>
      <c r="R162" s="494">
        <f t="shared" si="129"/>
        <v>15.492420362593466</v>
      </c>
      <c r="S162" s="494">
        <f t="shared" si="129"/>
        <v>14.178183992483131</v>
      </c>
      <c r="T162" s="494">
        <f t="shared" si="129"/>
        <v>12.658201335253306</v>
      </c>
      <c r="U162" s="494"/>
      <c r="V162" s="494">
        <f t="shared" si="130"/>
        <v>13.729633921876063</v>
      </c>
      <c r="W162" s="494">
        <f t="shared" si="130"/>
        <v>14.450828875239415</v>
      </c>
      <c r="X162" s="494">
        <f t="shared" si="130"/>
        <v>13.539867060993819</v>
      </c>
      <c r="Y162" s="494">
        <f t="shared" si="130"/>
        <v>13.127258129265357</v>
      </c>
      <c r="Z162" s="494">
        <f t="shared" si="130"/>
        <v>12.954759028057458</v>
      </c>
      <c r="AA162" s="494">
        <f t="shared" si="130"/>
        <v>13.893563576152161</v>
      </c>
      <c r="AB162" s="494">
        <f t="shared" si="131"/>
        <v>14.081461743433572</v>
      </c>
      <c r="AC162" s="494">
        <f t="shared" si="131"/>
        <v>14.14916107873854</v>
      </c>
      <c r="AD162" s="494">
        <f t="shared" si="131"/>
        <v>14.14916107873854</v>
      </c>
    </row>
    <row r="163" spans="3:30" ht="11.25" customHeight="1">
      <c r="C163" s="253" t="s">
        <v>399</v>
      </c>
      <c r="E163" s="494">
        <f t="shared" ref="E163:Q163" si="134">E92/E152/10</f>
        <v>10.509209100758396</v>
      </c>
      <c r="F163" s="494">
        <f t="shared" si="134"/>
        <v>9.8634717191418222</v>
      </c>
      <c r="G163" s="494">
        <f t="shared" si="134"/>
        <v>10.191613440710913</v>
      </c>
      <c r="H163" s="494">
        <f t="shared" si="134"/>
        <v>9.6756307180482395</v>
      </c>
      <c r="I163" s="494">
        <f t="shared" si="134"/>
        <v>9.8311817279046672</v>
      </c>
      <c r="J163" s="494">
        <f t="shared" si="134"/>
        <v>15.789473684210526</v>
      </c>
      <c r="K163" s="494">
        <f t="shared" si="134"/>
        <v>11.594202898550723</v>
      </c>
      <c r="L163" s="494">
        <f t="shared" si="134"/>
        <v>16.265060240963855</v>
      </c>
      <c r="M163" s="494">
        <f t="shared" si="134"/>
        <v>13.245033112582783</v>
      </c>
      <c r="N163" s="494">
        <f t="shared" si="134"/>
        <v>16.528925619834713</v>
      </c>
      <c r="O163" s="494">
        <f t="shared" si="134"/>
        <v>16.187050359712227</v>
      </c>
      <c r="P163" s="494">
        <f t="shared" si="134"/>
        <v>12.363636363636363</v>
      </c>
      <c r="Q163" s="494">
        <f t="shared" si="134"/>
        <v>16.209476309226932</v>
      </c>
      <c r="R163" s="494">
        <f t="shared" si="129"/>
        <v>14.302033992755641</v>
      </c>
      <c r="S163" s="494">
        <f t="shared" si="129"/>
        <v>14.268258816995278</v>
      </c>
      <c r="T163" s="494">
        <f t="shared" si="129"/>
        <v>12.578319933462712</v>
      </c>
      <c r="U163" s="494"/>
      <c r="V163" s="494">
        <f t="shared" si="130"/>
        <v>9.8177809480578428</v>
      </c>
      <c r="W163" s="494">
        <f t="shared" si="130"/>
        <v>10.3328173374613</v>
      </c>
      <c r="X163" s="494">
        <f t="shared" si="130"/>
        <v>10.062806266823106</v>
      </c>
      <c r="Y163" s="494">
        <f t="shared" si="130"/>
        <v>10.483870967741938</v>
      </c>
      <c r="Z163" s="494">
        <f t="shared" si="130"/>
        <v>14.693446088794925</v>
      </c>
      <c r="AA163" s="494">
        <f t="shared" si="130"/>
        <v>13.83655902697269</v>
      </c>
      <c r="AB163" s="494">
        <f t="shared" si="131"/>
        <v>14.087928773552347</v>
      </c>
      <c r="AC163" s="494">
        <f t="shared" si="131"/>
        <v>14.087928773552347</v>
      </c>
      <c r="AD163" s="494">
        <f t="shared" si="131"/>
        <v>14.087928773552347</v>
      </c>
    </row>
    <row r="164" spans="3:30" ht="11.25" customHeight="1">
      <c r="C164" s="289" t="s">
        <v>405</v>
      </c>
      <c r="E164" s="495">
        <f t="shared" ref="E164:Q164" si="135">E93/E153/10</f>
        <v>17.623444399839421</v>
      </c>
      <c r="F164" s="495">
        <f t="shared" si="135"/>
        <v>17.573175013565709</v>
      </c>
      <c r="G164" s="495">
        <f t="shared" si="135"/>
        <v>16.948238123130988</v>
      </c>
      <c r="H164" s="495">
        <f t="shared" si="135"/>
        <v>17.560296688561873</v>
      </c>
      <c r="I164" s="495">
        <f t="shared" si="135"/>
        <v>17.004272652808215</v>
      </c>
      <c r="J164" s="495">
        <f t="shared" si="135"/>
        <v>15.322915226109803</v>
      </c>
      <c r="K164" s="495">
        <f t="shared" si="135"/>
        <v>14.016886485293307</v>
      </c>
      <c r="L164" s="495">
        <f t="shared" si="135"/>
        <v>14.96972257428531</v>
      </c>
      <c r="M164" s="495">
        <f t="shared" si="135"/>
        <v>14.151531339031337</v>
      </c>
      <c r="N164" s="495">
        <f t="shared" si="135"/>
        <v>15.575174908381324</v>
      </c>
      <c r="O164" s="495">
        <f t="shared" si="135"/>
        <v>16.553287981859413</v>
      </c>
      <c r="P164" s="495">
        <f t="shared" si="135"/>
        <v>17.112408639908537</v>
      </c>
      <c r="Q164" s="495">
        <f t="shared" si="135"/>
        <v>17.651840144502145</v>
      </c>
      <c r="R164" s="495">
        <f>R93/R153/10</f>
        <v>19.459063847601744</v>
      </c>
      <c r="S164" s="495">
        <f>S93/S153/10</f>
        <v>18.122536671864744</v>
      </c>
      <c r="T164" s="495">
        <f>T93/T153/10</f>
        <v>18.037997095547162</v>
      </c>
      <c r="V164" s="495">
        <f t="shared" si="130"/>
        <v>17.28813409558817</v>
      </c>
      <c r="W164" s="495">
        <f t="shared" si="130"/>
        <v>17.596469977504757</v>
      </c>
      <c r="X164" s="495">
        <f t="shared" si="130"/>
        <v>17.41339932269711</v>
      </c>
      <c r="Y164" s="495">
        <f t="shared" si="130"/>
        <v>15.810336941606954</v>
      </c>
      <c r="Z164" s="495">
        <f t="shared" si="130"/>
        <v>16.134384072998756</v>
      </c>
      <c r="AA164" s="495">
        <f t="shared" si="130"/>
        <v>18.3542762502769</v>
      </c>
      <c r="AB164" s="495">
        <f>AB93/AB153/10</f>
        <v>18.491724853607529</v>
      </c>
      <c r="AC164" s="495">
        <f>AC93/AC153/10</f>
        <v>18.473423615451303</v>
      </c>
      <c r="AD164" s="495">
        <f>AD93/AD153/10</f>
        <v>18.404860094197339</v>
      </c>
    </row>
    <row r="165" spans="3:30" ht="11.25" customHeight="1">
      <c r="C165" s="289"/>
      <c r="E165" s="658"/>
      <c r="F165" s="658"/>
      <c r="G165" s="658"/>
      <c r="H165" s="658"/>
      <c r="I165" s="658"/>
      <c r="J165" s="658"/>
      <c r="K165" s="658"/>
      <c r="L165" s="658"/>
      <c r="M165" s="658"/>
      <c r="N165" s="658"/>
      <c r="O165" s="658"/>
      <c r="P165" s="658"/>
      <c r="Q165" s="658"/>
      <c r="R165" s="658"/>
      <c r="S165" s="658"/>
      <c r="T165" s="658"/>
      <c r="U165" s="277"/>
      <c r="V165" s="658"/>
      <c r="W165" s="658"/>
      <c r="X165" s="658"/>
      <c r="Y165" s="658"/>
      <c r="Z165" s="658"/>
      <c r="AA165" s="658"/>
      <c r="AB165" s="658"/>
      <c r="AC165" s="658"/>
      <c r="AD165" s="658"/>
    </row>
    <row r="166" spans="3:30" ht="11.25" customHeight="1">
      <c r="C166" s="481" t="s">
        <v>860</v>
      </c>
      <c r="E166" s="658"/>
      <c r="F166" s="658"/>
      <c r="G166" s="658"/>
      <c r="H166" s="658"/>
      <c r="I166" s="658"/>
      <c r="J166" s="658"/>
      <c r="K166" s="658"/>
      <c r="L166" s="658"/>
      <c r="M166" s="658"/>
      <c r="N166" s="658"/>
      <c r="O166" s="658"/>
      <c r="P166" s="658"/>
      <c r="Q166" s="658"/>
      <c r="R166" s="658"/>
      <c r="S166" s="658"/>
      <c r="T166" s="658"/>
      <c r="U166" s="277"/>
      <c r="V166" s="658"/>
      <c r="W166" s="658"/>
      <c r="X166" s="658"/>
      <c r="Y166" s="658"/>
      <c r="Z166" s="658"/>
      <c r="AA166" s="658"/>
      <c r="AB166" s="658"/>
      <c r="AC166" s="658"/>
      <c r="AD166" s="658"/>
    </row>
    <row r="167" spans="3:30" ht="11.25" customHeight="1">
      <c r="C167" s="253" t="s">
        <v>396</v>
      </c>
      <c r="E167" s="658"/>
      <c r="F167" s="658"/>
      <c r="G167" s="658"/>
      <c r="H167" s="658"/>
      <c r="I167" s="257">
        <f>I160/E160-1</f>
        <v>-5.2943737407873281E-2</v>
      </c>
      <c r="J167" s="257">
        <f t="shared" ref="J167:L171" si="136">J160/F160-1</f>
        <v>-0.21907001448766972</v>
      </c>
      <c r="K167" s="257">
        <f t="shared" si="136"/>
        <v>-0.25329968533611213</v>
      </c>
      <c r="L167" s="257">
        <f t="shared" si="136"/>
        <v>-0.2325504018664919</v>
      </c>
      <c r="M167" s="257">
        <f>M160/E160-1</f>
        <v>-0.25244899078043703</v>
      </c>
      <c r="N167" s="257">
        <f t="shared" ref="N167:P171" si="137">N160/F160-1</f>
        <v>-0.19149491134652707</v>
      </c>
      <c r="O167" s="257">
        <f t="shared" si="137"/>
        <v>-9.5709675197248933E-2</v>
      </c>
      <c r="P167" s="257">
        <f t="shared" si="137"/>
        <v>-9.0075716076495227E-2</v>
      </c>
      <c r="Q167" s="257">
        <f>Q160/E160-1</f>
        <v>-3.0677895809085309E-2</v>
      </c>
      <c r="R167" s="393">
        <v>7.4999999999999997E-2</v>
      </c>
      <c r="S167" s="393">
        <v>0.04</v>
      </c>
      <c r="T167" s="393">
        <v>0</v>
      </c>
      <c r="U167" s="277"/>
      <c r="V167" s="658"/>
      <c r="W167" s="658"/>
      <c r="X167" s="658"/>
      <c r="Y167" s="257">
        <f t="shared" ref="Y167:AA171" si="138">Y160/$X160-1</f>
        <v>-0.15768506493256051</v>
      </c>
      <c r="Z167" s="257">
        <f t="shared" si="138"/>
        <v>-0.14248050002627932</v>
      </c>
      <c r="AA167" s="257">
        <f t="shared" si="138"/>
        <v>2.373533209475398E-2</v>
      </c>
      <c r="AB167" s="393">
        <v>0.04</v>
      </c>
      <c r="AC167" s="393">
        <v>4.4999999999999998E-2</v>
      </c>
      <c r="AD167" s="393">
        <v>4.4999999999999998E-2</v>
      </c>
    </row>
    <row r="168" spans="3:30" ht="11.25" customHeight="1">
      <c r="C168" s="253" t="s">
        <v>397</v>
      </c>
      <c r="E168" s="658"/>
      <c r="F168" s="658"/>
      <c r="G168" s="658"/>
      <c r="H168" s="658"/>
      <c r="I168" s="257">
        <f>I161/E161-1</f>
        <v>1.0059823477486241E-2</v>
      </c>
      <c r="J168" s="257">
        <f t="shared" si="136"/>
        <v>7.2465753424657553E-2</v>
      </c>
      <c r="K168" s="257">
        <f t="shared" si="136"/>
        <v>-5.0879931362020403E-2</v>
      </c>
      <c r="L168" s="257">
        <f t="shared" si="136"/>
        <v>-6.2806119442316288E-2</v>
      </c>
      <c r="M168" s="257">
        <f>M161/E161-1</f>
        <v>-0.17898601096213185</v>
      </c>
      <c r="N168" s="257">
        <f t="shared" si="137"/>
        <v>-1.0909503196886994E-2</v>
      </c>
      <c r="O168" s="257">
        <f t="shared" si="137"/>
        <v>3.8932850445265732E-2</v>
      </c>
      <c r="P168" s="257">
        <f t="shared" si="137"/>
        <v>-3.0603432343984882E-2</v>
      </c>
      <c r="Q168" s="257">
        <f>Q161/E161-1</f>
        <v>-2.3278764093653814E-2</v>
      </c>
      <c r="R168" s="393">
        <v>7.4999999999999997E-2</v>
      </c>
      <c r="S168" s="393">
        <v>0.04</v>
      </c>
      <c r="T168" s="393">
        <v>0.02</v>
      </c>
      <c r="U168" s="277"/>
      <c r="V168" s="658"/>
      <c r="W168" s="658"/>
      <c r="X168" s="658"/>
      <c r="Y168" s="257">
        <f t="shared" si="138"/>
        <v>-1.6239284092093298E-3</v>
      </c>
      <c r="Z168" s="257">
        <f t="shared" si="138"/>
        <v>-3.0816364570590449E-2</v>
      </c>
      <c r="AA168" s="257">
        <f t="shared" si="138"/>
        <v>2.9352019354812686E-2</v>
      </c>
      <c r="AB168" s="393">
        <v>0.04</v>
      </c>
      <c r="AC168" s="393">
        <v>4.4999999999999998E-2</v>
      </c>
      <c r="AD168" s="393">
        <v>4.4999999999999998E-2</v>
      </c>
    </row>
    <row r="169" spans="3:30" ht="11.25" customHeight="1">
      <c r="C169" s="253" t="s">
        <v>398</v>
      </c>
      <c r="E169" s="658"/>
      <c r="F169" s="658"/>
      <c r="G169" s="658"/>
      <c r="H169" s="658"/>
      <c r="I169" s="257">
        <f>I162/E162-1</f>
        <v>-6.374531555953189E-2</v>
      </c>
      <c r="J169" s="257">
        <f t="shared" si="136"/>
        <v>0.54197267630103441</v>
      </c>
      <c r="K169" s="257">
        <f t="shared" si="136"/>
        <v>0.20108751410690462</v>
      </c>
      <c r="L169" s="257">
        <f t="shared" si="136"/>
        <v>-3.2121442847621307E-4</v>
      </c>
      <c r="M169" s="257">
        <f>M162/E162-1</f>
        <v>-0.17175774862425053</v>
      </c>
      <c r="N169" s="257">
        <f t="shared" si="137"/>
        <v>-7.6294323302096068E-2</v>
      </c>
      <c r="O169" s="257">
        <f t="shared" si="137"/>
        <v>-5.3820133641089618E-2</v>
      </c>
      <c r="P169" s="257">
        <f t="shared" si="137"/>
        <v>4.9487585715128235E-2</v>
      </c>
      <c r="Q169" s="257">
        <f>Q162/E162-1</f>
        <v>-3.1569575853249709E-2</v>
      </c>
      <c r="R169" s="393">
        <v>7.4999999999999997E-2</v>
      </c>
      <c r="S169" s="393">
        <v>0.04</v>
      </c>
      <c r="T169" s="393">
        <v>0.02</v>
      </c>
      <c r="U169" s="277"/>
      <c r="V169" s="658"/>
      <c r="W169" s="658"/>
      <c r="X169" s="658"/>
      <c r="Y169" s="257">
        <f t="shared" si="138"/>
        <v>-3.0473632412324148E-2</v>
      </c>
      <c r="Z169" s="257">
        <f t="shared" si="138"/>
        <v>-4.3213720659190491E-2</v>
      </c>
      <c r="AA169" s="257">
        <f t="shared" si="138"/>
        <v>2.6122598808764108E-2</v>
      </c>
      <c r="AB169" s="393">
        <v>0.04</v>
      </c>
      <c r="AC169" s="393">
        <v>4.4999999999999998E-2</v>
      </c>
      <c r="AD169" s="393">
        <v>4.4999999999999998E-2</v>
      </c>
    </row>
    <row r="170" spans="3:30" ht="11.25" customHeight="1">
      <c r="C170" s="253" t="s">
        <v>399</v>
      </c>
      <c r="E170" s="658"/>
      <c r="F170" s="658"/>
      <c r="G170" s="658"/>
      <c r="H170" s="658"/>
      <c r="I170" s="257">
        <f>I163/E163-1</f>
        <v>-6.4517450014844435E-2</v>
      </c>
      <c r="J170" s="257">
        <f t="shared" si="136"/>
        <v>0.60080285459411242</v>
      </c>
      <c r="K170" s="257">
        <f t="shared" si="136"/>
        <v>0.1376219247324566</v>
      </c>
      <c r="L170" s="257">
        <f t="shared" si="136"/>
        <v>0.68103358994718133</v>
      </c>
      <c r="M170" s="257">
        <f>M163/E163-1</f>
        <v>0.26032634669215571</v>
      </c>
      <c r="N170" s="257">
        <f t="shared" si="137"/>
        <v>0.67577158332166065</v>
      </c>
      <c r="O170" s="257">
        <f t="shared" si="137"/>
        <v>0.58827161703879383</v>
      </c>
      <c r="P170" s="257">
        <f t="shared" si="137"/>
        <v>0.2778119301901536</v>
      </c>
      <c r="Q170" s="257">
        <f>Q163/E163-1</f>
        <v>0.54240686942437732</v>
      </c>
      <c r="R170" s="393">
        <v>0.45</v>
      </c>
      <c r="S170" s="393">
        <v>0.4</v>
      </c>
      <c r="T170" s="393">
        <v>0.3</v>
      </c>
      <c r="U170" s="277"/>
      <c r="V170" s="658"/>
      <c r="W170" s="658"/>
      <c r="X170" s="658"/>
      <c r="Y170" s="257">
        <f t="shared" si="138"/>
        <v>4.1843665648922945E-2</v>
      </c>
      <c r="Z170" s="257">
        <f t="shared" si="138"/>
        <v>0.4601738023357318</v>
      </c>
      <c r="AA170" s="257">
        <f t="shared" si="138"/>
        <v>0.37501991592460437</v>
      </c>
      <c r="AB170" s="393">
        <v>0.4</v>
      </c>
      <c r="AC170" s="393">
        <v>0.4</v>
      </c>
      <c r="AD170" s="393">
        <v>0.4</v>
      </c>
    </row>
    <row r="171" spans="3:30" ht="11.25" customHeight="1">
      <c r="C171" s="289" t="s">
        <v>1003</v>
      </c>
      <c r="E171" s="658"/>
      <c r="F171" s="658"/>
      <c r="G171" s="658"/>
      <c r="H171" s="658"/>
      <c r="I171" s="659">
        <f>I164/E164-1</f>
        <v>-3.5133412798513342E-2</v>
      </c>
      <c r="J171" s="659">
        <f t="shared" si="136"/>
        <v>-0.12805083803688322</v>
      </c>
      <c r="K171" s="659">
        <f t="shared" si="136"/>
        <v>-0.17295907790184784</v>
      </c>
      <c r="L171" s="659">
        <f t="shared" si="136"/>
        <v>-0.14752450714366161</v>
      </c>
      <c r="M171" s="659">
        <f>M164/E164-1</f>
        <v>-0.19700536297204874</v>
      </c>
      <c r="N171" s="659">
        <f t="shared" si="137"/>
        <v>-0.11369602269607049</v>
      </c>
      <c r="O171" s="659">
        <f t="shared" si="137"/>
        <v>-2.3303315566032046E-2</v>
      </c>
      <c r="P171" s="659">
        <f t="shared" si="137"/>
        <v>-2.550572217524516E-2</v>
      </c>
      <c r="Q171" s="659">
        <f>Q164/E164-1</f>
        <v>1.6112482905432657E-3</v>
      </c>
      <c r="R171" s="659">
        <f>R164/F164-1</f>
        <v>0.10731634053494665</v>
      </c>
      <c r="S171" s="659">
        <f>S164/G164-1</f>
        <v>6.9287352478902831E-2</v>
      </c>
      <c r="T171" s="659">
        <f>T164/H164-1</f>
        <v>2.7203435992994685E-2</v>
      </c>
      <c r="U171" s="277"/>
      <c r="V171" s="658"/>
      <c r="W171" s="658"/>
      <c r="X171" s="658"/>
      <c r="Y171" s="659">
        <f t="shared" si="138"/>
        <v>-9.2059129374049364E-2</v>
      </c>
      <c r="Z171" s="659">
        <f t="shared" si="138"/>
        <v>-7.3450061415133883E-2</v>
      </c>
      <c r="AA171" s="659">
        <f t="shared" si="138"/>
        <v>5.4031778066067959E-2</v>
      </c>
      <c r="AB171" s="659">
        <f>AB164/$X164-1</f>
        <v>6.1925044669761897E-2</v>
      </c>
      <c r="AC171" s="659">
        <f>AC164/$X164-1</f>
        <v>6.0874058712506951E-2</v>
      </c>
      <c r="AD171" s="659">
        <f>AD164/$X164-1</f>
        <v>5.6936658553963682E-2</v>
      </c>
    </row>
    <row r="172" spans="3:30" ht="11.25" customHeight="1">
      <c r="C172" s="289"/>
      <c r="E172" s="658"/>
      <c r="F172" s="658"/>
      <c r="G172" s="658"/>
      <c r="H172" s="658"/>
      <c r="I172" s="658"/>
      <c r="J172" s="658"/>
      <c r="K172" s="658"/>
      <c r="L172" s="658"/>
      <c r="M172" s="658"/>
      <c r="N172" s="658"/>
      <c r="O172" s="658"/>
      <c r="P172" s="658"/>
      <c r="Q172" s="658"/>
      <c r="R172" s="658"/>
      <c r="S172" s="658"/>
      <c r="T172" s="658"/>
      <c r="U172" s="277"/>
      <c r="V172" s="658"/>
      <c r="W172" s="658"/>
      <c r="X172" s="658"/>
      <c r="Y172" s="658"/>
      <c r="Z172" s="658"/>
      <c r="AA172" s="658"/>
      <c r="AB172" s="658"/>
      <c r="AC172" s="658"/>
      <c r="AD172" s="658"/>
    </row>
    <row r="173" spans="3:30" ht="11.25" customHeight="1">
      <c r="C173" s="397" t="s">
        <v>1004</v>
      </c>
    </row>
    <row r="174" spans="3:30" ht="11.25" customHeight="1">
      <c r="C174" s="380" t="s">
        <v>396</v>
      </c>
      <c r="E174" s="494">
        <f t="shared" ref="E174:T174" si="139">E89/E117/10</f>
        <v>15.957775716620294</v>
      </c>
      <c r="F174" s="494">
        <f t="shared" si="139"/>
        <v>17.022316684378321</v>
      </c>
      <c r="G174" s="494">
        <f t="shared" si="139"/>
        <v>16.005407509063723</v>
      </c>
      <c r="H174" s="494">
        <f t="shared" si="139"/>
        <v>16.293584089206956</v>
      </c>
      <c r="I174" s="494">
        <f t="shared" si="139"/>
        <v>13.0656901306569</v>
      </c>
      <c r="J174" s="494">
        <f t="shared" si="139"/>
        <v>6.6476610081637943</v>
      </c>
      <c r="K174" s="494">
        <f t="shared" si="139"/>
        <v>8.7353523055851472</v>
      </c>
      <c r="L174" s="494">
        <f t="shared" si="139"/>
        <v>10.090178842073355</v>
      </c>
      <c r="M174" s="494">
        <f t="shared" si="139"/>
        <v>9.4984258729250151</v>
      </c>
      <c r="N174" s="494">
        <f t="shared" si="139"/>
        <v>13.266076954943099</v>
      </c>
      <c r="O174" s="494">
        <f t="shared" si="139"/>
        <v>14.078056122997527</v>
      </c>
      <c r="P174" s="494">
        <f t="shared" si="139"/>
        <v>14.724205061648281</v>
      </c>
      <c r="Q174" s="494">
        <f t="shared" si="139"/>
        <v>14.472333006949587</v>
      </c>
      <c r="R174" s="494">
        <f t="shared" si="139"/>
        <v>18.162995455312579</v>
      </c>
      <c r="S174" s="494">
        <f t="shared" si="139"/>
        <v>17.04696622249768</v>
      </c>
      <c r="T174" s="494">
        <f t="shared" si="139"/>
        <v>16.850924918389552</v>
      </c>
      <c r="U174" s="494"/>
      <c r="V174" s="494">
        <f t="shared" ref="V174:AD174" si="140">V89/V117/10</f>
        <v>15.808140238202594</v>
      </c>
      <c r="W174" s="494">
        <f t="shared" si="140"/>
        <v>15.99396433767259</v>
      </c>
      <c r="X174" s="494">
        <f t="shared" si="140"/>
        <v>16.320070182485033</v>
      </c>
      <c r="Y174" s="494">
        <f t="shared" si="140"/>
        <v>10.471926514045645</v>
      </c>
      <c r="Z174" s="494">
        <f t="shared" si="140"/>
        <v>13.265192550270834</v>
      </c>
      <c r="AA174" s="494">
        <f t="shared" si="140"/>
        <v>16.695988797238194</v>
      </c>
      <c r="AB174" s="494">
        <f t="shared" si="140"/>
        <v>17.093573130504208</v>
      </c>
      <c r="AC174" s="494">
        <f t="shared" si="140"/>
        <v>17.375471837654182</v>
      </c>
      <c r="AD174" s="494">
        <f t="shared" si="140"/>
        <v>17.375471837654182</v>
      </c>
    </row>
    <row r="175" spans="3:30" ht="11.25" customHeight="1">
      <c r="C175" s="380" t="s">
        <v>397</v>
      </c>
      <c r="E175" s="494">
        <f t="shared" ref="E175:T175" si="141">E90/E118/10</f>
        <v>13.430642633228839</v>
      </c>
      <c r="F175" s="494">
        <f t="shared" si="141"/>
        <v>13.552473517527574</v>
      </c>
      <c r="G175" s="494">
        <f t="shared" si="141"/>
        <v>13.820492454328832</v>
      </c>
      <c r="H175" s="494">
        <f t="shared" si="141"/>
        <v>14.358187824445491</v>
      </c>
      <c r="I175" s="494">
        <f t="shared" si="141"/>
        <v>13.01279223643582</v>
      </c>
      <c r="J175" s="494">
        <f t="shared" si="141"/>
        <v>4.8571428571428577</v>
      </c>
      <c r="K175" s="494">
        <f t="shared" si="141"/>
        <v>9.7010716300056394</v>
      </c>
      <c r="L175" s="494">
        <f t="shared" si="141"/>
        <v>9.8478444632290785</v>
      </c>
      <c r="M175" s="494">
        <f t="shared" si="141"/>
        <v>6.1284170375079459</v>
      </c>
      <c r="N175" s="494">
        <f t="shared" si="141"/>
        <v>11.062522160501121</v>
      </c>
      <c r="O175" s="494">
        <f t="shared" si="141"/>
        <v>12.375533428165008</v>
      </c>
      <c r="P175" s="494">
        <f t="shared" si="141"/>
        <v>12.438139227977565</v>
      </c>
      <c r="Q175" s="494">
        <f t="shared" si="141"/>
        <v>11.901066925315227</v>
      </c>
      <c r="R175" s="494">
        <f t="shared" si="141"/>
        <v>14.824948907906503</v>
      </c>
      <c r="S175" s="494">
        <f t="shared" si="141"/>
        <v>14.472047275114903</v>
      </c>
      <c r="T175" s="494">
        <f t="shared" si="141"/>
        <v>14.926963372494814</v>
      </c>
      <c r="U175" s="494"/>
      <c r="V175" s="494">
        <f t="shared" ref="V175:AD175" si="142">V90/V118/10</f>
        <v>12.83751525118031</v>
      </c>
      <c r="W175" s="494">
        <f t="shared" si="142"/>
        <v>13.31410905878991</v>
      </c>
      <c r="X175" s="494">
        <f t="shared" si="142"/>
        <v>13.769302122551426</v>
      </c>
      <c r="Y175" s="494">
        <f t="shared" si="142"/>
        <v>11.380814846678547</v>
      </c>
      <c r="Z175" s="494">
        <f t="shared" si="142"/>
        <v>10.575530888030887</v>
      </c>
      <c r="AA175" s="494">
        <f t="shared" si="142"/>
        <v>14.052286403233774</v>
      </c>
      <c r="AB175" s="494">
        <f t="shared" si="142"/>
        <v>14.209020947470188</v>
      </c>
      <c r="AC175" s="494">
        <f t="shared" si="142"/>
        <v>14.447301804705123</v>
      </c>
      <c r="AD175" s="494">
        <f t="shared" si="142"/>
        <v>14.447301804705123</v>
      </c>
    </row>
    <row r="176" spans="3:30" ht="11.25" customHeight="1">
      <c r="C176" s="380" t="s">
        <v>398</v>
      </c>
      <c r="E176" s="494">
        <f t="shared" ref="E176:T176" si="143">E91/E119/10</f>
        <v>9.8608058608058595</v>
      </c>
      <c r="F176" s="494">
        <f t="shared" si="143"/>
        <v>11.825516893595562</v>
      </c>
      <c r="G176" s="494">
        <f t="shared" si="143"/>
        <v>11.470461405778353</v>
      </c>
      <c r="H176" s="494">
        <f t="shared" si="143"/>
        <v>10.115236875800257</v>
      </c>
      <c r="I176" s="494">
        <f t="shared" si="143"/>
        <v>8.3827536464176955</v>
      </c>
      <c r="J176" s="494">
        <f t="shared" si="143"/>
        <v>5.1407588739290091</v>
      </c>
      <c r="K176" s="494">
        <f t="shared" si="143"/>
        <v>3.0651340996168583</v>
      </c>
      <c r="L176" s="494">
        <f t="shared" si="143"/>
        <v>2.4122807017543857</v>
      </c>
      <c r="M176" s="494">
        <f t="shared" si="143"/>
        <v>1.9113814074717639</v>
      </c>
      <c r="N176" s="494">
        <f t="shared" si="143"/>
        <v>3.0978934324659231</v>
      </c>
      <c r="O176" s="494">
        <f t="shared" si="143"/>
        <v>6.76056338028169</v>
      </c>
      <c r="P176" s="494">
        <f t="shared" si="143"/>
        <v>7.9503587356990497</v>
      </c>
      <c r="Q176" s="494">
        <f t="shared" si="143"/>
        <v>7.3040752351097185</v>
      </c>
      <c r="R176" s="494">
        <f t="shared" si="143"/>
        <v>12.393936290074771</v>
      </c>
      <c r="S176" s="494">
        <f t="shared" si="143"/>
        <v>12.05145639361066</v>
      </c>
      <c r="T176" s="494">
        <f t="shared" si="143"/>
        <v>10.886053148317842</v>
      </c>
      <c r="U176" s="494"/>
      <c r="V176" s="494">
        <f t="shared" ref="V176:AD176" si="144">V91/V119/10</f>
        <v>10.568849706129303</v>
      </c>
      <c r="W176" s="494">
        <f t="shared" si="144"/>
        <v>11.169533922099138</v>
      </c>
      <c r="X176" s="494">
        <f t="shared" si="144"/>
        <v>11.007165131281393</v>
      </c>
      <c r="Y176" s="494">
        <f t="shared" si="144"/>
        <v>6.3798653789874162</v>
      </c>
      <c r="Z176" s="494">
        <f t="shared" si="144"/>
        <v>5.8920503113933318</v>
      </c>
      <c r="AA176" s="494">
        <f t="shared" si="144"/>
        <v>10.891015361032416</v>
      </c>
      <c r="AB176" s="494">
        <f t="shared" si="144"/>
        <v>11.265169394746858</v>
      </c>
      <c r="AC176" s="494">
        <f t="shared" si="144"/>
        <v>11.319328862990833</v>
      </c>
      <c r="AD176" s="494">
        <f t="shared" si="144"/>
        <v>11.319328862990833</v>
      </c>
    </row>
    <row r="177" spans="2:30" ht="11.25" customHeight="1">
      <c r="C177" s="380" t="s">
        <v>399</v>
      </c>
      <c r="E177" s="494">
        <f t="shared" ref="E177:T177" si="145">E92/E120/10</f>
        <v>8.9011241110346404</v>
      </c>
      <c r="F177" s="494">
        <f t="shared" si="145"/>
        <v>8.3945933127815984</v>
      </c>
      <c r="G177" s="494">
        <f t="shared" si="145"/>
        <v>8.5908239700374516</v>
      </c>
      <c r="H177" s="494">
        <f t="shared" si="145"/>
        <v>8.0119375573921037</v>
      </c>
      <c r="I177" s="494">
        <f t="shared" si="145"/>
        <v>7.7525450274079883</v>
      </c>
      <c r="J177" s="494">
        <f t="shared" si="145"/>
        <v>4.615384615384615</v>
      </c>
      <c r="K177" s="494">
        <f t="shared" si="145"/>
        <v>1.8099547511312217</v>
      </c>
      <c r="L177" s="494">
        <f t="shared" si="145"/>
        <v>3.7138927097661623</v>
      </c>
      <c r="M177" s="494">
        <f t="shared" si="145"/>
        <v>2.5125628140703515</v>
      </c>
      <c r="N177" s="494">
        <f t="shared" si="145"/>
        <v>3.9138943248532287</v>
      </c>
      <c r="O177" s="494">
        <f t="shared" si="145"/>
        <v>5.3699284009546542</v>
      </c>
      <c r="P177" s="494">
        <f t="shared" si="145"/>
        <v>5.4399999999999995</v>
      </c>
      <c r="Q177" s="494">
        <f t="shared" si="145"/>
        <v>6.7010309278350517</v>
      </c>
      <c r="R177" s="494">
        <f t="shared" si="145"/>
        <v>10.011423794928948</v>
      </c>
      <c r="S177" s="494">
        <f t="shared" si="145"/>
        <v>10.701194112746458</v>
      </c>
      <c r="T177" s="494">
        <f t="shared" si="145"/>
        <v>9.4337399500970349</v>
      </c>
      <c r="U177" s="494"/>
      <c r="V177" s="494">
        <f t="shared" ref="V177:AD177" si="146">V92/V120/10</f>
        <v>8.0459159270872078</v>
      </c>
      <c r="W177" s="494">
        <f t="shared" si="146"/>
        <v>8.2229750538959046</v>
      </c>
      <c r="X177" s="494">
        <f t="shared" si="146"/>
        <v>8.4747733085328996</v>
      </c>
      <c r="Y177" s="494">
        <f t="shared" si="146"/>
        <v>5.7508731082654254</v>
      </c>
      <c r="Z177" s="494">
        <f t="shared" si="146"/>
        <v>4.2365132581530016</v>
      </c>
      <c r="AA177" s="494">
        <f t="shared" si="146"/>
        <v>9.5539674885255064</v>
      </c>
      <c r="AB177" s="494">
        <f t="shared" si="146"/>
        <v>9.8615501414866422</v>
      </c>
      <c r="AC177" s="494">
        <f t="shared" si="146"/>
        <v>10.56594658016426</v>
      </c>
      <c r="AD177" s="494">
        <f t="shared" si="146"/>
        <v>10.56594658016426</v>
      </c>
    </row>
    <row r="178" spans="2:30" ht="11.25" customHeight="1">
      <c r="C178" s="398" t="s">
        <v>400</v>
      </c>
      <c r="E178" s="495">
        <f t="shared" ref="E178:T178" si="147">E93/E121/10</f>
        <v>14.485406605273422</v>
      </c>
      <c r="F178" s="495">
        <f t="shared" si="147"/>
        <v>15.224966123724457</v>
      </c>
      <c r="G178" s="495">
        <f t="shared" si="147"/>
        <v>14.501450804537061</v>
      </c>
      <c r="H178" s="495">
        <f t="shared" si="147"/>
        <v>14.722791438979964</v>
      </c>
      <c r="I178" s="495">
        <f t="shared" si="147"/>
        <v>12.36895924249988</v>
      </c>
      <c r="J178" s="495">
        <f t="shared" si="147"/>
        <v>6.4867396522451859</v>
      </c>
      <c r="K178" s="495">
        <f t="shared" si="147"/>
        <v>8.2553302132085271</v>
      </c>
      <c r="L178" s="495">
        <f t="shared" si="147"/>
        <v>9.5999277521900144</v>
      </c>
      <c r="M178" s="495">
        <f t="shared" si="147"/>
        <v>8.4180701196907091</v>
      </c>
      <c r="N178" s="495">
        <f t="shared" si="147"/>
        <v>11.997067179910182</v>
      </c>
      <c r="O178" s="495">
        <f t="shared" si="147"/>
        <v>13.020569128307505</v>
      </c>
      <c r="P178" s="495">
        <f t="shared" si="147"/>
        <v>13.717371737173718</v>
      </c>
      <c r="Q178" s="495">
        <f t="shared" si="147"/>
        <v>13.13221238640754</v>
      </c>
      <c r="R178" s="495">
        <f t="shared" si="147"/>
        <v>16.778262799744205</v>
      </c>
      <c r="S178" s="495">
        <f t="shared" si="147"/>
        <v>15.775923646079667</v>
      </c>
      <c r="T178" s="495">
        <f t="shared" si="147"/>
        <v>15.600873692085301</v>
      </c>
      <c r="V178" s="495">
        <f t="shared" ref="V178:AD178" si="148">V93/V121/10</f>
        <v>14.152618691974117</v>
      </c>
      <c r="W178" s="495">
        <f t="shared" si="148"/>
        <v>14.421351939699491</v>
      </c>
      <c r="X178" s="495">
        <f t="shared" si="148"/>
        <v>14.735800875519137</v>
      </c>
      <c r="Y178" s="495">
        <f t="shared" si="148"/>
        <v>10.140605027694932</v>
      </c>
      <c r="Z178" s="495">
        <f t="shared" si="148"/>
        <v>12.148600461463166</v>
      </c>
      <c r="AA178" s="495">
        <f t="shared" si="148"/>
        <v>15.393736235729346</v>
      </c>
      <c r="AB178" s="495">
        <f t="shared" si="148"/>
        <v>15.580736334578891</v>
      </c>
      <c r="AC178" s="495">
        <f t="shared" si="148"/>
        <v>15.723070117518109</v>
      </c>
      <c r="AD178" s="495">
        <f t="shared" si="148"/>
        <v>15.632820287050739</v>
      </c>
    </row>
    <row r="179" spans="2:30" ht="11.25" customHeight="1">
      <c r="C179" s="398"/>
      <c r="E179" s="840"/>
      <c r="F179" s="840"/>
      <c r="G179" s="840"/>
      <c r="H179" s="840"/>
      <c r="I179" s="840"/>
      <c r="J179" s="840"/>
      <c r="K179" s="840"/>
      <c r="L179" s="840"/>
      <c r="M179" s="840"/>
      <c r="N179" s="840"/>
      <c r="O179" s="840"/>
      <c r="P179" s="840"/>
      <c r="Q179" s="840"/>
      <c r="R179" s="840"/>
      <c r="S179" s="840"/>
      <c r="T179" s="840"/>
      <c r="V179" s="840"/>
      <c r="W179" s="840"/>
      <c r="X179" s="840"/>
      <c r="Y179" s="840"/>
      <c r="Z179" s="840"/>
      <c r="AA179" s="840"/>
      <c r="AB179" s="840"/>
      <c r="AC179" s="840"/>
      <c r="AD179" s="840"/>
    </row>
    <row r="180" spans="2:30" ht="11.25" customHeight="1">
      <c r="C180" s="1031" t="s">
        <v>1340</v>
      </c>
      <c r="E180" s="840">
        <f>E13/E121/10</f>
        <v>15.874253832078475</v>
      </c>
      <c r="F180" s="840">
        <f t="shared" ref="F180:AD180" si="149">F13/F121/10</f>
        <v>16.537153286690081</v>
      </c>
      <c r="G180" s="840">
        <f t="shared" si="149"/>
        <v>15.709575309944602</v>
      </c>
      <c r="H180" s="840">
        <f t="shared" si="149"/>
        <v>16.098872950819676</v>
      </c>
      <c r="I180" s="840">
        <f t="shared" si="149"/>
        <v>13.711976038261486</v>
      </c>
      <c r="J180" s="840">
        <f t="shared" si="149"/>
        <v>9.4959311515719218</v>
      </c>
      <c r="K180" s="840">
        <f t="shared" si="149"/>
        <v>10.31266250650026</v>
      </c>
      <c r="L180" s="840">
        <f t="shared" si="149"/>
        <v>12.122580450946749</v>
      </c>
      <c r="M180" s="840">
        <f t="shared" si="149"/>
        <v>10.613282491261518</v>
      </c>
      <c r="N180" s="840">
        <f t="shared" si="149"/>
        <v>13.70726789478508</v>
      </c>
      <c r="O180" s="840">
        <f t="shared" si="149"/>
        <v>14.67657213922207</v>
      </c>
      <c r="P180" s="840">
        <f t="shared" si="149"/>
        <v>15.42754275427543</v>
      </c>
      <c r="Q180" s="840">
        <f t="shared" si="149"/>
        <v>14.948012026943038</v>
      </c>
      <c r="R180" s="840">
        <f t="shared" si="149"/>
        <v>19.024627790806075</v>
      </c>
      <c r="S180" s="840">
        <f t="shared" si="149"/>
        <v>17.87484201337357</v>
      </c>
      <c r="T180" s="840">
        <f t="shared" si="149"/>
        <v>17.651330327369333</v>
      </c>
      <c r="U180" s="840"/>
      <c r="V180" s="840">
        <f t="shared" si="149"/>
        <v>15.415218468460324</v>
      </c>
      <c r="W180" s="840">
        <f t="shared" si="149"/>
        <v>15.791656916760621</v>
      </c>
      <c r="X180" s="840">
        <f t="shared" si="149"/>
        <v>16.053990346840273</v>
      </c>
      <c r="Y180" s="840">
        <f t="shared" si="149"/>
        <v>12.109634203412799</v>
      </c>
      <c r="Z180" s="840">
        <f t="shared" si="149"/>
        <v>13.928729577924349</v>
      </c>
      <c r="AA180" s="840">
        <f t="shared" si="149"/>
        <v>17.454348213647219</v>
      </c>
      <c r="AB180" s="840">
        <f t="shared" si="149"/>
        <v>17.412349430967055</v>
      </c>
      <c r="AC180" s="840">
        <f t="shared" si="149"/>
        <v>17.341109923843291</v>
      </c>
      <c r="AD180" s="840">
        <f t="shared" si="149"/>
        <v>17.037557614704468</v>
      </c>
    </row>
    <row r="181" spans="2:30" s="278" customFormat="1" ht="11.25" customHeight="1">
      <c r="C181" s="500" t="s">
        <v>1764</v>
      </c>
      <c r="E181" s="1032"/>
      <c r="F181" s="1032"/>
      <c r="G181" s="1032"/>
      <c r="H181" s="1032"/>
      <c r="I181" s="297">
        <f>I180/E180-1</f>
        <v>-0.13621287757459732</v>
      </c>
      <c r="J181" s="297">
        <f>J180/F180-1</f>
        <v>-0.42578199603345779</v>
      </c>
      <c r="K181" s="297">
        <f>K180/G180-1</f>
        <v>-0.34354288368495522</v>
      </c>
      <c r="L181" s="297">
        <f>L180/H180-1</f>
        <v>-0.24699197962615593</v>
      </c>
      <c r="M181" s="297">
        <f>M180/E180-1</f>
        <v>-0.33141534691763952</v>
      </c>
      <c r="N181" s="297">
        <f>N180/F180-1</f>
        <v>-0.17112288571350631</v>
      </c>
      <c r="O181" s="297">
        <f>O180/G180-1</f>
        <v>-6.5756276050862539E-2</v>
      </c>
      <c r="P181" s="297">
        <f>P180/H180-1</f>
        <v>-4.17004468943315E-2</v>
      </c>
      <c r="Q181" s="297">
        <f>Q180/E180-1</f>
        <v>-5.8348683026833048E-2</v>
      </c>
      <c r="R181" s="297">
        <f>R180/F180-1</f>
        <v>0.15041733368451249</v>
      </c>
      <c r="S181" s="297">
        <f>S180/G180-1</f>
        <v>0.13783101456971236</v>
      </c>
      <c r="T181" s="297">
        <f>T180/H180-1</f>
        <v>9.643267459108773E-2</v>
      </c>
      <c r="V181" s="1032"/>
      <c r="W181" s="1032"/>
      <c r="X181" s="1032"/>
      <c r="Y181" s="297">
        <f t="shared" ref="Y181:AD181" si="150">Y180/$X180-1</f>
        <v>-0.24569319267117895</v>
      </c>
      <c r="Z181" s="297">
        <f t="shared" si="150"/>
        <v>-0.13238208837805954</v>
      </c>
      <c r="AA181" s="297">
        <f t="shared" si="150"/>
        <v>8.722802471863722E-2</v>
      </c>
      <c r="AB181" s="297">
        <f t="shared" si="150"/>
        <v>8.4611928547355442E-2</v>
      </c>
      <c r="AC181" s="297">
        <f t="shared" si="150"/>
        <v>8.0174433221603891E-2</v>
      </c>
      <c r="AD181" s="297">
        <f t="shared" si="150"/>
        <v>6.1266217719993854E-2</v>
      </c>
    </row>
    <row r="182" spans="2:30" ht="11.25" customHeight="1">
      <c r="U182" s="277"/>
    </row>
    <row r="183" spans="2:30" ht="11.25" customHeight="1">
      <c r="B183" s="258" t="s">
        <v>133</v>
      </c>
      <c r="C183" s="259" t="s">
        <v>1005</v>
      </c>
      <c r="D183" s="259"/>
      <c r="E183" s="258"/>
      <c r="F183" s="258"/>
      <c r="G183" s="258"/>
      <c r="H183" s="258"/>
      <c r="I183" s="258"/>
      <c r="J183" s="258"/>
      <c r="K183" s="258"/>
      <c r="L183" s="258"/>
      <c r="M183" s="258"/>
      <c r="N183" s="258"/>
      <c r="O183" s="258"/>
      <c r="P183" s="258"/>
      <c r="Q183" s="258"/>
      <c r="R183" s="258"/>
      <c r="S183" s="258"/>
      <c r="T183" s="258"/>
      <c r="V183" s="258"/>
      <c r="W183" s="258"/>
      <c r="X183" s="258"/>
      <c r="Y183" s="258"/>
      <c r="Z183" s="258"/>
      <c r="AA183" s="258"/>
      <c r="AB183" s="258"/>
      <c r="AC183" s="258"/>
      <c r="AD183" s="258"/>
    </row>
    <row r="185" spans="2:30" ht="11.25" customHeight="1">
      <c r="C185" s="253" t="s">
        <v>407</v>
      </c>
      <c r="E185" s="287">
        <f>'AAL Financials'!E11</f>
        <v>218</v>
      </c>
      <c r="F185" s="287">
        <f>'AAL Financials'!F11</f>
        <v>221</v>
      </c>
      <c r="G185" s="287">
        <f>'AAL Financials'!G11</f>
        <v>208</v>
      </c>
      <c r="H185" s="287">
        <f>'AAL Financials'!H11</f>
        <v>216</v>
      </c>
      <c r="I185" s="287">
        <f>'AAL Financials'!I11</f>
        <v>147</v>
      </c>
      <c r="J185" s="287">
        <f>'AAL Financials'!J11</f>
        <v>130</v>
      </c>
      <c r="K185" s="287">
        <f>'AAL Financials'!K11</f>
        <v>207</v>
      </c>
      <c r="L185" s="287">
        <f>'AAL Financials'!L11</f>
        <v>285</v>
      </c>
      <c r="M185" s="287">
        <f>'AAL Financials'!M11</f>
        <v>315</v>
      </c>
      <c r="N185" s="287">
        <f>'AAL Financials'!N11</f>
        <v>326</v>
      </c>
      <c r="O185" s="287">
        <f>'AAL Financials'!O11</f>
        <v>332</v>
      </c>
      <c r="P185" s="287">
        <f>'AAL Financials'!P11</f>
        <v>341</v>
      </c>
      <c r="Q185" s="287">
        <f>'AAL Financials'!Q11</f>
        <v>364</v>
      </c>
      <c r="R185" s="255">
        <f>R186*R187/100</f>
        <v>382.39799999999997</v>
      </c>
      <c r="S185" s="255">
        <f>S186*S187/100</f>
        <v>376.15600000000001</v>
      </c>
      <c r="T185" s="255">
        <f>T186*T187/100</f>
        <v>329.91750000000002</v>
      </c>
      <c r="V185" s="287">
        <f>'AAL Financials'!V11</f>
        <v>890</v>
      </c>
      <c r="W185" s="287">
        <f>'AAL Financials'!W11</f>
        <v>1013</v>
      </c>
      <c r="X185" s="254">
        <f t="shared" ref="X185:AA186" si="151">+SUMIF($E$5:$T$5,X$5,$E185:$T185)</f>
        <v>863</v>
      </c>
      <c r="Y185" s="254">
        <f t="shared" si="151"/>
        <v>769</v>
      </c>
      <c r="Z185" s="254">
        <f t="shared" si="151"/>
        <v>1314</v>
      </c>
      <c r="AA185" s="254">
        <f t="shared" si="151"/>
        <v>1452.4714999999999</v>
      </c>
      <c r="AB185" s="255">
        <f>AB186*AB187/100</f>
        <v>1283.9848060000002</v>
      </c>
      <c r="AC185" s="255">
        <f>AC186*AC187/100</f>
        <v>1124.128697653</v>
      </c>
      <c r="AD185" s="255">
        <f>AD186*AD187/100</f>
        <v>974.61958086515097</v>
      </c>
    </row>
    <row r="186" spans="2:30" s="255" customFormat="1" ht="11.25" customHeight="1">
      <c r="C186" s="254" t="s">
        <v>578</v>
      </c>
      <c r="E186" s="277">
        <v>624</v>
      </c>
      <c r="F186" s="277">
        <v>644</v>
      </c>
      <c r="G186" s="277">
        <v>621</v>
      </c>
      <c r="H186" s="277">
        <v>599</v>
      </c>
      <c r="I186" s="277">
        <v>436</v>
      </c>
      <c r="J186" s="277">
        <v>176</v>
      </c>
      <c r="K186" s="277">
        <v>337</v>
      </c>
      <c r="L186" s="277">
        <v>434</v>
      </c>
      <c r="M186" s="277">
        <v>532</v>
      </c>
      <c r="N186" s="277">
        <v>555</v>
      </c>
      <c r="O186" s="277">
        <v>510</v>
      </c>
      <c r="P186" s="277">
        <v>485</v>
      </c>
      <c r="Q186" s="277">
        <v>536</v>
      </c>
      <c r="R186" s="255">
        <f t="shared" ref="R186:T187" si="152">(R190+1)*N186</f>
        <v>566.1</v>
      </c>
      <c r="S186" s="255">
        <f t="shared" si="152"/>
        <v>561</v>
      </c>
      <c r="T186" s="255">
        <f t="shared" si="152"/>
        <v>521.375</v>
      </c>
      <c r="V186" s="277">
        <v>2788</v>
      </c>
      <c r="W186" s="277">
        <v>2908</v>
      </c>
      <c r="X186" s="254">
        <f t="shared" si="151"/>
        <v>2488</v>
      </c>
      <c r="Y186" s="254">
        <f t="shared" si="151"/>
        <v>1383</v>
      </c>
      <c r="Z186" s="254">
        <f t="shared" si="151"/>
        <v>2082</v>
      </c>
      <c r="AA186" s="254">
        <f t="shared" si="151"/>
        <v>2184.4749999999999</v>
      </c>
      <c r="AB186" s="255">
        <f t="shared" ref="AB186:AD187" si="153">(AB190+1)*AA186</f>
        <v>2271.8539999999998</v>
      </c>
      <c r="AC186" s="255">
        <f t="shared" si="153"/>
        <v>2340.0096199999998</v>
      </c>
      <c r="AD186" s="255">
        <f t="shared" si="153"/>
        <v>2386.8098123999998</v>
      </c>
    </row>
    <row r="187" spans="2:30" s="660" customFormat="1" ht="11.25" customHeight="1">
      <c r="C187" s="398" t="s">
        <v>1006</v>
      </c>
      <c r="E187" s="495">
        <f t="shared" ref="E187:Q187" si="154">E185/E186*100</f>
        <v>34.935897435897431</v>
      </c>
      <c r="F187" s="495">
        <f t="shared" si="154"/>
        <v>34.316770186335404</v>
      </c>
      <c r="G187" s="495">
        <f t="shared" si="154"/>
        <v>33.494363929146537</v>
      </c>
      <c r="H187" s="495">
        <f t="shared" si="154"/>
        <v>36.060100166944906</v>
      </c>
      <c r="I187" s="495">
        <f t="shared" si="154"/>
        <v>33.715596330275226</v>
      </c>
      <c r="J187" s="495">
        <f t="shared" si="154"/>
        <v>73.86363636363636</v>
      </c>
      <c r="K187" s="495">
        <f t="shared" si="154"/>
        <v>61.424332344213653</v>
      </c>
      <c r="L187" s="495">
        <f t="shared" si="154"/>
        <v>65.668202764976954</v>
      </c>
      <c r="M187" s="495">
        <f t="shared" si="154"/>
        <v>59.210526315789465</v>
      </c>
      <c r="N187" s="495">
        <f t="shared" si="154"/>
        <v>58.738738738738739</v>
      </c>
      <c r="O187" s="495">
        <f t="shared" si="154"/>
        <v>65.098039215686271</v>
      </c>
      <c r="P187" s="495">
        <f t="shared" si="154"/>
        <v>70.309278350515456</v>
      </c>
      <c r="Q187" s="495">
        <f t="shared" si="154"/>
        <v>67.910447761194021</v>
      </c>
      <c r="R187" s="495">
        <f t="shared" si="152"/>
        <v>67.549549549549539</v>
      </c>
      <c r="S187" s="495">
        <f t="shared" si="152"/>
        <v>67.050980392156859</v>
      </c>
      <c r="T187" s="495">
        <f t="shared" si="152"/>
        <v>63.278350515463913</v>
      </c>
      <c r="V187" s="495">
        <f t="shared" ref="V187:AA187" si="155">V185/V186*100</f>
        <v>31.922525107604017</v>
      </c>
      <c r="W187" s="495">
        <f t="shared" si="155"/>
        <v>34.834938101788168</v>
      </c>
      <c r="X187" s="495">
        <f t="shared" si="155"/>
        <v>34.686495176848872</v>
      </c>
      <c r="Y187" s="495">
        <f t="shared" si="155"/>
        <v>55.603759942154738</v>
      </c>
      <c r="Z187" s="495">
        <f t="shared" si="155"/>
        <v>63.112391930835734</v>
      </c>
      <c r="AA187" s="495">
        <f t="shared" si="155"/>
        <v>66.490644205129385</v>
      </c>
      <c r="AB187" s="495">
        <f t="shared" si="153"/>
        <v>56.517047574359978</v>
      </c>
      <c r="AC187" s="495">
        <f t="shared" si="153"/>
        <v>48.039490438205981</v>
      </c>
      <c r="AD187" s="495">
        <f t="shared" si="153"/>
        <v>40.833566872475082</v>
      </c>
    </row>
    <row r="188" spans="2:30" s="380" customFormat="1" ht="11.25" customHeight="1"/>
    <row r="189" spans="2:30" s="661" customFormat="1" ht="11.25" customHeight="1">
      <c r="C189" s="661" t="s">
        <v>1007</v>
      </c>
      <c r="AA189" s="297">
        <f>AA47</f>
        <v>3.1257459690088536E-2</v>
      </c>
      <c r="AB189" s="297">
        <f>AB47</f>
        <v>2.5690555033034281E-2</v>
      </c>
      <c r="AC189" s="297">
        <f>AC47</f>
        <v>2.1364437792115644E-2</v>
      </c>
      <c r="AD189" s="297">
        <f>AD47</f>
        <v>1.8362567808794816E-2</v>
      </c>
    </row>
    <row r="190" spans="2:30" s="278" customFormat="1" ht="11.25" customHeight="1">
      <c r="C190" s="582" t="s">
        <v>1008</v>
      </c>
      <c r="E190" s="441"/>
      <c r="F190" s="441"/>
      <c r="G190" s="441"/>
      <c r="H190" s="441"/>
      <c r="I190" s="297">
        <f t="shared" ref="I190:Q191" si="156">I186/E186-1</f>
        <v>-0.30128205128205132</v>
      </c>
      <c r="J190" s="297">
        <f t="shared" si="156"/>
        <v>-0.72670807453416142</v>
      </c>
      <c r="K190" s="297">
        <f t="shared" si="156"/>
        <v>-0.45732689210950084</v>
      </c>
      <c r="L190" s="297">
        <f t="shared" si="156"/>
        <v>-0.27545909849749584</v>
      </c>
      <c r="M190" s="297">
        <f t="shared" si="156"/>
        <v>0.22018348623853212</v>
      </c>
      <c r="N190" s="297">
        <f t="shared" si="156"/>
        <v>2.1534090909090908</v>
      </c>
      <c r="O190" s="297">
        <f t="shared" si="156"/>
        <v>0.51335311572700304</v>
      </c>
      <c r="P190" s="297">
        <f t="shared" si="156"/>
        <v>0.11751152073732718</v>
      </c>
      <c r="Q190" s="297">
        <f t="shared" si="156"/>
        <v>7.5187969924812581E-3</v>
      </c>
      <c r="R190" s="296">
        <v>0.02</v>
      </c>
      <c r="S190" s="296">
        <v>0.1</v>
      </c>
      <c r="T190" s="296">
        <v>7.4999999999999997E-2</v>
      </c>
      <c r="W190" s="297">
        <f t="shared" ref="W190:AA191" si="157">W186/V186-1</f>
        <v>4.3041606886657036E-2</v>
      </c>
      <c r="X190" s="297">
        <f t="shared" si="157"/>
        <v>-0.14442916093535074</v>
      </c>
      <c r="Y190" s="297">
        <f t="shared" si="157"/>
        <v>-0.44413183279742763</v>
      </c>
      <c r="Z190" s="297">
        <f t="shared" si="157"/>
        <v>0.50542299349240771</v>
      </c>
      <c r="AA190" s="297">
        <f t="shared" si="157"/>
        <v>4.9219500480307321E-2</v>
      </c>
      <c r="AB190" s="296">
        <v>0.04</v>
      </c>
      <c r="AC190" s="296">
        <v>0.03</v>
      </c>
      <c r="AD190" s="296">
        <v>0.02</v>
      </c>
    </row>
    <row r="191" spans="2:30" s="278" customFormat="1" ht="11.25" customHeight="1">
      <c r="C191" s="661" t="s">
        <v>1009</v>
      </c>
      <c r="E191" s="441"/>
      <c r="F191" s="441"/>
      <c r="G191" s="441"/>
      <c r="H191" s="441"/>
      <c r="I191" s="297">
        <f t="shared" si="156"/>
        <v>-3.4929719720562247E-2</v>
      </c>
      <c r="J191" s="297">
        <f t="shared" si="156"/>
        <v>1.1524064171122994</v>
      </c>
      <c r="K191" s="297">
        <f t="shared" si="156"/>
        <v>0.83387069162291727</v>
      </c>
      <c r="L191" s="297">
        <f t="shared" si="156"/>
        <v>0.82107654889912962</v>
      </c>
      <c r="M191" s="297">
        <f t="shared" si="156"/>
        <v>0.7561761546723953</v>
      </c>
      <c r="N191" s="297">
        <f t="shared" si="156"/>
        <v>-0.20476784476784471</v>
      </c>
      <c r="O191" s="297">
        <f t="shared" si="156"/>
        <v>5.9808657762621786E-2</v>
      </c>
      <c r="P191" s="297">
        <f t="shared" si="156"/>
        <v>7.0674624706094979E-2</v>
      </c>
      <c r="Q191" s="297">
        <f t="shared" si="156"/>
        <v>0.14693200663349915</v>
      </c>
      <c r="R191" s="296">
        <v>0.15</v>
      </c>
      <c r="S191" s="296">
        <v>0.03</v>
      </c>
      <c r="T191" s="296">
        <v>-0.1</v>
      </c>
      <c r="W191" s="297">
        <f t="shared" si="157"/>
        <v>9.1233791323431568E-2</v>
      </c>
      <c r="X191" s="297">
        <f t="shared" si="157"/>
        <v>-4.2613230574873873E-3</v>
      </c>
      <c r="Y191" s="297">
        <f t="shared" si="157"/>
        <v>0.60303771420719587</v>
      </c>
      <c r="Z191" s="297">
        <f t="shared" si="157"/>
        <v>0.13503820598629157</v>
      </c>
      <c r="AA191" s="297">
        <f t="shared" si="157"/>
        <v>5.352755886666194E-2</v>
      </c>
      <c r="AB191" s="296">
        <v>-0.15</v>
      </c>
      <c r="AC191" s="296">
        <v>-0.15</v>
      </c>
      <c r="AD191" s="296">
        <v>-0.15</v>
      </c>
    </row>
    <row r="193" spans="2:30" ht="11.25" customHeight="1">
      <c r="C193" s="253" t="s">
        <v>1010</v>
      </c>
      <c r="E193" s="277">
        <v>578</v>
      </c>
      <c r="F193" s="277">
        <v>594</v>
      </c>
      <c r="G193" s="277">
        <v>570</v>
      </c>
      <c r="H193" s="277">
        <v>619</v>
      </c>
      <c r="I193" s="277">
        <v>571</v>
      </c>
      <c r="J193" s="277">
        <v>356</v>
      </c>
      <c r="K193" s="277">
        <v>389</v>
      </c>
      <c r="L193" s="277">
        <v>509</v>
      </c>
      <c r="M193" s="277">
        <v>457</v>
      </c>
      <c r="N193" s="277">
        <v>529</v>
      </c>
      <c r="O193" s="277">
        <v>585</v>
      </c>
      <c r="P193" s="277">
        <v>595</v>
      </c>
      <c r="Q193" s="277">
        <v>596</v>
      </c>
      <c r="R193" s="255">
        <f t="shared" ref="R193:T194" si="158">R197*R$93</f>
        <v>902.80208020658813</v>
      </c>
      <c r="S193" s="255">
        <f t="shared" si="158"/>
        <v>910.63300958571085</v>
      </c>
      <c r="T193" s="255">
        <f t="shared" si="158"/>
        <v>839.69393718342701</v>
      </c>
      <c r="V193" s="277">
        <v>2124</v>
      </c>
      <c r="W193" s="277">
        <v>2352</v>
      </c>
      <c r="X193" s="254">
        <f t="shared" ref="X193:AA194" si="159">+SUMIF($E$5:$T$5,X$5,$E193:$T193)</f>
        <v>2361</v>
      </c>
      <c r="Y193" s="254">
        <f t="shared" si="159"/>
        <v>1825</v>
      </c>
      <c r="Z193" s="254">
        <f t="shared" si="159"/>
        <v>2166</v>
      </c>
      <c r="AA193" s="254">
        <f t="shared" si="159"/>
        <v>3249.1290269757255</v>
      </c>
      <c r="AB193" s="255">
        <f t="shared" ref="AB193:AD194" si="160">AB197*AB$93</f>
        <v>3210.1872461294993</v>
      </c>
      <c r="AC193" s="255">
        <f t="shared" si="160"/>
        <v>3066.70470632861</v>
      </c>
      <c r="AD193" s="255">
        <f t="shared" si="160"/>
        <v>2765.2833133465251</v>
      </c>
    </row>
    <row r="194" spans="2:30" ht="11.25" customHeight="1">
      <c r="C194" s="253" t="s">
        <v>1011</v>
      </c>
      <c r="E194" s="277">
        <v>130</v>
      </c>
      <c r="F194" s="277">
        <v>134</v>
      </c>
      <c r="G194" s="277">
        <v>138</v>
      </c>
      <c r="H194" s="277">
        <v>132</v>
      </c>
      <c r="I194" s="277">
        <v>116</v>
      </c>
      <c r="J194" s="277">
        <v>28</v>
      </c>
      <c r="K194" s="277">
        <v>37</v>
      </c>
      <c r="L194" s="277">
        <v>44</v>
      </c>
      <c r="M194" s="277">
        <v>57</v>
      </c>
      <c r="N194" s="277">
        <v>78</v>
      </c>
      <c r="O194" s="277">
        <v>95</v>
      </c>
      <c r="P194" s="277">
        <v>109</v>
      </c>
      <c r="Q194" s="277">
        <v>118</v>
      </c>
      <c r="R194" s="255">
        <f t="shared" si="158"/>
        <v>225.70052005164703</v>
      </c>
      <c r="S194" s="255">
        <f t="shared" si="158"/>
        <v>227.65825239642771</v>
      </c>
      <c r="T194" s="255">
        <f t="shared" si="158"/>
        <v>209.92348429585675</v>
      </c>
      <c r="V194" s="277">
        <v>477</v>
      </c>
      <c r="W194" s="277">
        <v>500</v>
      </c>
      <c r="X194" s="254">
        <f t="shared" si="159"/>
        <v>534</v>
      </c>
      <c r="Y194" s="254">
        <f t="shared" si="159"/>
        <v>225</v>
      </c>
      <c r="Z194" s="254">
        <f t="shared" si="159"/>
        <v>339</v>
      </c>
      <c r="AA194" s="254">
        <f t="shared" si="159"/>
        <v>781.28225674393138</v>
      </c>
      <c r="AB194" s="255">
        <f t="shared" si="160"/>
        <v>763.12799040339939</v>
      </c>
      <c r="AC194" s="255">
        <f t="shared" si="160"/>
        <v>718.66221383555626</v>
      </c>
      <c r="AD194" s="255">
        <f t="shared" si="160"/>
        <v>636.21995597727596</v>
      </c>
    </row>
    <row r="196" spans="2:30" s="278" customFormat="1" ht="11.25" customHeight="1">
      <c r="C196" s="278" t="s">
        <v>1012</v>
      </c>
    </row>
    <row r="197" spans="2:30" s="278" customFormat="1" ht="11.25" customHeight="1">
      <c r="C197" s="278" t="s">
        <v>1013</v>
      </c>
      <c r="E197" s="297">
        <f t="shared" ref="E197:P198" si="161">E193/E$93</f>
        <v>5.9846759163387865E-2</v>
      </c>
      <c r="F197" s="297">
        <f t="shared" si="161"/>
        <v>5.3946053946053944E-2</v>
      </c>
      <c r="G197" s="297">
        <f t="shared" si="161"/>
        <v>5.1841746248294678E-2</v>
      </c>
      <c r="H197" s="297">
        <f t="shared" si="161"/>
        <v>5.9829885946259424E-2</v>
      </c>
      <c r="I197" s="297">
        <f t="shared" si="161"/>
        <v>7.4339278739747425E-2</v>
      </c>
      <c r="J197" s="297">
        <f t="shared" si="161"/>
        <v>0.32129963898916969</v>
      </c>
      <c r="K197" s="297">
        <f t="shared" si="161"/>
        <v>0.15314960629921259</v>
      </c>
      <c r="L197" s="297">
        <f t="shared" si="161"/>
        <v>0.15961116337409847</v>
      </c>
      <c r="M197" s="297">
        <f t="shared" si="161"/>
        <v>0.1437558980811576</v>
      </c>
      <c r="N197" s="297">
        <f t="shared" si="161"/>
        <v>8.0825057295645528E-2</v>
      </c>
      <c r="O197" s="297">
        <f t="shared" si="161"/>
        <v>7.3520170918687941E-2</v>
      </c>
      <c r="P197" s="297">
        <f t="shared" si="161"/>
        <v>7.0985445001193026E-2</v>
      </c>
      <c r="Q197" s="297">
        <f>Q193/Q$93</f>
        <v>7.6234331030954214E-2</v>
      </c>
      <c r="R197" s="296">
        <v>0.08</v>
      </c>
      <c r="S197" s="296">
        <f>R197</f>
        <v>0.08</v>
      </c>
      <c r="T197" s="296">
        <f>S197</f>
        <v>0.08</v>
      </c>
      <c r="V197" s="297">
        <f t="shared" ref="V197:AA198" si="162">V193/V$93</f>
        <v>5.4279215966880477E-2</v>
      </c>
      <c r="W197" s="297">
        <f t="shared" si="162"/>
        <v>5.7822794768413809E-2</v>
      </c>
      <c r="X197" s="297">
        <f t="shared" si="162"/>
        <v>5.6200904546536541E-2</v>
      </c>
      <c r="Y197" s="297">
        <f t="shared" si="162"/>
        <v>0.12570602011296322</v>
      </c>
      <c r="Z197" s="297">
        <f t="shared" si="162"/>
        <v>8.3106319303226803E-2</v>
      </c>
      <c r="AA197" s="297">
        <f t="shared" si="162"/>
        <v>7.9281637818017045E-2</v>
      </c>
      <c r="AB197" s="296">
        <f>AA197-0.75%</f>
        <v>7.1781637818017052E-2</v>
      </c>
      <c r="AC197" s="296">
        <f>AB197-0.75%</f>
        <v>6.4281637818017046E-2</v>
      </c>
      <c r="AD197" s="296">
        <f>AC197-0.75%</f>
        <v>5.6781637818017046E-2</v>
      </c>
    </row>
    <row r="198" spans="2:30" s="278" customFormat="1" ht="11.25" customHeight="1">
      <c r="C198" s="278" t="s">
        <v>1014</v>
      </c>
      <c r="E198" s="297">
        <f t="shared" si="161"/>
        <v>1.3460343756471319E-2</v>
      </c>
      <c r="F198" s="297">
        <f t="shared" si="161"/>
        <v>1.2169648533284897E-2</v>
      </c>
      <c r="G198" s="297">
        <f t="shared" si="161"/>
        <v>1.2551159618008186E-2</v>
      </c>
      <c r="H198" s="297">
        <f t="shared" si="161"/>
        <v>1.2758554030543205E-2</v>
      </c>
      <c r="I198" s="297">
        <f t="shared" si="161"/>
        <v>1.5102200234344486E-2</v>
      </c>
      <c r="J198" s="297">
        <f t="shared" si="161"/>
        <v>2.5270758122743681E-2</v>
      </c>
      <c r="K198" s="297">
        <f t="shared" si="161"/>
        <v>1.4566929133858268E-2</v>
      </c>
      <c r="L198" s="297">
        <f t="shared" si="161"/>
        <v>1.3797428661022263E-2</v>
      </c>
      <c r="M198" s="297">
        <f t="shared" si="161"/>
        <v>1.7930166719094056E-2</v>
      </c>
      <c r="N198" s="297">
        <f t="shared" si="161"/>
        <v>1.1917494270435447E-2</v>
      </c>
      <c r="O198" s="297">
        <f t="shared" si="161"/>
        <v>1.1939173055171547E-2</v>
      </c>
      <c r="P198" s="297">
        <f t="shared" si="161"/>
        <v>1.3004056311142926E-2</v>
      </c>
      <c r="Q198" s="297">
        <f>Q194/Q$93</f>
        <v>1.5093374264517779E-2</v>
      </c>
      <c r="R198" s="296">
        <v>0.02</v>
      </c>
      <c r="S198" s="296">
        <f>R198</f>
        <v>0.02</v>
      </c>
      <c r="T198" s="296">
        <f>S198</f>
        <v>0.02</v>
      </c>
      <c r="V198" s="297">
        <f t="shared" si="162"/>
        <v>1.218982392476553E-2</v>
      </c>
      <c r="W198" s="297">
        <f t="shared" si="162"/>
        <v>1.2292260792604976E-2</v>
      </c>
      <c r="X198" s="297">
        <f t="shared" si="162"/>
        <v>1.2711259223994287E-2</v>
      </c>
      <c r="Y198" s="297">
        <f t="shared" si="162"/>
        <v>1.5498002479680396E-2</v>
      </c>
      <c r="Z198" s="297">
        <f t="shared" si="162"/>
        <v>1.3006944710892837E-2</v>
      </c>
      <c r="AA198" s="297">
        <f t="shared" si="162"/>
        <v>1.90639818851608E-2</v>
      </c>
      <c r="AB198" s="296">
        <f>AA198-0.2%</f>
        <v>1.7063981885160798E-2</v>
      </c>
      <c r="AC198" s="296">
        <f>AB198-0.2%</f>
        <v>1.5063981885160798E-2</v>
      </c>
      <c r="AD198" s="296">
        <f>AC198-0.2%</f>
        <v>1.3063981885160798E-2</v>
      </c>
    </row>
    <row r="199" spans="2:30" ht="11.25" customHeight="1" thickBot="1"/>
    <row r="200" spans="2:30" ht="11.25" customHeight="1">
      <c r="B200" s="858"/>
      <c r="C200" s="1101" t="s">
        <v>600</v>
      </c>
      <c r="D200" s="860"/>
      <c r="E200" s="1102"/>
      <c r="F200" s="1102"/>
      <c r="G200" s="1102"/>
      <c r="H200" s="1102"/>
      <c r="I200" s="1102"/>
      <c r="J200" s="1102"/>
      <c r="K200" s="1102"/>
      <c r="L200" s="1102"/>
      <c r="M200" s="1102"/>
      <c r="N200" s="1102"/>
      <c r="O200" s="1102"/>
      <c r="P200" s="1102"/>
      <c r="Q200" s="1102"/>
      <c r="R200" s="1102"/>
      <c r="S200" s="1102"/>
      <c r="T200" s="1102"/>
      <c r="U200" s="1102"/>
      <c r="V200" s="1102"/>
      <c r="W200" s="1102"/>
      <c r="X200" s="1102"/>
      <c r="Y200" s="1102"/>
      <c r="Z200" s="1102"/>
      <c r="AA200" s="1102"/>
      <c r="AB200" s="1102"/>
      <c r="AC200" s="1102"/>
      <c r="AD200" s="1103"/>
    </row>
    <row r="201" spans="2:30" ht="11.25" customHeight="1">
      <c r="B201" s="863"/>
      <c r="C201" s="1104" t="s">
        <v>598</v>
      </c>
      <c r="D201" s="864"/>
      <c r="E201" s="1105">
        <f t="shared" ref="E201:T201" si="163">E$187*$E$205*800/100</f>
        <v>20961.538461538457</v>
      </c>
      <c r="F201" s="1105">
        <f t="shared" si="163"/>
        <v>20590.062111801242</v>
      </c>
      <c r="G201" s="1105">
        <f t="shared" si="163"/>
        <v>20096.618357487921</v>
      </c>
      <c r="H201" s="1105">
        <f t="shared" si="163"/>
        <v>21636.060100166942</v>
      </c>
      <c r="I201" s="1105">
        <f t="shared" si="163"/>
        <v>20229.357798165136</v>
      </c>
      <c r="J201" s="1105">
        <f t="shared" si="163"/>
        <v>44318.181818181816</v>
      </c>
      <c r="K201" s="1105">
        <f t="shared" si="163"/>
        <v>36854.599406528192</v>
      </c>
      <c r="L201" s="1105">
        <f t="shared" si="163"/>
        <v>39400.921658986175</v>
      </c>
      <c r="M201" s="1105">
        <f t="shared" si="163"/>
        <v>35526.31578947368</v>
      </c>
      <c r="N201" s="1105">
        <f t="shared" si="163"/>
        <v>35243.243243243247</v>
      </c>
      <c r="O201" s="1105">
        <f t="shared" si="163"/>
        <v>39058.823529411762</v>
      </c>
      <c r="P201" s="1105">
        <f t="shared" si="163"/>
        <v>42185.567010309271</v>
      </c>
      <c r="Q201" s="1105">
        <f t="shared" si="163"/>
        <v>40746.268656716413</v>
      </c>
      <c r="R201" s="1105">
        <f t="shared" si="163"/>
        <v>40529.729729729726</v>
      </c>
      <c r="S201" s="1105">
        <f t="shared" si="163"/>
        <v>40230.588235294119</v>
      </c>
      <c r="T201" s="1105">
        <f t="shared" si="163"/>
        <v>37967.010309278347</v>
      </c>
      <c r="U201" s="864"/>
      <c r="V201" s="1105">
        <f t="shared" ref="V201:AD201" si="164">V$187*$E$205*800/100</f>
        <v>19153.515064562409</v>
      </c>
      <c r="W201" s="1105">
        <f t="shared" si="164"/>
        <v>20900.962861072901</v>
      </c>
      <c r="X201" s="1105">
        <f t="shared" si="164"/>
        <v>20811.897106109322</v>
      </c>
      <c r="Y201" s="1105">
        <f t="shared" si="164"/>
        <v>33362.255965292847</v>
      </c>
      <c r="Z201" s="1105">
        <f t="shared" si="164"/>
        <v>37867.435158501437</v>
      </c>
      <c r="AA201" s="1105">
        <f t="shared" si="164"/>
        <v>39894.386523077628</v>
      </c>
      <c r="AB201" s="1105">
        <f t="shared" si="164"/>
        <v>33910.228544615988</v>
      </c>
      <c r="AC201" s="1105">
        <f t="shared" si="164"/>
        <v>28823.694262923589</v>
      </c>
      <c r="AD201" s="1106">
        <f t="shared" si="164"/>
        <v>24500.140123485049</v>
      </c>
    </row>
    <row r="202" spans="2:30" ht="11.25" customHeight="1">
      <c r="B202" s="863"/>
      <c r="C202" s="1104" t="s">
        <v>599</v>
      </c>
      <c r="D202" s="864"/>
      <c r="E202" s="1105">
        <f t="shared" ref="E202:T202" si="165">+E164*$E$206*800/100</f>
        <v>25503.100317211327</v>
      </c>
      <c r="F202" s="1105">
        <f t="shared" si="165"/>
        <v>25430.354878128219</v>
      </c>
      <c r="G202" s="1105">
        <f t="shared" si="165"/>
        <v>24526.001118040997</v>
      </c>
      <c r="H202" s="1105">
        <f t="shared" si="165"/>
        <v>25411.718497688671</v>
      </c>
      <c r="I202" s="1105">
        <f t="shared" si="165"/>
        <v>24607.089366124845</v>
      </c>
      <c r="J202" s="1105">
        <f t="shared" si="165"/>
        <v>22173.976624408555</v>
      </c>
      <c r="K202" s="1105">
        <f t="shared" si="165"/>
        <v>20284.006580044934</v>
      </c>
      <c r="L202" s="1105">
        <f t="shared" si="165"/>
        <v>21662.867250643685</v>
      </c>
      <c r="M202" s="1105">
        <f t="shared" si="165"/>
        <v>20478.852782306538</v>
      </c>
      <c r="N202" s="1105">
        <f t="shared" si="165"/>
        <v>22539.024672735428</v>
      </c>
      <c r="O202" s="1105">
        <f t="shared" si="165"/>
        <v>23954.463974414437</v>
      </c>
      <c r="P202" s="1105">
        <f t="shared" si="165"/>
        <v>24763.574265691088</v>
      </c>
      <c r="Q202" s="1105">
        <f t="shared" si="165"/>
        <v>25544.192144000983</v>
      </c>
      <c r="R202" s="1105">
        <f t="shared" si="165"/>
        <v>28159.447502153969</v>
      </c>
      <c r="S202" s="1105">
        <f t="shared" si="165"/>
        <v>26225.34280240467</v>
      </c>
      <c r="T202" s="1105">
        <f t="shared" si="165"/>
        <v>26103.004555312546</v>
      </c>
      <c r="U202" s="864"/>
      <c r="V202" s="1105">
        <f t="shared" ref="V202:AD202" si="166">+V164*$E$206*800/100</f>
        <v>25017.868705688648</v>
      </c>
      <c r="W202" s="1105">
        <f t="shared" si="166"/>
        <v>25464.065303215652</v>
      </c>
      <c r="X202" s="1105">
        <f t="shared" si="166"/>
        <v>25199.141536398558</v>
      </c>
      <c r="Y202" s="1105">
        <f t="shared" si="166"/>
        <v>22879.330505584265</v>
      </c>
      <c r="Z202" s="1105">
        <f t="shared" si="166"/>
        <v>23348.263042941435</v>
      </c>
      <c r="AA202" s="1105">
        <f t="shared" si="166"/>
        <v>26560.695959348683</v>
      </c>
      <c r="AB202" s="1105">
        <f t="shared" si="166"/>
        <v>26759.599501679695</v>
      </c>
      <c r="AC202" s="1105">
        <f t="shared" si="166"/>
        <v>26733.115557790057</v>
      </c>
      <c r="AD202" s="1106">
        <f t="shared" si="166"/>
        <v>26633.896453909489</v>
      </c>
    </row>
    <row r="203" spans="2:30" s="279" customFormat="1" ht="11.25" customHeight="1">
      <c r="B203" s="1107"/>
      <c r="C203" s="1108" t="s">
        <v>1793</v>
      </c>
      <c r="D203" s="1109"/>
      <c r="E203" s="1113">
        <f t="shared" ref="E203:T203" si="167">E201-E202</f>
        <v>-4541.5618556728696</v>
      </c>
      <c r="F203" s="1113">
        <f t="shared" si="167"/>
        <v>-4840.2927663269766</v>
      </c>
      <c r="G203" s="1113">
        <f t="shared" si="167"/>
        <v>-4429.3827605530751</v>
      </c>
      <c r="H203" s="1113">
        <f t="shared" si="167"/>
        <v>-3775.6583975217291</v>
      </c>
      <c r="I203" s="1113">
        <f t="shared" si="167"/>
        <v>-4377.7315679597086</v>
      </c>
      <c r="J203" s="1113">
        <f t="shared" si="167"/>
        <v>22144.205193773261</v>
      </c>
      <c r="K203" s="1113">
        <f t="shared" si="167"/>
        <v>16570.592826483258</v>
      </c>
      <c r="L203" s="1113">
        <f t="shared" si="167"/>
        <v>17738.05440834249</v>
      </c>
      <c r="M203" s="1113">
        <f t="shared" si="167"/>
        <v>15047.463007167142</v>
      </c>
      <c r="N203" s="1113">
        <f t="shared" si="167"/>
        <v>12704.218570507819</v>
      </c>
      <c r="O203" s="1113">
        <f t="shared" si="167"/>
        <v>15104.359554997325</v>
      </c>
      <c r="P203" s="1113">
        <f t="shared" si="167"/>
        <v>17421.992744618183</v>
      </c>
      <c r="Q203" s="1113">
        <f t="shared" si="167"/>
        <v>15202.07651271543</v>
      </c>
      <c r="R203" s="1113">
        <f t="shared" si="167"/>
        <v>12370.282227575757</v>
      </c>
      <c r="S203" s="1113">
        <f t="shared" si="167"/>
        <v>14005.245432889449</v>
      </c>
      <c r="T203" s="1113">
        <f t="shared" si="167"/>
        <v>11864.005753965801</v>
      </c>
      <c r="U203" s="1109"/>
      <c r="V203" s="1113">
        <f t="shared" ref="V203:AD203" si="168">V201-V202</f>
        <v>-5864.3536411262394</v>
      </c>
      <c r="W203" s="1113">
        <f t="shared" si="168"/>
        <v>-4563.1024421427501</v>
      </c>
      <c r="X203" s="1113">
        <f t="shared" si="168"/>
        <v>-4387.2444302892363</v>
      </c>
      <c r="Y203" s="1113">
        <f t="shared" si="168"/>
        <v>10482.925459708582</v>
      </c>
      <c r="Z203" s="1113">
        <f t="shared" si="168"/>
        <v>14519.172115560003</v>
      </c>
      <c r="AA203" s="1113">
        <f t="shared" si="168"/>
        <v>13333.690563728946</v>
      </c>
      <c r="AB203" s="1113">
        <f t="shared" si="168"/>
        <v>7150.6290429362925</v>
      </c>
      <c r="AC203" s="1113">
        <f t="shared" si="168"/>
        <v>2090.5787051335319</v>
      </c>
      <c r="AD203" s="1114">
        <f t="shared" si="168"/>
        <v>-2133.7563304244395</v>
      </c>
    </row>
    <row r="204" spans="2:30" ht="11.25" customHeight="1" thickBot="1">
      <c r="B204" s="863"/>
      <c r="C204" s="1104"/>
      <c r="D204" s="864"/>
      <c r="E204" s="1105"/>
      <c r="F204" s="1105"/>
      <c r="G204" s="1105"/>
      <c r="H204" s="1105"/>
      <c r="I204" s="1105"/>
      <c r="J204" s="1105"/>
      <c r="K204" s="1105"/>
      <c r="L204" s="1105"/>
      <c r="M204" s="1105"/>
      <c r="N204" s="1105"/>
      <c r="O204" s="1105"/>
      <c r="P204" s="1105"/>
      <c r="Q204" s="1105"/>
      <c r="R204" s="1105"/>
      <c r="S204" s="1105"/>
      <c r="T204" s="1105"/>
      <c r="U204" s="864"/>
      <c r="V204" s="1105"/>
      <c r="W204" s="1105"/>
      <c r="X204" s="1105"/>
      <c r="Y204" s="1105"/>
      <c r="Z204" s="1105"/>
      <c r="AA204" s="1105"/>
      <c r="AB204" s="1105"/>
      <c r="AC204" s="1105"/>
      <c r="AD204" s="1106"/>
    </row>
    <row r="205" spans="2:30" ht="11.25" customHeight="1">
      <c r="B205" s="863"/>
      <c r="C205" s="1115" t="s">
        <v>595</v>
      </c>
      <c r="D205" s="860"/>
      <c r="E205" s="1116">
        <v>75</v>
      </c>
      <c r="F205" s="864"/>
      <c r="G205" s="864"/>
      <c r="H205" s="864"/>
      <c r="I205" s="864"/>
      <c r="J205" s="864"/>
      <c r="K205" s="864"/>
      <c r="L205" s="864"/>
      <c r="M205" s="864"/>
      <c r="N205" s="864"/>
      <c r="O205" s="864"/>
      <c r="P205" s="864"/>
      <c r="Q205" s="864"/>
      <c r="R205" s="864"/>
      <c r="S205" s="864"/>
      <c r="T205" s="864"/>
      <c r="U205" s="864"/>
      <c r="V205" s="864"/>
      <c r="W205" s="1104"/>
      <c r="X205" s="864"/>
      <c r="Y205" s="864"/>
      <c r="Z205" s="864"/>
      <c r="AA205" s="864"/>
      <c r="AB205" s="864"/>
      <c r="AC205" s="864"/>
      <c r="AD205" s="1110"/>
    </row>
    <row r="206" spans="2:30" ht="11.25" customHeight="1" thickBot="1">
      <c r="B206" s="868"/>
      <c r="C206" s="1117" t="s">
        <v>596</v>
      </c>
      <c r="D206" s="869"/>
      <c r="E206" s="1118">
        <f>'Fleet Update'!N15</f>
        <v>180.88901734104047</v>
      </c>
      <c r="F206" s="869"/>
      <c r="G206" s="869"/>
      <c r="H206" s="869"/>
      <c r="I206" s="869"/>
      <c r="J206" s="869"/>
      <c r="K206" s="869"/>
      <c r="L206" s="869"/>
      <c r="M206" s="869"/>
      <c r="N206" s="869"/>
      <c r="O206" s="869"/>
      <c r="P206" s="869"/>
      <c r="Q206" s="869"/>
      <c r="R206" s="869"/>
      <c r="S206" s="869"/>
      <c r="T206" s="869"/>
      <c r="U206" s="869"/>
      <c r="V206" s="869"/>
      <c r="W206" s="1111"/>
      <c r="X206" s="869"/>
      <c r="Y206" s="869"/>
      <c r="Z206" s="869"/>
      <c r="AA206" s="869"/>
      <c r="AB206" s="869"/>
      <c r="AC206" s="869"/>
      <c r="AD206" s="1112"/>
    </row>
    <row r="208" spans="2:30" ht="11.25" customHeight="1">
      <c r="B208" s="258" t="s">
        <v>133</v>
      </c>
      <c r="C208" s="259" t="s">
        <v>1015</v>
      </c>
      <c r="D208" s="259"/>
      <c r="E208" s="258"/>
      <c r="F208" s="258"/>
      <c r="G208" s="258"/>
      <c r="H208" s="258"/>
      <c r="I208" s="258"/>
      <c r="J208" s="258"/>
      <c r="K208" s="258"/>
      <c r="L208" s="258"/>
      <c r="M208" s="258"/>
      <c r="N208" s="258"/>
      <c r="O208" s="258"/>
      <c r="P208" s="258"/>
      <c r="Q208" s="258"/>
      <c r="R208" s="258"/>
      <c r="S208" s="258"/>
      <c r="T208" s="258"/>
      <c r="V208" s="258"/>
      <c r="W208" s="258"/>
      <c r="X208" s="258"/>
      <c r="Y208" s="258"/>
      <c r="Z208" s="258"/>
      <c r="AA208" s="258"/>
      <c r="AB208" s="258"/>
      <c r="AC208" s="258"/>
      <c r="AD208" s="258"/>
    </row>
    <row r="209" spans="2:30" ht="11.25" customHeight="1" thickBot="1">
      <c r="E209" s="255"/>
      <c r="F209" s="255"/>
      <c r="G209" s="255"/>
      <c r="H209" s="255"/>
      <c r="I209" s="255"/>
      <c r="J209" s="255"/>
      <c r="K209" s="255"/>
      <c r="L209" s="255"/>
      <c r="M209" s="255"/>
      <c r="N209" s="255"/>
      <c r="O209" s="255"/>
      <c r="P209" s="255"/>
    </row>
    <row r="210" spans="2:30" ht="11.25" customHeight="1">
      <c r="B210" s="508"/>
      <c r="C210" s="581" t="s">
        <v>1016</v>
      </c>
      <c r="D210" s="473"/>
      <c r="E210" s="562"/>
      <c r="F210" s="562"/>
      <c r="G210" s="562"/>
      <c r="H210" s="562"/>
      <c r="I210" s="562"/>
      <c r="J210" s="562"/>
      <c r="K210" s="562"/>
      <c r="L210" s="562"/>
      <c r="M210" s="562"/>
      <c r="N210" s="562"/>
      <c r="O210" s="562"/>
      <c r="P210" s="562"/>
      <c r="Q210" s="473"/>
      <c r="R210" s="473"/>
      <c r="S210" s="473"/>
      <c r="T210" s="473"/>
      <c r="U210" s="473"/>
      <c r="V210" s="473"/>
      <c r="W210" s="473"/>
      <c r="X210" s="473"/>
      <c r="Y210" s="473"/>
      <c r="Z210" s="473"/>
      <c r="AA210" s="473"/>
      <c r="AB210" s="473"/>
      <c r="AC210" s="473"/>
      <c r="AD210" s="474"/>
    </row>
    <row r="211" spans="2:30" ht="11.25" customHeight="1">
      <c r="B211" s="425"/>
      <c r="C211" s="253" t="str">
        <f>'AAL Financials'!C15</f>
        <v>Aircraft fuel and related taxes</v>
      </c>
      <c r="E211" s="254">
        <f t="shared" ref="E211:Q211" si="169">E15</f>
        <v>2149</v>
      </c>
      <c r="F211" s="254">
        <f t="shared" si="169"/>
        <v>2482</v>
      </c>
      <c r="G211" s="254">
        <f t="shared" si="169"/>
        <v>2474</v>
      </c>
      <c r="H211" s="254">
        <f t="shared" si="169"/>
        <v>2290</v>
      </c>
      <c r="I211" s="254">
        <f t="shared" si="169"/>
        <v>1784</v>
      </c>
      <c r="J211" s="254">
        <f t="shared" si="169"/>
        <v>309</v>
      </c>
      <c r="K211" s="254">
        <f t="shared" si="169"/>
        <v>611</v>
      </c>
      <c r="L211" s="254">
        <f t="shared" si="169"/>
        <v>698</v>
      </c>
      <c r="M211" s="254">
        <f t="shared" si="169"/>
        <v>1034</v>
      </c>
      <c r="N211" s="254">
        <f t="shared" si="169"/>
        <v>1611</v>
      </c>
      <c r="O211" s="254">
        <f t="shared" si="169"/>
        <v>1952</v>
      </c>
      <c r="P211" s="254">
        <f t="shared" si="169"/>
        <v>2196</v>
      </c>
      <c r="Q211" s="254">
        <f t="shared" si="169"/>
        <v>2502</v>
      </c>
      <c r="R211" s="254">
        <f>R220*R222</f>
        <v>4639.8568557243807</v>
      </c>
      <c r="S211" s="254">
        <f>S220*S222</f>
        <v>4226.4952299357419</v>
      </c>
      <c r="T211" s="254">
        <f>T220*T222</f>
        <v>3512.3351716697712</v>
      </c>
      <c r="U211" s="287"/>
      <c r="V211" s="254">
        <f>V15</f>
        <v>7510</v>
      </c>
      <c r="W211" s="254">
        <f>W15</f>
        <v>9896</v>
      </c>
      <c r="X211" s="254">
        <f>+SUMIF($E$5:$T$5,X$5,$E211:$T211)</f>
        <v>9395</v>
      </c>
      <c r="Y211" s="254">
        <f>+SUMIF($E$5:$T$5,Y$5,$E211:$T211)</f>
        <v>3402</v>
      </c>
      <c r="Z211" s="254">
        <f>+SUMIF($E$5:$T$5,Z$5,$E211:$T211)</f>
        <v>6793</v>
      </c>
      <c r="AA211" s="254">
        <f>+SUMIF($E$5:$T$5,AA$5,$E211:$T211)</f>
        <v>14880.687257329893</v>
      </c>
      <c r="AB211" s="254">
        <f>AB220*AB222</f>
        <v>13536.992009606871</v>
      </c>
      <c r="AC211" s="254">
        <f>AC220*AC222</f>
        <v>12624.554568336482</v>
      </c>
      <c r="AD211" s="505">
        <f>AD220*AD222</f>
        <v>12901.155247658509</v>
      </c>
    </row>
    <row r="212" spans="2:30" ht="11.25" customHeight="1">
      <c r="B212" s="425"/>
      <c r="AD212" s="426"/>
    </row>
    <row r="213" spans="2:30" s="380" customFormat="1" ht="11.25" customHeight="1">
      <c r="B213" s="662"/>
      <c r="C213" s="253" t="s">
        <v>466</v>
      </c>
      <c r="E213" s="564">
        <f>SUMIF(Info!$H$8:$H$69,E$6,Info!$E$6:$E$101)</f>
        <v>1.8666666666666665</v>
      </c>
      <c r="F213" s="564">
        <f>SUMIF(Info!$C$6:$C$101,F$6,Info!$E$6:$E$101)</f>
        <v>1.9219999999999999</v>
      </c>
      <c r="G213" s="564">
        <f>SUMIF(Info!$C$6:$C$101,G$6,Info!$E$6:$E$101)</f>
        <v>1.8623333333333332</v>
      </c>
      <c r="H213" s="564">
        <f>SUMIF(Info!$C$6:$C$101,H$6,Info!$E$6:$E$101)</f>
        <v>1.8593333333333335</v>
      </c>
      <c r="I213" s="564">
        <f>SUMIF(Info!$C$6:$C$101,I$6,Info!$E$6:$E$101)</f>
        <v>1.4106666666666667</v>
      </c>
      <c r="J213" s="564">
        <f>SUMIF(Info!$C$6:$C$101,J$6,Info!$E$6:$E$101)</f>
        <v>0.7583333333333333</v>
      </c>
      <c r="K213" s="564">
        <f>SUMIF(Info!$C$6:$C$101,K$6,Info!$E$6:$E$101)</f>
        <v>1.0673333333333332</v>
      </c>
      <c r="L213" s="564">
        <f>SUMIF(Info!$C$6:$C$101,L$6,Info!$E$6:$E$101)</f>
        <v>1.1679999999999999</v>
      </c>
      <c r="M213" s="564">
        <f>SUMIF(Info!$C$6:$C$101,M$6,Info!$E$6:$E$101)</f>
        <v>1.5606666666666669</v>
      </c>
      <c r="N213" s="564">
        <f>SUMIF(Info!$C$6:$C$101,N$6,Info!$E$6:$E$101)</f>
        <v>1.7593333333333334</v>
      </c>
      <c r="O213" s="564">
        <f>SUMIF(Info!$C$6:$C$101,O$6,Info!$E$6:$E$101)</f>
        <v>1.9023333333333332</v>
      </c>
      <c r="P213" s="564">
        <f>SUMIF(Info!$C$6:$C$101,P$6,Info!$E$6:$E$101)</f>
        <v>2.1946666666666665</v>
      </c>
      <c r="Q213" s="564">
        <f>SUMIF(Info!$C$6:$C$101,Q$6,Info!$E$6:$E$101)</f>
        <v>2.8743333333333339</v>
      </c>
      <c r="R213" s="564">
        <f>SUMIF(Info!$C$6:$C$101,R$6,Info!$E$6:$E$101)</f>
        <v>3.9786666666666668</v>
      </c>
      <c r="S213" s="564">
        <f>SUMIF(Info!$C$6:$C$101,S$6,Info!$E$6:$E$101)</f>
        <v>3.4438999999999997</v>
      </c>
      <c r="T213" s="564">
        <f>SUMIF(Info!$C$6:$C$101,T$6,Info!$E$6:$E$101)</f>
        <v>3.2074666666666665</v>
      </c>
      <c r="U213" s="387"/>
      <c r="V213" s="564">
        <f>SUMIF(Info!$C$6:$C$101,V$6,Info!$F$6:$F$101)</f>
        <v>1.5614166666666665</v>
      </c>
      <c r="W213" s="564">
        <f>SUMIF(Info!$C$6:$C$101,W$6,Info!$F$6:$F$101)</f>
        <v>2.0314583333333331</v>
      </c>
      <c r="X213" s="564">
        <f>SUMIF(Info!$C$6:$C$101,X$6,Info!$F$6:$F$101)</f>
        <v>1.8775833333333334</v>
      </c>
      <c r="Y213" s="564">
        <f>SUMIF(Info!$C$6:$C$101,Y$6,Info!$F$6:$F$101)</f>
        <v>1.1010833333333334</v>
      </c>
      <c r="Z213" s="564">
        <f>SUMIF(Info!$C$6:$C$101,Z$6,Info!$F$6:$F$101)</f>
        <v>1.85425</v>
      </c>
      <c r="AA213" s="564">
        <f>SUMIF(Info!$C$6:$C$101,AA$6,Info!$F$6:$F$101)</f>
        <v>3.3760916666666669</v>
      </c>
      <c r="AB213" s="564">
        <f>SUMIF(Info!$C$6:$C$101,AB$6,Info!$F$6:$F$101)</f>
        <v>2.8819250000000003</v>
      </c>
      <c r="AC213" s="564">
        <f>SUMIF(Info!$C$6:$C$101,AC$6,Info!$F$6:$F$101)</f>
        <v>2.5544750000000001</v>
      </c>
      <c r="AD213" s="565">
        <f>AC213</f>
        <v>2.5544750000000001</v>
      </c>
    </row>
    <row r="214" spans="2:30" s="380" customFormat="1" ht="11.25" customHeight="1">
      <c r="B214" s="662"/>
      <c r="C214" s="253" t="s">
        <v>579</v>
      </c>
      <c r="E214" s="564">
        <f>SUMIF(Info!$H$8:$H$69,E$6,Info!$S$8:$S$69)</f>
        <v>1.97</v>
      </c>
      <c r="F214" s="564">
        <f>SUMIF(Info!$H$8:$H$69,F$6,Info!$S$8:$S$69)</f>
        <v>2.06</v>
      </c>
      <c r="G214" s="564">
        <f>SUMIF(Info!$H$8:$H$69,G$6,Info!$S$8:$S$69)</f>
        <v>1.96</v>
      </c>
      <c r="H214" s="564">
        <f>SUMIF(Info!$H$8:$H$69,H$6,Info!$S$8:$S$69)</f>
        <v>1.9866666666666666</v>
      </c>
      <c r="I214" s="564">
        <f>SUMIF(Info!$H$8:$H$69,I$6,Info!$S$8:$S$69)</f>
        <v>1.7566666666666666</v>
      </c>
      <c r="J214" s="564">
        <f>SUMIF(Info!$H$8:$H$69,J$6,Info!$S$8:$S$69)</f>
        <v>1.1633333333333333</v>
      </c>
      <c r="K214" s="564">
        <f>SUMIF(Info!$H$8:$H$69,K$6,Info!$S$8:$S$69)</f>
        <v>1.1833333333333333</v>
      </c>
      <c r="L214" s="564">
        <f>SUMIF(Info!$H$8:$H$69,L$6,Info!$S$8:$S$69)</f>
        <v>1.2633333333333334</v>
      </c>
      <c r="M214" s="564">
        <f>SUMIF(Info!$H$8:$H$69,M$6,Info!$S$8:$S$69)</f>
        <v>1.6533333333333335</v>
      </c>
      <c r="N214" s="564">
        <f>SUMIF(Info!$H$8:$H$69,N$6,Info!$S$8:$S$69)</f>
        <v>1.9166666666666667</v>
      </c>
      <c r="O214" s="564">
        <f>SUMIF(Info!$H$8:$H$69,O$6,Info!$S$8:$S$69)</f>
        <v>1.9833333333333334</v>
      </c>
      <c r="P214" s="564">
        <f>SUMIF(Info!$H$8:$H$69,P$6,Info!$S$8:$S$69)</f>
        <v>2.2266666666666666</v>
      </c>
      <c r="Q214" s="663"/>
      <c r="R214" s="663"/>
      <c r="S214" s="663"/>
      <c r="T214" s="663"/>
      <c r="U214" s="387"/>
      <c r="V214" s="564">
        <f>SUMIF(Info!$H$8:$H$69,V$6,Info!$T$8:$T$69)</f>
        <v>1.6950000000000001</v>
      </c>
      <c r="W214" s="564">
        <f>SUMIF(Info!$H$8:$H$69,W$6,Info!$T$8:$T$69)</f>
        <v>2.1491666666666664</v>
      </c>
      <c r="X214" s="564">
        <f>SUMIF(Info!$H$8:$H$69,X$6,Info!$T$8:$T$69)</f>
        <v>1.9941666666666666</v>
      </c>
      <c r="Y214" s="564">
        <f>SUMIF(Info!$H$8:$H$69,Y$6,Info!$T$8:$T$69)</f>
        <v>1.3416666666666668</v>
      </c>
      <c r="Z214" s="564">
        <f>SUMIF(Info!$H$8:$H$69,Z$6,Info!$T$8:$T$69)</f>
        <v>1.9450000000000001</v>
      </c>
      <c r="AA214" s="663"/>
      <c r="AB214" s="663"/>
      <c r="AC214" s="663"/>
      <c r="AD214" s="664"/>
    </row>
    <row r="215" spans="2:30" s="380" customFormat="1" ht="11.25" customHeight="1">
      <c r="B215" s="662"/>
      <c r="C215" s="253"/>
      <c r="E215" s="564"/>
      <c r="F215" s="564"/>
      <c r="G215" s="564"/>
      <c r="H215" s="564"/>
      <c r="I215" s="564"/>
      <c r="J215" s="564"/>
      <c r="K215" s="564"/>
      <c r="L215" s="564"/>
      <c r="M215" s="564"/>
      <c r="N215" s="564"/>
      <c r="O215" s="564"/>
      <c r="P215" s="564"/>
      <c r="Q215" s="387"/>
      <c r="R215" s="387"/>
      <c r="S215" s="387"/>
      <c r="T215" s="387"/>
      <c r="U215" s="387"/>
      <c r="V215" s="387"/>
      <c r="W215" s="387"/>
      <c r="X215" s="387"/>
      <c r="Y215" s="387"/>
      <c r="Z215" s="387"/>
      <c r="AD215" s="665"/>
    </row>
    <row r="216" spans="2:30" s="661" customFormat="1" ht="11.25" customHeight="1">
      <c r="B216" s="666"/>
      <c r="C216" s="278" t="s">
        <v>467</v>
      </c>
      <c r="E216" s="571">
        <f t="shared" ref="E216:Q216" si="170">(E220/E213)-1</f>
        <v>9.3304843304843343E-2</v>
      </c>
      <c r="F216" s="571">
        <f t="shared" si="170"/>
        <v>0.11516680774739907</v>
      </c>
      <c r="G216" s="571">
        <f t="shared" si="170"/>
        <v>9.8793237225196284E-2</v>
      </c>
      <c r="H216" s="571">
        <f t="shared" si="170"/>
        <v>0.10261793919262674</v>
      </c>
      <c r="I216" s="571">
        <f t="shared" si="170"/>
        <v>0.30108053863567408</v>
      </c>
      <c r="J216" s="571">
        <f t="shared" si="170"/>
        <v>0.48171828171828168</v>
      </c>
      <c r="K216" s="571">
        <f t="shared" si="170"/>
        <v>0.14720383928381442</v>
      </c>
      <c r="L216" s="571">
        <f t="shared" si="170"/>
        <v>8.2613658923962774E-2</v>
      </c>
      <c r="M216" s="571">
        <f t="shared" si="170"/>
        <v>8.9699633534926493E-2</v>
      </c>
      <c r="N216" s="571">
        <f t="shared" si="170"/>
        <v>8.4938104876003173E-2</v>
      </c>
      <c r="O216" s="571">
        <f t="shared" si="170"/>
        <v>9.0444514417944655E-2</v>
      </c>
      <c r="P216" s="571">
        <f t="shared" si="170"/>
        <v>7.4766416127108215E-2</v>
      </c>
      <c r="Q216" s="571">
        <f t="shared" si="170"/>
        <v>-2.6328058174369118E-2</v>
      </c>
      <c r="R216" s="296">
        <v>0.15</v>
      </c>
      <c r="S216" s="296">
        <v>0.12</v>
      </c>
      <c r="T216" s="296">
        <v>0.09</v>
      </c>
      <c r="U216" s="667"/>
      <c r="V216" s="571">
        <f t="shared" ref="V216:AA216" si="171">(V220/V213)-1</f>
        <v>0.10517802146743316</v>
      </c>
      <c r="W216" s="571">
        <f t="shared" si="171"/>
        <v>9.5430019032257229E-2</v>
      </c>
      <c r="X216" s="571">
        <f t="shared" si="171"/>
        <v>0.10288132686816986</v>
      </c>
      <c r="Y216" s="571">
        <f t="shared" si="171"/>
        <v>0.34451018351852603</v>
      </c>
      <c r="Z216" s="571">
        <f t="shared" si="171"/>
        <v>0.10212870001218466</v>
      </c>
      <c r="AA216" s="571">
        <f t="shared" si="171"/>
        <v>9.9592036431330966E-2</v>
      </c>
      <c r="AB216" s="296">
        <v>0.09</v>
      </c>
      <c r="AC216" s="296">
        <v>0.09</v>
      </c>
      <c r="AD216" s="570">
        <v>0.09</v>
      </c>
    </row>
    <row r="217" spans="2:30" s="661" customFormat="1" ht="11.25" customHeight="1">
      <c r="B217" s="666"/>
      <c r="C217" s="582" t="s">
        <v>1017</v>
      </c>
      <c r="E217" s="571">
        <f t="shared" ref="E217:P217" si="172">E220/E214-1</f>
        <v>3.595721193013901E-2</v>
      </c>
      <c r="F217" s="571">
        <f t="shared" si="172"/>
        <v>4.0461458490534508E-2</v>
      </c>
      <c r="G217" s="571">
        <f t="shared" si="172"/>
        <v>4.4040444962103908E-2</v>
      </c>
      <c r="H217" s="571">
        <f t="shared" si="172"/>
        <v>3.1946789398737074E-2</v>
      </c>
      <c r="I217" s="571">
        <f t="shared" si="172"/>
        <v>4.4814580551455929E-2</v>
      </c>
      <c r="J217" s="571">
        <f t="shared" si="172"/>
        <v>-3.4123469653555727E-2</v>
      </c>
      <c r="K217" s="571">
        <f t="shared" si="172"/>
        <v>3.4745547432893931E-2</v>
      </c>
      <c r="L217" s="571">
        <f t="shared" si="172"/>
        <v>9.1774693128376938E-4</v>
      </c>
      <c r="M217" s="571">
        <f t="shared" si="172"/>
        <v>2.8623726655347959E-2</v>
      </c>
      <c r="N217" s="571">
        <f t="shared" si="172"/>
        <v>-4.1211621677312849E-3</v>
      </c>
      <c r="O217" s="571">
        <f t="shared" si="172"/>
        <v>4.5910393913144443E-2</v>
      </c>
      <c r="P217" s="571">
        <f t="shared" si="172"/>
        <v>5.9320671224682764E-2</v>
      </c>
      <c r="Q217" s="667"/>
      <c r="R217" s="667"/>
      <c r="S217" s="667"/>
      <c r="T217" s="667"/>
      <c r="U217" s="667"/>
      <c r="V217" s="571">
        <f>V220/V214-1</f>
        <v>1.8078691653652612E-2</v>
      </c>
      <c r="W217" s="571">
        <f>W220/W214-1</f>
        <v>3.5434094182196674E-2</v>
      </c>
      <c r="X217" s="571">
        <f>X220/X214-1</f>
        <v>3.8404478715701629E-2</v>
      </c>
      <c r="Y217" s="571">
        <f>Y220/Y214-1</f>
        <v>0.1034169599273469</v>
      </c>
      <c r="Z217" s="571">
        <f>Z220/Z214-1</f>
        <v>5.0705471464058238E-2</v>
      </c>
      <c r="AA217" s="571"/>
      <c r="AD217" s="668"/>
    </row>
    <row r="218" spans="2:30" s="670" customFormat="1" ht="11.25" customHeight="1">
      <c r="B218" s="669"/>
      <c r="C218" s="278" t="s">
        <v>582</v>
      </c>
      <c r="E218" s="571">
        <f t="shared" ref="E218:P218" si="173">E214/E213-1</f>
        <v>5.5357142857142883E-2</v>
      </c>
      <c r="F218" s="571">
        <f t="shared" si="173"/>
        <v>7.1800208116545416E-2</v>
      </c>
      <c r="G218" s="571">
        <f t="shared" si="173"/>
        <v>5.2443171648469677E-2</v>
      </c>
      <c r="H218" s="571">
        <f t="shared" si="173"/>
        <v>6.8483327357475643E-2</v>
      </c>
      <c r="I218" s="571">
        <f t="shared" si="173"/>
        <v>0.24527410207939493</v>
      </c>
      <c r="J218" s="571">
        <f t="shared" si="173"/>
        <v>0.53406593406593417</v>
      </c>
      <c r="K218" s="571">
        <f t="shared" si="173"/>
        <v>0.10868207370393512</v>
      </c>
      <c r="L218" s="571">
        <f t="shared" si="173"/>
        <v>8.1621004566210242E-2</v>
      </c>
      <c r="M218" s="571">
        <f t="shared" si="173"/>
        <v>5.9376334899615468E-2</v>
      </c>
      <c r="N218" s="571">
        <f t="shared" si="173"/>
        <v>8.9427813565744696E-2</v>
      </c>
      <c r="O218" s="571">
        <f t="shared" si="173"/>
        <v>4.2579288592956122E-2</v>
      </c>
      <c r="P218" s="571">
        <f t="shared" si="173"/>
        <v>1.4580801944106936E-2</v>
      </c>
      <c r="U218" s="534"/>
      <c r="V218" s="571">
        <f>V214/V213-1</f>
        <v>8.5552649837220551E-2</v>
      </c>
      <c r="W218" s="571">
        <f>W214/W213-1</f>
        <v>5.7942775099989685E-2</v>
      </c>
      <c r="X218" s="571">
        <f>X214/X213-1</f>
        <v>6.2092228485198131E-2</v>
      </c>
      <c r="Y218" s="571">
        <f>Y214/Y213-1</f>
        <v>0.21849693483690302</v>
      </c>
      <c r="Z218" s="571">
        <f>Z214/Z213-1</f>
        <v>4.8941620601321345E-2</v>
      </c>
      <c r="AA218" s="571"/>
      <c r="AD218" s="671"/>
    </row>
    <row r="219" spans="2:30" s="380" customFormat="1" ht="11.25" customHeight="1">
      <c r="B219" s="662"/>
      <c r="E219" s="564"/>
      <c r="F219" s="564"/>
      <c r="G219" s="564"/>
      <c r="H219" s="564"/>
      <c r="I219" s="564"/>
      <c r="J219" s="564"/>
      <c r="K219" s="564"/>
      <c r="L219" s="564"/>
      <c r="M219" s="564"/>
      <c r="N219" s="564"/>
      <c r="O219" s="564"/>
      <c r="P219" s="564"/>
      <c r="Q219" s="255"/>
      <c r="R219" s="255"/>
      <c r="S219" s="255"/>
      <c r="T219" s="387"/>
      <c r="U219" s="387"/>
      <c r="V219" s="387"/>
      <c r="W219" s="387"/>
      <c r="X219" s="387"/>
      <c r="Y219" s="387"/>
      <c r="Z219" s="387"/>
      <c r="AD219" s="665"/>
    </row>
    <row r="220" spans="2:30" s="279" customFormat="1" ht="11.25" customHeight="1">
      <c r="B220" s="573"/>
      <c r="C220" s="491" t="s">
        <v>1018</v>
      </c>
      <c r="D220" s="491"/>
      <c r="E220" s="492">
        <f>-'AAL Financials'!E51/E222</f>
        <v>2.040835707502374</v>
      </c>
      <c r="F220" s="492">
        <f>-'AAL Financials'!F51/F222</f>
        <v>2.1433506044905011</v>
      </c>
      <c r="G220" s="492">
        <f>-'AAL Financials'!G51/G222</f>
        <v>2.0463192721257237</v>
      </c>
      <c r="H220" s="492">
        <f>-'AAL Financials'!H51/H222</f>
        <v>2.0501342882721576</v>
      </c>
      <c r="I220" s="492">
        <f t="shared" ref="I220:Q220" si="174">I211/I222</f>
        <v>1.8353909465020577</v>
      </c>
      <c r="J220" s="492">
        <f t="shared" si="174"/>
        <v>1.1236363636363635</v>
      </c>
      <c r="K220" s="492">
        <f t="shared" si="174"/>
        <v>1.2244488977955912</v>
      </c>
      <c r="L220" s="492">
        <f t="shared" si="174"/>
        <v>1.2644927536231885</v>
      </c>
      <c r="M220" s="492">
        <f t="shared" si="174"/>
        <v>1.700657894736842</v>
      </c>
      <c r="N220" s="492">
        <f t="shared" si="174"/>
        <v>1.9087677725118484</v>
      </c>
      <c r="O220" s="492">
        <f t="shared" si="174"/>
        <v>2.0743889479277366</v>
      </c>
      <c r="P220" s="492">
        <f t="shared" si="174"/>
        <v>2.3587540279269601</v>
      </c>
      <c r="Q220" s="492">
        <f t="shared" si="174"/>
        <v>2.7986577181208054</v>
      </c>
      <c r="R220" s="492">
        <f>R213*(1+R216)</f>
        <v>4.5754666666666663</v>
      </c>
      <c r="S220" s="492">
        <f>S213*(1+S216)</f>
        <v>3.8571680000000002</v>
      </c>
      <c r="T220" s="492">
        <f>T213*(1+T216)</f>
        <v>3.4961386666666665</v>
      </c>
      <c r="U220" s="253"/>
      <c r="V220" s="492">
        <f t="shared" ref="V220:AA220" si="175">V211/V222</f>
        <v>1.7256433823529411</v>
      </c>
      <c r="W220" s="492">
        <f t="shared" si="175"/>
        <v>2.2253204407465708</v>
      </c>
      <c r="X220" s="492">
        <f t="shared" si="175"/>
        <v>2.0707515979722282</v>
      </c>
      <c r="Y220" s="492">
        <f t="shared" si="175"/>
        <v>1.4804177545691906</v>
      </c>
      <c r="Z220" s="492">
        <f t="shared" si="175"/>
        <v>2.0436221419975933</v>
      </c>
      <c r="AA220" s="492">
        <f t="shared" si="175"/>
        <v>3.7123235109288464</v>
      </c>
      <c r="AB220" s="492">
        <f>AB213*(1+AB216)</f>
        <v>3.1412982500000006</v>
      </c>
      <c r="AC220" s="492">
        <f>AC213*(1+AC216)</f>
        <v>2.7843777500000004</v>
      </c>
      <c r="AD220" s="575">
        <f>AD213*(1+AD216)</f>
        <v>2.7843777500000004</v>
      </c>
    </row>
    <row r="221" spans="2:30" s="380" customFormat="1" ht="11.25" customHeight="1">
      <c r="B221" s="662"/>
      <c r="E221" s="564"/>
      <c r="F221" s="564"/>
      <c r="G221" s="564"/>
      <c r="H221" s="564"/>
      <c r="I221" s="564"/>
      <c r="J221" s="564"/>
      <c r="K221" s="564"/>
      <c r="L221" s="564"/>
      <c r="M221" s="564"/>
      <c r="N221" s="564"/>
      <c r="O221" s="564"/>
      <c r="P221" s="564"/>
      <c r="Q221" s="387"/>
      <c r="R221" s="387"/>
      <c r="S221" s="255"/>
      <c r="T221" s="255"/>
      <c r="U221" s="387"/>
      <c r="V221" s="387"/>
      <c r="W221" s="387"/>
      <c r="X221" s="387"/>
      <c r="Y221" s="387"/>
      <c r="Z221" s="387"/>
      <c r="AA221" s="387"/>
      <c r="AB221" s="387"/>
      <c r="AC221" s="387"/>
      <c r="AD221" s="665"/>
    </row>
    <row r="222" spans="2:30" ht="11.25" customHeight="1">
      <c r="B222" s="425"/>
      <c r="C222" s="484" t="s">
        <v>1019</v>
      </c>
      <c r="E222" s="277">
        <v>1053</v>
      </c>
      <c r="F222" s="277">
        <v>1158</v>
      </c>
      <c r="G222" s="277">
        <v>1209</v>
      </c>
      <c r="H222" s="277">
        <v>1117</v>
      </c>
      <c r="I222" s="277">
        <v>972</v>
      </c>
      <c r="J222" s="277">
        <v>275</v>
      </c>
      <c r="K222" s="277">
        <v>499</v>
      </c>
      <c r="L222" s="277">
        <v>552</v>
      </c>
      <c r="M222" s="277">
        <v>608</v>
      </c>
      <c r="N222" s="277">
        <v>844</v>
      </c>
      <c r="O222" s="277">
        <v>941</v>
      </c>
      <c r="P222" s="277">
        <v>931</v>
      </c>
      <c r="Q222" s="277">
        <v>894</v>
      </c>
      <c r="R222" s="255">
        <f>R121/R223*1000</f>
        <v>1014.0729227745908</v>
      </c>
      <c r="S222" s="255">
        <f>S121/S223*1000</f>
        <v>1095.7508799035306</v>
      </c>
      <c r="T222" s="255">
        <f>T121/T223*1000</f>
        <v>1004.6326838112938</v>
      </c>
      <c r="V222" s="277">
        <v>4352</v>
      </c>
      <c r="W222" s="277">
        <v>4447</v>
      </c>
      <c r="X222" s="254">
        <f>+SUMIF($E$5:$T$5,X$5,$E222:$T222)</f>
        <v>4537</v>
      </c>
      <c r="Y222" s="254">
        <f>+SUMIF($E$5:$T$5,Y$5,$E222:$T222)</f>
        <v>2298</v>
      </c>
      <c r="Z222" s="254">
        <f>+SUMIF($E$5:$T$5,Z$5,$E222:$T222)</f>
        <v>3324</v>
      </c>
      <c r="AA222" s="254">
        <f>+SUMIF($E$5:$T$5,AA$5,$E222:$T222)</f>
        <v>4008.4564864894151</v>
      </c>
      <c r="AB222" s="255">
        <f>AB121/AB223*1000</f>
        <v>4309.3622229620723</v>
      </c>
      <c r="AC222" s="255">
        <f>AC121/AC223*1000</f>
        <v>4534.0667473500962</v>
      </c>
      <c r="AD222" s="504">
        <f>AD121/AD223*1000</f>
        <v>4633.4069605528584</v>
      </c>
    </row>
    <row r="223" spans="2:30" ht="11.25" customHeight="1">
      <c r="B223" s="425"/>
      <c r="C223" s="253" t="s">
        <v>416</v>
      </c>
      <c r="E223" s="255">
        <f t="shared" ref="E223:Q223" si="176">E121/E222*1000</f>
        <v>63.318138651471983</v>
      </c>
      <c r="F223" s="255">
        <f t="shared" si="176"/>
        <v>62.454231433506038</v>
      </c>
      <c r="G223" s="255">
        <f t="shared" si="176"/>
        <v>62.712985938792393</v>
      </c>
      <c r="H223" s="255">
        <f t="shared" si="176"/>
        <v>62.911369740376003</v>
      </c>
      <c r="I223" s="255">
        <f t="shared" si="176"/>
        <v>63.887860082304528</v>
      </c>
      <c r="J223" s="255">
        <f t="shared" si="176"/>
        <v>62.11272727272727</v>
      </c>
      <c r="K223" s="255">
        <f t="shared" si="176"/>
        <v>61.659318637274552</v>
      </c>
      <c r="L223" s="255">
        <f t="shared" si="176"/>
        <v>60.179347826086946</v>
      </c>
      <c r="M223" s="255">
        <f t="shared" si="176"/>
        <v>62.111842105263158</v>
      </c>
      <c r="N223" s="255">
        <f t="shared" si="176"/>
        <v>64.638625592417071</v>
      </c>
      <c r="O223" s="255">
        <f t="shared" si="176"/>
        <v>64.94261424017003</v>
      </c>
      <c r="P223" s="255">
        <f t="shared" si="176"/>
        <v>65.633727175080551</v>
      </c>
      <c r="Q223" s="255">
        <f t="shared" si="176"/>
        <v>66.591722595078295</v>
      </c>
      <c r="R223" s="255">
        <f>(R227+1)*F223</f>
        <v>66.32639378238342</v>
      </c>
      <c r="S223" s="255">
        <f>(S227+1)*G223</f>
        <v>65.848635235732019</v>
      </c>
      <c r="T223" s="255">
        <f>(T227+1)*H223</f>
        <v>66.96915308863025</v>
      </c>
      <c r="V223" s="255">
        <f t="shared" ref="V223:AA223" si="177">V121/V222*1000</f>
        <v>63.532398897058819</v>
      </c>
      <c r="W223" s="255">
        <f t="shared" si="177"/>
        <v>63.425680233865521</v>
      </c>
      <c r="X223" s="255">
        <f t="shared" si="177"/>
        <v>62.836235397839985</v>
      </c>
      <c r="Y223" s="255">
        <f t="shared" si="177"/>
        <v>62.300696257615307</v>
      </c>
      <c r="Z223" s="255">
        <f t="shared" si="177"/>
        <v>64.541215403128746</v>
      </c>
      <c r="AA223" s="255">
        <f t="shared" si="177"/>
        <v>66.416063364369762</v>
      </c>
      <c r="AB223" s="255">
        <f>(AB227+1)*$X223</f>
        <v>66.60640952171039</v>
      </c>
      <c r="AC223" s="255">
        <f>(AC227+1)*$X223</f>
        <v>66.920590698699584</v>
      </c>
      <c r="AD223" s="504">
        <f>(AD227+1)*$X223</f>
        <v>67.234771875688793</v>
      </c>
    </row>
    <row r="224" spans="2:30" ht="11.25" customHeight="1">
      <c r="B224" s="425"/>
      <c r="AD224" s="426"/>
    </row>
    <row r="225" spans="2:30" s="278" customFormat="1" ht="11.25" customHeight="1">
      <c r="B225" s="573"/>
      <c r="C225" s="392" t="s">
        <v>1020</v>
      </c>
      <c r="AD225" s="574"/>
    </row>
    <row r="226" spans="2:30" s="278" customFormat="1" ht="11.25" customHeight="1">
      <c r="B226" s="573"/>
      <c r="C226" s="582" t="s">
        <v>1021</v>
      </c>
      <c r="I226" s="297">
        <f>I222/E222-1</f>
        <v>-7.6923076923076872E-2</v>
      </c>
      <c r="J226" s="297">
        <f t="shared" ref="J226:L227" si="178">J222/F222-1</f>
        <v>-0.76252158894645938</v>
      </c>
      <c r="K226" s="297">
        <f t="shared" si="178"/>
        <v>-0.58726220016542596</v>
      </c>
      <c r="L226" s="297">
        <f t="shared" si="178"/>
        <v>-0.50581915846016112</v>
      </c>
      <c r="M226" s="297">
        <f>M222/E222-1</f>
        <v>-0.42260208926875598</v>
      </c>
      <c r="N226" s="297">
        <f>N222/F222-1</f>
        <v>-0.27115716753022456</v>
      </c>
      <c r="O226" s="297">
        <f t="shared" ref="O226:Q227" si="179">O222/G222-1</f>
        <v>-0.22167080231596359</v>
      </c>
      <c r="P226" s="297">
        <f t="shared" si="179"/>
        <v>-0.16651745747538049</v>
      </c>
      <c r="Q226" s="297">
        <f>Q222/E222-1</f>
        <v>-0.15099715099715094</v>
      </c>
      <c r="R226" s="297">
        <f>R222/F222-1</f>
        <v>-0.12428935857116508</v>
      </c>
      <c r="S226" s="297">
        <f>S222/G222-1</f>
        <v>-9.3671728781198782E-2</v>
      </c>
      <c r="T226" s="297">
        <f>T222/H222-1</f>
        <v>-0.10059741825309421</v>
      </c>
      <c r="W226" s="297">
        <f t="shared" ref="W226:Y227" si="180">W222/V222-1</f>
        <v>2.1829044117646967E-2</v>
      </c>
      <c r="X226" s="297">
        <f t="shared" si="180"/>
        <v>2.0238362941308763E-2</v>
      </c>
      <c r="Y226" s="297">
        <f t="shared" si="180"/>
        <v>-0.49349790610535593</v>
      </c>
      <c r="Z226" s="297">
        <f>Z222/$X222-1</f>
        <v>-0.26735728454926166</v>
      </c>
      <c r="AA226" s="297">
        <f>AA222/$X222-1</f>
        <v>-0.11649625600850455</v>
      </c>
      <c r="AB226" s="297">
        <f>AB222/$X222-1</f>
        <v>-5.0173633907411919E-2</v>
      </c>
      <c r="AC226" s="297">
        <f>AC222/$X222-1</f>
        <v>-6.4651810665716791E-4</v>
      </c>
      <c r="AD226" s="672">
        <f>AD222/$X222-1</f>
        <v>2.1249054563116321E-2</v>
      </c>
    </row>
    <row r="227" spans="2:30" s="278" customFormat="1" ht="11.25" customHeight="1">
      <c r="B227" s="573"/>
      <c r="C227" s="278" t="s">
        <v>591</v>
      </c>
      <c r="I227" s="297">
        <f>I223/E223-1</f>
        <v>8.9977602463728878E-3</v>
      </c>
      <c r="J227" s="297">
        <f t="shared" si="178"/>
        <v>-5.4680708246703791E-3</v>
      </c>
      <c r="K227" s="297">
        <f t="shared" si="178"/>
        <v>-1.6801421360262081E-2</v>
      </c>
      <c r="L227" s="297">
        <f t="shared" si="178"/>
        <v>-4.3426520922428269E-2</v>
      </c>
      <c r="M227" s="297">
        <f>M223/E223-1</f>
        <v>-1.9051358297955678E-2</v>
      </c>
      <c r="N227" s="297">
        <f>N223/F223-1</f>
        <v>3.4975919305591407E-2</v>
      </c>
      <c r="O227" s="297">
        <f t="shared" si="179"/>
        <v>3.5552896549268853E-2</v>
      </c>
      <c r="P227" s="297">
        <f t="shared" si="179"/>
        <v>4.3272900366646549E-2</v>
      </c>
      <c r="Q227" s="297">
        <f t="shared" si="179"/>
        <v>4.232200780070694E-2</v>
      </c>
      <c r="R227" s="296">
        <v>6.2E-2</v>
      </c>
      <c r="S227" s="296">
        <v>0.05</v>
      </c>
      <c r="T227" s="296">
        <v>6.4500000000000002E-2</v>
      </c>
      <c r="W227" s="297">
        <f t="shared" si="180"/>
        <v>-1.6797518281375101E-3</v>
      </c>
      <c r="X227" s="297">
        <f t="shared" si="180"/>
        <v>-9.2934728307542125E-3</v>
      </c>
      <c r="Y227" s="297">
        <f t="shared" si="180"/>
        <v>-8.5227757015355898E-3</v>
      </c>
      <c r="Z227" s="297">
        <f>Z223/$X223-1</f>
        <v>2.7133707079902036E-2</v>
      </c>
      <c r="AA227" s="297">
        <f>AA223/$X223-1</f>
        <v>5.6970758096256624E-2</v>
      </c>
      <c r="AB227" s="296">
        <v>0.06</v>
      </c>
      <c r="AC227" s="296">
        <v>6.5000000000000002E-2</v>
      </c>
      <c r="AD227" s="570">
        <v>7.0000000000000007E-2</v>
      </c>
    </row>
    <row r="228" spans="2:30" ht="11.25" customHeight="1">
      <c r="B228" s="425"/>
      <c r="U228" s="278"/>
      <c r="AD228" s="426"/>
    </row>
    <row r="229" spans="2:30" s="278" customFormat="1" ht="11.25" customHeight="1">
      <c r="B229" s="573"/>
      <c r="C229" s="587" t="s">
        <v>588</v>
      </c>
      <c r="D229" s="486"/>
      <c r="E229" s="486"/>
      <c r="F229" s="486"/>
      <c r="G229" s="486"/>
      <c r="H229" s="486"/>
      <c r="I229" s="519"/>
      <c r="J229" s="519"/>
      <c r="K229" s="519"/>
      <c r="L229" s="519"/>
      <c r="M229" s="519"/>
      <c r="N229" s="519"/>
      <c r="O229" s="519"/>
      <c r="P229" s="519"/>
      <c r="Q229" s="519"/>
      <c r="R229" s="519"/>
      <c r="S229" s="519"/>
      <c r="T229" s="519"/>
      <c r="V229" s="486"/>
      <c r="W229" s="486"/>
      <c r="X229" s="486"/>
      <c r="Y229" s="486"/>
      <c r="Z229" s="486"/>
      <c r="AA229" s="486"/>
      <c r="AB229" s="486"/>
      <c r="AC229" s="486"/>
      <c r="AD229" s="520"/>
    </row>
    <row r="230" spans="2:30" s="278" customFormat="1" ht="11.25" customHeight="1">
      <c r="B230" s="573"/>
      <c r="C230" s="486" t="s">
        <v>586</v>
      </c>
      <c r="D230" s="486"/>
      <c r="E230" s="486"/>
      <c r="F230" s="486"/>
      <c r="G230" s="486"/>
      <c r="H230" s="486"/>
      <c r="I230" s="487">
        <f>I220/E220-1</f>
        <v>-0.10066697688847515</v>
      </c>
      <c r="J230" s="487">
        <f>J220/F220-1</f>
        <v>-0.47575708739286504</v>
      </c>
      <c r="K230" s="487">
        <f>K220/G220-1</f>
        <v>-0.40163350144103893</v>
      </c>
      <c r="L230" s="487">
        <f>L220/H220-1</f>
        <v>-0.38321466995759756</v>
      </c>
      <c r="M230" s="487">
        <f>M220/E220-1</f>
        <v>-0.16668554529646584</v>
      </c>
      <c r="N230" s="487">
        <f>N220/F220-1</f>
        <v>-0.10944678462178881</v>
      </c>
      <c r="O230" s="487">
        <f>O220/G220-1</f>
        <v>1.3717153615454114E-2</v>
      </c>
      <c r="P230" s="487">
        <f>P220/H220-1</f>
        <v>0.15053635336000637</v>
      </c>
      <c r="Q230" s="487">
        <f>Q220/E220-1</f>
        <v>0.37132925880931067</v>
      </c>
      <c r="R230" s="487">
        <f>R220/F220-1</f>
        <v>1.1347261885576145</v>
      </c>
      <c r="S230" s="487">
        <f>S220/G220-1</f>
        <v>0.88492971382376728</v>
      </c>
      <c r="T230" s="487">
        <f>T220/H220-1</f>
        <v>0.70532178631732156</v>
      </c>
      <c r="V230" s="486"/>
      <c r="W230" s="487"/>
      <c r="X230" s="487"/>
      <c r="Y230" s="487">
        <f t="shared" ref="Y230:AD230" si="181">Y220/$X220-1</f>
        <v>-0.28508192097068463</v>
      </c>
      <c r="Z230" s="487">
        <f t="shared" si="181"/>
        <v>-1.3101260431816808E-2</v>
      </c>
      <c r="AA230" s="487">
        <f t="shared" si="181"/>
        <v>0.79274207228144511</v>
      </c>
      <c r="AB230" s="487">
        <f t="shared" si="181"/>
        <v>0.51698458331559372</v>
      </c>
      <c r="AC230" s="487">
        <f t="shared" si="181"/>
        <v>0.34462180433741385</v>
      </c>
      <c r="AD230" s="521">
        <f t="shared" si="181"/>
        <v>0.34462180433741385</v>
      </c>
    </row>
    <row r="231" spans="2:30" s="278" customFormat="1" ht="11.25" customHeight="1">
      <c r="B231" s="573"/>
      <c r="C231" s="487" t="s">
        <v>592</v>
      </c>
      <c r="D231" s="486"/>
      <c r="E231" s="486"/>
      <c r="F231" s="486"/>
      <c r="G231" s="486"/>
      <c r="H231" s="486"/>
      <c r="I231" s="487">
        <f t="shared" ref="I231:T231" si="182">I137</f>
        <v>-6.8617452080271146E-2</v>
      </c>
      <c r="J231" s="487">
        <f t="shared" si="182"/>
        <v>-0.76382013771743029</v>
      </c>
      <c r="K231" s="487">
        <f t="shared" si="182"/>
        <v>-0.59419678185175417</v>
      </c>
      <c r="L231" s="487">
        <f t="shared" si="182"/>
        <v>-0.52727971311475419</v>
      </c>
      <c r="M231" s="487">
        <f t="shared" si="182"/>
        <v>-0.43360230374658781</v>
      </c>
      <c r="N231" s="487">
        <f t="shared" si="182"/>
        <v>-0.24566521943530306</v>
      </c>
      <c r="O231" s="487">
        <f t="shared" si="182"/>
        <v>-0.1939989448694277</v>
      </c>
      <c r="P231" s="487">
        <f t="shared" si="182"/>
        <v>-0.1304502504553734</v>
      </c>
      <c r="Q231" s="487">
        <f t="shared" si="182"/>
        <v>-0.10710321864594885</v>
      </c>
      <c r="R231" s="487">
        <f t="shared" si="182"/>
        <v>-6.9995298802577266E-2</v>
      </c>
      <c r="S231" s="487">
        <f t="shared" si="182"/>
        <v>-4.8355315220258599E-2</v>
      </c>
      <c r="T231" s="487">
        <f t="shared" si="182"/>
        <v>-4.2585951730418903E-2</v>
      </c>
      <c r="V231" s="486"/>
      <c r="W231" s="487"/>
      <c r="X231" s="487"/>
      <c r="Y231" s="487">
        <f t="shared" ref="Y231:AD231" si="183">Y137</f>
        <v>-0.49781470984397813</v>
      </c>
      <c r="Z231" s="487">
        <f t="shared" si="183"/>
        <v>-0.24747797171399721</v>
      </c>
      <c r="AA231" s="487">
        <f t="shared" si="183"/>
        <v>-6.6162377932427852E-2</v>
      </c>
      <c r="AB231" s="487">
        <f t="shared" si="183"/>
        <v>6.8159480581433396E-3</v>
      </c>
      <c r="AC231" s="487">
        <f t="shared" si="183"/>
        <v>6.4311458216410156E-2</v>
      </c>
      <c r="AD231" s="521">
        <f t="shared" si="183"/>
        <v>9.2736488382534565E-2</v>
      </c>
    </row>
    <row r="232" spans="2:30" s="278" customFormat="1" ht="11.25" customHeight="1">
      <c r="B232" s="573"/>
      <c r="C232" s="487" t="s">
        <v>591</v>
      </c>
      <c r="D232" s="486"/>
      <c r="E232" s="486"/>
      <c r="F232" s="486"/>
      <c r="G232" s="486"/>
      <c r="H232" s="486"/>
      <c r="I232" s="487">
        <f t="shared" ref="I232:T232" si="184">+(1+I233)/((1+I230)*(1+I231))-1</f>
        <v>-8.9175225167754668E-3</v>
      </c>
      <c r="J232" s="487">
        <f t="shared" si="184"/>
        <v>5.4981350163436638E-3</v>
      </c>
      <c r="K232" s="487">
        <f t="shared" si="184"/>
        <v>1.7088533003685846E-2</v>
      </c>
      <c r="L232" s="487">
        <f t="shared" si="184"/>
        <v>4.5397998033883002E-2</v>
      </c>
      <c r="M232" s="487">
        <f t="shared" si="184"/>
        <v>1.9421361616750232E-2</v>
      </c>
      <c r="N232" s="487">
        <f t="shared" si="184"/>
        <v>-3.379394501183941E-2</v>
      </c>
      <c r="O232" s="487">
        <f t="shared" si="184"/>
        <v>-3.4332284393911894E-2</v>
      </c>
      <c r="P232" s="487">
        <f t="shared" si="184"/>
        <v>-4.1478025885114733E-2</v>
      </c>
      <c r="Q232" s="487">
        <f t="shared" si="184"/>
        <v>-4.9159021812844372E-2</v>
      </c>
      <c r="R232" s="487">
        <f t="shared" si="184"/>
        <v>-5.8380414312617757E-2</v>
      </c>
      <c r="S232" s="487">
        <f t="shared" si="184"/>
        <v>-4.7619047619047561E-2</v>
      </c>
      <c r="T232" s="487">
        <f t="shared" si="184"/>
        <v>-6.0591827148895994E-2</v>
      </c>
      <c r="V232" s="486"/>
      <c r="W232" s="487"/>
      <c r="X232" s="487"/>
      <c r="Y232" s="487">
        <f t="shared" ref="Y232:AD232" si="185">+(1+Y233)/((1+Y230)*(1+Y231))-1</f>
        <v>8.5960378036580298E-3</v>
      </c>
      <c r="Z232" s="487">
        <f t="shared" si="185"/>
        <v>-2.6416918160579228E-2</v>
      </c>
      <c r="AA232" s="487">
        <f t="shared" si="185"/>
        <v>-5.3900032389607944E-2</v>
      </c>
      <c r="AB232" s="487">
        <f t="shared" si="185"/>
        <v>-5.6603773584905537E-2</v>
      </c>
      <c r="AC232" s="487">
        <f t="shared" si="185"/>
        <v>-6.1032863849765362E-2</v>
      </c>
      <c r="AD232" s="521">
        <f t="shared" si="185"/>
        <v>-6.542056074766367E-2</v>
      </c>
    </row>
    <row r="233" spans="2:30" s="392" customFormat="1" ht="11.25" customHeight="1">
      <c r="B233" s="585"/>
      <c r="C233" s="489" t="s">
        <v>585</v>
      </c>
      <c r="D233" s="488"/>
      <c r="E233" s="522"/>
      <c r="F233" s="522"/>
      <c r="G233" s="522"/>
      <c r="H233" s="522"/>
      <c r="I233" s="490">
        <f>+I211/E211-1</f>
        <v>-0.16984644020474637</v>
      </c>
      <c r="J233" s="490">
        <f>+J211/F211-1</f>
        <v>-0.87550362610797738</v>
      </c>
      <c r="K233" s="490">
        <f>+K211/G211-1</f>
        <v>-0.75303152789005656</v>
      </c>
      <c r="L233" s="490">
        <f>+L211/H211-1</f>
        <v>-0.69519650655021836</v>
      </c>
      <c r="M233" s="490">
        <f>+M211/E211-1</f>
        <v>-0.51884597487203354</v>
      </c>
      <c r="N233" s="490">
        <f>+N211/F211-1</f>
        <v>-0.35092667203867844</v>
      </c>
      <c r="O233" s="490">
        <f>+O211/G211-1</f>
        <v>-0.21099434114793858</v>
      </c>
      <c r="P233" s="490">
        <f>+P211/H211-1</f>
        <v>-4.1048034934497823E-2</v>
      </c>
      <c r="Q233" s="490">
        <f>+Q211/E211-1</f>
        <v>0.16426244765006981</v>
      </c>
      <c r="R233" s="490">
        <f>+R211/F211-1</f>
        <v>0.86940243985672061</v>
      </c>
      <c r="S233" s="490">
        <f>+S211/G211-1</f>
        <v>0.70836508889884486</v>
      </c>
      <c r="T233" s="490">
        <f>+T211/H211-1</f>
        <v>0.53377081732304421</v>
      </c>
      <c r="U233" s="278"/>
      <c r="V233" s="522"/>
      <c r="W233" s="523"/>
      <c r="X233" s="523"/>
      <c r="Y233" s="490">
        <f t="shared" ref="Y233:AD233" si="186">+Y211/$X211-1</f>
        <v>-0.63789249600851516</v>
      </c>
      <c r="Z233" s="490">
        <f t="shared" si="186"/>
        <v>-0.2769558275678552</v>
      </c>
      <c r="AA233" s="490">
        <f t="shared" si="186"/>
        <v>0.58389433287172898</v>
      </c>
      <c r="AB233" s="490">
        <f t="shared" si="186"/>
        <v>0.4408719541891295</v>
      </c>
      <c r="AC233" s="490">
        <f t="shared" si="186"/>
        <v>0.34375248199430364</v>
      </c>
      <c r="AD233" s="524">
        <f t="shared" si="186"/>
        <v>0.3731937464245354</v>
      </c>
    </row>
    <row r="234" spans="2:30" s="499" customFormat="1" ht="11.25" customHeight="1">
      <c r="B234" s="584"/>
      <c r="C234" s="588"/>
      <c r="E234" s="534"/>
      <c r="F234" s="534"/>
      <c r="G234" s="534"/>
      <c r="H234" s="534"/>
      <c r="I234" s="525"/>
      <c r="J234" s="525"/>
      <c r="K234" s="525"/>
      <c r="L234" s="525"/>
      <c r="M234" s="525"/>
      <c r="N234" s="525"/>
      <c r="O234" s="525"/>
      <c r="P234" s="525"/>
      <c r="Q234" s="525"/>
      <c r="R234" s="525"/>
      <c r="S234" s="525"/>
      <c r="T234" s="525"/>
      <c r="U234" s="278"/>
      <c r="V234" s="534"/>
      <c r="W234" s="526"/>
      <c r="X234" s="526"/>
      <c r="Y234" s="525"/>
      <c r="Z234" s="525"/>
      <c r="AA234" s="525"/>
      <c r="AB234" s="525"/>
      <c r="AC234" s="525"/>
      <c r="AD234" s="673"/>
    </row>
    <row r="235" spans="2:30" ht="11.25" customHeight="1">
      <c r="B235" s="425"/>
      <c r="C235" s="589" t="s">
        <v>589</v>
      </c>
      <c r="D235" s="527"/>
      <c r="E235" s="527"/>
      <c r="F235" s="527"/>
      <c r="G235" s="527"/>
      <c r="H235" s="527"/>
      <c r="I235" s="527"/>
      <c r="J235" s="527"/>
      <c r="K235" s="527"/>
      <c r="L235" s="527"/>
      <c r="M235" s="527"/>
      <c r="N235" s="527"/>
      <c r="O235" s="527"/>
      <c r="P235" s="527"/>
      <c r="Q235" s="527"/>
      <c r="R235" s="527"/>
      <c r="S235" s="527"/>
      <c r="T235" s="527"/>
      <c r="U235" s="278"/>
      <c r="V235" s="527"/>
      <c r="W235" s="527"/>
      <c r="X235" s="527"/>
      <c r="Y235" s="527"/>
      <c r="Z235" s="527"/>
      <c r="AA235" s="527"/>
      <c r="AB235" s="527"/>
      <c r="AC235" s="527"/>
      <c r="AD235" s="412"/>
    </row>
    <row r="236" spans="2:30" ht="11.25" customHeight="1">
      <c r="B236" s="425"/>
      <c r="C236" s="527" t="s">
        <v>586</v>
      </c>
      <c r="D236" s="527"/>
      <c r="E236" s="527"/>
      <c r="F236" s="527"/>
      <c r="G236" s="527"/>
      <c r="H236" s="527"/>
      <c r="I236" s="529">
        <f>+I230*E$211</f>
        <v>-216.33333333333309</v>
      </c>
      <c r="J236" s="529">
        <f t="shared" ref="J236:L238" si="187">+J230*F$211</f>
        <v>-1180.8290909090911</v>
      </c>
      <c r="K236" s="529">
        <f t="shared" si="187"/>
        <v>-993.64128256513027</v>
      </c>
      <c r="L236" s="529">
        <f t="shared" si="187"/>
        <v>-877.56159420289839</v>
      </c>
      <c r="M236" s="529">
        <f>+M230*E$211</f>
        <v>-358.20723684210509</v>
      </c>
      <c r="N236" s="529">
        <f t="shared" ref="N236:P238" si="188">+N230*F$211</f>
        <v>-271.6469194312798</v>
      </c>
      <c r="O236" s="529">
        <f t="shared" si="188"/>
        <v>33.936238044633477</v>
      </c>
      <c r="P236" s="529">
        <f t="shared" si="188"/>
        <v>344.72824919441456</v>
      </c>
      <c r="Q236" s="529">
        <f>+Q230*E$211</f>
        <v>797.98657718120865</v>
      </c>
      <c r="R236" s="529">
        <f t="shared" ref="R236:T238" si="189">+R230*F$211</f>
        <v>2816.3903999999993</v>
      </c>
      <c r="S236" s="529">
        <f t="shared" si="189"/>
        <v>2189.3161120000004</v>
      </c>
      <c r="T236" s="529">
        <f t="shared" si="189"/>
        <v>1615.1868906666664</v>
      </c>
      <c r="U236" s="278"/>
      <c r="V236" s="527"/>
      <c r="W236" s="528"/>
      <c r="X236" s="528"/>
      <c r="Y236" s="529">
        <f t="shared" ref="Y236:AD236" si="190">+Y230*$X211</f>
        <v>-2678.3446475195819</v>
      </c>
      <c r="Z236" s="529">
        <f t="shared" si="190"/>
        <v>-123.08634175691891</v>
      </c>
      <c r="AA236" s="529">
        <f t="shared" si="190"/>
        <v>7447.8117690841764</v>
      </c>
      <c r="AB236" s="529">
        <f t="shared" si="190"/>
        <v>4857.070160250003</v>
      </c>
      <c r="AC236" s="529">
        <f t="shared" si="190"/>
        <v>3237.7218517500032</v>
      </c>
      <c r="AD236" s="530">
        <f t="shared" si="190"/>
        <v>3237.7218517500032</v>
      </c>
    </row>
    <row r="237" spans="2:30" ht="11.25" customHeight="1">
      <c r="B237" s="425"/>
      <c r="C237" s="590" t="s">
        <v>592</v>
      </c>
      <c r="D237" s="527"/>
      <c r="E237" s="527"/>
      <c r="F237" s="527"/>
      <c r="G237" s="527"/>
      <c r="H237" s="527"/>
      <c r="I237" s="529">
        <f>+I231*E$211</f>
        <v>-147.4589045205027</v>
      </c>
      <c r="J237" s="529">
        <f t="shared" si="187"/>
        <v>-1895.8015818146621</v>
      </c>
      <c r="K237" s="529">
        <f t="shared" si="187"/>
        <v>-1470.0428383012397</v>
      </c>
      <c r="L237" s="529">
        <f t="shared" si="187"/>
        <v>-1207.4705430327872</v>
      </c>
      <c r="M237" s="529">
        <f>+M231*E$211</f>
        <v>-931.81135075141719</v>
      </c>
      <c r="N237" s="529">
        <f t="shared" si="188"/>
        <v>-609.74107463842222</v>
      </c>
      <c r="O237" s="529">
        <f t="shared" si="188"/>
        <v>-479.95338960696415</v>
      </c>
      <c r="P237" s="529">
        <f t="shared" si="188"/>
        <v>-298.73107354280506</v>
      </c>
      <c r="Q237" s="529">
        <f>+Q231*E$211</f>
        <v>-230.16481687014408</v>
      </c>
      <c r="R237" s="529">
        <f t="shared" si="189"/>
        <v>-173.72833162799677</v>
      </c>
      <c r="S237" s="529">
        <f t="shared" si="189"/>
        <v>-119.63104985491978</v>
      </c>
      <c r="T237" s="529">
        <f t="shared" si="189"/>
        <v>-97.521829462659284</v>
      </c>
      <c r="U237" s="278"/>
      <c r="V237" s="527"/>
      <c r="W237" s="528"/>
      <c r="X237" s="528"/>
      <c r="Y237" s="529">
        <f t="shared" ref="Y237:AD237" si="191">+Y231*$X211</f>
        <v>-4676.9691989841749</v>
      </c>
      <c r="Z237" s="529">
        <f t="shared" si="191"/>
        <v>-2325.055544253004</v>
      </c>
      <c r="AA237" s="529">
        <f t="shared" si="191"/>
        <v>-621.59554067515967</v>
      </c>
      <c r="AB237" s="529">
        <f t="shared" si="191"/>
        <v>64.035832006256669</v>
      </c>
      <c r="AC237" s="529">
        <f t="shared" si="191"/>
        <v>604.20614994317339</v>
      </c>
      <c r="AD237" s="530">
        <f t="shared" si="191"/>
        <v>871.25930835391227</v>
      </c>
    </row>
    <row r="238" spans="2:30" ht="11.25" customHeight="1">
      <c r="B238" s="425"/>
      <c r="C238" s="590" t="s">
        <v>591</v>
      </c>
      <c r="D238" s="527"/>
      <c r="E238" s="527"/>
      <c r="F238" s="527"/>
      <c r="G238" s="527"/>
      <c r="H238" s="527"/>
      <c r="I238" s="529">
        <f>+I232*E$211</f>
        <v>-19.16375588855048</v>
      </c>
      <c r="J238" s="529">
        <f t="shared" si="187"/>
        <v>13.646371110564974</v>
      </c>
      <c r="K238" s="529">
        <f t="shared" si="187"/>
        <v>42.277030651118785</v>
      </c>
      <c r="L238" s="529">
        <f t="shared" si="187"/>
        <v>103.96141549759207</v>
      </c>
      <c r="M238" s="529">
        <f>+M232*E$211</f>
        <v>41.736506114396249</v>
      </c>
      <c r="N238" s="529">
        <f t="shared" si="188"/>
        <v>-83.876571519385422</v>
      </c>
      <c r="O238" s="529">
        <f t="shared" si="188"/>
        <v>-84.93807159053803</v>
      </c>
      <c r="P238" s="529">
        <f t="shared" si="188"/>
        <v>-94.984679276912743</v>
      </c>
      <c r="Q238" s="529">
        <f>+Q232*E$211</f>
        <v>-105.64273787580255</v>
      </c>
      <c r="R238" s="529">
        <f t="shared" si="189"/>
        <v>-144.90018832391726</v>
      </c>
      <c r="S238" s="529">
        <f t="shared" si="189"/>
        <v>-117.80952380952367</v>
      </c>
      <c r="T238" s="529">
        <f t="shared" si="189"/>
        <v>-138.75528417097183</v>
      </c>
      <c r="U238" s="278"/>
      <c r="V238" s="527"/>
      <c r="W238" s="528"/>
      <c r="X238" s="528"/>
      <c r="Y238" s="529">
        <f t="shared" ref="Y238:AD238" si="192">+Y232*$X211</f>
        <v>80.759775165367188</v>
      </c>
      <c r="Z238" s="529">
        <f t="shared" si="192"/>
        <v>-248.18694611864186</v>
      </c>
      <c r="AA238" s="529">
        <f t="shared" si="192"/>
        <v>-506.39080430036665</v>
      </c>
      <c r="AB238" s="529">
        <f t="shared" si="192"/>
        <v>-531.79245283018747</v>
      </c>
      <c r="AC238" s="529">
        <f t="shared" si="192"/>
        <v>-573.40375586854555</v>
      </c>
      <c r="AD238" s="530">
        <f t="shared" si="192"/>
        <v>-614.62616822430016</v>
      </c>
    </row>
    <row r="239" spans="2:30" ht="11.25" customHeight="1">
      <c r="B239" s="425"/>
      <c r="C239" s="527" t="s">
        <v>587</v>
      </c>
      <c r="D239" s="527"/>
      <c r="E239" s="527"/>
      <c r="F239" s="527"/>
      <c r="G239" s="527"/>
      <c r="H239" s="527"/>
      <c r="I239" s="529">
        <f>(I230*I231*E211+I230*I232*E211+I231*I232*E211)+I230*I231*I232*E211</f>
        <v>17.955993742386273</v>
      </c>
      <c r="J239" s="529">
        <f>(J230*J231*F211+J230*J232*F211+J231*J232*F211)+J230*J231*J232*F211</f>
        <v>889.98430161318811</v>
      </c>
      <c r="K239" s="529">
        <f>(K230*K231*G211+K230*K232*G211+K231*K232*G211)+K230*K231*K232*G211</f>
        <v>558.4070902152514</v>
      </c>
      <c r="L239" s="529">
        <f>(L230*L231*H211+L230*L232*H211+L231*L232*H211)+L230*L231*L232*H211</f>
        <v>389.07072173809343</v>
      </c>
      <c r="M239" s="529">
        <f>(M230*M231*E211+M230*M232*E211+M231*M232*E211)+M230*M231*M232*E211</f>
        <v>133.28208147912599</v>
      </c>
      <c r="N239" s="529">
        <f>(N230*N231*F211+N230*N232*F211+N231*N232*F211)+N230*N231*N232*F211</f>
        <v>94.264565589087624</v>
      </c>
      <c r="O239" s="529">
        <f>(O230*O231*G211+O230*O232*G211+O231*O232*G211)+O230*O231*O232*G211</f>
        <v>8.9552231528688608</v>
      </c>
      <c r="P239" s="529">
        <f>(P230*P231*H211+P230*P232*H211+P231*P232*H211)+P230*P231*P232*H211</f>
        <v>-45.01249637469671</v>
      </c>
      <c r="Q239" s="529">
        <f>(Q230*Q231*E211+Q230*Q232*E211+Q231*Q232*E211)+Q230*Q231*Q232*E211</f>
        <v>-109.17902243526207</v>
      </c>
      <c r="R239" s="529">
        <f>(R230*R231*F211+R230*R232*F211+R231*R232*F211)+R230*R231*R232*F211</f>
        <v>-339.90502432370471</v>
      </c>
      <c r="S239" s="529">
        <f>(S230*S231*G211+S230*S232*G211+S231*S232*G211)+S230*S231*S232*G211</f>
        <v>-199.3803083998142</v>
      </c>
      <c r="T239" s="529">
        <f>(T230*T231*H211+T230*T232*H211+T231*T232*H211)+T230*T231*T232*H211</f>
        <v>-156.57460536326369</v>
      </c>
      <c r="V239" s="527"/>
      <c r="W239" s="528"/>
      <c r="X239" s="528"/>
      <c r="Y239" s="529">
        <f t="shared" ref="Y239:AD239" si="193">(Y230*Y231*$X211+Y230*Y232*$X211+Y231*Y232*$X211)+Y230*Y231*Y232*$X211</f>
        <v>1281.5540713383893</v>
      </c>
      <c r="Z239" s="529">
        <f t="shared" si="193"/>
        <v>94.328832128564841</v>
      </c>
      <c r="AA239" s="529">
        <f t="shared" si="193"/>
        <v>-834.1381667787557</v>
      </c>
      <c r="AB239" s="529">
        <f t="shared" si="193"/>
        <v>-247.32152981920092</v>
      </c>
      <c r="AC239" s="529">
        <f t="shared" si="193"/>
        <v>-38.969677488148804</v>
      </c>
      <c r="AD239" s="530">
        <f t="shared" si="193"/>
        <v>11.800255778895139</v>
      </c>
    </row>
    <row r="240" spans="2:30" s="279" customFormat="1" ht="11.25" customHeight="1">
      <c r="B240" s="576"/>
      <c r="C240" s="591" t="s">
        <v>585</v>
      </c>
      <c r="D240" s="531"/>
      <c r="E240" s="531"/>
      <c r="F240" s="531"/>
      <c r="G240" s="531"/>
      <c r="H240" s="531"/>
      <c r="I240" s="514">
        <f>SUM(I236:I239)</f>
        <v>-365</v>
      </c>
      <c r="J240" s="514">
        <f t="shared" ref="J240:T240" si="194">SUM(J236:J239)</f>
        <v>-2173.0000000000005</v>
      </c>
      <c r="K240" s="514">
        <f t="shared" si="194"/>
        <v>-1862.9999999999998</v>
      </c>
      <c r="L240" s="514">
        <f t="shared" si="194"/>
        <v>-1592.0000000000002</v>
      </c>
      <c r="M240" s="514">
        <f t="shared" si="194"/>
        <v>-1115</v>
      </c>
      <c r="N240" s="514">
        <f t="shared" si="194"/>
        <v>-870.99999999999977</v>
      </c>
      <c r="O240" s="514">
        <f t="shared" si="194"/>
        <v>-521.99999999999989</v>
      </c>
      <c r="P240" s="514">
        <f t="shared" si="194"/>
        <v>-93.999999999999957</v>
      </c>
      <c r="Q240" s="514">
        <f t="shared" si="194"/>
        <v>352.99999999999989</v>
      </c>
      <c r="R240" s="514">
        <f t="shared" si="194"/>
        <v>2157.8568557243807</v>
      </c>
      <c r="S240" s="514">
        <f t="shared" si="194"/>
        <v>1752.4952299357431</v>
      </c>
      <c r="T240" s="514">
        <f t="shared" si="194"/>
        <v>1222.3351716697716</v>
      </c>
      <c r="V240" s="531"/>
      <c r="W240" s="532"/>
      <c r="X240" s="532"/>
      <c r="Y240" s="514">
        <f t="shared" ref="Y240:AD240" si="195">SUM(Y236:Y239)</f>
        <v>-5993</v>
      </c>
      <c r="Z240" s="514">
        <f t="shared" si="195"/>
        <v>-2602</v>
      </c>
      <c r="AA240" s="514">
        <f t="shared" si="195"/>
        <v>5485.6872573298942</v>
      </c>
      <c r="AB240" s="514">
        <f t="shared" si="195"/>
        <v>4141.9920096068718</v>
      </c>
      <c r="AC240" s="514">
        <f t="shared" si="195"/>
        <v>3229.5545683364826</v>
      </c>
      <c r="AD240" s="674">
        <f t="shared" si="195"/>
        <v>3506.1552476585102</v>
      </c>
    </row>
    <row r="241" spans="2:44" s="293" customFormat="1" ht="11.25" customHeight="1" thickBot="1">
      <c r="B241" s="586"/>
      <c r="C241" s="583" t="s">
        <v>233</v>
      </c>
      <c r="D241" s="578"/>
      <c r="E241" s="578"/>
      <c r="F241" s="578"/>
      <c r="G241" s="578"/>
      <c r="H241" s="578"/>
      <c r="I241" s="579">
        <f>SUM(I236:I239)-(I211-E211)</f>
        <v>0</v>
      </c>
      <c r="J241" s="579">
        <f>SUM(J236:J239)-(J211-F211)</f>
        <v>0</v>
      </c>
      <c r="K241" s="579">
        <f>SUM(K236:K239)-(K211-G211)</f>
        <v>0</v>
      </c>
      <c r="L241" s="579">
        <f>SUM(L236:L239)-(L211-H211)</f>
        <v>0</v>
      </c>
      <c r="M241" s="579">
        <f>SUM(M236:M239)-(M211-E211)</f>
        <v>0</v>
      </c>
      <c r="N241" s="579">
        <f>SUM(N236:N239)-(N211-F211)</f>
        <v>0</v>
      </c>
      <c r="O241" s="579">
        <f>SUM(O236:O239)-(O211-G211)</f>
        <v>0</v>
      </c>
      <c r="P241" s="579">
        <f>SUM(P236:P239)-(P211-H211)</f>
        <v>0</v>
      </c>
      <c r="Q241" s="579">
        <f>SUM(Q236:Q239)-(Q211-E211)</f>
        <v>0</v>
      </c>
      <c r="R241" s="579">
        <f>SUM(R236:R239)-(R211-F211)</f>
        <v>0</v>
      </c>
      <c r="S241" s="579">
        <f>SUM(S236:S239)-(S211-G211)</f>
        <v>0</v>
      </c>
      <c r="T241" s="579">
        <f>SUM(T236:T239)-(T211-H211)</f>
        <v>0</v>
      </c>
      <c r="U241" s="578"/>
      <c r="V241" s="578"/>
      <c r="W241" s="579"/>
      <c r="X241" s="579"/>
      <c r="Y241" s="579">
        <f t="shared" ref="Y241:AD241" si="196">SUM(Y236:Y239)-(Y211-$X211)</f>
        <v>0</v>
      </c>
      <c r="Z241" s="579">
        <f t="shared" si="196"/>
        <v>0</v>
      </c>
      <c r="AA241" s="579">
        <f t="shared" si="196"/>
        <v>0</v>
      </c>
      <c r="AB241" s="579">
        <f t="shared" si="196"/>
        <v>0</v>
      </c>
      <c r="AC241" s="579">
        <f t="shared" si="196"/>
        <v>0</v>
      </c>
      <c r="AD241" s="580">
        <f t="shared" si="196"/>
        <v>0</v>
      </c>
    </row>
    <row r="242" spans="2:44" s="293" customFormat="1" ht="11.25" customHeight="1">
      <c r="C242" s="616"/>
      <c r="I242" s="284"/>
      <c r="J242" s="284"/>
      <c r="K242" s="284"/>
      <c r="L242" s="284"/>
      <c r="M242" s="284"/>
      <c r="N242" s="284"/>
      <c r="O242" s="284"/>
      <c r="P242" s="284"/>
      <c r="Q242" s="284"/>
      <c r="R242" s="284"/>
      <c r="S242" s="284"/>
      <c r="T242" s="284"/>
      <c r="W242" s="284"/>
      <c r="X242" s="284"/>
      <c r="Y242" s="284"/>
      <c r="Z242" s="284"/>
      <c r="AA242" s="284"/>
      <c r="AB242" s="284"/>
      <c r="AC242" s="284"/>
      <c r="AD242" s="284"/>
    </row>
    <row r="243" spans="2:44" ht="11.25" customHeight="1">
      <c r="B243" s="253" t="s">
        <v>133</v>
      </c>
      <c r="C243" s="397" t="s">
        <v>1022</v>
      </c>
    </row>
    <row r="244" spans="2:44" ht="11.25" customHeight="1">
      <c r="C244" s="253" t="s">
        <v>1023</v>
      </c>
      <c r="E244" s="287">
        <f>'AAL Financials'!E16</f>
        <v>3090</v>
      </c>
      <c r="F244" s="287">
        <f>'AAL Financials'!F16</f>
        <v>3200</v>
      </c>
      <c r="G244" s="287">
        <f>'AAL Financials'!G16</f>
        <v>3219</v>
      </c>
      <c r="H244" s="287">
        <f>'AAL Financials'!H16</f>
        <v>3100</v>
      </c>
      <c r="I244" s="287">
        <f>'AAL Financials'!I16</f>
        <v>3219</v>
      </c>
      <c r="J244" s="287">
        <f>'AAL Financials'!J16</f>
        <v>2610</v>
      </c>
      <c r="K244" s="287">
        <f>'AAL Financials'!K16</f>
        <v>2763</v>
      </c>
      <c r="L244" s="287">
        <f>'AAL Financials'!L16</f>
        <v>2637</v>
      </c>
      <c r="M244" s="287">
        <f>'AAL Financials'!M16</f>
        <v>2730</v>
      </c>
      <c r="N244" s="287">
        <f>'AAL Financials'!N16</f>
        <v>2862</v>
      </c>
      <c r="O244" s="287">
        <f>'AAL Financials'!O16</f>
        <v>3018</v>
      </c>
      <c r="P244" s="287">
        <f>'AAL Financials'!P16</f>
        <v>3207</v>
      </c>
      <c r="Q244" s="287">
        <f>'AAL Financials'!Q16</f>
        <v>3154</v>
      </c>
      <c r="R244" s="255">
        <f>R279</f>
        <v>3254.7840000000001</v>
      </c>
      <c r="S244" s="255">
        <f>S279</f>
        <v>3282.9776249999995</v>
      </c>
      <c r="T244" s="255">
        <f>T279</f>
        <v>3284.3880000000004</v>
      </c>
      <c r="V244" s="287">
        <f>'AAL Financials'!V16</f>
        <v>11954</v>
      </c>
      <c r="W244" s="287">
        <f>'AAL Financials'!W16</f>
        <v>12251</v>
      </c>
      <c r="X244" s="254">
        <f t="shared" ref="X244:AA251" si="197">+SUMIF($E$5:$T$5,X$5,$E244:$T244)</f>
        <v>12609</v>
      </c>
      <c r="Y244" s="254">
        <f t="shared" si="197"/>
        <v>11229</v>
      </c>
      <c r="Z244" s="254">
        <f t="shared" si="197"/>
        <v>11817</v>
      </c>
      <c r="AA244" s="254">
        <f t="shared" si="197"/>
        <v>12976.149625</v>
      </c>
      <c r="AB244" s="255">
        <f>AB279</f>
        <v>13020.147967500001</v>
      </c>
      <c r="AC244" s="255">
        <f>AC279</f>
        <v>13289.25555</v>
      </c>
      <c r="AD244" s="255">
        <f>AD279</f>
        <v>13419.128250000002</v>
      </c>
    </row>
    <row r="245" spans="2:44" ht="11.25" customHeight="1">
      <c r="C245" s="253" t="s">
        <v>1024</v>
      </c>
      <c r="E245" s="287">
        <f>'AAL Financials'!E17</f>
        <v>1340</v>
      </c>
      <c r="F245" s="287">
        <f>'AAL Financials'!F17</f>
        <v>1399</v>
      </c>
      <c r="G245" s="287">
        <f>'AAL Financials'!G17</f>
        <v>1442</v>
      </c>
      <c r="H245" s="287">
        <f>'AAL Financials'!H17</f>
        <v>1445</v>
      </c>
      <c r="I245" s="287">
        <f>'AAL Financials'!I17</f>
        <v>1047</v>
      </c>
      <c r="J245" s="287">
        <f>'AAL Financials'!J17</f>
        <v>670</v>
      </c>
      <c r="K245" s="287">
        <f>'AAL Financials'!K17</f>
        <v>753</v>
      </c>
      <c r="L245" s="287">
        <f>'AAL Financials'!L17</f>
        <v>802</v>
      </c>
      <c r="M245" s="287">
        <f>'AAL Financials'!M17</f>
        <v>840</v>
      </c>
      <c r="N245" s="287">
        <f>'AAL Financials'!N17</f>
        <v>802</v>
      </c>
      <c r="O245" s="287">
        <f>'AAL Financials'!O17</f>
        <v>954</v>
      </c>
      <c r="P245" s="287">
        <f>'AAL Financials'!P17</f>
        <v>1055</v>
      </c>
      <c r="Q245" s="287">
        <f>'AAL Financials'!Q17</f>
        <v>1052</v>
      </c>
      <c r="R245" s="255">
        <f t="shared" ref="R245:T250" si="198">R257*R$121*10</f>
        <v>1170.968919277675</v>
      </c>
      <c r="S245" s="255">
        <f t="shared" si="198"/>
        <v>1235.0444719071486</v>
      </c>
      <c r="T245" s="255">
        <f t="shared" si="198"/>
        <v>1245.1169697745902</v>
      </c>
      <c r="V245" s="287">
        <f>'AAL Financials'!V17</f>
        <v>5142</v>
      </c>
      <c r="W245" s="287">
        <f>'AAL Financials'!W17</f>
        <v>5284</v>
      </c>
      <c r="X245" s="254">
        <f t="shared" si="197"/>
        <v>5626</v>
      </c>
      <c r="Y245" s="254">
        <f t="shared" si="197"/>
        <v>3272</v>
      </c>
      <c r="Z245" s="254">
        <f t="shared" si="197"/>
        <v>3651</v>
      </c>
      <c r="AA245" s="254">
        <f t="shared" si="197"/>
        <v>4703.1303609594133</v>
      </c>
      <c r="AB245" s="255">
        <f t="shared" ref="AB245:AD250" si="199">AB257*AB$121*10</f>
        <v>5239.5205344919814</v>
      </c>
      <c r="AC245" s="255">
        <f t="shared" si="199"/>
        <v>5688.425450729248</v>
      </c>
      <c r="AD245" s="255">
        <f t="shared" si="199"/>
        <v>6147.73548364014</v>
      </c>
    </row>
    <row r="246" spans="2:44" ht="11.25" customHeight="1">
      <c r="C246" s="253" t="s">
        <v>1025</v>
      </c>
      <c r="E246" s="287">
        <f>'AAL Financials'!E18</f>
        <v>561</v>
      </c>
      <c r="F246" s="287">
        <f>'AAL Financials'!F18</f>
        <v>575</v>
      </c>
      <c r="G246" s="287">
        <f>'AAL Financials'!G18</f>
        <v>610</v>
      </c>
      <c r="H246" s="287">
        <f>'AAL Financials'!H18</f>
        <v>635</v>
      </c>
      <c r="I246" s="287">
        <f>'AAL Financials'!I18</f>
        <v>629</v>
      </c>
      <c r="J246" s="287">
        <f>'AAL Financials'!J18</f>
        <v>287</v>
      </c>
      <c r="K246" s="287">
        <f>'AAL Financials'!K18</f>
        <v>337</v>
      </c>
      <c r="L246" s="287">
        <f>'AAL Financials'!L18</f>
        <v>331</v>
      </c>
      <c r="M246" s="287">
        <f>'AAL Financials'!M18</f>
        <v>376</v>
      </c>
      <c r="N246" s="287">
        <f>'AAL Financials'!N18</f>
        <v>459</v>
      </c>
      <c r="O246" s="287">
        <f>'AAL Financials'!O18</f>
        <v>548</v>
      </c>
      <c r="P246" s="287">
        <f>'AAL Financials'!P18</f>
        <v>596</v>
      </c>
      <c r="Q246" s="287">
        <f>'AAL Financials'!Q18</f>
        <v>617</v>
      </c>
      <c r="R246" s="255">
        <f t="shared" si="198"/>
        <v>641.70324382622175</v>
      </c>
      <c r="S246" s="255">
        <f t="shared" si="198"/>
        <v>667.57874637298858</v>
      </c>
      <c r="T246" s="255">
        <f t="shared" si="198"/>
        <v>683.95266073258199</v>
      </c>
      <c r="V246" s="287">
        <f>'AAL Financials'!V18</f>
        <v>1959</v>
      </c>
      <c r="W246" s="287">
        <f>'AAL Financials'!W18</f>
        <v>2050</v>
      </c>
      <c r="X246" s="254">
        <f t="shared" si="197"/>
        <v>2381</v>
      </c>
      <c r="Y246" s="254">
        <f t="shared" si="197"/>
        <v>1584</v>
      </c>
      <c r="Z246" s="254">
        <f t="shared" si="197"/>
        <v>1979</v>
      </c>
      <c r="AA246" s="254">
        <f t="shared" si="197"/>
        <v>2610.2346509317922</v>
      </c>
      <c r="AB246" s="255">
        <f t="shared" si="199"/>
        <v>2636.9516495590833</v>
      </c>
      <c r="AC246" s="255">
        <f t="shared" si="199"/>
        <v>2787.5381402146004</v>
      </c>
      <c r="AD246" s="255">
        <f t="shared" si="199"/>
        <v>2601.8055788388147</v>
      </c>
    </row>
    <row r="247" spans="2:44" ht="11.25" customHeight="1">
      <c r="C247" s="253" t="s">
        <v>1026</v>
      </c>
      <c r="E247" s="287">
        <f>'AAL Financials'!E19</f>
        <v>503</v>
      </c>
      <c r="F247" s="287">
        <f>'AAL Financials'!F19</f>
        <v>535</v>
      </c>
      <c r="G247" s="287">
        <f>'AAL Financials'!G19</f>
        <v>530</v>
      </c>
      <c r="H247" s="287">
        <f>'AAL Financials'!H19</f>
        <v>487</v>
      </c>
      <c r="I247" s="287">
        <f>'AAL Financials'!I19</f>
        <v>611</v>
      </c>
      <c r="J247" s="287">
        <f>'AAL Financials'!J19</f>
        <v>413</v>
      </c>
      <c r="K247" s="287">
        <f>'AAL Financials'!K19</f>
        <v>472</v>
      </c>
      <c r="L247" s="287">
        <f>'AAL Financials'!L19</f>
        <v>509</v>
      </c>
      <c r="M247" s="287">
        <f>'AAL Financials'!M19</f>
        <v>570</v>
      </c>
      <c r="N247" s="287">
        <f>'AAL Financials'!N19</f>
        <v>686</v>
      </c>
      <c r="O247" s="287">
        <f>'AAL Financials'!O19</f>
        <v>694</v>
      </c>
      <c r="P247" s="287">
        <f>'AAL Financials'!P19</f>
        <v>670</v>
      </c>
      <c r="Q247" s="287">
        <f>'AAL Financials'!Q19</f>
        <v>678</v>
      </c>
      <c r="R247" s="255">
        <f t="shared" si="198"/>
        <v>721.45114695390066</v>
      </c>
      <c r="S247" s="255">
        <f t="shared" si="198"/>
        <v>706.12035610656801</v>
      </c>
      <c r="T247" s="255">
        <f t="shared" si="198"/>
        <v>629.45186603483614</v>
      </c>
      <c r="V247" s="287">
        <f>'AAL Financials'!V19</f>
        <v>1806</v>
      </c>
      <c r="W247" s="287">
        <f>'AAL Financials'!W19</f>
        <v>1900</v>
      </c>
      <c r="X247" s="254">
        <f t="shared" si="197"/>
        <v>2055</v>
      </c>
      <c r="Y247" s="254">
        <f t="shared" si="197"/>
        <v>2005</v>
      </c>
      <c r="Z247" s="254">
        <f t="shared" si="197"/>
        <v>2620</v>
      </c>
      <c r="AA247" s="254">
        <f t="shared" si="197"/>
        <v>2735.023369095305</v>
      </c>
      <c r="AB247" s="255">
        <f t="shared" si="199"/>
        <v>2379.3577892484072</v>
      </c>
      <c r="AC247" s="255">
        <f t="shared" si="199"/>
        <v>2515.2340536299316</v>
      </c>
      <c r="AD247" s="255">
        <f t="shared" si="199"/>
        <v>2245.5734836261086</v>
      </c>
    </row>
    <row r="248" spans="2:44" ht="11.25" customHeight="1">
      <c r="C248" s="253" t="s">
        <v>472</v>
      </c>
      <c r="E248" s="287">
        <f>'AAL Financials'!E20</f>
        <v>327</v>
      </c>
      <c r="F248" s="287">
        <f>'AAL Financials'!F20</f>
        <v>334</v>
      </c>
      <c r="G248" s="287">
        <f>'AAL Financials'!G20</f>
        <v>335</v>
      </c>
      <c r="H248" s="287">
        <f>'AAL Financials'!H20</f>
        <v>330</v>
      </c>
      <c r="I248" s="287">
        <f>'AAL Financials'!I20</f>
        <v>334</v>
      </c>
      <c r="J248" s="287">
        <f>'AAL Financials'!J20</f>
        <v>334</v>
      </c>
      <c r="K248" s="287">
        <f>'AAL Financials'!K20</f>
        <v>336</v>
      </c>
      <c r="L248" s="287">
        <f>'AAL Financials'!L20</f>
        <v>336</v>
      </c>
      <c r="M248" s="287">
        <f>'AAL Financials'!M20</f>
        <v>351</v>
      </c>
      <c r="N248" s="287">
        <f>'AAL Financials'!N20</f>
        <v>356</v>
      </c>
      <c r="O248" s="287">
        <f>'AAL Financials'!O20</f>
        <v>358</v>
      </c>
      <c r="P248" s="287">
        <f>'AAL Financials'!P20</f>
        <v>360</v>
      </c>
      <c r="Q248" s="287">
        <f>'AAL Financials'!Q20</f>
        <v>353</v>
      </c>
      <c r="R248" s="255">
        <f t="shared" si="198"/>
        <v>357.21480572993011</v>
      </c>
      <c r="S248" s="255">
        <f t="shared" si="198"/>
        <v>358.65109057636511</v>
      </c>
      <c r="T248" s="255">
        <f t="shared" si="198"/>
        <v>347.54129952185792</v>
      </c>
      <c r="V248" s="287">
        <f>'AAL Financials'!V20</f>
        <v>1197</v>
      </c>
      <c r="W248" s="287">
        <f>'AAL Financials'!W20</f>
        <v>1264</v>
      </c>
      <c r="X248" s="254">
        <f t="shared" si="197"/>
        <v>1326</v>
      </c>
      <c r="Y248" s="254">
        <f t="shared" si="197"/>
        <v>1340</v>
      </c>
      <c r="Z248" s="254">
        <f t="shared" si="197"/>
        <v>1425</v>
      </c>
      <c r="AA248" s="254">
        <f t="shared" si="197"/>
        <v>1416.4071958281529</v>
      </c>
      <c r="AB248" s="255">
        <f t="shared" si="199"/>
        <v>1468.5417418376078</v>
      </c>
      <c r="AC248" s="255">
        <f t="shared" si="199"/>
        <v>1552.4046929544561</v>
      </c>
      <c r="AD248" s="255">
        <f t="shared" si="199"/>
        <v>1448.9685835952409</v>
      </c>
    </row>
    <row r="249" spans="2:44" ht="11.25" customHeight="1">
      <c r="C249" s="253" t="s">
        <v>1027</v>
      </c>
      <c r="E249" s="287">
        <f>'AAL Financials'!E23</f>
        <v>370</v>
      </c>
      <c r="F249" s="287">
        <f>'AAL Financials'!F23</f>
        <v>401</v>
      </c>
      <c r="G249" s="287">
        <f>'AAL Financials'!G23</f>
        <v>424</v>
      </c>
      <c r="H249" s="287">
        <f>'AAL Financials'!H23</f>
        <v>407</v>
      </c>
      <c r="I249" s="287">
        <f>'AAL Financials'!I23</f>
        <v>385</v>
      </c>
      <c r="J249" s="287">
        <f>'AAL Financials'!J23</f>
        <v>57</v>
      </c>
      <c r="K249" s="287">
        <f>'AAL Financials'!K23</f>
        <v>97</v>
      </c>
      <c r="L249" s="287">
        <f>'AAL Financials'!L23</f>
        <v>126</v>
      </c>
      <c r="M249" s="287">
        <f>'AAL Financials'!M23</f>
        <v>151</v>
      </c>
      <c r="N249" s="287">
        <f>'AAL Financials'!N23</f>
        <v>277</v>
      </c>
      <c r="O249" s="287">
        <f>'AAL Financials'!O23</f>
        <v>318</v>
      </c>
      <c r="P249" s="287">
        <f>'AAL Financials'!P23</f>
        <v>353</v>
      </c>
      <c r="Q249" s="287">
        <f>'AAL Financials'!Q23</f>
        <v>332</v>
      </c>
      <c r="R249" s="255">
        <f t="shared" si="198"/>
        <v>380.39052288376985</v>
      </c>
      <c r="S249" s="255">
        <f t="shared" si="198"/>
        <v>403.49734634661041</v>
      </c>
      <c r="T249" s="255">
        <f t="shared" si="198"/>
        <v>389.66751764571944</v>
      </c>
      <c r="V249" s="287">
        <f>'AAL Financials'!V23</f>
        <v>1477</v>
      </c>
      <c r="W249" s="287">
        <f>'AAL Financials'!W23</f>
        <v>1520</v>
      </c>
      <c r="X249" s="254">
        <f t="shared" si="197"/>
        <v>1602</v>
      </c>
      <c r="Y249" s="254">
        <f t="shared" si="197"/>
        <v>665</v>
      </c>
      <c r="Z249" s="254">
        <f t="shared" si="197"/>
        <v>1099</v>
      </c>
      <c r="AA249" s="254">
        <f t="shared" si="197"/>
        <v>1505.5553868760996</v>
      </c>
      <c r="AB249" s="255">
        <f t="shared" si="199"/>
        <v>1612.9191487891458</v>
      </c>
      <c r="AC249" s="255">
        <f t="shared" si="199"/>
        <v>1790.278303865824</v>
      </c>
      <c r="AD249" s="255">
        <f t="shared" si="199"/>
        <v>1750.5638543888203</v>
      </c>
    </row>
    <row r="250" spans="2:44" ht="11.25" customHeight="1">
      <c r="C250" s="253" t="s">
        <v>609</v>
      </c>
      <c r="E250" s="287">
        <f>'AAL Financials'!E26</f>
        <v>1251</v>
      </c>
      <c r="F250" s="287">
        <f>'AAL Financials'!F26</f>
        <v>1271</v>
      </c>
      <c r="G250" s="287">
        <f>'AAL Financials'!G26</f>
        <v>1336</v>
      </c>
      <c r="H250" s="287">
        <f>'AAL Financials'!H26</f>
        <v>1229</v>
      </c>
      <c r="I250" s="287">
        <f>'AAL Financials'!I26</f>
        <v>1270</v>
      </c>
      <c r="J250" s="287">
        <f>'AAL Financials'!J26</f>
        <v>601</v>
      </c>
      <c r="K250" s="287">
        <f>'AAL Financials'!K26</f>
        <v>696</v>
      </c>
      <c r="L250" s="287">
        <f>'AAL Financials'!L26</f>
        <v>619</v>
      </c>
      <c r="M250" s="287">
        <f>'AAL Financials'!M26</f>
        <v>716</v>
      </c>
      <c r="N250" s="287">
        <f>'AAL Financials'!N26</f>
        <v>958</v>
      </c>
      <c r="O250" s="287">
        <f>'AAL Financials'!O26</f>
        <v>1109</v>
      </c>
      <c r="P250" s="287">
        <f>'AAL Financials'!P26</f>
        <v>1211</v>
      </c>
      <c r="Q250" s="287">
        <f>'AAL Financials'!Q26</f>
        <v>1285</v>
      </c>
      <c r="R250" s="255">
        <f t="shared" si="198"/>
        <v>1312.0599324963362</v>
      </c>
      <c r="S250" s="255">
        <f t="shared" si="198"/>
        <v>1423.964974729623</v>
      </c>
      <c r="T250" s="255">
        <f t="shared" si="198"/>
        <v>1294.3280518556469</v>
      </c>
      <c r="V250" s="287">
        <f>'AAL Financials'!V26</f>
        <v>4910</v>
      </c>
      <c r="W250" s="287">
        <f>'AAL Financials'!W26</f>
        <v>5088</v>
      </c>
      <c r="X250" s="254">
        <f t="shared" si="197"/>
        <v>5087</v>
      </c>
      <c r="Y250" s="254">
        <f t="shared" si="197"/>
        <v>3186</v>
      </c>
      <c r="Z250" s="254">
        <f t="shared" si="197"/>
        <v>3994</v>
      </c>
      <c r="AA250" s="254">
        <f t="shared" si="197"/>
        <v>5315.3529590816061</v>
      </c>
      <c r="AB250" s="255">
        <f t="shared" si="199"/>
        <v>5633.840000548953</v>
      </c>
      <c r="AC250" s="255">
        <f t="shared" si="199"/>
        <v>6009.7091506210363</v>
      </c>
      <c r="AD250" s="255">
        <f t="shared" si="199"/>
        <v>5558.7505164019531</v>
      </c>
    </row>
    <row r="251" spans="2:44" ht="11.25" customHeight="1">
      <c r="C251" s="253" t="s">
        <v>522</v>
      </c>
      <c r="E251" s="287">
        <f>'AAL Financials'!E24</f>
        <v>480</v>
      </c>
      <c r="F251" s="287">
        <f>'AAL Financials'!F24</f>
        <v>489</v>
      </c>
      <c r="G251" s="287">
        <f>'AAL Financials'!G24</f>
        <v>499</v>
      </c>
      <c r="H251" s="287">
        <f>'AAL Financials'!H24</f>
        <v>513</v>
      </c>
      <c r="I251" s="287">
        <f>'AAL Financials'!I24</f>
        <v>560</v>
      </c>
      <c r="J251" s="287">
        <f>'AAL Financials'!J24</f>
        <v>499</v>
      </c>
      <c r="K251" s="287">
        <f>'AAL Financials'!K24</f>
        <v>498</v>
      </c>
      <c r="L251" s="287">
        <f>'AAL Financials'!L24</f>
        <v>484</v>
      </c>
      <c r="M251" s="287">
        <f>'AAL Financials'!M24</f>
        <v>478</v>
      </c>
      <c r="N251" s="287">
        <f>'AAL Financials'!N24</f>
        <v>481</v>
      </c>
      <c r="O251" s="287">
        <f>'AAL Financials'!O24</f>
        <v>480</v>
      </c>
      <c r="P251" s="287">
        <f>'AAL Financials'!P24</f>
        <v>579</v>
      </c>
      <c r="Q251" s="287">
        <f>'AAL Financials'!Q24</f>
        <v>492</v>
      </c>
      <c r="R251" s="287">
        <f>'AAL Financials'!R24</f>
        <v>480.45088515735597</v>
      </c>
      <c r="S251" s="287">
        <f>'AAL Financials'!S24</f>
        <v>523.55167254709784</v>
      </c>
      <c r="T251" s="287">
        <f>'AAL Financials'!T24</f>
        <v>513.59626666666668</v>
      </c>
      <c r="V251" s="287">
        <f>'AAL Financials'!V24</f>
        <v>1702</v>
      </c>
      <c r="W251" s="287">
        <f>'AAL Financials'!W24</f>
        <v>1839</v>
      </c>
      <c r="X251" s="254">
        <f t="shared" si="197"/>
        <v>1981</v>
      </c>
      <c r="Y251" s="254">
        <f t="shared" si="197"/>
        <v>2041</v>
      </c>
      <c r="Z251" s="254">
        <f t="shared" si="197"/>
        <v>2018</v>
      </c>
      <c r="AA251" s="254">
        <f t="shared" si="197"/>
        <v>2009.5988243711206</v>
      </c>
      <c r="AB251" s="287">
        <f>'AAL Financials'!AB24</f>
        <v>2131.8417179146641</v>
      </c>
      <c r="AC251" s="287">
        <f>'AAL Financials'!AC24</f>
        <v>2312.6612796240806</v>
      </c>
      <c r="AD251" s="287">
        <f>'AAL Financials'!AD24</f>
        <v>2493.4808413334977</v>
      </c>
    </row>
    <row r="252" spans="2:44" ht="11.25" customHeight="1">
      <c r="C252" s="289" t="s">
        <v>1028</v>
      </c>
      <c r="E252" s="357">
        <f>SUM(E244:E251)</f>
        <v>7922</v>
      </c>
      <c r="F252" s="357">
        <f t="shared" ref="F252:AD252" si="200">SUM(F244:F251)</f>
        <v>8204</v>
      </c>
      <c r="G252" s="357">
        <f t="shared" si="200"/>
        <v>8395</v>
      </c>
      <c r="H252" s="357">
        <f t="shared" si="200"/>
        <v>8146</v>
      </c>
      <c r="I252" s="357">
        <f t="shared" si="200"/>
        <v>8055</v>
      </c>
      <c r="J252" s="357">
        <f t="shared" si="200"/>
        <v>5471</v>
      </c>
      <c r="K252" s="357">
        <f t="shared" si="200"/>
        <v>5952</v>
      </c>
      <c r="L252" s="357">
        <f t="shared" si="200"/>
        <v>5844</v>
      </c>
      <c r="M252" s="357">
        <f t="shared" si="200"/>
        <v>6212</v>
      </c>
      <c r="N252" s="357">
        <f t="shared" si="200"/>
        <v>6881</v>
      </c>
      <c r="O252" s="357">
        <f t="shared" si="200"/>
        <v>7479</v>
      </c>
      <c r="P252" s="357">
        <f t="shared" si="200"/>
        <v>8031</v>
      </c>
      <c r="Q252" s="357">
        <f>SUM(Q244:Q251)</f>
        <v>7963</v>
      </c>
      <c r="R252" s="357">
        <f t="shared" si="200"/>
        <v>8319.0234563251888</v>
      </c>
      <c r="S252" s="357">
        <f t="shared" si="200"/>
        <v>8601.3862835864002</v>
      </c>
      <c r="T252" s="357">
        <f t="shared" si="200"/>
        <v>8388.0426322318999</v>
      </c>
      <c r="V252" s="357">
        <f t="shared" si="200"/>
        <v>30147</v>
      </c>
      <c r="W252" s="357">
        <f t="shared" si="200"/>
        <v>31196</v>
      </c>
      <c r="X252" s="357">
        <f t="shared" si="200"/>
        <v>32667</v>
      </c>
      <c r="Y252" s="357">
        <f t="shared" si="200"/>
        <v>25322</v>
      </c>
      <c r="Z252" s="357">
        <f t="shared" si="200"/>
        <v>28603</v>
      </c>
      <c r="AA252" s="357">
        <f t="shared" si="200"/>
        <v>33271.452372143489</v>
      </c>
      <c r="AB252" s="357">
        <f t="shared" si="200"/>
        <v>34123.120549889842</v>
      </c>
      <c r="AC252" s="357">
        <f t="shared" si="200"/>
        <v>35945.506621639179</v>
      </c>
      <c r="AD252" s="357">
        <f t="shared" si="200"/>
        <v>35666.006591824575</v>
      </c>
    </row>
    <row r="253" spans="2:44" s="284" customFormat="1" ht="11.25" customHeight="1">
      <c r="E253" s="284">
        <f>'AAL Financials'!E54-E252</f>
        <v>0</v>
      </c>
      <c r="F253" s="284">
        <f>'AAL Financials'!F54-F252</f>
        <v>0</v>
      </c>
      <c r="G253" s="284">
        <f>'AAL Financials'!G54-G252</f>
        <v>0</v>
      </c>
      <c r="H253" s="284">
        <f>'AAL Financials'!H54-H252</f>
        <v>0</v>
      </c>
      <c r="I253" s="284">
        <f>'AAL Financials'!I54-I252</f>
        <v>0</v>
      </c>
      <c r="J253" s="284">
        <f>'AAL Financials'!J54-J252</f>
        <v>0</v>
      </c>
      <c r="K253" s="284">
        <f>'AAL Financials'!K54-K252</f>
        <v>0</v>
      </c>
      <c r="L253" s="284">
        <f>'AAL Financials'!L54-L252</f>
        <v>0</v>
      </c>
      <c r="M253" s="284">
        <f>'AAL Financials'!M54-M252</f>
        <v>0</v>
      </c>
      <c r="N253" s="284">
        <f>'AAL Financials'!N54-N252</f>
        <v>0</v>
      </c>
      <c r="O253" s="284">
        <f>'AAL Financials'!O54-O252</f>
        <v>0</v>
      </c>
      <c r="P253" s="284">
        <f>'AAL Financials'!P54-P252</f>
        <v>0</v>
      </c>
      <c r="Q253" s="284">
        <f>'AAL Financials'!Q54-Q252</f>
        <v>0</v>
      </c>
      <c r="R253" s="284">
        <f>'AAL Financials'!R54-R252</f>
        <v>0</v>
      </c>
      <c r="S253" s="284">
        <f>'AAL Financials'!S54-S252</f>
        <v>0</v>
      </c>
      <c r="T253" s="284">
        <f>'AAL Financials'!T54-T252</f>
        <v>0</v>
      </c>
      <c r="U253" s="253"/>
      <c r="V253" s="284">
        <f>'AAL Financials'!V54-V252</f>
        <v>0</v>
      </c>
      <c r="W253" s="284">
        <f>'AAL Financials'!W54-W252</f>
        <v>0</v>
      </c>
      <c r="X253" s="284">
        <f>'AAL Financials'!X54-X252</f>
        <v>0</v>
      </c>
      <c r="Y253" s="284">
        <f>'AAL Financials'!Y54-Y252</f>
        <v>0</v>
      </c>
      <c r="Z253" s="284">
        <f>'AAL Financials'!Z54-Z252</f>
        <v>0</v>
      </c>
      <c r="AA253" s="284">
        <f>'AAL Financials'!AA54-AA252</f>
        <v>0</v>
      </c>
      <c r="AB253" s="284">
        <f>'AAL Financials'!AB54-AB252</f>
        <v>0</v>
      </c>
      <c r="AC253" s="284">
        <f>'AAL Financials'!AC54-AC252</f>
        <v>0</v>
      </c>
      <c r="AD253" s="284">
        <f>'AAL Financials'!AD54-AD252</f>
        <v>0</v>
      </c>
    </row>
    <row r="254" spans="2:44" s="293" customFormat="1" ht="11.25" customHeight="1">
      <c r="E254" s="675"/>
      <c r="R254" s="284"/>
      <c r="U254" s="253"/>
      <c r="AO254" s="293">
        <v>1165</v>
      </c>
      <c r="AP254" s="293">
        <v>1823</v>
      </c>
      <c r="AQ254" s="293">
        <v>1864</v>
      </c>
      <c r="AR254" s="293">
        <v>1718</v>
      </c>
    </row>
    <row r="255" spans="2:44" ht="11.25" customHeight="1">
      <c r="C255" s="279" t="s">
        <v>1029</v>
      </c>
    </row>
    <row r="256" spans="2:44" ht="11.25" customHeight="1">
      <c r="C256" s="253" t="str">
        <f t="shared" ref="C256:C263" si="201">C244</f>
        <v xml:space="preserve">  Salaries, wages and benefits</v>
      </c>
      <c r="E256" s="494">
        <f>E244/E$121/10</f>
        <v>4.6344902060773325</v>
      </c>
      <c r="F256" s="494">
        <f t="shared" ref="F256:AD263" si="202">F244/F$121/10</f>
        <v>4.4246563977766105</v>
      </c>
      <c r="G256" s="494">
        <f t="shared" si="202"/>
        <v>4.2455816407280391</v>
      </c>
      <c r="H256" s="494">
        <f t="shared" si="202"/>
        <v>4.4114298724954466</v>
      </c>
      <c r="I256" s="494">
        <f t="shared" si="202"/>
        <v>5.1836583519863444</v>
      </c>
      <c r="J256" s="494">
        <f t="shared" si="202"/>
        <v>15.280135823429541</v>
      </c>
      <c r="K256" s="494">
        <f t="shared" si="202"/>
        <v>8.9801092043681745</v>
      </c>
      <c r="L256" s="494">
        <f t="shared" si="202"/>
        <v>7.9382281224600391</v>
      </c>
      <c r="M256" s="494">
        <f t="shared" si="202"/>
        <v>7.2291070861137587</v>
      </c>
      <c r="N256" s="494">
        <f t="shared" si="202"/>
        <v>5.2460819356612598</v>
      </c>
      <c r="O256" s="494">
        <f t="shared" si="202"/>
        <v>4.9385544337353346</v>
      </c>
      <c r="P256" s="494">
        <f t="shared" si="202"/>
        <v>5.2483430161197946</v>
      </c>
      <c r="Q256" s="494">
        <f t="shared" ref="Q256:Q263" si="203">Q244/Q$121/10</f>
        <v>5.2979020039305933</v>
      </c>
      <c r="R256" s="677">
        <f t="shared" si="202"/>
        <v>4.8391223286420715</v>
      </c>
      <c r="S256" s="677">
        <f t="shared" si="202"/>
        <v>4.5499782062458332</v>
      </c>
      <c r="T256" s="677">
        <f t="shared" si="202"/>
        <v>4.8817141651084892</v>
      </c>
      <c r="V256" s="494">
        <f t="shared" si="202"/>
        <v>4.3234367597009689</v>
      </c>
      <c r="W256" s="494">
        <f t="shared" si="202"/>
        <v>4.3434945081438308</v>
      </c>
      <c r="X256" s="494">
        <f t="shared" si="202"/>
        <v>4.4228448759681225</v>
      </c>
      <c r="Y256" s="494">
        <f t="shared" si="202"/>
        <v>7.843287908526408</v>
      </c>
      <c r="Z256" s="494">
        <f t="shared" si="202"/>
        <v>5.5081921364812274</v>
      </c>
      <c r="AA256" s="494">
        <f t="shared" si="202"/>
        <v>4.8741124079212428</v>
      </c>
      <c r="AB256" s="677">
        <f t="shared" si="202"/>
        <v>4.5361446638482388</v>
      </c>
      <c r="AC256" s="677">
        <f t="shared" si="202"/>
        <v>4.3797868763325587</v>
      </c>
      <c r="AD256" s="677">
        <f t="shared" si="202"/>
        <v>4.3075459722374436</v>
      </c>
    </row>
    <row r="257" spans="2:30" ht="11.25" customHeight="1">
      <c r="C257" s="253" t="str">
        <f t="shared" si="201"/>
        <v xml:space="preserve">  Regional expenses</v>
      </c>
      <c r="E257" s="494">
        <f t="shared" ref="E257:E263" si="204">E245/E$121/10</f>
        <v>2.0097789243183253</v>
      </c>
      <c r="F257" s="494">
        <f t="shared" si="202"/>
        <v>1.934404468902962</v>
      </c>
      <c r="G257" s="494">
        <f t="shared" si="202"/>
        <v>1.9018728567660248</v>
      </c>
      <c r="H257" s="494">
        <f t="shared" si="202"/>
        <v>2.0562955373406195</v>
      </c>
      <c r="I257" s="494">
        <f t="shared" si="202"/>
        <v>1.6860174882043188</v>
      </c>
      <c r="J257" s="494">
        <f t="shared" si="202"/>
        <v>3.9224869738305719</v>
      </c>
      <c r="K257" s="494">
        <f t="shared" si="202"/>
        <v>2.4473478939157567</v>
      </c>
      <c r="L257" s="494">
        <f t="shared" si="202"/>
        <v>2.4142809837743462</v>
      </c>
      <c r="M257" s="494">
        <f t="shared" si="202"/>
        <v>2.2243406418811564</v>
      </c>
      <c r="N257" s="494">
        <f t="shared" si="202"/>
        <v>1.4700760700210798</v>
      </c>
      <c r="O257" s="494">
        <f t="shared" si="202"/>
        <v>1.5610937474431772</v>
      </c>
      <c r="P257" s="494">
        <f t="shared" si="202"/>
        <v>1.726536289992636</v>
      </c>
      <c r="Q257" s="494">
        <f t="shared" si="203"/>
        <v>1.7670871617422268</v>
      </c>
      <c r="R257" s="494">
        <f t="shared" ref="R257:T262" si="205">(R268+1)*F257</f>
        <v>1.7409640220126659</v>
      </c>
      <c r="S257" s="494">
        <f t="shared" si="205"/>
        <v>1.7116855710894223</v>
      </c>
      <c r="T257" s="494">
        <f t="shared" si="205"/>
        <v>1.8506659836065575</v>
      </c>
      <c r="V257" s="494">
        <f t="shared" si="202"/>
        <v>1.8597215842715731</v>
      </c>
      <c r="W257" s="494">
        <f t="shared" si="202"/>
        <v>1.873400129053302</v>
      </c>
      <c r="X257" s="494">
        <f t="shared" si="202"/>
        <v>1.9734257492423393</v>
      </c>
      <c r="Y257" s="494">
        <f t="shared" si="202"/>
        <v>2.2854428744054149</v>
      </c>
      <c r="Z257" s="494">
        <f t="shared" si="202"/>
        <v>1.7018202158156015</v>
      </c>
      <c r="AA257" s="494">
        <f t="shared" si="202"/>
        <v>1.7665938441599458</v>
      </c>
      <c r="AB257" s="494">
        <f t="shared" ref="AB257:AD262" si="206">(AB268+1)*$X257</f>
        <v>1.8254188180491639</v>
      </c>
      <c r="AC257" s="494">
        <f t="shared" si="206"/>
        <v>1.8747544617802223</v>
      </c>
      <c r="AD257" s="494">
        <f t="shared" si="206"/>
        <v>1.9734257492423393</v>
      </c>
    </row>
    <row r="258" spans="2:30" ht="11.25" customHeight="1">
      <c r="C258" s="253" t="str">
        <f t="shared" si="201"/>
        <v xml:space="preserve">  Maintenance, materials and repairs</v>
      </c>
      <c r="E258" s="494">
        <f t="shared" si="204"/>
        <v>0.84140744518103028</v>
      </c>
      <c r="F258" s="494">
        <f t="shared" si="202"/>
        <v>0.79505544647548476</v>
      </c>
      <c r="G258" s="494">
        <f t="shared" si="202"/>
        <v>0.80453706146135584</v>
      </c>
      <c r="H258" s="494">
        <f t="shared" si="202"/>
        <v>0.90363160291438993</v>
      </c>
      <c r="I258" s="494">
        <f t="shared" si="202"/>
        <v>1.0128987584341134</v>
      </c>
      <c r="J258" s="494">
        <f t="shared" si="202"/>
        <v>1.6802294947602601</v>
      </c>
      <c r="K258" s="494">
        <f t="shared" si="202"/>
        <v>1.09529381175247</v>
      </c>
      <c r="L258" s="494">
        <f t="shared" si="202"/>
        <v>0.996417712754749</v>
      </c>
      <c r="M258" s="494">
        <f t="shared" si="202"/>
        <v>0.99565723969918429</v>
      </c>
      <c r="N258" s="494">
        <f t="shared" si="202"/>
        <v>0.84135276326642838</v>
      </c>
      <c r="O258" s="494">
        <f t="shared" si="202"/>
        <v>0.89672890314346032</v>
      </c>
      <c r="P258" s="494">
        <f t="shared" si="202"/>
        <v>0.9753702642991573</v>
      </c>
      <c r="Q258" s="494">
        <f t="shared" si="203"/>
        <v>1.0363999798431123</v>
      </c>
      <c r="R258" s="494">
        <f t="shared" si="205"/>
        <v>0.95406653577058165</v>
      </c>
      <c r="S258" s="494">
        <f t="shared" si="205"/>
        <v>0.92521762068055913</v>
      </c>
      <c r="T258" s="494">
        <f t="shared" si="205"/>
        <v>1.0165855532786887</v>
      </c>
      <c r="V258" s="494">
        <f t="shared" si="202"/>
        <v>0.70851703298094348</v>
      </c>
      <c r="W258" s="494">
        <f t="shared" si="202"/>
        <v>0.72681117800137574</v>
      </c>
      <c r="X258" s="494">
        <f t="shared" si="202"/>
        <v>0.83518071612975631</v>
      </c>
      <c r="Y258" s="494">
        <f t="shared" si="202"/>
        <v>1.1064002179273158</v>
      </c>
      <c r="Z258" s="494">
        <f t="shared" si="202"/>
        <v>0.92246020462861544</v>
      </c>
      <c r="AA258" s="494">
        <f t="shared" si="202"/>
        <v>0.9804585695575796</v>
      </c>
      <c r="AB258" s="494">
        <f t="shared" si="206"/>
        <v>0.91869878774273206</v>
      </c>
      <c r="AC258" s="494">
        <f t="shared" si="206"/>
        <v>0.91869878774273206</v>
      </c>
      <c r="AD258" s="494">
        <f t="shared" si="206"/>
        <v>0.83518071612975631</v>
      </c>
    </row>
    <row r="259" spans="2:30" ht="11.25" customHeight="1">
      <c r="C259" s="253" t="str">
        <f t="shared" si="201"/>
        <v xml:space="preserve">  Other rent and landing fees</v>
      </c>
      <c r="E259" s="494">
        <f t="shared" si="204"/>
        <v>0.75441701412844597</v>
      </c>
      <c r="F259" s="494">
        <f t="shared" si="202"/>
        <v>0.73974724150327709</v>
      </c>
      <c r="G259" s="494">
        <f t="shared" si="202"/>
        <v>0.69902400422052224</v>
      </c>
      <c r="H259" s="494">
        <f t="shared" si="202"/>
        <v>0.69302140255009115</v>
      </c>
      <c r="I259" s="494">
        <f t="shared" si="202"/>
        <v>0.98391278442487007</v>
      </c>
      <c r="J259" s="494">
        <f t="shared" si="202"/>
        <v>2.4178912241672035</v>
      </c>
      <c r="K259" s="494">
        <f t="shared" si="202"/>
        <v>1.5340613624544983</v>
      </c>
      <c r="L259" s="494">
        <f t="shared" si="202"/>
        <v>1.5322556368343421</v>
      </c>
      <c r="M259" s="494">
        <f t="shared" si="202"/>
        <v>1.5093740069907846</v>
      </c>
      <c r="N259" s="494">
        <f t="shared" si="202"/>
        <v>1.2574466135093025</v>
      </c>
      <c r="O259" s="494">
        <f t="shared" si="202"/>
        <v>1.1356384284335062</v>
      </c>
      <c r="P259" s="494">
        <f t="shared" si="202"/>
        <v>1.0964732836920059</v>
      </c>
      <c r="Q259" s="494">
        <f t="shared" si="203"/>
        <v>1.1388641593737927</v>
      </c>
      <c r="R259" s="494">
        <f t="shared" si="205"/>
        <v>1.0726335001797518</v>
      </c>
      <c r="S259" s="494">
        <f t="shared" si="205"/>
        <v>0.97863360590873105</v>
      </c>
      <c r="T259" s="494">
        <f t="shared" si="205"/>
        <v>0.93557889344262313</v>
      </c>
      <c r="V259" s="494">
        <f t="shared" si="202"/>
        <v>0.65318109319223272</v>
      </c>
      <c r="W259" s="494">
        <f t="shared" si="202"/>
        <v>0.67362987229395799</v>
      </c>
      <c r="X259" s="494">
        <f t="shared" si="202"/>
        <v>0.72083005949040291</v>
      </c>
      <c r="Y259" s="494">
        <f t="shared" si="202"/>
        <v>1.4004623970607755</v>
      </c>
      <c r="Z259" s="494">
        <f t="shared" si="202"/>
        <v>1.2212459505442004</v>
      </c>
      <c r="AA259" s="494">
        <f t="shared" si="202"/>
        <v>1.0273318144836039</v>
      </c>
      <c r="AB259" s="494">
        <f t="shared" si="206"/>
        <v>0.82895456841396331</v>
      </c>
      <c r="AC259" s="494">
        <f t="shared" si="206"/>
        <v>0.82895456841396331</v>
      </c>
      <c r="AD259" s="494">
        <f t="shared" si="206"/>
        <v>0.72083005949040291</v>
      </c>
    </row>
    <row r="260" spans="2:30" ht="11.25" customHeight="1">
      <c r="C260" s="253" t="str">
        <f t="shared" si="201"/>
        <v xml:space="preserve">  Aircraft rent</v>
      </c>
      <c r="E260" s="494">
        <f t="shared" si="204"/>
        <v>0.49044605093439725</v>
      </c>
      <c r="F260" s="494">
        <f t="shared" si="202"/>
        <v>0.46182351151793377</v>
      </c>
      <c r="G260" s="494">
        <f t="shared" si="202"/>
        <v>0.44183592719599052</v>
      </c>
      <c r="H260" s="494">
        <f t="shared" si="202"/>
        <v>0.46960382513661203</v>
      </c>
      <c r="I260" s="494">
        <f t="shared" si="202"/>
        <v>0.53785085106040353</v>
      </c>
      <c r="J260" s="494">
        <f t="shared" si="202"/>
        <v>1.9553890287453897</v>
      </c>
      <c r="K260" s="494">
        <f t="shared" si="202"/>
        <v>1.0920436817472698</v>
      </c>
      <c r="L260" s="494">
        <f t="shared" si="202"/>
        <v>1.0114693398356365</v>
      </c>
      <c r="M260" s="494">
        <f t="shared" si="202"/>
        <v>0.92945662535748319</v>
      </c>
      <c r="N260" s="494">
        <f t="shared" si="202"/>
        <v>0.6525524699844194</v>
      </c>
      <c r="O260" s="494">
        <f t="shared" si="202"/>
        <v>0.58581924694408538</v>
      </c>
      <c r="P260" s="494">
        <f t="shared" si="202"/>
        <v>0.58914982407331651</v>
      </c>
      <c r="Q260" s="494">
        <f t="shared" si="203"/>
        <v>0.59294844875951147</v>
      </c>
      <c r="R260" s="494">
        <f t="shared" si="205"/>
        <v>0.53109703824562382</v>
      </c>
      <c r="S260" s="494">
        <f t="shared" si="205"/>
        <v>0.49706541809548932</v>
      </c>
      <c r="T260" s="494">
        <f t="shared" si="205"/>
        <v>0.51656420765027322</v>
      </c>
      <c r="V260" s="494">
        <f t="shared" si="202"/>
        <v>0.43292235246461941</v>
      </c>
      <c r="W260" s="494">
        <f t="shared" si="202"/>
        <v>0.44814113609450679</v>
      </c>
      <c r="X260" s="494">
        <f t="shared" si="202"/>
        <v>0.46511954203614325</v>
      </c>
      <c r="Y260" s="494">
        <f t="shared" si="202"/>
        <v>0.935969881327401</v>
      </c>
      <c r="Z260" s="494">
        <f t="shared" si="202"/>
        <v>0.66422728226163574</v>
      </c>
      <c r="AA260" s="494">
        <f t="shared" si="202"/>
        <v>0.53203208096137633</v>
      </c>
      <c r="AB260" s="494">
        <f t="shared" si="206"/>
        <v>0.51163149623975757</v>
      </c>
      <c r="AC260" s="494">
        <f t="shared" si="206"/>
        <v>0.51163149623975757</v>
      </c>
      <c r="AD260" s="494">
        <f t="shared" si="206"/>
        <v>0.46511954203614325</v>
      </c>
    </row>
    <row r="261" spans="2:30" ht="11.25" customHeight="1">
      <c r="C261" s="253" t="str">
        <f t="shared" si="201"/>
        <v xml:space="preserve">  Selling expenses</v>
      </c>
      <c r="E261" s="494">
        <f t="shared" si="204"/>
        <v>0.55493895671476146</v>
      </c>
      <c r="F261" s="494">
        <f t="shared" si="202"/>
        <v>0.55446475484638147</v>
      </c>
      <c r="G261" s="494">
        <f t="shared" si="202"/>
        <v>0.55921920337641784</v>
      </c>
      <c r="H261" s="494">
        <f t="shared" si="202"/>
        <v>0.57917805100182151</v>
      </c>
      <c r="I261" s="494">
        <f t="shared" si="202"/>
        <v>0.61997777741992632</v>
      </c>
      <c r="J261" s="494">
        <f t="shared" si="202"/>
        <v>0.33370411568409347</v>
      </c>
      <c r="K261" s="494">
        <f t="shared" si="202"/>
        <v>0.31526261050442017</v>
      </c>
      <c r="L261" s="494">
        <f t="shared" si="202"/>
        <v>0.37930100243836368</v>
      </c>
      <c r="M261" s="494">
        <f t="shared" si="202"/>
        <v>0.39985171062387453</v>
      </c>
      <c r="N261" s="494">
        <f t="shared" si="202"/>
        <v>0.5077444780496746</v>
      </c>
      <c r="O261" s="494">
        <f t="shared" si="202"/>
        <v>0.5203645824810591</v>
      </c>
      <c r="P261" s="494">
        <f t="shared" si="202"/>
        <v>0.57769413304966866</v>
      </c>
      <c r="Q261" s="494">
        <f t="shared" si="203"/>
        <v>0.55767389515058874</v>
      </c>
      <c r="R261" s="494">
        <f t="shared" si="205"/>
        <v>0.56555404994330916</v>
      </c>
      <c r="S261" s="494">
        <f t="shared" si="205"/>
        <v>0.55921920337641784</v>
      </c>
      <c r="T261" s="494">
        <f t="shared" si="205"/>
        <v>0.57917805100182151</v>
      </c>
      <c r="V261" s="494">
        <f t="shared" si="202"/>
        <v>0.53419073900605085</v>
      </c>
      <c r="W261" s="494">
        <f t="shared" si="202"/>
        <v>0.53890389783516635</v>
      </c>
      <c r="X261" s="494">
        <f t="shared" si="202"/>
        <v>0.56193175440565724</v>
      </c>
      <c r="Y261" s="494">
        <f t="shared" si="202"/>
        <v>0.46449251573337441</v>
      </c>
      <c r="Z261" s="494">
        <f t="shared" si="202"/>
        <v>0.51227072505651772</v>
      </c>
      <c r="AA261" s="494">
        <f t="shared" si="202"/>
        <v>0.56551800064385149</v>
      </c>
      <c r="AB261" s="494">
        <f t="shared" si="206"/>
        <v>0.56193175440565724</v>
      </c>
      <c r="AC261" s="494">
        <f t="shared" si="206"/>
        <v>0.59002834212594013</v>
      </c>
      <c r="AD261" s="494">
        <f t="shared" si="206"/>
        <v>0.56193175440565724</v>
      </c>
    </row>
    <row r="262" spans="2:30" ht="11.25" customHeight="1">
      <c r="C262" s="253" t="str">
        <f t="shared" si="201"/>
        <v xml:space="preserve">  Other</v>
      </c>
      <c r="E262" s="494">
        <f t="shared" si="204"/>
        <v>1.8762936077031529</v>
      </c>
      <c r="F262" s="494">
        <f t="shared" si="202"/>
        <v>1.7574182129918978</v>
      </c>
      <c r="G262" s="494">
        <f t="shared" si="202"/>
        <v>1.7620680559219202</v>
      </c>
      <c r="H262" s="494">
        <f t="shared" si="202"/>
        <v>1.7489184881602917</v>
      </c>
      <c r="I262" s="494">
        <f t="shared" si="202"/>
        <v>2.0451214995410556</v>
      </c>
      <c r="J262" s="494">
        <f t="shared" si="202"/>
        <v>3.5185293601077219</v>
      </c>
      <c r="K262" s="494">
        <f t="shared" si="202"/>
        <v>2.2620904836193447</v>
      </c>
      <c r="L262" s="494">
        <f t="shared" si="202"/>
        <v>1.8633914326138659</v>
      </c>
      <c r="M262" s="494">
        <f t="shared" si="202"/>
        <v>1.8959855947463189</v>
      </c>
      <c r="N262" s="494">
        <f t="shared" si="202"/>
        <v>1.7560260287782969</v>
      </c>
      <c r="O262" s="494">
        <f t="shared" si="202"/>
        <v>1.8147305722374043</v>
      </c>
      <c r="P262" s="494">
        <f t="shared" si="202"/>
        <v>1.9818345470910732</v>
      </c>
      <c r="Q262" s="494">
        <f t="shared" si="203"/>
        <v>2.1584667327364655</v>
      </c>
      <c r="R262" s="494">
        <f t="shared" si="205"/>
        <v>1.9507342164210069</v>
      </c>
      <c r="S262" s="494">
        <f t="shared" si="205"/>
        <v>1.9735162226325509</v>
      </c>
      <c r="T262" s="494">
        <f t="shared" si="205"/>
        <v>1.9238103369763211</v>
      </c>
      <c r="V262" s="494">
        <f t="shared" si="202"/>
        <v>1.7758134925658156</v>
      </c>
      <c r="W262" s="494">
        <f t="shared" si="202"/>
        <v>1.8039098895956094</v>
      </c>
      <c r="X262" s="494">
        <f t="shared" si="202"/>
        <v>1.7843613200134694</v>
      </c>
      <c r="Y262" s="494">
        <f t="shared" si="202"/>
        <v>2.2253731656038056</v>
      </c>
      <c r="Z262" s="494">
        <f t="shared" si="202"/>
        <v>1.8617008879669985</v>
      </c>
      <c r="AA262" s="494">
        <f t="shared" si="202"/>
        <v>1.9965574195003586</v>
      </c>
      <c r="AB262" s="494">
        <f t="shared" si="206"/>
        <v>1.9627974520148164</v>
      </c>
      <c r="AC262" s="494">
        <f t="shared" si="206"/>
        <v>1.9806410652149511</v>
      </c>
      <c r="AD262" s="494">
        <f t="shared" si="206"/>
        <v>1.7843613200134694</v>
      </c>
    </row>
    <row r="263" spans="2:30" ht="11.25" customHeight="1">
      <c r="C263" s="253" t="str">
        <f t="shared" si="201"/>
        <v xml:space="preserve">  Depreciation and amortization</v>
      </c>
      <c r="E263" s="494">
        <f t="shared" si="204"/>
        <v>0.71992080871104192</v>
      </c>
      <c r="F263" s="494">
        <f t="shared" si="202"/>
        <v>0.67614280578523833</v>
      </c>
      <c r="G263" s="494">
        <f t="shared" si="202"/>
        <v>0.65813769453969928</v>
      </c>
      <c r="H263" s="494">
        <f t="shared" si="202"/>
        <v>0.73002049180327877</v>
      </c>
      <c r="I263" s="494">
        <f t="shared" si="202"/>
        <v>0.90178585806534728</v>
      </c>
      <c r="J263" s="494">
        <f t="shared" si="202"/>
        <v>2.9213746267782916</v>
      </c>
      <c r="K263" s="494">
        <f t="shared" si="202"/>
        <v>1.6185647425897034</v>
      </c>
      <c r="L263" s="494">
        <f t="shared" si="202"/>
        <v>1.4569975014299048</v>
      </c>
      <c r="M263" s="494">
        <f t="shared" si="202"/>
        <v>1.2657557462133249</v>
      </c>
      <c r="N263" s="494">
        <f t="shared" si="202"/>
        <v>0.88167903950142057</v>
      </c>
      <c r="O263" s="494">
        <f t="shared" si="202"/>
        <v>0.78545597355631558</v>
      </c>
      <c r="P263" s="494">
        <f t="shared" si="202"/>
        <v>0.94754930038458407</v>
      </c>
      <c r="Q263" s="494">
        <f t="shared" si="203"/>
        <v>0.82643239883761943</v>
      </c>
      <c r="R263" s="677">
        <f>R251/R$121/10</f>
        <v>0.71432101367734657</v>
      </c>
      <c r="S263" s="677">
        <f>S251/S$121/10</f>
        <v>0.72560613322268686</v>
      </c>
      <c r="T263" s="677">
        <f>T251/T$121/10</f>
        <v>0.76337819104609539</v>
      </c>
      <c r="V263" s="494">
        <f t="shared" si="202"/>
        <v>0.61556712104827249</v>
      </c>
      <c r="W263" s="494">
        <f t="shared" si="202"/>
        <v>0.65200280797294141</v>
      </c>
      <c r="X263" s="494">
        <f t="shared" si="202"/>
        <v>0.69487316197104043</v>
      </c>
      <c r="Y263" s="494">
        <f t="shared" si="202"/>
        <v>1.4256078565591235</v>
      </c>
      <c r="Z263" s="494">
        <f t="shared" si="202"/>
        <v>0.94063905656419711</v>
      </c>
      <c r="AA263" s="494">
        <f t="shared" si="202"/>
        <v>0.75484722724991093</v>
      </c>
      <c r="AB263" s="677">
        <f t="shared" si="202"/>
        <v>0.74272139280030536</v>
      </c>
      <c r="AC263" s="677">
        <f t="shared" si="202"/>
        <v>0.76219194399493739</v>
      </c>
      <c r="AD263" s="677">
        <f t="shared" si="202"/>
        <v>0.80040842853836924</v>
      </c>
    </row>
    <row r="264" spans="2:30" s="279" customFormat="1" ht="11.25" customHeight="1">
      <c r="B264" s="491"/>
      <c r="C264" s="626" t="s">
        <v>535</v>
      </c>
      <c r="D264" s="491"/>
      <c r="E264" s="625">
        <f>SUM(E256:E263)</f>
        <v>11.881693013768485</v>
      </c>
      <c r="F264" s="625">
        <f t="shared" ref="F264:AD264" si="207">SUM(F256:F263)</f>
        <v>11.343712839799785</v>
      </c>
      <c r="G264" s="625">
        <f t="shared" si="207"/>
        <v>11.072276444209971</v>
      </c>
      <c r="H264" s="625">
        <f t="shared" si="207"/>
        <v>11.592099271402553</v>
      </c>
      <c r="I264" s="625">
        <f t="shared" si="207"/>
        <v>12.971223369136379</v>
      </c>
      <c r="J264" s="625">
        <f t="shared" si="207"/>
        <v>32.029740647503075</v>
      </c>
      <c r="K264" s="625">
        <f t="shared" si="207"/>
        <v>19.344773790951638</v>
      </c>
      <c r="L264" s="625">
        <f t="shared" si="207"/>
        <v>17.592341732141247</v>
      </c>
      <c r="M264" s="625">
        <f t="shared" si="207"/>
        <v>16.449528651625887</v>
      </c>
      <c r="N264" s="625">
        <f t="shared" si="207"/>
        <v>12.612959398771883</v>
      </c>
      <c r="O264" s="625">
        <f t="shared" si="207"/>
        <v>12.238385887974344</v>
      </c>
      <c r="P264" s="625">
        <f t="shared" si="207"/>
        <v>13.142950658702237</v>
      </c>
      <c r="Q264" s="625">
        <f>SUM(Q256:Q263)</f>
        <v>13.375774780373911</v>
      </c>
      <c r="R264" s="625">
        <f t="shared" si="207"/>
        <v>12.368492704892358</v>
      </c>
      <c r="S264" s="625">
        <f t="shared" si="207"/>
        <v>11.920921981251691</v>
      </c>
      <c r="T264" s="625">
        <f t="shared" si="207"/>
        <v>12.467475382110871</v>
      </c>
      <c r="U264" s="253"/>
      <c r="V264" s="625">
        <f t="shared" ref="V264:AA264" si="208">SUM(V256:V263)</f>
        <v>10.903350175230477</v>
      </c>
      <c r="W264" s="625">
        <f t="shared" si="208"/>
        <v>11.060293418990689</v>
      </c>
      <c r="X264" s="625">
        <f t="shared" si="208"/>
        <v>11.458567179256931</v>
      </c>
      <c r="Y264" s="625">
        <f t="shared" si="208"/>
        <v>17.687036817143621</v>
      </c>
      <c r="Z264" s="625">
        <f t="shared" si="208"/>
        <v>13.332556459318992</v>
      </c>
      <c r="AA264" s="625">
        <f t="shared" si="208"/>
        <v>12.497451364477872</v>
      </c>
      <c r="AB264" s="625">
        <f t="shared" si="207"/>
        <v>11.888298933514635</v>
      </c>
      <c r="AC264" s="625">
        <f t="shared" si="207"/>
        <v>11.846687541845062</v>
      </c>
      <c r="AD264" s="625">
        <f t="shared" si="207"/>
        <v>11.448803542093582</v>
      </c>
    </row>
    <row r="266" spans="2:30" s="278" customFormat="1" ht="11.25" customHeight="1">
      <c r="C266" s="392" t="s">
        <v>1030</v>
      </c>
    </row>
    <row r="267" spans="2:30" s="278" customFormat="1" ht="11.25" customHeight="1">
      <c r="C267" s="278" t="str">
        <f t="shared" ref="C267:C275" si="209">C244</f>
        <v xml:space="preserve">  Salaries, wages and benefits</v>
      </c>
      <c r="I267" s="297">
        <f t="shared" ref="I267:L273" si="210">I256/E256-1</f>
        <v>0.1184959124930014</v>
      </c>
      <c r="J267" s="297">
        <f t="shared" si="210"/>
        <v>2.4534061969439724</v>
      </c>
      <c r="K267" s="297">
        <f t="shared" si="210"/>
        <v>1.1151658275091494</v>
      </c>
      <c r="L267" s="297">
        <f t="shared" si="210"/>
        <v>0.7994682794242316</v>
      </c>
      <c r="M267" s="297">
        <f t="shared" ref="M267:P273" si="211">M256/E256-1</f>
        <v>0.5598494688011284</v>
      </c>
      <c r="N267" s="297">
        <f t="shared" si="211"/>
        <v>0.18564730547154262</v>
      </c>
      <c r="O267" s="297">
        <f t="shared" si="211"/>
        <v>0.16322210986583774</v>
      </c>
      <c r="P267" s="297">
        <f t="shared" si="211"/>
        <v>0.18971471106054905</v>
      </c>
      <c r="Q267" s="297">
        <f>Q256/E256-1</f>
        <v>0.14314666087400751</v>
      </c>
      <c r="R267" s="297">
        <f>R256/F256-1</f>
        <v>9.3671890787662138E-2</v>
      </c>
      <c r="S267" s="297">
        <f>S256/G256-1</f>
        <v>7.1697258768434802E-2</v>
      </c>
      <c r="T267" s="297">
        <f>T256/H256-1</f>
        <v>0.10660586390485083</v>
      </c>
      <c r="V267" s="297"/>
      <c r="W267" s="297">
        <f t="shared" ref="W267:X273" si="212">W256/V256-1</f>
        <v>4.6393065419207957E-3</v>
      </c>
      <c r="X267" s="297">
        <f t="shared" si="212"/>
        <v>1.8268785116572372E-2</v>
      </c>
      <c r="Y267" s="297">
        <f t="shared" ref="Y267:AD275" si="213">Y256/$X256-1</f>
        <v>0.77335812773889789</v>
      </c>
      <c r="Z267" s="297">
        <f t="shared" si="213"/>
        <v>0.24539573305191542</v>
      </c>
      <c r="AA267" s="297">
        <f t="shared" si="213"/>
        <v>0.10203105571373716</v>
      </c>
      <c r="AB267" s="297">
        <f t="shared" si="213"/>
        <v>2.5616948153831753E-2</v>
      </c>
      <c r="AC267" s="297">
        <f t="shared" si="213"/>
        <v>-9.7353628361516176E-3</v>
      </c>
      <c r="AD267" s="297">
        <f t="shared" si="213"/>
        <v>-2.6068945885297623E-2</v>
      </c>
    </row>
    <row r="268" spans="2:30" s="278" customFormat="1" ht="11.25" customHeight="1">
      <c r="C268" s="278" t="str">
        <f t="shared" si="209"/>
        <v xml:space="preserve">  Regional expenses</v>
      </c>
      <c r="I268" s="297">
        <f t="shared" si="210"/>
        <v>-0.16109305963780041</v>
      </c>
      <c r="J268" s="297">
        <f t="shared" si="210"/>
        <v>1.0277491273865231</v>
      </c>
      <c r="K268" s="297">
        <f t="shared" si="210"/>
        <v>0.28680941273711968</v>
      </c>
      <c r="L268" s="297">
        <f t="shared" si="210"/>
        <v>0.17409241032381195</v>
      </c>
      <c r="M268" s="297">
        <f t="shared" si="211"/>
        <v>0.10675886534913581</v>
      </c>
      <c r="N268" s="297">
        <f t="shared" si="211"/>
        <v>-0.24003687250847383</v>
      </c>
      <c r="O268" s="297">
        <f t="shared" si="211"/>
        <v>-0.17918080491579957</v>
      </c>
      <c r="P268" s="297">
        <f t="shared" si="211"/>
        <v>-0.16036568740233559</v>
      </c>
      <c r="Q268" s="297">
        <f t="shared" ref="Q268:Q275" si="214">Q257/E257-1</f>
        <v>-0.1207554520746178</v>
      </c>
      <c r="R268" s="296">
        <v>-0.1</v>
      </c>
      <c r="S268" s="296">
        <v>-0.1</v>
      </c>
      <c r="T268" s="296">
        <v>-0.1</v>
      </c>
      <c r="V268" s="297"/>
      <c r="W268" s="297">
        <f t="shared" si="212"/>
        <v>7.3551572974224211E-3</v>
      </c>
      <c r="X268" s="297">
        <f t="shared" si="212"/>
        <v>5.339255540650778E-2</v>
      </c>
      <c r="Y268" s="297">
        <f t="shared" si="213"/>
        <v>0.15810938176055966</v>
      </c>
      <c r="Z268" s="297">
        <f t="shared" si="213"/>
        <v>-0.13763149362524318</v>
      </c>
      <c r="AA268" s="297">
        <f t="shared" si="213"/>
        <v>-0.10480855697854496</v>
      </c>
      <c r="AB268" s="296">
        <v>-7.4999999999999997E-2</v>
      </c>
      <c r="AC268" s="296">
        <v>-0.05</v>
      </c>
      <c r="AD268" s="296">
        <v>0</v>
      </c>
    </row>
    <row r="269" spans="2:30" s="278" customFormat="1" ht="11.25" customHeight="1">
      <c r="C269" s="278" t="str">
        <f t="shared" si="209"/>
        <v xml:space="preserve">  Maintenance, materials and repairs</v>
      </c>
      <c r="I269" s="297">
        <f t="shared" si="210"/>
        <v>0.20381482744805801</v>
      </c>
      <c r="J269" s="297">
        <f t="shared" si="210"/>
        <v>1.1133488264356783</v>
      </c>
      <c r="K269" s="297">
        <f t="shared" si="210"/>
        <v>0.36139634109954555</v>
      </c>
      <c r="L269" s="297">
        <f t="shared" si="210"/>
        <v>0.10268134662522388</v>
      </c>
      <c r="M269" s="297">
        <f t="shared" si="211"/>
        <v>0.18332354366672732</v>
      </c>
      <c r="N269" s="297">
        <f t="shared" si="211"/>
        <v>5.8231557303558779E-2</v>
      </c>
      <c r="O269" s="297">
        <f t="shared" si="211"/>
        <v>0.11458992518585509</v>
      </c>
      <c r="P269" s="297">
        <f t="shared" si="211"/>
        <v>7.9389278942210595E-2</v>
      </c>
      <c r="Q269" s="297">
        <f t="shared" si="214"/>
        <v>0.23174567301354099</v>
      </c>
      <c r="R269" s="296">
        <v>0.2</v>
      </c>
      <c r="S269" s="296">
        <v>0.15</v>
      </c>
      <c r="T269" s="296">
        <v>0.125</v>
      </c>
      <c r="V269" s="297"/>
      <c r="W269" s="297">
        <f t="shared" si="212"/>
        <v>2.5820332001706969E-2</v>
      </c>
      <c r="X269" s="297">
        <f t="shared" si="212"/>
        <v>0.14910274003542567</v>
      </c>
      <c r="Y269" s="297">
        <f t="shared" si="213"/>
        <v>0.32474349150971293</v>
      </c>
      <c r="Z269" s="297">
        <f t="shared" si="213"/>
        <v>0.10450371615776044</v>
      </c>
      <c r="AA269" s="297">
        <f t="shared" si="213"/>
        <v>0.17394780629160556</v>
      </c>
      <c r="AB269" s="296">
        <v>0.1</v>
      </c>
      <c r="AC269" s="296">
        <v>0.1</v>
      </c>
      <c r="AD269" s="296">
        <v>0</v>
      </c>
    </row>
    <row r="270" spans="2:30" s="278" customFormat="1" ht="11.25" customHeight="1">
      <c r="C270" s="278" t="str">
        <f t="shared" si="209"/>
        <v xml:space="preserve">  Other rent and landing fees</v>
      </c>
      <c r="I270" s="297">
        <f t="shared" si="210"/>
        <v>0.30420280295713287</v>
      </c>
      <c r="J270" s="297">
        <f t="shared" si="210"/>
        <v>2.2685369927891679</v>
      </c>
      <c r="K270" s="297">
        <f t="shared" si="210"/>
        <v>1.1945760849301901</v>
      </c>
      <c r="L270" s="297">
        <f t="shared" si="210"/>
        <v>1.2109788113269584</v>
      </c>
      <c r="M270" s="297">
        <f t="shared" si="211"/>
        <v>1.0007157563042459</v>
      </c>
      <c r="N270" s="297">
        <f t="shared" si="211"/>
        <v>0.69983278471438815</v>
      </c>
      <c r="O270" s="297">
        <f t="shared" si="211"/>
        <v>0.62460576686468761</v>
      </c>
      <c r="P270" s="297">
        <f t="shared" si="211"/>
        <v>0.5821636671787398</v>
      </c>
      <c r="Q270" s="297">
        <f t="shared" si="214"/>
        <v>0.50959500918664502</v>
      </c>
      <c r="R270" s="296">
        <v>0.45</v>
      </c>
      <c r="S270" s="296">
        <v>0.4</v>
      </c>
      <c r="T270" s="296">
        <v>0.35</v>
      </c>
      <c r="V270" s="297"/>
      <c r="W270" s="297">
        <f t="shared" si="212"/>
        <v>3.1306446734071569E-2</v>
      </c>
      <c r="X270" s="297">
        <f t="shared" si="212"/>
        <v>7.0068429471084492E-2</v>
      </c>
      <c r="Y270" s="297">
        <f t="shared" si="213"/>
        <v>0.94284683140273673</v>
      </c>
      <c r="Z270" s="297">
        <f t="shared" si="213"/>
        <v>0.69422173016420929</v>
      </c>
      <c r="AA270" s="297">
        <f t="shared" si="213"/>
        <v>0.42520667799270884</v>
      </c>
      <c r="AB270" s="296">
        <v>0.15</v>
      </c>
      <c r="AC270" s="296">
        <v>0.15</v>
      </c>
      <c r="AD270" s="296">
        <v>0</v>
      </c>
    </row>
    <row r="271" spans="2:30" s="278" customFormat="1" ht="11.25" customHeight="1">
      <c r="C271" s="278" t="str">
        <f t="shared" si="209"/>
        <v xml:space="preserve">  Aircraft rent</v>
      </c>
      <c r="I271" s="297">
        <f t="shared" si="210"/>
        <v>9.6656502862426441E-2</v>
      </c>
      <c r="J271" s="297">
        <f t="shared" si="210"/>
        <v>3.2340612376324565</v>
      </c>
      <c r="K271" s="297">
        <f t="shared" si="210"/>
        <v>1.4716045358232237</v>
      </c>
      <c r="L271" s="297">
        <f t="shared" si="210"/>
        <v>1.1538779833009043</v>
      </c>
      <c r="M271" s="297">
        <f t="shared" si="211"/>
        <v>0.8951251082288938</v>
      </c>
      <c r="N271" s="297">
        <f t="shared" si="211"/>
        <v>0.41299101000638228</v>
      </c>
      <c r="O271" s="297">
        <f t="shared" si="211"/>
        <v>0.32587508368061346</v>
      </c>
      <c r="P271" s="297">
        <f t="shared" si="211"/>
        <v>0.25456777082666959</v>
      </c>
      <c r="Q271" s="297">
        <f t="shared" si="214"/>
        <v>0.20899831414653414</v>
      </c>
      <c r="R271" s="296">
        <v>0.15</v>
      </c>
      <c r="S271" s="296">
        <v>0.125</v>
      </c>
      <c r="T271" s="296">
        <v>0.1</v>
      </c>
      <c r="V271" s="297"/>
      <c r="W271" s="297">
        <f t="shared" si="212"/>
        <v>3.5153610210346242E-2</v>
      </c>
      <c r="X271" s="297">
        <f t="shared" si="212"/>
        <v>3.7886292005239852E-2</v>
      </c>
      <c r="Y271" s="297">
        <f t="shared" si="213"/>
        <v>1.0123211276611319</v>
      </c>
      <c r="Z271" s="297">
        <f t="shared" si="213"/>
        <v>0.42807863835147208</v>
      </c>
      <c r="AA271" s="297">
        <f t="shared" si="213"/>
        <v>0.14386094945035333</v>
      </c>
      <c r="AB271" s="296">
        <v>0.1</v>
      </c>
      <c r="AC271" s="296">
        <v>0.1</v>
      </c>
      <c r="AD271" s="296">
        <v>0</v>
      </c>
    </row>
    <row r="272" spans="2:30" s="278" customFormat="1" ht="11.25" customHeight="1">
      <c r="C272" s="278" t="str">
        <f t="shared" si="209"/>
        <v xml:space="preserve">  Selling expenses</v>
      </c>
      <c r="I272" s="297">
        <f t="shared" si="210"/>
        <v>0.117199954910707</v>
      </c>
      <c r="J272" s="297">
        <f t="shared" si="210"/>
        <v>-0.3981508963963839</v>
      </c>
      <c r="K272" s="297">
        <f t="shared" si="210"/>
        <v>-0.43624502055553926</v>
      </c>
      <c r="L272" s="297">
        <f t="shared" si="210"/>
        <v>-0.34510466723958988</v>
      </c>
      <c r="M272" s="297">
        <f t="shared" si="211"/>
        <v>-0.27946721745577818</v>
      </c>
      <c r="N272" s="297">
        <f t="shared" si="211"/>
        <v>-8.4261941608265167E-2</v>
      </c>
      <c r="O272" s="297">
        <f t="shared" si="211"/>
        <v>-6.9480126327502334E-2</v>
      </c>
      <c r="P272" s="297">
        <f t="shared" si="211"/>
        <v>-2.5621101310487893E-3</v>
      </c>
      <c r="Q272" s="297">
        <f t="shared" si="214"/>
        <v>4.9283590613606876E-3</v>
      </c>
      <c r="R272" s="296">
        <v>0.02</v>
      </c>
      <c r="S272" s="296">
        <v>0</v>
      </c>
      <c r="T272" s="296">
        <v>0</v>
      </c>
      <c r="V272" s="297"/>
      <c r="W272" s="297">
        <f t="shared" si="212"/>
        <v>8.8229886536128621E-3</v>
      </c>
      <c r="X272" s="297">
        <f t="shared" si="212"/>
        <v>4.2730914849560708E-2</v>
      </c>
      <c r="Y272" s="297">
        <f t="shared" si="213"/>
        <v>-0.17340048486019832</v>
      </c>
      <c r="Z272" s="297">
        <f t="shared" si="213"/>
        <v>-8.8375552653479961E-2</v>
      </c>
      <c r="AA272" s="297">
        <f t="shared" si="213"/>
        <v>6.3819960521493968E-3</v>
      </c>
      <c r="AB272" s="296">
        <v>0</v>
      </c>
      <c r="AC272" s="296">
        <v>0.05</v>
      </c>
      <c r="AD272" s="296">
        <v>0</v>
      </c>
    </row>
    <row r="273" spans="2:30" s="278" customFormat="1" ht="11.25" customHeight="1">
      <c r="C273" s="278" t="str">
        <f t="shared" si="209"/>
        <v xml:space="preserve">  Other</v>
      </c>
      <c r="I273" s="297">
        <f t="shared" si="210"/>
        <v>8.9979463312552577E-2</v>
      </c>
      <c r="J273" s="297">
        <f t="shared" si="210"/>
        <v>1.0021013405327346</v>
      </c>
      <c r="K273" s="297">
        <f t="shared" si="210"/>
        <v>0.28377021308397254</v>
      </c>
      <c r="L273" s="297">
        <f t="shared" si="210"/>
        <v>6.5453561860387088E-2</v>
      </c>
      <c r="M273" s="297">
        <f t="shared" si="211"/>
        <v>1.049515223114339E-2</v>
      </c>
      <c r="N273" s="297">
        <f t="shared" si="211"/>
        <v>-7.9217581979573737E-4</v>
      </c>
      <c r="O273" s="297">
        <f t="shared" si="211"/>
        <v>2.9886766370059936E-2</v>
      </c>
      <c r="P273" s="297">
        <f t="shared" si="211"/>
        <v>0.13317719522525517</v>
      </c>
      <c r="Q273" s="297">
        <f t="shared" si="214"/>
        <v>0.15038857664645144</v>
      </c>
      <c r="R273" s="296">
        <v>0.11</v>
      </c>
      <c r="S273" s="296">
        <v>0.12</v>
      </c>
      <c r="T273" s="296">
        <v>0.1</v>
      </c>
      <c r="V273" s="297"/>
      <c r="W273" s="297">
        <f t="shared" si="212"/>
        <v>1.5821704896046507E-2</v>
      </c>
      <c r="X273" s="297">
        <f t="shared" si="212"/>
        <v>-1.083677721092946E-2</v>
      </c>
      <c r="Y273" s="297">
        <f t="shared" si="213"/>
        <v>0.2471538923445209</v>
      </c>
      <c r="Z273" s="297">
        <f t="shared" si="213"/>
        <v>4.3342997343691181E-2</v>
      </c>
      <c r="AA273" s="297">
        <f t="shared" si="213"/>
        <v>0.1189199166709618</v>
      </c>
      <c r="AB273" s="296">
        <v>0.1</v>
      </c>
      <c r="AC273" s="296">
        <v>0.11</v>
      </c>
      <c r="AD273" s="296">
        <v>0</v>
      </c>
    </row>
    <row r="274" spans="2:30" s="278" customFormat="1" ht="11.25" customHeight="1">
      <c r="C274" s="278" t="str">
        <f t="shared" si="209"/>
        <v xml:space="preserve">  Depreciation and amortization</v>
      </c>
      <c r="I274" s="297">
        <f t="shared" ref="I274:L275" si="215">I263/E263-1</f>
        <v>0.25261813126351984</v>
      </c>
      <c r="J274" s="297">
        <f t="shared" si="215"/>
        <v>3.3206473570114436</v>
      </c>
      <c r="K274" s="297">
        <f t="shared" si="215"/>
        <v>1.4593101960551365</v>
      </c>
      <c r="L274" s="297">
        <f t="shared" si="215"/>
        <v>0.99583096336222732</v>
      </c>
      <c r="M274" s="297">
        <f t="shared" ref="M274:P275" si="216">M263/E263-1</f>
        <v>0.75818747131306674</v>
      </c>
      <c r="N274" s="297">
        <f t="shared" si="216"/>
        <v>0.30398346615177352</v>
      </c>
      <c r="O274" s="297">
        <f t="shared" si="216"/>
        <v>0.1934523429867705</v>
      </c>
      <c r="P274" s="297">
        <f t="shared" si="216"/>
        <v>0.29797630480751436</v>
      </c>
      <c r="Q274" s="297">
        <f t="shared" si="214"/>
        <v>0.14794903666873815</v>
      </c>
      <c r="R274" s="297">
        <f t="shared" ref="R274:T275" si="217">R263/F263-1</f>
        <v>5.6464710657935679E-2</v>
      </c>
      <c r="S274" s="297">
        <f t="shared" si="217"/>
        <v>0.10251416875639507</v>
      </c>
      <c r="T274" s="297">
        <f t="shared" si="217"/>
        <v>4.5694195734721443E-2</v>
      </c>
      <c r="V274" s="297"/>
      <c r="W274" s="297">
        <f>W263/V263-1</f>
        <v>5.9190437043845412E-2</v>
      </c>
      <c r="X274" s="297">
        <f>X263/W263-1</f>
        <v>6.5751793510493872E-2</v>
      </c>
      <c r="Y274" s="297">
        <f t="shared" si="213"/>
        <v>1.0516087461419863</v>
      </c>
      <c r="Z274" s="297">
        <f t="shared" si="213"/>
        <v>0.35368453991809123</v>
      </c>
      <c r="AA274" s="297">
        <f t="shared" si="213"/>
        <v>8.6309370632118299E-2</v>
      </c>
      <c r="AB274" s="297">
        <f t="shared" si="213"/>
        <v>6.8858942103248166E-2</v>
      </c>
      <c r="AC274" s="297">
        <f t="shared" si="213"/>
        <v>9.6879237403476814E-2</v>
      </c>
      <c r="AD274" s="297">
        <f t="shared" si="213"/>
        <v>0.15187702208554588</v>
      </c>
    </row>
    <row r="275" spans="2:30" s="392" customFormat="1" ht="11.25" customHeight="1">
      <c r="C275" s="479" t="str">
        <f t="shared" si="209"/>
        <v>Operating Costs, ex Fuel</v>
      </c>
      <c r="I275" s="932">
        <f t="shared" si="215"/>
        <v>9.1698241496842803E-2</v>
      </c>
      <c r="J275" s="932">
        <f t="shared" si="215"/>
        <v>1.8235676537161352</v>
      </c>
      <c r="K275" s="932">
        <f t="shared" si="215"/>
        <v>0.74713609151870553</v>
      </c>
      <c r="L275" s="932">
        <f t="shared" si="215"/>
        <v>0.51761482715569529</v>
      </c>
      <c r="M275" s="932">
        <f t="shared" si="216"/>
        <v>0.38444316248233323</v>
      </c>
      <c r="N275" s="932">
        <f t="shared" si="216"/>
        <v>0.11188987035346187</v>
      </c>
      <c r="O275" s="932">
        <f t="shared" si="216"/>
        <v>0.1053179488102618</v>
      </c>
      <c r="P275" s="932">
        <f t="shared" si="216"/>
        <v>0.13378520585357645</v>
      </c>
      <c r="Q275" s="932">
        <f t="shared" si="214"/>
        <v>0.12574653838254246</v>
      </c>
      <c r="R275" s="932">
        <f t="shared" si="217"/>
        <v>9.0339016824994012E-2</v>
      </c>
      <c r="S275" s="932">
        <f t="shared" si="217"/>
        <v>7.6645985251343918E-2</v>
      </c>
      <c r="T275" s="932">
        <f t="shared" si="217"/>
        <v>7.5514890807383939E-2</v>
      </c>
      <c r="V275" s="598"/>
      <c r="W275" s="932">
        <f>W264/V264-1</f>
        <v>1.4394038642980167E-2</v>
      </c>
      <c r="X275" s="932">
        <f>X264/W264-1</f>
        <v>3.6009330419968899E-2</v>
      </c>
      <c r="Y275" s="932">
        <f t="shared" si="213"/>
        <v>0.54356443876873928</v>
      </c>
      <c r="Z275" s="932">
        <f t="shared" si="213"/>
        <v>0.16354481766747253</v>
      </c>
      <c r="AA275" s="932">
        <f t="shared" si="213"/>
        <v>9.0664405851858865E-2</v>
      </c>
      <c r="AB275" s="932">
        <f t="shared" si="213"/>
        <v>3.7503096812630643E-2</v>
      </c>
      <c r="AC275" s="932">
        <f t="shared" si="213"/>
        <v>3.3871631288310944E-2</v>
      </c>
      <c r="AD275" s="932">
        <f t="shared" si="213"/>
        <v>-8.5208185374385792E-4</v>
      </c>
    </row>
    <row r="276" spans="2:30" ht="11.25" customHeight="1" thickBot="1">
      <c r="C276" s="430"/>
      <c r="D276" s="430"/>
      <c r="E276" s="430"/>
      <c r="F276" s="430"/>
      <c r="G276" s="430"/>
      <c r="H276" s="430"/>
      <c r="I276" s="430"/>
      <c r="J276" s="430"/>
      <c r="K276" s="430"/>
      <c r="L276" s="430"/>
      <c r="M276" s="430"/>
      <c r="N276" s="430"/>
      <c r="O276" s="430"/>
      <c r="P276" s="430"/>
      <c r="Q276" s="430"/>
      <c r="R276" s="430"/>
      <c r="S276" s="430"/>
      <c r="T276" s="430"/>
      <c r="V276" s="430"/>
      <c r="W276" s="430"/>
      <c r="X276" s="430"/>
      <c r="Y276" s="430"/>
      <c r="Z276" s="430"/>
      <c r="AA276" s="430"/>
      <c r="AB276" s="430"/>
      <c r="AC276" s="430"/>
      <c r="AD276" s="430"/>
    </row>
    <row r="278" spans="2:30" ht="11.25" customHeight="1">
      <c r="B278" s="253" t="s">
        <v>133</v>
      </c>
      <c r="C278" s="397" t="s">
        <v>288</v>
      </c>
    </row>
    <row r="279" spans="2:30" s="255" customFormat="1" ht="11.25" customHeight="1">
      <c r="C279" s="255" t="str">
        <f>C16</f>
        <v>Salaries, wages and benefits</v>
      </c>
      <c r="E279" s="255">
        <f t="shared" ref="E279:Q279" si="218">E16</f>
        <v>3090</v>
      </c>
      <c r="F279" s="255">
        <f t="shared" si="218"/>
        <v>3200</v>
      </c>
      <c r="G279" s="255">
        <f t="shared" si="218"/>
        <v>3219</v>
      </c>
      <c r="H279" s="255">
        <f t="shared" si="218"/>
        <v>3100</v>
      </c>
      <c r="I279" s="255">
        <f t="shared" si="218"/>
        <v>3219</v>
      </c>
      <c r="J279" s="255">
        <f t="shared" si="218"/>
        <v>2610</v>
      </c>
      <c r="K279" s="255">
        <f t="shared" si="218"/>
        <v>2763</v>
      </c>
      <c r="L279" s="255">
        <f t="shared" si="218"/>
        <v>2637</v>
      </c>
      <c r="M279" s="255">
        <f t="shared" si="218"/>
        <v>2730</v>
      </c>
      <c r="N279" s="255">
        <f t="shared" si="218"/>
        <v>2862</v>
      </c>
      <c r="O279" s="255">
        <f t="shared" si="218"/>
        <v>3018</v>
      </c>
      <c r="P279" s="255">
        <f t="shared" si="218"/>
        <v>3207</v>
      </c>
      <c r="Q279" s="255">
        <f t="shared" si="218"/>
        <v>3154</v>
      </c>
      <c r="R279" s="255">
        <f>R280*R282/4</f>
        <v>3254.7840000000001</v>
      </c>
      <c r="S279" s="255">
        <f>S280*S282/4</f>
        <v>3282.9776249999995</v>
      </c>
      <c r="T279" s="255">
        <f>T280*T282/4</f>
        <v>3284.3880000000004</v>
      </c>
      <c r="U279" s="253"/>
      <c r="V279" s="255">
        <f>V16</f>
        <v>11954</v>
      </c>
      <c r="W279" s="255">
        <f>W16</f>
        <v>12251</v>
      </c>
      <c r="X279" s="254">
        <f>+SUMIF($E$5:$T$5,X$5,$E279:$T279)</f>
        <v>12609</v>
      </c>
      <c r="Y279" s="254">
        <f>+SUMIF($E$5:$T$5,Y$5,$E279:$T279)</f>
        <v>11229</v>
      </c>
      <c r="Z279" s="254">
        <f>+SUMIF($E$5:$T$5,Z$5,$E279:$T279)</f>
        <v>11817</v>
      </c>
      <c r="AA279" s="254">
        <f>+SUMIF($E$5:$T$5,AA$5,$E279:$T279)</f>
        <v>12976.149625</v>
      </c>
      <c r="AB279" s="255">
        <f>AB280*AB282</f>
        <v>13020.147967500001</v>
      </c>
      <c r="AC279" s="255">
        <f>AC280*AC282</f>
        <v>13289.25555</v>
      </c>
      <c r="AD279" s="255">
        <f>AD280*AD282</f>
        <v>13419.128250000002</v>
      </c>
    </row>
    <row r="280" spans="2:30" s="255" customFormat="1" ht="11.25" customHeight="1">
      <c r="C280" s="255" t="s">
        <v>1031</v>
      </c>
      <c r="E280" s="277">
        <v>129.80000000000001</v>
      </c>
      <c r="F280" s="277">
        <v>133.80000000000001</v>
      </c>
      <c r="G280" s="277">
        <v>131.9</v>
      </c>
      <c r="H280" s="277">
        <v>133.69999999999999</v>
      </c>
      <c r="I280" s="277">
        <v>131.5</v>
      </c>
      <c r="J280" s="277">
        <v>107.4</v>
      </c>
      <c r="K280" s="277">
        <v>110.5</v>
      </c>
      <c r="L280" s="277">
        <v>102.7</v>
      </c>
      <c r="M280" s="277">
        <v>113.2</v>
      </c>
      <c r="N280" s="277">
        <v>117.4</v>
      </c>
      <c r="O280" s="277">
        <v>119.8</v>
      </c>
      <c r="P280" s="277">
        <v>123.4</v>
      </c>
      <c r="Q280" s="277">
        <v>127</v>
      </c>
      <c r="R280" s="254">
        <f>(R285+1)*F280</f>
        <v>130.85640000000001</v>
      </c>
      <c r="S280" s="254">
        <f>(S285+1)*G280</f>
        <v>131.2405</v>
      </c>
      <c r="T280" s="254">
        <f>(T285+1)*H280</f>
        <v>131.15969999999999</v>
      </c>
      <c r="U280" s="253"/>
      <c r="V280" s="277">
        <v>103.1</v>
      </c>
      <c r="W280" s="277">
        <v>102.9</v>
      </c>
      <c r="X280" s="254">
        <f>+SUMIF($E$6:$T$6,X$6,$E280:$T280)</f>
        <v>133.69999999999999</v>
      </c>
      <c r="Y280" s="254">
        <f>+SUMIF($E$6:$T$6,Y$6,$E280:$T280)</f>
        <v>102.7</v>
      </c>
      <c r="Z280" s="254">
        <f>+SUMIF($E$6:$T$6,Z$6,$E280:$T280)</f>
        <v>123.4</v>
      </c>
      <c r="AA280" s="254">
        <f>+SUMIF($E$6:$T$6,AA$6,$E280:$T280)</f>
        <v>131.15969999999999</v>
      </c>
      <c r="AB280" s="254">
        <f>(AB285+1)*$X280</f>
        <v>131.36025000000001</v>
      </c>
      <c r="AC280" s="254">
        <f>(AC285+1)*$X280</f>
        <v>131.69449999999998</v>
      </c>
      <c r="AD280" s="254">
        <f>(AD285+1)*$X280</f>
        <v>132.363</v>
      </c>
    </row>
    <row r="281" spans="2:30" s="255" customFormat="1" ht="3" customHeight="1">
      <c r="E281" s="277"/>
      <c r="F281" s="277"/>
      <c r="G281" s="277"/>
      <c r="H281" s="277"/>
      <c r="I281" s="277"/>
      <c r="J281" s="277"/>
      <c r="K281" s="277"/>
      <c r="L281" s="277"/>
      <c r="M281" s="277"/>
      <c r="N281" s="277"/>
      <c r="O281" s="277"/>
      <c r="P281" s="277"/>
      <c r="Q281" s="277"/>
      <c r="R281" s="277"/>
      <c r="S281" s="277"/>
      <c r="T281" s="277"/>
      <c r="U281" s="253"/>
      <c r="V281" s="277"/>
      <c r="W281" s="277"/>
      <c r="X281" s="254"/>
      <c r="Y281" s="254"/>
      <c r="Z281" s="254"/>
      <c r="AA281" s="254"/>
      <c r="AB281" s="277"/>
      <c r="AC281" s="277"/>
      <c r="AD281" s="277"/>
    </row>
    <row r="282" spans="2:30" s="380" customFormat="1" ht="11.25" customHeight="1">
      <c r="C282" s="1076" t="s">
        <v>530</v>
      </c>
      <c r="E282" s="443">
        <f>E279/E280*4</f>
        <v>95.223420647149453</v>
      </c>
      <c r="F282" s="443">
        <f t="shared" ref="F282:Q282" si="219">F279/F280*4</f>
        <v>95.665171898355752</v>
      </c>
      <c r="G282" s="443">
        <f t="shared" si="219"/>
        <v>97.619408642911296</v>
      </c>
      <c r="H282" s="443">
        <f t="shared" si="219"/>
        <v>92.744951383694854</v>
      </c>
      <c r="I282" s="443">
        <f t="shared" si="219"/>
        <v>97.916349809885929</v>
      </c>
      <c r="J282" s="443">
        <f t="shared" si="219"/>
        <v>97.206703910614522</v>
      </c>
      <c r="K282" s="443">
        <f t="shared" si="219"/>
        <v>100.01809954751131</v>
      </c>
      <c r="L282" s="443">
        <f t="shared" si="219"/>
        <v>102.70691333982472</v>
      </c>
      <c r="M282" s="443">
        <f t="shared" si="219"/>
        <v>96.466431095406364</v>
      </c>
      <c r="N282" s="443">
        <f t="shared" si="219"/>
        <v>97.512776831345818</v>
      </c>
      <c r="O282" s="443">
        <f t="shared" si="219"/>
        <v>100.76794657762939</v>
      </c>
      <c r="P282" s="443">
        <f t="shared" si="219"/>
        <v>103.9546191247974</v>
      </c>
      <c r="Q282" s="443">
        <f t="shared" si="219"/>
        <v>99.338582677165348</v>
      </c>
      <c r="R282" s="443">
        <f>(R286+1)*F282</f>
        <v>99.491778774289983</v>
      </c>
      <c r="S282" s="443">
        <f>(S286+1)*G282</f>
        <v>100.05989385898407</v>
      </c>
      <c r="T282" s="443">
        <f>(T286+1)*H282</f>
        <v>100.16454749439045</v>
      </c>
      <c r="V282" s="443">
        <f t="shared" ref="V282:AA282" si="220">V279/V280</f>
        <v>115.94568380213386</v>
      </c>
      <c r="W282" s="443">
        <f t="shared" si="220"/>
        <v>119.05733722060252</v>
      </c>
      <c r="X282" s="443">
        <f t="shared" si="220"/>
        <v>94.308152580403899</v>
      </c>
      <c r="Y282" s="443">
        <f t="shared" si="220"/>
        <v>109.33787731256085</v>
      </c>
      <c r="Z282" s="443">
        <f t="shared" si="220"/>
        <v>95.761750405186376</v>
      </c>
      <c r="AA282" s="443">
        <f t="shared" si="220"/>
        <v>98.93396847507276</v>
      </c>
      <c r="AB282" s="443">
        <f>(AB286+1)*$X282</f>
        <v>99.117868362004486</v>
      </c>
      <c r="AC282" s="443">
        <f>(AC286+1)*$X282</f>
        <v>100.90972326103218</v>
      </c>
      <c r="AD282" s="443">
        <f>(AD286+1)*$X282</f>
        <v>101.38126402393419</v>
      </c>
    </row>
    <row r="283" spans="2:30" s="255" customFormat="1" ht="11.25" customHeight="1">
      <c r="E283" s="277"/>
      <c r="F283" s="277"/>
      <c r="G283" s="277"/>
      <c r="H283" s="277"/>
      <c r="I283" s="277"/>
      <c r="J283" s="277"/>
      <c r="K283" s="277"/>
      <c r="L283" s="277"/>
      <c r="M283" s="277"/>
      <c r="N283" s="277"/>
      <c r="O283" s="277"/>
      <c r="P283" s="277"/>
      <c r="Q283" s="277"/>
      <c r="R283" s="277"/>
      <c r="S283" s="277"/>
      <c r="T283" s="277"/>
      <c r="U283" s="277"/>
      <c r="V283" s="277"/>
      <c r="W283" s="277"/>
      <c r="X283" s="254"/>
      <c r="Y283" s="254"/>
      <c r="Z283" s="254"/>
      <c r="AA283" s="254"/>
    </row>
    <row r="284" spans="2:30" s="441" customFormat="1" ht="11.25" customHeight="1">
      <c r="C284" s="392" t="s">
        <v>533</v>
      </c>
      <c r="E284" s="424"/>
      <c r="F284" s="424"/>
      <c r="G284" s="424"/>
      <c r="H284" s="424"/>
      <c r="I284" s="424"/>
      <c r="J284" s="424"/>
      <c r="K284" s="424"/>
      <c r="L284" s="424"/>
      <c r="M284" s="424"/>
      <c r="N284" s="424"/>
      <c r="O284" s="424"/>
      <c r="P284" s="424"/>
      <c r="Q284" s="424"/>
      <c r="R284" s="424"/>
      <c r="S284" s="424"/>
      <c r="T284" s="424"/>
      <c r="U284" s="424"/>
      <c r="V284" s="424"/>
      <c r="W284" s="424"/>
      <c r="X284" s="676"/>
      <c r="Y284" s="676"/>
      <c r="Z284" s="676"/>
      <c r="AA284" s="676"/>
    </row>
    <row r="285" spans="2:30" s="441" customFormat="1" ht="11.25" customHeight="1">
      <c r="C285" s="278" t="s">
        <v>532</v>
      </c>
      <c r="E285" s="424"/>
      <c r="F285" s="424"/>
      <c r="G285" s="424"/>
      <c r="H285" s="424"/>
      <c r="I285" s="477">
        <f>I280/E280-1</f>
        <v>1.3097072419106182E-2</v>
      </c>
      <c r="J285" s="477">
        <f>J280/F280-1</f>
        <v>-0.19730941704035876</v>
      </c>
      <c r="K285" s="477">
        <f>K280/G280-1</f>
        <v>-0.16224412433661872</v>
      </c>
      <c r="L285" s="477">
        <f>L280/H280-1</f>
        <v>-0.23186237845923696</v>
      </c>
      <c r="M285" s="477">
        <f>M280/E280-1</f>
        <v>-0.12788906009244994</v>
      </c>
      <c r="N285" s="477">
        <f>N280/F280-1</f>
        <v>-0.12257100149476829</v>
      </c>
      <c r="O285" s="477">
        <f>O280/G280-1</f>
        <v>-9.1736163760424594E-2</v>
      </c>
      <c r="P285" s="477">
        <f>P280/H280-1</f>
        <v>-7.7038145100972177E-2</v>
      </c>
      <c r="Q285" s="477">
        <f>Q280/E280-1</f>
        <v>-2.1571648690292822E-2</v>
      </c>
      <c r="R285" s="296">
        <v>-2.1999999999999999E-2</v>
      </c>
      <c r="S285" s="296">
        <v>-5.0000000000000001E-3</v>
      </c>
      <c r="T285" s="296">
        <v>-1.9E-2</v>
      </c>
      <c r="U285" s="424"/>
      <c r="V285" s="424"/>
      <c r="W285" s="424"/>
      <c r="X285" s="676"/>
      <c r="Y285" s="477">
        <f>Y280/$X280-1</f>
        <v>-0.23186237845923696</v>
      </c>
      <c r="Z285" s="477">
        <f>Z280/$X280-1</f>
        <v>-7.7038145100972177E-2</v>
      </c>
      <c r="AA285" s="477">
        <f>AA280/$X280-1</f>
        <v>-1.9000000000000017E-2</v>
      </c>
      <c r="AB285" s="296">
        <v>-1.7500000000000002E-2</v>
      </c>
      <c r="AC285" s="296">
        <v>-1.4999999999999999E-2</v>
      </c>
      <c r="AD285" s="296">
        <v>-0.01</v>
      </c>
    </row>
    <row r="286" spans="2:30" s="441" customFormat="1" ht="11.25" customHeight="1">
      <c r="C286" s="278" t="s">
        <v>531</v>
      </c>
      <c r="I286" s="477">
        <f>I282/E282-1</f>
        <v>2.8280113699287623E-2</v>
      </c>
      <c r="J286" s="477">
        <f>J282/F282-1</f>
        <v>1.611382681564244E-2</v>
      </c>
      <c r="K286" s="477">
        <f>K282/G282-1</f>
        <v>2.4571864734136639E-2</v>
      </c>
      <c r="L286" s="477">
        <f>L282/H282-1</f>
        <v>0.10741244463988409</v>
      </c>
      <c r="M286" s="477">
        <f>M282/E282-1</f>
        <v>1.3053621050465036E-2</v>
      </c>
      <c r="N286" s="477">
        <f>N282/F282-1</f>
        <v>1.9313245315161875E-2</v>
      </c>
      <c r="O286" s="477">
        <f>O282/G282-1</f>
        <v>3.2253196147042251E-2</v>
      </c>
      <c r="P286" s="477">
        <f>P282/H282-1</f>
        <v>0.12086553040204917</v>
      </c>
      <c r="Q286" s="477">
        <f>Q282/E282-1</f>
        <v>4.3215860153403174E-2</v>
      </c>
      <c r="R286" s="296">
        <v>0.04</v>
      </c>
      <c r="S286" s="296">
        <v>2.5000000000000001E-2</v>
      </c>
      <c r="T286" s="296">
        <v>0.08</v>
      </c>
      <c r="Y286" s="477">
        <f>Y282/$X282-1</f>
        <v>0.1593682446418736</v>
      </c>
      <c r="Z286" s="477">
        <f>Z282/$X282-1</f>
        <v>1.5413278544961218E-2</v>
      </c>
      <c r="AA286" s="477">
        <f>AA282/$X282-1</f>
        <v>4.9050010715935288E-2</v>
      </c>
      <c r="AB286" s="296">
        <v>5.0999999999999997E-2</v>
      </c>
      <c r="AC286" s="296">
        <v>7.0000000000000007E-2</v>
      </c>
      <c r="AD286" s="296">
        <v>7.4999999999999997E-2</v>
      </c>
    </row>
    <row r="287" spans="2:30" ht="11.25" customHeight="1">
      <c r="J287" s="257"/>
      <c r="K287" s="257"/>
      <c r="L287" s="257"/>
      <c r="M287" s="257"/>
      <c r="N287" s="257"/>
      <c r="O287" s="257"/>
      <c r="P287" s="257"/>
      <c r="Q287" s="257"/>
      <c r="R287" s="257"/>
      <c r="S287" s="257"/>
      <c r="T287" s="257"/>
      <c r="U287" s="257"/>
      <c r="V287" s="257"/>
      <c r="W287" s="257"/>
      <c r="X287" s="257"/>
      <c r="Y287" s="257"/>
      <c r="Z287" s="257"/>
      <c r="AA287" s="257"/>
      <c r="AB287" s="257"/>
      <c r="AC287" s="257"/>
      <c r="AD287" s="257"/>
    </row>
  </sheetData>
  <pageMargins left="0.7" right="0.7" top="0.75" bottom="0.75" header="0.3" footer="0.3"/>
  <pageSetup orientation="portrait" horizontalDpi="90" verticalDpi="9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76896-F19D-46BB-B4B9-2FE147B6C2CA}">
  <sheetPr>
    <tabColor theme="8" tint="0.39997558519241921"/>
    <pageSetUpPr autoPageBreaks="0"/>
  </sheetPr>
  <dimension ref="A1:AP142"/>
  <sheetViews>
    <sheetView showGridLines="0" zoomScaleNormal="100" zoomScaleSheetLayoutView="100" workbookViewId="0">
      <pane xSplit="4" ySplit="6" topLeftCell="Q7" activePane="bottomRight" state="frozen"/>
      <selection activeCell="F98" activeCellId="4" sqref="F114:F135 F105:F107 F94 F89:F92 F98:F101"/>
      <selection pane="topRight" activeCell="F98" activeCellId="4" sqref="F114:F135 F105:F107 F94 F89:F92 F98:F101"/>
      <selection pane="bottomLeft" activeCell="F98" activeCellId="4" sqref="F114:F135 F105:F107 F94 F89:F92 F98:F101"/>
      <selection pane="bottomRight" activeCell="C12" sqref="C12"/>
    </sheetView>
  </sheetViews>
  <sheetFormatPr defaultColWidth="9.19921875" defaultRowHeight="11.25" customHeight="1" outlineLevelCol="1"/>
  <cols>
    <col min="1" max="2" width="1.796875" style="255" customWidth="1"/>
    <col min="3" max="3" width="35.796875" style="255" customWidth="1"/>
    <col min="4" max="4" width="9.19921875" style="255" customWidth="1"/>
    <col min="5" max="5" width="9.19921875" style="255" hidden="1" customWidth="1" outlineLevel="1"/>
    <col min="6" max="7" width="9.19921875" style="255" hidden="1" customWidth="1" outlineLevel="1" collapsed="1"/>
    <col min="8" max="8" width="9.19921875" style="255" hidden="1" customWidth="1" outlineLevel="1"/>
    <col min="9" max="9" width="9.19921875" style="255" hidden="1" customWidth="1" outlineLevel="1" collapsed="1"/>
    <col min="10" max="12" width="9.19921875" style="255" hidden="1" customWidth="1" outlineLevel="1"/>
    <col min="13" max="13" width="9.19921875" style="255" hidden="1" customWidth="1" outlineLevel="1" collapsed="1"/>
    <col min="14" max="15" width="9.19921875" style="255" hidden="1" customWidth="1" outlineLevel="1"/>
    <col min="16" max="16" width="9.19921875" style="255" hidden="1" customWidth="1" outlineLevel="1" collapsed="1"/>
    <col min="17" max="17" width="9.19921875" style="255" customWidth="1" collapsed="1"/>
    <col min="18" max="21" width="9.19921875" style="255" customWidth="1"/>
    <col min="22" max="24" width="9.19921875" style="255" hidden="1" customWidth="1" outlineLevel="1"/>
    <col min="25" max="25" width="9.19921875" style="255" hidden="1" customWidth="1" outlineLevel="1" collapsed="1"/>
    <col min="26" max="26" width="9.19921875" style="255" hidden="1" customWidth="1" outlineLevel="1"/>
    <col min="27" max="27" width="9.19921875" style="255" customWidth="1" collapsed="1"/>
    <col min="28" max="44" width="9.19921875" style="255" customWidth="1"/>
    <col min="45" max="16384" width="9.19921875" style="255"/>
  </cols>
  <sheetData>
    <row r="1" spans="1:36" s="279" customFormat="1" ht="11.25" customHeight="1">
      <c r="A1" s="378" t="str">
        <f ca="1">'AAL One Pager'!$D$2</f>
        <v>American Airlines Group Inc</v>
      </c>
    </row>
    <row r="2" spans="1:36" s="253" customFormat="1" ht="11.25" customHeight="1">
      <c r="A2" s="278" t="str">
        <f>'AAL Financials'!$A$2</f>
        <v>(All Values in US$ millions)</v>
      </c>
      <c r="P2" s="279"/>
      <c r="Q2" s="279"/>
      <c r="R2" s="279"/>
      <c r="S2" s="372" t="s">
        <v>1469</v>
      </c>
    </row>
    <row r="3" spans="1:36" s="253" customFormat="1" ht="11.25" customHeight="1">
      <c r="A3" s="278"/>
      <c r="P3" s="279"/>
      <c r="Q3" s="279"/>
      <c r="R3" s="279"/>
      <c r="S3" s="279"/>
    </row>
    <row r="4" spans="1:36" s="253" customFormat="1" ht="11.25" customHeight="1"/>
    <row r="5" spans="1:36" s="253" customFormat="1" ht="12.75" customHeight="1">
      <c r="B5" s="276"/>
      <c r="C5" s="276" t="s">
        <v>65</v>
      </c>
      <c r="D5" s="275"/>
      <c r="E5" s="275">
        <f>YEAR(H6)</f>
        <v>2019</v>
      </c>
      <c r="F5" s="274">
        <f>YEAR(H6)</f>
        <v>2019</v>
      </c>
      <c r="G5" s="273">
        <f>YEAR(H6)</f>
        <v>2019</v>
      </c>
      <c r="H5" s="272">
        <f>YEAR(H6)</f>
        <v>2019</v>
      </c>
      <c r="I5" s="275">
        <f>YEAR(L6)</f>
        <v>2020</v>
      </c>
      <c r="J5" s="274">
        <f>YEAR(L6)</f>
        <v>2020</v>
      </c>
      <c r="K5" s="273">
        <f>YEAR(L6)</f>
        <v>2020</v>
      </c>
      <c r="L5" s="272">
        <f>YEAR(L6)</f>
        <v>2020</v>
      </c>
      <c r="M5" s="275">
        <f>YEAR(P6)</f>
        <v>2021</v>
      </c>
      <c r="N5" s="274">
        <f>YEAR(P6)</f>
        <v>2021</v>
      </c>
      <c r="O5" s="273">
        <f>YEAR(P6)</f>
        <v>2021</v>
      </c>
      <c r="P5" s="272">
        <f>YEAR(P6)</f>
        <v>2021</v>
      </c>
      <c r="Q5" s="275">
        <f>YEAR(Q6)</f>
        <v>2022</v>
      </c>
      <c r="R5" s="364">
        <f>YEAR(R6)</f>
        <v>2022</v>
      </c>
      <c r="S5" s="365">
        <f>YEAR(S6)</f>
        <v>2022</v>
      </c>
      <c r="T5" s="366">
        <f>YEAR(T6)</f>
        <v>2022</v>
      </c>
      <c r="U5" s="292"/>
      <c r="V5" s="271">
        <f t="shared" ref="V5:AD5" si="0">YEAR(V6)</f>
        <v>2017</v>
      </c>
      <c r="W5" s="271">
        <f t="shared" si="0"/>
        <v>2018</v>
      </c>
      <c r="X5" s="271">
        <f t="shared" si="0"/>
        <v>2019</v>
      </c>
      <c r="Y5" s="271">
        <f t="shared" si="0"/>
        <v>2020</v>
      </c>
      <c r="Z5" s="271">
        <f t="shared" si="0"/>
        <v>2021</v>
      </c>
      <c r="AA5" s="270">
        <f t="shared" si="0"/>
        <v>2022</v>
      </c>
      <c r="AB5" s="270">
        <f t="shared" si="0"/>
        <v>2023</v>
      </c>
      <c r="AC5" s="270">
        <f t="shared" si="0"/>
        <v>2024</v>
      </c>
      <c r="AD5" s="270">
        <f t="shared" si="0"/>
        <v>2025</v>
      </c>
    </row>
    <row r="6" spans="1:36" s="260" customFormat="1" ht="12.75" customHeight="1">
      <c r="B6" s="262"/>
      <c r="C6" s="262" t="s">
        <v>232</v>
      </c>
      <c r="D6" s="262"/>
      <c r="E6" s="262">
        <v>43555</v>
      </c>
      <c r="F6" s="262">
        <f>+EOMONTH(E6,3)</f>
        <v>43646</v>
      </c>
      <c r="G6" s="262">
        <f t="shared" ref="G6:T6" si="1">+EOMONTH(F6,3)</f>
        <v>43738</v>
      </c>
      <c r="H6" s="261">
        <f t="shared" si="1"/>
        <v>43830</v>
      </c>
      <c r="I6" s="262">
        <f t="shared" si="1"/>
        <v>43921</v>
      </c>
      <c r="J6" s="262">
        <f t="shared" si="1"/>
        <v>44012</v>
      </c>
      <c r="K6" s="262">
        <f t="shared" si="1"/>
        <v>44104</v>
      </c>
      <c r="L6" s="264">
        <f t="shared" si="1"/>
        <v>44196</v>
      </c>
      <c r="M6" s="264">
        <f t="shared" si="1"/>
        <v>44286</v>
      </c>
      <c r="N6" s="264">
        <f t="shared" si="1"/>
        <v>44377</v>
      </c>
      <c r="O6" s="264">
        <f t="shared" si="1"/>
        <v>44469</v>
      </c>
      <c r="P6" s="264">
        <f t="shared" si="1"/>
        <v>44561</v>
      </c>
      <c r="Q6" s="264">
        <f t="shared" si="1"/>
        <v>44651</v>
      </c>
      <c r="R6" s="264">
        <f t="shared" si="1"/>
        <v>44742</v>
      </c>
      <c r="S6" s="264">
        <f t="shared" si="1"/>
        <v>44834</v>
      </c>
      <c r="T6" s="264">
        <f t="shared" si="1"/>
        <v>44926</v>
      </c>
      <c r="U6" s="265"/>
      <c r="V6" s="261">
        <v>43100</v>
      </c>
      <c r="W6" s="261">
        <f t="shared" ref="W6:AD6" si="2">EOMONTH(V6,12)</f>
        <v>43465</v>
      </c>
      <c r="X6" s="261">
        <f t="shared" si="2"/>
        <v>43830</v>
      </c>
      <c r="Y6" s="261">
        <f t="shared" si="2"/>
        <v>44196</v>
      </c>
      <c r="Z6" s="261">
        <f t="shared" si="2"/>
        <v>44561</v>
      </c>
      <c r="AA6" s="261">
        <f t="shared" si="2"/>
        <v>44926</v>
      </c>
      <c r="AB6" s="261">
        <f t="shared" si="2"/>
        <v>45291</v>
      </c>
      <c r="AC6" s="264">
        <f t="shared" si="2"/>
        <v>45657</v>
      </c>
      <c r="AD6" s="264">
        <f t="shared" si="2"/>
        <v>46022</v>
      </c>
      <c r="AE6" s="253"/>
      <c r="AF6" s="253"/>
      <c r="AG6" s="253"/>
      <c r="AH6" s="253"/>
      <c r="AI6" s="253"/>
    </row>
    <row r="8" spans="1:36" ht="11.25" customHeight="1">
      <c r="B8" s="258" t="s">
        <v>133</v>
      </c>
      <c r="C8" s="259" t="s">
        <v>237</v>
      </c>
      <c r="D8" s="259"/>
      <c r="E8" s="259"/>
      <c r="F8" s="259"/>
      <c r="G8" s="259"/>
      <c r="H8" s="259"/>
      <c r="I8" s="259"/>
      <c r="J8" s="259"/>
      <c r="K8" s="259"/>
      <c r="L8" s="259"/>
      <c r="M8" s="259"/>
      <c r="N8" s="259"/>
      <c r="O8" s="259"/>
      <c r="P8" s="259"/>
      <c r="Q8" s="259"/>
      <c r="R8" s="259"/>
      <c r="S8" s="259"/>
      <c r="T8" s="259"/>
      <c r="V8" s="258"/>
      <c r="W8" s="258"/>
      <c r="X8" s="258"/>
      <c r="Y8" s="258"/>
      <c r="Z8" s="258"/>
      <c r="AA8" s="258"/>
      <c r="AB8" s="258"/>
      <c r="AC8" s="258"/>
      <c r="AD8" s="258"/>
    </row>
    <row r="9" spans="1:36" ht="11.25" customHeight="1">
      <c r="H9" s="277"/>
      <c r="I9" s="277"/>
      <c r="J9" s="277"/>
    </row>
    <row r="10" spans="1:36" ht="11.25" customHeight="1">
      <c r="C10" s="255" t="s">
        <v>1032</v>
      </c>
      <c r="D10" s="476">
        <v>2.1999999999999999E-2</v>
      </c>
      <c r="E10" s="277"/>
      <c r="F10" s="277"/>
      <c r="G10" s="277"/>
      <c r="H10" s="277"/>
      <c r="I10" s="277"/>
      <c r="J10" s="277"/>
      <c r="K10" s="277"/>
      <c r="L10" s="277"/>
      <c r="M10" s="277"/>
      <c r="N10" s="277"/>
      <c r="O10" s="277"/>
      <c r="P10" s="277">
        <v>1770</v>
      </c>
      <c r="Q10" s="277">
        <v>1770</v>
      </c>
      <c r="R10" s="254">
        <f t="shared" ref="R10:T31" si="3">+Q10-R40</f>
        <v>1765.2025000000001</v>
      </c>
      <c r="S10" s="254">
        <f t="shared" si="3"/>
        <v>1760.4050000000002</v>
      </c>
      <c r="T10" s="254">
        <f t="shared" si="3"/>
        <v>1755.6075000000003</v>
      </c>
      <c r="Y10" s="254"/>
      <c r="Z10" s="254"/>
      <c r="AA10" s="254">
        <f>+SUMIF($E$6:$T$6,AA$6,$E10:$T10)</f>
        <v>1755.6075000000003</v>
      </c>
      <c r="AB10" s="254">
        <f t="shared" ref="AB10:AD31" si="4">+AA10-AB40</f>
        <v>1736.4175000000002</v>
      </c>
      <c r="AC10" s="254">
        <f t="shared" si="4"/>
        <v>1717.2275000000002</v>
      </c>
      <c r="AD10" s="254">
        <f t="shared" si="4"/>
        <v>0</v>
      </c>
      <c r="AG10" s="729">
        <v>45835</v>
      </c>
    </row>
    <row r="11" spans="1:36" ht="11.25" customHeight="1">
      <c r="C11" s="255" t="s">
        <v>1033</v>
      </c>
      <c r="D11" s="476">
        <v>2.1999999999999999E-2</v>
      </c>
      <c r="E11" s="277"/>
      <c r="F11" s="277"/>
      <c r="G11" s="277"/>
      <c r="H11" s="277"/>
      <c r="I11" s="277"/>
      <c r="J11" s="277"/>
      <c r="K11" s="277"/>
      <c r="L11" s="277"/>
      <c r="M11" s="277"/>
      <c r="N11" s="277"/>
      <c r="O11" s="277"/>
      <c r="P11" s="277">
        <v>1208</v>
      </c>
      <c r="Q11" s="277">
        <v>1196</v>
      </c>
      <c r="R11" s="254">
        <f t="shared" si="3"/>
        <v>1192.98</v>
      </c>
      <c r="S11" s="254">
        <f t="shared" si="3"/>
        <v>1189.96</v>
      </c>
      <c r="T11" s="254">
        <f t="shared" si="3"/>
        <v>1186.94</v>
      </c>
      <c r="Y11" s="254"/>
      <c r="Z11" s="254"/>
      <c r="AA11" s="254">
        <f t="shared" ref="AA11:AA35" si="5">+SUMIF($E$6:$T$6,AA$6,$E11:$T11)</f>
        <v>1186.94</v>
      </c>
      <c r="AB11" s="254">
        <f t="shared" si="4"/>
        <v>1174.8600000000001</v>
      </c>
      <c r="AC11" s="254">
        <f t="shared" si="4"/>
        <v>1162.7800000000002</v>
      </c>
      <c r="AD11" s="254">
        <f t="shared" si="4"/>
        <v>1150.7000000000003</v>
      </c>
      <c r="AG11" s="729">
        <v>46416</v>
      </c>
    </row>
    <row r="12" spans="1:36" ht="11.25" customHeight="1">
      <c r="C12" s="255" t="s">
        <v>1034</v>
      </c>
      <c r="D12" s="476">
        <v>2.8400000000000002E-2</v>
      </c>
      <c r="E12" s="277"/>
      <c r="F12" s="277"/>
      <c r="G12" s="277"/>
      <c r="H12" s="277"/>
      <c r="I12" s="277"/>
      <c r="J12" s="277"/>
      <c r="K12" s="277"/>
      <c r="L12" s="277"/>
      <c r="M12" s="277"/>
      <c r="N12" s="277"/>
      <c r="O12" s="277"/>
      <c r="P12" s="277">
        <v>1188</v>
      </c>
      <c r="Q12" s="277">
        <v>1188</v>
      </c>
      <c r="R12" s="254">
        <f t="shared" si="3"/>
        <v>1176.1199999999999</v>
      </c>
      <c r="S12" s="254">
        <f t="shared" si="3"/>
        <v>1164.2399999999998</v>
      </c>
      <c r="T12" s="254">
        <f t="shared" si="3"/>
        <v>1152.3599999999997</v>
      </c>
      <c r="Y12" s="254"/>
      <c r="Z12" s="254"/>
      <c r="AA12" s="254">
        <f t="shared" si="5"/>
        <v>1152.3599999999997</v>
      </c>
      <c r="AB12" s="254">
        <f t="shared" si="4"/>
        <v>0</v>
      </c>
      <c r="AC12" s="254">
        <f t="shared" si="4"/>
        <v>0</v>
      </c>
      <c r="AD12" s="254">
        <f t="shared" si="4"/>
        <v>0</v>
      </c>
      <c r="AG12" s="729">
        <v>45261</v>
      </c>
    </row>
    <row r="13" spans="1:36" ht="11.25" customHeight="1">
      <c r="C13" s="255" t="s">
        <v>1035</v>
      </c>
      <c r="D13" s="476">
        <v>0.11749999999999999</v>
      </c>
      <c r="E13" s="277"/>
      <c r="F13" s="277"/>
      <c r="G13" s="277"/>
      <c r="H13" s="277"/>
      <c r="I13" s="277"/>
      <c r="J13" s="277"/>
      <c r="K13" s="277"/>
      <c r="L13" s="277"/>
      <c r="M13" s="277"/>
      <c r="N13" s="277"/>
      <c r="O13" s="277"/>
      <c r="P13" s="277">
        <v>2500</v>
      </c>
      <c r="Q13" s="277">
        <v>2500</v>
      </c>
      <c r="R13" s="254">
        <f t="shared" si="3"/>
        <v>2475</v>
      </c>
      <c r="S13" s="254">
        <f t="shared" si="3"/>
        <v>2450</v>
      </c>
      <c r="T13" s="254">
        <f t="shared" si="3"/>
        <v>2425</v>
      </c>
      <c r="Y13" s="254"/>
      <c r="Z13" s="254"/>
      <c r="AA13" s="254">
        <f t="shared" si="5"/>
        <v>2425</v>
      </c>
      <c r="AB13" s="254">
        <f t="shared" si="4"/>
        <v>2325</v>
      </c>
      <c r="AC13" s="254">
        <f t="shared" si="4"/>
        <v>2225</v>
      </c>
      <c r="AD13" s="254">
        <f t="shared" si="4"/>
        <v>0</v>
      </c>
      <c r="AG13" s="729">
        <v>45853</v>
      </c>
      <c r="AH13" s="255" t="s">
        <v>1581</v>
      </c>
      <c r="AJ13" s="255" t="s">
        <v>1581</v>
      </c>
    </row>
    <row r="14" spans="1:36" ht="11.25" customHeight="1">
      <c r="C14" s="255" t="s">
        <v>1036</v>
      </c>
      <c r="D14" s="476">
        <v>0.1075</v>
      </c>
      <c r="E14" s="277"/>
      <c r="F14" s="277"/>
      <c r="G14" s="277"/>
      <c r="H14" s="277"/>
      <c r="I14" s="277"/>
      <c r="J14" s="277"/>
      <c r="K14" s="277"/>
      <c r="L14" s="277"/>
      <c r="M14" s="277"/>
      <c r="N14" s="277"/>
      <c r="O14" s="277"/>
      <c r="P14" s="277">
        <v>1000</v>
      </c>
      <c r="Q14" s="277">
        <v>1000</v>
      </c>
      <c r="R14" s="254">
        <f t="shared" si="3"/>
        <v>990</v>
      </c>
      <c r="S14" s="254">
        <f t="shared" si="3"/>
        <v>980</v>
      </c>
      <c r="T14" s="254">
        <f t="shared" si="3"/>
        <v>970</v>
      </c>
      <c r="Y14" s="254"/>
      <c r="Z14" s="254"/>
      <c r="AA14" s="254">
        <f t="shared" si="5"/>
        <v>970</v>
      </c>
      <c r="AB14" s="254">
        <f t="shared" si="4"/>
        <v>930</v>
      </c>
      <c r="AC14" s="254">
        <f t="shared" si="4"/>
        <v>890</v>
      </c>
      <c r="AD14" s="254">
        <f t="shared" si="4"/>
        <v>880</v>
      </c>
      <c r="AG14" s="729">
        <v>46068</v>
      </c>
      <c r="AJ14" s="255" t="s">
        <v>1582</v>
      </c>
    </row>
    <row r="15" spans="1:36" ht="11.25" customHeight="1">
      <c r="C15" s="255" t="s">
        <v>1037</v>
      </c>
      <c r="D15" s="476">
        <v>0.1075</v>
      </c>
      <c r="E15" s="277"/>
      <c r="F15" s="277"/>
      <c r="G15" s="277"/>
      <c r="H15" s="277"/>
      <c r="I15" s="277"/>
      <c r="J15" s="277"/>
      <c r="K15" s="277"/>
      <c r="L15" s="277"/>
      <c r="M15" s="277"/>
      <c r="N15" s="277"/>
      <c r="O15" s="277"/>
      <c r="P15" s="277">
        <v>200</v>
      </c>
      <c r="Q15" s="277">
        <v>200</v>
      </c>
      <c r="R15" s="254">
        <f t="shared" si="3"/>
        <v>198</v>
      </c>
      <c r="S15" s="254">
        <f t="shared" si="3"/>
        <v>196</v>
      </c>
      <c r="T15" s="254">
        <f t="shared" si="3"/>
        <v>194</v>
      </c>
      <c r="Y15" s="254"/>
      <c r="Z15" s="254"/>
      <c r="AA15" s="254">
        <f t="shared" si="5"/>
        <v>194</v>
      </c>
      <c r="AB15" s="254">
        <f t="shared" si="4"/>
        <v>186</v>
      </c>
      <c r="AC15" s="254">
        <f t="shared" si="4"/>
        <v>178</v>
      </c>
      <c r="AD15" s="254">
        <f t="shared" si="4"/>
        <v>176</v>
      </c>
      <c r="AG15" s="729">
        <v>46068</v>
      </c>
      <c r="AJ15" s="255" t="s">
        <v>1583</v>
      </c>
    </row>
    <row r="16" spans="1:36" ht="11.25" customHeight="1">
      <c r="C16" s="255" t="s">
        <v>1038</v>
      </c>
      <c r="D16" s="476">
        <v>5.5E-2</v>
      </c>
      <c r="E16" s="277"/>
      <c r="F16" s="277"/>
      <c r="G16" s="277"/>
      <c r="H16" s="277"/>
      <c r="I16" s="277"/>
      <c r="J16" s="277"/>
      <c r="K16" s="277"/>
      <c r="L16" s="277"/>
      <c r="M16" s="277"/>
      <c r="N16" s="277"/>
      <c r="O16" s="277"/>
      <c r="P16" s="277">
        <v>3500</v>
      </c>
      <c r="Q16" s="277">
        <v>3500</v>
      </c>
      <c r="R16" s="254">
        <f t="shared" si="3"/>
        <v>3500</v>
      </c>
      <c r="S16" s="254">
        <f t="shared" si="3"/>
        <v>3500</v>
      </c>
      <c r="T16" s="254">
        <f t="shared" si="3"/>
        <v>3500</v>
      </c>
      <c r="Y16" s="254"/>
      <c r="Z16" s="254"/>
      <c r="AA16" s="254">
        <f t="shared" si="5"/>
        <v>3500</v>
      </c>
      <c r="AB16" s="254">
        <f t="shared" si="4"/>
        <v>2916</v>
      </c>
      <c r="AC16" s="254">
        <f t="shared" si="4"/>
        <v>1748</v>
      </c>
      <c r="AD16" s="254">
        <f t="shared" si="4"/>
        <v>580</v>
      </c>
      <c r="AG16" s="729">
        <v>46132</v>
      </c>
      <c r="AH16" s="255" t="s">
        <v>1582</v>
      </c>
      <c r="AJ16" s="255" t="s">
        <v>1580</v>
      </c>
    </row>
    <row r="17" spans="3:36" ht="11.25" customHeight="1">
      <c r="C17" s="255" t="s">
        <v>1039</v>
      </c>
      <c r="D17" s="476">
        <v>5.7500000000000002E-2</v>
      </c>
      <c r="E17" s="277"/>
      <c r="F17" s="277"/>
      <c r="G17" s="277"/>
      <c r="H17" s="277"/>
      <c r="I17" s="277"/>
      <c r="J17" s="277"/>
      <c r="K17" s="277"/>
      <c r="L17" s="277"/>
      <c r="M17" s="277"/>
      <c r="N17" s="277"/>
      <c r="O17" s="277"/>
      <c r="P17" s="277">
        <v>3000</v>
      </c>
      <c r="Q17" s="277">
        <v>3000</v>
      </c>
      <c r="R17" s="254">
        <f t="shared" si="3"/>
        <v>3000</v>
      </c>
      <c r="S17" s="254">
        <f t="shared" si="3"/>
        <v>3000</v>
      </c>
      <c r="T17" s="254">
        <f t="shared" si="3"/>
        <v>3000</v>
      </c>
      <c r="Y17" s="254"/>
      <c r="Z17" s="254"/>
      <c r="AA17" s="254">
        <f t="shared" si="5"/>
        <v>3000</v>
      </c>
      <c r="AB17" s="254">
        <f t="shared" si="4"/>
        <v>3000</v>
      </c>
      <c r="AC17" s="254">
        <f t="shared" si="4"/>
        <v>3000</v>
      </c>
      <c r="AD17" s="254">
        <f t="shared" si="4"/>
        <v>3000</v>
      </c>
      <c r="AG17" s="729">
        <v>47228</v>
      </c>
      <c r="AH17" s="255" t="s">
        <v>1583</v>
      </c>
      <c r="AJ17" s="255" t="s">
        <v>1578</v>
      </c>
    </row>
    <row r="18" spans="3:36" ht="11.25" customHeight="1">
      <c r="C18" s="255" t="s">
        <v>1302</v>
      </c>
      <c r="D18" s="476">
        <v>5.5E-2</v>
      </c>
      <c r="E18" s="277"/>
      <c r="F18" s="277"/>
      <c r="G18" s="277"/>
      <c r="H18" s="277"/>
      <c r="I18" s="277"/>
      <c r="J18" s="277"/>
      <c r="K18" s="277"/>
      <c r="L18" s="277"/>
      <c r="M18" s="277"/>
      <c r="N18" s="277"/>
      <c r="O18" s="277"/>
      <c r="P18" s="277">
        <v>3500</v>
      </c>
      <c r="Q18" s="277">
        <v>3500</v>
      </c>
      <c r="R18" s="254">
        <f t="shared" si="3"/>
        <v>3500</v>
      </c>
      <c r="S18" s="254">
        <f t="shared" si="3"/>
        <v>3500</v>
      </c>
      <c r="T18" s="254">
        <f t="shared" si="3"/>
        <v>3500</v>
      </c>
      <c r="Y18" s="254"/>
      <c r="Z18" s="254"/>
      <c r="AA18" s="254">
        <f t="shared" si="5"/>
        <v>3500</v>
      </c>
      <c r="AB18" s="254">
        <f t="shared" si="4"/>
        <v>3150</v>
      </c>
      <c r="AC18" s="254">
        <f t="shared" si="4"/>
        <v>2450</v>
      </c>
      <c r="AD18" s="254">
        <f t="shared" si="4"/>
        <v>1750</v>
      </c>
      <c r="AG18" s="729">
        <v>46863</v>
      </c>
      <c r="AJ18" s="255" t="s">
        <v>1579</v>
      </c>
    </row>
    <row r="19" spans="3:36" ht="11.25" customHeight="1">
      <c r="C19" s="255" t="s">
        <v>1040</v>
      </c>
      <c r="D19" s="476">
        <v>3.8100000000000002E-2</v>
      </c>
      <c r="E19" s="277"/>
      <c r="F19" s="277"/>
      <c r="G19" s="277"/>
      <c r="H19" s="277"/>
      <c r="I19" s="277"/>
      <c r="J19" s="277"/>
      <c r="K19" s="277"/>
      <c r="L19" s="277"/>
      <c r="M19" s="277"/>
      <c r="N19" s="277"/>
      <c r="O19" s="277"/>
      <c r="P19" s="277">
        <v>8397</v>
      </c>
      <c r="Q19" s="277">
        <v>8604</v>
      </c>
      <c r="R19" s="254">
        <f t="shared" si="3"/>
        <v>8517.9599999999991</v>
      </c>
      <c r="S19" s="254">
        <f t="shared" si="3"/>
        <v>8431.9199999999983</v>
      </c>
      <c r="T19" s="254">
        <f t="shared" si="3"/>
        <v>8345.8799999999974</v>
      </c>
      <c r="Y19" s="254"/>
      <c r="Z19" s="254"/>
      <c r="AA19" s="254">
        <f t="shared" si="5"/>
        <v>8345.8799999999974</v>
      </c>
      <c r="AB19" s="254">
        <f t="shared" si="4"/>
        <v>8001.7199999999975</v>
      </c>
      <c r="AC19" s="254">
        <f t="shared" si="4"/>
        <v>7657.5599999999977</v>
      </c>
      <c r="AD19" s="254">
        <f t="shared" si="4"/>
        <v>7313.3999999999978</v>
      </c>
      <c r="AG19" s="729" t="s">
        <v>1301</v>
      </c>
    </row>
    <row r="20" spans="3:36" ht="11.25" customHeight="1">
      <c r="C20" s="255" t="s">
        <v>1303</v>
      </c>
      <c r="D20" s="476">
        <v>2.8570000000000002E-2</v>
      </c>
      <c r="E20" s="277"/>
      <c r="F20" s="277"/>
      <c r="G20" s="277"/>
      <c r="H20" s="277"/>
      <c r="I20" s="277"/>
      <c r="J20" s="277"/>
      <c r="K20" s="277"/>
      <c r="L20" s="277"/>
      <c r="M20" s="277"/>
      <c r="N20" s="277"/>
      <c r="O20" s="277"/>
      <c r="P20" s="277">
        <v>758</v>
      </c>
      <c r="Q20" s="277">
        <v>758</v>
      </c>
      <c r="R20" s="254">
        <f t="shared" si="3"/>
        <v>750.42</v>
      </c>
      <c r="S20" s="254">
        <f t="shared" si="3"/>
        <v>742.83999999999992</v>
      </c>
      <c r="T20" s="254">
        <f t="shared" si="3"/>
        <v>735.25999999999988</v>
      </c>
      <c r="Y20" s="254"/>
      <c r="Z20" s="254"/>
      <c r="AA20" s="254">
        <f>+SUMIF($E$6:$T$6,AA$6,$E20:$T20)</f>
        <v>735.25999999999988</v>
      </c>
      <c r="AB20" s="254">
        <f t="shared" si="4"/>
        <v>704.93999999999983</v>
      </c>
      <c r="AC20" s="254">
        <f t="shared" si="4"/>
        <v>674.61999999999978</v>
      </c>
      <c r="AD20" s="254">
        <f t="shared" si="4"/>
        <v>644.29999999999973</v>
      </c>
      <c r="AG20" s="729">
        <v>49126</v>
      </c>
    </row>
    <row r="21" spans="3:36" ht="11.25" customHeight="1">
      <c r="C21" s="255" t="s">
        <v>1304</v>
      </c>
      <c r="D21" s="476">
        <v>3.95E-2</v>
      </c>
      <c r="E21" s="277"/>
      <c r="F21" s="277"/>
      <c r="G21" s="277"/>
      <c r="H21" s="277"/>
      <c r="I21" s="277"/>
      <c r="J21" s="277"/>
      <c r="K21" s="277"/>
      <c r="L21" s="277"/>
      <c r="M21" s="277"/>
      <c r="N21" s="277"/>
      <c r="O21" s="277"/>
      <c r="P21" s="277">
        <v>202</v>
      </c>
      <c r="Q21" s="277">
        <v>202</v>
      </c>
      <c r="R21" s="254">
        <f t="shared" si="3"/>
        <v>199.98</v>
      </c>
      <c r="S21" s="254">
        <f t="shared" si="3"/>
        <v>197.95999999999998</v>
      </c>
      <c r="T21" s="254">
        <f t="shared" si="3"/>
        <v>195.93999999999997</v>
      </c>
      <c r="Y21" s="254"/>
      <c r="Z21" s="254"/>
      <c r="AA21" s="254">
        <f>+SUMIF($E$6:$T$6,AA$6,$E21:$T21)</f>
        <v>195.93999999999997</v>
      </c>
      <c r="AB21" s="254">
        <f t="shared" si="4"/>
        <v>187.85999999999996</v>
      </c>
      <c r="AC21" s="254">
        <f t="shared" si="4"/>
        <v>179.77999999999994</v>
      </c>
      <c r="AD21" s="254">
        <f t="shared" si="4"/>
        <v>171.69999999999993</v>
      </c>
      <c r="AG21" s="729">
        <v>47665</v>
      </c>
    </row>
    <row r="22" spans="3:36" ht="11.25" customHeight="1">
      <c r="C22" s="255" t="s">
        <v>1041</v>
      </c>
      <c r="D22" s="476">
        <v>2.12E-2</v>
      </c>
      <c r="E22" s="277"/>
      <c r="F22" s="277"/>
      <c r="G22" s="277"/>
      <c r="H22" s="277"/>
      <c r="I22" s="277"/>
      <c r="J22" s="277"/>
      <c r="K22" s="277"/>
      <c r="L22" s="277"/>
      <c r="M22" s="277"/>
      <c r="N22" s="277"/>
      <c r="O22" s="277"/>
      <c r="P22" s="277">
        <v>3433</v>
      </c>
      <c r="Q22" s="277">
        <v>3306</v>
      </c>
      <c r="R22" s="254">
        <f t="shared" si="3"/>
        <v>3272.94</v>
      </c>
      <c r="S22" s="254">
        <f t="shared" si="3"/>
        <v>3239.88</v>
      </c>
      <c r="T22" s="254">
        <f t="shared" si="3"/>
        <v>3206.82</v>
      </c>
      <c r="Y22" s="254"/>
      <c r="Z22" s="254"/>
      <c r="AA22" s="254">
        <f t="shared" si="5"/>
        <v>3206.82</v>
      </c>
      <c r="AB22" s="254">
        <f t="shared" si="4"/>
        <v>3074.58</v>
      </c>
      <c r="AC22" s="254">
        <f t="shared" si="4"/>
        <v>2942.34</v>
      </c>
      <c r="AD22" s="254">
        <f t="shared" si="4"/>
        <v>2810.1000000000004</v>
      </c>
      <c r="AG22" s="729" t="s">
        <v>1300</v>
      </c>
    </row>
    <row r="23" spans="3:36" ht="11.25" customHeight="1">
      <c r="C23" s="255" t="s">
        <v>1468</v>
      </c>
      <c r="D23" s="750">
        <f>D19</f>
        <v>3.8100000000000002E-2</v>
      </c>
      <c r="E23" s="277"/>
      <c r="F23" s="277"/>
      <c r="G23" s="277"/>
      <c r="H23" s="277"/>
      <c r="I23" s="277"/>
      <c r="J23" s="277"/>
      <c r="K23" s="277"/>
      <c r="L23" s="277"/>
      <c r="M23" s="277"/>
      <c r="N23" s="277"/>
      <c r="O23" s="277"/>
      <c r="P23" s="277">
        <v>0</v>
      </c>
      <c r="Q23" s="277">
        <v>0</v>
      </c>
      <c r="R23" s="254">
        <f t="shared" si="3"/>
        <v>426.3560927801372</v>
      </c>
      <c r="S23" s="254">
        <f t="shared" si="3"/>
        <v>763.92290101274102</v>
      </c>
      <c r="T23" s="254">
        <f t="shared" si="3"/>
        <v>1282</v>
      </c>
      <c r="Y23" s="254"/>
      <c r="Z23" s="254"/>
      <c r="AA23" s="254">
        <f t="shared" si="5"/>
        <v>1282</v>
      </c>
      <c r="AB23" s="254">
        <f t="shared" si="4"/>
        <v>3338</v>
      </c>
      <c r="AC23" s="254">
        <f t="shared" si="4"/>
        <v>6648</v>
      </c>
      <c r="AD23" s="254">
        <f t="shared" si="4"/>
        <v>10207</v>
      </c>
      <c r="AG23" s="729"/>
    </row>
    <row r="24" spans="3:36" ht="11.25" customHeight="1">
      <c r="C24" s="255" t="s">
        <v>1042</v>
      </c>
      <c r="D24" s="476">
        <f>AVERAGE(2.25%,5.38%)</f>
        <v>3.8150000000000003E-2</v>
      </c>
      <c r="E24" s="277"/>
      <c r="F24" s="277"/>
      <c r="G24" s="277"/>
      <c r="H24" s="277"/>
      <c r="I24" s="277"/>
      <c r="J24" s="277"/>
      <c r="K24" s="277"/>
      <c r="L24" s="277"/>
      <c r="M24" s="277"/>
      <c r="N24" s="277"/>
      <c r="O24" s="277"/>
      <c r="P24" s="277">
        <v>979</v>
      </c>
      <c r="Q24" s="277">
        <v>979</v>
      </c>
      <c r="R24" s="254">
        <f t="shared" si="3"/>
        <v>969.21</v>
      </c>
      <c r="S24" s="254">
        <f t="shared" si="3"/>
        <v>959.42000000000007</v>
      </c>
      <c r="T24" s="254">
        <f t="shared" si="3"/>
        <v>949.63000000000011</v>
      </c>
      <c r="Y24" s="254"/>
      <c r="Z24" s="254"/>
      <c r="AA24" s="254">
        <f t="shared" si="5"/>
        <v>949.63000000000011</v>
      </c>
      <c r="AB24" s="254">
        <f t="shared" si="4"/>
        <v>910.47000000000014</v>
      </c>
      <c r="AC24" s="254">
        <f t="shared" si="4"/>
        <v>871.31000000000017</v>
      </c>
      <c r="AD24" s="254">
        <f t="shared" si="4"/>
        <v>832.1500000000002</v>
      </c>
      <c r="AG24" s="729">
        <v>49888</v>
      </c>
    </row>
    <row r="25" spans="3:36" ht="11.25" customHeight="1">
      <c r="C25" s="255" t="s">
        <v>1299</v>
      </c>
      <c r="D25" s="476">
        <v>2.2499999999999999E-2</v>
      </c>
      <c r="E25" s="277"/>
      <c r="F25" s="277"/>
      <c r="G25" s="277"/>
      <c r="H25" s="277"/>
      <c r="I25" s="277"/>
      <c r="J25" s="277"/>
      <c r="K25" s="277"/>
      <c r="L25" s="277"/>
      <c r="M25" s="277"/>
      <c r="N25" s="277"/>
      <c r="O25" s="277"/>
      <c r="P25" s="277">
        <v>70</v>
      </c>
      <c r="Q25" s="277">
        <v>70</v>
      </c>
      <c r="R25" s="254">
        <f t="shared" si="3"/>
        <v>69.3</v>
      </c>
      <c r="S25" s="254">
        <f t="shared" si="3"/>
        <v>68.599999999999994</v>
      </c>
      <c r="T25" s="254">
        <f t="shared" si="3"/>
        <v>67.899999999999991</v>
      </c>
      <c r="Y25" s="254"/>
      <c r="Z25" s="254"/>
      <c r="AA25" s="254">
        <f>+SUMIF($E$6:$T$6,AA$6,$E25:$T25)</f>
        <v>67.899999999999991</v>
      </c>
      <c r="AB25" s="254">
        <f t="shared" si="4"/>
        <v>65.099999999999994</v>
      </c>
      <c r="AC25" s="254">
        <f t="shared" si="4"/>
        <v>62.3</v>
      </c>
      <c r="AD25" s="254">
        <f t="shared" si="4"/>
        <v>59.5</v>
      </c>
      <c r="AG25" s="729">
        <v>46235</v>
      </c>
    </row>
    <row r="26" spans="3:36" ht="11.25" customHeight="1">
      <c r="C26" s="255" t="s">
        <v>1299</v>
      </c>
      <c r="D26" s="476">
        <v>0.03</v>
      </c>
      <c r="E26" s="277"/>
      <c r="F26" s="277"/>
      <c r="G26" s="277"/>
      <c r="H26" s="277"/>
      <c r="I26" s="277"/>
      <c r="J26" s="277"/>
      <c r="K26" s="277"/>
      <c r="L26" s="277"/>
      <c r="M26" s="277"/>
      <c r="N26" s="277"/>
      <c r="O26" s="277"/>
      <c r="P26" s="277">
        <v>80</v>
      </c>
      <c r="Q26" s="277">
        <v>80</v>
      </c>
      <c r="R26" s="254">
        <f t="shared" si="3"/>
        <v>79.2</v>
      </c>
      <c r="S26" s="254">
        <f t="shared" si="3"/>
        <v>78.400000000000006</v>
      </c>
      <c r="T26" s="254">
        <f t="shared" si="3"/>
        <v>77.600000000000009</v>
      </c>
      <c r="Y26" s="254"/>
      <c r="Z26" s="254"/>
      <c r="AA26" s="254">
        <f>+SUMIF($E$6:$T$6,AA$6,$E26:$T26)</f>
        <v>77.600000000000009</v>
      </c>
      <c r="AB26" s="254">
        <f t="shared" si="4"/>
        <v>74.400000000000006</v>
      </c>
      <c r="AC26" s="254">
        <f t="shared" si="4"/>
        <v>71.2</v>
      </c>
      <c r="AD26" s="254">
        <f t="shared" si="4"/>
        <v>68</v>
      </c>
      <c r="AG26" s="729">
        <v>48061</v>
      </c>
    </row>
    <row r="27" spans="3:36" ht="11.25" customHeight="1">
      <c r="C27" s="255" t="s">
        <v>1043</v>
      </c>
      <c r="D27" s="476">
        <v>0.02</v>
      </c>
      <c r="E27" s="277"/>
      <c r="F27" s="277"/>
      <c r="G27" s="277"/>
      <c r="H27" s="277"/>
      <c r="I27" s="277"/>
      <c r="J27" s="277"/>
      <c r="K27" s="277"/>
      <c r="L27" s="277"/>
      <c r="M27" s="277"/>
      <c r="N27" s="277"/>
      <c r="O27" s="277"/>
      <c r="P27" s="277">
        <v>1765</v>
      </c>
      <c r="Q27" s="277">
        <v>1765</v>
      </c>
      <c r="R27" s="254">
        <f t="shared" si="3"/>
        <v>1747.35</v>
      </c>
      <c r="S27" s="254">
        <f t="shared" si="3"/>
        <v>1729.6999999999998</v>
      </c>
      <c r="T27" s="254">
        <f t="shared" si="3"/>
        <v>1712.0499999999997</v>
      </c>
      <c r="Y27" s="254"/>
      <c r="Z27" s="254"/>
      <c r="AA27" s="254">
        <f t="shared" si="5"/>
        <v>1712.0499999999997</v>
      </c>
      <c r="AB27" s="254">
        <f t="shared" si="4"/>
        <v>1641.4499999999998</v>
      </c>
      <c r="AC27" s="254">
        <f t="shared" si="4"/>
        <v>1570.85</v>
      </c>
      <c r="AD27" s="254">
        <f t="shared" si="4"/>
        <v>1500.25</v>
      </c>
      <c r="AG27" s="729">
        <v>47574</v>
      </c>
    </row>
    <row r="28" spans="3:36" ht="11.25" customHeight="1">
      <c r="C28" s="255" t="s">
        <v>1044</v>
      </c>
      <c r="D28" s="476">
        <v>0.02</v>
      </c>
      <c r="E28" s="277"/>
      <c r="F28" s="277"/>
      <c r="G28" s="277"/>
      <c r="H28" s="277"/>
      <c r="I28" s="277"/>
      <c r="J28" s="277"/>
      <c r="K28" s="277"/>
      <c r="L28" s="277"/>
      <c r="M28" s="277"/>
      <c r="N28" s="277"/>
      <c r="O28" s="277"/>
      <c r="P28" s="277">
        <v>1035</v>
      </c>
      <c r="Q28" s="277">
        <v>1035</v>
      </c>
      <c r="R28" s="254">
        <f t="shared" si="3"/>
        <v>1024.6500000000001</v>
      </c>
      <c r="S28" s="254">
        <f t="shared" si="3"/>
        <v>1014.3000000000001</v>
      </c>
      <c r="T28" s="254">
        <f t="shared" si="3"/>
        <v>1003.95</v>
      </c>
      <c r="Y28" s="254"/>
      <c r="Z28" s="254"/>
      <c r="AA28" s="254">
        <f t="shared" si="5"/>
        <v>1003.95</v>
      </c>
      <c r="AB28" s="254">
        <f t="shared" si="4"/>
        <v>962.55000000000007</v>
      </c>
      <c r="AC28" s="254">
        <f t="shared" si="4"/>
        <v>921.15000000000009</v>
      </c>
      <c r="AD28" s="254">
        <f t="shared" si="4"/>
        <v>879.75000000000011</v>
      </c>
      <c r="AG28" s="729">
        <v>47863</v>
      </c>
    </row>
    <row r="29" spans="3:36" ht="11.25" customHeight="1">
      <c r="C29" s="255" t="s">
        <v>1045</v>
      </c>
      <c r="D29" s="476">
        <v>0.02</v>
      </c>
      <c r="E29" s="277"/>
      <c r="F29" s="277"/>
      <c r="G29" s="277"/>
      <c r="H29" s="277"/>
      <c r="I29" s="277"/>
      <c r="J29" s="277"/>
      <c r="K29" s="277"/>
      <c r="L29" s="277"/>
      <c r="M29" s="277"/>
      <c r="N29" s="277"/>
      <c r="O29" s="277"/>
      <c r="P29" s="277">
        <v>946</v>
      </c>
      <c r="Q29" s="277">
        <v>946</v>
      </c>
      <c r="R29" s="254">
        <f t="shared" si="3"/>
        <v>936.54</v>
      </c>
      <c r="S29" s="254">
        <f t="shared" si="3"/>
        <v>927.07999999999993</v>
      </c>
      <c r="T29" s="254">
        <f t="shared" si="3"/>
        <v>917.61999999999989</v>
      </c>
      <c r="Y29" s="254"/>
      <c r="Z29" s="254"/>
      <c r="AA29" s="254">
        <f t="shared" si="5"/>
        <v>917.61999999999989</v>
      </c>
      <c r="AB29" s="254">
        <f t="shared" si="4"/>
        <v>879.77999999999986</v>
      </c>
      <c r="AC29" s="254">
        <f t="shared" si="4"/>
        <v>841.93999999999983</v>
      </c>
      <c r="AD29" s="254">
        <f t="shared" si="4"/>
        <v>804.0999999999998</v>
      </c>
      <c r="AG29" s="729">
        <v>47961</v>
      </c>
    </row>
    <row r="30" spans="3:36" ht="11.25" customHeight="1">
      <c r="C30" s="255" t="s">
        <v>1046</v>
      </c>
      <c r="D30" s="476">
        <v>6.5000000000000002E-2</v>
      </c>
      <c r="E30" s="277"/>
      <c r="F30" s="277"/>
      <c r="G30" s="277"/>
      <c r="H30" s="277"/>
      <c r="I30" s="277"/>
      <c r="J30" s="277"/>
      <c r="K30" s="277"/>
      <c r="L30" s="277"/>
      <c r="M30" s="277"/>
      <c r="N30" s="277"/>
      <c r="O30" s="277"/>
      <c r="P30" s="277">
        <v>1000</v>
      </c>
      <c r="Q30" s="277">
        <v>1000</v>
      </c>
      <c r="R30" s="254">
        <f t="shared" si="3"/>
        <v>990</v>
      </c>
      <c r="S30" s="254">
        <f t="shared" si="3"/>
        <v>980</v>
      </c>
      <c r="T30" s="254">
        <f t="shared" si="3"/>
        <v>970</v>
      </c>
      <c r="Y30" s="254"/>
      <c r="Z30" s="254"/>
      <c r="AA30" s="254">
        <f t="shared" si="5"/>
        <v>970</v>
      </c>
      <c r="AB30" s="254">
        <f t="shared" si="4"/>
        <v>930</v>
      </c>
      <c r="AC30" s="254">
        <f t="shared" si="4"/>
        <v>890</v>
      </c>
      <c r="AD30" s="254">
        <f t="shared" si="4"/>
        <v>0</v>
      </c>
      <c r="AG30" s="729">
        <v>45839</v>
      </c>
      <c r="AH30" s="255" t="s">
        <v>1580</v>
      </c>
    </row>
    <row r="31" spans="3:36" ht="11.25" customHeight="1">
      <c r="C31" s="255" t="s">
        <v>1047</v>
      </c>
      <c r="D31" s="476">
        <v>0.05</v>
      </c>
      <c r="E31" s="277"/>
      <c r="F31" s="277"/>
      <c r="G31" s="277"/>
      <c r="H31" s="277"/>
      <c r="I31" s="277"/>
      <c r="J31" s="277"/>
      <c r="K31" s="277"/>
      <c r="L31" s="277"/>
      <c r="M31" s="277"/>
      <c r="N31" s="277"/>
      <c r="O31" s="277"/>
      <c r="P31" s="277">
        <v>750</v>
      </c>
      <c r="Q31" s="277">
        <v>433</v>
      </c>
      <c r="R31" s="254">
        <f t="shared" si="3"/>
        <v>0</v>
      </c>
      <c r="S31" s="254">
        <f t="shared" si="3"/>
        <v>0</v>
      </c>
      <c r="T31" s="254">
        <f t="shared" si="3"/>
        <v>0</v>
      </c>
      <c r="Y31" s="254"/>
      <c r="Z31" s="254"/>
      <c r="AA31" s="254">
        <f t="shared" si="5"/>
        <v>0</v>
      </c>
      <c r="AB31" s="254">
        <f t="shared" si="4"/>
        <v>0</v>
      </c>
      <c r="AC31" s="254">
        <f t="shared" si="4"/>
        <v>0</v>
      </c>
      <c r="AD31" s="254">
        <f t="shared" si="4"/>
        <v>0</v>
      </c>
      <c r="AG31" s="729">
        <v>44713</v>
      </c>
      <c r="AH31" s="255" t="s">
        <v>1578</v>
      </c>
    </row>
    <row r="32" spans="3:36" ht="11.25" customHeight="1">
      <c r="C32" s="255" t="s">
        <v>1048</v>
      </c>
      <c r="D32" s="476">
        <v>3.7499999999999999E-2</v>
      </c>
      <c r="E32" s="277"/>
      <c r="F32" s="277"/>
      <c r="G32" s="277"/>
      <c r="H32" s="277"/>
      <c r="I32" s="277"/>
      <c r="J32" s="277"/>
      <c r="K32" s="277"/>
      <c r="L32" s="277"/>
      <c r="M32" s="277"/>
      <c r="N32" s="277"/>
      <c r="O32" s="277"/>
      <c r="P32" s="277">
        <v>500</v>
      </c>
      <c r="Q32" s="277">
        <v>500</v>
      </c>
      <c r="R32" s="254">
        <f>+Q32-R62</f>
        <v>495</v>
      </c>
      <c r="S32" s="254">
        <f>+R32-S62</f>
        <v>490</v>
      </c>
      <c r="T32" s="254">
        <f>+S32-T62</f>
        <v>485</v>
      </c>
      <c r="Y32" s="254"/>
      <c r="Z32" s="254"/>
      <c r="AA32" s="254">
        <f t="shared" si="5"/>
        <v>485</v>
      </c>
      <c r="AB32" s="254">
        <f>+AA32-AB62</f>
        <v>465</v>
      </c>
      <c r="AC32" s="254">
        <f>+AB32-AC62</f>
        <v>445</v>
      </c>
      <c r="AD32" s="254">
        <f>+AC32-AD62</f>
        <v>0</v>
      </c>
      <c r="AG32" s="729">
        <v>45717</v>
      </c>
      <c r="AH32" s="255" t="s">
        <v>1579</v>
      </c>
    </row>
    <row r="33" spans="2:42" ht="11.25" customHeight="1">
      <c r="C33" s="291" t="s">
        <v>238</v>
      </c>
      <c r="D33" s="476">
        <v>0.02</v>
      </c>
      <c r="E33" s="277"/>
      <c r="F33" s="277"/>
      <c r="G33" s="277"/>
      <c r="H33" s="277"/>
      <c r="I33" s="277"/>
      <c r="J33" s="277"/>
      <c r="K33" s="287"/>
      <c r="L33" s="287"/>
      <c r="M33" s="287"/>
      <c r="N33" s="287"/>
      <c r="O33" s="287"/>
      <c r="P33" s="287">
        <v>0</v>
      </c>
      <c r="Q33" s="254">
        <f ca="1">Q135</f>
        <v>0</v>
      </c>
      <c r="R33" s="254">
        <f ca="1">R135</f>
        <v>0</v>
      </c>
      <c r="S33" s="254">
        <f ca="1">S135</f>
        <v>0</v>
      </c>
      <c r="T33" s="254">
        <f ca="1">T135</f>
        <v>0</v>
      </c>
      <c r="Y33" s="254"/>
      <c r="Z33" s="254"/>
      <c r="AA33" s="254">
        <f ca="1">+SUMIF($E$6:$T$6,AA$6,$E33:$T33)</f>
        <v>0</v>
      </c>
      <c r="AB33" s="254">
        <f ca="1">AB135</f>
        <v>0</v>
      </c>
      <c r="AC33" s="254">
        <f ca="1">AC135</f>
        <v>0</v>
      </c>
      <c r="AD33" s="254">
        <f ca="1">AD135</f>
        <v>0</v>
      </c>
      <c r="AG33" s="729">
        <v>45701</v>
      </c>
    </row>
    <row r="34" spans="2:42" ht="11.25" customHeight="1">
      <c r="C34" s="291" t="s">
        <v>239</v>
      </c>
      <c r="D34" s="401">
        <f>+SUMPRODUCT(D10:D33,P10:P33)/SUM(P10:P33)</f>
        <v>4.6037410603213272E-2</v>
      </c>
      <c r="E34" s="277"/>
      <c r="F34" s="277"/>
      <c r="G34" s="277"/>
      <c r="H34" s="277"/>
      <c r="I34" s="277"/>
      <c r="J34" s="277"/>
      <c r="K34" s="277"/>
      <c r="L34" s="277"/>
      <c r="M34" s="277"/>
      <c r="N34" s="277"/>
      <c r="O34" s="277"/>
      <c r="P34" s="254">
        <f>P140</f>
        <v>0</v>
      </c>
      <c r="Q34" s="254">
        <f>Q140</f>
        <v>0</v>
      </c>
      <c r="R34" s="254">
        <f ca="1">R140</f>
        <v>0</v>
      </c>
      <c r="S34" s="254">
        <f ca="1">S140</f>
        <v>0</v>
      </c>
      <c r="T34" s="254">
        <f ca="1">T140</f>
        <v>0</v>
      </c>
      <c r="Y34" s="254"/>
      <c r="Z34" s="254"/>
      <c r="AA34" s="254">
        <f ca="1">+SUMIF($E$6:$T$6,AA$6,$E34:$T34)</f>
        <v>0</v>
      </c>
      <c r="AB34" s="254">
        <f ca="1">AB140</f>
        <v>0</v>
      </c>
      <c r="AC34" s="254">
        <f ca="1">AC140</f>
        <v>0</v>
      </c>
      <c r="AD34" s="254">
        <f ca="1">AD140</f>
        <v>0</v>
      </c>
    </row>
    <row r="35" spans="2:42" ht="11.25" customHeight="1">
      <c r="C35" s="291" t="s">
        <v>240</v>
      </c>
      <c r="D35" s="402"/>
      <c r="E35" s="277"/>
      <c r="F35" s="277"/>
      <c r="G35" s="277"/>
      <c r="H35" s="277"/>
      <c r="I35" s="277"/>
      <c r="J35" s="277"/>
      <c r="K35" s="277"/>
      <c r="L35" s="277"/>
      <c r="M35" s="277"/>
      <c r="N35" s="277"/>
      <c r="O35" s="277"/>
      <c r="P35" s="277">
        <v>-458</v>
      </c>
      <c r="Q35" s="277">
        <v>-439</v>
      </c>
      <c r="R35" s="254">
        <f>+Q35-$Q$35/19</f>
        <v>-415.89473684210526</v>
      </c>
      <c r="S35" s="254">
        <f>+R35-$Q$35/19</f>
        <v>-392.78947368421052</v>
      </c>
      <c r="T35" s="254">
        <f>+S35-$Q$35/19</f>
        <v>-369.68421052631578</v>
      </c>
      <c r="Y35" s="254"/>
      <c r="Z35" s="254"/>
      <c r="AA35" s="254">
        <f t="shared" si="5"/>
        <v>-369.68421052631578</v>
      </c>
      <c r="AB35" s="254">
        <f>+AA35-$Q$35*4/19</f>
        <v>-277.26315789473682</v>
      </c>
      <c r="AC35" s="254">
        <f>+AB35-$Q$35*4/19</f>
        <v>-184.84210526315786</v>
      </c>
      <c r="AD35" s="254">
        <f>+AC35-$Q$35*4/19</f>
        <v>-92.421052631578917</v>
      </c>
    </row>
    <row r="36" spans="2:42" s="283" customFormat="1" ht="11.25" customHeight="1">
      <c r="C36" s="286" t="s">
        <v>276</v>
      </c>
      <c r="D36" s="403"/>
      <c r="E36" s="280"/>
      <c r="F36" s="280"/>
      <c r="G36" s="277"/>
      <c r="H36" s="277"/>
      <c r="I36" s="277"/>
      <c r="J36" s="277"/>
      <c r="K36" s="280"/>
      <c r="L36" s="280"/>
      <c r="M36" s="280"/>
      <c r="N36" s="280"/>
      <c r="O36" s="280"/>
      <c r="P36" s="357">
        <f>SUM(P10:P35)</f>
        <v>37323</v>
      </c>
      <c r="Q36" s="357">
        <f ca="1">SUM(Q10:Q35)</f>
        <v>37093</v>
      </c>
      <c r="R36" s="357">
        <f ca="1">SUM(R10:R35)</f>
        <v>36860.313855938024</v>
      </c>
      <c r="S36" s="357">
        <f ca="1">SUM(S10:S35)</f>
        <v>36971.838427328526</v>
      </c>
      <c r="T36" s="357">
        <f ca="1">SUM(T10:T35)</f>
        <v>37263.873289473682</v>
      </c>
      <c r="U36" s="280"/>
      <c r="V36" s="280"/>
      <c r="W36" s="280"/>
      <c r="X36" s="280"/>
      <c r="Y36" s="280"/>
      <c r="Z36" s="280"/>
      <c r="AA36" s="357">
        <f ca="1">SUM(AA10:AA35)</f>
        <v>37263.873289473682</v>
      </c>
      <c r="AB36" s="357">
        <f ca="1">SUM(AB10:AB35)</f>
        <v>36376.864342105255</v>
      </c>
      <c r="AC36" s="357">
        <f ca="1">SUM(AC10:AC35)</f>
        <v>36962.215394736842</v>
      </c>
      <c r="AD36" s="357">
        <f ca="1">SUM(AD10:AD35)</f>
        <v>32734.528947368417</v>
      </c>
      <c r="AH36" s="255"/>
      <c r="AI36" s="255"/>
      <c r="AL36" s="255"/>
    </row>
    <row r="37" spans="2:42" ht="11.25" customHeight="1">
      <c r="D37" s="257"/>
      <c r="E37" s="284"/>
      <c r="F37" s="288"/>
      <c r="G37" s="288"/>
      <c r="H37" s="288"/>
      <c r="I37" s="288"/>
      <c r="J37" s="288"/>
      <c r="K37" s="288"/>
      <c r="L37" s="288"/>
      <c r="M37" s="288"/>
      <c r="N37" s="288"/>
      <c r="O37" s="288"/>
      <c r="P37" s="288"/>
      <c r="Q37" s="288">
        <f ca="1">'AAL Financials'!Q129-'AAL Debt'!Q36</f>
        <v>0</v>
      </c>
      <c r="R37" s="288"/>
      <c r="S37" s="288"/>
      <c r="T37" s="288"/>
      <c r="AA37" s="288"/>
      <c r="AB37" s="288"/>
      <c r="AC37" s="288"/>
      <c r="AD37" s="288"/>
    </row>
    <row r="38" spans="2:42" ht="11.25" customHeight="1">
      <c r="B38" s="258" t="s">
        <v>133</v>
      </c>
      <c r="C38" s="259" t="s">
        <v>241</v>
      </c>
      <c r="D38" s="259"/>
      <c r="E38" s="259"/>
      <c r="F38" s="290"/>
      <c r="G38" s="259"/>
      <c r="H38" s="259"/>
      <c r="I38" s="259"/>
      <c r="J38" s="259"/>
      <c r="K38" s="259"/>
      <c r="L38" s="259"/>
      <c r="M38" s="259"/>
      <c r="N38" s="259"/>
      <c r="O38" s="259"/>
      <c r="P38" s="290"/>
      <c r="Q38" s="259"/>
      <c r="R38" s="259"/>
      <c r="S38" s="259"/>
      <c r="T38" s="259"/>
      <c r="V38" s="258"/>
      <c r="W38" s="258"/>
      <c r="X38" s="258"/>
      <c r="Y38" s="258"/>
      <c r="Z38" s="258"/>
      <c r="AA38" s="258"/>
      <c r="AB38" s="258"/>
      <c r="AC38" s="258"/>
      <c r="AD38" s="258"/>
    </row>
    <row r="39" spans="2:42" ht="11.25" customHeight="1">
      <c r="C39" s="289"/>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F39" s="277"/>
      <c r="AG39" s="277"/>
      <c r="AH39" s="277"/>
      <c r="AI39" s="277"/>
      <c r="AJ39" s="277"/>
      <c r="AK39" s="277"/>
      <c r="AL39" s="277"/>
      <c r="AM39" s="277"/>
      <c r="AN39" s="277"/>
      <c r="AO39" s="277"/>
      <c r="AP39" s="277"/>
    </row>
    <row r="40" spans="2:42" ht="11.25" customHeight="1">
      <c r="C40" s="291" t="str">
        <f t="shared" ref="C40:C62" si="6">+C10</f>
        <v>2013 Term Loan Facility, 1.85%, through 2025</v>
      </c>
      <c r="E40" s="277"/>
      <c r="F40" s="277"/>
      <c r="G40" s="277"/>
      <c r="H40" s="254"/>
      <c r="I40" s="283"/>
      <c r="J40" s="254"/>
      <c r="K40" s="254"/>
      <c r="L40" s="254"/>
      <c r="M40" s="254"/>
      <c r="N40" s="254"/>
      <c r="O40" s="254"/>
      <c r="P40" s="254"/>
      <c r="Q40" s="254"/>
      <c r="R40" s="254">
        <f>$AA$40/4</f>
        <v>4.7975000000000003</v>
      </c>
      <c r="S40" s="254">
        <f>$AA$40/4</f>
        <v>4.7975000000000003</v>
      </c>
      <c r="T40" s="254">
        <f>$AA$40/4</f>
        <v>4.7975000000000003</v>
      </c>
      <c r="U40" s="283"/>
      <c r="V40" s="283"/>
      <c r="W40" s="283"/>
      <c r="X40" s="283"/>
      <c r="AA40" s="255">
        <f>1%*1919</f>
        <v>19.190000000000001</v>
      </c>
      <c r="AB40" s="255">
        <f>1%*1919</f>
        <v>19.190000000000001</v>
      </c>
      <c r="AC40" s="255">
        <f>1%*1919</f>
        <v>19.190000000000001</v>
      </c>
      <c r="AD40" s="254">
        <f>+IF(IF(AND($AG10&gt;AC$6,$AG10&lt;=AD$6),1,0)=1,AC10,0)</f>
        <v>1717.2275000000002</v>
      </c>
      <c r="AF40" s="277"/>
      <c r="AG40" s="277"/>
      <c r="AH40" s="277"/>
      <c r="AI40" s="277"/>
      <c r="AJ40" s="277"/>
      <c r="AK40" s="277"/>
      <c r="AL40" s="277"/>
      <c r="AM40" s="277"/>
      <c r="AN40" s="277"/>
      <c r="AO40" s="277"/>
      <c r="AP40" s="277"/>
    </row>
    <row r="41" spans="2:42" ht="11.25" customHeight="1">
      <c r="C41" s="291" t="str">
        <f t="shared" si="6"/>
        <v>2014 Term Loan Facility, 1.85%, through 2027</v>
      </c>
      <c r="E41" s="277"/>
      <c r="F41" s="277"/>
      <c r="G41" s="277"/>
      <c r="H41" s="254"/>
      <c r="I41" s="283"/>
      <c r="J41" s="254"/>
      <c r="K41" s="254"/>
      <c r="L41" s="254"/>
      <c r="M41" s="254"/>
      <c r="N41" s="254"/>
      <c r="O41" s="254"/>
      <c r="P41" s="254"/>
      <c r="Q41" s="254"/>
      <c r="R41" s="254">
        <f>$AA$41/4</f>
        <v>3.02</v>
      </c>
      <c r="S41" s="254">
        <f>$AA$41/4</f>
        <v>3.02</v>
      </c>
      <c r="T41" s="254">
        <f>$AA$41/4</f>
        <v>3.02</v>
      </c>
      <c r="U41" s="283"/>
      <c r="V41" s="283"/>
      <c r="W41" s="283"/>
      <c r="X41" s="283"/>
      <c r="AA41" s="255">
        <f>1%*1208</f>
        <v>12.08</v>
      </c>
      <c r="AB41" s="255">
        <f>1%*1208</f>
        <v>12.08</v>
      </c>
      <c r="AC41" s="255">
        <f>1%*1208</f>
        <v>12.08</v>
      </c>
      <c r="AD41" s="255">
        <f>1%*1208</f>
        <v>12.08</v>
      </c>
      <c r="AF41" s="277"/>
      <c r="AG41" s="277"/>
      <c r="AH41" s="277"/>
      <c r="AI41" s="277"/>
      <c r="AJ41" s="277"/>
      <c r="AK41" s="277"/>
      <c r="AL41" s="277"/>
      <c r="AM41" s="277"/>
      <c r="AN41" s="277"/>
      <c r="AO41" s="277"/>
      <c r="AP41" s="277"/>
    </row>
    <row r="42" spans="2:42" ht="11.25" customHeight="1">
      <c r="C42" s="291" t="str">
        <f t="shared" si="6"/>
        <v>December 2016 Term Loan Facility, 2.11%, through 2023</v>
      </c>
      <c r="E42" s="277"/>
      <c r="F42" s="277"/>
      <c r="G42" s="277"/>
      <c r="H42" s="254"/>
      <c r="I42" s="283"/>
      <c r="J42" s="254"/>
      <c r="K42" s="254"/>
      <c r="L42" s="254"/>
      <c r="M42" s="254"/>
      <c r="N42" s="254"/>
      <c r="O42" s="254"/>
      <c r="P42" s="254"/>
      <c r="Q42" s="254"/>
      <c r="R42" s="254">
        <f t="shared" ref="R42:T43" si="7">1%*$Q12</f>
        <v>11.88</v>
      </c>
      <c r="S42" s="254">
        <f t="shared" si="7"/>
        <v>11.88</v>
      </c>
      <c r="T42" s="254">
        <f t="shared" si="7"/>
        <v>11.88</v>
      </c>
      <c r="U42" s="283"/>
      <c r="V42" s="283"/>
      <c r="W42" s="283"/>
      <c r="X42" s="283"/>
      <c r="AA42" s="255">
        <f t="shared" ref="AA42:AA62" si="8">+SUMIF($E$5:$T$5,AA$5,$E42:$T42)</f>
        <v>35.64</v>
      </c>
      <c r="AB42" s="254">
        <f>+IF(IF(AND($AG12&gt;AA$6,$AG12&lt;=AB$6),1,0)=1,AA12,0)</f>
        <v>1152.3599999999997</v>
      </c>
      <c r="AC42" s="254">
        <f>+IF(IF(AND($AG12&gt;AB$6,$AG12&lt;=AC$6),1,0)=1,AB12,0)</f>
        <v>0</v>
      </c>
      <c r="AD42" s="254">
        <f>+IF(IF(AND($AG12&gt;AC$6,$AG12&lt;=AD$6),1,0)=1,AC12,0)</f>
        <v>0</v>
      </c>
      <c r="AF42" s="277"/>
      <c r="AG42" s="277"/>
      <c r="AH42" s="277"/>
      <c r="AI42" s="277"/>
      <c r="AJ42" s="277"/>
      <c r="AK42" s="277"/>
      <c r="AL42" s="277"/>
      <c r="AM42" s="277"/>
      <c r="AN42" s="277"/>
      <c r="AO42" s="277"/>
      <c r="AP42" s="277"/>
    </row>
    <row r="43" spans="2:42" ht="11.25" customHeight="1">
      <c r="C43" s="291" t="str">
        <f t="shared" si="6"/>
        <v>11.75% senior secured notes, July 2025</v>
      </c>
      <c r="E43" s="277"/>
      <c r="F43" s="277"/>
      <c r="G43" s="277"/>
      <c r="H43" s="254"/>
      <c r="I43" s="283"/>
      <c r="J43" s="254"/>
      <c r="K43" s="254"/>
      <c r="L43" s="254"/>
      <c r="M43" s="254"/>
      <c r="N43" s="254"/>
      <c r="O43" s="254"/>
      <c r="P43" s="254"/>
      <c r="Q43" s="254"/>
      <c r="R43" s="254">
        <f t="shared" si="7"/>
        <v>25</v>
      </c>
      <c r="S43" s="254">
        <f t="shared" si="7"/>
        <v>25</v>
      </c>
      <c r="T43" s="254">
        <f t="shared" si="7"/>
        <v>25</v>
      </c>
      <c r="U43" s="283"/>
      <c r="V43" s="283"/>
      <c r="W43" s="283"/>
      <c r="X43" s="283"/>
      <c r="AA43" s="255">
        <f t="shared" si="8"/>
        <v>75</v>
      </c>
      <c r="AB43" s="254">
        <f t="shared" ref="AB43:AC45" si="9">1%*$Q13*4</f>
        <v>100</v>
      </c>
      <c r="AC43" s="254">
        <f t="shared" si="9"/>
        <v>100</v>
      </c>
      <c r="AD43" s="254">
        <f>+IF(IF(AND($AG13&gt;AC$6,$AG13&lt;=AD$6),1,0)=1,AC13,0)</f>
        <v>2225</v>
      </c>
      <c r="AF43" s="277"/>
      <c r="AG43" s="277"/>
      <c r="AH43" s="277"/>
      <c r="AI43" s="277"/>
      <c r="AJ43" s="277"/>
      <c r="AK43" s="277"/>
      <c r="AL43" s="277"/>
      <c r="AM43" s="277"/>
      <c r="AN43" s="277"/>
      <c r="AO43" s="277"/>
      <c r="AP43" s="277"/>
    </row>
    <row r="44" spans="2:42" ht="11.25" customHeight="1">
      <c r="C44" s="291" t="str">
        <f t="shared" si="6"/>
        <v>10.75% senior secured IP notes, February 2026</v>
      </c>
      <c r="E44" s="277"/>
      <c r="F44" s="277"/>
      <c r="G44" s="277"/>
      <c r="H44" s="254"/>
      <c r="I44" s="283"/>
      <c r="J44" s="254"/>
      <c r="K44" s="254"/>
      <c r="L44" s="254"/>
      <c r="M44" s="254"/>
      <c r="N44" s="254"/>
      <c r="O44" s="254"/>
      <c r="P44" s="254"/>
      <c r="Q44" s="254"/>
      <c r="R44" s="254">
        <f t="shared" ref="R44:T45" si="10">1%*$Q14</f>
        <v>10</v>
      </c>
      <c r="S44" s="254">
        <f t="shared" si="10"/>
        <v>10</v>
      </c>
      <c r="T44" s="254">
        <f t="shared" si="10"/>
        <v>10</v>
      </c>
      <c r="U44" s="283"/>
      <c r="V44" s="283"/>
      <c r="W44" s="283"/>
      <c r="X44" s="283"/>
      <c r="AA44" s="255">
        <f t="shared" si="8"/>
        <v>30</v>
      </c>
      <c r="AB44" s="254">
        <f t="shared" si="9"/>
        <v>40</v>
      </c>
      <c r="AC44" s="254">
        <f t="shared" si="9"/>
        <v>40</v>
      </c>
      <c r="AD44" s="254">
        <f>1%*$Q14</f>
        <v>10</v>
      </c>
      <c r="AF44" s="277"/>
      <c r="AG44" s="277"/>
      <c r="AH44" s="277"/>
      <c r="AI44" s="277"/>
      <c r="AJ44" s="277"/>
      <c r="AK44" s="277"/>
      <c r="AL44" s="277"/>
      <c r="AM44" s="277"/>
      <c r="AN44" s="277"/>
      <c r="AO44" s="277"/>
      <c r="AP44" s="277"/>
    </row>
    <row r="45" spans="2:42" ht="11.25" customHeight="1">
      <c r="C45" s="291" t="str">
        <f t="shared" si="6"/>
        <v>10.75% senior secured LGA/DCA notes, February 2026</v>
      </c>
      <c r="E45" s="277"/>
      <c r="F45" s="277"/>
      <c r="G45" s="277"/>
      <c r="H45" s="254"/>
      <c r="I45" s="283"/>
      <c r="J45" s="254"/>
      <c r="K45" s="254"/>
      <c r="L45" s="254"/>
      <c r="M45" s="254"/>
      <c r="N45" s="254"/>
      <c r="O45" s="254"/>
      <c r="P45" s="254"/>
      <c r="Q45" s="254"/>
      <c r="R45" s="254">
        <f t="shared" si="10"/>
        <v>2</v>
      </c>
      <c r="S45" s="254">
        <f t="shared" si="10"/>
        <v>2</v>
      </c>
      <c r="T45" s="254">
        <f t="shared" si="10"/>
        <v>2</v>
      </c>
      <c r="U45" s="283"/>
      <c r="V45" s="283"/>
      <c r="W45" s="283"/>
      <c r="X45" s="283"/>
      <c r="AA45" s="255">
        <f t="shared" si="8"/>
        <v>6</v>
      </c>
      <c r="AB45" s="254">
        <f t="shared" si="9"/>
        <v>8</v>
      </c>
      <c r="AC45" s="254">
        <f t="shared" si="9"/>
        <v>8</v>
      </c>
      <c r="AD45" s="254">
        <f>1%*$Q15</f>
        <v>2</v>
      </c>
      <c r="AF45" s="277"/>
      <c r="AG45" s="277"/>
      <c r="AH45" s="277"/>
      <c r="AI45" s="277"/>
      <c r="AJ45" s="277"/>
      <c r="AK45" s="277"/>
      <c r="AL45" s="277"/>
      <c r="AM45" s="277"/>
      <c r="AN45" s="277"/>
      <c r="AO45" s="277"/>
      <c r="AP45" s="277"/>
    </row>
    <row r="46" spans="2:42" ht="11.25" customHeight="1">
      <c r="C46" s="291" t="str">
        <f t="shared" si="6"/>
        <v>5.50% senior secured notes, April 2026</v>
      </c>
      <c r="E46" s="277"/>
      <c r="F46" s="277"/>
      <c r="G46" s="277"/>
      <c r="H46" s="254"/>
      <c r="I46" s="283"/>
      <c r="J46" s="254"/>
      <c r="K46" s="254"/>
      <c r="L46" s="254"/>
      <c r="M46" s="254"/>
      <c r="N46" s="254"/>
      <c r="O46" s="254"/>
      <c r="P46" s="254"/>
      <c r="Q46" s="254"/>
      <c r="R46" s="254">
        <f t="shared" ref="R46:T48" si="11">+IF(IF(AND($AG16&gt;Q$6,$AG16&lt;=R$6),1,0)=1,Q16,0)</f>
        <v>0</v>
      </c>
      <c r="S46" s="254">
        <f t="shared" si="11"/>
        <v>0</v>
      </c>
      <c r="T46" s="254">
        <f t="shared" si="11"/>
        <v>0</v>
      </c>
      <c r="U46" s="283"/>
      <c r="V46" s="283"/>
      <c r="W46" s="283"/>
      <c r="X46" s="283"/>
      <c r="AA46" s="255">
        <f t="shared" si="8"/>
        <v>0</v>
      </c>
      <c r="AB46" s="277">
        <f>292*2</f>
        <v>584</v>
      </c>
      <c r="AC46" s="277">
        <f>292*4</f>
        <v>1168</v>
      </c>
      <c r="AD46" s="277">
        <f>292*4</f>
        <v>1168</v>
      </c>
      <c r="AF46" s="277"/>
      <c r="AG46" s="277"/>
      <c r="AH46" s="277"/>
      <c r="AI46" s="277"/>
      <c r="AJ46" s="277"/>
      <c r="AK46" s="277"/>
      <c r="AL46" s="277"/>
      <c r="AM46" s="277"/>
      <c r="AN46" s="277"/>
      <c r="AO46" s="277"/>
      <c r="AP46" s="277"/>
    </row>
    <row r="47" spans="2:42" ht="11.25" customHeight="1">
      <c r="C47" s="291" t="str">
        <f t="shared" si="6"/>
        <v>5.75% senior secured notes, April 2029</v>
      </c>
      <c r="E47" s="277"/>
      <c r="F47" s="277"/>
      <c r="G47" s="277"/>
      <c r="H47" s="254"/>
      <c r="I47" s="283"/>
      <c r="J47" s="254"/>
      <c r="K47" s="254"/>
      <c r="L47" s="254"/>
      <c r="M47" s="254"/>
      <c r="N47" s="254"/>
      <c r="O47" s="254"/>
      <c r="P47" s="254"/>
      <c r="Q47" s="254"/>
      <c r="R47" s="254">
        <f t="shared" si="11"/>
        <v>0</v>
      </c>
      <c r="S47" s="254">
        <f t="shared" si="11"/>
        <v>0</v>
      </c>
      <c r="T47" s="254">
        <f t="shared" si="11"/>
        <v>0</v>
      </c>
      <c r="U47" s="283"/>
      <c r="V47" s="283"/>
      <c r="W47" s="283"/>
      <c r="X47" s="283"/>
      <c r="AA47" s="255">
        <f t="shared" si="8"/>
        <v>0</v>
      </c>
      <c r="AB47" s="254">
        <f>+IF(IF(AND($AG17&gt;AA$6,$AG17&lt;=AB$6),1,0)=1,AA17,0)</f>
        <v>0</v>
      </c>
      <c r="AC47" s="254">
        <f>+IF(IF(AND($AG17&gt;AB$6,$AG17&lt;=AC$6),1,0)=1,AB17,0)</f>
        <v>0</v>
      </c>
      <c r="AD47" s="254">
        <f>+IF(IF(AND($AG17&gt;AC$6,$AG17&lt;=AD$6),1,0)=1,AC17,0)</f>
        <v>0</v>
      </c>
      <c r="AE47" s="255" t="s">
        <v>1746</v>
      </c>
      <c r="AF47" s="277"/>
      <c r="AG47" s="277"/>
      <c r="AH47" s="277"/>
      <c r="AI47" s="277"/>
      <c r="AJ47" s="277"/>
      <c r="AK47" s="277"/>
      <c r="AL47" s="277"/>
      <c r="AM47" s="277"/>
      <c r="AN47" s="277"/>
      <c r="AO47" s="277"/>
      <c r="AP47" s="277"/>
    </row>
    <row r="48" spans="2:42" ht="11.25" customHeight="1">
      <c r="C48" s="291" t="str">
        <f t="shared" si="6"/>
        <v>AAdvantage Term Loan Facility, 5.50%</v>
      </c>
      <c r="E48" s="277"/>
      <c r="F48" s="277"/>
      <c r="G48" s="277"/>
      <c r="H48" s="254"/>
      <c r="I48" s="283"/>
      <c r="J48" s="254"/>
      <c r="K48" s="254"/>
      <c r="L48" s="254"/>
      <c r="M48" s="254"/>
      <c r="N48" s="254"/>
      <c r="O48" s="254"/>
      <c r="P48" s="254"/>
      <c r="Q48" s="254"/>
      <c r="R48" s="254">
        <f t="shared" si="11"/>
        <v>0</v>
      </c>
      <c r="S48" s="254">
        <f t="shared" si="11"/>
        <v>0</v>
      </c>
      <c r="T48" s="254">
        <f t="shared" si="11"/>
        <v>0</v>
      </c>
      <c r="U48" s="283"/>
      <c r="V48" s="283"/>
      <c r="W48" s="283"/>
      <c r="X48" s="283"/>
      <c r="AA48" s="255">
        <f t="shared" si="8"/>
        <v>0</v>
      </c>
      <c r="AB48" s="277">
        <f>175*2</f>
        <v>350</v>
      </c>
      <c r="AC48" s="277">
        <f>175*4</f>
        <v>700</v>
      </c>
      <c r="AD48" s="277">
        <f>175*4</f>
        <v>700</v>
      </c>
      <c r="AF48" s="277"/>
      <c r="AG48" s="277"/>
      <c r="AH48" s="277"/>
      <c r="AI48" s="277"/>
      <c r="AJ48" s="277"/>
      <c r="AK48" s="277"/>
      <c r="AL48" s="277"/>
      <c r="AM48" s="277"/>
      <c r="AN48" s="277"/>
      <c r="AO48" s="277"/>
      <c r="AP48" s="277"/>
    </row>
    <row r="49" spans="3:42" ht="11.25" customHeight="1">
      <c r="C49" s="291" t="str">
        <f t="shared" si="6"/>
        <v>Enhanced equipment trust certificates (EETCs), averaging 3.84%, 2022 - 2034</v>
      </c>
      <c r="E49" s="277"/>
      <c r="F49" s="277"/>
      <c r="G49" s="277"/>
      <c r="H49" s="254"/>
      <c r="I49" s="283"/>
      <c r="J49" s="254"/>
      <c r="K49" s="254"/>
      <c r="L49" s="254"/>
      <c r="M49" s="254"/>
      <c r="N49" s="254"/>
      <c r="O49" s="254"/>
      <c r="P49" s="254"/>
      <c r="Q49" s="254"/>
      <c r="R49" s="254">
        <f t="shared" ref="R49:T62" si="12">1%*$Q19</f>
        <v>86.04</v>
      </c>
      <c r="S49" s="254">
        <f t="shared" si="12"/>
        <v>86.04</v>
      </c>
      <c r="T49" s="254">
        <f t="shared" si="12"/>
        <v>86.04</v>
      </c>
      <c r="U49" s="283"/>
      <c r="V49" s="283"/>
      <c r="W49" s="283"/>
      <c r="X49" s="283"/>
      <c r="AA49" s="255">
        <f t="shared" si="8"/>
        <v>258.12</v>
      </c>
      <c r="AB49" s="254">
        <f t="shared" ref="AB49:AD51" si="13">1%*$Q19*4</f>
        <v>344.16</v>
      </c>
      <c r="AC49" s="254">
        <f t="shared" si="13"/>
        <v>344.16</v>
      </c>
      <c r="AD49" s="254">
        <f t="shared" si="13"/>
        <v>344.16</v>
      </c>
      <c r="AF49" s="277"/>
      <c r="AG49" s="277"/>
      <c r="AH49" s="277"/>
      <c r="AI49" s="277"/>
      <c r="AJ49" s="277"/>
      <c r="AK49" s="277"/>
      <c r="AL49" s="277"/>
      <c r="AM49" s="277"/>
      <c r="AN49" s="277"/>
      <c r="AO49" s="277"/>
      <c r="AP49" s="277"/>
    </row>
    <row r="50" spans="3:42" ht="11.25" customHeight="1">
      <c r="C50" s="291" t="str">
        <f t="shared" si="6"/>
        <v>Series A: Aircraft EETC Equipment Notes</v>
      </c>
      <c r="E50" s="277"/>
      <c r="F50" s="277"/>
      <c r="G50" s="277"/>
      <c r="H50" s="254"/>
      <c r="I50" s="283"/>
      <c r="J50" s="254"/>
      <c r="K50" s="254"/>
      <c r="L50" s="254"/>
      <c r="M50" s="254"/>
      <c r="N50" s="254"/>
      <c r="O50" s="254"/>
      <c r="P50" s="254"/>
      <c r="Q50" s="254"/>
      <c r="R50" s="254">
        <f t="shared" si="12"/>
        <v>7.58</v>
      </c>
      <c r="S50" s="254">
        <f t="shared" si="12"/>
        <v>7.58</v>
      </c>
      <c r="T50" s="254">
        <f t="shared" si="12"/>
        <v>7.58</v>
      </c>
      <c r="U50" s="283"/>
      <c r="V50" s="283"/>
      <c r="W50" s="283"/>
      <c r="X50" s="283"/>
      <c r="AA50" s="255">
        <f>+SUMIF($E$5:$T$5,AA$5,$E50:$T50)</f>
        <v>22.740000000000002</v>
      </c>
      <c r="AB50" s="254">
        <f t="shared" si="13"/>
        <v>30.32</v>
      </c>
      <c r="AC50" s="254">
        <f t="shared" si="13"/>
        <v>30.32</v>
      </c>
      <c r="AD50" s="254">
        <f t="shared" si="13"/>
        <v>30.32</v>
      </c>
      <c r="AF50" s="277"/>
      <c r="AG50" s="277"/>
      <c r="AH50" s="277"/>
      <c r="AI50" s="277"/>
      <c r="AJ50" s="277"/>
      <c r="AK50" s="277"/>
      <c r="AL50" s="277"/>
      <c r="AM50" s="277"/>
      <c r="AN50" s="277"/>
      <c r="AO50" s="277"/>
      <c r="AP50" s="277"/>
    </row>
    <row r="51" spans="3:42" ht="11.25" customHeight="1">
      <c r="C51" s="291" t="str">
        <f t="shared" si="6"/>
        <v>Series B: Aircraft EETC Equipment Notes</v>
      </c>
      <c r="E51" s="277"/>
      <c r="F51" s="277"/>
      <c r="G51" s="277"/>
      <c r="H51" s="254"/>
      <c r="I51" s="283"/>
      <c r="J51" s="254"/>
      <c r="K51" s="254"/>
      <c r="L51" s="254"/>
      <c r="M51" s="254"/>
      <c r="N51" s="254"/>
      <c r="O51" s="254"/>
      <c r="P51" s="254"/>
      <c r="Q51" s="254"/>
      <c r="R51" s="254">
        <f t="shared" si="12"/>
        <v>2.02</v>
      </c>
      <c r="S51" s="254">
        <f t="shared" si="12"/>
        <v>2.02</v>
      </c>
      <c r="T51" s="254">
        <f t="shared" si="12"/>
        <v>2.02</v>
      </c>
      <c r="U51" s="283"/>
      <c r="V51" s="283"/>
      <c r="W51" s="283"/>
      <c r="X51" s="283"/>
      <c r="AA51" s="255">
        <f>+SUMIF($E$5:$T$5,AA$5,$E51:$T51)</f>
        <v>6.0600000000000005</v>
      </c>
      <c r="AB51" s="254">
        <f t="shared" si="13"/>
        <v>8.08</v>
      </c>
      <c r="AC51" s="254">
        <f t="shared" si="13"/>
        <v>8.08</v>
      </c>
      <c r="AD51" s="254">
        <f t="shared" si="13"/>
        <v>8.08</v>
      </c>
      <c r="AF51" s="277"/>
      <c r="AG51" s="277"/>
      <c r="AH51" s="277"/>
      <c r="AI51" s="277"/>
      <c r="AJ51" s="277"/>
      <c r="AK51" s="277"/>
      <c r="AL51" s="277"/>
      <c r="AM51" s="277"/>
      <c r="AN51" s="277"/>
      <c r="AO51" s="277"/>
      <c r="AP51" s="277"/>
    </row>
    <row r="52" spans="3:42" ht="11.25" customHeight="1">
      <c r="C52" s="291" t="str">
        <f t="shared" si="6"/>
        <v>Equipment loans and other notes payable, 1.82%, 2022 - 2032</v>
      </c>
      <c r="E52" s="277"/>
      <c r="F52" s="277"/>
      <c r="G52" s="277"/>
      <c r="H52" s="254"/>
      <c r="I52" s="283"/>
      <c r="J52" s="254"/>
      <c r="K52" s="254"/>
      <c r="L52" s="254"/>
      <c r="M52" s="254"/>
      <c r="N52" s="254"/>
      <c r="O52" s="254"/>
      <c r="P52" s="254"/>
      <c r="Q52" s="254"/>
      <c r="R52" s="254">
        <f t="shared" si="12"/>
        <v>33.06</v>
      </c>
      <c r="S52" s="254">
        <f t="shared" si="12"/>
        <v>33.06</v>
      </c>
      <c r="T52" s="254">
        <f t="shared" si="12"/>
        <v>33.06</v>
      </c>
      <c r="U52" s="283"/>
      <c r="V52" s="283"/>
      <c r="W52" s="283"/>
      <c r="X52" s="283"/>
      <c r="AA52" s="255">
        <f t="shared" ref="AA52" si="14">+SUMIF($E$5:$T$5,AA$5,$E52:$T52)</f>
        <v>99.18</v>
      </c>
      <c r="AB52" s="254">
        <f>1%*$Q22*4</f>
        <v>132.24</v>
      </c>
      <c r="AC52" s="254">
        <f>1%*$Q22*4</f>
        <v>132.24</v>
      </c>
      <c r="AD52" s="254">
        <f t="shared" ref="AD52:AD59" si="15">1%*$Q22*4</f>
        <v>132.24</v>
      </c>
      <c r="AF52" s="277"/>
      <c r="AG52" s="277"/>
      <c r="AH52" s="277"/>
      <c r="AI52" s="277"/>
      <c r="AJ52" s="277"/>
      <c r="AK52" s="277"/>
      <c r="AL52" s="277"/>
      <c r="AM52" s="277"/>
      <c r="AN52" s="277"/>
      <c r="AO52" s="277"/>
      <c r="AP52" s="277"/>
    </row>
    <row r="53" spans="3:42" s="441" customFormat="1" ht="11.25" customHeight="1">
      <c r="C53" s="1183" t="str">
        <f t="shared" si="6"/>
        <v>New Aircraft Notes</v>
      </c>
      <c r="E53" s="424"/>
      <c r="F53" s="424"/>
      <c r="G53" s="424"/>
      <c r="H53" s="676"/>
      <c r="I53" s="1179"/>
      <c r="J53" s="676"/>
      <c r="K53" s="676"/>
      <c r="L53" s="676"/>
      <c r="M53" s="676"/>
      <c r="N53" s="676"/>
      <c r="O53" s="676"/>
      <c r="P53" s="676"/>
      <c r="Q53" s="1184"/>
      <c r="R53" s="1184">
        <f>-'AAL Financials'!R171</f>
        <v>-426.3560927801372</v>
      </c>
      <c r="S53" s="1184">
        <f>-'AAL Financials'!S171</f>
        <v>-337.56680823260376</v>
      </c>
      <c r="T53" s="1184">
        <f>-'AAL Financials'!T171</f>
        <v>-518.07709898725909</v>
      </c>
      <c r="U53" s="1179"/>
      <c r="V53" s="1179"/>
      <c r="W53" s="1179"/>
      <c r="X53" s="1179"/>
      <c r="AA53" s="255">
        <f>+SUMIF($E$5:$T$5,AA$5,$E53:$T53)</f>
        <v>-1282</v>
      </c>
      <c r="AB53" s="1184">
        <f>-'AAL Financials'!AB171</f>
        <v>-2056</v>
      </c>
      <c r="AC53" s="1184">
        <f>-'AAL Financials'!AC171</f>
        <v>-3310</v>
      </c>
      <c r="AD53" s="1184">
        <f>-'AAL Financials'!AD171</f>
        <v>-3559</v>
      </c>
      <c r="AF53" s="424"/>
      <c r="AG53" s="424"/>
      <c r="AH53" s="424"/>
      <c r="AI53" s="424"/>
      <c r="AJ53" s="424"/>
      <c r="AK53" s="424"/>
      <c r="AL53" s="424"/>
      <c r="AM53" s="424"/>
      <c r="AN53" s="424"/>
      <c r="AO53" s="424"/>
      <c r="AP53" s="424"/>
    </row>
    <row r="54" spans="3:42" ht="11.25" customHeight="1">
      <c r="C54" s="291" t="str">
        <f t="shared" si="6"/>
        <v>Special facility revenue bonds, 2.25% to 5.38%, 2026 - 2036</v>
      </c>
      <c r="E54" s="277"/>
      <c r="F54" s="277"/>
      <c r="G54" s="277"/>
      <c r="H54" s="254"/>
      <c r="I54" s="283"/>
      <c r="J54" s="254"/>
      <c r="K54" s="254"/>
      <c r="L54" s="254"/>
      <c r="M54" s="254"/>
      <c r="N54" s="254"/>
      <c r="O54" s="254"/>
      <c r="P54" s="254"/>
      <c r="Q54" s="254"/>
      <c r="R54" s="254">
        <f t="shared" si="12"/>
        <v>9.7900000000000009</v>
      </c>
      <c r="S54" s="254">
        <f t="shared" si="12"/>
        <v>9.7900000000000009</v>
      </c>
      <c r="T54" s="254">
        <f t="shared" si="12"/>
        <v>9.7900000000000009</v>
      </c>
      <c r="U54" s="283"/>
      <c r="V54" s="283"/>
      <c r="W54" s="283"/>
      <c r="X54" s="283"/>
      <c r="AA54" s="255">
        <f t="shared" si="8"/>
        <v>29.370000000000005</v>
      </c>
      <c r="AB54" s="254">
        <f t="shared" ref="AB54:AC60" si="16">1%*$Q24*4</f>
        <v>39.160000000000004</v>
      </c>
      <c r="AC54" s="254">
        <f t="shared" si="16"/>
        <v>39.160000000000004</v>
      </c>
      <c r="AD54" s="254">
        <f t="shared" si="15"/>
        <v>39.160000000000004</v>
      </c>
    </row>
    <row r="55" spans="3:42" ht="11.25" customHeight="1">
      <c r="C55" s="291" t="str">
        <f t="shared" si="6"/>
        <v>Term Bonds</v>
      </c>
      <c r="E55" s="277"/>
      <c r="F55" s="277"/>
      <c r="G55" s="277"/>
      <c r="H55" s="254"/>
      <c r="I55" s="283"/>
      <c r="J55" s="254"/>
      <c r="K55" s="254"/>
      <c r="L55" s="254"/>
      <c r="M55" s="254"/>
      <c r="N55" s="254"/>
      <c r="O55" s="254"/>
      <c r="P55" s="254"/>
      <c r="Q55" s="254"/>
      <c r="R55" s="254">
        <f t="shared" si="12"/>
        <v>0.70000000000000007</v>
      </c>
      <c r="S55" s="254">
        <f t="shared" si="12"/>
        <v>0.70000000000000007</v>
      </c>
      <c r="T55" s="254">
        <f t="shared" si="12"/>
        <v>0.70000000000000007</v>
      </c>
      <c r="U55" s="283"/>
      <c r="V55" s="283"/>
      <c r="W55" s="283"/>
      <c r="X55" s="283"/>
      <c r="AA55" s="255">
        <f>+SUMIF($E$5:$T$5,AA$5,$E55:$T55)</f>
        <v>2.1</v>
      </c>
      <c r="AB55" s="254">
        <f t="shared" si="16"/>
        <v>2.8000000000000003</v>
      </c>
      <c r="AC55" s="254">
        <f t="shared" si="16"/>
        <v>2.8000000000000003</v>
      </c>
      <c r="AD55" s="254">
        <f t="shared" si="15"/>
        <v>2.8000000000000003</v>
      </c>
    </row>
    <row r="56" spans="3:42" ht="11.25" customHeight="1">
      <c r="C56" s="291" t="str">
        <f t="shared" si="6"/>
        <v>Term Bonds</v>
      </c>
      <c r="E56" s="277"/>
      <c r="F56" s="277"/>
      <c r="G56" s="277"/>
      <c r="H56" s="254"/>
      <c r="I56" s="283"/>
      <c r="J56" s="254"/>
      <c r="K56" s="254"/>
      <c r="L56" s="254"/>
      <c r="M56" s="254"/>
      <c r="N56" s="254"/>
      <c r="O56" s="254"/>
      <c r="P56" s="254"/>
      <c r="Q56" s="254"/>
      <c r="R56" s="254">
        <f t="shared" si="12"/>
        <v>0.8</v>
      </c>
      <c r="S56" s="254">
        <f t="shared" si="12"/>
        <v>0.8</v>
      </c>
      <c r="T56" s="254">
        <f t="shared" si="12"/>
        <v>0.8</v>
      </c>
      <c r="U56" s="283"/>
      <c r="V56" s="283"/>
      <c r="W56" s="283"/>
      <c r="X56" s="283"/>
      <c r="AA56" s="255">
        <f>+SUMIF($E$5:$T$5,AA$5,$E56:$T56)</f>
        <v>2.4000000000000004</v>
      </c>
      <c r="AB56" s="254">
        <f t="shared" si="16"/>
        <v>3.2</v>
      </c>
      <c r="AC56" s="254">
        <f t="shared" si="16"/>
        <v>3.2</v>
      </c>
      <c r="AD56" s="254">
        <f t="shared" si="15"/>
        <v>3.2</v>
      </c>
    </row>
    <row r="57" spans="3:42" ht="11.25" customHeight="1">
      <c r="C57" s="291" t="str">
        <f t="shared" si="6"/>
        <v>PSP1 Promissory Note, April 2030</v>
      </c>
      <c r="E57" s="277"/>
      <c r="F57" s="277"/>
      <c r="G57" s="277"/>
      <c r="H57" s="254"/>
      <c r="I57" s="283"/>
      <c r="J57" s="254"/>
      <c r="K57" s="254"/>
      <c r="L57" s="254"/>
      <c r="M57" s="254"/>
      <c r="N57" s="254"/>
      <c r="O57" s="254"/>
      <c r="P57" s="254"/>
      <c r="Q57" s="254"/>
      <c r="R57" s="254">
        <f t="shared" si="12"/>
        <v>17.650000000000002</v>
      </c>
      <c r="S57" s="254">
        <f t="shared" si="12"/>
        <v>17.650000000000002</v>
      </c>
      <c r="T57" s="254">
        <f t="shared" si="12"/>
        <v>17.650000000000002</v>
      </c>
      <c r="U57" s="283"/>
      <c r="V57" s="283"/>
      <c r="W57" s="283"/>
      <c r="X57" s="283"/>
      <c r="AA57" s="255">
        <f t="shared" si="8"/>
        <v>52.95</v>
      </c>
      <c r="AB57" s="254">
        <f t="shared" si="16"/>
        <v>70.600000000000009</v>
      </c>
      <c r="AC57" s="254">
        <f t="shared" si="16"/>
        <v>70.600000000000009</v>
      </c>
      <c r="AD57" s="254">
        <f t="shared" si="15"/>
        <v>70.600000000000009</v>
      </c>
    </row>
    <row r="58" spans="3:42" ht="11.25" customHeight="1">
      <c r="C58" s="291" t="str">
        <f t="shared" si="6"/>
        <v>PSP2 Promissory Note, January 2031</v>
      </c>
      <c r="E58" s="277"/>
      <c r="F58" s="277"/>
      <c r="G58" s="277"/>
      <c r="H58" s="254"/>
      <c r="I58" s="283"/>
      <c r="J58" s="254"/>
      <c r="K58" s="254"/>
      <c r="L58" s="254"/>
      <c r="M58" s="254"/>
      <c r="N58" s="254"/>
      <c r="O58" s="254"/>
      <c r="P58" s="254"/>
      <c r="Q58" s="254"/>
      <c r="R58" s="254">
        <f t="shared" si="12"/>
        <v>10.35</v>
      </c>
      <c r="S58" s="254">
        <f t="shared" si="12"/>
        <v>10.35</v>
      </c>
      <c r="T58" s="254">
        <f t="shared" si="12"/>
        <v>10.35</v>
      </c>
      <c r="U58" s="283"/>
      <c r="V58" s="283"/>
      <c r="W58" s="283"/>
      <c r="X58" s="283"/>
      <c r="AA58" s="255">
        <f t="shared" si="8"/>
        <v>31.049999999999997</v>
      </c>
      <c r="AB58" s="254">
        <f t="shared" si="16"/>
        <v>41.4</v>
      </c>
      <c r="AC58" s="254">
        <f t="shared" si="16"/>
        <v>41.4</v>
      </c>
      <c r="AD58" s="254">
        <f t="shared" si="15"/>
        <v>41.4</v>
      </c>
    </row>
    <row r="59" spans="3:42" ht="11.25" customHeight="1">
      <c r="C59" s="291" t="str">
        <f t="shared" si="6"/>
        <v>PSP3 Promissory Note, April 2031</v>
      </c>
      <c r="E59" s="277"/>
      <c r="F59" s="277"/>
      <c r="G59" s="277"/>
      <c r="H59" s="254"/>
      <c r="I59" s="283"/>
      <c r="J59" s="254"/>
      <c r="K59" s="254"/>
      <c r="L59" s="254"/>
      <c r="M59" s="254"/>
      <c r="N59" s="254"/>
      <c r="O59" s="254"/>
      <c r="P59" s="254"/>
      <c r="Q59" s="254"/>
      <c r="R59" s="254">
        <f t="shared" si="12"/>
        <v>9.4600000000000009</v>
      </c>
      <c r="S59" s="254">
        <f t="shared" si="12"/>
        <v>9.4600000000000009</v>
      </c>
      <c r="T59" s="254">
        <f t="shared" si="12"/>
        <v>9.4600000000000009</v>
      </c>
      <c r="U59" s="283"/>
      <c r="V59" s="283"/>
      <c r="W59" s="283"/>
      <c r="X59" s="283"/>
      <c r="AA59" s="255">
        <f t="shared" si="8"/>
        <v>28.380000000000003</v>
      </c>
      <c r="AB59" s="254">
        <f t="shared" si="16"/>
        <v>37.840000000000003</v>
      </c>
      <c r="AC59" s="254">
        <f t="shared" si="16"/>
        <v>37.840000000000003</v>
      </c>
      <c r="AD59" s="254">
        <f t="shared" si="15"/>
        <v>37.840000000000003</v>
      </c>
    </row>
    <row r="60" spans="3:42" ht="11.25" customHeight="1">
      <c r="C60" s="291" t="str">
        <f t="shared" si="6"/>
        <v>6.50% convertible senior notes, July 2025</v>
      </c>
      <c r="E60" s="277"/>
      <c r="F60" s="277"/>
      <c r="G60" s="277"/>
      <c r="H60" s="254"/>
      <c r="I60" s="283"/>
      <c r="J60" s="254"/>
      <c r="K60" s="254"/>
      <c r="L60" s="254"/>
      <c r="M60" s="254"/>
      <c r="N60" s="254"/>
      <c r="O60" s="254"/>
      <c r="P60" s="254"/>
      <c r="Q60" s="254"/>
      <c r="R60" s="254">
        <f t="shared" si="12"/>
        <v>10</v>
      </c>
      <c r="S60" s="254">
        <f t="shared" si="12"/>
        <v>10</v>
      </c>
      <c r="T60" s="254">
        <f t="shared" si="12"/>
        <v>10</v>
      </c>
      <c r="U60" s="283"/>
      <c r="V60" s="283"/>
      <c r="W60" s="283"/>
      <c r="X60" s="283"/>
      <c r="AA60" s="255">
        <f t="shared" si="8"/>
        <v>30</v>
      </c>
      <c r="AB60" s="254">
        <f t="shared" si="16"/>
        <v>40</v>
      </c>
      <c r="AC60" s="254">
        <f t="shared" si="16"/>
        <v>40</v>
      </c>
      <c r="AD60" s="254">
        <f>+IF(IF(AND($AG30&gt;AC$6,$AG30&lt;=AD$6),1,0)=1,AC30,0)</f>
        <v>890</v>
      </c>
    </row>
    <row r="61" spans="3:42" ht="11.25" customHeight="1">
      <c r="C61" s="291" t="str">
        <f t="shared" si="6"/>
        <v>5.000% senior notes, June 2022</v>
      </c>
      <c r="E61" s="277"/>
      <c r="F61" s="277"/>
      <c r="G61" s="277"/>
      <c r="H61" s="254"/>
      <c r="I61" s="283"/>
      <c r="J61" s="254"/>
      <c r="K61" s="254"/>
      <c r="L61" s="254"/>
      <c r="M61" s="254"/>
      <c r="N61" s="254"/>
      <c r="O61" s="254"/>
      <c r="P61" s="254"/>
      <c r="Q61" s="254"/>
      <c r="R61" s="254">
        <f>+IF(IF(AND($AG31&gt;Q$6,$AG31&lt;=R$6),1,0)=1,Q31,0)</f>
        <v>433</v>
      </c>
      <c r="S61" s="254">
        <f>+IF(IF(AND($AG31&gt;R$6,$AG31&lt;=S$6),1,0)=1,R31,0)</f>
        <v>0</v>
      </c>
      <c r="T61" s="254">
        <f>+IF(IF(AND($AG31&gt;S$6,$AG31&lt;=T$6),1,0)=1,S31,0)</f>
        <v>0</v>
      </c>
      <c r="U61" s="283"/>
      <c r="V61" s="283"/>
      <c r="W61" s="283"/>
      <c r="X61" s="283"/>
      <c r="AA61" s="255">
        <f t="shared" si="8"/>
        <v>433</v>
      </c>
      <c r="AB61" s="254">
        <f>+IF(IF(AND($AG31&gt;AA$6,$AG31&lt;=AB$6),1,0)=1,AA31,0)</f>
        <v>0</v>
      </c>
      <c r="AC61" s="254">
        <f>+IF(IF(AND($AG31&gt;AB$6,$AG31&lt;=AC$6),1,0)=1,AB31,0)</f>
        <v>0</v>
      </c>
      <c r="AD61" s="254">
        <f>+IF(IF(AND($AG31&gt;AC$6,$AG31&lt;=AD$6),1,0)=1,AC31,0)</f>
        <v>0</v>
      </c>
    </row>
    <row r="62" spans="3:42" ht="11.25" customHeight="1">
      <c r="C62" s="291" t="str">
        <f t="shared" si="6"/>
        <v>3.75% senior notes, March 2025</v>
      </c>
      <c r="E62" s="277"/>
      <c r="F62" s="277"/>
      <c r="G62" s="277"/>
      <c r="H62" s="254"/>
      <c r="I62" s="283"/>
      <c r="J62" s="254"/>
      <c r="K62" s="254"/>
      <c r="L62" s="254"/>
      <c r="M62" s="254"/>
      <c r="N62" s="254"/>
      <c r="O62" s="254"/>
      <c r="P62" s="254"/>
      <c r="Q62" s="254"/>
      <c r="R62" s="254">
        <f t="shared" si="12"/>
        <v>5</v>
      </c>
      <c r="S62" s="254">
        <f t="shared" si="12"/>
        <v>5</v>
      </c>
      <c r="T62" s="254">
        <f t="shared" si="12"/>
        <v>5</v>
      </c>
      <c r="U62" s="283"/>
      <c r="V62" s="283"/>
      <c r="W62" s="283"/>
      <c r="X62" s="283"/>
      <c r="AA62" s="255">
        <f t="shared" si="8"/>
        <v>15</v>
      </c>
      <c r="AB62" s="254">
        <f>1%*$Q32*4</f>
        <v>20</v>
      </c>
      <c r="AC62" s="254">
        <f>1%*$Q32*4</f>
        <v>20</v>
      </c>
      <c r="AD62" s="254">
        <f>+IF(IF(AND($AG32&gt;AC$6,$AG32&lt;=AD$6),1,0)=1,AC32,0)</f>
        <v>445</v>
      </c>
    </row>
    <row r="63" spans="3:42" s="283" customFormat="1" ht="11.25" customHeight="1">
      <c r="C63" s="289" t="s">
        <v>275</v>
      </c>
      <c r="E63" s="280"/>
      <c r="F63" s="280"/>
      <c r="G63" s="280"/>
      <c r="H63" s="280"/>
      <c r="J63" s="280"/>
      <c r="K63" s="280"/>
      <c r="L63" s="280"/>
      <c r="M63" s="280"/>
      <c r="N63" s="280"/>
      <c r="O63" s="280"/>
      <c r="P63" s="280"/>
      <c r="Q63" s="280"/>
      <c r="R63" s="357">
        <f>SUM(R40:R62)</f>
        <v>255.79140721986283</v>
      </c>
      <c r="S63" s="357">
        <f>SUM(S40:S62)</f>
        <v>-88.419308232603726</v>
      </c>
      <c r="T63" s="357">
        <f>SUM(T40:T62)</f>
        <v>-268.92959898725906</v>
      </c>
      <c r="U63" s="280"/>
      <c r="V63" s="280"/>
      <c r="W63" s="280"/>
      <c r="X63" s="280"/>
      <c r="Y63" s="280"/>
      <c r="Z63" s="280"/>
      <c r="AA63" s="357">
        <f>SUM(AA40:AA62)</f>
        <v>-93.740000000000009</v>
      </c>
      <c r="AB63" s="357">
        <f>SUM(AB40:AB62)</f>
        <v>979.42999999999938</v>
      </c>
      <c r="AC63" s="357">
        <f>SUM(AC40:AC62)</f>
        <v>-492.93000000000029</v>
      </c>
      <c r="AD63" s="357">
        <f>SUM(AD40:AD62)</f>
        <v>4320.1074999999992</v>
      </c>
    </row>
    <row r="64" spans="3:42" ht="11.25" customHeight="1">
      <c r="C64" s="289"/>
      <c r="E64" s="283"/>
      <c r="F64" s="283"/>
      <c r="G64" s="283"/>
      <c r="H64" s="283"/>
      <c r="I64" s="283"/>
      <c r="J64" s="283"/>
      <c r="K64" s="283"/>
      <c r="L64" s="283"/>
      <c r="M64" s="283"/>
      <c r="N64" s="283"/>
      <c r="O64" s="283"/>
      <c r="P64" s="283"/>
      <c r="Q64" s="283"/>
      <c r="R64" s="1075"/>
      <c r="S64" s="283"/>
      <c r="T64" s="283"/>
      <c r="U64" s="283"/>
      <c r="V64" s="283"/>
      <c r="W64" s="283"/>
      <c r="X64" s="283"/>
      <c r="Y64" s="283"/>
      <c r="Z64" s="283"/>
      <c r="AA64" s="283"/>
      <c r="AB64" s="283"/>
      <c r="AC64" s="283"/>
      <c r="AD64" s="283"/>
    </row>
    <row r="65" spans="2:30" ht="11.25" customHeight="1">
      <c r="B65" s="258" t="s">
        <v>133</v>
      </c>
      <c r="C65" s="259" t="s">
        <v>242</v>
      </c>
      <c r="D65" s="259"/>
      <c r="E65" s="259"/>
      <c r="F65" s="259"/>
      <c r="G65" s="259"/>
      <c r="H65" s="259"/>
      <c r="I65" s="259"/>
      <c r="J65" s="259"/>
      <c r="K65" s="259"/>
      <c r="L65" s="259"/>
      <c r="M65" s="259"/>
      <c r="N65" s="259"/>
      <c r="O65" s="259"/>
      <c r="P65" s="259"/>
      <c r="Q65" s="259"/>
      <c r="R65" s="259"/>
      <c r="S65" s="259"/>
      <c r="T65" s="259"/>
      <c r="V65" s="258"/>
      <c r="W65" s="258"/>
      <c r="X65" s="258"/>
      <c r="Y65" s="258"/>
      <c r="Z65" s="258"/>
      <c r="AA65" s="258"/>
      <c r="AB65" s="258"/>
      <c r="AC65" s="258"/>
      <c r="AD65" s="258"/>
    </row>
    <row r="67" spans="2:30" s="283" customFormat="1" ht="11.25" customHeight="1">
      <c r="C67" s="291" t="str">
        <f t="shared" ref="C67:C91" si="17">+$C10</f>
        <v>2013 Term Loan Facility, 1.85%, through 2025</v>
      </c>
      <c r="E67" s="255"/>
      <c r="F67" s="255"/>
      <c r="G67" s="255"/>
      <c r="H67" s="255"/>
      <c r="I67" s="255"/>
      <c r="J67" s="255"/>
      <c r="K67" s="255"/>
      <c r="L67" s="255"/>
      <c r="M67" s="255"/>
      <c r="N67" s="255"/>
      <c r="O67" s="255"/>
      <c r="P67" s="255"/>
      <c r="Q67" s="255"/>
      <c r="R67" s="255">
        <f t="shared" ref="R67:T89" si="18">+AVERAGE(Q10:R10)</f>
        <v>1767.6012500000002</v>
      </c>
      <c r="S67" s="255">
        <f t="shared" si="18"/>
        <v>1762.80375</v>
      </c>
      <c r="T67" s="255">
        <f t="shared" si="18"/>
        <v>1758.0062500000004</v>
      </c>
      <c r="Y67" s="255"/>
      <c r="Z67" s="255"/>
      <c r="AA67" s="254"/>
      <c r="AB67" s="255">
        <f t="shared" ref="AB67:AD89" si="19">+AVERAGE(AA10:AB10)</f>
        <v>1746.0125000000003</v>
      </c>
      <c r="AC67" s="255">
        <f t="shared" si="19"/>
        <v>1726.8225000000002</v>
      </c>
      <c r="AD67" s="255">
        <f t="shared" si="19"/>
        <v>858.6137500000001</v>
      </c>
    </row>
    <row r="68" spans="2:30" s="283" customFormat="1" ht="11.25" customHeight="1">
      <c r="C68" s="291" t="str">
        <f t="shared" si="17"/>
        <v>2014 Term Loan Facility, 1.85%, through 2027</v>
      </c>
      <c r="E68" s="255"/>
      <c r="F68" s="255"/>
      <c r="G68" s="255"/>
      <c r="H68" s="255"/>
      <c r="I68" s="255"/>
      <c r="J68" s="255"/>
      <c r="K68" s="255"/>
      <c r="L68" s="255"/>
      <c r="M68" s="255"/>
      <c r="N68" s="255"/>
      <c r="O68" s="255"/>
      <c r="P68" s="255"/>
      <c r="Q68" s="255"/>
      <c r="R68" s="255">
        <f t="shared" si="18"/>
        <v>1194.49</v>
      </c>
      <c r="S68" s="255">
        <f t="shared" si="18"/>
        <v>1191.47</v>
      </c>
      <c r="T68" s="255">
        <f t="shared" si="18"/>
        <v>1188.45</v>
      </c>
      <c r="Y68" s="255"/>
      <c r="Z68" s="255"/>
      <c r="AA68" s="254"/>
      <c r="AB68" s="255">
        <f t="shared" si="19"/>
        <v>1180.9000000000001</v>
      </c>
      <c r="AC68" s="255">
        <f t="shared" si="19"/>
        <v>1168.8200000000002</v>
      </c>
      <c r="AD68" s="255">
        <f t="shared" si="19"/>
        <v>1156.7400000000002</v>
      </c>
    </row>
    <row r="69" spans="2:30" s="283" customFormat="1" ht="11.25" customHeight="1">
      <c r="C69" s="291" t="str">
        <f t="shared" si="17"/>
        <v>December 2016 Term Loan Facility, 2.11%, through 2023</v>
      </c>
      <c r="E69" s="255"/>
      <c r="F69" s="255"/>
      <c r="G69" s="255"/>
      <c r="H69" s="255"/>
      <c r="I69" s="255"/>
      <c r="J69" s="255"/>
      <c r="K69" s="255"/>
      <c r="L69" s="255"/>
      <c r="M69" s="255"/>
      <c r="N69" s="255"/>
      <c r="O69" s="255"/>
      <c r="P69" s="255"/>
      <c r="Q69" s="255"/>
      <c r="R69" s="255">
        <f t="shared" si="18"/>
        <v>1182.06</v>
      </c>
      <c r="S69" s="255">
        <f t="shared" si="18"/>
        <v>1170.1799999999998</v>
      </c>
      <c r="T69" s="255">
        <f t="shared" si="18"/>
        <v>1158.2999999999997</v>
      </c>
      <c r="Y69" s="255"/>
      <c r="Z69" s="255"/>
      <c r="AA69" s="254"/>
      <c r="AB69" s="255">
        <f t="shared" si="19"/>
        <v>576.17999999999984</v>
      </c>
      <c r="AC69" s="255">
        <f t="shared" si="19"/>
        <v>0</v>
      </c>
      <c r="AD69" s="255">
        <f t="shared" si="19"/>
        <v>0</v>
      </c>
    </row>
    <row r="70" spans="2:30" s="283" customFormat="1" ht="11.25" customHeight="1">
      <c r="C70" s="291" t="str">
        <f t="shared" si="17"/>
        <v>11.75% senior secured notes, July 2025</v>
      </c>
      <c r="E70" s="255"/>
      <c r="F70" s="255"/>
      <c r="G70" s="255"/>
      <c r="H70" s="255"/>
      <c r="I70" s="255"/>
      <c r="J70" s="255"/>
      <c r="K70" s="255"/>
      <c r="L70" s="255"/>
      <c r="M70" s="255"/>
      <c r="N70" s="255"/>
      <c r="O70" s="255"/>
      <c r="P70" s="255"/>
      <c r="Q70" s="255"/>
      <c r="R70" s="255">
        <f t="shared" si="18"/>
        <v>2487.5</v>
      </c>
      <c r="S70" s="255">
        <f t="shared" si="18"/>
        <v>2462.5</v>
      </c>
      <c r="T70" s="255">
        <f t="shared" si="18"/>
        <v>2437.5</v>
      </c>
      <c r="Y70" s="255"/>
      <c r="Z70" s="255"/>
      <c r="AA70" s="254"/>
      <c r="AB70" s="255">
        <f t="shared" si="19"/>
        <v>2375</v>
      </c>
      <c r="AC70" s="255">
        <f t="shared" si="19"/>
        <v>2275</v>
      </c>
      <c r="AD70" s="255">
        <f t="shared" si="19"/>
        <v>1112.5</v>
      </c>
    </row>
    <row r="71" spans="2:30" s="283" customFormat="1" ht="11.25" customHeight="1">
      <c r="C71" s="291" t="str">
        <f t="shared" si="17"/>
        <v>10.75% senior secured IP notes, February 2026</v>
      </c>
      <c r="E71" s="255"/>
      <c r="F71" s="255"/>
      <c r="G71" s="255"/>
      <c r="H71" s="255"/>
      <c r="I71" s="255"/>
      <c r="J71" s="255"/>
      <c r="K71" s="255"/>
      <c r="L71" s="255"/>
      <c r="M71" s="255"/>
      <c r="N71" s="255"/>
      <c r="O71" s="255"/>
      <c r="P71" s="255"/>
      <c r="Q71" s="255"/>
      <c r="R71" s="255">
        <f t="shared" si="18"/>
        <v>995</v>
      </c>
      <c r="S71" s="255">
        <f t="shared" si="18"/>
        <v>985</v>
      </c>
      <c r="T71" s="255">
        <f t="shared" si="18"/>
        <v>975</v>
      </c>
      <c r="Y71" s="255"/>
      <c r="Z71" s="255"/>
      <c r="AA71" s="254"/>
      <c r="AB71" s="255">
        <f t="shared" si="19"/>
        <v>950</v>
      </c>
      <c r="AC71" s="255">
        <f t="shared" si="19"/>
        <v>910</v>
      </c>
      <c r="AD71" s="255">
        <f t="shared" si="19"/>
        <v>885</v>
      </c>
    </row>
    <row r="72" spans="2:30" s="283" customFormat="1" ht="11.25" customHeight="1">
      <c r="C72" s="291" t="str">
        <f t="shared" si="17"/>
        <v>10.75% senior secured LGA/DCA notes, February 2026</v>
      </c>
      <c r="E72" s="255"/>
      <c r="F72" s="255"/>
      <c r="G72" s="255"/>
      <c r="H72" s="255"/>
      <c r="I72" s="255"/>
      <c r="J72" s="255"/>
      <c r="K72" s="255"/>
      <c r="L72" s="255"/>
      <c r="M72" s="255"/>
      <c r="N72" s="255"/>
      <c r="O72" s="255"/>
      <c r="P72" s="255"/>
      <c r="Q72" s="255"/>
      <c r="R72" s="255">
        <f t="shared" si="18"/>
        <v>199</v>
      </c>
      <c r="S72" s="255">
        <f t="shared" si="18"/>
        <v>197</v>
      </c>
      <c r="T72" s="255">
        <f t="shared" si="18"/>
        <v>195</v>
      </c>
      <c r="Y72" s="255"/>
      <c r="Z72" s="255"/>
      <c r="AA72" s="254"/>
      <c r="AB72" s="255">
        <f t="shared" si="19"/>
        <v>190</v>
      </c>
      <c r="AC72" s="255">
        <f t="shared" si="19"/>
        <v>182</v>
      </c>
      <c r="AD72" s="255">
        <f t="shared" si="19"/>
        <v>177</v>
      </c>
    </row>
    <row r="73" spans="2:30" s="283" customFormat="1" ht="11.25" customHeight="1">
      <c r="C73" s="291" t="str">
        <f t="shared" si="17"/>
        <v>5.50% senior secured notes, April 2026</v>
      </c>
      <c r="E73" s="255"/>
      <c r="F73" s="255"/>
      <c r="G73" s="255"/>
      <c r="H73" s="255"/>
      <c r="I73" s="255"/>
      <c r="J73" s="255"/>
      <c r="K73" s="255"/>
      <c r="L73" s="255"/>
      <c r="M73" s="255"/>
      <c r="N73" s="255"/>
      <c r="O73" s="255"/>
      <c r="P73" s="255"/>
      <c r="Q73" s="255"/>
      <c r="R73" s="255">
        <f t="shared" si="18"/>
        <v>3500</v>
      </c>
      <c r="S73" s="255">
        <f t="shared" si="18"/>
        <v>3500</v>
      </c>
      <c r="T73" s="255">
        <f t="shared" si="18"/>
        <v>3500</v>
      </c>
      <c r="Y73" s="255"/>
      <c r="Z73" s="255"/>
      <c r="AA73" s="254"/>
      <c r="AB73" s="255">
        <f t="shared" si="19"/>
        <v>3208</v>
      </c>
      <c r="AC73" s="255">
        <f t="shared" si="19"/>
        <v>2332</v>
      </c>
      <c r="AD73" s="255">
        <f t="shared" si="19"/>
        <v>1164</v>
      </c>
    </row>
    <row r="74" spans="2:30" s="283" customFormat="1" ht="11.25" customHeight="1">
      <c r="C74" s="291" t="str">
        <f t="shared" si="17"/>
        <v>5.75% senior secured notes, April 2029</v>
      </c>
      <c r="E74" s="255"/>
      <c r="F74" s="255"/>
      <c r="G74" s="255"/>
      <c r="H74" s="255"/>
      <c r="I74" s="255"/>
      <c r="J74" s="255"/>
      <c r="K74" s="255"/>
      <c r="L74" s="255"/>
      <c r="M74" s="255"/>
      <c r="N74" s="255"/>
      <c r="O74" s="255"/>
      <c r="P74" s="255"/>
      <c r="Q74" s="255"/>
      <c r="R74" s="255">
        <f t="shared" si="18"/>
        <v>3000</v>
      </c>
      <c r="S74" s="255">
        <f t="shared" si="18"/>
        <v>3000</v>
      </c>
      <c r="T74" s="255">
        <f t="shared" si="18"/>
        <v>3000</v>
      </c>
      <c r="Y74" s="255"/>
      <c r="Z74" s="255"/>
      <c r="AA74" s="254"/>
      <c r="AB74" s="255">
        <f t="shared" si="19"/>
        <v>3000</v>
      </c>
      <c r="AC74" s="255">
        <f t="shared" si="19"/>
        <v>3000</v>
      </c>
      <c r="AD74" s="255">
        <f t="shared" si="19"/>
        <v>3000</v>
      </c>
    </row>
    <row r="75" spans="2:30" s="283" customFormat="1" ht="11.25" customHeight="1">
      <c r="C75" s="291" t="str">
        <f t="shared" si="17"/>
        <v>AAdvantage Term Loan Facility, 5.50%</v>
      </c>
      <c r="E75" s="255"/>
      <c r="F75" s="255"/>
      <c r="G75" s="255"/>
      <c r="H75" s="255"/>
      <c r="I75" s="255"/>
      <c r="J75" s="255"/>
      <c r="K75" s="255"/>
      <c r="L75" s="255"/>
      <c r="M75" s="255"/>
      <c r="N75" s="255"/>
      <c r="O75" s="255"/>
      <c r="P75" s="255"/>
      <c r="Q75" s="255"/>
      <c r="R75" s="255">
        <f t="shared" si="18"/>
        <v>3500</v>
      </c>
      <c r="S75" s="255">
        <f t="shared" si="18"/>
        <v>3500</v>
      </c>
      <c r="T75" s="255">
        <f t="shared" si="18"/>
        <v>3500</v>
      </c>
      <c r="Y75" s="255"/>
      <c r="Z75" s="255"/>
      <c r="AA75" s="254"/>
      <c r="AB75" s="255">
        <f t="shared" si="19"/>
        <v>3325</v>
      </c>
      <c r="AC75" s="255">
        <f t="shared" si="19"/>
        <v>2800</v>
      </c>
      <c r="AD75" s="255">
        <f t="shared" si="19"/>
        <v>2100</v>
      </c>
    </row>
    <row r="76" spans="2:30" s="283" customFormat="1" ht="11.25" customHeight="1">
      <c r="C76" s="291" t="str">
        <f t="shared" si="17"/>
        <v>Enhanced equipment trust certificates (EETCs), averaging 3.84%, 2022 - 2034</v>
      </c>
      <c r="E76" s="255"/>
      <c r="F76" s="255"/>
      <c r="G76" s="255"/>
      <c r="H76" s="255"/>
      <c r="I76" s="255"/>
      <c r="J76" s="255"/>
      <c r="K76" s="255"/>
      <c r="L76" s="255"/>
      <c r="M76" s="255"/>
      <c r="N76" s="255"/>
      <c r="O76" s="255"/>
      <c r="P76" s="255"/>
      <c r="Q76" s="255"/>
      <c r="R76" s="255">
        <f t="shared" si="18"/>
        <v>8560.98</v>
      </c>
      <c r="S76" s="255">
        <f t="shared" si="18"/>
        <v>8474.9399999999987</v>
      </c>
      <c r="T76" s="255">
        <f t="shared" si="18"/>
        <v>8388.8999999999978</v>
      </c>
      <c r="Y76" s="255"/>
      <c r="Z76" s="255"/>
      <c r="AA76" s="254"/>
      <c r="AB76" s="255">
        <f t="shared" si="19"/>
        <v>8173.7999999999975</v>
      </c>
      <c r="AC76" s="255">
        <f t="shared" si="19"/>
        <v>7829.6399999999976</v>
      </c>
      <c r="AD76" s="255">
        <f t="shared" si="19"/>
        <v>7485.4799999999977</v>
      </c>
    </row>
    <row r="77" spans="2:30" s="283" customFormat="1" ht="11.25" customHeight="1">
      <c r="C77" s="291" t="str">
        <f t="shared" si="17"/>
        <v>Series A: Aircraft EETC Equipment Notes</v>
      </c>
      <c r="E77" s="255"/>
      <c r="F77" s="255"/>
      <c r="G77" s="255"/>
      <c r="H77" s="255"/>
      <c r="I77" s="255"/>
      <c r="J77" s="255"/>
      <c r="K77" s="255"/>
      <c r="L77" s="255"/>
      <c r="M77" s="255"/>
      <c r="N77" s="255"/>
      <c r="O77" s="255"/>
      <c r="P77" s="255"/>
      <c r="Q77" s="255"/>
      <c r="R77" s="255">
        <f t="shared" si="18"/>
        <v>754.21</v>
      </c>
      <c r="S77" s="255">
        <f t="shared" si="18"/>
        <v>746.62999999999988</v>
      </c>
      <c r="T77" s="255">
        <f t="shared" si="18"/>
        <v>739.05</v>
      </c>
      <c r="Y77" s="255"/>
      <c r="Z77" s="255"/>
      <c r="AA77" s="254"/>
      <c r="AB77" s="255">
        <f t="shared" si="19"/>
        <v>720.09999999999991</v>
      </c>
      <c r="AC77" s="255">
        <f t="shared" si="19"/>
        <v>689.77999999999975</v>
      </c>
      <c r="AD77" s="255">
        <f t="shared" si="19"/>
        <v>659.45999999999981</v>
      </c>
    </row>
    <row r="78" spans="2:30" s="283" customFormat="1" ht="11.25" customHeight="1">
      <c r="C78" s="291" t="str">
        <f t="shared" si="17"/>
        <v>Series B: Aircraft EETC Equipment Notes</v>
      </c>
      <c r="E78" s="255"/>
      <c r="F78" s="255"/>
      <c r="G78" s="255"/>
      <c r="H78" s="255"/>
      <c r="I78" s="255"/>
      <c r="J78" s="255"/>
      <c r="K78" s="255"/>
      <c r="L78" s="255"/>
      <c r="M78" s="255"/>
      <c r="N78" s="255"/>
      <c r="O78" s="255"/>
      <c r="P78" s="255"/>
      <c r="Q78" s="255"/>
      <c r="R78" s="255">
        <f t="shared" si="18"/>
        <v>200.99</v>
      </c>
      <c r="S78" s="255">
        <f t="shared" si="18"/>
        <v>198.96999999999997</v>
      </c>
      <c r="T78" s="255">
        <f t="shared" si="18"/>
        <v>196.95</v>
      </c>
      <c r="Y78" s="255"/>
      <c r="Z78" s="255"/>
      <c r="AA78" s="254"/>
      <c r="AB78" s="255">
        <f t="shared" si="19"/>
        <v>191.89999999999998</v>
      </c>
      <c r="AC78" s="255">
        <f t="shared" si="19"/>
        <v>183.81999999999994</v>
      </c>
      <c r="AD78" s="255">
        <f t="shared" si="19"/>
        <v>175.73999999999995</v>
      </c>
    </row>
    <row r="79" spans="2:30" s="283" customFormat="1" ht="11.25" customHeight="1">
      <c r="C79" s="291" t="str">
        <f t="shared" si="17"/>
        <v>Equipment loans and other notes payable, 1.82%, 2022 - 2032</v>
      </c>
      <c r="E79" s="255"/>
      <c r="F79" s="255"/>
      <c r="G79" s="255"/>
      <c r="H79" s="255"/>
      <c r="I79" s="255"/>
      <c r="J79" s="255"/>
      <c r="K79" s="255"/>
      <c r="L79" s="255"/>
      <c r="M79" s="255"/>
      <c r="N79" s="255"/>
      <c r="O79" s="255"/>
      <c r="P79" s="255"/>
      <c r="Q79" s="255"/>
      <c r="R79" s="255">
        <f t="shared" si="18"/>
        <v>3289.4700000000003</v>
      </c>
      <c r="S79" s="255">
        <f t="shared" si="18"/>
        <v>3256.41</v>
      </c>
      <c r="T79" s="255">
        <f t="shared" si="18"/>
        <v>3223.3500000000004</v>
      </c>
      <c r="Y79" s="255"/>
      <c r="Z79" s="255"/>
      <c r="AA79" s="254"/>
      <c r="AB79" s="255">
        <f t="shared" si="19"/>
        <v>3140.7</v>
      </c>
      <c r="AC79" s="255">
        <f t="shared" si="19"/>
        <v>3008.46</v>
      </c>
      <c r="AD79" s="255">
        <f t="shared" si="19"/>
        <v>2876.2200000000003</v>
      </c>
    </row>
    <row r="80" spans="2:30" s="283" customFormat="1" ht="11.25" customHeight="1">
      <c r="C80" s="291" t="str">
        <f t="shared" si="17"/>
        <v>New Aircraft Notes</v>
      </c>
      <c r="E80" s="255"/>
      <c r="F80" s="255"/>
      <c r="G80" s="255"/>
      <c r="H80" s="255"/>
      <c r="I80" s="255"/>
      <c r="J80" s="255"/>
      <c r="K80" s="255"/>
      <c r="L80" s="255"/>
      <c r="M80" s="255"/>
      <c r="N80" s="255"/>
      <c r="O80" s="255"/>
      <c r="P80" s="255"/>
      <c r="Q80" s="255"/>
      <c r="R80" s="255">
        <f t="shared" si="18"/>
        <v>213.1780463900686</v>
      </c>
      <c r="S80" s="255">
        <f t="shared" si="18"/>
        <v>595.13949689643914</v>
      </c>
      <c r="T80" s="255">
        <f t="shared" si="18"/>
        <v>1022.9614505063705</v>
      </c>
      <c r="Y80" s="255"/>
      <c r="Z80" s="255"/>
      <c r="AA80" s="254"/>
      <c r="AB80" s="255">
        <f t="shared" si="19"/>
        <v>2310</v>
      </c>
      <c r="AC80" s="255">
        <f t="shared" si="19"/>
        <v>4993</v>
      </c>
      <c r="AD80" s="255">
        <f t="shared" si="19"/>
        <v>8427.5</v>
      </c>
    </row>
    <row r="81" spans="2:30" s="283" customFormat="1" ht="11.25" customHeight="1">
      <c r="C81" s="291" t="str">
        <f t="shared" si="17"/>
        <v>Special facility revenue bonds, 2.25% to 5.38%, 2026 - 2036</v>
      </c>
      <c r="E81" s="255"/>
      <c r="F81" s="255"/>
      <c r="G81" s="255"/>
      <c r="H81" s="255"/>
      <c r="I81" s="255"/>
      <c r="J81" s="255"/>
      <c r="K81" s="255"/>
      <c r="L81" s="255"/>
      <c r="M81" s="255"/>
      <c r="N81" s="255"/>
      <c r="O81" s="255"/>
      <c r="P81" s="255"/>
      <c r="Q81" s="255"/>
      <c r="R81" s="255">
        <f t="shared" si="18"/>
        <v>974.10500000000002</v>
      </c>
      <c r="S81" s="255">
        <f t="shared" si="18"/>
        <v>964.31500000000005</v>
      </c>
      <c r="T81" s="255">
        <f t="shared" si="18"/>
        <v>954.52500000000009</v>
      </c>
      <c r="Y81" s="255"/>
      <c r="Z81" s="255"/>
      <c r="AA81" s="254"/>
      <c r="AB81" s="255">
        <f t="shared" si="19"/>
        <v>930.05000000000018</v>
      </c>
      <c r="AC81" s="255">
        <f t="shared" si="19"/>
        <v>890.8900000000001</v>
      </c>
      <c r="AD81" s="255">
        <f t="shared" si="19"/>
        <v>851.73000000000025</v>
      </c>
    </row>
    <row r="82" spans="2:30" s="283" customFormat="1" ht="11.25" customHeight="1">
      <c r="C82" s="291" t="str">
        <f t="shared" si="17"/>
        <v>Term Bonds</v>
      </c>
      <c r="E82" s="255"/>
      <c r="F82" s="255"/>
      <c r="G82" s="255"/>
      <c r="H82" s="255"/>
      <c r="I82" s="255"/>
      <c r="J82" s="255"/>
      <c r="K82" s="255"/>
      <c r="L82" s="255"/>
      <c r="M82" s="255"/>
      <c r="N82" s="255"/>
      <c r="O82" s="255"/>
      <c r="P82" s="255"/>
      <c r="Q82" s="255"/>
      <c r="R82" s="255">
        <f t="shared" si="18"/>
        <v>69.650000000000006</v>
      </c>
      <c r="S82" s="255">
        <f t="shared" si="18"/>
        <v>68.949999999999989</v>
      </c>
      <c r="T82" s="255">
        <f t="shared" si="18"/>
        <v>68.25</v>
      </c>
      <c r="Y82" s="255"/>
      <c r="Z82" s="255"/>
      <c r="AA82" s="254"/>
      <c r="AB82" s="255">
        <f t="shared" si="19"/>
        <v>66.5</v>
      </c>
      <c r="AC82" s="255">
        <f t="shared" si="19"/>
        <v>63.699999999999996</v>
      </c>
      <c r="AD82" s="255">
        <f t="shared" si="19"/>
        <v>60.9</v>
      </c>
    </row>
    <row r="83" spans="2:30" s="283" customFormat="1" ht="11.25" customHeight="1">
      <c r="C83" s="291" t="str">
        <f t="shared" si="17"/>
        <v>Term Bonds</v>
      </c>
      <c r="E83" s="255"/>
      <c r="F83" s="255"/>
      <c r="G83" s="255"/>
      <c r="H83" s="255"/>
      <c r="I83" s="255"/>
      <c r="J83" s="255"/>
      <c r="K83" s="255"/>
      <c r="L83" s="255"/>
      <c r="M83" s="255"/>
      <c r="N83" s="255"/>
      <c r="O83" s="255"/>
      <c r="P83" s="255"/>
      <c r="Q83" s="255"/>
      <c r="R83" s="255">
        <f t="shared" si="18"/>
        <v>79.599999999999994</v>
      </c>
      <c r="S83" s="255">
        <f t="shared" si="18"/>
        <v>78.800000000000011</v>
      </c>
      <c r="T83" s="255">
        <f t="shared" si="18"/>
        <v>78</v>
      </c>
      <c r="Y83" s="255"/>
      <c r="Z83" s="255"/>
      <c r="AA83" s="254"/>
      <c r="AB83" s="255">
        <f t="shared" si="19"/>
        <v>76</v>
      </c>
      <c r="AC83" s="255">
        <f t="shared" si="19"/>
        <v>72.800000000000011</v>
      </c>
      <c r="AD83" s="255">
        <f t="shared" si="19"/>
        <v>69.599999999999994</v>
      </c>
    </row>
    <row r="84" spans="2:30" s="283" customFormat="1" ht="11.25" customHeight="1">
      <c r="C84" s="291" t="str">
        <f t="shared" si="17"/>
        <v>PSP1 Promissory Note, April 2030</v>
      </c>
      <c r="E84" s="255"/>
      <c r="F84" s="255"/>
      <c r="G84" s="255"/>
      <c r="H84" s="255"/>
      <c r="I84" s="255"/>
      <c r="J84" s="255"/>
      <c r="K84" s="255"/>
      <c r="L84" s="255"/>
      <c r="M84" s="255"/>
      <c r="N84" s="255"/>
      <c r="O84" s="255"/>
      <c r="P84" s="255"/>
      <c r="Q84" s="255"/>
      <c r="R84" s="255">
        <f t="shared" si="18"/>
        <v>1756.175</v>
      </c>
      <c r="S84" s="255">
        <f t="shared" si="18"/>
        <v>1738.5249999999999</v>
      </c>
      <c r="T84" s="255">
        <f t="shared" si="18"/>
        <v>1720.8749999999998</v>
      </c>
      <c r="Y84" s="255"/>
      <c r="Z84" s="255"/>
      <c r="AA84" s="254"/>
      <c r="AB84" s="255">
        <f t="shared" si="19"/>
        <v>1676.7499999999998</v>
      </c>
      <c r="AC84" s="255">
        <f t="shared" si="19"/>
        <v>1606.1499999999999</v>
      </c>
      <c r="AD84" s="255">
        <f t="shared" si="19"/>
        <v>1535.55</v>
      </c>
    </row>
    <row r="85" spans="2:30" s="283" customFormat="1" ht="11.25" customHeight="1">
      <c r="C85" s="291" t="str">
        <f t="shared" si="17"/>
        <v>PSP2 Promissory Note, January 2031</v>
      </c>
      <c r="E85" s="255"/>
      <c r="F85" s="255"/>
      <c r="G85" s="255"/>
      <c r="H85" s="255"/>
      <c r="I85" s="255"/>
      <c r="J85" s="255"/>
      <c r="K85" s="255"/>
      <c r="L85" s="255"/>
      <c r="M85" s="255"/>
      <c r="N85" s="255"/>
      <c r="O85" s="255"/>
      <c r="P85" s="255"/>
      <c r="Q85" s="255"/>
      <c r="R85" s="255">
        <f t="shared" si="18"/>
        <v>1029.825</v>
      </c>
      <c r="S85" s="255">
        <f t="shared" si="18"/>
        <v>1019.4750000000001</v>
      </c>
      <c r="T85" s="255">
        <f t="shared" si="18"/>
        <v>1009.125</v>
      </c>
      <c r="Y85" s="255"/>
      <c r="Z85" s="255"/>
      <c r="AA85" s="254"/>
      <c r="AB85" s="255">
        <f t="shared" si="19"/>
        <v>983.25</v>
      </c>
      <c r="AC85" s="255">
        <f t="shared" si="19"/>
        <v>941.85000000000014</v>
      </c>
      <c r="AD85" s="255">
        <f t="shared" si="19"/>
        <v>900.45</v>
      </c>
    </row>
    <row r="86" spans="2:30" s="283" customFormat="1" ht="11.25" customHeight="1">
      <c r="C86" s="291" t="str">
        <f t="shared" si="17"/>
        <v>PSP3 Promissory Note, April 2031</v>
      </c>
      <c r="E86" s="255"/>
      <c r="F86" s="255"/>
      <c r="G86" s="255"/>
      <c r="H86" s="255"/>
      <c r="I86" s="255"/>
      <c r="J86" s="255"/>
      <c r="K86" s="255"/>
      <c r="L86" s="255"/>
      <c r="M86" s="255"/>
      <c r="N86" s="255"/>
      <c r="O86" s="255"/>
      <c r="P86" s="255"/>
      <c r="Q86" s="255"/>
      <c r="R86" s="255">
        <f t="shared" si="18"/>
        <v>941.27</v>
      </c>
      <c r="S86" s="255">
        <f t="shared" si="18"/>
        <v>931.81</v>
      </c>
      <c r="T86" s="255">
        <f t="shared" si="18"/>
        <v>922.34999999999991</v>
      </c>
      <c r="Y86" s="255"/>
      <c r="Z86" s="255"/>
      <c r="AA86" s="254"/>
      <c r="AB86" s="255">
        <f t="shared" si="19"/>
        <v>898.69999999999982</v>
      </c>
      <c r="AC86" s="255">
        <f t="shared" si="19"/>
        <v>860.8599999999999</v>
      </c>
      <c r="AD86" s="255">
        <f t="shared" si="19"/>
        <v>823.01999999999975</v>
      </c>
    </row>
    <row r="87" spans="2:30" s="283" customFormat="1" ht="11.25" customHeight="1">
      <c r="C87" s="291" t="str">
        <f t="shared" si="17"/>
        <v>6.50% convertible senior notes, July 2025</v>
      </c>
      <c r="E87" s="255"/>
      <c r="F87" s="255"/>
      <c r="G87" s="255"/>
      <c r="H87" s="255"/>
      <c r="I87" s="255"/>
      <c r="J87" s="255"/>
      <c r="K87" s="255"/>
      <c r="L87" s="255"/>
      <c r="M87" s="255"/>
      <c r="N87" s="255"/>
      <c r="O87" s="255"/>
      <c r="P87" s="255"/>
      <c r="Q87" s="255"/>
      <c r="R87" s="255">
        <f t="shared" si="18"/>
        <v>995</v>
      </c>
      <c r="S87" s="255">
        <f t="shared" si="18"/>
        <v>985</v>
      </c>
      <c r="T87" s="255">
        <f t="shared" si="18"/>
        <v>975</v>
      </c>
      <c r="Y87" s="255"/>
      <c r="Z87" s="255"/>
      <c r="AA87" s="254"/>
      <c r="AB87" s="255">
        <f t="shared" si="19"/>
        <v>950</v>
      </c>
      <c r="AC87" s="255">
        <f t="shared" si="19"/>
        <v>910</v>
      </c>
      <c r="AD87" s="255">
        <f t="shared" si="19"/>
        <v>445</v>
      </c>
    </row>
    <row r="88" spans="2:30" s="283" customFormat="1" ht="11.25" customHeight="1">
      <c r="C88" s="291" t="str">
        <f t="shared" si="17"/>
        <v>5.000% senior notes, June 2022</v>
      </c>
      <c r="E88" s="255"/>
      <c r="F88" s="255"/>
      <c r="G88" s="255"/>
      <c r="H88" s="255"/>
      <c r="I88" s="255"/>
      <c r="J88" s="255"/>
      <c r="K88" s="255"/>
      <c r="L88" s="255"/>
      <c r="M88" s="255"/>
      <c r="N88" s="255"/>
      <c r="O88" s="255"/>
      <c r="P88" s="255"/>
      <c r="Q88" s="255"/>
      <c r="R88" s="255">
        <f t="shared" si="18"/>
        <v>216.5</v>
      </c>
      <c r="S88" s="255">
        <f t="shared" si="18"/>
        <v>0</v>
      </c>
      <c r="T88" s="255">
        <f t="shared" si="18"/>
        <v>0</v>
      </c>
      <c r="Y88" s="255"/>
      <c r="Z88" s="255"/>
      <c r="AA88" s="254"/>
      <c r="AB88" s="255">
        <f t="shared" si="19"/>
        <v>0</v>
      </c>
      <c r="AC88" s="255">
        <f t="shared" si="19"/>
        <v>0</v>
      </c>
      <c r="AD88" s="255">
        <f t="shared" si="19"/>
        <v>0</v>
      </c>
    </row>
    <row r="89" spans="2:30" s="283" customFormat="1" ht="11.25" customHeight="1">
      <c r="C89" s="291" t="str">
        <f t="shared" si="17"/>
        <v>3.75% senior notes, March 2025</v>
      </c>
      <c r="E89" s="255"/>
      <c r="F89" s="255"/>
      <c r="G89" s="255"/>
      <c r="H89" s="255"/>
      <c r="I89" s="255"/>
      <c r="J89" s="255"/>
      <c r="K89" s="255"/>
      <c r="L89" s="255"/>
      <c r="M89" s="255"/>
      <c r="N89" s="255"/>
      <c r="O89" s="255"/>
      <c r="P89" s="255"/>
      <c r="Q89" s="255"/>
      <c r="R89" s="255">
        <f t="shared" si="18"/>
        <v>497.5</v>
      </c>
      <c r="S89" s="255">
        <f t="shared" si="18"/>
        <v>492.5</v>
      </c>
      <c r="T89" s="255">
        <f t="shared" si="18"/>
        <v>487.5</v>
      </c>
      <c r="Y89" s="255"/>
      <c r="Z89" s="255"/>
      <c r="AA89" s="254"/>
      <c r="AB89" s="255">
        <f t="shared" si="19"/>
        <v>475</v>
      </c>
      <c r="AC89" s="255">
        <f t="shared" si="19"/>
        <v>455</v>
      </c>
      <c r="AD89" s="255">
        <f t="shared" si="19"/>
        <v>222.5</v>
      </c>
    </row>
    <row r="90" spans="2:30" ht="11.25" customHeight="1">
      <c r="C90" s="291" t="str">
        <f t="shared" si="17"/>
        <v>Credit Facility</v>
      </c>
      <c r="R90" s="255">
        <f t="shared" ref="R90:T91" ca="1" si="20">+AVERAGE(Q33:R33)</f>
        <v>0</v>
      </c>
      <c r="S90" s="255">
        <f t="shared" ca="1" si="20"/>
        <v>0</v>
      </c>
      <c r="T90" s="255">
        <f t="shared" ca="1" si="20"/>
        <v>0</v>
      </c>
      <c r="AA90" s="254"/>
      <c r="AB90" s="255">
        <f t="shared" ref="AB90:AD91" ca="1" si="21">+AVERAGE(AA33:AB33)</f>
        <v>0</v>
      </c>
      <c r="AC90" s="255">
        <f t="shared" ca="1" si="21"/>
        <v>0</v>
      </c>
      <c r="AD90" s="255">
        <f t="shared" ca="1" si="21"/>
        <v>0</v>
      </c>
    </row>
    <row r="91" spans="2:30" s="283" customFormat="1" ht="11.25" customHeight="1">
      <c r="C91" s="291" t="str">
        <f t="shared" si="17"/>
        <v>Additional Drawdown</v>
      </c>
      <c r="E91" s="255"/>
      <c r="F91" s="255"/>
      <c r="G91" s="255"/>
      <c r="H91" s="255"/>
      <c r="I91" s="255"/>
      <c r="J91" s="255"/>
      <c r="K91" s="255"/>
      <c r="L91" s="255"/>
      <c r="M91" s="255"/>
      <c r="N91" s="255"/>
      <c r="O91" s="255"/>
      <c r="P91" s="255"/>
      <c r="Q91" s="255"/>
      <c r="R91" s="255">
        <f t="shared" ca="1" si="20"/>
        <v>0</v>
      </c>
      <c r="S91" s="255">
        <f t="shared" ca="1" si="20"/>
        <v>0</v>
      </c>
      <c r="T91" s="255">
        <f t="shared" ca="1" si="20"/>
        <v>0</v>
      </c>
      <c r="Y91" s="255"/>
      <c r="Z91" s="255"/>
      <c r="AA91" s="254"/>
      <c r="AB91" s="255">
        <f t="shared" ca="1" si="21"/>
        <v>0</v>
      </c>
      <c r="AC91" s="255">
        <f t="shared" ca="1" si="21"/>
        <v>0</v>
      </c>
      <c r="AD91" s="255">
        <f t="shared" ca="1" si="21"/>
        <v>0</v>
      </c>
    </row>
    <row r="92" spans="2:30" s="283" customFormat="1" ht="11.25" customHeight="1">
      <c r="C92" s="286" t="s">
        <v>277</v>
      </c>
      <c r="E92" s="280"/>
      <c r="F92" s="280"/>
      <c r="G92" s="280"/>
      <c r="H92" s="280"/>
      <c r="I92" s="280"/>
      <c r="J92" s="280"/>
      <c r="K92" s="280"/>
      <c r="L92" s="280"/>
      <c r="M92" s="280"/>
      <c r="N92" s="280"/>
      <c r="O92" s="280"/>
      <c r="P92" s="280"/>
      <c r="Q92" s="280"/>
      <c r="R92" s="357">
        <f ca="1">SUM(R67:R91)</f>
        <v>37404.104296390069</v>
      </c>
      <c r="S92" s="357">
        <f ca="1">SUM(S67:S91)</f>
        <v>37320.418246896435</v>
      </c>
      <c r="T92" s="357">
        <f ca="1">SUM(T67:T91)</f>
        <v>37499.092700506364</v>
      </c>
      <c r="U92" s="280"/>
      <c r="V92" s="280"/>
      <c r="W92" s="280"/>
      <c r="X92" s="280"/>
      <c r="Y92" s="280"/>
      <c r="AA92" s="280"/>
      <c r="AB92" s="357">
        <f ca="1">SUM(AB67:AB91)</f>
        <v>37143.842499999992</v>
      </c>
      <c r="AC92" s="357">
        <f ca="1">SUM(AC67:AC91)</f>
        <v>36900.592499999992</v>
      </c>
      <c r="AD92" s="357">
        <f ca="1">SUM(AD67:AD91)</f>
        <v>34987.003749999996</v>
      </c>
    </row>
    <row r="94" spans="2:30" ht="11.25" customHeight="1">
      <c r="B94" s="258" t="s">
        <v>133</v>
      </c>
      <c r="C94" s="259" t="s">
        <v>243</v>
      </c>
      <c r="D94" s="259"/>
      <c r="E94" s="259"/>
      <c r="F94" s="259"/>
      <c r="G94" s="259"/>
      <c r="H94" s="259"/>
      <c r="I94" s="259"/>
      <c r="J94" s="259"/>
      <c r="K94" s="259"/>
      <c r="L94" s="259"/>
      <c r="M94" s="259"/>
      <c r="N94" s="259"/>
      <c r="O94" s="259"/>
      <c r="P94" s="259"/>
      <c r="Q94" s="259"/>
      <c r="R94" s="259"/>
      <c r="S94" s="259"/>
      <c r="T94" s="259"/>
      <c r="V94" s="258"/>
      <c r="W94" s="258"/>
      <c r="X94" s="258"/>
      <c r="Y94" s="258"/>
      <c r="Z94" s="258"/>
      <c r="AA94" s="258"/>
      <c r="AB94" s="258"/>
      <c r="AC94" s="258"/>
      <c r="AD94" s="258"/>
    </row>
    <row r="95" spans="2:30" s="283" customFormat="1" ht="11.25" customHeight="1">
      <c r="C95" s="286"/>
    </row>
    <row r="96" spans="2:30" s="283" customFormat="1" ht="11.25" customHeight="1">
      <c r="C96" s="291" t="str">
        <f t="shared" ref="C96:C120" si="22">+$C10</f>
        <v>2013 Term Loan Facility, 1.85%, through 2025</v>
      </c>
      <c r="E96" s="255"/>
      <c r="F96" s="255"/>
      <c r="G96" s="255"/>
      <c r="H96" s="255"/>
      <c r="I96" s="255"/>
      <c r="J96" s="255"/>
      <c r="K96" s="255"/>
      <c r="L96" s="255"/>
      <c r="M96" s="255"/>
      <c r="N96" s="255"/>
      <c r="O96" s="255"/>
      <c r="P96" s="255"/>
      <c r="Q96" s="255"/>
      <c r="R96" s="255">
        <f t="shared" ref="R96:T118" si="23">+R67*$D10/4</f>
        <v>9.7218068750000004</v>
      </c>
      <c r="S96" s="255">
        <f t="shared" si="23"/>
        <v>9.6954206249999988</v>
      </c>
      <c r="T96" s="255">
        <f t="shared" si="23"/>
        <v>9.6690343750000007</v>
      </c>
      <c r="Y96" s="255"/>
      <c r="Z96" s="255"/>
      <c r="AA96" s="255"/>
      <c r="AB96" s="255">
        <f t="shared" ref="AB96:AD118" si="24">+AB67*$D10</f>
        <v>38.412275000000001</v>
      </c>
      <c r="AC96" s="255">
        <f t="shared" si="24"/>
        <v>37.990095000000004</v>
      </c>
      <c r="AD96" s="255">
        <f t="shared" si="24"/>
        <v>18.889502500000003</v>
      </c>
    </row>
    <row r="97" spans="3:30" s="283" customFormat="1" ht="11.25" customHeight="1">
      <c r="C97" s="291" t="str">
        <f t="shared" si="22"/>
        <v>2014 Term Loan Facility, 1.85%, through 2027</v>
      </c>
      <c r="E97" s="255"/>
      <c r="F97" s="255"/>
      <c r="G97" s="255"/>
      <c r="H97" s="255"/>
      <c r="I97" s="255"/>
      <c r="J97" s="255"/>
      <c r="K97" s="255"/>
      <c r="L97" s="255"/>
      <c r="M97" s="255"/>
      <c r="N97" s="255"/>
      <c r="O97" s="255"/>
      <c r="P97" s="255"/>
      <c r="Q97" s="255"/>
      <c r="R97" s="255">
        <f t="shared" si="23"/>
        <v>6.5696949999999994</v>
      </c>
      <c r="S97" s="255">
        <f t="shared" si="23"/>
        <v>6.5530849999999994</v>
      </c>
      <c r="T97" s="255">
        <f t="shared" si="23"/>
        <v>6.5364750000000003</v>
      </c>
      <c r="Y97" s="255"/>
      <c r="Z97" s="255"/>
      <c r="AA97" s="255"/>
      <c r="AB97" s="255">
        <f t="shared" si="24"/>
        <v>25.979800000000001</v>
      </c>
      <c r="AC97" s="255">
        <f t="shared" si="24"/>
        <v>25.714040000000001</v>
      </c>
      <c r="AD97" s="255">
        <f t="shared" si="24"/>
        <v>25.448280000000004</v>
      </c>
    </row>
    <row r="98" spans="3:30" s="283" customFormat="1" ht="11.25" customHeight="1">
      <c r="C98" s="291" t="str">
        <f t="shared" si="22"/>
        <v>December 2016 Term Loan Facility, 2.11%, through 2023</v>
      </c>
      <c r="E98" s="255"/>
      <c r="F98" s="255"/>
      <c r="G98" s="255"/>
      <c r="H98" s="255"/>
      <c r="I98" s="255"/>
      <c r="J98" s="255"/>
      <c r="K98" s="255"/>
      <c r="L98" s="255"/>
      <c r="M98" s="255"/>
      <c r="N98" s="255"/>
      <c r="O98" s="255"/>
      <c r="P98" s="255"/>
      <c r="Q98" s="255"/>
      <c r="R98" s="255">
        <f t="shared" si="23"/>
        <v>8.3926259999999999</v>
      </c>
      <c r="S98" s="255">
        <f t="shared" si="23"/>
        <v>8.3082779999999996</v>
      </c>
      <c r="T98" s="255">
        <f t="shared" si="23"/>
        <v>8.2239299999999993</v>
      </c>
      <c r="Y98" s="255"/>
      <c r="Z98" s="255"/>
      <c r="AA98" s="255"/>
      <c r="AB98" s="255">
        <f t="shared" si="24"/>
        <v>16.363511999999997</v>
      </c>
      <c r="AC98" s="255">
        <f t="shared" si="24"/>
        <v>0</v>
      </c>
      <c r="AD98" s="255">
        <f t="shared" si="24"/>
        <v>0</v>
      </c>
    </row>
    <row r="99" spans="3:30" s="283" customFormat="1" ht="11.25" customHeight="1">
      <c r="C99" s="291" t="str">
        <f t="shared" si="22"/>
        <v>11.75% senior secured notes, July 2025</v>
      </c>
      <c r="E99" s="255"/>
      <c r="F99" s="255"/>
      <c r="G99" s="255"/>
      <c r="H99" s="255"/>
      <c r="I99" s="255"/>
      <c r="J99" s="255"/>
      <c r="K99" s="255"/>
      <c r="L99" s="255"/>
      <c r="M99" s="255"/>
      <c r="N99" s="255"/>
      <c r="O99" s="255"/>
      <c r="P99" s="255"/>
      <c r="Q99" s="255"/>
      <c r="R99" s="255">
        <f t="shared" si="23"/>
        <v>73.0703125</v>
      </c>
      <c r="S99" s="255">
        <f t="shared" si="23"/>
        <v>72.3359375</v>
      </c>
      <c r="T99" s="255">
        <f t="shared" si="23"/>
        <v>71.6015625</v>
      </c>
      <c r="Y99" s="255"/>
      <c r="Z99" s="255"/>
      <c r="AA99" s="255"/>
      <c r="AB99" s="255">
        <f t="shared" si="24"/>
        <v>279.0625</v>
      </c>
      <c r="AC99" s="255">
        <f t="shared" si="24"/>
        <v>267.3125</v>
      </c>
      <c r="AD99" s="255">
        <f t="shared" si="24"/>
        <v>130.71875</v>
      </c>
    </row>
    <row r="100" spans="3:30" s="283" customFormat="1" ht="11.25" customHeight="1">
      <c r="C100" s="291" t="str">
        <f t="shared" si="22"/>
        <v>10.75% senior secured IP notes, February 2026</v>
      </c>
      <c r="E100" s="255"/>
      <c r="F100" s="255"/>
      <c r="G100" s="255"/>
      <c r="H100" s="255"/>
      <c r="I100" s="255"/>
      <c r="J100" s="255"/>
      <c r="K100" s="255"/>
      <c r="L100" s="255"/>
      <c r="M100" s="255"/>
      <c r="N100" s="255"/>
      <c r="O100" s="255"/>
      <c r="P100" s="255"/>
      <c r="Q100" s="255"/>
      <c r="R100" s="255">
        <f t="shared" si="23"/>
        <v>26.740624999999998</v>
      </c>
      <c r="S100" s="255">
        <f t="shared" si="23"/>
        <v>26.471875000000001</v>
      </c>
      <c r="T100" s="255">
        <f t="shared" si="23"/>
        <v>26.203125</v>
      </c>
      <c r="Y100" s="255"/>
      <c r="Z100" s="255"/>
      <c r="AA100" s="255"/>
      <c r="AB100" s="255">
        <f t="shared" si="24"/>
        <v>102.125</v>
      </c>
      <c r="AC100" s="255">
        <f t="shared" si="24"/>
        <v>97.825000000000003</v>
      </c>
      <c r="AD100" s="255">
        <f t="shared" si="24"/>
        <v>95.137500000000003</v>
      </c>
    </row>
    <row r="101" spans="3:30" s="283" customFormat="1" ht="11.25" customHeight="1">
      <c r="C101" s="291" t="str">
        <f t="shared" si="22"/>
        <v>10.75% senior secured LGA/DCA notes, February 2026</v>
      </c>
      <c r="E101" s="255"/>
      <c r="F101" s="255"/>
      <c r="G101" s="255"/>
      <c r="H101" s="255"/>
      <c r="I101" s="255"/>
      <c r="J101" s="255"/>
      <c r="K101" s="255"/>
      <c r="L101" s="255"/>
      <c r="M101" s="255"/>
      <c r="N101" s="255"/>
      <c r="O101" s="255"/>
      <c r="P101" s="255"/>
      <c r="Q101" s="255"/>
      <c r="R101" s="255">
        <f t="shared" si="23"/>
        <v>5.3481249999999996</v>
      </c>
      <c r="S101" s="255">
        <f t="shared" si="23"/>
        <v>5.2943749999999996</v>
      </c>
      <c r="T101" s="255">
        <f t="shared" si="23"/>
        <v>5.2406249999999996</v>
      </c>
      <c r="Y101" s="255"/>
      <c r="Z101" s="255"/>
      <c r="AA101" s="255"/>
      <c r="AB101" s="255">
        <f t="shared" si="24"/>
        <v>20.425000000000001</v>
      </c>
      <c r="AC101" s="255">
        <f t="shared" si="24"/>
        <v>19.565000000000001</v>
      </c>
      <c r="AD101" s="255">
        <f t="shared" si="24"/>
        <v>19.0275</v>
      </c>
    </row>
    <row r="102" spans="3:30" s="283" customFormat="1" ht="11.25" customHeight="1">
      <c r="C102" s="291" t="str">
        <f t="shared" si="22"/>
        <v>5.50% senior secured notes, April 2026</v>
      </c>
      <c r="E102" s="255"/>
      <c r="F102" s="255"/>
      <c r="G102" s="255"/>
      <c r="H102" s="255"/>
      <c r="I102" s="255"/>
      <c r="J102" s="255"/>
      <c r="K102" s="255"/>
      <c r="L102" s="255"/>
      <c r="M102" s="255"/>
      <c r="N102" s="255"/>
      <c r="O102" s="255"/>
      <c r="P102" s="255"/>
      <c r="Q102" s="255"/>
      <c r="R102" s="255">
        <f t="shared" si="23"/>
        <v>48.125</v>
      </c>
      <c r="S102" s="255">
        <f t="shared" si="23"/>
        <v>48.125</v>
      </c>
      <c r="T102" s="255">
        <f t="shared" si="23"/>
        <v>48.125</v>
      </c>
      <c r="Y102" s="255"/>
      <c r="Z102" s="255"/>
      <c r="AA102" s="255"/>
      <c r="AB102" s="255">
        <f t="shared" si="24"/>
        <v>176.44</v>
      </c>
      <c r="AC102" s="255">
        <f t="shared" si="24"/>
        <v>128.26</v>
      </c>
      <c r="AD102" s="255">
        <f t="shared" si="24"/>
        <v>64.02</v>
      </c>
    </row>
    <row r="103" spans="3:30" s="283" customFormat="1" ht="11.25" customHeight="1">
      <c r="C103" s="291" t="str">
        <f t="shared" si="22"/>
        <v>5.75% senior secured notes, April 2029</v>
      </c>
      <c r="E103" s="255"/>
      <c r="F103" s="255"/>
      <c r="G103" s="255"/>
      <c r="H103" s="255"/>
      <c r="I103" s="255"/>
      <c r="J103" s="255"/>
      <c r="K103" s="255"/>
      <c r="L103" s="255"/>
      <c r="M103" s="255"/>
      <c r="N103" s="255"/>
      <c r="O103" s="255"/>
      <c r="P103" s="255"/>
      <c r="Q103" s="255"/>
      <c r="R103" s="255">
        <f t="shared" si="23"/>
        <v>43.125</v>
      </c>
      <c r="S103" s="255">
        <f t="shared" si="23"/>
        <v>43.125</v>
      </c>
      <c r="T103" s="255">
        <f t="shared" si="23"/>
        <v>43.125</v>
      </c>
      <c r="Y103" s="255"/>
      <c r="Z103" s="255"/>
      <c r="AA103" s="255"/>
      <c r="AB103" s="255">
        <f t="shared" si="24"/>
        <v>172.5</v>
      </c>
      <c r="AC103" s="255">
        <f t="shared" si="24"/>
        <v>172.5</v>
      </c>
      <c r="AD103" s="255">
        <f t="shared" si="24"/>
        <v>172.5</v>
      </c>
    </row>
    <row r="104" spans="3:30" s="283" customFormat="1" ht="11.25" customHeight="1">
      <c r="C104" s="291" t="str">
        <f t="shared" si="22"/>
        <v>AAdvantage Term Loan Facility, 5.50%</v>
      </c>
      <c r="E104" s="255"/>
      <c r="F104" s="255"/>
      <c r="G104" s="255"/>
      <c r="H104" s="255"/>
      <c r="I104" s="255"/>
      <c r="J104" s="255"/>
      <c r="K104" s="255"/>
      <c r="L104" s="255"/>
      <c r="M104" s="255"/>
      <c r="N104" s="255"/>
      <c r="O104" s="255"/>
      <c r="P104" s="255"/>
      <c r="Q104" s="255"/>
      <c r="R104" s="255">
        <f t="shared" si="23"/>
        <v>48.125</v>
      </c>
      <c r="S104" s="255">
        <f t="shared" si="23"/>
        <v>48.125</v>
      </c>
      <c r="T104" s="255">
        <f t="shared" si="23"/>
        <v>48.125</v>
      </c>
      <c r="Y104" s="255"/>
      <c r="Z104" s="255"/>
      <c r="AA104" s="255"/>
      <c r="AB104" s="255">
        <f t="shared" si="24"/>
        <v>182.875</v>
      </c>
      <c r="AC104" s="255">
        <f t="shared" si="24"/>
        <v>154</v>
      </c>
      <c r="AD104" s="255">
        <f t="shared" si="24"/>
        <v>115.5</v>
      </c>
    </row>
    <row r="105" spans="3:30" s="283" customFormat="1" ht="11.25" customHeight="1">
      <c r="C105" s="291" t="str">
        <f t="shared" si="22"/>
        <v>Enhanced equipment trust certificates (EETCs), averaging 3.84%, 2022 - 2034</v>
      </c>
      <c r="E105" s="255"/>
      <c r="F105" s="255"/>
      <c r="G105" s="255"/>
      <c r="H105" s="255"/>
      <c r="I105" s="255"/>
      <c r="J105" s="255"/>
      <c r="K105" s="255"/>
      <c r="L105" s="255"/>
      <c r="M105" s="255"/>
      <c r="N105" s="255"/>
      <c r="O105" s="255"/>
      <c r="P105" s="255"/>
      <c r="Q105" s="255"/>
      <c r="R105" s="255">
        <f t="shared" si="23"/>
        <v>81.5433345</v>
      </c>
      <c r="S105" s="255">
        <f t="shared" si="23"/>
        <v>80.723803499999988</v>
      </c>
      <c r="T105" s="255">
        <f t="shared" si="23"/>
        <v>79.904272499999976</v>
      </c>
      <c r="Y105" s="255"/>
      <c r="Z105" s="255"/>
      <c r="AA105" s="255"/>
      <c r="AB105" s="255">
        <f t="shared" si="24"/>
        <v>311.4217799999999</v>
      </c>
      <c r="AC105" s="255">
        <f t="shared" si="24"/>
        <v>298.30928399999993</v>
      </c>
      <c r="AD105" s="255">
        <f t="shared" si="24"/>
        <v>285.19678799999991</v>
      </c>
    </row>
    <row r="106" spans="3:30" s="283" customFormat="1" ht="11.25" customHeight="1">
      <c r="C106" s="291" t="str">
        <f t="shared" si="22"/>
        <v>Series A: Aircraft EETC Equipment Notes</v>
      </c>
      <c r="E106" s="255"/>
      <c r="F106" s="255"/>
      <c r="G106" s="255"/>
      <c r="H106" s="255"/>
      <c r="I106" s="255"/>
      <c r="J106" s="255"/>
      <c r="K106" s="255"/>
      <c r="L106" s="255"/>
      <c r="M106" s="255"/>
      <c r="N106" s="255"/>
      <c r="O106" s="255"/>
      <c r="P106" s="255"/>
      <c r="Q106" s="255"/>
      <c r="R106" s="255">
        <f t="shared" si="23"/>
        <v>5.3869449250000008</v>
      </c>
      <c r="S106" s="255">
        <f t="shared" si="23"/>
        <v>5.3328047749999996</v>
      </c>
      <c r="T106" s="255">
        <f t="shared" si="23"/>
        <v>5.2786646250000002</v>
      </c>
      <c r="Y106" s="255"/>
      <c r="Z106" s="255"/>
      <c r="AA106" s="255"/>
      <c r="AB106" s="255">
        <f t="shared" si="24"/>
        <v>20.573256999999998</v>
      </c>
      <c r="AC106" s="255">
        <f t="shared" si="24"/>
        <v>19.707014599999994</v>
      </c>
      <c r="AD106" s="255">
        <f t="shared" si="24"/>
        <v>18.840772199999996</v>
      </c>
    </row>
    <row r="107" spans="3:30" s="283" customFormat="1" ht="11.25" customHeight="1">
      <c r="C107" s="291" t="str">
        <f t="shared" si="22"/>
        <v>Series B: Aircraft EETC Equipment Notes</v>
      </c>
      <c r="E107" s="255"/>
      <c r="F107" s="255"/>
      <c r="G107" s="255"/>
      <c r="H107" s="255"/>
      <c r="I107" s="255"/>
      <c r="J107" s="255"/>
      <c r="K107" s="255"/>
      <c r="L107" s="255"/>
      <c r="M107" s="255"/>
      <c r="N107" s="255"/>
      <c r="O107" s="255"/>
      <c r="P107" s="255"/>
      <c r="Q107" s="255"/>
      <c r="R107" s="255">
        <f t="shared" si="23"/>
        <v>1.9847762500000001</v>
      </c>
      <c r="S107" s="255">
        <f t="shared" si="23"/>
        <v>1.9648287499999997</v>
      </c>
      <c r="T107" s="255">
        <f t="shared" si="23"/>
        <v>1.9448812499999999</v>
      </c>
      <c r="Y107" s="255"/>
      <c r="Z107" s="255"/>
      <c r="AA107" s="255"/>
      <c r="AB107" s="255">
        <f t="shared" si="24"/>
        <v>7.5800499999999991</v>
      </c>
      <c r="AC107" s="255">
        <f t="shared" si="24"/>
        <v>7.2608899999999972</v>
      </c>
      <c r="AD107" s="255">
        <f t="shared" si="24"/>
        <v>6.941729999999998</v>
      </c>
    </row>
    <row r="108" spans="3:30" s="283" customFormat="1" ht="11.25" customHeight="1">
      <c r="C108" s="291" t="str">
        <f t="shared" si="22"/>
        <v>Equipment loans and other notes payable, 1.82%, 2022 - 2032</v>
      </c>
      <c r="E108" s="255"/>
      <c r="F108" s="255"/>
      <c r="G108" s="255"/>
      <c r="H108" s="255"/>
      <c r="I108" s="255"/>
      <c r="J108" s="255"/>
      <c r="K108" s="255"/>
      <c r="L108" s="255"/>
      <c r="M108" s="255"/>
      <c r="N108" s="255"/>
      <c r="O108" s="255"/>
      <c r="P108" s="255"/>
      <c r="Q108" s="255"/>
      <c r="R108" s="255">
        <f t="shared" si="23"/>
        <v>17.434191000000002</v>
      </c>
      <c r="S108" s="255">
        <f t="shared" si="23"/>
        <v>17.258973000000001</v>
      </c>
      <c r="T108" s="255">
        <f t="shared" si="23"/>
        <v>17.083755000000004</v>
      </c>
      <c r="Y108" s="255"/>
      <c r="Z108" s="255"/>
      <c r="AA108" s="255"/>
      <c r="AB108" s="255">
        <f t="shared" si="24"/>
        <v>66.58283999999999</v>
      </c>
      <c r="AC108" s="255">
        <f t="shared" si="24"/>
        <v>63.779352000000003</v>
      </c>
      <c r="AD108" s="255">
        <f t="shared" si="24"/>
        <v>60.975864000000009</v>
      </c>
    </row>
    <row r="109" spans="3:30" s="283" customFormat="1" ht="11.25" customHeight="1">
      <c r="C109" s="291" t="str">
        <f t="shared" si="22"/>
        <v>New Aircraft Notes</v>
      </c>
      <c r="E109" s="255"/>
      <c r="F109" s="255"/>
      <c r="G109" s="255"/>
      <c r="H109" s="255"/>
      <c r="I109" s="255"/>
      <c r="J109" s="255"/>
      <c r="K109" s="255"/>
      <c r="L109" s="255"/>
      <c r="M109" s="255"/>
      <c r="N109" s="255"/>
      <c r="O109" s="255"/>
      <c r="P109" s="255"/>
      <c r="Q109" s="255"/>
      <c r="R109" s="255">
        <f t="shared" si="23"/>
        <v>2.0305208918654034</v>
      </c>
      <c r="S109" s="255">
        <f t="shared" si="23"/>
        <v>5.6687037079385831</v>
      </c>
      <c r="T109" s="255">
        <f t="shared" si="23"/>
        <v>9.7437078160731794</v>
      </c>
      <c r="Y109" s="255"/>
      <c r="Z109" s="255"/>
      <c r="AA109" s="255"/>
      <c r="AB109" s="255">
        <f t="shared" si="24"/>
        <v>88.01100000000001</v>
      </c>
      <c r="AC109" s="255">
        <f t="shared" si="24"/>
        <v>190.23330000000001</v>
      </c>
      <c r="AD109" s="255">
        <f t="shared" si="24"/>
        <v>321.08775000000003</v>
      </c>
    </row>
    <row r="110" spans="3:30" s="283" customFormat="1" ht="11.25" customHeight="1">
      <c r="C110" s="291" t="str">
        <f t="shared" si="22"/>
        <v>Special facility revenue bonds, 2.25% to 5.38%, 2026 - 2036</v>
      </c>
      <c r="E110" s="255"/>
      <c r="F110" s="255"/>
      <c r="G110" s="255"/>
      <c r="H110" s="255"/>
      <c r="I110" s="255"/>
      <c r="J110" s="255"/>
      <c r="K110" s="255"/>
      <c r="L110" s="255"/>
      <c r="M110" s="255"/>
      <c r="N110" s="255"/>
      <c r="O110" s="255"/>
      <c r="P110" s="255"/>
      <c r="Q110" s="255"/>
      <c r="R110" s="255">
        <f t="shared" si="23"/>
        <v>9.2905264375000005</v>
      </c>
      <c r="S110" s="255">
        <f t="shared" si="23"/>
        <v>9.1971543125000021</v>
      </c>
      <c r="T110" s="255">
        <f t="shared" si="23"/>
        <v>9.103782187500002</v>
      </c>
      <c r="Y110" s="255"/>
      <c r="Z110" s="255"/>
      <c r="AA110" s="255"/>
      <c r="AB110" s="255">
        <f t="shared" si="24"/>
        <v>35.48140750000001</v>
      </c>
      <c r="AC110" s="255">
        <f t="shared" si="24"/>
        <v>33.987453500000008</v>
      </c>
      <c r="AD110" s="255">
        <f t="shared" si="24"/>
        <v>32.493499500000013</v>
      </c>
    </row>
    <row r="111" spans="3:30" s="283" customFormat="1" ht="11.25" customHeight="1">
      <c r="C111" s="291" t="str">
        <f t="shared" si="22"/>
        <v>Term Bonds</v>
      </c>
      <c r="E111" s="255"/>
      <c r="F111" s="255"/>
      <c r="G111" s="255"/>
      <c r="H111" s="255"/>
      <c r="I111" s="255"/>
      <c r="J111" s="255"/>
      <c r="K111" s="255"/>
      <c r="L111" s="255"/>
      <c r="M111" s="255"/>
      <c r="N111" s="255"/>
      <c r="O111" s="255"/>
      <c r="P111" s="255"/>
      <c r="Q111" s="255"/>
      <c r="R111" s="255">
        <f t="shared" si="23"/>
        <v>0.39178125000000003</v>
      </c>
      <c r="S111" s="255">
        <f t="shared" si="23"/>
        <v>0.38784374999999993</v>
      </c>
      <c r="T111" s="255">
        <f t="shared" si="23"/>
        <v>0.38390625</v>
      </c>
      <c r="Y111" s="255"/>
      <c r="Z111" s="255"/>
      <c r="AA111" s="255"/>
      <c r="AB111" s="255">
        <f t="shared" si="24"/>
        <v>1.4962499999999999</v>
      </c>
      <c r="AC111" s="255">
        <f t="shared" si="24"/>
        <v>1.4332499999999999</v>
      </c>
      <c r="AD111" s="255">
        <f t="shared" si="24"/>
        <v>1.37025</v>
      </c>
    </row>
    <row r="112" spans="3:30" s="283" customFormat="1" ht="11.25" customHeight="1">
      <c r="C112" s="291" t="str">
        <f t="shared" si="22"/>
        <v>Term Bonds</v>
      </c>
      <c r="E112" s="255"/>
      <c r="F112" s="255"/>
      <c r="G112" s="255"/>
      <c r="H112" s="255"/>
      <c r="I112" s="255"/>
      <c r="J112" s="255"/>
      <c r="K112" s="255"/>
      <c r="L112" s="255"/>
      <c r="M112" s="255"/>
      <c r="N112" s="255"/>
      <c r="O112" s="255"/>
      <c r="P112" s="255"/>
      <c r="Q112" s="255"/>
      <c r="R112" s="255">
        <f t="shared" si="23"/>
        <v>0.59699999999999998</v>
      </c>
      <c r="S112" s="255">
        <f t="shared" si="23"/>
        <v>0.59100000000000008</v>
      </c>
      <c r="T112" s="255">
        <f t="shared" si="23"/>
        <v>0.58499999999999996</v>
      </c>
      <c r="Y112" s="255"/>
      <c r="Z112" s="255"/>
      <c r="AA112" s="255"/>
      <c r="AB112" s="255">
        <f t="shared" si="24"/>
        <v>2.2799999999999998</v>
      </c>
      <c r="AC112" s="255">
        <f t="shared" si="24"/>
        <v>2.1840000000000002</v>
      </c>
      <c r="AD112" s="255">
        <f t="shared" si="24"/>
        <v>2.0879999999999996</v>
      </c>
    </row>
    <row r="113" spans="2:35" s="283" customFormat="1" ht="11.25" customHeight="1">
      <c r="C113" s="291" t="str">
        <f t="shared" si="22"/>
        <v>PSP1 Promissory Note, April 2030</v>
      </c>
      <c r="E113" s="255"/>
      <c r="F113" s="255"/>
      <c r="G113" s="255"/>
      <c r="H113" s="255"/>
      <c r="I113" s="255"/>
      <c r="J113" s="255"/>
      <c r="K113" s="255"/>
      <c r="L113" s="255"/>
      <c r="M113" s="255"/>
      <c r="N113" s="255"/>
      <c r="O113" s="255"/>
      <c r="P113" s="255"/>
      <c r="Q113" s="255"/>
      <c r="R113" s="255">
        <f t="shared" si="23"/>
        <v>8.780875</v>
      </c>
      <c r="S113" s="255">
        <f t="shared" si="23"/>
        <v>8.6926249999999996</v>
      </c>
      <c r="T113" s="255">
        <f t="shared" si="23"/>
        <v>8.6043749999999992</v>
      </c>
      <c r="Y113" s="255"/>
      <c r="Z113" s="255"/>
      <c r="AA113" s="255"/>
      <c r="AB113" s="255">
        <f t="shared" si="24"/>
        <v>33.534999999999997</v>
      </c>
      <c r="AC113" s="255">
        <f t="shared" si="24"/>
        <v>32.122999999999998</v>
      </c>
      <c r="AD113" s="255">
        <f t="shared" si="24"/>
        <v>30.710999999999999</v>
      </c>
    </row>
    <row r="114" spans="2:35" s="283" customFormat="1" ht="11.25" customHeight="1">
      <c r="C114" s="291" t="str">
        <f t="shared" si="22"/>
        <v>PSP2 Promissory Note, January 2031</v>
      </c>
      <c r="E114" s="255"/>
      <c r="F114" s="255"/>
      <c r="G114" s="255"/>
      <c r="H114" s="255"/>
      <c r="I114" s="255"/>
      <c r="J114" s="255"/>
      <c r="K114" s="255"/>
      <c r="L114" s="255"/>
      <c r="M114" s="255"/>
      <c r="N114" s="255"/>
      <c r="O114" s="255"/>
      <c r="P114" s="255"/>
      <c r="Q114" s="255"/>
      <c r="R114" s="255">
        <f t="shared" si="23"/>
        <v>5.1491250000000006</v>
      </c>
      <c r="S114" s="255">
        <f t="shared" si="23"/>
        <v>5.0973750000000004</v>
      </c>
      <c r="T114" s="255">
        <f t="shared" si="23"/>
        <v>5.0456250000000002</v>
      </c>
      <c r="Y114" s="255"/>
      <c r="Z114" s="255"/>
      <c r="AA114" s="255"/>
      <c r="AB114" s="255">
        <f t="shared" si="24"/>
        <v>19.664999999999999</v>
      </c>
      <c r="AC114" s="255">
        <f t="shared" si="24"/>
        <v>18.837000000000003</v>
      </c>
      <c r="AD114" s="255">
        <f t="shared" si="24"/>
        <v>18.009</v>
      </c>
    </row>
    <row r="115" spans="2:35" s="283" customFormat="1" ht="11.25" customHeight="1">
      <c r="C115" s="291" t="str">
        <f t="shared" si="22"/>
        <v>PSP3 Promissory Note, April 2031</v>
      </c>
      <c r="E115" s="255"/>
      <c r="F115" s="255"/>
      <c r="G115" s="255"/>
      <c r="H115" s="255"/>
      <c r="I115" s="255"/>
      <c r="J115" s="255"/>
      <c r="K115" s="255"/>
      <c r="L115" s="255"/>
      <c r="M115" s="255"/>
      <c r="N115" s="255"/>
      <c r="O115" s="255"/>
      <c r="P115" s="255"/>
      <c r="Q115" s="255"/>
      <c r="R115" s="255">
        <f t="shared" si="23"/>
        <v>4.7063499999999996</v>
      </c>
      <c r="S115" s="255">
        <f t="shared" si="23"/>
        <v>4.6590499999999997</v>
      </c>
      <c r="T115" s="255">
        <f t="shared" si="23"/>
        <v>4.6117499999999998</v>
      </c>
      <c r="Y115" s="255"/>
      <c r="Z115" s="255"/>
      <c r="AA115" s="255"/>
      <c r="AB115" s="255">
        <f t="shared" si="24"/>
        <v>17.973999999999997</v>
      </c>
      <c r="AC115" s="255">
        <f t="shared" si="24"/>
        <v>17.217199999999998</v>
      </c>
      <c r="AD115" s="255">
        <f t="shared" si="24"/>
        <v>16.460399999999996</v>
      </c>
    </row>
    <row r="116" spans="2:35" s="283" customFormat="1" ht="11.25" customHeight="1">
      <c r="C116" s="291" t="str">
        <f t="shared" si="22"/>
        <v>6.50% convertible senior notes, July 2025</v>
      </c>
      <c r="E116" s="255"/>
      <c r="F116" s="255"/>
      <c r="G116" s="255"/>
      <c r="H116" s="255"/>
      <c r="I116" s="255"/>
      <c r="J116" s="255"/>
      <c r="K116" s="255"/>
      <c r="L116" s="255"/>
      <c r="M116" s="255"/>
      <c r="N116" s="255"/>
      <c r="O116" s="255"/>
      <c r="P116" s="255"/>
      <c r="Q116" s="255"/>
      <c r="R116" s="255">
        <f t="shared" si="23"/>
        <v>16.168749999999999</v>
      </c>
      <c r="S116" s="255">
        <f t="shared" si="23"/>
        <v>16.006250000000001</v>
      </c>
      <c r="T116" s="255">
        <f t="shared" si="23"/>
        <v>15.84375</v>
      </c>
      <c r="Y116" s="255"/>
      <c r="Z116" s="255"/>
      <c r="AA116" s="255"/>
      <c r="AB116" s="255">
        <f t="shared" si="24"/>
        <v>61.75</v>
      </c>
      <c r="AC116" s="255">
        <f t="shared" si="24"/>
        <v>59.15</v>
      </c>
      <c r="AD116" s="255">
        <f t="shared" si="24"/>
        <v>28.925000000000001</v>
      </c>
    </row>
    <row r="117" spans="2:35" s="283" customFormat="1" ht="11.25" customHeight="1">
      <c r="C117" s="291" t="str">
        <f t="shared" si="22"/>
        <v>5.000% senior notes, June 2022</v>
      </c>
      <c r="E117" s="255"/>
      <c r="F117" s="255"/>
      <c r="G117" s="255"/>
      <c r="H117" s="255"/>
      <c r="I117" s="255"/>
      <c r="J117" s="255"/>
      <c r="K117" s="255"/>
      <c r="L117" s="255"/>
      <c r="M117" s="255"/>
      <c r="N117" s="255"/>
      <c r="O117" s="255"/>
      <c r="P117" s="255"/>
      <c r="Q117" s="255"/>
      <c r="R117" s="255">
        <f t="shared" si="23"/>
        <v>2.7062500000000003</v>
      </c>
      <c r="S117" s="255">
        <f t="shared" si="23"/>
        <v>0</v>
      </c>
      <c r="T117" s="255">
        <f t="shared" si="23"/>
        <v>0</v>
      </c>
      <c r="Y117" s="255"/>
      <c r="Z117" s="255"/>
      <c r="AA117" s="255"/>
      <c r="AB117" s="255">
        <f t="shared" si="24"/>
        <v>0</v>
      </c>
      <c r="AC117" s="255">
        <f t="shared" si="24"/>
        <v>0</v>
      </c>
      <c r="AD117" s="255">
        <f t="shared" si="24"/>
        <v>0</v>
      </c>
    </row>
    <row r="118" spans="2:35" s="283" customFormat="1" ht="11.25" customHeight="1">
      <c r="C118" s="291" t="str">
        <f t="shared" si="22"/>
        <v>3.75% senior notes, March 2025</v>
      </c>
      <c r="E118" s="255"/>
      <c r="F118" s="255"/>
      <c r="G118" s="255"/>
      <c r="H118" s="255"/>
      <c r="I118" s="255"/>
      <c r="J118" s="255"/>
      <c r="K118" s="255"/>
      <c r="L118" s="255"/>
      <c r="M118" s="255"/>
      <c r="N118" s="255"/>
      <c r="O118" s="255"/>
      <c r="P118" s="255"/>
      <c r="Q118" s="255"/>
      <c r="R118" s="255">
        <f t="shared" si="23"/>
        <v>4.6640625</v>
      </c>
      <c r="S118" s="255">
        <f t="shared" si="23"/>
        <v>4.6171875</v>
      </c>
      <c r="T118" s="255">
        <f t="shared" si="23"/>
        <v>4.5703125</v>
      </c>
      <c r="Y118" s="255"/>
      <c r="Z118" s="255"/>
      <c r="AA118" s="255"/>
      <c r="AB118" s="255">
        <f t="shared" si="24"/>
        <v>17.8125</v>
      </c>
      <c r="AC118" s="255">
        <f t="shared" si="24"/>
        <v>17.0625</v>
      </c>
      <c r="AD118" s="255">
        <f t="shared" si="24"/>
        <v>8.34375</v>
      </c>
    </row>
    <row r="119" spans="2:35" s="283" customFormat="1" ht="11.25" customHeight="1">
      <c r="C119" s="291" t="str">
        <f t="shared" si="22"/>
        <v>Credit Facility</v>
      </c>
      <c r="E119" s="255"/>
      <c r="F119" s="255"/>
      <c r="G119" s="255"/>
      <c r="H119" s="255"/>
      <c r="I119" s="255"/>
      <c r="J119" s="255"/>
      <c r="K119" s="255"/>
      <c r="L119" s="255"/>
      <c r="M119" s="255"/>
      <c r="N119" s="255"/>
      <c r="O119" s="255"/>
      <c r="P119" s="255"/>
      <c r="Q119" s="255"/>
      <c r="R119" s="255">
        <f t="shared" ref="R119:T120" ca="1" si="25">+R90*$D33/4</f>
        <v>0</v>
      </c>
      <c r="S119" s="255">
        <f t="shared" ca="1" si="25"/>
        <v>0</v>
      </c>
      <c r="T119" s="255">
        <f t="shared" ca="1" si="25"/>
        <v>0</v>
      </c>
      <c r="Y119" s="255"/>
      <c r="Z119" s="255"/>
      <c r="AA119" s="255"/>
      <c r="AB119" s="255">
        <f t="shared" ref="AB119:AD120" ca="1" si="26">+AB90*$D33</f>
        <v>0</v>
      </c>
      <c r="AC119" s="255">
        <f t="shared" ca="1" si="26"/>
        <v>0</v>
      </c>
      <c r="AD119" s="255">
        <f t="shared" ca="1" si="26"/>
        <v>0</v>
      </c>
    </row>
    <row r="120" spans="2:35" s="283" customFormat="1" ht="11.25" customHeight="1">
      <c r="C120" s="291" t="str">
        <f t="shared" si="22"/>
        <v>Additional Drawdown</v>
      </c>
      <c r="E120" s="255"/>
      <c r="F120" s="255"/>
      <c r="G120" s="255"/>
      <c r="H120" s="255"/>
      <c r="I120" s="255"/>
      <c r="J120" s="255"/>
      <c r="K120" s="255"/>
      <c r="L120" s="255"/>
      <c r="M120" s="255"/>
      <c r="N120" s="255"/>
      <c r="O120" s="255"/>
      <c r="P120" s="255"/>
      <c r="Q120" s="255"/>
      <c r="R120" s="255">
        <f t="shared" ca="1" si="25"/>
        <v>0</v>
      </c>
      <c r="S120" s="255">
        <f t="shared" ca="1" si="25"/>
        <v>0</v>
      </c>
      <c r="T120" s="255">
        <f t="shared" ca="1" si="25"/>
        <v>0</v>
      </c>
      <c r="Y120" s="255"/>
      <c r="Z120" s="255"/>
      <c r="AA120" s="255"/>
      <c r="AB120" s="255">
        <f t="shared" ca="1" si="26"/>
        <v>0</v>
      </c>
      <c r="AC120" s="255">
        <f t="shared" ca="1" si="26"/>
        <v>0</v>
      </c>
      <c r="AD120" s="255">
        <f t="shared" ca="1" si="26"/>
        <v>0</v>
      </c>
    </row>
    <row r="121" spans="2:35" s="283" customFormat="1" ht="11.25" customHeight="1">
      <c r="C121" s="286" t="s">
        <v>278</v>
      </c>
      <c r="E121" s="280"/>
      <c r="F121" s="280"/>
      <c r="G121" s="280"/>
      <c r="H121" s="280"/>
      <c r="I121" s="305"/>
      <c r="J121" s="255"/>
      <c r="K121" s="280"/>
      <c r="L121" s="280"/>
      <c r="M121" s="280"/>
      <c r="N121" s="280"/>
      <c r="O121" s="280"/>
      <c r="P121" s="280"/>
      <c r="Q121" s="280"/>
      <c r="R121" s="357">
        <f ca="1">IF(Circ=0,0,SUM(R96:R120))</f>
        <v>430.0526781293654</v>
      </c>
      <c r="S121" s="357">
        <f ca="1">IF(Circ=0,0,SUM(S96:S120))</f>
        <v>428.23157042043857</v>
      </c>
      <c r="T121" s="357">
        <f ca="1">IF(Circ=0,0,SUM(T96:T120))</f>
        <v>429.55353400357308</v>
      </c>
      <c r="U121" s="280"/>
      <c r="V121" s="280"/>
      <c r="W121" s="280"/>
      <c r="X121" s="280"/>
      <c r="Y121" s="280"/>
      <c r="Z121" s="255"/>
      <c r="AA121" s="280"/>
      <c r="AB121" s="357">
        <f ca="1">IF(Circ=0,0,SUM(AB96:AB120))</f>
        <v>1698.3461714999999</v>
      </c>
      <c r="AC121" s="357">
        <f ca="1">IF(Circ=0,0,SUM(AC96:AC120))</f>
        <v>1664.4508791000003</v>
      </c>
      <c r="AD121" s="357">
        <f ca="1">IF(Circ=0,0,SUM(AD96:AD120))</f>
        <v>1472.6853361999997</v>
      </c>
    </row>
    <row r="122" spans="2:35" ht="11.25" customHeight="1">
      <c r="U122" s="280"/>
    </row>
    <row r="123" spans="2:35" ht="11.25" customHeight="1">
      <c r="B123" s="258" t="s">
        <v>133</v>
      </c>
      <c r="C123" s="259" t="s">
        <v>244</v>
      </c>
      <c r="D123" s="259"/>
      <c r="E123" s="258"/>
      <c r="F123" s="258"/>
      <c r="G123" s="258"/>
      <c r="H123" s="258"/>
      <c r="I123" s="258"/>
      <c r="J123" s="258"/>
      <c r="K123" s="258"/>
      <c r="L123" s="258"/>
      <c r="M123" s="258"/>
      <c r="N123" s="258"/>
      <c r="O123" s="258"/>
      <c r="P123" s="258"/>
      <c r="Q123" s="258"/>
      <c r="R123" s="258"/>
      <c r="S123" s="258"/>
      <c r="T123" s="258"/>
      <c r="U123" s="280"/>
      <c r="V123" s="258"/>
      <c r="W123" s="258"/>
      <c r="X123" s="258"/>
      <c r="Y123" s="258"/>
      <c r="Z123" s="258"/>
      <c r="AA123" s="258"/>
      <c r="AB123" s="258"/>
      <c r="AC123" s="258"/>
      <c r="AD123" s="258"/>
    </row>
    <row r="124" spans="2:35" ht="11.25" customHeight="1">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row>
    <row r="125" spans="2:35" ht="11.25" customHeight="1">
      <c r="C125" s="255" t="s">
        <v>161</v>
      </c>
      <c r="E125" s="287"/>
      <c r="F125" s="287"/>
      <c r="G125" s="287"/>
      <c r="H125" s="287"/>
      <c r="I125" s="277"/>
      <c r="J125" s="287"/>
      <c r="K125" s="287"/>
      <c r="L125" s="287"/>
      <c r="M125" s="287"/>
      <c r="N125" s="287"/>
      <c r="O125" s="287"/>
      <c r="P125" s="287"/>
      <c r="Q125" s="287"/>
      <c r="R125" s="287">
        <f ca="1">'AAL Financials'!R101</f>
        <v>-338.07792293174748</v>
      </c>
      <c r="S125" s="287">
        <f ca="1">'AAL Financials'!S101</f>
        <v>-645.08410210879958</v>
      </c>
      <c r="T125" s="287">
        <f ca="1">'AAL Financials'!T101</f>
        <v>-865.46758417322633</v>
      </c>
      <c r="U125" s="287"/>
      <c r="V125" s="287"/>
      <c r="W125" s="287"/>
      <c r="X125" s="287"/>
      <c r="Z125" s="287"/>
      <c r="AA125" s="287"/>
      <c r="AB125" s="287">
        <f ca="1">'AAL Financials'!AB101</f>
        <v>-1892.704768676007</v>
      </c>
      <c r="AC125" s="287">
        <f ca="1">'AAL Financials'!AC101</f>
        <v>1273.7269122341113</v>
      </c>
      <c r="AD125" s="287">
        <f ca="1">'AAL Financials'!AD101</f>
        <v>1969.8189162389745</v>
      </c>
      <c r="AE125" s="277"/>
      <c r="AF125" s="277"/>
      <c r="AG125" s="277"/>
      <c r="AH125" s="277"/>
      <c r="AI125" s="254"/>
    </row>
    <row r="126" spans="2:35" ht="11.25" customHeight="1">
      <c r="C126" s="255" t="s">
        <v>1802</v>
      </c>
      <c r="E126" s="287"/>
      <c r="F126" s="287"/>
      <c r="G126" s="287"/>
      <c r="H126" s="287"/>
      <c r="I126" s="277"/>
      <c r="J126" s="287"/>
      <c r="K126" s="287"/>
      <c r="L126" s="287"/>
      <c r="M126" s="287"/>
      <c r="N126" s="287"/>
      <c r="O126" s="287"/>
      <c r="P126" s="287"/>
      <c r="Q126" s="287"/>
      <c r="R126" s="287">
        <f>'AAL Financials'!R181</f>
        <v>12924</v>
      </c>
      <c r="S126" s="287">
        <f ca="1">'AAL Financials'!S181</f>
        <v>12356.130669848382</v>
      </c>
      <c r="T126" s="287">
        <f ca="1">'AAL Financials'!T181</f>
        <v>11799.46587597219</v>
      </c>
      <c r="U126" s="287"/>
      <c r="V126" s="287"/>
      <c r="W126" s="287"/>
      <c r="X126" s="287"/>
      <c r="Y126" s="254"/>
      <c r="Z126" s="287"/>
      <c r="AA126" s="287"/>
      <c r="AB126" s="287">
        <f ca="1">'AAL Financials'!AB181</f>
        <v>11202.927890786224</v>
      </c>
      <c r="AC126" s="287">
        <f ca="1">'AAL Financials'!AC181</f>
        <v>8330.7931221102099</v>
      </c>
      <c r="AD126" s="287">
        <f ca="1">'AAL Financials'!AD181</f>
        <v>10097.450034344329</v>
      </c>
      <c r="AE126" s="277"/>
      <c r="AF126" s="277"/>
      <c r="AG126" s="277"/>
      <c r="AH126" s="277"/>
      <c r="AI126" s="254"/>
    </row>
    <row r="127" spans="2:35" ht="11.25" customHeight="1">
      <c r="C127" s="255" t="s">
        <v>1801</v>
      </c>
      <c r="D127" s="333">
        <v>100</v>
      </c>
      <c r="E127" s="277"/>
      <c r="F127" s="277"/>
      <c r="G127" s="254"/>
      <c r="H127" s="254"/>
      <c r="I127" s="277"/>
      <c r="J127" s="254"/>
      <c r="K127" s="254"/>
      <c r="L127" s="254"/>
      <c r="M127" s="254"/>
      <c r="N127" s="254"/>
      <c r="O127" s="254"/>
      <c r="P127" s="254"/>
      <c r="Q127" s="254"/>
      <c r="R127" s="254">
        <f>-$D$127</f>
        <v>-100</v>
      </c>
      <c r="S127" s="254">
        <f>-$D$127</f>
        <v>-100</v>
      </c>
      <c r="T127" s="254">
        <f>-$D$127</f>
        <v>-100</v>
      </c>
      <c r="U127" s="277"/>
      <c r="V127" s="277"/>
      <c r="W127" s="277"/>
      <c r="X127" s="277"/>
      <c r="Y127" s="254"/>
      <c r="Z127" s="254"/>
      <c r="AA127" s="254"/>
      <c r="AB127" s="254">
        <f>-$D$127</f>
        <v>-100</v>
      </c>
      <c r="AC127" s="254">
        <f>-$D$127</f>
        <v>-100</v>
      </c>
      <c r="AD127" s="254">
        <f>-$D$127</f>
        <v>-100</v>
      </c>
      <c r="AE127" s="277"/>
      <c r="AF127" s="277"/>
      <c r="AG127" s="277"/>
      <c r="AH127" s="277"/>
      <c r="AI127" s="277"/>
    </row>
    <row r="128" spans="2:35" ht="11.25" customHeight="1">
      <c r="C128" s="286" t="s">
        <v>279</v>
      </c>
      <c r="E128" s="254"/>
      <c r="F128" s="254"/>
      <c r="G128" s="254"/>
      <c r="H128" s="254"/>
      <c r="I128" s="277"/>
      <c r="J128" s="254"/>
      <c r="K128" s="254"/>
      <c r="L128" s="254"/>
      <c r="M128" s="254"/>
      <c r="N128" s="254"/>
      <c r="O128" s="254"/>
      <c r="P128" s="254"/>
      <c r="Q128" s="254"/>
      <c r="R128" s="359">
        <f ca="1">SUM(R125:R127)</f>
        <v>12485.922077068253</v>
      </c>
      <c r="S128" s="359">
        <f ca="1">SUM(S125:S127)</f>
        <v>11611.046567739582</v>
      </c>
      <c r="T128" s="359">
        <f ca="1">SUM(T125:T127)</f>
        <v>10833.998291798964</v>
      </c>
      <c r="U128" s="254"/>
      <c r="V128" s="254"/>
      <c r="W128" s="254"/>
      <c r="X128" s="254"/>
      <c r="Y128" s="254"/>
      <c r="Z128" s="254"/>
      <c r="AA128" s="254"/>
      <c r="AB128" s="359">
        <f ca="1">SUM(AB125:AB127)</f>
        <v>9210.2231221102174</v>
      </c>
      <c r="AC128" s="359">
        <f ca="1">SUM(AC125:AC127)</f>
        <v>9504.5200343443212</v>
      </c>
      <c r="AD128" s="359">
        <f ca="1">SUM(AD125:AD127)</f>
        <v>11967.268950583304</v>
      </c>
      <c r="AE128" s="277"/>
      <c r="AF128" s="277"/>
      <c r="AG128" s="277"/>
      <c r="AH128" s="277"/>
      <c r="AI128" s="254"/>
    </row>
    <row r="129" spans="2:35" ht="11.25" customHeight="1">
      <c r="C129" s="255" t="s">
        <v>247</v>
      </c>
      <c r="E129" s="254"/>
      <c r="F129" s="254"/>
      <c r="G129" s="254"/>
      <c r="H129" s="254"/>
      <c r="I129" s="277"/>
      <c r="J129" s="254"/>
      <c r="K129" s="254"/>
      <c r="L129" s="254"/>
      <c r="M129" s="254"/>
      <c r="N129" s="254"/>
      <c r="O129" s="254"/>
      <c r="P129" s="254"/>
      <c r="Q129" s="254"/>
      <c r="R129" s="254">
        <f>-R63</f>
        <v>-255.79140721986283</v>
      </c>
      <c r="S129" s="254">
        <f>-S63</f>
        <v>88.419308232603726</v>
      </c>
      <c r="T129" s="254">
        <f>-T63</f>
        <v>268.92959898725906</v>
      </c>
      <c r="U129" s="254"/>
      <c r="V129" s="254"/>
      <c r="W129" s="254"/>
      <c r="X129" s="254"/>
      <c r="Y129" s="254"/>
      <c r="Z129" s="254"/>
      <c r="AA129" s="254"/>
      <c r="AB129" s="254">
        <f>-AB63</f>
        <v>-979.42999999999938</v>
      </c>
      <c r="AC129" s="254">
        <f>-AC63</f>
        <v>492.93000000000029</v>
      </c>
      <c r="AD129" s="254">
        <f>-AD63</f>
        <v>-4320.1074999999992</v>
      </c>
      <c r="AE129" s="277"/>
      <c r="AF129" s="277"/>
      <c r="AG129" s="277"/>
      <c r="AH129" s="277"/>
      <c r="AI129" s="254"/>
    </row>
    <row r="130" spans="2:35" s="283" customFormat="1" ht="11.25" customHeight="1">
      <c r="C130" s="286" t="s">
        <v>280</v>
      </c>
      <c r="E130" s="280"/>
      <c r="F130" s="280"/>
      <c r="G130" s="280"/>
      <c r="H130" s="254"/>
      <c r="I130" s="277"/>
      <c r="J130" s="280"/>
      <c r="K130" s="280"/>
      <c r="L130" s="280"/>
      <c r="M130" s="280"/>
      <c r="N130" s="280"/>
      <c r="O130" s="280"/>
      <c r="P130" s="280"/>
      <c r="Q130" s="280"/>
      <c r="R130" s="357">
        <f ca="1">SUM(R128:R129)</f>
        <v>12230.13066984839</v>
      </c>
      <c r="S130" s="357">
        <f ca="1">SUM(S128:S129)</f>
        <v>11699.465875972186</v>
      </c>
      <c r="T130" s="357">
        <f ca="1">SUM(T128:T129)</f>
        <v>11102.927890786223</v>
      </c>
      <c r="U130" s="280"/>
      <c r="V130" s="280"/>
      <c r="W130" s="280"/>
      <c r="X130" s="280"/>
      <c r="Y130" s="280"/>
      <c r="Z130" s="280"/>
      <c r="AA130" s="254"/>
      <c r="AB130" s="357">
        <f ca="1">SUM(AB128:AB129)</f>
        <v>8230.793122110219</v>
      </c>
      <c r="AC130" s="357">
        <f ca="1">SUM(AC128:AC129)</f>
        <v>9997.4500343443215</v>
      </c>
      <c r="AD130" s="357">
        <f ca="1">SUM(AD128:AD129)</f>
        <v>7647.1614505833049</v>
      </c>
      <c r="AE130" s="285"/>
      <c r="AF130" s="285"/>
      <c r="AG130" s="285"/>
      <c r="AH130" s="285"/>
      <c r="AI130" s="280"/>
    </row>
    <row r="131" spans="2:35" s="283" customFormat="1" ht="11.25" customHeight="1">
      <c r="C131" s="286"/>
      <c r="E131" s="280"/>
      <c r="F131" s="280"/>
      <c r="G131" s="280"/>
      <c r="H131" s="254"/>
      <c r="I131" s="277"/>
      <c r="J131" s="280"/>
      <c r="K131" s="280"/>
      <c r="L131" s="254"/>
      <c r="M131" s="254"/>
      <c r="N131" s="254"/>
      <c r="O131" s="254"/>
      <c r="P131" s="254"/>
      <c r="Q131" s="254"/>
      <c r="R131" s="280"/>
      <c r="S131" s="280"/>
      <c r="T131" s="280"/>
      <c r="U131" s="280"/>
      <c r="V131" s="280"/>
      <c r="W131" s="280"/>
      <c r="X131" s="280"/>
      <c r="Y131" s="280"/>
      <c r="Z131" s="280"/>
      <c r="AA131" s="254"/>
      <c r="AB131" s="280"/>
      <c r="AC131" s="280"/>
      <c r="AD131" s="280"/>
      <c r="AE131" s="285"/>
      <c r="AF131" s="285"/>
      <c r="AG131" s="285"/>
      <c r="AH131" s="285"/>
      <c r="AI131" s="280"/>
    </row>
    <row r="132" spans="2:35" ht="11.25" customHeight="1">
      <c r="C132" s="283" t="s">
        <v>248</v>
      </c>
      <c r="D132" s="372">
        <f>+'AAL One Pager'!S29</f>
        <v>3063</v>
      </c>
      <c r="E132" s="277"/>
      <c r="F132" s="277"/>
      <c r="G132" s="280"/>
      <c r="H132" s="277"/>
      <c r="I132" s="277"/>
      <c r="J132" s="277"/>
      <c r="K132" s="277"/>
      <c r="L132" s="254"/>
      <c r="M132" s="254"/>
      <c r="N132" s="254"/>
      <c r="O132" s="254"/>
      <c r="P132" s="254"/>
      <c r="Q132" s="254"/>
      <c r="R132" s="277"/>
      <c r="S132" s="277"/>
      <c r="T132" s="277"/>
      <c r="U132" s="277"/>
      <c r="V132" s="277"/>
      <c r="W132" s="277"/>
      <c r="X132" s="277"/>
      <c r="Y132" s="277"/>
      <c r="Z132" s="277"/>
      <c r="AA132" s="277"/>
      <c r="AB132" s="277"/>
      <c r="AC132" s="277"/>
      <c r="AD132" s="277"/>
      <c r="AE132" s="277"/>
      <c r="AF132" s="277"/>
      <c r="AG132" s="277"/>
      <c r="AH132" s="277"/>
      <c r="AI132" s="277"/>
    </row>
    <row r="133" spans="2:35" ht="11.25" customHeight="1">
      <c r="C133" s="282" t="s">
        <v>249</v>
      </c>
      <c r="E133" s="254"/>
      <c r="F133" s="254"/>
      <c r="G133" s="280"/>
      <c r="H133" s="254"/>
      <c r="I133" s="254"/>
      <c r="J133" s="254"/>
      <c r="K133" s="254"/>
      <c r="L133" s="254"/>
      <c r="M133" s="254"/>
      <c r="N133" s="254"/>
      <c r="O133" s="254"/>
      <c r="P133" s="254"/>
      <c r="Q133" s="254"/>
      <c r="R133" s="254">
        <f ca="1">+Q135</f>
        <v>0</v>
      </c>
      <c r="S133" s="254">
        <f ca="1">+R135</f>
        <v>0</v>
      </c>
      <c r="T133" s="254">
        <f ca="1">+S135</f>
        <v>0</v>
      </c>
      <c r="U133" s="254"/>
      <c r="V133" s="254"/>
      <c r="W133" s="254"/>
      <c r="X133" s="254"/>
      <c r="Y133" s="254"/>
      <c r="Z133" s="254"/>
      <c r="AA133" s="254"/>
      <c r="AB133" s="254">
        <f ca="1">+AA135</f>
        <v>0</v>
      </c>
      <c r="AC133" s="254">
        <f ca="1">+AB135</f>
        <v>0</v>
      </c>
      <c r="AD133" s="254">
        <f ca="1">+AC135</f>
        <v>0</v>
      </c>
      <c r="AE133" s="277"/>
      <c r="AF133" s="277"/>
      <c r="AG133" s="277"/>
      <c r="AH133" s="277"/>
      <c r="AI133" s="254"/>
    </row>
    <row r="134" spans="2:35" ht="11.25" customHeight="1">
      <c r="C134" s="282" t="s">
        <v>250</v>
      </c>
      <c r="E134" s="254"/>
      <c r="F134" s="254"/>
      <c r="G134" s="280"/>
      <c r="H134" s="254"/>
      <c r="I134" s="254"/>
      <c r="J134" s="254"/>
      <c r="K134" s="254"/>
      <c r="L134" s="254"/>
      <c r="M134" s="254"/>
      <c r="N134" s="254"/>
      <c r="O134" s="254"/>
      <c r="P134" s="254"/>
      <c r="Q134" s="254"/>
      <c r="R134" s="254">
        <f ca="1">IF(R6&lt;$AG$134,IF(AND(R130&lt;0,ABS(R130)&lt;($D$132-Q135)),-R130,IF(R130&gt;0,-MIN(R130,R133),($D$132-Q135))),-R133)</f>
        <v>0</v>
      </c>
      <c r="S134" s="254">
        <f ca="1">IF(S6&lt;$AG$134,IF(AND(S130&lt;0,ABS(S130)&lt;($D$132-R135)),-S130,IF(S130&gt;0,-MIN(S130,S133),($D$132-R135))),-S133)</f>
        <v>0</v>
      </c>
      <c r="T134" s="254">
        <f ca="1">IF(T6&lt;$AG$134,IF(AND(T130&lt;0,ABS(T130)&lt;($D$132-S135)),-T130,IF(T130&gt;0,-MIN(T130,T133),($D$132-S135))),-T133)</f>
        <v>0</v>
      </c>
      <c r="U134" s="254"/>
      <c r="V134" s="254"/>
      <c r="W134" s="254"/>
      <c r="X134" s="254"/>
      <c r="AA134" s="254"/>
      <c r="AB134" s="254">
        <f ca="1">IF(AB6&lt;$AG$134,IF(AND(AB130&lt;0,ABS(AB130)&lt;($D$132-AA135)),-AB130,IF(AB130&gt;0,-MIN(AB130,AB133),($D$132-AA135))),-AB133)</f>
        <v>0</v>
      </c>
      <c r="AC134" s="254">
        <f ca="1">IF(AC6&lt;$AG$134,IF(AND(AC130&lt;0,ABS(AC130)&lt;($D$132-AB135)),-AC130,IF(AC130&gt;0,-MIN(AC130,AC133),($D$132-AB135))),-AC133)</f>
        <v>0</v>
      </c>
      <c r="AD134" s="254">
        <f ca="1">IF(AD6&lt;$AG$134,IF(AND(AD130&lt;0,ABS(AD130)&lt;($D$132-AC135)),-AD130,IF(AD130&gt;0,-MIN(AD130,AD133),($D$132-AC135))),-AD133)</f>
        <v>0</v>
      </c>
      <c r="AE134" s="277"/>
      <c r="AF134" s="277"/>
      <c r="AG134" s="295">
        <f>+AG33</f>
        <v>45701</v>
      </c>
      <c r="AH134" s="284" t="s">
        <v>251</v>
      </c>
      <c r="AI134" s="254"/>
    </row>
    <row r="135" spans="2:35" ht="11.25" customHeight="1">
      <c r="C135" s="281" t="s">
        <v>281</v>
      </c>
      <c r="E135" s="254"/>
      <c r="F135" s="254"/>
      <c r="G135" s="280"/>
      <c r="H135" s="254"/>
      <c r="I135" s="254"/>
      <c r="J135" s="280"/>
      <c r="K135" s="280"/>
      <c r="L135" s="254"/>
      <c r="M135" s="254"/>
      <c r="N135" s="254"/>
      <c r="O135" s="254"/>
      <c r="P135" s="254"/>
      <c r="Q135" s="357">
        <f ca="1">+Q33</f>
        <v>0</v>
      </c>
      <c r="R135" s="357">
        <f ca="1">SUM(R133:R134)</f>
        <v>0</v>
      </c>
      <c r="S135" s="357">
        <f ca="1">SUM(S133:S134)</f>
        <v>0</v>
      </c>
      <c r="T135" s="357">
        <f ca="1">SUM(T133:T134)</f>
        <v>0</v>
      </c>
      <c r="U135" s="280"/>
      <c r="V135" s="280"/>
      <c r="W135" s="280"/>
      <c r="X135" s="280"/>
      <c r="Y135" s="280"/>
      <c r="AA135" s="357">
        <f ca="1">+T135</f>
        <v>0</v>
      </c>
      <c r="AB135" s="357">
        <f ca="1">SUM(AB133:AB134)</f>
        <v>0</v>
      </c>
      <c r="AC135" s="357">
        <f ca="1">SUM(AC133:AC134)</f>
        <v>0</v>
      </c>
      <c r="AD135" s="357">
        <f ca="1">SUM(AD133:AD134)</f>
        <v>0</v>
      </c>
      <c r="AE135" s="277"/>
      <c r="AF135" s="277"/>
      <c r="AG135" s="277"/>
      <c r="AH135" s="277"/>
      <c r="AI135" s="280"/>
    </row>
    <row r="136" spans="2:35" ht="11.25" customHeight="1">
      <c r="E136" s="277"/>
      <c r="F136" s="277"/>
      <c r="G136" s="280"/>
      <c r="H136" s="277"/>
      <c r="I136" s="254"/>
      <c r="J136" s="254"/>
      <c r="K136" s="277"/>
      <c r="L136" s="254"/>
      <c r="M136" s="254"/>
      <c r="N136" s="254"/>
      <c r="O136" s="254"/>
      <c r="P136" s="254"/>
      <c r="Q136" s="277"/>
      <c r="R136" s="277"/>
      <c r="S136" s="277"/>
      <c r="T136" s="277"/>
      <c r="U136" s="277"/>
      <c r="V136" s="277"/>
      <c r="W136" s="277"/>
      <c r="X136" s="277"/>
      <c r="Y136" s="277"/>
      <c r="Z136" s="277"/>
      <c r="AA136" s="277"/>
      <c r="AB136" s="277"/>
      <c r="AC136" s="277"/>
      <c r="AD136" s="277"/>
      <c r="AE136" s="277"/>
      <c r="AF136" s="277"/>
      <c r="AG136" s="277"/>
      <c r="AH136" s="277"/>
      <c r="AI136" s="277"/>
    </row>
    <row r="137" spans="2:35" ht="11.25" customHeight="1">
      <c r="C137" s="283" t="s">
        <v>282</v>
      </c>
      <c r="E137" s="277"/>
      <c r="F137" s="277"/>
      <c r="G137" s="280"/>
      <c r="H137" s="277"/>
      <c r="I137" s="254"/>
      <c r="J137" s="254"/>
      <c r="K137" s="277"/>
      <c r="L137" s="254"/>
      <c r="M137" s="254"/>
      <c r="N137" s="254"/>
      <c r="O137" s="254"/>
      <c r="P137" s="254"/>
      <c r="Q137" s="277"/>
      <c r="R137" s="277"/>
      <c r="S137" s="277"/>
      <c r="T137" s="277"/>
      <c r="U137" s="277"/>
      <c r="V137" s="277"/>
      <c r="W137" s="277"/>
      <c r="X137" s="277"/>
      <c r="Y137" s="277"/>
      <c r="Z137" s="277"/>
      <c r="AA137" s="277"/>
      <c r="AB137" s="277"/>
      <c r="AC137" s="277"/>
      <c r="AD137" s="277"/>
      <c r="AE137" s="277"/>
      <c r="AF137" s="277"/>
      <c r="AG137" s="277"/>
      <c r="AH137" s="277"/>
      <c r="AI137" s="277"/>
    </row>
    <row r="138" spans="2:35" ht="11.25" customHeight="1">
      <c r="C138" s="282" t="s">
        <v>249</v>
      </c>
      <c r="E138" s="254"/>
      <c r="F138" s="254"/>
      <c r="G138" s="280"/>
      <c r="H138" s="277"/>
      <c r="I138" s="254"/>
      <c r="J138" s="254"/>
      <c r="K138" s="254"/>
      <c r="L138" s="254"/>
      <c r="M138" s="254"/>
      <c r="N138" s="254"/>
      <c r="O138" s="254"/>
      <c r="P138" s="254"/>
      <c r="Q138" s="254"/>
      <c r="R138" s="254">
        <f>Q140</f>
        <v>0</v>
      </c>
      <c r="S138" s="254">
        <f ca="1">R140</f>
        <v>0</v>
      </c>
      <c r="T138" s="254">
        <f ca="1">S140</f>
        <v>0</v>
      </c>
      <c r="U138" s="254"/>
      <c r="V138" s="254"/>
      <c r="W138" s="254"/>
      <c r="X138" s="254"/>
      <c r="Y138" s="254"/>
      <c r="Z138" s="254"/>
      <c r="AA138" s="254"/>
      <c r="AB138" s="254">
        <f ca="1">T140</f>
        <v>0</v>
      </c>
      <c r="AC138" s="254">
        <f ca="1">AB140</f>
        <v>0</v>
      </c>
      <c r="AD138" s="254">
        <f ca="1">AC140</f>
        <v>0</v>
      </c>
      <c r="AE138" s="277"/>
      <c r="AF138" s="277"/>
      <c r="AG138" s="277"/>
      <c r="AH138" s="277"/>
      <c r="AI138" s="254"/>
    </row>
    <row r="139" spans="2:35" ht="11.25" customHeight="1">
      <c r="C139" s="282" t="s">
        <v>250</v>
      </c>
      <c r="E139" s="254"/>
      <c r="F139" s="254"/>
      <c r="G139" s="280"/>
      <c r="H139" s="277"/>
      <c r="I139" s="254"/>
      <c r="J139" s="254"/>
      <c r="K139" s="254"/>
      <c r="L139" s="254"/>
      <c r="M139" s="254"/>
      <c r="N139" s="254"/>
      <c r="O139" s="254"/>
      <c r="P139" s="254"/>
      <c r="Q139" s="254"/>
      <c r="R139" s="254">
        <f ca="1">+IF(AND(R130&lt;0,ABS(R130)&gt;(R134)),-MIN(R130+R134),IF(R130&gt;0,-MIN((R130+R134),R138),0))</f>
        <v>0</v>
      </c>
      <c r="S139" s="254">
        <f ca="1">+IF(AND(S130&lt;0,ABS(S130)&gt;(S134)),-MIN(S130+S134),IF(S130&gt;0,-MIN((S130+S134),S138),0))</f>
        <v>0</v>
      </c>
      <c r="T139" s="254">
        <f ca="1">+IF(AND(T130&lt;0,ABS(T130)&gt;(T134)),-MIN(T130+T134),IF(T130&gt;0,-MIN((T130+T134),T138),0))</f>
        <v>0</v>
      </c>
      <c r="U139" s="254"/>
      <c r="V139" s="254"/>
      <c r="W139" s="254"/>
      <c r="X139" s="254"/>
      <c r="AA139" s="254"/>
      <c r="AB139" s="254">
        <f ca="1">+IF(AND(AB130&lt;0,ABS(AB130)&gt;(AB134)),-MIN(AB130+AB134),IF(AB130&gt;0,-MIN((AB130+AB134),AB138),0))</f>
        <v>0</v>
      </c>
      <c r="AC139" s="254">
        <f ca="1">+IF(AND(AC130&lt;0,ABS(AC130)&gt;(AC134)),-MIN(AC130+AC134),IF(AC130&gt;0,-MIN((AC130+AC134),AC138),0))</f>
        <v>0</v>
      </c>
      <c r="AD139" s="254">
        <f ca="1">+IF(AND(AD130&lt;0,ABS(AD130)&gt;(AD134)),-MIN(AD130+AD134),IF(AD130&gt;0,-MIN((AD130+AD134),AD138),0))</f>
        <v>0</v>
      </c>
      <c r="AE139" s="277"/>
      <c r="AF139" s="277"/>
      <c r="AG139" s="277"/>
      <c r="AH139" s="277"/>
      <c r="AI139" s="254"/>
    </row>
    <row r="140" spans="2:35" ht="11.25" customHeight="1">
      <c r="C140" s="281" t="s">
        <v>281</v>
      </c>
      <c r="E140" s="277"/>
      <c r="F140" s="277"/>
      <c r="G140" s="280"/>
      <c r="H140" s="277"/>
      <c r="I140" s="254"/>
      <c r="J140" s="277"/>
      <c r="K140" s="277"/>
      <c r="L140" s="254"/>
      <c r="M140" s="254"/>
      <c r="N140" s="254"/>
      <c r="O140" s="254"/>
      <c r="P140" s="254"/>
      <c r="Q140" s="360">
        <v>0</v>
      </c>
      <c r="R140" s="357">
        <f ca="1">SUM(R138:R139)</f>
        <v>0</v>
      </c>
      <c r="S140" s="357">
        <f ca="1">SUM(S138:S139)</f>
        <v>0</v>
      </c>
      <c r="T140" s="357">
        <f ca="1">SUM(T138:T139)</f>
        <v>0</v>
      </c>
      <c r="U140" s="280"/>
      <c r="V140" s="280"/>
      <c r="W140" s="280"/>
      <c r="X140" s="280"/>
      <c r="Y140" s="280"/>
      <c r="AA140" s="254"/>
      <c r="AB140" s="357">
        <f ca="1">SUM(AB138:AB139)</f>
        <v>0</v>
      </c>
      <c r="AC140" s="357">
        <f ca="1">SUM(AC138:AC139)</f>
        <v>0</v>
      </c>
      <c r="AD140" s="357">
        <f ca="1">SUM(AD138:AD139)</f>
        <v>0</v>
      </c>
      <c r="AE140" s="277"/>
      <c r="AF140" s="277"/>
      <c r="AG140" s="277"/>
      <c r="AH140" s="277"/>
      <c r="AI140" s="280"/>
    </row>
    <row r="141" spans="2:35" ht="11.25" customHeight="1">
      <c r="E141" s="277"/>
      <c r="F141" s="277"/>
      <c r="G141" s="277"/>
      <c r="H141" s="277"/>
      <c r="I141" s="277"/>
      <c r="J141" s="254"/>
      <c r="K141" s="277"/>
      <c r="L141" s="254"/>
      <c r="M141" s="254"/>
      <c r="N141" s="254"/>
      <c r="O141" s="254"/>
      <c r="P141" s="254"/>
      <c r="Q141" s="277"/>
      <c r="R141" s="277"/>
      <c r="S141" s="277"/>
      <c r="T141" s="277"/>
      <c r="U141" s="277"/>
      <c r="V141" s="277"/>
      <c r="W141" s="277"/>
      <c r="X141" s="277"/>
      <c r="Y141" s="277"/>
      <c r="Z141" s="277"/>
      <c r="AA141" s="277"/>
      <c r="AB141" s="277"/>
      <c r="AC141" s="277"/>
      <c r="AD141" s="277"/>
      <c r="AE141" s="277"/>
      <c r="AF141" s="277"/>
      <c r="AG141" s="277"/>
      <c r="AH141" s="277"/>
      <c r="AI141" s="277"/>
    </row>
    <row r="142" spans="2:35" ht="11.25" customHeight="1">
      <c r="B142" s="255" t="s">
        <v>133</v>
      </c>
      <c r="L142" s="254"/>
      <c r="M142" s="254"/>
      <c r="N142" s="254"/>
      <c r="O142" s="254"/>
    </row>
  </sheetData>
  <hyperlinks>
    <hyperlink ref="S2" location="Circ" display="Circ" xr:uid="{0BA8C693-4BEB-45C7-9017-F7D522868272}"/>
  </hyperlinks>
  <pageMargins left="0" right="0" top="0.25" bottom="0.5" header="0" footer="0.5"/>
  <pageSetup scale="63" fitToHeight="2" pageOrder="overThenDown" orientation="landscape" r:id="rId1"/>
  <colBreaks count="1" manualBreakCount="1">
    <brk id="30"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7922C-EF06-48A0-B6CE-5FEC13E462E2}">
  <sheetPr>
    <tabColor theme="7" tint="0.39997558519241921"/>
    <pageSetUpPr fitToPage="1"/>
  </sheetPr>
  <dimension ref="C1:AK132"/>
  <sheetViews>
    <sheetView showGridLines="0" view="pageBreakPreview" zoomScale="70" zoomScaleNormal="70" zoomScaleSheetLayoutView="70" workbookViewId="0">
      <selection activeCell="J17" sqref="J17"/>
    </sheetView>
  </sheetViews>
  <sheetFormatPr defaultColWidth="9.19921875" defaultRowHeight="18" outlineLevelRow="1" outlineLevelCol="1"/>
  <cols>
    <col min="1" max="1" width="1.796875" style="206" customWidth="1"/>
    <col min="2" max="2" width="2.46484375" style="206" customWidth="1"/>
    <col min="3" max="3" width="30.796875" style="6" customWidth="1"/>
    <col min="4" max="4" width="15.19921875" style="6" customWidth="1"/>
    <col min="5" max="5" width="13.19921875" style="6" customWidth="1"/>
    <col min="6" max="11" width="11.796875" style="6" customWidth="1"/>
    <col min="12" max="12" width="13" style="6" customWidth="1"/>
    <col min="13" max="13" width="11.796875" style="6" customWidth="1"/>
    <col min="14" max="16" width="11.796875" style="6" customWidth="1" outlineLevel="1"/>
    <col min="17" max="17" width="11.265625" style="6" customWidth="1" outlineLevel="1"/>
    <col min="18" max="18" width="17.796875" style="6" customWidth="1" outlineLevel="1"/>
    <col min="19" max="23" width="19.265625" style="6" customWidth="1" outlineLevel="1"/>
    <col min="24" max="24" width="16.19921875" style="6" customWidth="1" outlineLevel="1"/>
    <col min="25" max="25" width="23.19921875" style="206" bestFit="1" customWidth="1"/>
    <col min="26" max="26" width="21.265625" style="206" bestFit="1" customWidth="1"/>
    <col min="27" max="29" width="16.19921875" style="206" customWidth="1"/>
    <col min="30" max="31" width="12.265625" style="206" bestFit="1" customWidth="1"/>
    <col min="32" max="36" width="9.265625" style="206" bestFit="1" customWidth="1"/>
    <col min="37" max="39" width="10.19921875" style="206" bestFit="1" customWidth="1"/>
    <col min="40" max="16384" width="9.19921875" style="206"/>
  </cols>
  <sheetData>
    <row r="1" spans="3:26" ht="6" customHeight="1" thickBot="1">
      <c r="C1" s="1"/>
      <c r="E1" s="1"/>
      <c r="F1" s="1"/>
      <c r="G1" s="1"/>
      <c r="H1" s="1"/>
      <c r="I1" s="1"/>
      <c r="J1" s="1"/>
      <c r="K1" s="1"/>
      <c r="L1" s="1"/>
      <c r="M1" s="1"/>
      <c r="N1" s="1"/>
      <c r="O1" s="1"/>
      <c r="P1" s="1"/>
      <c r="Q1" s="1"/>
      <c r="R1" s="1"/>
      <c r="S1" s="1"/>
      <c r="T1" s="1"/>
      <c r="U1" s="1"/>
      <c r="V1" s="1"/>
      <c r="W1" s="1"/>
      <c r="X1" s="1"/>
    </row>
    <row r="2" spans="3:26" ht="21.4" thickBot="1">
      <c r="C2" s="208" t="s">
        <v>0</v>
      </c>
      <c r="D2" s="377" t="str">
        <f ca="1">IF(BBswitch=1,_xll.BDP($D$3&amp;" EQUITY","SECURITY_NAME"),D2)</f>
        <v>Delta Air Lines Inc</v>
      </c>
      <c r="E2" s="209"/>
      <c r="F2" s="209"/>
      <c r="G2" s="209"/>
      <c r="H2" s="209"/>
      <c r="I2" s="209"/>
      <c r="J2" s="209"/>
      <c r="K2" s="209"/>
      <c r="L2" s="209"/>
      <c r="M2" s="209"/>
      <c r="N2" s="209"/>
      <c r="O2" s="209"/>
      <c r="P2" s="209"/>
      <c r="Q2" s="209"/>
      <c r="R2" s="209"/>
      <c r="S2" s="209"/>
      <c r="T2" s="209"/>
      <c r="U2" s="210"/>
      <c r="V2" s="210"/>
      <c r="W2" s="211" t="str">
        <f ca="1">"Period Ending: "&amp;TEXT(W3,"m/dd/yy")</f>
        <v>Period Ending: 6/30/2022</v>
      </c>
      <c r="X2" s="2"/>
    </row>
    <row r="3" spans="3:26" ht="18.75" customHeight="1">
      <c r="C3" s="3" t="s">
        <v>1</v>
      </c>
      <c r="D3" s="4" t="s">
        <v>1049</v>
      </c>
      <c r="E3" s="5"/>
      <c r="G3" s="1" t="s">
        <v>2</v>
      </c>
      <c r="I3" s="8" t="str">
        <f ca="1">IFERROR(IF(BBswitch=1,_xll.BDP($D$3&amp;" EQUITY","INDUSTRY_SECTOR"),I3)," NA")</f>
        <v>Consumer, Cyclical</v>
      </c>
      <c r="J3" s="1"/>
      <c r="L3" s="1" t="s">
        <v>3</v>
      </c>
      <c r="M3" s="8" t="str">
        <f ca="1">IFERROR(IF(BBswitch=1,_xll.BDP($D$3&amp;" EQUITY","NAME_OF_CHIEF_EXECUTIVE_OFFICER"),M3)," NA")</f>
        <v>Edward H Bastian "Ed"</v>
      </c>
      <c r="Q3" s="206" t="s">
        <v>4</v>
      </c>
      <c r="S3" s="241"/>
      <c r="T3" s="7"/>
      <c r="V3" s="1" t="s">
        <v>5</v>
      </c>
      <c r="W3" s="376" t="str">
        <f ca="1">IFERROR(IF(BBswitch=1,_xll.BDP($D$3&amp;" EQUITY","LATEST_PERIOD_END_DT_FULL_RECORD"),W3)," NA")</f>
        <v>6/30/2022</v>
      </c>
      <c r="X3" s="1"/>
      <c r="Y3" s="206" t="s">
        <v>6</v>
      </c>
      <c r="Z3" s="356" cm="1">
        <f t="array" aca="1" ref="Z3" ca="1">IF(ISERROR(_xll.BDP($D$3&amp;" EQUITY","px_last")),0,1)</f>
        <v>0</v>
      </c>
    </row>
    <row r="4" spans="3:26" ht="18.75" customHeight="1">
      <c r="C4" s="306" t="s">
        <v>7</v>
      </c>
      <c r="D4" s="202"/>
      <c r="E4" s="202"/>
      <c r="G4" s="1" t="s">
        <v>8</v>
      </c>
      <c r="I4" s="8" t="str">
        <f ca="1">IFERROR(IF(BBswitch=1,_xll.BDP($D$3&amp;" EQUITY","INDUSTRY_SUBGROUP"),I4)," NA")</f>
        <v>Airlines</v>
      </c>
      <c r="J4" s="1"/>
      <c r="L4" s="1" t="s">
        <v>9</v>
      </c>
      <c r="M4" s="8" t="str">
        <f ca="1">IFERROR(IF(BBswitch=1,_xll.BDP($D$3&amp;" EQUITY","CHIEF_FINANCIAL_OFFICER_NAME"),M4)," NA")</f>
        <v>Daniel C Janki "Dan"</v>
      </c>
      <c r="Q4" s="203" t="s">
        <v>10</v>
      </c>
      <c r="R4" s="6" t="s">
        <v>1849</v>
      </c>
      <c r="S4" s="204"/>
      <c r="T4" s="7"/>
      <c r="V4" s="1" t="s">
        <v>11</v>
      </c>
      <c r="W4" s="376" t="str">
        <f ca="1">IFERROR(IF(BBswitch=1,_xll.BDP($D$3&amp;" EQUITY","EXPECTED_REPORT_PERIOD_END_DATE"),W4)," NA")</f>
        <v>9/30/2022</v>
      </c>
      <c r="X4" s="1"/>
    </row>
    <row r="5" spans="3:26" ht="18.75" customHeight="1" thickBot="1">
      <c r="C5" s="304" t="s">
        <v>12</v>
      </c>
      <c r="D5" s="307"/>
      <c r="E5" s="207"/>
      <c r="G5" s="9" t="s">
        <v>13</v>
      </c>
      <c r="H5" s="10"/>
      <c r="I5" s="375" t="str">
        <f ca="1">IFERROR(IF(BBswitch=1,_xll.BDP($D$3&amp;" EQUITY","CITY_OF_DOMICILE"),I5)," NA")</f>
        <v>Atlanta</v>
      </c>
      <c r="J5" s="9"/>
      <c r="L5" s="9" t="s">
        <v>14</v>
      </c>
      <c r="M5" s="375" t="str">
        <f ca="1">IFERROR(IF(BBswitch=1,_xll.BDP($D$3&amp;" EQUITY","IR_CONTACT_NAME"),M5)," NA")</f>
        <v>Julie Stewart</v>
      </c>
      <c r="N5" s="10"/>
      <c r="Q5" s="206" t="s">
        <v>15</v>
      </c>
      <c r="S5" s="242" t="s">
        <v>16</v>
      </c>
      <c r="T5" s="11"/>
      <c r="U5" s="12"/>
      <c r="V5" s="9" t="s">
        <v>17</v>
      </c>
      <c r="W5" s="13" t="str">
        <f ca="1">IFERROR(IF(BBswitch=1,TEXT(_xll.BDP($D$3&amp;" EQUITY","EQY_FISCAL_YR_END"),"MMMM"),W5)," NA")</f>
        <v>December</v>
      </c>
      <c r="X5" s="1"/>
    </row>
    <row r="6" spans="3:26" ht="18.399999999999999" thickBot="1">
      <c r="C6" s="212" t="s">
        <v>18</v>
      </c>
      <c r="D6" s="213"/>
      <c r="E6" s="213"/>
      <c r="F6" s="213"/>
      <c r="G6" s="213"/>
      <c r="H6" s="213"/>
      <c r="I6" s="213"/>
      <c r="J6" s="209"/>
      <c r="K6" s="209"/>
      <c r="L6" s="214"/>
      <c r="M6" s="215" t="s">
        <v>19</v>
      </c>
      <c r="N6" s="216"/>
      <c r="O6" s="216"/>
      <c r="P6" s="216"/>
      <c r="Q6" s="884"/>
      <c r="R6" s="884"/>
      <c r="S6" s="884"/>
      <c r="T6" s="884"/>
      <c r="U6" s="884"/>
      <c r="V6" s="884"/>
      <c r="W6" s="885"/>
      <c r="X6" s="1"/>
      <c r="Y6" s="1200" t="str">
        <f>+Q3</f>
        <v xml:space="preserve">Opportunity Type: </v>
      </c>
      <c r="Z6" s="1200" t="str">
        <f>+Q5</f>
        <v xml:space="preserve">Rimrock Analyst: </v>
      </c>
    </row>
    <row r="7" spans="3:26" ht="18.399999999999999" thickBot="1">
      <c r="C7" s="14" t="s">
        <v>20</v>
      </c>
      <c r="D7" s="15" t="s">
        <v>21</v>
      </c>
      <c r="E7" s="16" t="s">
        <v>22</v>
      </c>
      <c r="F7" s="17" t="s">
        <v>23</v>
      </c>
      <c r="G7" s="17" t="s">
        <v>24</v>
      </c>
      <c r="H7" s="17" t="s">
        <v>25</v>
      </c>
      <c r="I7" s="16" t="s">
        <v>26</v>
      </c>
      <c r="J7" s="17" t="s">
        <v>27</v>
      </c>
      <c r="K7" s="243" t="s">
        <v>28</v>
      </c>
      <c r="L7" s="244" t="s">
        <v>29</v>
      </c>
      <c r="M7" s="18" t="s">
        <v>30</v>
      </c>
      <c r="N7" s="19"/>
      <c r="O7" s="20"/>
      <c r="P7" s="19"/>
      <c r="Q7" s="891" t="s">
        <v>1841</v>
      </c>
      <c r="R7" s="889"/>
      <c r="S7" s="891"/>
      <c r="T7" s="891"/>
      <c r="U7" s="891"/>
      <c r="V7" s="891"/>
      <c r="W7" s="892"/>
      <c r="X7" s="1"/>
      <c r="Y7" s="206" t="s">
        <v>1857</v>
      </c>
      <c r="Z7" s="206" t="s">
        <v>16</v>
      </c>
    </row>
    <row r="8" spans="3:26" ht="18.399999999999999" thickBot="1">
      <c r="C8" s="308" t="str">
        <f>D80</f>
        <v>DAL 4 ½ 10/20/25</v>
      </c>
      <c r="D8" s="309">
        <v>1</v>
      </c>
      <c r="E8" s="201">
        <f ca="1">H80</f>
        <v>0.98714000000000002</v>
      </c>
      <c r="F8" s="310">
        <f ca="1">E8*D8</f>
        <v>0.98714000000000002</v>
      </c>
      <c r="G8" s="311">
        <f ca="1">F80</f>
        <v>2500</v>
      </c>
      <c r="H8" s="201">
        <f ca="1">J80</f>
        <v>5.3132717398967098E-2</v>
      </c>
      <c r="I8" s="312">
        <f ca="1">S80</f>
        <v>207.66162978200552</v>
      </c>
      <c r="J8" s="312">
        <f ca="1">U80</f>
        <v>1.7388476020436627</v>
      </c>
      <c r="K8" s="313">
        <v>80</v>
      </c>
      <c r="L8" s="314">
        <v>0.05</v>
      </c>
      <c r="M8" s="21" t="s">
        <v>31</v>
      </c>
      <c r="N8" s="205" t="s">
        <v>1850</v>
      </c>
      <c r="O8" s="200" t="s">
        <v>1853</v>
      </c>
      <c r="P8" s="1"/>
      <c r="Q8" s="890" t="s">
        <v>555</v>
      </c>
      <c r="R8" s="887"/>
      <c r="S8" s="886"/>
      <c r="T8" s="887"/>
      <c r="U8" s="887"/>
      <c r="V8" s="887"/>
      <c r="W8" s="888"/>
      <c r="X8" s="23"/>
      <c r="Y8" s="206" t="s">
        <v>1858</v>
      </c>
    </row>
    <row r="9" spans="3:26">
      <c r="C9" s="3" t="str">
        <f>D77</f>
        <v>DAL 7 05/01/25</v>
      </c>
      <c r="D9" s="309">
        <v>3.2</v>
      </c>
      <c r="E9" s="1199">
        <f ca="1">H77</f>
        <v>1.0343500000000001</v>
      </c>
      <c r="F9" s="310">
        <f ca="1">E9*D9</f>
        <v>3.3099200000000004</v>
      </c>
      <c r="G9" s="311">
        <f>F77</f>
        <v>2019</v>
      </c>
      <c r="H9" s="201">
        <f ca="1">J77</f>
        <v>5.673483314542558E-2</v>
      </c>
      <c r="I9" s="312">
        <f ca="1">S77</f>
        <v>241.61259886442147</v>
      </c>
      <c r="J9" s="312">
        <f ca="1">U77</f>
        <v>2.470772148541458</v>
      </c>
      <c r="K9" s="313">
        <v>80</v>
      </c>
      <c r="L9" s="314">
        <v>0.05</v>
      </c>
      <c r="M9" s="3" t="s">
        <v>32</v>
      </c>
      <c r="N9" s="379" t="str">
        <f ca="1">IF(BBswitch=1,IF(_xll.BDP($D$3&amp;" EQUITY","RTG_MOODY_LONG_TERM")="#N/A N/A","NA",_xll.BDP($D$3&amp;" EQUITY","RTG_MOODY_LONG_TERM")),N9)</f>
        <v>Baa3</v>
      </c>
      <c r="O9" s="379" t="str">
        <f ca="1">IF(BBswitch=1,IF(_xll.BDP($D$3&amp;" EQUITY","RTG_MDY_OUTLOOK")="#N/A N/A","NA",_xll.BDP($D$3&amp;" EQUITY","RTG_MDY_OUTLOOK")),O9)</f>
        <v>STABLE</v>
      </c>
      <c r="P9" s="1"/>
      <c r="Q9" s="1089" t="s">
        <v>268</v>
      </c>
      <c r="R9" s="1090"/>
      <c r="S9" s="1174">
        <f>'DAL KPI'!$AA$13</f>
        <v>45286.221224842295</v>
      </c>
      <c r="T9" s="1082">
        <f>'DAL KPI'!$AA$13</f>
        <v>45286.221224842295</v>
      </c>
      <c r="U9" s="1082">
        <f>'DAL KPI'!$AA$13</f>
        <v>45286.221224842295</v>
      </c>
      <c r="V9" s="1082">
        <f>'DAL KPI'!$AA$13</f>
        <v>45286.221224842295</v>
      </c>
      <c r="W9" s="1083">
        <f>'DAL KPI'!$AA$13</f>
        <v>45286.221224842295</v>
      </c>
      <c r="X9" s="25"/>
      <c r="Y9" s="206" t="s">
        <v>1859</v>
      </c>
    </row>
    <row r="10" spans="3:26">
      <c r="C10" s="3"/>
      <c r="D10" s="7"/>
      <c r="F10" s="1"/>
      <c r="J10" s="1"/>
      <c r="K10" s="1"/>
      <c r="L10" s="24"/>
      <c r="M10" s="3" t="s">
        <v>33</v>
      </c>
      <c r="N10" s="379" t="str">
        <f ca="1">IF(BBswitch=1,IF(_xll.BDP($D$3&amp;" EQUITY","RTG_SP_LT_LC_ISSUER_CREDIT")="#N/A N/A","NA",_xll.BDP($D$3&amp;" EQUITY","RTG_SP_LT_LC_ISSUER_CREDIT")),N10)</f>
        <v>BB</v>
      </c>
      <c r="O10" s="379" t="str">
        <f ca="1">IF(BBswitch=1,IF(_xll.BDP($D$3&amp;" EQUITY","RTG_SP_OUTLOOK")="#N/A N/A","NA",_xll.BDP($D$3&amp;" EQUITY","RTG_SP_OUTLOOK")),O10)</f>
        <v>STABLE</v>
      </c>
      <c r="P10" s="1"/>
      <c r="Q10" s="800" t="s">
        <v>565</v>
      </c>
      <c r="R10" s="802"/>
      <c r="S10" s="1195">
        <v>2.5</v>
      </c>
      <c r="T10" s="1196">
        <v>3.5</v>
      </c>
      <c r="U10" s="1196">
        <v>4</v>
      </c>
      <c r="V10" s="1196">
        <v>6</v>
      </c>
      <c r="W10" s="1197">
        <v>7.5</v>
      </c>
      <c r="X10" s="25"/>
    </row>
    <row r="11" spans="3:26">
      <c r="C11" s="315"/>
      <c r="D11" s="316"/>
      <c r="E11" s="317"/>
      <c r="F11" s="318"/>
      <c r="G11" s="317"/>
      <c r="H11" s="317"/>
      <c r="I11" s="317"/>
      <c r="J11" s="318"/>
      <c r="K11" s="318"/>
      <c r="L11" s="319"/>
      <c r="M11" s="26"/>
      <c r="P11" s="1"/>
      <c r="Q11" s="800" t="s">
        <v>366</v>
      </c>
      <c r="R11" s="802"/>
      <c r="S11" s="1175">
        <f>'DAL KPI'!$AA$304*'DAL One Pager'!S10+'DAL KPI'!$AA$278+'DAL KPI'!$AA$280</f>
        <v>8216.7110715355575</v>
      </c>
      <c r="T11" s="808">
        <f>'DAL KPI'!$AA$304*'DAL One Pager'!T10+'DAL KPI'!$AA$278+'DAL KPI'!$AA$280</f>
        <v>11681.200104320653</v>
      </c>
      <c r="U11" s="808">
        <f>'DAL KPI'!$AA$304*'DAL One Pager'!U10+'DAL KPI'!$AA$278+'DAL KPI'!$AA$280</f>
        <v>13413.4446207132</v>
      </c>
      <c r="V11" s="808">
        <f>'DAL KPI'!$AA$304*'DAL One Pager'!V10+'DAL KPI'!$AA$278+'DAL KPI'!$AA$280</f>
        <v>20342.422686283389</v>
      </c>
      <c r="W11" s="809">
        <f>'DAL KPI'!$AA$304*'DAL One Pager'!W10+'DAL KPI'!$AA$278+'DAL KPI'!$AA$280</f>
        <v>25539.156235461032</v>
      </c>
      <c r="X11" s="1"/>
    </row>
    <row r="12" spans="3:26">
      <c r="C12" s="320" t="s">
        <v>34</v>
      </c>
      <c r="D12" s="317"/>
      <c r="E12" s="317"/>
      <c r="F12" s="317"/>
      <c r="G12" s="317"/>
      <c r="H12" s="317"/>
      <c r="I12" s="317"/>
      <c r="J12" s="317"/>
      <c r="K12" s="317"/>
      <c r="L12" s="319"/>
      <c r="M12" s="26"/>
      <c r="P12" s="1"/>
      <c r="Q12" s="959" t="s">
        <v>566</v>
      </c>
      <c r="R12" s="1094"/>
      <c r="S12" s="1176">
        <f>S11/'DAL KPI'!$AA$164/10</f>
        <v>3.4589346529436802</v>
      </c>
      <c r="T12" s="960">
        <f>T11/'DAL KPI'!$AA$164/10</f>
        <v>4.9173577453360737</v>
      </c>
      <c r="U12" s="960">
        <f>U11/'DAL KPI'!$AA$164/10</f>
        <v>5.6465692915322707</v>
      </c>
      <c r="V12" s="960">
        <f>V11/'DAL KPI'!$AA$164/10</f>
        <v>8.563415476317056</v>
      </c>
      <c r="W12" s="961">
        <f>W11/'DAL KPI'!$AA$164/10</f>
        <v>10.751050114905645</v>
      </c>
      <c r="X12" s="1"/>
    </row>
    <row r="13" spans="3:26" ht="18.399999999999999" thickBot="1">
      <c r="C13" s="218" t="s">
        <v>35</v>
      </c>
      <c r="D13" s="219"/>
      <c r="E13" s="220"/>
      <c r="F13" s="221"/>
      <c r="G13" s="220"/>
      <c r="H13" s="220"/>
      <c r="I13" s="220"/>
      <c r="J13" s="221"/>
      <c r="K13" s="221"/>
      <c r="L13" s="222"/>
      <c r="M13" s="27" t="s">
        <v>36</v>
      </c>
      <c r="N13" s="1"/>
      <c r="O13" s="28"/>
      <c r="P13" s="1"/>
      <c r="Q13" s="800" t="s">
        <v>593</v>
      </c>
      <c r="R13" s="802"/>
      <c r="S13" s="1175">
        <f ca="1">'DAL KPI'!$AA$242</f>
        <v>29994.607855513314</v>
      </c>
      <c r="T13" s="808">
        <f ca="1">'DAL KPI'!$AA$242</f>
        <v>29994.607855513314</v>
      </c>
      <c r="U13" s="808">
        <f ca="1">'DAL KPI'!$AA$242</f>
        <v>29994.607855513314</v>
      </c>
      <c r="V13" s="808">
        <f ca="1">'DAL KPI'!$AA$242</f>
        <v>29994.607855513314</v>
      </c>
      <c r="W13" s="809">
        <f ca="1">'DAL KPI'!$AA$242</f>
        <v>29994.607855513314</v>
      </c>
      <c r="X13" s="1"/>
    </row>
    <row r="14" spans="3:26">
      <c r="C14" s="26"/>
      <c r="L14" s="24"/>
      <c r="M14" s="30" t="s">
        <v>37</v>
      </c>
      <c r="N14" s="1"/>
      <c r="O14" s="31" t="s">
        <v>38</v>
      </c>
      <c r="P14" s="1"/>
      <c r="Q14" s="1098" t="s">
        <v>88</v>
      </c>
      <c r="R14" s="1095"/>
      <c r="S14" s="1177">
        <f ca="1">S9-S11-S13+'DAL KPI'!$AA$30</f>
        <v>9037.7936809201965</v>
      </c>
      <c r="T14" s="1099">
        <f ca="1">T9-T11-T13+'DAL KPI'!$AA$30</f>
        <v>5573.3046481351021</v>
      </c>
      <c r="U14" s="1099">
        <f ca="1">U9-U11-U13+'DAL KPI'!$AA$30</f>
        <v>3841.060131742558</v>
      </c>
      <c r="V14" s="1099">
        <f ca="1">V9-V11-V13+'DAL KPI'!$AA$30</f>
        <v>-3087.9179338276326</v>
      </c>
      <c r="W14" s="1100">
        <f ca="1">W9-W11-W13+'DAL KPI'!$AA$30</f>
        <v>-8284.6514830052765</v>
      </c>
      <c r="X14" s="1"/>
    </row>
    <row r="15" spans="3:26">
      <c r="C15" s="33"/>
      <c r="D15" s="34"/>
      <c r="E15" s="34"/>
      <c r="F15" s="34"/>
      <c r="G15" s="34"/>
      <c r="H15" s="34"/>
      <c r="I15" s="34"/>
      <c r="J15" s="34"/>
      <c r="K15" s="1"/>
      <c r="L15" s="24"/>
      <c r="M15" s="35" t="s">
        <v>39</v>
      </c>
      <c r="N15" s="1"/>
      <c r="O15" s="36"/>
      <c r="P15" s="1"/>
      <c r="Q15" s="959" t="s">
        <v>1711</v>
      </c>
      <c r="R15" s="1094"/>
      <c r="S15" s="1176">
        <f ca="1">S14/'DAL KPI'!$AA$164/10</f>
        <v>3.8045803822146729</v>
      </c>
      <c r="T15" s="960">
        <f ca="1">T14/'DAL KPI'!$AA$164/10</f>
        <v>2.3461572898222807</v>
      </c>
      <c r="U15" s="960">
        <f ca="1">U14/'DAL KPI'!$AA$164/10</f>
        <v>1.6169457436260857</v>
      </c>
      <c r="V15" s="960">
        <f ca="1">V14/'DAL KPI'!$AA$164/10</f>
        <v>-1.2999004411587005</v>
      </c>
      <c r="W15" s="961">
        <f ca="1">W14/'DAL KPI'!$AA$164/10</f>
        <v>-3.4875350797472904</v>
      </c>
      <c r="X15" s="1"/>
    </row>
    <row r="16" spans="3:26">
      <c r="C16" s="33"/>
      <c r="D16" s="34"/>
      <c r="E16" s="34"/>
      <c r="F16" s="34"/>
      <c r="G16" s="34"/>
      <c r="H16" s="34"/>
      <c r="I16" s="34"/>
      <c r="J16" s="34"/>
      <c r="K16" s="1"/>
      <c r="L16" s="24"/>
      <c r="M16" s="38" t="s">
        <v>40</v>
      </c>
      <c r="N16" s="39"/>
      <c r="O16" s="40"/>
      <c r="P16" s="1"/>
      <c r="Q16" s="800" t="s">
        <v>1789</v>
      </c>
      <c r="R16" s="1095"/>
      <c r="S16" s="1175">
        <f>'DAL Financials'!$R$34</f>
        <v>269</v>
      </c>
      <c r="T16" s="808">
        <f>'DAL Financials'!$R$34</f>
        <v>269</v>
      </c>
      <c r="U16" s="808">
        <f>'DAL Financials'!$R$34</f>
        <v>269</v>
      </c>
      <c r="V16" s="808">
        <f>'DAL Financials'!$R$34</f>
        <v>269</v>
      </c>
      <c r="W16" s="809">
        <f>'DAL Financials'!$R$34</f>
        <v>269</v>
      </c>
      <c r="X16" s="1"/>
    </row>
    <row r="17" spans="3:31" ht="18.399999999999999" thickBot="1">
      <c r="C17" s="33"/>
      <c r="D17" s="34"/>
      <c r="E17" s="34"/>
      <c r="F17" s="34"/>
      <c r="G17" s="34"/>
      <c r="H17" s="34"/>
      <c r="I17" s="34"/>
      <c r="J17" s="34"/>
      <c r="K17" s="1"/>
      <c r="L17" s="24"/>
      <c r="M17" s="35" t="s">
        <v>41</v>
      </c>
      <c r="N17" s="1"/>
      <c r="O17" s="36"/>
      <c r="P17" s="1"/>
      <c r="Q17" s="805" t="s">
        <v>1829</v>
      </c>
      <c r="R17" s="1096"/>
      <c r="S17" s="1178">
        <f ca="1">S14-S16</f>
        <v>8768.7936809201965</v>
      </c>
      <c r="T17" s="1091">
        <f ca="1">T14-T16</f>
        <v>5304.3046481351021</v>
      </c>
      <c r="U17" s="1091">
        <f ca="1">U14-U16</f>
        <v>3572.060131742558</v>
      </c>
      <c r="V17" s="1091">
        <f ca="1">V14-V16</f>
        <v>-3356.9179338276326</v>
      </c>
      <c r="W17" s="1092">
        <f ca="1">W14-W16</f>
        <v>-8553.6514830052765</v>
      </c>
      <c r="X17" s="1"/>
    </row>
    <row r="18" spans="3:31">
      <c r="C18" s="33"/>
      <c r="D18" s="34"/>
      <c r="E18" s="34"/>
      <c r="F18" s="34"/>
      <c r="G18" s="34"/>
      <c r="H18" s="34"/>
      <c r="I18" s="34"/>
      <c r="J18" s="34"/>
      <c r="K18" s="1"/>
      <c r="L18" s="24"/>
      <c r="M18" s="3" t="s">
        <v>42</v>
      </c>
      <c r="N18" s="1"/>
      <c r="O18" s="36"/>
      <c r="P18" s="1"/>
      <c r="Q18" s="807" t="s">
        <v>594</v>
      </c>
      <c r="R18" s="802"/>
      <c r="S18" s="808">
        <f ca="1">'DAL Financials'!$AA$221</f>
        <v>3541.0060110073146</v>
      </c>
      <c r="T18" s="808">
        <f ca="1">'DAL Financials'!$AA$221</f>
        <v>3541.0060110073146</v>
      </c>
      <c r="U18" s="808">
        <f ca="1">'DAL Financials'!$AA$221</f>
        <v>3541.0060110073146</v>
      </c>
      <c r="V18" s="808">
        <f ca="1">'DAL Financials'!$AA$221</f>
        <v>3541.0060110073146</v>
      </c>
      <c r="W18" s="809">
        <f ca="1">'DAL Financials'!$AA$221</f>
        <v>3541.0060110073146</v>
      </c>
      <c r="X18" s="1"/>
    </row>
    <row r="19" spans="3:31">
      <c r="C19" s="33"/>
      <c r="D19" s="34"/>
      <c r="E19" s="34"/>
      <c r="F19" s="34"/>
      <c r="G19" s="34"/>
      <c r="H19" s="34"/>
      <c r="I19" s="34"/>
      <c r="J19" s="34"/>
      <c r="K19" s="1"/>
      <c r="L19" s="24"/>
      <c r="M19" s="3" t="s">
        <v>43</v>
      </c>
      <c r="N19" s="41"/>
      <c r="O19" s="36"/>
      <c r="P19" s="1"/>
      <c r="Q19" s="807" t="s">
        <v>1835</v>
      </c>
      <c r="R19" s="802"/>
      <c r="S19" s="808">
        <f>'DAL Financials'!$AA$235</f>
        <v>-1875.3591348575515</v>
      </c>
      <c r="T19" s="808">
        <f>'DAL Financials'!$AA$235</f>
        <v>-1875.3591348575515</v>
      </c>
      <c r="U19" s="808">
        <f>'DAL Financials'!$AA$235</f>
        <v>-1875.3591348575515</v>
      </c>
      <c r="V19" s="808">
        <f>'DAL Financials'!$AA$235</f>
        <v>-1875.3591348575515</v>
      </c>
      <c r="W19" s="809">
        <f>'DAL Financials'!$AA$235</f>
        <v>-1875.3591348575515</v>
      </c>
      <c r="X19" s="1"/>
    </row>
    <row r="20" spans="3:31">
      <c r="C20" s="33"/>
      <c r="D20" s="34"/>
      <c r="E20" s="34"/>
      <c r="F20" s="34"/>
      <c r="G20" s="34"/>
      <c r="H20" s="34"/>
      <c r="I20" s="34"/>
      <c r="J20" s="34"/>
      <c r="K20" s="1"/>
      <c r="L20" s="24"/>
      <c r="M20" s="3" t="s">
        <v>44</v>
      </c>
      <c r="N20" s="41"/>
      <c r="O20" s="36"/>
      <c r="P20" s="1"/>
      <c r="Q20" s="807" t="s">
        <v>1795</v>
      </c>
      <c r="R20" s="24"/>
      <c r="S20" s="808">
        <f>'DAL Financials'!$Q$243-'DAL Debt'!$AA$57+'DAL Debt'!$AA$53</f>
        <v>-2048.7200000000003</v>
      </c>
      <c r="T20" s="808">
        <f>'DAL Financials'!$Q$243-'DAL Debt'!$AA$57+'DAL Debt'!$AA$53</f>
        <v>-2048.7200000000003</v>
      </c>
      <c r="U20" s="808">
        <f>'DAL Financials'!$Q$243-'DAL Debt'!$AA$57+'DAL Debt'!$AA$53</f>
        <v>-2048.7200000000003</v>
      </c>
      <c r="V20" s="808">
        <f>'DAL Financials'!$Q$243-'DAL Debt'!$AA$57+'DAL Debt'!$AA$53</f>
        <v>-2048.7200000000003</v>
      </c>
      <c r="W20" s="809">
        <f>'DAL Financials'!$Q$243-'DAL Debt'!$AA$57+'DAL Debt'!$AA$53</f>
        <v>-2048.7200000000003</v>
      </c>
    </row>
    <row r="21" spans="3:31">
      <c r="C21" s="33"/>
      <c r="D21" s="34"/>
      <c r="E21" s="34"/>
      <c r="F21" s="34"/>
      <c r="G21" s="34"/>
      <c r="H21" s="34"/>
      <c r="I21" s="34"/>
      <c r="J21" s="34"/>
      <c r="K21" s="1"/>
      <c r="L21" s="24"/>
      <c r="M21" s="3" t="s">
        <v>45</v>
      </c>
      <c r="N21" s="41"/>
      <c r="O21" s="36"/>
      <c r="P21" s="1"/>
      <c r="Q21" s="806" t="s">
        <v>161</v>
      </c>
      <c r="R21" s="1095"/>
      <c r="S21" s="1093">
        <f ca="1">S17+SUM(S18:S20)</f>
        <v>8385.7205570699589</v>
      </c>
      <c r="T21" s="810">
        <f ca="1">T17+SUM(T18:T20)</f>
        <v>4921.2315242848654</v>
      </c>
      <c r="U21" s="810">
        <f ca="1">U17+SUM(U18:U20)</f>
        <v>3188.9870078923209</v>
      </c>
      <c r="V21" s="810">
        <f ca="1">V17+SUM(V18:V20)</f>
        <v>-3739.9910576778698</v>
      </c>
      <c r="W21" s="811">
        <f ca="1">W17+SUM(W18:W20)</f>
        <v>-8936.7246068555141</v>
      </c>
    </row>
    <row r="22" spans="3:31">
      <c r="C22" s="33"/>
      <c r="D22" s="34"/>
      <c r="E22" s="34"/>
      <c r="F22" s="34"/>
      <c r="G22" s="34"/>
      <c r="H22" s="34"/>
      <c r="I22" s="34"/>
      <c r="J22" s="34"/>
      <c r="K22" s="1"/>
      <c r="L22" s="24"/>
      <c r="M22" s="1204" t="s">
        <v>46</v>
      </c>
      <c r="N22" s="42"/>
      <c r="O22" s="43"/>
      <c r="P22" s="1"/>
      <c r="Q22" s="800" t="s">
        <v>1713</v>
      </c>
      <c r="R22" s="802"/>
      <c r="S22" s="808">
        <f>'DAL Financials'!$Q$123+'DAL Financials'!$Q$116</f>
        <v>9955</v>
      </c>
      <c r="T22" s="808">
        <f>'DAL Financials'!$Q$123+'DAL Financials'!$Q$116</f>
        <v>9955</v>
      </c>
      <c r="U22" s="808">
        <f>'DAL Financials'!$Q$123+'DAL Financials'!$Q$116</f>
        <v>9955</v>
      </c>
      <c r="V22" s="808">
        <f>'DAL Financials'!$Q$123+'DAL Financials'!$Q$116</f>
        <v>9955</v>
      </c>
      <c r="W22" s="809">
        <f>'DAL Financials'!$Q$123+'DAL Financials'!$Q$116</f>
        <v>9955</v>
      </c>
      <c r="X22" s="44"/>
    </row>
    <row r="23" spans="3:31" ht="20.25">
      <c r="C23" s="33"/>
      <c r="D23" s="34"/>
      <c r="E23" s="34"/>
      <c r="F23" s="34"/>
      <c r="G23" s="34"/>
      <c r="H23" s="34"/>
      <c r="I23" s="34"/>
      <c r="J23" s="34"/>
      <c r="K23" s="1"/>
      <c r="L23" s="24"/>
      <c r="M23" s="1201" t="s">
        <v>1860</v>
      </c>
      <c r="N23" s="1"/>
      <c r="O23" s="1202"/>
      <c r="P23" s="46"/>
      <c r="Q23" s="800" t="s">
        <v>248</v>
      </c>
      <c r="R23" s="802"/>
      <c r="S23" s="803">
        <f>$S$29</f>
        <v>2900</v>
      </c>
      <c r="T23" s="803">
        <f>$S$29</f>
        <v>2900</v>
      </c>
      <c r="U23" s="803">
        <f>$S$29</f>
        <v>2900</v>
      </c>
      <c r="V23" s="803">
        <f>$S$29</f>
        <v>2900</v>
      </c>
      <c r="W23" s="804">
        <f>$S$29</f>
        <v>2900</v>
      </c>
      <c r="X23" s="44"/>
    </row>
    <row r="24" spans="3:31" ht="18.399999999999999" thickBot="1">
      <c r="C24" s="47"/>
      <c r="D24" s="48"/>
      <c r="E24" s="48"/>
      <c r="F24" s="48"/>
      <c r="G24" s="48"/>
      <c r="H24" s="48"/>
      <c r="I24" s="48"/>
      <c r="J24" s="48"/>
      <c r="K24" s="9"/>
      <c r="L24" s="49"/>
      <c r="M24" s="45" t="s">
        <v>47</v>
      </c>
      <c r="N24" s="51"/>
      <c r="O24" s="1203">
        <f>SUM(O15:O23)</f>
        <v>0</v>
      </c>
      <c r="P24" s="51"/>
      <c r="Q24" s="812" t="s">
        <v>1714</v>
      </c>
      <c r="R24" s="1097"/>
      <c r="S24" s="813">
        <f ca="1">SUM(S21,S22,S23)</f>
        <v>21240.720557069959</v>
      </c>
      <c r="T24" s="813">
        <f ca="1">SUM(T21,T22,T23)</f>
        <v>17776.231524284864</v>
      </c>
      <c r="U24" s="813">
        <f ca="1">SUM(U21,U22,U23)</f>
        <v>16043.987007892321</v>
      </c>
      <c r="V24" s="813">
        <f ca="1">SUM(V21,V22,V23)</f>
        <v>9115.0089423221307</v>
      </c>
      <c r="W24" s="814">
        <f ca="1">SUM(W21,W22,W23)</f>
        <v>3918.2753931444859</v>
      </c>
      <c r="X24" s="44"/>
    </row>
    <row r="25" spans="3:31">
      <c r="C25" s="223" t="s">
        <v>48</v>
      </c>
      <c r="D25" s="224"/>
      <c r="E25" s="225"/>
      <c r="F25" s="226"/>
      <c r="G25" s="225"/>
      <c r="H25" s="226"/>
      <c r="I25" s="226"/>
      <c r="J25" s="226"/>
      <c r="K25" s="226"/>
      <c r="L25" s="226"/>
      <c r="M25" s="226"/>
      <c r="N25" s="227"/>
      <c r="O25" s="227"/>
      <c r="P25" s="226"/>
      <c r="Q25" s="226"/>
      <c r="R25" s="228"/>
      <c r="S25" s="228"/>
      <c r="T25" s="228"/>
      <c r="U25" s="228"/>
      <c r="V25" s="228"/>
      <c r="W25" s="229" t="s">
        <v>49</v>
      </c>
      <c r="X25" s="44"/>
    </row>
    <row r="26" spans="3:31" ht="18.75" customHeight="1">
      <c r="C26" s="27"/>
      <c r="D26" s="1"/>
      <c r="E26" s="1"/>
      <c r="F26" s="1"/>
      <c r="G26" s="1"/>
      <c r="H26" s="1"/>
      <c r="I26" s="1"/>
      <c r="K26" s="321" t="s">
        <v>50</v>
      </c>
      <c r="L26" s="1"/>
      <c r="N26" s="321" t="s">
        <v>51</v>
      </c>
      <c r="O26" s="1"/>
      <c r="P26" s="1"/>
      <c r="Q26" s="37" t="s">
        <v>45</v>
      </c>
      <c r="R26" s="54"/>
      <c r="S26" s="55"/>
      <c r="U26" s="56"/>
      <c r="V26" s="56" t="s">
        <v>52</v>
      </c>
      <c r="W26" s="22"/>
      <c r="X26" s="44"/>
    </row>
    <row r="27" spans="3:31" ht="18.75" customHeight="1">
      <c r="C27" s="57" t="s">
        <v>53</v>
      </c>
      <c r="D27" s="58" t="s">
        <v>54</v>
      </c>
      <c r="E27" s="58" t="s">
        <v>55</v>
      </c>
      <c r="F27" s="39" t="s">
        <v>56</v>
      </c>
      <c r="G27" s="39" t="s">
        <v>57</v>
      </c>
      <c r="H27" s="58" t="s">
        <v>58</v>
      </c>
      <c r="I27" s="58" t="s">
        <v>25</v>
      </c>
      <c r="J27" s="103" t="s">
        <v>59</v>
      </c>
      <c r="K27" s="58" t="s">
        <v>60</v>
      </c>
      <c r="L27" s="59" t="s">
        <v>61</v>
      </c>
      <c r="M27" s="59" t="s">
        <v>62</v>
      </c>
      <c r="N27" s="59" t="str">
        <f>K27</f>
        <v>Leverage</v>
      </c>
      <c r="O27" s="59" t="str">
        <f>L27</f>
        <v xml:space="preserve">x FCF </v>
      </c>
      <c r="P27" s="59" t="str">
        <f>M27</f>
        <v>Int. Cov.</v>
      </c>
      <c r="Q27" s="60" t="s">
        <v>63</v>
      </c>
      <c r="R27" s="1"/>
      <c r="S27" s="61" t="s">
        <v>64</v>
      </c>
      <c r="U27" s="62"/>
      <c r="V27" s="63" t="s">
        <v>65</v>
      </c>
      <c r="W27" s="934" t="s">
        <v>64</v>
      </c>
      <c r="X27" s="44"/>
    </row>
    <row r="28" spans="3:31" ht="18.75" customHeight="1">
      <c r="C28" s="64" t="s">
        <v>1759</v>
      </c>
      <c r="D28" s="303"/>
      <c r="E28" s="1043">
        <f ca="1">SUM(F76:F84)</f>
        <v>18211.508000000002</v>
      </c>
      <c r="F28" s="1044">
        <f ca="1">SUMPRODUCT(F76:F85,G76:G85)/SUM(F76:F85)</f>
        <v>4.9953519810270602E-2</v>
      </c>
      <c r="G28" s="1044">
        <f ca="1">SUMPRODUCT(G76:G85,H76:H85)/SUM(G76:G85)</f>
        <v>0.98798257726819549</v>
      </c>
      <c r="H28" s="1044">
        <f ca="1">SUMPRODUCT(H76:H85,I76:I85)/SUM(H76:H85)</f>
        <v>5.1212914163379433E-2</v>
      </c>
      <c r="I28" s="1044">
        <f ca="1">SUMPRODUCT(I76:I85,J76:J85)/SUM(I76:I85)</f>
        <v>3.1266514416379697E-2</v>
      </c>
      <c r="J28" s="199">
        <f ca="1">IFERROR(K28/$K$35,"NM ")</f>
        <v>0.53046140663214814</v>
      </c>
      <c r="K28" s="65">
        <f ca="1">IF($E$36&lt;=0,"NM ",SUM(E28:E$28)/$E$36)</f>
        <v>3.3348316472537496</v>
      </c>
      <c r="L28" s="65" t="str" cm="1">
        <f t="array" aca="1" ref="L28" ca="1">IF(($J$51*$J$43)&lt;=0,"NM ",SUM(E28:E$28/($J$51*$J$43)))</f>
        <v xml:space="preserve">NM </v>
      </c>
      <c r="M28" s="65">
        <f ca="1">IF($E$36&lt;0,"NM ",$E$36/SUMPRODUCT($E$28:E28,$F$28:F28))</f>
        <v>6.0028845509256872</v>
      </c>
      <c r="N28" s="65">
        <f ca="1">IFERROR(K28*G28,"NM ")</f>
        <v>3.2947555656093015</v>
      </c>
      <c r="O28" s="65" t="str">
        <f ca="1">IFERROR(L28*G28,"NM ")</f>
        <v xml:space="preserve">NM </v>
      </c>
      <c r="P28" s="65">
        <f ca="1">IFERROR(M28*(F28/H28),"NM ")</f>
        <v>5.8552655561994325</v>
      </c>
      <c r="Q28" s="66" t="s">
        <v>67</v>
      </c>
      <c r="R28" s="67"/>
      <c r="S28" s="629">
        <f>-E31</f>
        <v>11471</v>
      </c>
      <c r="U28" s="68"/>
      <c r="V28" s="69">
        <v>2022</v>
      </c>
      <c r="W28" s="370">
        <f>'DAL Debt'!AA57-'DAL Debt'!AA53</f>
        <v>605.72</v>
      </c>
      <c r="X28" s="44"/>
    </row>
    <row r="29" spans="3:31" ht="18.75" customHeight="1">
      <c r="C29" s="64" t="s">
        <v>1766</v>
      </c>
      <c r="D29" s="322"/>
      <c r="E29" s="1043">
        <f>SUM(F85:F87)</f>
        <v>6710</v>
      </c>
      <c r="F29" s="1044">
        <f>SUMPRODUCT(F85:F87,G85:G87)/SUM(F85:F87)</f>
        <v>2.9841698956780922E-2</v>
      </c>
      <c r="G29" s="1044">
        <f>SUMPRODUCT(G85:G87,H85:H87)/SUM(G85:G87)</f>
        <v>1</v>
      </c>
      <c r="H29" s="1044">
        <f>SUMPRODUCT(H85:H87,I85:I87)/SUM(H85:H87)</f>
        <v>3.7983333333333334E-2</v>
      </c>
      <c r="I29" s="1044">
        <f>SUMPRODUCT(I85:I87,J85:J87)/SUM(I85:I87)</f>
        <v>0</v>
      </c>
      <c r="J29" s="1052">
        <f t="shared" ref="J29:J35" ca="1" si="0">IFERROR(K29/$K$35,"NM ")</f>
        <v>0.72590903450029143</v>
      </c>
      <c r="K29" s="65">
        <f ca="1">IF($E$36&lt;=0,"NM ",SUM(E$28:E29)/$E$36)</f>
        <v>4.5635448517326243</v>
      </c>
      <c r="L29" s="65" t="str" cm="1">
        <f t="array" aca="1" ref="L29" ca="1">IF(($J$51*$J$43)&lt;=0,"NM ",SUM(E$28:E29/($J$51*$J$43)))</f>
        <v xml:space="preserve">NM </v>
      </c>
      <c r="M29" s="65">
        <f ca="1">IF($E$36&lt;0,"NM ",$E$36/SUMPRODUCT($E$28:E29,$F$28:F29))</f>
        <v>4.9199652450119826</v>
      </c>
      <c r="N29" s="65">
        <f ca="1">IFERROR(K29*G29,"NM ")</f>
        <v>4.5635448517326243</v>
      </c>
      <c r="O29" s="65" t="str">
        <f ca="1">IFERROR(L29*G29,"NM ")</f>
        <v xml:space="preserve">NM </v>
      </c>
      <c r="P29" s="65">
        <f ca="1">IFERROR(M29*(F29/H29),"NM ")</f>
        <v>3.8653827569847952</v>
      </c>
      <c r="Q29" s="70" t="s">
        <v>68</v>
      </c>
      <c r="R29" s="1"/>
      <c r="S29" s="1045">
        <v>2900</v>
      </c>
      <c r="U29" s="68"/>
      <c r="V29" s="69">
        <f>V28+1</f>
        <v>2023</v>
      </c>
      <c r="W29" s="370">
        <f>'DAL Debt'!AB57-'DAL Debt'!AB53</f>
        <v>2019.77</v>
      </c>
      <c r="X29" s="44"/>
    </row>
    <row r="30" spans="3:31" ht="18.75" customHeight="1">
      <c r="C30" s="74" t="s">
        <v>69</v>
      </c>
      <c r="D30" s="75"/>
      <c r="E30" s="76">
        <f ca="1">SUM(E28:E29)+'DAL Debt'!R32</f>
        <v>24745.508000000002</v>
      </c>
      <c r="F30" s="77">
        <f ca="1">SUMPRODUCT($E$28:$E$29,F28:F29)/SUM($E$28:$E$29)</f>
        <v>4.4538505681634581E-2</v>
      </c>
      <c r="G30" s="77">
        <f ca="1">SUMPRODUCT($E$28:$E$29,G28:G29)/SUM($E$28:$E$29)</f>
        <v>0.99121821238828567</v>
      </c>
      <c r="H30" s="77">
        <f ca="1">SUMPRODUCT($E$28:$E$29,H28:H29)/SUM($E$28:$E$29)</f>
        <v>4.7650911118876295E-2</v>
      </c>
      <c r="I30" s="77">
        <f ca="1">SUMPRODUCT($E$28:$E$29,I28:I29)/SUM($E$28:$E$29)</f>
        <v>2.2848150979708538E-2</v>
      </c>
      <c r="J30" s="323">
        <f t="shared" ca="1" si="0"/>
        <v>0.72078253934309411</v>
      </c>
      <c r="K30" s="78">
        <f ca="1">IF($E$36&lt;=0,"NM ",E30/$E$36)</f>
        <v>4.5313163086643256</v>
      </c>
      <c r="L30" s="78" t="str">
        <f ca="1">IF(($J$51*$J$43)&lt;=0,"NM ",E30/($J$51*$J$43))</f>
        <v xml:space="preserve">NM </v>
      </c>
      <c r="M30" s="78">
        <f ca="1">IF($E$36&lt;0,"NM ",$E$36/(E30*F30))</f>
        <v>4.9549580155431876</v>
      </c>
      <c r="N30" s="78">
        <f ca="1">IFERROR(K30*G30,"NM ")</f>
        <v>4.491523251240138</v>
      </c>
      <c r="O30" s="78" t="str">
        <f ca="1">IFERROR(L30*G30,"NM ")</f>
        <v xml:space="preserve">NM </v>
      </c>
      <c r="P30" s="78">
        <f ca="1">IFERROR(M30*(F30/H30),"NM ")</f>
        <v>4.631315971629113</v>
      </c>
      <c r="Q30" s="70" t="s">
        <v>70</v>
      </c>
      <c r="R30" s="1"/>
      <c r="S30" s="373">
        <f>S29</f>
        <v>2900</v>
      </c>
      <c r="U30" s="68"/>
      <c r="V30" s="69">
        <f>V29+1</f>
        <v>2024</v>
      </c>
      <c r="W30" s="370">
        <f>'DAL Debt'!AC57-'DAL Debt'!AC53</f>
        <v>2019.77</v>
      </c>
      <c r="X30" s="44"/>
    </row>
    <row r="31" spans="3:31" ht="18.75" customHeight="1">
      <c r="C31" s="80" t="s">
        <v>71</v>
      </c>
      <c r="D31" s="62"/>
      <c r="E31" s="81">
        <f>-'DAL Calculation'!$U$26-'DAL Financials'!Q123</f>
        <v>-11471</v>
      </c>
      <c r="F31" s="81"/>
      <c r="G31" s="82"/>
      <c r="H31" s="82"/>
      <c r="I31" s="82"/>
      <c r="J31" s="199">
        <f t="shared" ca="1" si="0"/>
        <v>-0.33412514743300614</v>
      </c>
      <c r="K31" s="83">
        <f ca="1">IF($E$36&lt;=0,"NM ",E31/$E$36)</f>
        <v>-2.1005319178207404</v>
      </c>
      <c r="L31" s="83" t="str">
        <f ca="1">IF(($J$51*$J$43)&lt;=0,"NM ",E31/($J$51*$J$43))</f>
        <v xml:space="preserve">NM </v>
      </c>
      <c r="M31" s="83"/>
      <c r="N31" s="83">
        <f ca="1">K31</f>
        <v>-2.1005319178207404</v>
      </c>
      <c r="O31" s="83" t="str">
        <f ca="1">L31</f>
        <v xml:space="preserve">NM </v>
      </c>
      <c r="P31" s="83"/>
      <c r="Q31" s="70" t="s">
        <v>72</v>
      </c>
      <c r="R31" s="1"/>
      <c r="S31" s="374">
        <f>-'DAL Debt'!P123</f>
        <v>0</v>
      </c>
      <c r="U31" s="71"/>
      <c r="V31" s="69">
        <f>V30+1</f>
        <v>2025</v>
      </c>
      <c r="W31" s="370">
        <f>'DAL Debt'!AD57-'DAL Debt'!AD53</f>
        <v>3894.7799999999997</v>
      </c>
      <c r="X31" s="1"/>
    </row>
    <row r="32" spans="3:31" ht="18.75" customHeight="1">
      <c r="C32" s="85" t="s">
        <v>73</v>
      </c>
      <c r="D32" s="86"/>
      <c r="E32" s="87">
        <f ca="1">E30+E31</f>
        <v>13274.508000000002</v>
      </c>
      <c r="F32" s="86"/>
      <c r="G32" s="82"/>
      <c r="H32" s="82"/>
      <c r="I32" s="82"/>
      <c r="J32" s="199">
        <f t="shared" ca="1" si="0"/>
        <v>0.38665739191008802</v>
      </c>
      <c r="K32" s="65">
        <f ca="1">IFERROR(K30+K31,"NM ")</f>
        <v>2.4307843908435851</v>
      </c>
      <c r="L32" s="65" t="str">
        <f ca="1">IFERROR(L30+L31,"NM ")</f>
        <v xml:space="preserve">NM </v>
      </c>
      <c r="M32" s="65"/>
      <c r="N32" s="65">
        <f ca="1">IFERROR(N30+N31,"NM ")</f>
        <v>2.3909913334193975</v>
      </c>
      <c r="O32" s="65" t="str">
        <f ca="1">IFERROR(O30+O31,"NM ")</f>
        <v xml:space="preserve">NM </v>
      </c>
      <c r="P32" s="65"/>
      <c r="Q32" s="60" t="s">
        <v>74</v>
      </c>
      <c r="R32" s="1"/>
      <c r="S32" s="1046">
        <v>-100</v>
      </c>
      <c r="U32" s="72"/>
      <c r="V32" s="73">
        <f>V31+1</f>
        <v>2026</v>
      </c>
      <c r="W32" s="1047">
        <v>3051</v>
      </c>
      <c r="X32" s="1"/>
      <c r="Y32" s="801"/>
      <c r="Z32" s="801"/>
      <c r="AA32" s="801"/>
      <c r="AB32" s="801"/>
      <c r="AC32" s="801"/>
      <c r="AD32" s="801"/>
      <c r="AE32" s="802"/>
    </row>
    <row r="33" spans="3:24" ht="18.75" customHeight="1">
      <c r="C33" s="90" t="s">
        <v>75</v>
      </c>
      <c r="D33" s="86"/>
      <c r="E33" s="1012">
        <v>0</v>
      </c>
      <c r="F33" s="86"/>
      <c r="G33" s="86"/>
      <c r="H33" s="86"/>
      <c r="I33" s="86"/>
      <c r="J33" s="199">
        <f t="shared" ca="1" si="0"/>
        <v>0</v>
      </c>
      <c r="K33" s="65">
        <f ca="1">IF($E$36&lt;=0,"NM ",E33/$E$36)</f>
        <v>0</v>
      </c>
      <c r="L33" s="65" t="str">
        <f ca="1">IF(($J$51*$J$43)&lt;=0,"NM ",E33/($J$51*$J$43))</f>
        <v xml:space="preserve">NM </v>
      </c>
      <c r="M33" s="65"/>
      <c r="N33" s="65">
        <f ca="1">K33</f>
        <v>0</v>
      </c>
      <c r="O33" s="65" t="str">
        <f ca="1">L33</f>
        <v xml:space="preserve">NM </v>
      </c>
      <c r="P33" s="65"/>
      <c r="Q33" s="70" t="s">
        <v>76</v>
      </c>
      <c r="R33" s="206"/>
      <c r="S33" s="630">
        <f>S30+S31+S32</f>
        <v>2800</v>
      </c>
      <c r="T33" s="206"/>
      <c r="U33" s="1"/>
      <c r="V33" s="79" t="s">
        <v>77</v>
      </c>
      <c r="W33" s="371">
        <f ca="1">SUM(E28:E29)-SUM(W28:W32)</f>
        <v>13330.468000000001</v>
      </c>
      <c r="X33" s="1"/>
    </row>
    <row r="34" spans="3:24" ht="18.75" customHeight="1">
      <c r="C34" s="91" t="s">
        <v>78</v>
      </c>
      <c r="D34" s="62"/>
      <c r="E34" s="92">
        <f ca="1">IF(BBswitch=1,_xll.BDP($D$3&amp;" EQUITY","CUR MKT CAP")/10^6,E34)</f>
        <v>21056.939627120002</v>
      </c>
      <c r="F34" s="88"/>
      <c r="G34" s="82"/>
      <c r="H34" s="82"/>
      <c r="I34" s="82"/>
      <c r="J34" s="199">
        <f t="shared" ca="1" si="0"/>
        <v>0.61334260808991192</v>
      </c>
      <c r="K34" s="83">
        <f ca="1">IF($E$36&lt;=0,"NM ",E34/$E$36)</f>
        <v>3.8558777594272451</v>
      </c>
      <c r="L34" s="83" t="str">
        <f ca="1">IF(($J$51*$J$43)&lt;=0,"NM ",E34/($J$51*$J$43))</f>
        <v xml:space="preserve">NM </v>
      </c>
      <c r="M34" s="83"/>
      <c r="N34" s="83">
        <f ca="1">K34</f>
        <v>3.8558777594272451</v>
      </c>
      <c r="O34" s="83" t="str">
        <f ca="1">L34</f>
        <v xml:space="preserve">NM </v>
      </c>
      <c r="P34" s="65"/>
      <c r="Q34" s="84" t="s">
        <v>79</v>
      </c>
      <c r="R34" s="67"/>
      <c r="S34" s="631">
        <f>S33+S28</f>
        <v>14271</v>
      </c>
      <c r="T34" s="206"/>
      <c r="U34" s="1"/>
      <c r="V34" s="1"/>
      <c r="W34" s="22"/>
      <c r="X34" s="1"/>
    </row>
    <row r="35" spans="3:24" ht="18.75" customHeight="1">
      <c r="C35" s="64" t="s">
        <v>80</v>
      </c>
      <c r="D35" s="86"/>
      <c r="E35" s="87">
        <f ca="1">E34+E32+E33</f>
        <v>34331.447627120004</v>
      </c>
      <c r="F35" s="93"/>
      <c r="G35" s="82"/>
      <c r="H35" s="82"/>
      <c r="I35" s="65"/>
      <c r="J35" s="199">
        <f t="shared" ca="1" si="0"/>
        <v>1</v>
      </c>
      <c r="K35" s="65">
        <f ca="1">IFERROR(K34+K32+K33,"NM ")</f>
        <v>6.2866621502708302</v>
      </c>
      <c r="L35" s="65" t="str">
        <f ca="1">IFERROR(L34+L32+L33,"NM ")</f>
        <v xml:space="preserve">NM </v>
      </c>
      <c r="M35" s="65"/>
      <c r="N35" s="65">
        <f ca="1">IFERROR(N34+N32+N33,"NM ")</f>
        <v>6.2468690928466426</v>
      </c>
      <c r="O35" s="65" t="str">
        <f ca="1">IFERROR(O34+O32+O33,"NM ")</f>
        <v xml:space="preserve">NM </v>
      </c>
      <c r="P35" s="94"/>
      <c r="Q35" s="32"/>
      <c r="U35" s="89"/>
      <c r="V35" s="89"/>
      <c r="W35" s="22"/>
      <c r="X35" s="1"/>
    </row>
    <row r="36" spans="3:24" ht="18.75" customHeight="1">
      <c r="C36" s="95" t="s">
        <v>1767</v>
      </c>
      <c r="D36" s="96"/>
      <c r="E36" s="97">
        <f ca="1">J48</f>
        <v>5460.9977133320263</v>
      </c>
      <c r="P36" s="206"/>
      <c r="Q36" s="32"/>
      <c r="R36" s="206"/>
      <c r="S36" s="1"/>
      <c r="T36" s="206"/>
      <c r="U36" s="1"/>
      <c r="V36" s="1"/>
      <c r="W36" s="22"/>
      <c r="X36" s="1"/>
    </row>
    <row r="37" spans="3:24" ht="18.75" customHeight="1">
      <c r="C37" s="33"/>
      <c r="Q37" s="29"/>
      <c r="T37" s="206"/>
      <c r="U37" s="1"/>
      <c r="V37" s="1"/>
      <c r="W37" s="22"/>
      <c r="X37" s="1"/>
    </row>
    <row r="38" spans="3:24" ht="18.75" customHeight="1">
      <c r="C38" s="33"/>
      <c r="Q38" s="29"/>
      <c r="T38" s="206"/>
      <c r="U38" s="1"/>
      <c r="V38" s="1"/>
      <c r="W38" s="22"/>
      <c r="X38" s="1"/>
    </row>
    <row r="39" spans="3:24" ht="18.75" customHeight="1">
      <c r="C39" s="33"/>
      <c r="Q39" s="29"/>
      <c r="T39" s="206"/>
      <c r="U39" s="1"/>
      <c r="V39" s="1"/>
      <c r="W39" s="22"/>
      <c r="X39" s="1"/>
    </row>
    <row r="40" spans="3:24" ht="18.75" customHeight="1" thickBot="1">
      <c r="C40" s="50"/>
      <c r="D40" s="51"/>
      <c r="E40" s="51"/>
      <c r="F40" s="10"/>
      <c r="G40" s="10"/>
      <c r="H40" s="10"/>
      <c r="I40" s="10"/>
      <c r="J40" s="10"/>
      <c r="K40" s="10"/>
      <c r="L40" s="10"/>
      <c r="M40" s="10"/>
      <c r="N40" s="10"/>
      <c r="O40" s="10"/>
      <c r="P40" s="51"/>
      <c r="Q40" s="98"/>
      <c r="R40" s="10"/>
      <c r="S40" s="10"/>
      <c r="T40" s="51"/>
      <c r="U40" s="9"/>
      <c r="V40" s="9"/>
      <c r="W40" s="99"/>
      <c r="X40" s="100"/>
    </row>
    <row r="41" spans="3:24" ht="18.75" customHeight="1">
      <c r="C41" s="230" t="s">
        <v>81</v>
      </c>
      <c r="D41" s="231"/>
      <c r="E41" s="232"/>
      <c r="F41" s="232"/>
      <c r="G41" s="232"/>
      <c r="H41" s="232"/>
      <c r="I41" s="232"/>
      <c r="J41" s="232"/>
      <c r="K41" s="232"/>
      <c r="L41" s="232"/>
      <c r="M41" s="232"/>
      <c r="N41" s="232"/>
      <c r="O41" s="232"/>
      <c r="P41" s="233"/>
      <c r="Q41" s="234" t="s">
        <v>82</v>
      </c>
      <c r="R41" s="235"/>
      <c r="S41" s="235"/>
      <c r="T41" s="235"/>
      <c r="U41" s="235"/>
      <c r="V41" s="235"/>
      <c r="W41" s="236"/>
      <c r="X41" s="1"/>
    </row>
    <row r="42" spans="3:24" ht="18.75" customHeight="1">
      <c r="C42" s="57"/>
      <c r="D42" s="39"/>
      <c r="E42" s="101" t="str">
        <f>+'DAL Calculation'!G5</f>
        <v>FY18A</v>
      </c>
      <c r="F42" s="102" t="str">
        <f>+'DAL Calculation'!H5</f>
        <v>FY19A</v>
      </c>
      <c r="G42" s="102" t="str">
        <f>+'DAL Calculation'!I5</f>
        <v>FY20A</v>
      </c>
      <c r="H42" s="102" t="str">
        <f>+'DAL Calculation'!J5</f>
        <v>FY21A</v>
      </c>
      <c r="I42" s="103" t="str">
        <f>+'DAL Calculation'!K5</f>
        <v>LTM</v>
      </c>
      <c r="J42" s="104" t="str">
        <f>+'DAL Calculation'!L5</f>
        <v>FY22E</v>
      </c>
      <c r="K42" s="105" t="str">
        <f>+'DAL Calculation'!M5</f>
        <v>FY23E</v>
      </c>
      <c r="L42" s="103" t="str">
        <f>+'DAL Calculation'!R5</f>
        <v>Q321A</v>
      </c>
      <c r="M42" s="103" t="str">
        <f>+'DAL Calculation'!S5</f>
        <v>Q421A</v>
      </c>
      <c r="N42" s="103" t="str">
        <f>+'DAL Calculation'!T5</f>
        <v>Q122A</v>
      </c>
      <c r="O42" s="103" t="str">
        <f>+'DAL Calculation'!U5</f>
        <v>Q222A</v>
      </c>
      <c r="P42" s="103" t="str">
        <f>+'DAL Calculation'!V5</f>
        <v>Q322E</v>
      </c>
      <c r="Q42" s="26"/>
      <c r="W42" s="22"/>
      <c r="X42" s="1"/>
    </row>
    <row r="43" spans="3:24" ht="18.75" customHeight="1">
      <c r="C43" s="106" t="str">
        <f>'DAL Calculation'!C36</f>
        <v xml:space="preserve">Revenue </v>
      </c>
      <c r="D43" s="67"/>
      <c r="E43" s="107">
        <f>'DAL Calculation'!G36</f>
        <v>44438</v>
      </c>
      <c r="F43" s="107">
        <f>'DAL Calculation'!H36</f>
        <v>46719</v>
      </c>
      <c r="G43" s="107">
        <f>'DAL Calculation'!I36</f>
        <v>15945</v>
      </c>
      <c r="H43" s="107">
        <f>'DAL Calculation'!J36</f>
        <v>26671</v>
      </c>
      <c r="I43" s="107">
        <f>'DAL Calculation'!K36</f>
        <v>37183</v>
      </c>
      <c r="J43" s="108">
        <f>'DAL Calculation'!L36</f>
        <v>45286.221224842295</v>
      </c>
      <c r="K43" s="109">
        <f>'DAL Calculation'!M36</f>
        <v>50990.138280343876</v>
      </c>
      <c r="L43" s="107">
        <f>'DAL Calculation'!R36</f>
        <v>8282</v>
      </c>
      <c r="M43" s="107">
        <f>'DAL Calculation'!S36</f>
        <v>8430</v>
      </c>
      <c r="N43" s="107">
        <f>'DAL Calculation'!T36</f>
        <v>8161</v>
      </c>
      <c r="O43" s="107">
        <f>'DAL Calculation'!U36</f>
        <v>12310</v>
      </c>
      <c r="P43" s="107">
        <f>'DAL Calculation'!V36</f>
        <v>12936.428907457415</v>
      </c>
      <c r="Q43" s="26"/>
      <c r="T43" s="206"/>
      <c r="U43" s="1"/>
      <c r="V43" s="1"/>
      <c r="W43" s="22"/>
      <c r="X43" s="1"/>
    </row>
    <row r="44" spans="3:24" ht="18.75" customHeight="1">
      <c r="C44" s="57" t="str">
        <f>'DAL Calculation'!C37</f>
        <v>Revenue Growth</v>
      </c>
      <c r="D44" s="39"/>
      <c r="E44" s="110">
        <f>'DAL Calculation'!G37</f>
        <v>8.0217803490689965E-2</v>
      </c>
      <c r="F44" s="110">
        <f>'DAL Calculation'!H37</f>
        <v>5.1329942841711995E-2</v>
      </c>
      <c r="G44" s="110">
        <f>'DAL Calculation'!I37</f>
        <v>-0.65870416746933791</v>
      </c>
      <c r="H44" s="110">
        <f>'DAL Calculation'!J37</f>
        <v>0.67268736280965813</v>
      </c>
      <c r="I44" s="110">
        <f>'DAL Calculation'!K37</f>
        <v>1.3043505205751114</v>
      </c>
      <c r="J44" s="111">
        <f>'DAL Calculation'!L37</f>
        <v>0.69795737785768419</v>
      </c>
      <c r="K44" s="112">
        <f>'DAL Calculation'!M37</f>
        <v>0.12595259443666351</v>
      </c>
      <c r="L44" s="110">
        <f>'DAL Calculation'!R37</f>
        <v>2.1311909262759925</v>
      </c>
      <c r="M44" s="110">
        <f>'DAL Calculation'!S37</f>
        <v>1.3867497168742924</v>
      </c>
      <c r="N44" s="110">
        <f>'DAL Calculation'!T37</f>
        <v>1.2606648199445982</v>
      </c>
      <c r="O44" s="110">
        <f>'DAL Calculation'!U37</f>
        <v>0.93888801386045051</v>
      </c>
      <c r="P44" s="110">
        <f>'DAL Calculation'!V37</f>
        <v>0.56199334791806521</v>
      </c>
      <c r="Q44" s="26"/>
      <c r="T44" s="206"/>
      <c r="U44" s="1"/>
      <c r="V44" s="1"/>
      <c r="W44" s="22"/>
      <c r="X44" s="1"/>
    </row>
    <row r="45" spans="3:24" ht="18.75" customHeight="1">
      <c r="C45" s="3" t="str">
        <f>'DAL Calculation'!C38</f>
        <v>Gross Profit (% of rev)</v>
      </c>
      <c r="D45" s="113"/>
      <c r="E45" s="324">
        <f>'DAL Calculation'!G38</f>
        <v>0.27512489310950089</v>
      </c>
      <c r="F45" s="324">
        <f>'DAL Calculation'!H38</f>
        <v>0.3188210364091697</v>
      </c>
      <c r="G45" s="324">
        <f>'DAL Calculation'!I38</f>
        <v>-0.2607714016933208</v>
      </c>
      <c r="H45" s="324">
        <f>'DAL Calculation'!J38</f>
        <v>6.8688838063814636E-2</v>
      </c>
      <c r="I45" s="324">
        <f ca="1">'DAL Calculation'!K38</f>
        <v>0.17661296829196138</v>
      </c>
      <c r="J45" s="111">
        <f ca="1">'DAL Calculation'!L38</f>
        <v>0.19967230147258511</v>
      </c>
      <c r="K45" s="112">
        <f>'DAL Calculation'!M38</f>
        <v>0.22518580998946297</v>
      </c>
      <c r="L45" s="324">
        <f>'DAL Calculation'!R38</f>
        <v>0.19331079449408356</v>
      </c>
      <c r="M45" s="324">
        <f>'DAL Calculation'!S38</f>
        <v>0.18505338078291814</v>
      </c>
      <c r="N45" s="324">
        <f>'DAL Calculation'!T38</f>
        <v>5.3179757382673692E-2</v>
      </c>
      <c r="O45" s="324">
        <f ca="1">'DAL Calculation'!U38</f>
        <v>0.24142973192526401</v>
      </c>
      <c r="P45" s="324">
        <f ca="1">'DAL Calculation'!V38</f>
        <v>0.24333297940217144</v>
      </c>
      <c r="Q45" s="26"/>
      <c r="U45" s="1"/>
      <c r="V45" s="1"/>
      <c r="W45" s="22"/>
      <c r="X45" s="1"/>
    </row>
    <row r="46" spans="3:24" ht="18.75" customHeight="1">
      <c r="C46" s="3" t="str">
        <f>'DAL Calculation'!C39</f>
        <v>SG&amp;A (% of rev)</v>
      </c>
      <c r="D46" s="113"/>
      <c r="E46" s="110">
        <f>'DAL Calculation'!G39</f>
        <v>3.7400423061343897E-2</v>
      </c>
      <c r="F46" s="110">
        <f>'DAL Calculation'!H39</f>
        <v>4.7304094693807662E-2</v>
      </c>
      <c r="G46" s="110">
        <f>'DAL Calculation'!I39</f>
        <v>3.9636249608027592E-2</v>
      </c>
      <c r="H46" s="110">
        <f>'DAL Calculation'!J39</f>
        <v>3.5731693599790032E-2</v>
      </c>
      <c r="I46" s="110">
        <f>'DAL Calculation'!K39</f>
        <v>3.9238361616867924E-2</v>
      </c>
      <c r="J46" s="111">
        <f>'DAL Calculation'!L39</f>
        <v>3.942567972134884E-2</v>
      </c>
      <c r="K46" s="112">
        <f>'DAL Calculation'!M39</f>
        <v>3.5080455816613447E-2</v>
      </c>
      <c r="L46" s="110">
        <f>'DAL Calculation'!R39</f>
        <v>3.7189084762134748E-2</v>
      </c>
      <c r="M46" s="110">
        <f>'DAL Calculation'!S39</f>
        <v>3.7129300118623962E-2</v>
      </c>
      <c r="N46" s="110">
        <f>'DAL Calculation'!T39</f>
        <v>3.8230608993995836E-2</v>
      </c>
      <c r="O46" s="110">
        <f>'DAL Calculation'!U39</f>
        <v>4.2729488220958567E-2</v>
      </c>
      <c r="P46" s="110">
        <f>'DAL Calculation'!V39</f>
        <v>4.1560080342170819E-2</v>
      </c>
      <c r="Q46" s="114"/>
      <c r="R46" s="206"/>
      <c r="S46" s="206"/>
      <c r="U46" s="1"/>
      <c r="V46" s="1"/>
      <c r="W46" s="22"/>
      <c r="X46" s="1"/>
    </row>
    <row r="47" spans="3:24" ht="18.75" customHeight="1">
      <c r="C47" s="3" t="str">
        <f>'DAL Calculation'!C40</f>
        <v>EBIT (% of rev)</v>
      </c>
      <c r="E47" s="110">
        <f>'DAL Calculation'!G40</f>
        <v>0.14654124848102976</v>
      </c>
      <c r="F47" s="110">
        <f>'DAL Calculation'!H40</f>
        <v>0.17720841627603331</v>
      </c>
      <c r="G47" s="110">
        <f>'DAL Calculation'!I40</f>
        <v>-0.5133270617748511</v>
      </c>
      <c r="H47" s="110">
        <f>'DAL Calculation'!J40</f>
        <v>-9.4784597502905785E-2</v>
      </c>
      <c r="I47" s="110">
        <f ca="1">'DAL Calculation'!K40</f>
        <v>3.9964499905870962E-2</v>
      </c>
      <c r="J47" s="111">
        <f ca="1">'DAL Calculation'!L40</f>
        <v>7.7244385501661655E-2</v>
      </c>
      <c r="K47" s="112">
        <f>'DAL Calculation'!M40</f>
        <v>0.10609891279294997</v>
      </c>
      <c r="L47" s="110">
        <f>'DAL Calculation'!R40</f>
        <v>5.252354503743057E-2</v>
      </c>
      <c r="M47" s="110">
        <f>'DAL Calculation'!S40</f>
        <v>4.0806642941874256E-2</v>
      </c>
      <c r="N47" s="110">
        <f>'DAL Calculation'!T40</f>
        <v>-9.7046930523220193E-2</v>
      </c>
      <c r="O47" s="110">
        <f ca="1">'DAL Calculation'!U40</f>
        <v>0.12177091795288383</v>
      </c>
      <c r="P47" s="110">
        <f ca="1">'DAL Calculation'!V40</f>
        <v>0.12962469242225289</v>
      </c>
      <c r="Q47" s="114"/>
      <c r="R47" s="206"/>
      <c r="S47" s="206"/>
      <c r="U47" s="1"/>
      <c r="V47" s="1"/>
      <c r="W47" s="22"/>
      <c r="X47" s="1"/>
    </row>
    <row r="48" spans="3:24" ht="18.75" customHeight="1">
      <c r="C48" s="106" t="str">
        <f>'DAL Calculation'!C41</f>
        <v>EBITDA</v>
      </c>
      <c r="D48" s="115"/>
      <c r="E48" s="107">
        <f>'DAL Calculation'!G41</f>
        <v>8841</v>
      </c>
      <c r="F48" s="107">
        <f>'DAL Calculation'!H41</f>
        <v>10860</v>
      </c>
      <c r="G48" s="107">
        <f>'DAL Calculation'!I41</f>
        <v>-6000</v>
      </c>
      <c r="H48" s="107">
        <f>'DAL Calculation'!J41</f>
        <v>-529</v>
      </c>
      <c r="I48" s="107">
        <f ca="1">'DAL Calculation'!K41</f>
        <v>3507</v>
      </c>
      <c r="J48" s="108">
        <f ca="1">'DAL Calculation'!L41</f>
        <v>5460.9977133320263</v>
      </c>
      <c r="K48" s="109">
        <f>'DAL Calculation'!M41</f>
        <v>7847.0717927105297</v>
      </c>
      <c r="L48" s="107">
        <f>'DAL Calculation'!R41</f>
        <v>936</v>
      </c>
      <c r="M48" s="107">
        <f>'DAL Calculation'!S41</f>
        <v>848</v>
      </c>
      <c r="N48" s="107">
        <f>'DAL Calculation'!T41</f>
        <v>-286</v>
      </c>
      <c r="O48" s="107">
        <f ca="1">'DAL Calculation'!U41</f>
        <v>2009</v>
      </c>
      <c r="P48" s="107">
        <f ca="1">'DAL Calculation'!V41</f>
        <v>2142.4057690845657</v>
      </c>
      <c r="Q48" s="114"/>
      <c r="R48" s="206"/>
      <c r="S48" s="206"/>
      <c r="U48" s="1"/>
      <c r="W48" s="22"/>
      <c r="X48" s="1"/>
    </row>
    <row r="49" spans="3:24" ht="18.75" customHeight="1">
      <c r="C49" s="3" t="str">
        <f>'DAL Calculation'!C42</f>
        <v>EBITDA margin (% of rev)</v>
      </c>
      <c r="D49" s="1"/>
      <c r="E49" s="110">
        <f>'DAL Calculation'!G42</f>
        <v>0.19895134794545208</v>
      </c>
      <c r="F49" s="110">
        <f>'DAL Calculation'!H42</f>
        <v>0.23245360559943493</v>
      </c>
      <c r="G49" s="110">
        <f>'DAL Calculation'!I42</f>
        <v>-0.37629350893697083</v>
      </c>
      <c r="H49" s="110">
        <f>'DAL Calculation'!J42</f>
        <v>-1.9834276929998874E-2</v>
      </c>
      <c r="I49" s="110">
        <f ca="1">'DAL Calculation'!K42</f>
        <v>9.4317295538283621E-2</v>
      </c>
      <c r="J49" s="111">
        <f ca="1">'DAL Calculation'!L42</f>
        <v>0.12058850497193462</v>
      </c>
      <c r="K49" s="112">
        <f>'DAL Calculation'!M42</f>
        <v>0.15389391081011222</v>
      </c>
      <c r="L49" s="110">
        <f>'DAL Calculation'!R42</f>
        <v>0.11301617966674717</v>
      </c>
      <c r="M49" s="110">
        <f>'DAL Calculation'!S42</f>
        <v>0.10059311981020166</v>
      </c>
      <c r="N49" s="110">
        <f>'DAL Calculation'!T42</f>
        <v>-3.5044724911162846E-2</v>
      </c>
      <c r="O49" s="110">
        <f ca="1">'DAL Calculation'!U42</f>
        <v>0.16320064987814784</v>
      </c>
      <c r="P49" s="110">
        <f ca="1">'DAL Calculation'!V42</f>
        <v>0.16561029202189956</v>
      </c>
      <c r="Q49" s="114"/>
      <c r="R49" s="206"/>
      <c r="S49" s="206"/>
      <c r="U49" s="116"/>
      <c r="W49" s="22"/>
      <c r="X49" s="1"/>
    </row>
    <row r="50" spans="3:24" ht="18.75" customHeight="1">
      <c r="C50" s="3" t="str">
        <f>'DAL Calculation'!C43</f>
        <v>Capex (% of rev)</v>
      </c>
      <c r="D50" s="1"/>
      <c r="E50" s="110">
        <f>'DAL Calculation'!G43</f>
        <v>0.11629686304514154</v>
      </c>
      <c r="F50" s="110">
        <f>'DAL Calculation'!H43</f>
        <v>0.10565294633874869</v>
      </c>
      <c r="G50" s="110">
        <f>'DAL Calculation'!I43</f>
        <v>0.1191596111633741</v>
      </c>
      <c r="H50" s="110">
        <f>'DAL Calculation'!J43</f>
        <v>0.12174271680851861</v>
      </c>
      <c r="I50" s="110">
        <f>'DAL Calculation'!K43</f>
        <v>0.1283382190786112</v>
      </c>
      <c r="J50" s="111">
        <f>'DAL Calculation'!L43</f>
        <v>0.13413261187545031</v>
      </c>
      <c r="K50" s="112">
        <f>'DAL Calculation'!M43</f>
        <v>0.11746500629369935</v>
      </c>
      <c r="L50" s="110">
        <f>'DAL Calculation'!R43</f>
        <v>0.10021733880705144</v>
      </c>
      <c r="M50" s="110">
        <f>'DAL Calculation'!S43</f>
        <v>0.14448398576512456</v>
      </c>
      <c r="N50" s="110">
        <f>'DAL Calculation'!T43</f>
        <v>0.21639504962627129</v>
      </c>
      <c r="O50" s="110">
        <f>'DAL Calculation'!U43</f>
        <v>7.7822908204711619E-2</v>
      </c>
      <c r="P50" s="110">
        <f>'DAL Calculation'!V43</f>
        <v>0.12292720052154386</v>
      </c>
      <c r="Q50" s="114"/>
      <c r="R50" s="206"/>
      <c r="S50" s="206"/>
      <c r="U50" s="116"/>
      <c r="W50" s="22"/>
      <c r="X50" s="1"/>
    </row>
    <row r="51" spans="3:24" ht="18.75" customHeight="1">
      <c r="C51" s="3" t="str">
        <f>'DAL Calculation'!C44</f>
        <v>FCF (% of rev)</v>
      </c>
      <c r="D51" s="1"/>
      <c r="E51" s="110">
        <f>'DAL Calculation'!G44</f>
        <v>4.1541023448400015E-2</v>
      </c>
      <c r="F51" s="110">
        <f>'DAL Calculation'!H44</f>
        <v>7.4659132258824035E-2</v>
      </c>
      <c r="G51" s="110">
        <f>'DAL Calculation'!I44</f>
        <v>-0.3570398243963625</v>
      </c>
      <c r="H51" s="110">
        <f>'DAL Calculation'!J44</f>
        <v>5.9990251584117579E-4</v>
      </c>
      <c r="I51" s="110">
        <f>'DAL Calculation'!K44</f>
        <v>6.4545625689159027E-3</v>
      </c>
      <c r="J51" s="111">
        <f ca="1">'DAL Calculation'!L44</f>
        <v>-4.920628858138992E-3</v>
      </c>
      <c r="K51" s="112">
        <f ca="1">'DAL Calculation'!M44</f>
        <v>-0.12926939402873744</v>
      </c>
      <c r="L51" s="110">
        <f>'DAL Calculation'!R44</f>
        <v>-8.1985027771069793E-2</v>
      </c>
      <c r="M51" s="110">
        <f>'DAL Calculation'!S44</f>
        <v>-7.8647686832740218E-2</v>
      </c>
      <c r="N51" s="110">
        <f>'DAL Calculation'!T44</f>
        <v>6.1267001592942038E-4</v>
      </c>
      <c r="O51" s="110">
        <f>'DAL Calculation'!U44</f>
        <v>0.1281072298943948</v>
      </c>
      <c r="P51" s="110">
        <f ca="1">'DAL Calculation'!V44</f>
        <v>-9.225833543750242E-3</v>
      </c>
      <c r="Q51" s="114"/>
      <c r="R51" s="206"/>
      <c r="S51" s="206"/>
      <c r="U51" s="116"/>
      <c r="W51" s="22"/>
      <c r="X51" s="1"/>
    </row>
    <row r="52" spans="3:24" ht="18.75" customHeight="1">
      <c r="C52" s="3" t="str">
        <f>'DAL Calculation'!C45</f>
        <v>FCF (% of debt)**</v>
      </c>
      <c r="D52" s="1"/>
      <c r="E52" s="110">
        <f>'DAL Calculation'!G45</f>
        <v>0.19705380017079419</v>
      </c>
      <c r="F52" s="110">
        <f>'DAL Calculation'!H45</f>
        <v>0.34514150009895112</v>
      </c>
      <c r="G52" s="110">
        <f>'DAL Calculation'!I45</f>
        <v>-0.20351040251662258</v>
      </c>
      <c r="H52" s="110">
        <f>'DAL Calculation'!J45</f>
        <v>6.378568011481422E-4</v>
      </c>
      <c r="I52" s="110">
        <f>'DAL Calculation'!K45</f>
        <v>9.6622247272434483E-3</v>
      </c>
      <c r="J52" s="111">
        <f ca="1">'DAL Calculation'!L45</f>
        <v>-1.9026545459163821E-3</v>
      </c>
      <c r="K52" s="112">
        <f ca="1">'DAL Calculation'!M45</f>
        <v>-5.3255621304985332E-2</v>
      </c>
      <c r="L52" s="110">
        <f>'DAL Calculation'!R45</f>
        <v>-4.4251178115781005E-2</v>
      </c>
      <c r="M52" s="110">
        <f>'DAL Calculation'!S45</f>
        <v>6.378568011481422E-4</v>
      </c>
      <c r="N52" s="110">
        <f>'DAL Calculation'!T45</f>
        <v>-9.7602019352124522E-3</v>
      </c>
      <c r="O52" s="110">
        <f>'DAL Calculation'!U45</f>
        <v>9.6622247272434483E-3</v>
      </c>
      <c r="P52" s="110">
        <f ca="1">'DAL Calculation'!V45</f>
        <v>7.0363384575413551E-3</v>
      </c>
      <c r="Q52" s="114"/>
      <c r="R52" s="88"/>
      <c r="S52" s="1"/>
      <c r="U52" s="116"/>
      <c r="W52" s="117"/>
      <c r="X52" s="1"/>
    </row>
    <row r="53" spans="3:24" ht="18.75" customHeight="1">
      <c r="C53" s="3" t="str">
        <f>'DAL Calculation'!C46</f>
        <v>Divs / Share Repo (% of debt)**</v>
      </c>
      <c r="D53" s="1"/>
      <c r="E53" s="110">
        <f>'DAL Calculation'!G46</f>
        <v>0.26515798462852264</v>
      </c>
      <c r="F53" s="110">
        <f>'DAL Calculation'!H46</f>
        <v>0.29754601226993865</v>
      </c>
      <c r="G53" s="110">
        <f>'DAL Calculation'!I46</f>
        <v>2.1591477800815044E-2</v>
      </c>
      <c r="H53" s="110">
        <f>'DAL Calculation'!J46</f>
        <v>0</v>
      </c>
      <c r="I53" s="110">
        <f>'DAL Calculation'!K46</f>
        <v>0</v>
      </c>
      <c r="J53" s="111">
        <f ca="1">'DAL Calculation'!L46</f>
        <v>0</v>
      </c>
      <c r="K53" s="112">
        <f ca="1">'DAL Calculation'!M46</f>
        <v>0</v>
      </c>
      <c r="L53" s="110">
        <f>'DAL Calculation'!R46</f>
        <v>0</v>
      </c>
      <c r="M53" s="110">
        <f>'DAL Calculation'!S46</f>
        <v>0</v>
      </c>
      <c r="N53" s="110">
        <f>'DAL Calculation'!T46</f>
        <v>0</v>
      </c>
      <c r="O53" s="110">
        <f>'DAL Calculation'!U46</f>
        <v>0</v>
      </c>
      <c r="P53" s="110">
        <f ca="1">'DAL Calculation'!V46</f>
        <v>0</v>
      </c>
      <c r="Q53" s="114"/>
      <c r="U53" s="116"/>
      <c r="W53" s="118"/>
      <c r="X53" s="54"/>
    </row>
    <row r="54" spans="3:24" ht="18.75" customHeight="1">
      <c r="C54" s="3" t="str">
        <f>'DAL Calculation'!C47</f>
        <v>ROA**</v>
      </c>
      <c r="D54" s="1"/>
      <c r="E54" s="110">
        <f>'DAL Calculation'!G47</f>
        <v>8.7444311015195578E-2</v>
      </c>
      <c r="F54" s="110">
        <f>'DAL Calculation'!H47</f>
        <v>0.10197490796237114</v>
      </c>
      <c r="G54" s="110">
        <f>'DAL Calculation'!I47</f>
        <v>-0.14865146941878202</v>
      </c>
      <c r="H54" s="110">
        <f>'DAL Calculation'!J47</f>
        <v>-4.3373996258872324E-2</v>
      </c>
      <c r="I54" s="110">
        <f ca="1">'DAL Calculation'!K47</f>
        <v>1.6429104523836738E-2</v>
      </c>
      <c r="J54" s="111">
        <f ca="1">'DAL Calculation'!L47</f>
        <v>2.6620774465670759E-2</v>
      </c>
      <c r="K54" s="112">
        <f ca="1">'DAL Calculation'!M47</f>
        <v>3.1768027132379063E-2</v>
      </c>
      <c r="L54" s="110">
        <f>'DAL Calculation'!R47</f>
        <v>-7.5916088474040494E-2</v>
      </c>
      <c r="M54" s="110">
        <f>'DAL Calculation'!S47</f>
        <v>-4.3373996258872324E-2</v>
      </c>
      <c r="N54" s="110">
        <f>'DAL Calculation'!T47</f>
        <v>-1.1527453108423454E-2</v>
      </c>
      <c r="O54" s="110">
        <f ca="1">'DAL Calculation'!U47</f>
        <v>1.6429104523836738E-2</v>
      </c>
      <c r="P54" s="110">
        <f ca="1">'DAL Calculation'!V47</f>
        <v>2.1345141516304109E-2</v>
      </c>
      <c r="Q54" s="114"/>
      <c r="W54" s="118"/>
      <c r="X54" s="54"/>
    </row>
    <row r="55" spans="3:24" ht="18.75" customHeight="1" thickBot="1">
      <c r="C55" s="57" t="str">
        <f>'DAL Calculation'!C48</f>
        <v>ROIC**</v>
      </c>
      <c r="D55" s="39"/>
      <c r="E55" s="110">
        <f>'DAL Calculation'!G48</f>
        <v>0.24511987561231949</v>
      </c>
      <c r="F55" s="110">
        <f>'DAL Calculation'!H48</f>
        <v>0.28876076792267186</v>
      </c>
      <c r="G55" s="110">
        <f>'DAL Calculation'!I48</f>
        <v>-0.46353808137421992</v>
      </c>
      <c r="H55" s="110">
        <f>'DAL Calculation'!J48</f>
        <v>-0.14833662325280905</v>
      </c>
      <c r="I55" s="110">
        <f ca="1">'DAL Calculation'!K48</f>
        <v>6.556006689593355E-2</v>
      </c>
      <c r="J55" s="111">
        <f ca="1">'DAL Calculation'!L48</f>
        <v>0.14966504478297926</v>
      </c>
      <c r="K55" s="112">
        <f ca="1">'DAL Calculation'!M48</f>
        <v>0.21642742044644814</v>
      </c>
      <c r="L55" s="110">
        <f>'DAL Calculation'!R48</f>
        <v>-0.28500720097847504</v>
      </c>
      <c r="M55" s="110">
        <f>'DAL Calculation'!S48</f>
        <v>-0.14833662325280905</v>
      </c>
      <c r="N55" s="110">
        <f>'DAL Calculation'!T48</f>
        <v>-4.3905150770743279E-2</v>
      </c>
      <c r="O55" s="110">
        <f ca="1">'DAL Calculation'!U48</f>
        <v>6.556006689593355E-2</v>
      </c>
      <c r="P55" s="110">
        <f ca="1">'DAL Calculation'!V48</f>
        <v>0.12604060315481655</v>
      </c>
      <c r="Q55" s="121"/>
      <c r="R55" s="10"/>
      <c r="S55" s="10"/>
      <c r="T55" s="10"/>
      <c r="U55" s="10"/>
      <c r="V55" s="122"/>
      <c r="W55" s="123"/>
      <c r="X55" s="54"/>
    </row>
    <row r="56" spans="3:24" ht="18.75" customHeight="1">
      <c r="C56" s="3" t="str">
        <f>'DAL Calculation'!C49</f>
        <v>Gross Debt / EBITDA**</v>
      </c>
      <c r="D56" s="1"/>
      <c r="E56" s="325">
        <f>'DAL Calculation'!G49</f>
        <v>1.059608641556385</v>
      </c>
      <c r="F56" s="325">
        <f>'DAL Calculation'!H49</f>
        <v>0.93057090239410678</v>
      </c>
      <c r="G56" s="325" t="str">
        <f>'DAL Calculation'!I49</f>
        <v xml:space="preserve">NM </v>
      </c>
      <c r="H56" s="325" t="str">
        <f>'DAL Calculation'!J49</f>
        <v xml:space="preserve">NM </v>
      </c>
      <c r="I56" s="325">
        <f ca="1">'DAL Calculation'!K49</f>
        <v>7.0826917593384655</v>
      </c>
      <c r="J56" s="119">
        <f ca="1">'DAL Calculation'!L49</f>
        <v>21.446417456119935</v>
      </c>
      <c r="K56" s="120">
        <f ca="1">'DAL Calculation'!M49</f>
        <v>15.772800891021747</v>
      </c>
      <c r="L56" s="325" t="str">
        <f>'DAL Calculation'!R49</f>
        <v xml:space="preserve">NM </v>
      </c>
      <c r="M56" s="325" t="str">
        <f>'DAL Calculation'!S49</f>
        <v xml:space="preserve">NM </v>
      </c>
      <c r="N56" s="325">
        <f>'DAL Calculation'!T49</f>
        <v>17.699180938198065</v>
      </c>
      <c r="O56" s="325">
        <f ca="1">'DAL Calculation'!U49</f>
        <v>7.0826917593384655</v>
      </c>
      <c r="P56" s="325">
        <f ca="1">'DAL Calculation'!V49</f>
        <v>24.111195790771685</v>
      </c>
      <c r="Q56" s="237" t="s">
        <v>83</v>
      </c>
      <c r="R56" s="238"/>
      <c r="S56" s="238"/>
      <c r="T56" s="238"/>
      <c r="U56" s="238"/>
      <c r="V56" s="239"/>
      <c r="W56" s="240"/>
      <c r="X56" s="54"/>
    </row>
    <row r="57" spans="3:24" ht="18.75" customHeight="1">
      <c r="C57" s="124" t="str">
        <f>'DAL Calculation'!C50</f>
        <v>Net Debt / EBITDA**</v>
      </c>
      <c r="D57" s="100"/>
      <c r="E57" s="125">
        <f>'DAL Calculation'!G50</f>
        <v>0.8825924669155073</v>
      </c>
      <c r="F57" s="125">
        <f>'DAL Calculation'!H50</f>
        <v>0.66519337016574587</v>
      </c>
      <c r="G57" s="125" t="str">
        <f>'DAL Calculation'!I50</f>
        <v xml:space="preserve">NM </v>
      </c>
      <c r="H57" s="125" t="str">
        <f>'DAL Calculation'!J50</f>
        <v xml:space="preserve">NM </v>
      </c>
      <c r="I57" s="125">
        <f ca="1">'DAL Calculation'!K50</f>
        <v>4.4533789563729682</v>
      </c>
      <c r="J57" s="119">
        <f ca="1">'DAL Calculation'!L50</f>
        <v>3.1953568931981846</v>
      </c>
      <c r="K57" s="120">
        <f ca="1">'DAL Calculation'!M50</f>
        <v>3.0713751066183539</v>
      </c>
      <c r="L57" s="125" t="str">
        <f>'DAL Calculation'!R50</f>
        <v xml:space="preserve">NM </v>
      </c>
      <c r="M57" s="125" t="str">
        <f>'DAL Calculation'!S50</f>
        <v xml:space="preserve">NM </v>
      </c>
      <c r="N57" s="125">
        <f>'DAL Calculation'!T50</f>
        <v>11.962025316455696</v>
      </c>
      <c r="O57" s="125">
        <f ca="1">'DAL Calculation'!U50</f>
        <v>4.4533789563729682</v>
      </c>
      <c r="P57" s="125">
        <f ca="1">'DAL Calculation'!V50</f>
        <v>3.341713001469397</v>
      </c>
      <c r="Q57" s="27" t="s">
        <v>84</v>
      </c>
      <c r="R57" s="1"/>
      <c r="S57" s="1"/>
      <c r="T57" s="1"/>
      <c r="U57" s="37" t="s">
        <v>85</v>
      </c>
      <c r="W57" s="24"/>
      <c r="X57" s="54"/>
    </row>
    <row r="58" spans="3:24" ht="18.75" customHeight="1">
      <c r="C58" s="3" t="str">
        <f>'DAL Calculation'!C51</f>
        <v>EBITDA / Interest**</v>
      </c>
      <c r="D58" s="126"/>
      <c r="E58" s="125">
        <f>'DAL Calculation'!G51</f>
        <v>28.427652733118972</v>
      </c>
      <c r="F58" s="125">
        <f>'DAL Calculation'!H51</f>
        <v>36.200000000000003</v>
      </c>
      <c r="G58" s="125" t="str">
        <f>'DAL Calculation'!I51</f>
        <v xml:space="preserve">NM </v>
      </c>
      <c r="H58" s="125" t="str">
        <f>'DAL Calculation'!J51</f>
        <v xml:space="preserve">NM </v>
      </c>
      <c r="I58" s="125">
        <f ca="1">'DAL Calculation'!K51</f>
        <v>3.1256684491978608</v>
      </c>
      <c r="J58" s="119">
        <f ca="1">'DAL Calculation'!L51</f>
        <v>2.1551181804724431</v>
      </c>
      <c r="K58" s="120">
        <f ca="1">'DAL Calculation'!M51</f>
        <v>1.4992799402503325</v>
      </c>
      <c r="L58" s="125" t="str">
        <f>'DAL Calculation'!R51</f>
        <v xml:space="preserve">NM </v>
      </c>
      <c r="M58" s="125" t="str">
        <f>'DAL Calculation'!S51</f>
        <v xml:space="preserve">NM </v>
      </c>
      <c r="N58" s="125">
        <f>'DAL Calculation'!T51</f>
        <v>1.1276238455079766</v>
      </c>
      <c r="O58" s="125">
        <f ca="1">'DAL Calculation'!U51</f>
        <v>3.1256684491978608</v>
      </c>
      <c r="P58" s="125">
        <f ca="1">'DAL Calculation'!V51</f>
        <v>3.0429204901849585</v>
      </c>
      <c r="Q58" s="27"/>
      <c r="R58" s="127" t="s">
        <v>86</v>
      </c>
      <c r="S58" s="128" t="str">
        <f>I42</f>
        <v>LTM</v>
      </c>
      <c r="T58" s="129" t="str">
        <f>J42</f>
        <v>FY22E</v>
      </c>
      <c r="U58" s="130" t="s">
        <v>87</v>
      </c>
      <c r="W58" s="24"/>
      <c r="X58" s="54"/>
    </row>
    <row r="59" spans="3:24" ht="18.75" customHeight="1">
      <c r="C59" s="3" t="str">
        <f>'DAL Calculation'!C52</f>
        <v>EBIT / Interest**</v>
      </c>
      <c r="D59" s="126"/>
      <c r="E59" s="125">
        <f>'DAL Calculation'!G52</f>
        <v>20.938906752411576</v>
      </c>
      <c r="F59" s="125">
        <f>'DAL Calculation'!H52</f>
        <v>27.596666666666668</v>
      </c>
      <c r="G59" s="125" t="str">
        <f>'DAL Calculation'!I52</f>
        <v xml:space="preserve">NM </v>
      </c>
      <c r="H59" s="125" t="str">
        <f>'DAL Calculation'!J52</f>
        <v xml:space="preserve">NM </v>
      </c>
      <c r="I59" s="125">
        <f ca="1">'DAL Calculation'!K52</f>
        <v>1.3244206773618539</v>
      </c>
      <c r="J59" s="119">
        <f ca="1">'DAL Calculation'!L52</f>
        <v>1.3804863040038262</v>
      </c>
      <c r="K59" s="120">
        <f ca="1">'DAL Calculation'!M52</f>
        <v>1.0336469506523633</v>
      </c>
      <c r="L59" s="125" t="str">
        <f>'DAL Calculation'!R52</f>
        <v xml:space="preserve">NM </v>
      </c>
      <c r="M59" s="125" t="str">
        <f>'DAL Calculation'!S52</f>
        <v xml:space="preserve">NM </v>
      </c>
      <c r="N59" s="125" t="str">
        <f>'DAL Calculation'!T52</f>
        <v xml:space="preserve">NM </v>
      </c>
      <c r="O59" s="125">
        <f ca="1">'DAL Calculation'!U52</f>
        <v>1.3244206773618539</v>
      </c>
      <c r="P59" s="125">
        <f ca="1">'DAL Calculation'!V52</f>
        <v>1.7610883158537511</v>
      </c>
      <c r="Q59" s="3"/>
      <c r="R59" s="132" t="s">
        <v>88</v>
      </c>
      <c r="S59" s="132" t="s">
        <v>89</v>
      </c>
      <c r="T59" s="132" t="s">
        <v>89</v>
      </c>
      <c r="U59" s="70" t="s">
        <v>90</v>
      </c>
      <c r="W59" s="24"/>
      <c r="X59" s="54"/>
    </row>
    <row r="60" spans="3:24" ht="18.75" customHeight="1">
      <c r="C60" s="131" t="str">
        <f>'DAL Calculation'!C53</f>
        <v>EBITDA / Total Fixed Charges***</v>
      </c>
      <c r="D60" s="206"/>
      <c r="E60" s="340">
        <f>'DAL Calculation'!G53</f>
        <v>0.72401932683645898</v>
      </c>
      <c r="F60" s="340">
        <f>'DAL Calculation'!H53</f>
        <v>0.83525611444393166</v>
      </c>
      <c r="G60" s="340" t="str">
        <f>'DAL Calculation'!I53</f>
        <v xml:space="preserve">NM </v>
      </c>
      <c r="H60" s="340" t="str">
        <f>'DAL Calculation'!J53</f>
        <v xml:space="preserve">NM </v>
      </c>
      <c r="I60" s="340">
        <f ca="1">'DAL Calculation'!K53</f>
        <v>0.31631640660232707</v>
      </c>
      <c r="J60" s="361">
        <f ca="1">'DAL Calculation'!L53</f>
        <v>0.49419336522535845</v>
      </c>
      <c r="K60" s="362">
        <f ca="1">'DAL Calculation'!M53</f>
        <v>0.69916749150902979</v>
      </c>
      <c r="L60" s="340" t="str">
        <f>'DAL Calculation'!R53</f>
        <v xml:space="preserve">NM </v>
      </c>
      <c r="M60" s="340" t="str">
        <f>'DAL Calculation'!S53</f>
        <v xml:space="preserve">NM </v>
      </c>
      <c r="N60" s="340">
        <f>'DAL Calculation'!T53</f>
        <v>0.12364205487018966</v>
      </c>
      <c r="O60" s="340">
        <f ca="1">'DAL Calculation'!U53</f>
        <v>0.31631640660232707</v>
      </c>
      <c r="P60" s="340">
        <f ca="1">'DAL Calculation'!V53</f>
        <v>0.44057877908513493</v>
      </c>
      <c r="Q60" s="133" t="str">
        <f>D3</f>
        <v>DAL US</v>
      </c>
      <c r="R60" s="134">
        <f ca="1">K35</f>
        <v>6.2866621502708302</v>
      </c>
      <c r="S60" s="135">
        <f t="shared" ref="S60:S66" ca="1" si="1">IFERROR($I$57/$R60,"")</f>
        <v>0.70838528457921279</v>
      </c>
      <c r="T60" s="135">
        <f t="shared" ref="T60:T67" ca="1" si="2">IFERROR($J$57/$R60,"")</f>
        <v>0.50827558676117635</v>
      </c>
      <c r="U60" s="60" t="s">
        <v>91</v>
      </c>
      <c r="W60" s="136" t="s">
        <v>92</v>
      </c>
      <c r="X60" s="54"/>
    </row>
    <row r="61" spans="3:24" ht="18.75" customHeight="1">
      <c r="C61" s="3" t="str">
        <f>'DAL Calculation'!C54</f>
        <v>Debt / Book Capital</v>
      </c>
      <c r="D61" s="126"/>
      <c r="E61" s="125">
        <f>'DAL Calculation'!G54</f>
        <v>0.40633268271524614</v>
      </c>
      <c r="F61" s="125">
        <f>'DAL Calculation'!H54</f>
        <v>0.39687401822180335</v>
      </c>
      <c r="G61" s="125">
        <f>'DAL Calculation'!I54</f>
        <v>0.94801409787176361</v>
      </c>
      <c r="H61" s="125">
        <f>'DAL Calculation'!J54</f>
        <v>0.86583134858996924</v>
      </c>
      <c r="I61" s="125">
        <f>'DAL Calculation'!K54</f>
        <v>0.86698080279232115</v>
      </c>
      <c r="J61" s="119">
        <f ca="1">'DAL Calculation'!L54</f>
        <v>0.96579742664087653</v>
      </c>
      <c r="K61" s="120">
        <f ca="1">'DAL Calculation'!M54</f>
        <v>0.96646328102620305</v>
      </c>
      <c r="L61" s="125">
        <f>'DAL Calculation'!R54</f>
        <v>0.90922074755286164</v>
      </c>
      <c r="M61" s="125">
        <f>'DAL Calculation'!S54</f>
        <v>0.86583134858996924</v>
      </c>
      <c r="N61" s="125">
        <f>'DAL Calculation'!T54</f>
        <v>0.88823287620044089</v>
      </c>
      <c r="O61" s="125">
        <f>'DAL Calculation'!U54</f>
        <v>0.86698080279232115</v>
      </c>
      <c r="P61" s="125">
        <f ca="1">'DAL Calculation'!V54</f>
        <v>0.96216570110767008</v>
      </c>
      <c r="Q61" s="138" t="str">
        <f ca="1">IF(ISBLANK('DAL Calculation'!C83),"",'DAL Calculation'!C83)</f>
        <v>AAL US</v>
      </c>
      <c r="R61" s="134" t="str">
        <f ca="1">IFERROR(IF(BBswitch=1,_xll.BDP(Q61&amp;" EQUITY", "EV EBITDA ADJUSTED")*1,R61),"")</f>
        <v/>
      </c>
      <c r="S61" s="135" t="str">
        <f t="shared" ca="1" si="1"/>
        <v/>
      </c>
      <c r="T61" s="135" t="str">
        <f t="shared" ca="1" si="2"/>
        <v/>
      </c>
      <c r="U61" s="70" t="str">
        <f ca="1">'DAL Calculation'!C60</f>
        <v>VANGUARD GROUP</v>
      </c>
      <c r="W61" s="139">
        <f>'DAL Calculation'!G60/100</f>
        <v>0.10640000000000001</v>
      </c>
      <c r="X61" s="54"/>
    </row>
    <row r="62" spans="3:24" ht="18.75" customHeight="1">
      <c r="C62" s="57" t="str">
        <f>'DAL Calculation'!C55</f>
        <v>Net Debt / Tangible Assets*</v>
      </c>
      <c r="D62" s="137"/>
      <c r="E62" s="341">
        <f>'DAL Calculation'!G55</f>
        <v>0.24612036336109008</v>
      </c>
      <c r="F62" s="341">
        <f>'DAL Calculation'!H55</f>
        <v>0.20398136382888607</v>
      </c>
      <c r="G62" s="341">
        <f>'DAL Calculation'!I55</f>
        <v>0.68628956275953523</v>
      </c>
      <c r="H62" s="341">
        <f>'DAL Calculation'!J55</f>
        <v>0.53179746364453817</v>
      </c>
      <c r="I62" s="341">
        <f>'DAL Calculation'!K55</f>
        <v>0.44186046511627908</v>
      </c>
      <c r="J62" s="342">
        <f ca="1">'DAL Calculation'!L55</f>
        <v>0.4654713881241323</v>
      </c>
      <c r="K62" s="120">
        <f ca="1">'DAL Calculation'!M55</f>
        <v>0.58219627522669881</v>
      </c>
      <c r="L62" s="341">
        <f>'DAL Calculation'!R55</f>
        <v>0.55838250943213696</v>
      </c>
      <c r="M62" s="341">
        <f>'DAL Calculation'!S55</f>
        <v>0.53179746364453817</v>
      </c>
      <c r="N62" s="341">
        <f>'DAL Calculation'!T55</f>
        <v>0.46737264713583337</v>
      </c>
      <c r="O62" s="341">
        <f>'DAL Calculation'!U55</f>
        <v>0.44186046511627908</v>
      </c>
      <c r="P62" s="341">
        <f ca="1">'DAL Calculation'!V55</f>
        <v>0.43456274319851107</v>
      </c>
      <c r="Q62" s="141" t="str">
        <f>IF(ISBLANK('DAL Calculation'!C86),"",'DAL Calculation'!C86)</f>
        <v>AC CN</v>
      </c>
      <c r="R62" s="145" t="str">
        <f ca="1">IFERROR(IF(BBswitch=1,_xll.BDP(Q62&amp;" EQUITY", "EV EBITDA ADJUSTED")*1,R62),"")</f>
        <v/>
      </c>
      <c r="S62" s="251" t="str">
        <f t="shared" ca="1" si="1"/>
        <v/>
      </c>
      <c r="T62" s="251" t="str">
        <f t="shared" ca="1" si="2"/>
        <v/>
      </c>
      <c r="U62" s="70" t="str">
        <f>'DAL Calculation'!C61</f>
        <v>BLACKROCK</v>
      </c>
      <c r="W62" s="139">
        <f>'DAL Calculation'!G61/100</f>
        <v>5.9200000000000003E-2</v>
      </c>
      <c r="X62" s="54"/>
    </row>
    <row r="63" spans="3:24" ht="18.75" customHeight="1">
      <c r="C63" s="26"/>
      <c r="D63" s="1"/>
      <c r="E63" s="1"/>
      <c r="F63" s="1"/>
      <c r="G63" s="1"/>
      <c r="H63" s="1"/>
      <c r="I63" s="140"/>
      <c r="J63" s="1"/>
      <c r="K63" s="326"/>
      <c r="L63" s="1"/>
      <c r="M63" s="1"/>
      <c r="N63" s="54"/>
      <c r="O63" s="1"/>
      <c r="P63" s="118"/>
      <c r="Q63" s="138" t="str">
        <f>IF(ISBLANK('DAL Calculation'!C87),"",'DAL Calculation'!C87)</f>
        <v>AEROMEX* MM</v>
      </c>
      <c r="R63" s="134" t="str">
        <f ca="1">IFERROR(IF(BBswitch=1,_xll.BDP(Q63&amp;" EQUITY", "EV EBITDA ADJUSTED")*1,R63),"")</f>
        <v/>
      </c>
      <c r="S63" s="251" t="str">
        <f t="shared" ca="1" si="1"/>
        <v/>
      </c>
      <c r="T63" s="251" t="str">
        <f t="shared" ca="1" si="2"/>
        <v/>
      </c>
      <c r="U63" s="142" t="str">
        <f>'DAL Calculation'!C62</f>
        <v>CAPITAL GROUP COMPAN</v>
      </c>
      <c r="V63" s="143"/>
      <c r="W63" s="144">
        <f>'DAL Calculation'!G62/100</f>
        <v>3.49E-2</v>
      </c>
      <c r="X63" s="54"/>
    </row>
    <row r="64" spans="3:24" s="252" customFormat="1" ht="18.75" customHeight="1">
      <c r="C64" s="245" t="s">
        <v>93</v>
      </c>
      <c r="D64" s="246"/>
      <c r="E64" s="246"/>
      <c r="F64" s="246"/>
      <c r="G64" s="246"/>
      <c r="H64" s="247"/>
      <c r="I64" s="247"/>
      <c r="J64" s="248"/>
      <c r="K64" s="246"/>
      <c r="L64" s="247"/>
      <c r="M64" s="246"/>
      <c r="N64" s="249"/>
      <c r="O64" s="249"/>
      <c r="P64" s="250"/>
      <c r="Q64" s="252" t="str">
        <f>IF(ISBLANK('DAL Calculation'!C88),"",'DAL Calculation'!C88)</f>
        <v>HA US</v>
      </c>
      <c r="R64" s="134" t="str">
        <f ca="1">IFERROR(IF(BBswitch=1,_xll.BDP(Q64&amp;" EQUITY", "EV EBITDA ADJUSTED")*1,R64),"")</f>
        <v/>
      </c>
      <c r="S64" s="251" t="str">
        <f t="shared" ca="1" si="1"/>
        <v/>
      </c>
      <c r="T64" s="251" t="str">
        <f t="shared" ca="1" si="2"/>
        <v/>
      </c>
      <c r="U64" s="142" t="str">
        <f>'DAL Calculation'!C63</f>
        <v>STATE STREET CORP</v>
      </c>
      <c r="V64" s="143"/>
      <c r="W64" s="144">
        <f>'DAL Calculation'!G63/100</f>
        <v>3.4000000000000002E-2</v>
      </c>
      <c r="X64" s="249"/>
    </row>
    <row r="65" spans="3:27" ht="18.75" customHeight="1">
      <c r="C65" s="3" t="s">
        <v>94</v>
      </c>
      <c r="P65" s="118"/>
      <c r="Q65" s="252" t="str">
        <f>IF(ISBLANK('DAL Calculation'!C89),"",'DAL Calculation'!C89)</f>
        <v>CPA US</v>
      </c>
      <c r="R65" s="134" t="str">
        <f ca="1">IFERROR(IF(BBswitch=1,_xll.BDP(Q65&amp;" EQUITY", "EV EBITDA ADJUSTED")*1,R65),"")</f>
        <v/>
      </c>
      <c r="S65" s="251" t="str">
        <f t="shared" ca="1" si="1"/>
        <v/>
      </c>
      <c r="T65" s="251" t="str">
        <f t="shared" ca="1" si="2"/>
        <v/>
      </c>
      <c r="U65" s="70" t="str">
        <f>'DAL Calculation'!C64</f>
        <v>PRIMECAP MANAGEMENT</v>
      </c>
      <c r="W65" s="139">
        <f>'DAL Calculation'!G64/100</f>
        <v>2.98E-2</v>
      </c>
      <c r="X65" s="1"/>
    </row>
    <row r="66" spans="3:27" ht="18.75" customHeight="1">
      <c r="C66" s="146" t="s">
        <v>95</v>
      </c>
      <c r="P66" s="118"/>
      <c r="Q66" s="147" t="str">
        <f>IF(ISBLANK('DAL Calculation'!C90),"",'DAL Calculation'!C90)</f>
        <v/>
      </c>
      <c r="R66" s="148" t="str">
        <f ca="1">IFERROR(IF(BBswitch=1,_xll.BDP(Q66&amp;" EQUITY", "EV EBITDA ADJUSTED")*1,R66),"")</f>
        <v/>
      </c>
      <c r="S66" s="149" t="str">
        <f t="shared" ca="1" si="1"/>
        <v/>
      </c>
      <c r="T66" s="149" t="str">
        <f t="shared" ca="1" si="2"/>
        <v/>
      </c>
      <c r="U66" s="29"/>
      <c r="W66" s="24"/>
      <c r="X66" s="1"/>
    </row>
    <row r="67" spans="3:27">
      <c r="C67" s="131" t="s">
        <v>96</v>
      </c>
      <c r="P67" s="22"/>
      <c r="Q67" s="150" t="s">
        <v>97</v>
      </c>
      <c r="R67" s="151">
        <f ca="1">AVERAGE(R60:R66)</f>
        <v>6.2866621502708302</v>
      </c>
      <c r="S67" s="135">
        <f ca="1">IFERROR($I$57/R67,"")</f>
        <v>0.70838528457921279</v>
      </c>
      <c r="T67" s="135">
        <f t="shared" ca="1" si="2"/>
        <v>0.50827558676117635</v>
      </c>
      <c r="U67" s="32"/>
      <c r="W67" s="24"/>
      <c r="X67" s="206"/>
    </row>
    <row r="68" spans="3:27" ht="18.75" customHeight="1" thickBot="1">
      <c r="C68" s="50"/>
      <c r="D68" s="51"/>
      <c r="E68" s="51"/>
      <c r="F68" s="51"/>
      <c r="G68" s="51"/>
      <c r="H68" s="51"/>
      <c r="I68" s="51"/>
      <c r="J68" s="51"/>
      <c r="K68" s="51"/>
      <c r="L68" s="51"/>
      <c r="M68" s="51"/>
      <c r="N68" s="51"/>
      <c r="O68" s="51"/>
      <c r="P68" s="53"/>
      <c r="Q68" s="50"/>
      <c r="R68" s="51"/>
      <c r="S68" s="51"/>
      <c r="T68" s="51"/>
      <c r="U68" s="52"/>
      <c r="V68" s="152" t="s">
        <v>98</v>
      </c>
      <c r="W68" s="153" t="s">
        <v>99</v>
      </c>
      <c r="X68" s="206"/>
    </row>
    <row r="69" spans="3:27">
      <c r="C69" s="1"/>
      <c r="D69" s="86"/>
      <c r="E69" s="86"/>
      <c r="F69" s="86"/>
      <c r="G69" s="86"/>
      <c r="H69" s="86"/>
      <c r="I69" s="86"/>
      <c r="J69" s="86"/>
      <c r="K69" s="86"/>
      <c r="L69" s="86"/>
      <c r="M69" s="154"/>
      <c r="N69" s="154"/>
      <c r="O69" s="154"/>
      <c r="P69" s="1"/>
      <c r="Q69" s="206"/>
      <c r="R69" s="155"/>
      <c r="S69" s="206"/>
      <c r="T69" s="206"/>
      <c r="U69" s="206"/>
      <c r="V69" s="206"/>
      <c r="W69" s="206"/>
      <c r="X69" s="206"/>
    </row>
    <row r="70" spans="3:27">
      <c r="C70" s="206"/>
      <c r="D70" s="206"/>
      <c r="E70" s="206"/>
      <c r="F70" s="206"/>
      <c r="G70" s="206"/>
      <c r="H70" s="206"/>
      <c r="I70" s="206"/>
      <c r="J70" s="206"/>
      <c r="K70" s="206"/>
      <c r="L70" s="206"/>
      <c r="M70" s="206"/>
      <c r="N70" s="206"/>
      <c r="O70" s="206"/>
      <c r="P70" s="206"/>
      <c r="Q70" s="206"/>
      <c r="R70" s="206"/>
      <c r="S70" s="206"/>
      <c r="T70" s="206"/>
      <c r="U70" s="206"/>
      <c r="V70" s="206"/>
      <c r="W70" s="206"/>
      <c r="X70" s="206"/>
    </row>
    <row r="71" spans="3:27">
      <c r="C71" s="156"/>
      <c r="D71" s="206"/>
      <c r="E71" s="206"/>
      <c r="F71" s="206"/>
      <c r="G71" s="206"/>
      <c r="H71" s="206"/>
      <c r="I71" s="206"/>
      <c r="J71" s="206"/>
      <c r="K71" s="206"/>
      <c r="L71" s="206"/>
      <c r="M71" s="206"/>
      <c r="N71" s="206"/>
      <c r="O71" s="206"/>
      <c r="P71" s="206"/>
      <c r="Q71" s="206"/>
      <c r="R71" s="206"/>
      <c r="S71" s="157"/>
      <c r="T71" s="206"/>
      <c r="U71" s="206"/>
      <c r="V71" s="206"/>
      <c r="W71" s="206"/>
      <c r="X71" s="206"/>
    </row>
    <row r="72" spans="3:27" ht="31.9" hidden="1" outlineLevel="1">
      <c r="C72" s="206"/>
      <c r="D72" s="157" t="s">
        <v>100</v>
      </c>
      <c r="E72" s="157" t="s">
        <v>101</v>
      </c>
      <c r="F72" s="157" t="s">
        <v>102</v>
      </c>
      <c r="G72" s="157" t="s">
        <v>103</v>
      </c>
      <c r="H72" s="157" t="s">
        <v>104</v>
      </c>
      <c r="I72" s="157" t="s">
        <v>105</v>
      </c>
      <c r="J72" s="157" t="s">
        <v>106</v>
      </c>
      <c r="K72" s="157" t="s">
        <v>107</v>
      </c>
      <c r="L72" s="54"/>
      <c r="M72" s="158" t="s">
        <v>108</v>
      </c>
      <c r="N72" s="158" t="s">
        <v>109</v>
      </c>
      <c r="O72" s="158" t="s">
        <v>110</v>
      </c>
      <c r="Q72" s="158" t="s">
        <v>111</v>
      </c>
      <c r="R72" s="157" t="s">
        <v>112</v>
      </c>
      <c r="S72" s="157" t="s">
        <v>113</v>
      </c>
      <c r="T72" s="157" t="s">
        <v>114</v>
      </c>
      <c r="U72" s="157" t="s">
        <v>115</v>
      </c>
      <c r="V72" s="157" t="s">
        <v>116</v>
      </c>
      <c r="W72" s="159" t="s">
        <v>117</v>
      </c>
      <c r="X72" s="157" t="s">
        <v>100</v>
      </c>
    </row>
    <row r="73" spans="3:27" ht="47.65" hidden="1" outlineLevel="1">
      <c r="C73" s="206"/>
      <c r="D73" s="159" t="s">
        <v>118</v>
      </c>
      <c r="E73" s="157" t="s">
        <v>119</v>
      </c>
      <c r="F73" s="206"/>
      <c r="G73" s="206"/>
      <c r="H73" s="206"/>
      <c r="I73" s="206"/>
      <c r="J73" s="206"/>
      <c r="K73" s="206"/>
      <c r="L73" s="54"/>
      <c r="N73" s="54"/>
      <c r="O73" s="54"/>
      <c r="Q73" s="54"/>
      <c r="R73" s="206"/>
      <c r="S73" s="206"/>
      <c r="U73" s="206"/>
      <c r="V73" s="54"/>
      <c r="W73" s="160"/>
      <c r="X73" s="159" t="s">
        <v>118</v>
      </c>
    </row>
    <row r="74" spans="3:27" hidden="1" outlineLevel="1">
      <c r="C74" s="161" t="s">
        <v>120</v>
      </c>
      <c r="D74" s="206"/>
      <c r="E74" s="157"/>
      <c r="F74" s="206"/>
      <c r="G74" s="206"/>
      <c r="H74" s="206"/>
      <c r="I74" s="206"/>
      <c r="J74" s="206"/>
      <c r="K74" s="206"/>
      <c r="L74" s="54"/>
      <c r="N74" s="54"/>
      <c r="O74" s="54"/>
      <c r="Q74" s="54"/>
      <c r="R74" s="206"/>
      <c r="S74" s="206"/>
      <c r="U74" s="206"/>
      <c r="V74" s="54"/>
      <c r="W74" s="160"/>
      <c r="X74" s="206"/>
    </row>
    <row r="75" spans="3:27" s="156" customFormat="1" collapsed="1">
      <c r="C75" s="363" t="str">
        <f ca="1">IF(BBswitch=1,_xll.BQL.Query("get(Name)for( bonds(['"&amp;$D$3&amp;" Equity'], IssuedBy=credit_family) )with(Dates="&amp;TEXT(TODAY(),"yyyy-mm-dd")&amp;")","cols=2;rows=9"),C75)</f>
        <v>ID</v>
      </c>
      <c r="D75" s="163" t="s">
        <v>121</v>
      </c>
      <c r="E75" s="162" t="str">
        <f t="shared" ref="E75:J75" si="3">D27</f>
        <v>Rating</v>
      </c>
      <c r="F75" s="162" t="str">
        <f t="shared" si="3"/>
        <v>Outs.(mm)</v>
      </c>
      <c r="G75" s="162" t="str">
        <f t="shared" si="3"/>
        <v>Coupon</v>
      </c>
      <c r="H75" s="162" t="str">
        <f t="shared" si="3"/>
        <v>Price</v>
      </c>
      <c r="I75" s="162" t="str">
        <f t="shared" si="3"/>
        <v>CY</v>
      </c>
      <c r="J75" s="162" t="str">
        <f t="shared" si="3"/>
        <v>YTW</v>
      </c>
      <c r="K75" s="163" t="s">
        <v>107</v>
      </c>
      <c r="L75" s="162" t="s">
        <v>65</v>
      </c>
      <c r="M75" s="163" t="s">
        <v>122</v>
      </c>
      <c r="N75" s="164" t="s">
        <v>123</v>
      </c>
      <c r="O75" s="164" t="s">
        <v>124</v>
      </c>
      <c r="P75" s="164" t="s">
        <v>125</v>
      </c>
      <c r="Q75" s="164" t="s">
        <v>126</v>
      </c>
      <c r="R75" s="162" t="s">
        <v>127</v>
      </c>
      <c r="S75" s="162" t="s">
        <v>128</v>
      </c>
      <c r="T75" s="162" t="s">
        <v>129</v>
      </c>
      <c r="U75" s="162" t="s">
        <v>130</v>
      </c>
      <c r="V75" s="163" t="s">
        <v>131</v>
      </c>
      <c r="W75" s="165" t="s">
        <v>132</v>
      </c>
      <c r="X75" s="163" t="s">
        <v>121</v>
      </c>
    </row>
    <row r="76" spans="3:27">
      <c r="C76" s="6" t="s">
        <v>1897</v>
      </c>
      <c r="D76" s="343" t="s">
        <v>1898</v>
      </c>
      <c r="E76" s="344" t="str">
        <f ca="1">IF(BBswitch=1,IF(ISBLANK($C76),"",IF(_xll.BDP($C76,E$73)="#N/A N/A","NA ",_xll.BDP($C76,E$73))),E76)</f>
        <v>BB</v>
      </c>
      <c r="F76" s="354">
        <f ca="1">IF(BBswitch=1,IF(ISBLANK($C76),"",IF(_xll.BDP($C76,F$72)="#N/A N/A","NA ",_xll.BDP($C76,F$72)/10^6)/P76),F76)</f>
        <v>1080.508</v>
      </c>
      <c r="G76" s="355">
        <f ca="1">IF(BBswitch=1,IF(ISBLANK($C76),"",IF(_xll.BDP($C76,G$72)="#N/A N/A","NA ",_xll.BDP($C76,G$72)/100)),G76)</f>
        <v>7.3749999999999996E-2</v>
      </c>
      <c r="H76" s="355">
        <f ca="1">IF(BBswitch=1,IF(ISBLANK($C76),"",IF(_xll.BDP($C76,H$72)="#N/A N/A","NA ",_xll.BDP($C76,H$72)/100)),H76)</f>
        <v>1.0480100000000001</v>
      </c>
      <c r="I76" s="355">
        <f ca="1">IF(BBswitch=1,IF(ISBLANK($C76),"",IF(_xll.BDP($C76,I$72)="#N/A N/A","NA ",_xll.BDP($C76,I$72)/100)),I76)</f>
        <v>7.0474352113752775E-2</v>
      </c>
      <c r="J76" s="355">
        <f ca="1">IF(BBswitch=1,IF(ISBLANK($C76),"",IF(_xll.BDP($C76,J$72)="#N/A N/A","NA ",_xll.BDP($C76,J$72)/100)),J76)</f>
        <v>5.8479298699999994E-2</v>
      </c>
      <c r="K76" s="345" t="str">
        <f ca="1">IF(BBswitch=1,IF(ISBLANK($C76),"",IF(_xll.BDP($C76,K$72)="#N/A N/A","NA ",_xll.BDP($C76,K$72))),K76)</f>
        <v>1/15/2026</v>
      </c>
      <c r="L76" s="346" t="e">
        <f ca="1">IF(ISBLANK($C76),"",YEAR(K76))</f>
        <v>#VALUE!</v>
      </c>
      <c r="M76" s="345" t="str">
        <f ca="1">IF(BBswitch=1,IF(ISBLANK($C76),"",IF(_xll.BDP($C76,M$72)="#N/A N/A","NA ",_xll.BDP($C76,M$72))),M76)</f>
        <v>6/12/2020</v>
      </c>
      <c r="N76" s="347" t="str" cm="1">
        <f t="array" aca="1" ref="N76" ca="1">IF(BBswitch=1,IF(ISBLANK($C76),"",IF(_xll.BDP($C76,N$72)="#N/A Field Not Applicable","Notes",_xll.BDP($C76,N$72))),N76)</f>
        <v>Notes</v>
      </c>
      <c r="O76" s="348" cm="1">
        <f t="array" aca="1" ref="O76" ca="1">IF(BBswitch=1,IF(ISBLANK($C76),"",IFERROR(IF(_xll.BDP($C76,O$72)="#N/A N/A","NA ",_xll.BDP($C76,O$72)/10^6),0)/P76),O76)</f>
        <v>0</v>
      </c>
      <c r="P76" s="349" cm="1">
        <f t="array" aca="1" ref="P76" ca="1">+IF(BBswitch=1,IF(ISBLANK($C76),"",IF(_xll.BDP("USD"&amp;Q76&amp;" BGN Curncy","px last")="#N/A Invalid Security",1,_xll.BDP("USD"&amp;Q76&amp;" BGN Curncy","px last"))),P76)</f>
        <v>1</v>
      </c>
      <c r="Q76" s="350" t="str">
        <f ca="1">IF(BBswitch=1,IF(ISBLANK($C76),"",IF(_xll.BDP($C76,Q$72)="#N/A N/A","NA ",_xll.BDP($C76,Q$72))),Q76)</f>
        <v>USD</v>
      </c>
      <c r="R76" s="351" t="str" cm="1">
        <f t="array" aca="1" ref="R76" ca="1">IF(BBswitch=1,IF(ISBLANK($C76),"",IF(OR(_xll.BDP($C76,R$72)="#N/A Field Not Applicable",_xll.BDP($C76,R$72)="#N/A N/A"),"",_xll.BDP($C76,R$72))),R76)</f>
        <v/>
      </c>
      <c r="S76" s="351" cm="1">
        <f t="array" aca="1" ref="S76" ca="1">IF(BBswitch=1,IF(ISBLANK($C76),"",IF(OR(_xll.BDP($C76,S$72)="#N/A Field Not Applicable",_xll.BDP($C76,S$72)="#N/A N/A"),"",_xll.BDP($C76,S$72))),S76)</f>
        <v>259.30858049170405</v>
      </c>
      <c r="T76" s="351" t="str" cm="1">
        <f t="array" aca="1" ref="T76" ca="1">IF(BBswitch=1,IF(ISBLANK($C76),"",IF(OR(_xll.BDP($C76,T$72)="#N/A Field Not Applicable",_xll.BDP($C76,T$72)="#N/A N/A"),"",_xll.BDP($C76,T$72))),T76)</f>
        <v/>
      </c>
      <c r="U76" s="351" cm="1">
        <f t="array" aca="1" ref="U76" ca="1">IF(BBswitch=1,IF(ISBLANK($C76),"",IF(OR(_xll.BDP($C76,U$72)="#N/A Field Not Applicable",_xll.BDP($C76,U$72)="#N/A N/A"),"",_xll.BDP($C76,U$72))),U76)</f>
        <v>3.0105103400785347</v>
      </c>
      <c r="V76" s="352" t="str">
        <f ca="1">IF(BBswitch=1,IF(ISBLANK($C76),"",IF(_xll.BDP($C76,V$72)="#N/A N/A","NA ",_xll.BDP($C76,V$72))),V76)</f>
        <v>Sr Unsecured</v>
      </c>
      <c r="W76" s="353" t="str" cm="1">
        <f t="array" aca="1" ref="W76" ca="1">IF(BBswitch=1,IF(ISBLANK($C76),"",IF(_xll.BDP($C76,W$72)="#N/A N/A","NA ",_xll.BDP($C76,W$72))),W76)</f>
        <v>Delta Air Lines Inc</v>
      </c>
      <c r="X76" s="343" t="str">
        <f ca="1">IF(BBswitch=1,IF(ISBLANK($C76),"",IF(_xll.BDP($C76,X$73)="#N/A N/A","NA ",_xll.BDP($C76,X$73))),X76)</f>
        <v>DAL 7.375 26</v>
      </c>
      <c r="Z76" s="1018"/>
      <c r="AA76" s="883"/>
    </row>
    <row r="77" spans="3:27">
      <c r="C77" s="6" t="s">
        <v>1899</v>
      </c>
      <c r="D77" s="343" t="s">
        <v>1900</v>
      </c>
      <c r="E77" s="344" t="str">
        <f ca="1">IF(BBswitch=1,IF(ISBLANK($C77),"",IF(_xll.BDP($C77,E$73)="#N/A N/A","NA ",_xll.BDP($C77,E$73))),E77)</f>
        <v>BB</v>
      </c>
      <c r="F77" s="1040">
        <f>'DAL Debt'!R19</f>
        <v>2019</v>
      </c>
      <c r="G77" s="355">
        <f ca="1">IF(BBswitch=1,IF(ISBLANK($C77),"",IF(_xll.BDP($C77,G$72)="#N/A N/A","NA ",_xll.BDP($C77,G$72)/100)),G77)</f>
        <v>7.0000000000000007E-2</v>
      </c>
      <c r="H77" s="355">
        <f ca="1">IF(BBswitch=1,IF(ISBLANK($C77),"",IF(_xll.BDP($C77,H$72)="#N/A N/A","NA ",_xll.BDP($C77,H$72)/100)),H77)</f>
        <v>1.0343500000000001</v>
      </c>
      <c r="I77" s="355">
        <f ca="1">IF(BBswitch=1,IF(ISBLANK($C77),"",IF(_xll.BDP($C77,I$72)="#N/A N/A","NA ",_xll.BDP($C77,I$72)/100)),I77)</f>
        <v>6.7731011127237548E-2</v>
      </c>
      <c r="J77" s="355">
        <f ca="1">IF(BBswitch=1,IF(ISBLANK($C77),"",IF(_xll.BDP($C77,J$72)="#N/A N/A","NA ",_xll.BDP($C77,J$72)/100)),J77)</f>
        <v>5.673483314542558E-2</v>
      </c>
      <c r="K77" s="345" t="str">
        <f ca="1">IF(BBswitch=1,IF(ISBLANK($C77),"",IF(_xll.BDP($C77,K$72)="#N/A N/A","NA ",_xll.BDP($C77,K$72))),K77)</f>
        <v>5/1/2025</v>
      </c>
      <c r="L77" s="346">
        <f ca="1">IF(ISBLANK($C77),"",YEAR(K77))</f>
        <v>2025</v>
      </c>
      <c r="M77" s="345" t="str">
        <f ca="1">IF(BBswitch=1,IF(ISBLANK($C77),"",IF(_xll.BDP($C77,M$72)="#N/A N/A","NA ",_xll.BDP($C77,M$72))),M77)</f>
        <v>4/29/2020</v>
      </c>
      <c r="N77" s="347" t="str" cm="1">
        <f t="array" aca="1" ref="N77" ca="1">IF(BBswitch=1,IF(ISBLANK($C77),"",IF(_xll.BDP($C77,N$72)="#N/A Field Not Applicable","Notes",_xll.BDP($C77,N$72))),N77)</f>
        <v>Notes</v>
      </c>
      <c r="O77" s="348" cm="1">
        <f t="array" aca="1" ref="O77" ca="1">IF(BBswitch=1,IF(ISBLANK($C77),"",IFERROR(IF(_xll.BDP($C77,O$72)="#N/A N/A","NA ",_xll.BDP($C77,O$72)/10^6),0)/P77),O77)</f>
        <v>0</v>
      </c>
      <c r="P77" s="349" cm="1">
        <f t="array" aca="1" ref="P77" ca="1">+IF(BBswitch=1,IF(ISBLANK($C77),"",IF(_xll.BDP("USD"&amp;Q77&amp;" BGN Curncy","px last")="#N/A Invalid Security",1,_xll.BDP("USD"&amp;Q77&amp;" BGN Curncy","px last"))),P77)</f>
        <v>1</v>
      </c>
      <c r="Q77" s="350" t="str">
        <f ca="1">IF(BBswitch=1,IF(ISBLANK($C77),"",IF(_xll.BDP($C77,Q$72)="#N/A N/A","NA ",_xll.BDP($C77,Q$72))),Q77)</f>
        <v>USD</v>
      </c>
      <c r="R77" s="351" t="str" cm="1">
        <f t="array" aca="1" ref="R77" ca="1">IF(BBswitch=1,IF(ISBLANK($C77),"",IF(OR(_xll.BDP($C77,R$72)="#N/A Field Not Applicable",_xll.BDP($C77,R$72)="#N/A N/A"),"",_xll.BDP($C77,R$72))),R77)</f>
        <v/>
      </c>
      <c r="S77" s="351" cm="1">
        <f t="array" aca="1" ref="S77" ca="1">IF(BBswitch=1,IF(ISBLANK($C77),"",IF(OR(_xll.BDP($C77,S$72)="#N/A Field Not Applicable",_xll.BDP($C77,S$72)="#N/A N/A"),"",_xll.BDP($C77,S$72))),S77)</f>
        <v>241.61259886442147</v>
      </c>
      <c r="T77" s="351" t="str" cm="1">
        <f t="array" aca="1" ref="T77" ca="1">IF(BBswitch=1,IF(ISBLANK($C77),"",IF(OR(_xll.BDP($C77,T$72)="#N/A Field Not Applicable",_xll.BDP($C77,T$72)="#N/A N/A"),"",_xll.BDP($C77,T$72))),T77)</f>
        <v/>
      </c>
      <c r="U77" s="351" cm="1">
        <f t="array" aca="1" ref="U77" ca="1">IF(BBswitch=1,IF(ISBLANK($C77),"",IF(OR(_xll.BDP($C77,U$72)="#N/A Field Not Applicable",_xll.BDP($C77,U$72)="#N/A N/A"),"",_xll.BDP($C77,U$72))),U77)</f>
        <v>2.470772148541458</v>
      </c>
      <c r="V77" s="352" t="str">
        <f ca="1">IF(BBswitch=1,IF(ISBLANK($C77),"",IF(_xll.BDP($C77,V$72)="#N/A N/A","NA ",_xll.BDP($C77,V$72))),V77)</f>
        <v>1st lien</v>
      </c>
      <c r="W77" s="353" t="str" cm="1">
        <f t="array" aca="1" ref="W77" ca="1">IF(BBswitch=1,IF(ISBLANK($C77),"",IF(_xll.BDP($C77,W$72)="#N/A N/A","NA ",_xll.BDP($C77,W$72))),W77)</f>
        <v>Delta Air Lines Inc</v>
      </c>
      <c r="X77" s="343" t="str">
        <f ca="1">IF(BBswitch=1,IF(ISBLANK($C77),"",IF(_xll.BDP($C77,X$73)="#N/A N/A","NA ",_xll.BDP($C77,X$73))),X77)</f>
        <v>DAL 7 25</v>
      </c>
      <c r="Z77" s="1018"/>
      <c r="AA77" s="883"/>
    </row>
    <row r="78" spans="3:27">
      <c r="C78" s="6" t="s">
        <v>1901</v>
      </c>
      <c r="D78" s="343" t="s">
        <v>1902</v>
      </c>
      <c r="E78" s="344" t="str">
        <f ca="1">IF(BBswitch=1,IF(ISBLANK($C78),"",IF(_xll.BDP($C78,E$73)="#N/A N/A","NA ",_xll.BDP($C78,E$73))),E78)</f>
        <v xml:space="preserve">NA </v>
      </c>
      <c r="F78" s="354">
        <f ca="1">IF(BBswitch=1,IF(ISBLANK($C78),"",IF(_xll.BDP($C78,F$72)="#N/A N/A","NA ",_xll.BDP($C78,F$72)/10^6)/P78),F78)</f>
        <v>3500</v>
      </c>
      <c r="G78" s="355">
        <f ca="1">IF(BBswitch=1,IF(ISBLANK($C78),"",IF(_xll.BDP($C78,G$72)="#N/A N/A","NA ",_xll.BDP($C78,G$72)/100)),G78)</f>
        <v>4.7500000000000001E-2</v>
      </c>
      <c r="H78" s="355">
        <f ca="1">IF(BBswitch=1,IF(ISBLANK($C78),"",IF(_xll.BDP($C78,H$72)="#N/A N/A","NA ",_xll.BDP($C78,H$72)/100)),H78)</f>
        <v>0.96212000000000009</v>
      </c>
      <c r="I78" s="355">
        <f ca="1">IF(BBswitch=1,IF(ISBLANK($C78),"",IF(_xll.BDP($C78,I$72)="#N/A N/A","NA ",_xll.BDP($C78,I$72)/100)),I78)</f>
        <v>4.9426650850138393E-2</v>
      </c>
      <c r="J78" s="355">
        <f ca="1">IF(BBswitch=1,IF(ISBLANK($C78),"",IF(_xll.BDP($C78,J$72)="#N/A N/A","NA ",_xll.BDP($C78,J$72)/100)),J78)</f>
        <v>5.6752544339836015E-2</v>
      </c>
      <c r="K78" s="345" t="str">
        <f ca="1">IF(BBswitch=1,IF(ISBLANK($C78),"",IF(_xll.BDP($C78,K$72)="#N/A N/A","NA ",_xll.BDP($C78,K$72))),K78)</f>
        <v>10/20/2028</v>
      </c>
      <c r="L78" s="346" t="e">
        <f ca="1">IF(ISBLANK($C78),"",YEAR(K78))</f>
        <v>#VALUE!</v>
      </c>
      <c r="M78" s="345" t="str">
        <f ca="1">IF(BBswitch=1,IF(ISBLANK($C78),"",IF(_xll.BDP($C78,M$72)="#N/A N/A","NA ",_xll.BDP($C78,M$72))),M78)</f>
        <v>9/23/2020</v>
      </c>
      <c r="N78" s="347" t="str" cm="1">
        <f t="array" aca="1" ref="N78" ca="1">IF(BBswitch=1,IF(ISBLANK($C78),"",IF(_xll.BDP($C78,N$72)="#N/A Field Not Applicable","Notes",_xll.BDP($C78,N$72))),N78)</f>
        <v>Notes</v>
      </c>
      <c r="O78" s="348" cm="1">
        <f t="array" aca="1" ref="O78" ca="1">IF(BBswitch=1,IF(ISBLANK($C78),"",IFERROR(IF(_xll.BDP($C78,O$72)="#N/A N/A","NA ",_xll.BDP($C78,O$72)/10^6),0)/P78),O78)</f>
        <v>0</v>
      </c>
      <c r="P78" s="349" cm="1">
        <f t="array" aca="1" ref="P78" ca="1">+IF(BBswitch=1,IF(ISBLANK($C78),"",IF(_xll.BDP("USD"&amp;Q78&amp;" BGN Curncy","px last")="#N/A Invalid Security",1,_xll.BDP("USD"&amp;Q78&amp;" BGN Curncy","px last"))),P78)</f>
        <v>1</v>
      </c>
      <c r="Q78" s="350" t="str">
        <f ca="1">IF(BBswitch=1,IF(ISBLANK($C78),"",IF(_xll.BDP($C78,Q$72)="#N/A N/A","NA ",_xll.BDP($C78,Q$72))),Q78)</f>
        <v>USD</v>
      </c>
      <c r="R78" s="351" t="str" cm="1">
        <f t="array" aca="1" ref="R78" ca="1">IF(BBswitch=1,IF(ISBLANK($C78),"",IF(OR(_xll.BDP($C78,R$72)="#N/A Field Not Applicable",_xll.BDP($C78,R$72)="#N/A N/A"),"",_xll.BDP($C78,R$72))),R78)</f>
        <v/>
      </c>
      <c r="S78" s="351" cm="1">
        <f t="array" aca="1" ref="S78" ca="1">IF(BBswitch=1,IF(ISBLANK($C78),"",IF(OR(_xll.BDP($C78,S$72)="#N/A Field Not Applicable",_xll.BDP($C78,S$72)="#N/A N/A"),"",_xll.BDP($C78,S$72))),S78)</f>
        <v>252.72494271953599</v>
      </c>
      <c r="T78" s="351" t="str" cm="1">
        <f t="array" aca="1" ref="T78" ca="1">IF(BBswitch=1,IF(ISBLANK($C78),"",IF(OR(_xll.BDP($C78,T$72)="#N/A Field Not Applicable",_xll.BDP($C78,T$72)="#N/A N/A"),"",_xll.BDP($C78,T$72))),T78)</f>
        <v/>
      </c>
      <c r="U78" s="351" cm="1">
        <f t="array" aca="1" ref="U78" ca="1">IF(BBswitch=1,IF(ISBLANK($C78),"",IF(OR(_xll.BDP($C78,U$72)="#N/A Field Not Applicable",_xll.BDP($C78,U$72)="#N/A N/A"),"",_xll.BDP($C78,U$72))),U78)</f>
        <v>4.2242649907203695</v>
      </c>
      <c r="V78" s="352" t="str">
        <f ca="1">IF(BBswitch=1,IF(ISBLANK($C78),"",IF(_xll.BDP($C78,V$72)="#N/A N/A","NA ",_xll.BDP($C78,V$72))),V78)</f>
        <v>1st lien</v>
      </c>
      <c r="W78" s="353" t="str" cm="1">
        <f t="array" aca="1" ref="W78" ca="1">IF(BBswitch=1,IF(ISBLANK($C78),"",IF(_xll.BDP($C78,W$72)="#N/A N/A","NA ",_xll.BDP($C78,W$72))),W78)</f>
        <v>Delta Air Lines Inc / SkyMiles IP Ltd</v>
      </c>
      <c r="X78" s="343" t="str">
        <f ca="1">IF(BBswitch=1,IF(ISBLANK($C78),"",IF(_xll.BDP($C78,X$73)="#N/A N/A","NA ",_xll.BDP($C78,X$73))),X78)</f>
        <v>DAL 4.75 28</v>
      </c>
      <c r="Z78" s="1018"/>
      <c r="AA78" s="883"/>
    </row>
    <row r="79" spans="3:27">
      <c r="C79" s="6" t="s">
        <v>1844</v>
      </c>
      <c r="D79" s="343" t="s">
        <v>1845</v>
      </c>
      <c r="E79" s="344" t="str">
        <f ca="1">IF(BBswitch=1,IF(ISBLANK($C79),"",IF(_xll.BDP($C79,E$73)="#N/A N/A","NA ",_xll.BDP($C79,E$73))),E79)</f>
        <v>BB</v>
      </c>
      <c r="F79" s="354">
        <f ca="1">IF(BBswitch=1,IF(ISBLANK($C79),"",IF(_xll.BDP($C79,F$72)="#N/A N/A","NA ",_xll.BDP($C79,F$72)/10^6)/P79),F79)</f>
        <v>600</v>
      </c>
      <c r="G79" s="355">
        <f ca="1">IF(BBswitch=1,IF(ISBLANK($C79),"",IF(_xll.BDP($C79,G$72)="#N/A N/A","NA ",_xll.BDP($C79,G$72)/100)),G79)</f>
        <v>3.7499999999999999E-2</v>
      </c>
      <c r="H79" s="355">
        <f ca="1">IF(BBswitch=1,IF(ISBLANK($C79),"",IF(_xll.BDP($C79,H$72)="#N/A N/A","NA ",_xll.BDP($C79,H$72)/100)),H79)</f>
        <v>0.85790999999999995</v>
      </c>
      <c r="I79" s="355">
        <f ca="1">IF(BBswitch=1,IF(ISBLANK($C79),"",IF(_xll.BDP($C79,I$72)="#N/A N/A","NA ",_xll.BDP($C79,I$72)/100)),I79)</f>
        <v>4.3814553442071323E-2</v>
      </c>
      <c r="J79" s="355">
        <f ca="1">IF(BBswitch=1,IF(ISBLANK($C79),"",IF(_xll.BDP($C79,J$72)="#N/A N/A","NA ",_xll.BDP($C79,J$72)/100)),J79)</f>
        <v>6.2464079434774798E-2</v>
      </c>
      <c r="K79" s="345" t="str">
        <f ca="1">IF(BBswitch=1,IF(ISBLANK($C79),"",IF(_xll.BDP($C79,K$72)="#N/A N/A","NA ",_xll.BDP($C79,K$72))),K79)</f>
        <v>10/28/2029</v>
      </c>
      <c r="L79" s="346" t="e">
        <f ca="1">IF(ISBLANK($C79),"",YEAR(K79))</f>
        <v>#VALUE!</v>
      </c>
      <c r="M79" s="345" t="str">
        <f ca="1">IF(BBswitch=1,IF(ISBLANK($C79),"",IF(_xll.BDP($C79,M$72)="#N/A N/A","NA ",_xll.BDP($C79,M$72))),M79)</f>
        <v>10/28/2019</v>
      </c>
      <c r="N79" s="347" t="str" cm="1">
        <f t="array" aca="1" ref="N79" ca="1">IF(BBswitch=1,IF(ISBLANK($C79),"",IF(_xll.BDP($C79,N$72)="#N/A Field Not Applicable","Notes",_xll.BDP($C79,N$72))),N79)</f>
        <v>Notes</v>
      </c>
      <c r="O79" s="348" cm="1">
        <f t="array" aca="1" ref="O79" ca="1">IF(BBswitch=1,IF(ISBLANK($C79),"",IFERROR(IF(_xll.BDP($C79,O$72)="#N/A N/A","NA ",_xll.BDP($C79,O$72)/10^6),0)/P79),O79)</f>
        <v>0</v>
      </c>
      <c r="P79" s="349" cm="1">
        <f t="array" aca="1" ref="P79" ca="1">+IF(BBswitch=1,IF(ISBLANK($C79),"",IF(_xll.BDP("USD"&amp;Q79&amp;" BGN Curncy","px last")="#N/A Invalid Security",1,_xll.BDP("USD"&amp;Q79&amp;" BGN Curncy","px last"))),P79)</f>
        <v>1</v>
      </c>
      <c r="Q79" s="350" t="str">
        <f ca="1">IF(BBswitch=1,IF(ISBLANK($C79),"",IF(_xll.BDP($C79,Q$72)="#N/A N/A","NA ",_xll.BDP($C79,Q$72))),Q79)</f>
        <v>USD</v>
      </c>
      <c r="R79" s="351" t="str" cm="1">
        <f t="array" aca="1" ref="R79" ca="1">IF(BBswitch=1,IF(ISBLANK($C79),"",IF(OR(_xll.BDP($C79,R$72)="#N/A Field Not Applicable",_xll.BDP($C79,R$72)="#N/A N/A"),"",_xll.BDP($C79,R$72))),R79)</f>
        <v/>
      </c>
      <c r="S79" s="351" cm="1">
        <f t="array" aca="1" ref="S79" ca="1">IF(BBswitch=1,IF(ISBLANK($C79),"",IF(OR(_xll.BDP($C79,S$72)="#N/A Field Not Applicable",_xll.BDP($C79,S$72)="#N/A N/A"),"",_xll.BDP($C79,S$72))),S79)</f>
        <v>310.40690241935783</v>
      </c>
      <c r="T79" s="351" t="str" cm="1">
        <f t="array" aca="1" ref="T79" ca="1">IF(BBswitch=1,IF(ISBLANK($C79),"",IF(OR(_xll.BDP($C79,T$72)="#N/A Field Not Applicable",_xll.BDP($C79,T$72)="#N/A N/A"),"",_xll.BDP($C79,T$72))),T79)</f>
        <v/>
      </c>
      <c r="U79" s="351" cm="1">
        <f t="array" aca="1" ref="U79" ca="1">IF(BBswitch=1,IF(ISBLANK($C79),"",IF(OR(_xll.BDP($C79,U$72)="#N/A Field Not Applicable",_xll.BDP($C79,U$72)="#N/A N/A"),"",_xll.BDP($C79,U$72))),U79)</f>
        <v>6.0875080111616784</v>
      </c>
      <c r="V79" s="352" t="str">
        <f ca="1">IF(BBswitch=1,IF(ISBLANK($C79),"",IF(_xll.BDP($C79,V$72)="#N/A N/A","NA ",_xll.BDP($C79,V$72))),V79)</f>
        <v>Sr Unsecured</v>
      </c>
      <c r="W79" s="353" t="str" cm="1">
        <f t="array" aca="1" ref="W79" ca="1">IF(BBswitch=1,IF(ISBLANK($C79),"",IF(_xll.BDP($C79,W$72)="#N/A N/A","NA ",_xll.BDP($C79,W$72))),W79)</f>
        <v>Delta Air Lines Inc</v>
      </c>
      <c r="X79" s="343" t="str">
        <f ca="1">IF(BBswitch=1,IF(ISBLANK($C79),"",IF(_xll.BDP($C79,X$73)="#N/A N/A","NA ",_xll.BDP($C79,X$73))),X79)</f>
        <v>DAL 3.75 29</v>
      </c>
      <c r="Z79" s="1018"/>
      <c r="AA79" s="883"/>
    </row>
    <row r="80" spans="3:27">
      <c r="C80" s="6" t="s">
        <v>1903</v>
      </c>
      <c r="D80" s="343" t="s">
        <v>1904</v>
      </c>
      <c r="E80" s="344" t="str">
        <f ca="1">IF(BBswitch=1,IF(ISBLANK($C80),"",IF(_xll.BDP($C80,E$73)="#N/A N/A","NA ",_xll.BDP($C80,E$73))),E80)</f>
        <v xml:space="preserve">NA </v>
      </c>
      <c r="F80" s="354">
        <f ca="1">IF(BBswitch=1,IF(ISBLANK($C80),"",IF(_xll.BDP($C80,F$72)="#N/A N/A","NA ",_xll.BDP($C80,F$72)/10^6)/P80),F80)</f>
        <v>2500</v>
      </c>
      <c r="G80" s="355">
        <f ca="1">IF(BBswitch=1,IF(ISBLANK($C80),"",IF(_xll.BDP($C80,G$72)="#N/A N/A","NA ",_xll.BDP($C80,G$72)/100)),G80)</f>
        <v>4.4999999999999998E-2</v>
      </c>
      <c r="H80" s="355">
        <f ca="1">IF(BBswitch=1,IF(ISBLANK($C80),"",IF(_xll.BDP($C80,H$72)="#N/A N/A","NA ",_xll.BDP($C80,H$72)/100)),H80)</f>
        <v>0.98714000000000002</v>
      </c>
      <c r="I80" s="355">
        <f ca="1">IF(BBswitch=1,IF(ISBLANK($C80),"",IF(_xll.BDP($C80,I$72)="#N/A N/A","NA ",_xll.BDP($C80,I$72)/100)),I80)</f>
        <v>4.5650056808959588E-2</v>
      </c>
      <c r="J80" s="355">
        <f ca="1">IF(BBswitch=1,IF(ISBLANK($C80),"",IF(_xll.BDP($C80,J$72)="#N/A N/A","NA ",_xll.BDP($C80,J$72)/100)),J80)</f>
        <v>5.3132717398967098E-2</v>
      </c>
      <c r="K80" s="345" t="str">
        <f ca="1">IF(BBswitch=1,IF(ISBLANK($C80),"",IF(_xll.BDP($C80,K$72)="#N/A N/A","NA ",_xll.BDP($C80,K$72))),K80)</f>
        <v>10/20/2025</v>
      </c>
      <c r="L80" s="346" t="e">
        <f ca="1">IF(ISBLANK($C80),"",YEAR(K80))</f>
        <v>#VALUE!</v>
      </c>
      <c r="M80" s="345" t="str">
        <f ca="1">IF(BBswitch=1,IF(ISBLANK($C80),"",IF(_xll.BDP($C80,M$72)="#N/A N/A","NA ",_xll.BDP($C80,M$72))),M80)</f>
        <v>9/23/2020</v>
      </c>
      <c r="N80" s="347" t="str" cm="1">
        <f t="array" aca="1" ref="N80" ca="1">IF(BBswitch=1,IF(ISBLANK($C80),"",IF(_xll.BDP($C80,N$72)="#N/A Field Not Applicable","Notes",_xll.BDP($C80,N$72))),N80)</f>
        <v>Notes</v>
      </c>
      <c r="O80" s="348" cm="1">
        <f t="array" aca="1" ref="O80" ca="1">IF(BBswitch=1,IF(ISBLANK($C80),"",IFERROR(IF(_xll.BDP($C80,O$72)="#N/A N/A","NA ",_xll.BDP($C80,O$72)/10^6),0)/P80),O80)</f>
        <v>0</v>
      </c>
      <c r="P80" s="349" cm="1">
        <f t="array" aca="1" ref="P80" ca="1">+IF(BBswitch=1,IF(ISBLANK($C80),"",IF(_xll.BDP("USD"&amp;Q80&amp;" BGN Curncy","px last")="#N/A Invalid Security",1,_xll.BDP("USD"&amp;Q80&amp;" BGN Curncy","px last"))),P80)</f>
        <v>1</v>
      </c>
      <c r="Q80" s="350" t="str">
        <f ca="1">IF(BBswitch=1,IF(ISBLANK($C80),"",IF(_xll.BDP($C80,Q$72)="#N/A N/A","NA ",_xll.BDP($C80,Q$72))),Q80)</f>
        <v>USD</v>
      </c>
      <c r="R80" s="351" t="str" cm="1">
        <f t="array" aca="1" ref="R80" ca="1">IF(BBswitch=1,IF(ISBLANK($C80),"",IF(OR(_xll.BDP($C80,R$72)="#N/A Field Not Applicable",_xll.BDP($C80,R$72)="#N/A N/A"),"",_xll.BDP($C80,R$72))),R80)</f>
        <v/>
      </c>
      <c r="S80" s="351" cm="1">
        <f t="array" aca="1" ref="S80" ca="1">IF(BBswitch=1,IF(ISBLANK($C80),"",IF(OR(_xll.BDP($C80,S$72)="#N/A Field Not Applicable",_xll.BDP($C80,S$72)="#N/A N/A"),"",_xll.BDP($C80,S$72))),S80)</f>
        <v>207.66162978200552</v>
      </c>
      <c r="T80" s="351" t="str" cm="1">
        <f t="array" aca="1" ref="T80" ca="1">IF(BBswitch=1,IF(ISBLANK($C80),"",IF(OR(_xll.BDP($C80,T$72)="#N/A Field Not Applicable",_xll.BDP($C80,T$72)="#N/A N/A"),"",_xll.BDP($C80,T$72))),T80)</f>
        <v/>
      </c>
      <c r="U80" s="351" cm="1">
        <f t="array" aca="1" ref="U80" ca="1">IF(BBswitch=1,IF(ISBLANK($C80),"",IF(OR(_xll.BDP($C80,U$72)="#N/A Field Not Applicable",_xll.BDP($C80,U$72)="#N/A N/A"),"",_xll.BDP($C80,U$72))),U80)</f>
        <v>1.7388476020436627</v>
      </c>
      <c r="V80" s="352" t="str">
        <f ca="1">IF(BBswitch=1,IF(ISBLANK($C80),"",IF(_xll.BDP($C80,V$72)="#N/A N/A","NA ",_xll.BDP($C80,V$72))),V80)</f>
        <v>1st lien</v>
      </c>
      <c r="W80" s="353" t="str" cm="1">
        <f t="array" aca="1" ref="W80" ca="1">IF(BBswitch=1,IF(ISBLANK($C80),"",IF(_xll.BDP($C80,W$72)="#N/A N/A","NA ",_xll.BDP($C80,W$72))),W80)</f>
        <v>Delta Air Lines Inc / SkyMiles IP Ltd</v>
      </c>
      <c r="X80" s="343" t="str">
        <f ca="1">IF(BBswitch=1,IF(ISBLANK($C80),"",IF(_xll.BDP($C80,X$73)="#N/A N/A","NA ",_xll.BDP($C80,X$73))),X80)</f>
        <v>DAL 4.5 25</v>
      </c>
      <c r="Z80" s="1018"/>
      <c r="AA80" s="883"/>
    </row>
    <row r="81" spans="3:37">
      <c r="C81" s="6" t="s">
        <v>1905</v>
      </c>
      <c r="D81" s="1051" t="s">
        <v>1906</v>
      </c>
      <c r="E81" s="1042"/>
      <c r="F81" s="1040">
        <f>'DAL Debt'!R16</f>
        <v>2820</v>
      </c>
      <c r="G81" s="1042">
        <f>'DAL Debt'!D16</f>
        <v>4.7500000000000001E-2</v>
      </c>
      <c r="H81" s="355">
        <f ca="1">IF(BBswitch=1,IF(ISBLANK($C81),"",IF(_xll.BDP($C81,H$72)="#N/A N/A","NA ",_xll.BDP($C81,H$72)/100)),H81)</f>
        <v>0.90983999999999998</v>
      </c>
      <c r="I81" s="355">
        <f ca="1">G81/H81</f>
        <v>5.2206981447287436E-2</v>
      </c>
      <c r="J81" s="355"/>
      <c r="K81" s="1042" t="str">
        <f>'DAL Debt'!AG16</f>
        <v>2023 - 2027</v>
      </c>
      <c r="L81" s="346"/>
      <c r="M81" s="345"/>
      <c r="N81" s="347"/>
      <c r="O81" s="348"/>
      <c r="P81" s="349"/>
      <c r="Q81" s="350"/>
      <c r="R81" s="351"/>
      <c r="S81" s="351"/>
      <c r="T81" s="351"/>
      <c r="U81" s="351"/>
      <c r="V81" s="1037" t="s">
        <v>1759</v>
      </c>
      <c r="W81" s="353"/>
      <c r="X81" s="343"/>
      <c r="Z81" s="1018"/>
      <c r="AA81" s="883"/>
    </row>
    <row r="82" spans="3:37">
      <c r="C82" s="6" t="s">
        <v>1842</v>
      </c>
      <c r="D82" s="1051" t="s">
        <v>1843</v>
      </c>
      <c r="E82" s="1042"/>
      <c r="F82" s="1040">
        <f>'DAL Debt'!R24</f>
        <v>1867</v>
      </c>
      <c r="G82" s="1042">
        <f>'DAL Debt'!D24</f>
        <v>0.05</v>
      </c>
      <c r="H82" s="355">
        <f ca="1">IF(BBswitch=1,IF(ISBLANK($C82),"",IF(_xll.BDP($C82,H$72)="#N/A N/A","NA ",_xll.BDP($C82,H$72)/100)),H82)</f>
        <v>1.00034</v>
      </c>
      <c r="I82" s="355">
        <f t="shared" ref="I82:I87" ca="1" si="4">G82/H82</f>
        <v>4.9983005778035473E-2</v>
      </c>
      <c r="J82" s="355"/>
      <c r="K82" s="1042" t="str">
        <f>'DAL Debt'!AG24</f>
        <v>2022 - 2028</v>
      </c>
      <c r="L82" s="346"/>
      <c r="M82" s="345"/>
      <c r="N82" s="347"/>
      <c r="O82" s="348"/>
      <c r="P82" s="349"/>
      <c r="Q82" s="350"/>
      <c r="R82" s="351"/>
      <c r="S82" s="351"/>
      <c r="T82" s="351"/>
      <c r="U82" s="351"/>
      <c r="V82" s="1037" t="s">
        <v>1759</v>
      </c>
      <c r="W82" s="353"/>
      <c r="X82" s="343"/>
      <c r="Z82" s="1018"/>
      <c r="AA82" s="883"/>
    </row>
    <row r="83" spans="3:37">
      <c r="C83" s="6" t="s">
        <v>1907</v>
      </c>
      <c r="D83" s="1051" t="s">
        <v>1908</v>
      </c>
      <c r="E83" s="1042"/>
      <c r="F83" s="1040">
        <f>'DAL Debt'!R25</f>
        <v>987</v>
      </c>
      <c r="G83" s="1042">
        <f>'DAL Debt'!D25</f>
        <v>3.27E-2</v>
      </c>
      <c r="H83" s="936">
        <v>1</v>
      </c>
      <c r="I83" s="355">
        <f t="shared" si="4"/>
        <v>3.27E-2</v>
      </c>
      <c r="J83" s="355"/>
      <c r="K83" s="1042" t="str">
        <f>'DAL Debt'!AG25</f>
        <v>2022 - 2033</v>
      </c>
      <c r="L83" s="346"/>
      <c r="M83" s="345"/>
      <c r="N83" s="347"/>
      <c r="O83" s="348"/>
      <c r="P83" s="349"/>
      <c r="Q83" s="350"/>
      <c r="R83" s="351"/>
      <c r="S83" s="351"/>
      <c r="T83" s="351"/>
      <c r="U83" s="351"/>
      <c r="V83" s="1037" t="s">
        <v>1759</v>
      </c>
      <c r="W83" s="353"/>
      <c r="X83" s="343"/>
      <c r="Z83" s="1018"/>
      <c r="AA83" s="883"/>
    </row>
    <row r="84" spans="3:37">
      <c r="C84" s="6" t="s">
        <v>1842</v>
      </c>
      <c r="D84" s="1051" t="s">
        <v>1843</v>
      </c>
      <c r="E84" s="1042"/>
      <c r="F84" s="1040">
        <f>'DAL Debt'!R28</f>
        <v>2838</v>
      </c>
      <c r="G84" s="1042">
        <f>'DAL Debt'!D28</f>
        <v>4.4999999999999998E-2</v>
      </c>
      <c r="H84" s="936">
        <v>1</v>
      </c>
      <c r="I84" s="355">
        <f t="shared" si="4"/>
        <v>4.4999999999999998E-2</v>
      </c>
      <c r="J84" s="355"/>
      <c r="K84" s="1042" t="str">
        <f>'DAL Debt'!AG28</f>
        <v>2026 - 2045</v>
      </c>
      <c r="L84" s="346"/>
      <c r="M84" s="345"/>
      <c r="N84" s="347"/>
      <c r="O84" s="348"/>
      <c r="P84" s="349"/>
      <c r="Q84" s="350"/>
      <c r="R84" s="351"/>
      <c r="S84" s="351"/>
      <c r="T84" s="351"/>
      <c r="U84" s="351"/>
      <c r="V84" s="1037" t="s">
        <v>1759</v>
      </c>
      <c r="W84" s="353"/>
      <c r="X84" s="343"/>
      <c r="Z84" s="1018"/>
      <c r="AA84" s="883"/>
    </row>
    <row r="85" spans="3:37">
      <c r="C85" s="6" t="s">
        <v>1844</v>
      </c>
      <c r="D85" s="1051" t="s">
        <v>1845</v>
      </c>
      <c r="E85" s="1042"/>
      <c r="F85" s="1040">
        <f>'DAL Debt'!R29</f>
        <v>68</v>
      </c>
      <c r="G85" s="1042">
        <f>'DAL Debt'!D29</f>
        <v>5.2549999999999999E-2</v>
      </c>
      <c r="H85" s="936">
        <v>1</v>
      </c>
      <c r="I85" s="355">
        <f t="shared" si="4"/>
        <v>5.2549999999999999E-2</v>
      </c>
      <c r="J85" s="355"/>
      <c r="K85" s="1042" t="str">
        <f>'DAL Debt'!AG29</f>
        <v>2022 - 2030</v>
      </c>
      <c r="L85" s="346"/>
      <c r="M85" s="345"/>
      <c r="N85" s="347"/>
      <c r="O85" s="348"/>
      <c r="P85" s="349"/>
      <c r="Q85" s="350"/>
      <c r="R85" s="351"/>
      <c r="S85" s="351"/>
      <c r="T85" s="351"/>
      <c r="U85" s="351"/>
      <c r="V85" s="1037" t="s">
        <v>1766</v>
      </c>
      <c r="W85" s="353"/>
      <c r="X85" s="343"/>
      <c r="Z85" s="1018"/>
      <c r="AA85" s="883"/>
    </row>
    <row r="86" spans="3:37">
      <c r="D86" s="1051" t="str">
        <f>'DAL Debt'!C10</f>
        <v>Unsecured notes</v>
      </c>
      <c r="E86" s="1042"/>
      <c r="F86" s="1040">
        <f>'DAL Debt'!R10</f>
        <v>3146</v>
      </c>
      <c r="G86" s="1042">
        <f>'DAL Debt'!D10</f>
        <v>5.1400000000000001E-2</v>
      </c>
      <c r="H86" s="936">
        <v>1</v>
      </c>
      <c r="I86" s="355">
        <f t="shared" si="4"/>
        <v>5.1400000000000001E-2</v>
      </c>
      <c r="J86" s="355"/>
      <c r="K86" s="1042" t="str">
        <f>'DAL Debt'!AG10</f>
        <v>2022 - 2029</v>
      </c>
      <c r="L86" s="346"/>
      <c r="M86" s="345"/>
      <c r="N86" s="347"/>
      <c r="O86" s="348"/>
      <c r="P86" s="349"/>
      <c r="Q86" s="350"/>
      <c r="R86" s="351"/>
      <c r="S86" s="351"/>
      <c r="T86" s="351"/>
      <c r="U86" s="351"/>
      <c r="V86" s="1037" t="s">
        <v>1766</v>
      </c>
      <c r="W86" s="353"/>
      <c r="X86" s="343"/>
      <c r="Z86" s="1018"/>
      <c r="AA86" s="883"/>
    </row>
    <row r="87" spans="3:37">
      <c r="D87" s="1051" t="str">
        <f>'DAL Debt'!C11</f>
        <v>Unsecured Payroll Support Program Loans</v>
      </c>
      <c r="E87" s="1042"/>
      <c r="F87" s="1040">
        <f>'DAL Debt'!R11</f>
        <v>3496</v>
      </c>
      <c r="G87" s="1042">
        <f>'DAL Debt'!D11</f>
        <v>0.01</v>
      </c>
      <c r="H87" s="936">
        <v>1</v>
      </c>
      <c r="I87" s="355">
        <f t="shared" si="4"/>
        <v>0.01</v>
      </c>
      <c r="J87" s="355"/>
      <c r="K87" s="1042" t="str">
        <f>'DAL Debt'!AG11</f>
        <v>2030 - 2031</v>
      </c>
      <c r="L87" s="346"/>
      <c r="M87" s="345"/>
      <c r="N87" s="347"/>
      <c r="O87" s="348"/>
      <c r="P87" s="349"/>
      <c r="Q87" s="350"/>
      <c r="R87" s="351"/>
      <c r="S87" s="351"/>
      <c r="T87" s="351"/>
      <c r="U87" s="351"/>
      <c r="V87" s="1037" t="s">
        <v>1766</v>
      </c>
      <c r="W87" s="353"/>
      <c r="X87" s="343"/>
      <c r="Z87" s="1018"/>
      <c r="AA87" s="883"/>
    </row>
    <row r="88" spans="3:37">
      <c r="D88" s="343"/>
      <c r="E88" s="344"/>
      <c r="F88" s="354"/>
      <c r="G88" s="355"/>
      <c r="H88" s="355"/>
      <c r="I88" s="355"/>
      <c r="J88" s="355"/>
      <c r="K88" s="345"/>
      <c r="L88" s="346"/>
      <c r="M88" s="345"/>
      <c r="N88" s="347"/>
      <c r="O88" s="348"/>
      <c r="P88" s="349"/>
      <c r="Q88" s="350"/>
      <c r="R88" s="351"/>
      <c r="S88" s="351"/>
      <c r="T88" s="351"/>
      <c r="U88" s="351"/>
      <c r="V88" s="352"/>
      <c r="W88" s="353"/>
      <c r="X88" s="343"/>
      <c r="Z88" s="1018"/>
      <c r="AA88" s="883"/>
    </row>
    <row r="89" spans="3:37">
      <c r="D89" s="343"/>
      <c r="E89" s="344"/>
      <c r="F89" s="354"/>
      <c r="G89" s="355"/>
      <c r="H89" s="355"/>
      <c r="I89" s="355"/>
      <c r="J89" s="355"/>
      <c r="K89" s="345"/>
      <c r="L89" s="346"/>
      <c r="M89" s="345"/>
      <c r="N89" s="347"/>
      <c r="O89" s="348"/>
      <c r="P89" s="349"/>
      <c r="Q89" s="350"/>
      <c r="R89" s="351"/>
      <c r="S89" s="351"/>
      <c r="T89" s="351"/>
      <c r="U89" s="351"/>
      <c r="V89" s="352"/>
      <c r="W89" s="353"/>
      <c r="X89" s="343"/>
      <c r="Z89" s="1018"/>
      <c r="AA89" s="883"/>
    </row>
    <row r="90" spans="3:37">
      <c r="D90" s="343"/>
      <c r="E90" s="344"/>
      <c r="F90" s="354"/>
      <c r="G90" s="355"/>
      <c r="H90" s="355"/>
      <c r="I90" s="355"/>
      <c r="J90" s="355"/>
      <c r="K90" s="345"/>
      <c r="L90" s="346"/>
      <c r="M90" s="345"/>
      <c r="N90" s="347"/>
      <c r="O90" s="348"/>
      <c r="P90" s="349"/>
      <c r="Q90" s="350"/>
      <c r="R90" s="351"/>
      <c r="S90" s="351"/>
      <c r="T90" s="351"/>
      <c r="U90" s="351"/>
      <c r="V90" s="352"/>
      <c r="W90" s="353"/>
      <c r="X90" s="343"/>
      <c r="Z90" s="1018"/>
      <c r="AA90" s="883"/>
    </row>
    <row r="91" spans="3:37">
      <c r="D91" s="343"/>
      <c r="E91" s="344"/>
      <c r="F91" s="354"/>
      <c r="G91" s="355"/>
      <c r="H91" s="355"/>
      <c r="I91" s="355"/>
      <c r="J91" s="355"/>
      <c r="K91" s="345"/>
      <c r="L91" s="346"/>
      <c r="M91" s="345"/>
      <c r="N91" s="347"/>
      <c r="O91" s="348"/>
      <c r="P91" s="349"/>
      <c r="Q91" s="350"/>
      <c r="R91" s="351"/>
      <c r="S91" s="351"/>
      <c r="T91" s="351"/>
      <c r="U91" s="351"/>
      <c r="V91" s="352"/>
      <c r="W91" s="353"/>
      <c r="X91" s="343"/>
      <c r="Z91" s="1018"/>
      <c r="AA91" s="883"/>
    </row>
    <row r="92" spans="3:37">
      <c r="D92" s="343"/>
      <c r="E92" s="344"/>
      <c r="F92" s="354"/>
      <c r="G92" s="355"/>
      <c r="H92" s="355"/>
      <c r="I92" s="355"/>
      <c r="J92" s="355"/>
      <c r="K92" s="345"/>
      <c r="L92" s="346"/>
      <c r="M92" s="345"/>
      <c r="N92" s="347"/>
      <c r="O92" s="348"/>
      <c r="P92" s="349"/>
      <c r="Q92" s="350"/>
      <c r="R92" s="351"/>
      <c r="S92" s="351"/>
      <c r="T92" s="351"/>
      <c r="U92" s="351"/>
      <c r="V92" s="352"/>
      <c r="W92" s="353"/>
      <c r="X92" s="343"/>
      <c r="Z92" s="1018"/>
      <c r="AA92" s="883"/>
    </row>
    <row r="93" spans="3:37">
      <c r="D93" s="343"/>
      <c r="E93" s="344"/>
      <c r="F93" s="354"/>
      <c r="G93" s="355"/>
      <c r="H93" s="355"/>
      <c r="I93" s="355"/>
      <c r="J93" s="355"/>
      <c r="K93" s="345"/>
      <c r="L93" s="346"/>
      <c r="M93" s="345"/>
      <c r="N93" s="347"/>
      <c r="O93" s="348"/>
      <c r="P93" s="349"/>
      <c r="Q93" s="350"/>
      <c r="R93" s="351"/>
      <c r="S93" s="351"/>
      <c r="T93" s="351"/>
      <c r="U93" s="351"/>
      <c r="V93" s="352"/>
      <c r="W93" s="353"/>
      <c r="X93" s="343"/>
      <c r="Z93" s="1018"/>
      <c r="AA93" s="883"/>
    </row>
    <row r="94" spans="3:37">
      <c r="D94" s="343"/>
      <c r="E94" s="344"/>
      <c r="F94" s="354"/>
      <c r="G94" s="355"/>
      <c r="H94" s="355"/>
      <c r="I94" s="355"/>
      <c r="J94" s="355"/>
      <c r="K94" s="345"/>
      <c r="L94" s="346"/>
      <c r="M94" s="345"/>
      <c r="N94" s="347"/>
      <c r="O94" s="348"/>
      <c r="P94" s="349"/>
      <c r="Q94" s="350"/>
      <c r="R94" s="351"/>
      <c r="S94" s="351"/>
      <c r="T94" s="351"/>
      <c r="U94" s="351"/>
      <c r="V94" s="352"/>
      <c r="W94" s="353"/>
      <c r="X94" s="343"/>
      <c r="Z94" s="1018"/>
      <c r="AA94" s="883"/>
    </row>
    <row r="95" spans="3:37">
      <c r="D95" s="343"/>
      <c r="E95" s="344"/>
      <c r="F95" s="354"/>
      <c r="G95" s="355"/>
      <c r="H95" s="355"/>
      <c r="I95" s="355"/>
      <c r="J95" s="355"/>
      <c r="K95" s="345"/>
      <c r="L95" s="346"/>
      <c r="M95" s="345"/>
      <c r="N95" s="347"/>
      <c r="O95" s="348"/>
      <c r="P95" s="349"/>
      <c r="Q95" s="350"/>
      <c r="R95" s="351"/>
      <c r="S95" s="351"/>
      <c r="T95" s="351"/>
      <c r="U95" s="351"/>
      <c r="V95" s="352"/>
      <c r="W95" s="353"/>
      <c r="X95" s="343"/>
      <c r="Z95" s="1018"/>
      <c r="AA95" s="883"/>
    </row>
    <row r="96" spans="3:37" hidden="1" outlineLevel="1">
      <c r="C96" s="6" t="s">
        <v>1678</v>
      </c>
      <c r="D96" s="343" t="str">
        <f ca="1">IF(BBswitch=1,IF(ISBLANK($C96),"",IF(_xll.BDP($C96,D$73)="#N/A N/A","NA ",_xll.BDP($C96,D$73))),D96)</f>
        <v>DAL 3.875 27</v>
      </c>
      <c r="E96" s="344" t="str">
        <f ca="1">IF(BBswitch=1,IF(ISBLANK($C96),"",IF(_xll.BDP($C96,E$73)="#N/A N/A","NA ",_xll.BDP($C96,E$73))),E96)</f>
        <v xml:space="preserve">NA </v>
      </c>
      <c r="F96" s="354">
        <f ca="1">IF(BBswitch=1,IF(ISBLANK($C96),"",IF(_xll.BDP($C96,F$72)="#N/A N/A","NA ",_xll.BDP($C96,F$72)/10^6)/P96),F96)</f>
        <v>49.809839219499999</v>
      </c>
      <c r="G96" s="355">
        <f ca="1">IF(BBswitch=1,IF(ISBLANK($C96),"",IF(_xll.BDP($C96,G$72)="#N/A N/A","NA ",_xll.BDP($C96,G$72)/100)),G96)</f>
        <v>3.875E-2</v>
      </c>
      <c r="H96" s="355">
        <f ca="1">IF(BBswitch=1,IF(ISBLANK($C96),"",IF(_xll.BDP($C96,H$72)="#N/A N/A","NA ",_xll.BDP($C96,H$72)/100)),H96)</f>
        <v>0.91674999999999995</v>
      </c>
      <c r="I96" s="355">
        <f ca="1">IF(BBswitch=1,IF(ISBLANK($C96),"",IF(_xll.BDP($C96,I$72)="#N/A N/A","NA ",_xll.BDP($C96,I$72)/100)),I96)</f>
        <v>4.2469476776046108E-2</v>
      </c>
      <c r="J96" s="355">
        <f ca="1">IF(BBswitch=1,IF(ISBLANK($C96),"",IF(_xll.BDP($C96,J$72)="#N/A N/A","NA ",_xll.BDP($C96,J$72)/100)),J96)</f>
        <v>6.3286609680815398E-2</v>
      </c>
      <c r="K96" s="345" t="str">
        <f ca="1">IF(BBswitch=1,IF(ISBLANK($C96),"",IF(_xll.BDP($C96,K$72)="#N/A N/A","NA ",_xll.BDP($C96,K$72))),K96)</f>
        <v>7/30/2027</v>
      </c>
      <c r="L96" s="346" t="e">
        <f t="shared" ref="L96:L110" ca="1" si="5">IF(ISBLANK($C96),"",YEAR(K96))</f>
        <v>#VALUE!</v>
      </c>
      <c r="M96" s="345" t="str">
        <f ca="1">IF(BBswitch=1,IF(ISBLANK($C96),"",IF(_xll.BDP($C96,M$72)="#N/A N/A","NA ",_xll.BDP($C96,M$72))),M96)</f>
        <v>8/24/2015</v>
      </c>
      <c r="N96" s="347" t="str" cm="1">
        <f t="array" aca="1" ref="N96" ca="1">IF(BBswitch=1,IF(ISBLANK($C96),"",IF(_xll.BDP($C96,N$72)="#N/A Field Not Applicable","Notes",_xll.BDP($C96,N$72))),N96)</f>
        <v>Notes</v>
      </c>
      <c r="O96" s="348" cm="1">
        <f t="array" aca="1" ref="O96" ca="1">IF(BBswitch=1,IF(ISBLANK($C96),"",IFERROR(IF(_xll.BDP($C96,O$72)="#N/A N/A","NA ",_xll.BDP($C96,O$72)/10^6),0)/P96),O96)</f>
        <v>0</v>
      </c>
      <c r="P96" s="349" cm="1">
        <f t="array" aca="1" ref="P96" ca="1">+IF(BBswitch=1,IF(ISBLANK($C96),"",IF(_xll.BDP("USD"&amp;Q96&amp;" BGN Curncy","px last")="#N/A Invalid Security",1,_xll.BDP("USD"&amp;Q96&amp;" BGN Curncy","px last"))),P96)</f>
        <v>1</v>
      </c>
      <c r="Q96" s="350" t="str">
        <f ca="1">IF(BBswitch=1,IF(ISBLANK($C96),"",IF(_xll.BDP($C96,Q$72)="#N/A N/A","NA ",_xll.BDP($C96,Q$72))),Q96)</f>
        <v>USD</v>
      </c>
      <c r="R96" s="351" t="str" cm="1">
        <f t="array" aca="1" ref="R96" ca="1">IF(BBswitch=1,IF(ISBLANK($C96),"",IF(OR(_xll.BDP($C96,R$72)="#N/A Field Not Applicable",_xll.BDP($C96,R$72)="#N/A N/A"),"",_xll.BDP($C96,R$72))),R96)</f>
        <v/>
      </c>
      <c r="S96" s="351" cm="1">
        <f t="array" aca="1" ref="S96" ca="1">IF(BBswitch=1,IF(ISBLANK($C96),"",IF(OR(_xll.BDP($C96,S$72)="#N/A Field Not Applicable",_xll.BDP($C96,S$72)="#N/A N/A"),"",_xll.BDP($C96,S$72))),S96)</f>
        <v>306.28628656346149</v>
      </c>
      <c r="T96" s="351" t="str" cm="1">
        <f t="array" aca="1" ref="T96" ca="1">IF(BBswitch=1,IF(ISBLANK($C96),"",IF(OR(_xll.BDP($C96,T$72)="#N/A Field Not Applicable",_xll.BDP($C96,T$72)="#N/A N/A"),"",_xll.BDP($C96,T$72))),T96)</f>
        <v/>
      </c>
      <c r="U96" s="351" cm="1">
        <f t="array" aca="1" ref="U96" ca="1">IF(BBswitch=1,IF(ISBLANK($C96),"",IF(OR(_xll.BDP($C96,U$72)="#N/A Field Not Applicable",_xll.BDP($C96,U$72)="#N/A N/A"),"",_xll.BDP($C96,U$72))),U96)</f>
        <v>3.6119665801201402</v>
      </c>
      <c r="V96" s="352" t="str">
        <f ca="1">IF(BBswitch=1,IF(ISBLANK($C96),"",IF(_xll.BDP($C96,V$72)="#N/A N/A","NA ",_xll.BDP($C96,V$72))),V96)</f>
        <v>2nd lien</v>
      </c>
      <c r="W96" s="353" t="str" cm="1">
        <f t="array" aca="1" ref="W96" ca="1">IF(BBswitch=1,IF(ISBLANK($C96),"",IF(_xll.BDP($C96,W$72)="#N/A N/A","NA ",_xll.BDP($C96,W$72))),W96)</f>
        <v>Delta Air Lines 2015-1 Class A Pass Through Trust</v>
      </c>
      <c r="X96" s="343" t="str">
        <f ca="1">IF(BBswitch=1,IF(ISBLANK($C96),"",IF(_xll.BDP($C96,X$73)="#N/A N/A","NA ",_xll.BDP($C96,X$73))),X96)</f>
        <v>DAL 3.875 27</v>
      </c>
      <c r="AC96" s="883"/>
      <c r="AD96" s="883"/>
      <c r="AE96" s="883"/>
      <c r="AF96" s="883"/>
      <c r="AG96" s="883"/>
      <c r="AH96" s="883"/>
      <c r="AI96" s="883"/>
      <c r="AJ96" s="883"/>
      <c r="AK96" s="883"/>
    </row>
    <row r="97" spans="3:37" hidden="1" outlineLevel="1">
      <c r="C97" s="6" t="s">
        <v>1679</v>
      </c>
      <c r="D97" s="343" t="str">
        <f ca="1">IF(BBswitch=1,IF(ISBLANK($C97),"",IF(_xll.BDP($C97,D$73)="#N/A N/A","NA ",_xll.BDP($C97,D$73))),D97)</f>
        <v>DAL 4.25 23</v>
      </c>
      <c r="E97" s="344" t="str">
        <f ca="1">IF(BBswitch=1,IF(ISBLANK($C97),"",IF(_xll.BDP($C97,E$73)="#N/A N/A","NA ",_xll.BDP($C97,E$73))),E97)</f>
        <v xml:space="preserve">NA </v>
      </c>
      <c r="F97" s="354">
        <f ca="1">IF(BBswitch=1,IF(ISBLANK($C97),"",IF(_xll.BDP($C97,F$72)="#N/A N/A","NA ",_xll.BDP($C97,F$72)/10^6)/P97),F97)</f>
        <v>66.727551650000009</v>
      </c>
      <c r="G97" s="355">
        <f ca="1">IF(BBswitch=1,IF(ISBLANK($C97),"",IF(_xll.BDP($C97,G$72)="#N/A N/A","NA ",_xll.BDP($C97,G$72)/100)),G97)</f>
        <v>4.2500000000000003E-2</v>
      </c>
      <c r="H97" s="355">
        <f ca="1">IF(BBswitch=1,IF(ISBLANK($C97),"",IF(_xll.BDP($C97,H$72)="#N/A N/A","NA ",_xll.BDP($C97,H$72)/100)),H97)</f>
        <v>0.97519</v>
      </c>
      <c r="I97" s="355">
        <f ca="1">IF(BBswitch=1,IF(ISBLANK($C97),"",IF(_xll.BDP($C97,I$72)="#N/A N/A","NA ",_xll.BDP($C97,I$72)/100)),I97)</f>
        <v>4.3744081683066406E-2</v>
      </c>
      <c r="J97" s="355">
        <f ca="1">IF(BBswitch=1,IF(ISBLANK($C97),"",IF(_xll.BDP($C97,J$72)="#N/A N/A","NA ",_xll.BDP($C97,J$72)/100)),J97)</f>
        <v>7.4683243882520928E-2</v>
      </c>
      <c r="K97" s="345" t="str">
        <f ca="1">IF(BBswitch=1,IF(ISBLANK($C97),"",IF(_xll.BDP($C97,K$72)="#N/A N/A","NA ",_xll.BDP($C97,K$72))),K97)</f>
        <v>7/30/2023</v>
      </c>
      <c r="L97" s="346" t="e">
        <f t="shared" ca="1" si="5"/>
        <v>#VALUE!</v>
      </c>
      <c r="M97" s="345" t="str">
        <f ca="1">IF(BBswitch=1,IF(ISBLANK($C97),"",IF(_xll.BDP($C97,M$72)="#N/A N/A","NA ",_xll.BDP($C97,M$72))),M97)</f>
        <v>8/24/2015</v>
      </c>
      <c r="N97" s="347" t="str" cm="1">
        <f t="array" aca="1" ref="N97" ca="1">IF(BBswitch=1,IF(ISBLANK($C97),"",IF(_xll.BDP($C97,N$72)="#N/A Field Not Applicable","Notes",_xll.BDP($C97,N$72))),N97)</f>
        <v>Notes</v>
      </c>
      <c r="O97" s="348" cm="1">
        <f t="array" aca="1" ref="O97" ca="1">IF(BBswitch=1,IF(ISBLANK($C97),"",IFERROR(IF(_xll.BDP($C97,O$72)="#N/A N/A","NA ",_xll.BDP($C97,O$72)/10^6),0)/P97),O97)</f>
        <v>0</v>
      </c>
      <c r="P97" s="349" cm="1">
        <f t="array" aca="1" ref="P97" ca="1">+IF(BBswitch=1,IF(ISBLANK($C97),"",IF(_xll.BDP("USD"&amp;Q97&amp;" BGN Curncy","px last")="#N/A Invalid Security",1,_xll.BDP("USD"&amp;Q97&amp;" BGN Curncy","px last"))),P97)</f>
        <v>1</v>
      </c>
      <c r="Q97" s="350" t="str">
        <f ca="1">IF(BBswitch=1,IF(ISBLANK($C97),"",IF(_xll.BDP($C97,Q$72)="#N/A N/A","NA ",_xll.BDP($C97,Q$72))),Q97)</f>
        <v>USD</v>
      </c>
      <c r="R97" s="351" t="str" cm="1">
        <f t="array" aca="1" ref="R97" ca="1">IF(BBswitch=1,IF(ISBLANK($C97),"",IF(OR(_xll.BDP($C97,R$72)="#N/A Field Not Applicable",_xll.BDP($C97,R$72)="#N/A N/A"),"",_xll.BDP($C97,R$72))),R97)</f>
        <v/>
      </c>
      <c r="S97" s="351" cm="1">
        <f t="array" aca="1" ref="S97" ca="1">IF(BBswitch=1,IF(ISBLANK($C97),"",IF(OR(_xll.BDP($C97,S$72)="#N/A Field Not Applicable",_xll.BDP($C97,S$72)="#N/A N/A"),"",_xll.BDP($C97,S$72))),S97)</f>
        <v>396.01755858667798</v>
      </c>
      <c r="T97" s="351" t="str" cm="1">
        <f t="array" aca="1" ref="T97" ca="1">IF(BBswitch=1,IF(ISBLANK($C97),"",IF(OR(_xll.BDP($C97,T$72)="#N/A Field Not Applicable",_xll.BDP($C97,T$72)="#N/A N/A"),"",_xll.BDP($C97,T$72))),T97)</f>
        <v/>
      </c>
      <c r="U97" s="351" cm="1">
        <f t="array" aca="1" ref="U97" ca="1">IF(BBswitch=1,IF(ISBLANK($C97),"",IF(OR(_xll.BDP($C97,U$72)="#N/A Field Not Applicable",_xll.BDP($C97,U$72)="#N/A N/A"),"",_xll.BDP($C97,U$72))),U97)</f>
        <v>0.87181571812869285</v>
      </c>
      <c r="V97" s="352" t="str">
        <f ca="1">IF(BBswitch=1,IF(ISBLANK($C97),"",IF(_xll.BDP($C97,V$72)="#N/A N/A","NA ",_xll.BDP($C97,V$72))),V97)</f>
        <v>3rd lien</v>
      </c>
      <c r="W97" s="353" t="str" cm="1">
        <f t="array" aca="1" ref="W97" ca="1">IF(BBswitch=1,IF(ISBLANK($C97),"",IF(_xll.BDP($C97,W$72)="#N/A N/A","NA ",_xll.BDP($C97,W$72))),W97)</f>
        <v>Delta Air Lines 2015-1 Class B Pass Through Trust</v>
      </c>
      <c r="X97" s="343" t="str">
        <f ca="1">IF(BBswitch=1,IF(ISBLANK($C97),"",IF(_xll.BDP($C97,X$73)="#N/A N/A","NA ",_xll.BDP($C97,X$73))),X97)</f>
        <v>DAL 4.25 23</v>
      </c>
      <c r="Z97" s="1018"/>
      <c r="AA97" s="883"/>
      <c r="AC97" s="883"/>
      <c r="AD97" s="883"/>
      <c r="AE97" s="883"/>
      <c r="AF97" s="883"/>
      <c r="AG97" s="883"/>
      <c r="AH97" s="883"/>
      <c r="AI97" s="883"/>
      <c r="AJ97" s="883"/>
      <c r="AK97" s="883"/>
    </row>
    <row r="98" spans="3:37" hidden="1" outlineLevel="1">
      <c r="C98" s="6" t="s">
        <v>1680</v>
      </c>
      <c r="D98" s="343" t="str">
        <f ca="1">IF(BBswitch=1,IF(ISBLANK($C98),"",IF(_xll.BDP($C98,D$73)="#N/A N/A","NA ",_xll.BDP($C98,D$73))),D98)</f>
        <v>DAL 3.404 24</v>
      </c>
      <c r="E98" s="344" t="str">
        <f ca="1">IF(BBswitch=1,IF(ISBLANK($C98),"",IF(_xll.BDP($C98,E$73)="#N/A N/A","NA ",_xll.BDP($C98,E$73))),E98)</f>
        <v xml:space="preserve">NA </v>
      </c>
      <c r="F98" s="354">
        <f ca="1">IF(BBswitch=1,IF(ISBLANK($C98),"",IF(_xll.BDP($C98,F$72)="#N/A N/A","NA ",_xll.BDP($C98,F$72)/10^6)/P98),F98)</f>
        <v>75</v>
      </c>
      <c r="G98" s="355">
        <f ca="1">IF(BBswitch=1,IF(ISBLANK($C98),"",IF(_xll.BDP($C98,G$72)="#N/A N/A","NA ",_xll.BDP($C98,G$72)/100)),G98)</f>
        <v>3.4040000000000001E-2</v>
      </c>
      <c r="H98" s="355">
        <f ca="1">IF(BBswitch=1,IF(ISBLANK($C98),"",IF(_xll.BDP($C98,H$72)="#N/A N/A","NA ",_xll.BDP($C98,H$72)/100)),H98)</f>
        <v>0.96150000000000002</v>
      </c>
      <c r="I98" s="355">
        <f ca="1">IF(BBswitch=1,IF(ISBLANK($C98),"",IF(_xll.BDP($C98,I$72)="#N/A N/A","NA ",_xll.BDP($C98,I$72)/100)),I98)</f>
        <v>3.565032518877706E-2</v>
      </c>
      <c r="J98" s="355">
        <f ca="1">IF(BBswitch=1,IF(ISBLANK($C98),"",IF(_xll.BDP($C98,J$72)="#N/A N/A","NA ",_xll.BDP($C98,J$72)/100)),J98)</f>
        <v>6.1496429373023978E-2</v>
      </c>
      <c r="K98" s="345" t="str">
        <f ca="1">IF(BBswitch=1,IF(ISBLANK($C98),"",IF(_xll.BDP($C98,K$72)="#N/A N/A","NA ",_xll.BDP($C98,K$72))),K98)</f>
        <v>4/25/2024</v>
      </c>
      <c r="L98" s="346" t="e">
        <f t="shared" ca="1" si="5"/>
        <v>#VALUE!</v>
      </c>
      <c r="M98" s="345" t="str">
        <f ca="1">IF(BBswitch=1,IF(ISBLANK($C98),"",IF(_xll.BDP($C98,M$72)="#N/A N/A","NA ",_xll.BDP($C98,M$72))),M98)</f>
        <v>3/13/2019</v>
      </c>
      <c r="N98" s="347" t="str" cm="1">
        <f t="array" aca="1" ref="N98" ca="1">IF(BBswitch=1,IF(ISBLANK($C98),"",IF(_xll.BDP($C98,N$72)="#N/A Field Not Applicable","Notes",_xll.BDP($C98,N$72))),N98)</f>
        <v>Notes</v>
      </c>
      <c r="O98" s="348" cm="1">
        <f t="array" aca="1" ref="O98" ca="1">IF(BBswitch=1,IF(ISBLANK($C98),"",IFERROR(IF(_xll.BDP($C98,O$72)="#N/A N/A","NA ",_xll.BDP($C98,O$72)/10^6),0)/P98),O98)</f>
        <v>0</v>
      </c>
      <c r="P98" s="349" cm="1">
        <f t="array" aca="1" ref="P98" ca="1">+IF(BBswitch=1,IF(ISBLANK($C98),"",IF(_xll.BDP("USD"&amp;Q98&amp;" BGN Curncy","px last")="#N/A Invalid Security",1,_xll.BDP("USD"&amp;Q98&amp;" BGN Curncy","px last"))),P98)</f>
        <v>1</v>
      </c>
      <c r="Q98" s="350" t="str">
        <f ca="1">IF(BBswitch=1,IF(ISBLANK($C98),"",IF(_xll.BDP($C98,Q$72)="#N/A N/A","NA ",_xll.BDP($C98,Q$72))),Q98)</f>
        <v>USD</v>
      </c>
      <c r="R98" s="351" t="str" cm="1">
        <f t="array" aca="1" ref="R98" ca="1">IF(BBswitch=1,IF(ISBLANK($C98),"",IF(OR(_xll.BDP($C98,R$72)="#N/A Field Not Applicable",_xll.BDP($C98,R$72)="#N/A N/A"),"",_xll.BDP($C98,R$72))),R98)</f>
        <v/>
      </c>
      <c r="S98" s="351" cm="1">
        <f t="array" aca="1" ref="S98" ca="1">IF(BBswitch=1,IF(ISBLANK($C98),"",IF(OR(_xll.BDP($C98,S$72)="#N/A Field Not Applicable",_xll.BDP($C98,S$72)="#N/A N/A"),"",_xll.BDP($C98,S$72))),S98)</f>
        <v>253.17395409294269</v>
      </c>
      <c r="T98" s="351" t="str" cm="1">
        <f t="array" aca="1" ref="T98" ca="1">IF(BBswitch=1,IF(ISBLANK($C98),"",IF(OR(_xll.BDP($C98,T$72)="#N/A Field Not Applicable",_xll.BDP($C98,T$72)="#N/A N/A"),"",_xll.BDP($C98,T$72))),T98)</f>
        <v/>
      </c>
      <c r="U98" s="351" cm="1">
        <f t="array" aca="1" ref="U98" ca="1">IF(BBswitch=1,IF(ISBLANK($C98),"",IF(OR(_xll.BDP($C98,U$72)="#N/A Field Not Applicable",_xll.BDP($C98,U$72)="#N/A N/A"),"",_xll.BDP($C98,U$72))),U98)</f>
        <v>1.6630676797298907</v>
      </c>
      <c r="V98" s="352" t="str">
        <f ca="1">IF(BBswitch=1,IF(ISBLANK($C98),"",IF(_xll.BDP($C98,V$72)="#N/A N/A","NA ",_xll.BDP($C98,V$72))),V98)</f>
        <v>2nd lien</v>
      </c>
      <c r="W98" s="353" t="str" cm="1">
        <f t="array" aca="1" ref="W98" ca="1">IF(BBswitch=1,IF(ISBLANK($C98),"",IF(_xll.BDP($C98,W$72)="#N/A N/A","NA ",_xll.BDP($C98,W$72))),W98)</f>
        <v>Delta Air Lines 2019-1 Class A Pass Through Trust</v>
      </c>
      <c r="X98" s="343" t="str">
        <f ca="1">IF(BBswitch=1,IF(ISBLANK($C98),"",IF(_xll.BDP($C98,X$73)="#N/A N/A","NA ",_xll.BDP($C98,X$73))),X98)</f>
        <v>DAL 3.404 24</v>
      </c>
      <c r="Z98" s="1018"/>
      <c r="AA98" s="883"/>
      <c r="AC98" s="883"/>
      <c r="AD98" s="883"/>
      <c r="AE98" s="883"/>
      <c r="AF98" s="883"/>
      <c r="AG98" s="883"/>
      <c r="AH98" s="883"/>
      <c r="AI98" s="883"/>
      <c r="AJ98" s="883"/>
      <c r="AK98" s="883"/>
    </row>
    <row r="99" spans="3:37" hidden="1" outlineLevel="1">
      <c r="C99" s="6" t="s">
        <v>1589</v>
      </c>
      <c r="D99" s="343" t="str">
        <f ca="1">IF(BBswitch=1,IF(ISBLANK($C99),"",IF(_xll.BDP($C99,D$73)="#N/A N/A","NA ",_xll.BDP($C99,D$73))),D99)</f>
        <v>DAL 2.5 28</v>
      </c>
      <c r="E99" s="344" t="str">
        <f ca="1">IF(BBswitch=1,IF(ISBLANK($C99),"",IF(_xll.BDP($C99,E$73)="#N/A N/A","NA ",_xll.BDP($C99,E$73))),E99)</f>
        <v xml:space="preserve">NA </v>
      </c>
      <c r="F99" s="354">
        <f ca="1">IF(BBswitch=1,IF(ISBLANK($C99),"",IF(_xll.BDP($C99,F$72)="#N/A N/A","NA ",_xll.BDP($C99,F$72)/10^6)/P99),F99)</f>
        <v>167.22040756000004</v>
      </c>
      <c r="G99" s="355">
        <f ca="1">IF(BBswitch=1,IF(ISBLANK($C99),"",IF(_xll.BDP($C99,G$72)="#N/A N/A","NA ",_xll.BDP($C99,G$72)/100)),G99)</f>
        <v>2.5000000000000001E-2</v>
      </c>
      <c r="H99" s="355">
        <f ca="1">IF(BBswitch=1,IF(ISBLANK($C99),"",IF(_xll.BDP($C99,H$72)="#N/A N/A","NA ",_xll.BDP($C99,H$72)/100)),H99)</f>
        <v>0.88777000000000006</v>
      </c>
      <c r="I99" s="355">
        <f ca="1">IF(BBswitch=1,IF(ISBLANK($C99),"",IF(_xll.BDP($C99,I$72)="#N/A N/A","NA ",_xll.BDP($C99,I$72)/100)),I99)</f>
        <v>2.8244438670025872E-2</v>
      </c>
      <c r="J99" s="355">
        <f ca="1">IF(BBswitch=1,IF(ISBLANK($C99),"",IF(_xll.BDP($C99,J$72)="#N/A N/A","NA ",_xll.BDP($C99,J$72)/100)),J99)</f>
        <v>5.8313399003919054E-2</v>
      </c>
      <c r="K99" s="345" t="str">
        <f ca="1">IF(BBswitch=1,IF(ISBLANK($C99),"",IF(_xll.BDP($C99,K$72)="#N/A N/A","NA ",_xll.BDP($C99,K$72))),K99)</f>
        <v>6/10/2028</v>
      </c>
      <c r="L99" s="346">
        <f t="shared" ca="1" si="5"/>
        <v>2028</v>
      </c>
      <c r="M99" s="345" t="str">
        <f ca="1">IF(BBswitch=1,IF(ISBLANK($C99),"",IF(_xll.BDP($C99,M$72)="#N/A N/A","NA ",_xll.BDP($C99,M$72))),M99)</f>
        <v>3/12/2020</v>
      </c>
      <c r="N99" s="347" t="str" cm="1">
        <f t="array" aca="1" ref="N99" ca="1">IF(BBswitch=1,IF(ISBLANK($C99),"",IF(_xll.BDP($C99,N$72)="#N/A Field Not Applicable","Notes",_xll.BDP($C99,N$72))),N99)</f>
        <v>Notes</v>
      </c>
      <c r="O99" s="348" cm="1">
        <f t="array" aca="1" ref="O99" ca="1">IF(BBswitch=1,IF(ISBLANK($C99),"",IFERROR(IF(_xll.BDP($C99,O$72)="#N/A N/A","NA ",_xll.BDP($C99,O$72)/10^6),0)/P99),O99)</f>
        <v>0</v>
      </c>
      <c r="P99" s="349" cm="1">
        <f t="array" aca="1" ref="P99" ca="1">+IF(BBswitch=1,IF(ISBLANK($C99),"",IF(_xll.BDP("USD"&amp;Q99&amp;" BGN Curncy","px last")="#N/A Invalid Security",1,_xll.BDP("USD"&amp;Q99&amp;" BGN Curncy","px last"))),P99)</f>
        <v>1</v>
      </c>
      <c r="Q99" s="350" t="str">
        <f ca="1">IF(BBswitch=1,IF(ISBLANK($C99),"",IF(_xll.BDP($C99,Q$72)="#N/A N/A","NA ",_xll.BDP($C99,Q$72))),Q99)</f>
        <v>USD</v>
      </c>
      <c r="R99" s="351" t="str" cm="1">
        <f t="array" aca="1" ref="R99" ca="1">IF(BBswitch=1,IF(ISBLANK($C99),"",IF(OR(_xll.BDP($C99,R$72)="#N/A Field Not Applicable",_xll.BDP($C99,R$72)="#N/A N/A"),"",_xll.BDP($C99,R$72))),R99)</f>
        <v/>
      </c>
      <c r="S99" s="351" cm="1">
        <f t="array" aca="1" ref="S99" ca="1">IF(BBswitch=1,IF(ISBLANK($C99),"",IF(OR(_xll.BDP($C99,S$72)="#N/A Field Not Applicable",_xll.BDP($C99,S$72)="#N/A N/A"),"",_xll.BDP($C99,S$72))),S99)</f>
        <v>260.40614493238695</v>
      </c>
      <c r="T99" s="351" t="str" cm="1">
        <f t="array" aca="1" ref="T99" ca="1">IF(BBswitch=1,IF(ISBLANK($C99),"",IF(OR(_xll.BDP($C99,T$72)="#N/A Field Not Applicable",_xll.BDP($C99,T$72)="#N/A N/A"),"",_xll.BDP($C99,T$72))),T99)</f>
        <v/>
      </c>
      <c r="U99" s="351" cm="1">
        <f t="array" aca="1" ref="U99" ca="1">IF(BBswitch=1,IF(ISBLANK($C99),"",IF(OR(_xll.BDP($C99,U$72)="#N/A Field Not Applicable",_xll.BDP($C99,U$72)="#N/A N/A"),"",_xll.BDP($C99,U$72))),U99)</f>
        <v>3.5684787842505759</v>
      </c>
      <c r="V99" s="352" t="str">
        <f ca="1">IF(BBswitch=1,IF(ISBLANK($C99),"",IF(_xll.BDP($C99,V$72)="#N/A N/A","NA ",_xll.BDP($C99,V$72))),V99)</f>
        <v>2nd lien</v>
      </c>
      <c r="W99" s="353" t="str" cm="1">
        <f t="array" aca="1" ref="W99" ca="1">IF(BBswitch=1,IF(ISBLANK($C99),"",IF(_xll.BDP($C99,W$72)="#N/A N/A","NA ",_xll.BDP($C99,W$72))),W99)</f>
        <v>Delta Air Lines 2020-1 Class A Pass Through Trust</v>
      </c>
      <c r="X99" s="343" t="str">
        <f ca="1">IF(BBswitch=1,IF(ISBLANK($C99),"",IF(_xll.BDP($C99,X$73)="#N/A N/A","NA ",_xll.BDP($C99,X$73))),X99)</f>
        <v>DAL 2.5 28</v>
      </c>
      <c r="Z99" s="1018"/>
      <c r="AA99" s="803"/>
      <c r="AC99" s="883"/>
      <c r="AD99" s="883"/>
      <c r="AE99" s="883"/>
      <c r="AF99" s="883"/>
      <c r="AG99" s="883"/>
      <c r="AH99" s="883"/>
      <c r="AI99" s="883"/>
      <c r="AJ99" s="883"/>
      <c r="AK99" s="883"/>
    </row>
    <row r="100" spans="3:37" hidden="1" outlineLevel="1">
      <c r="C100" s="6" t="s">
        <v>1681</v>
      </c>
      <c r="D100" s="343" t="str">
        <f ca="1">IF(BBswitch=1,IF(ISBLANK($C100),"",IF(_xll.BDP($C100,D$73)="#N/A N/A","NA ",_xll.BDP($C100,D$73))),D100)</f>
        <v>DAL 3.625 27</v>
      </c>
      <c r="E100" s="344" t="str">
        <f ca="1">IF(BBswitch=1,IF(ISBLANK($C100),"",IF(_xll.BDP($C100,E$73)="#N/A N/A","NA ",_xll.BDP($C100,E$73))),E100)</f>
        <v xml:space="preserve">NA </v>
      </c>
      <c r="F100" s="354">
        <f ca="1">IF(BBswitch=1,IF(ISBLANK($C100),"",IF(_xll.BDP($C100,F$72)="#N/A N/A","NA ",_xll.BDP($C100,F$72)/10^6)/P100),F100)</f>
        <v>224.1442754576</v>
      </c>
      <c r="G100" s="355">
        <f ca="1">IF(BBswitch=1,IF(ISBLANK($C100),"",IF(_xll.BDP($C100,G$72)="#N/A N/A","NA ",_xll.BDP($C100,G$72)/100)),G100)</f>
        <v>3.6249999999999998E-2</v>
      </c>
      <c r="H100" s="355">
        <f ca="1">IF(BBswitch=1,IF(ISBLANK($C100),"",IF(_xll.BDP($C100,H$72)="#N/A N/A","NA ",_xll.BDP($C100,H$72)/100)),H100)</f>
        <v>0.93969999999999998</v>
      </c>
      <c r="I100" s="355">
        <f ca="1">IF(BBswitch=1,IF(ISBLANK($C100),"",IF(_xll.BDP($C100,I$72)="#N/A N/A","NA ",_xll.BDP($C100,I$72)/100)),I100)</f>
        <v>3.8761762189905902E-2</v>
      </c>
      <c r="J100" s="355">
        <f ca="1">IF(BBswitch=1,IF(ISBLANK($C100),"",IF(_xll.BDP($C100,J$72)="#N/A N/A","NA ",_xll.BDP($C100,J$72)/100)),J100)</f>
        <v>5.4001049852392555E-2</v>
      </c>
      <c r="K100" s="345" t="str">
        <f ca="1">IF(BBswitch=1,IF(ISBLANK($C100),"",IF(_xll.BDP($C100,K$72)="#N/A N/A","NA ",_xll.BDP($C100,K$72))),K100)</f>
        <v>7/30/2027</v>
      </c>
      <c r="L100" s="346" t="e">
        <f t="shared" ca="1" si="5"/>
        <v>#VALUE!</v>
      </c>
      <c r="M100" s="345" t="str">
        <f ca="1">IF(BBswitch=1,IF(ISBLANK($C100),"",IF(_xll.BDP($C100,M$72)="#N/A N/A","NA ",_xll.BDP($C100,M$72))),M100)</f>
        <v>8/24/2015</v>
      </c>
      <c r="N100" s="347" t="str" cm="1">
        <f t="array" aca="1" ref="N100" ca="1">IF(BBswitch=1,IF(ISBLANK($C100),"",IF(_xll.BDP($C100,N$72)="#N/A Field Not Applicable","Notes",_xll.BDP($C100,N$72))),N100)</f>
        <v>Notes</v>
      </c>
      <c r="O100" s="348" cm="1">
        <f t="array" aca="1" ref="O100" ca="1">IF(BBswitch=1,IF(ISBLANK($C100),"",IFERROR(IF(_xll.BDP($C100,O$72)="#N/A N/A","NA ",_xll.BDP($C100,O$72)/10^6),0)/P100),O100)</f>
        <v>0</v>
      </c>
      <c r="P100" s="349" cm="1">
        <f t="array" aca="1" ref="P100" ca="1">+IF(BBswitch=1,IF(ISBLANK($C100),"",IF(_xll.BDP("USD"&amp;Q100&amp;" BGN Curncy","px last")="#N/A Invalid Security",1,_xll.BDP("USD"&amp;Q100&amp;" BGN Curncy","px last"))),P100)</f>
        <v>1</v>
      </c>
      <c r="Q100" s="350" t="str">
        <f ca="1">IF(BBswitch=1,IF(ISBLANK($C100),"",IF(_xll.BDP($C100,Q$72)="#N/A N/A","NA ",_xll.BDP($C100,Q$72))),Q100)</f>
        <v>USD</v>
      </c>
      <c r="R100" s="351" t="str" cm="1">
        <f t="array" aca="1" ref="R100" ca="1">IF(BBswitch=1,IF(ISBLANK($C100),"",IF(OR(_xll.BDP($C100,R$72)="#N/A Field Not Applicable",_xll.BDP($C100,R$72)="#N/A N/A"),"",_xll.BDP($C100,R$72))),R100)</f>
        <v/>
      </c>
      <c r="S100" s="351" cm="1">
        <f t="array" aca="1" ref="S100" ca="1">IF(BBswitch=1,IF(ISBLANK($C100),"",IF(OR(_xll.BDP($C100,S$72)="#N/A Field Not Applicable",_xll.BDP($C100,S$72)="#N/A N/A"),"",_xll.BDP($C100,S$72))),S100)</f>
        <v>213.48139795947699</v>
      </c>
      <c r="T100" s="351" t="str" cm="1">
        <f t="array" aca="1" ref="T100" ca="1">IF(BBswitch=1,IF(ISBLANK($C100),"",IF(OR(_xll.BDP($C100,T$72)="#N/A Field Not Applicable",_xll.BDP($C100,T$72)="#N/A N/A"),"",_xll.BDP($C100,T$72))),T100)</f>
        <v/>
      </c>
      <c r="U100" s="351" cm="1">
        <f t="array" aca="1" ref="U100" ca="1">IF(BBswitch=1,IF(ISBLANK($C100),"",IF(OR(_xll.BDP($C100,U$72)="#N/A Field Not Applicable",_xll.BDP($C100,U$72)="#N/A N/A"),"",_xll.BDP($C100,U$72))),U100)</f>
        <v>3.6707500760953229</v>
      </c>
      <c r="V100" s="352" t="str">
        <f ca="1">IF(BBswitch=1,IF(ISBLANK($C100),"",IF(_xll.BDP($C100,V$72)="#N/A N/A","NA ",_xll.BDP($C100,V$72))),V100)</f>
        <v>1st lien</v>
      </c>
      <c r="W100" s="353" t="str" cm="1">
        <f t="array" aca="1" ref="W100" ca="1">IF(BBswitch=1,IF(ISBLANK($C100),"",IF(_xll.BDP($C100,W$72)="#N/A N/A","NA ",_xll.BDP($C100,W$72))),W100)</f>
        <v>Delta Air Lines 2015-1 Class AA Pass Through Trust</v>
      </c>
      <c r="X100" s="343" t="str">
        <f ca="1">IF(BBswitch=1,IF(ISBLANK($C100),"",IF(_xll.BDP($C100,X$73)="#N/A N/A","NA ",_xll.BDP($C100,X$73))),X100)</f>
        <v>DAL 3.625 27</v>
      </c>
      <c r="Z100" s="1018"/>
      <c r="AA100" s="803"/>
      <c r="AC100" s="883"/>
      <c r="AD100" s="883"/>
      <c r="AE100" s="883"/>
      <c r="AF100" s="883"/>
      <c r="AG100" s="883"/>
      <c r="AH100" s="883"/>
      <c r="AI100" s="883"/>
      <c r="AJ100" s="883"/>
      <c r="AK100" s="883"/>
    </row>
    <row r="101" spans="3:37" hidden="1" outlineLevel="1">
      <c r="C101" s="6" t="s">
        <v>1682</v>
      </c>
      <c r="D101" s="343" t="str">
        <f ca="1">IF(BBswitch=1,IF(ISBLANK($C101),"",IF(_xll.BDP($C101,D$73)="#N/A N/A","NA ",_xll.BDP($C101,D$73))),D101)</f>
        <v>DAL 3.204 24</v>
      </c>
      <c r="E101" s="344" t="str">
        <f ca="1">IF(BBswitch=1,IF(ISBLANK($C101),"",IF(_xll.BDP($C101,E$73)="#N/A N/A","NA ",_xll.BDP($C101,E$73))),E101)</f>
        <v xml:space="preserve">NA </v>
      </c>
      <c r="F101" s="354">
        <f ca="1">IF(BBswitch=1,IF(ISBLANK($C101),"",IF(_xll.BDP($C101,F$72)="#N/A N/A","NA ",_xll.BDP($C101,F$72)/10^6)/P101),F101)</f>
        <v>425</v>
      </c>
      <c r="G101" s="355">
        <f ca="1">IF(BBswitch=1,IF(ISBLANK($C101),"",IF(_xll.BDP($C101,G$72)="#N/A N/A","NA ",_xll.BDP($C101,G$72)/100)),G101)</f>
        <v>3.2039999999999999E-2</v>
      </c>
      <c r="H101" s="355">
        <f ca="1">IF(BBswitch=1,IF(ISBLANK($C101),"",IF(_xll.BDP($C101,H$72)="#N/A N/A","NA ",_xll.BDP($C101,H$72)/100)),H101)</f>
        <v>0.96335999999999999</v>
      </c>
      <c r="I101" s="355">
        <f ca="1">IF(BBswitch=1,IF(ISBLANK($C101),"",IF(_xll.BDP($C101,I$72)="#N/A N/A","NA ",_xll.BDP($C101,I$72)/100)),I101)</f>
        <v>3.3280013295386088E-2</v>
      </c>
      <c r="J101" s="355">
        <f ca="1">IF(BBswitch=1,IF(ISBLANK($C101),"",IF(_xll.BDP($C101,J$72)="#N/A N/A","NA ",_xll.BDP($C101,J$72)/100)),J101)</f>
        <v>5.4517208045580808E-2</v>
      </c>
      <c r="K101" s="345" t="str">
        <f ca="1">IF(BBswitch=1,IF(ISBLANK($C101),"",IF(_xll.BDP($C101,K$72)="#N/A N/A","NA ",_xll.BDP($C101,K$72))),K101)</f>
        <v>4/25/2024</v>
      </c>
      <c r="L101" s="346" t="e">
        <f t="shared" ca="1" si="5"/>
        <v>#VALUE!</v>
      </c>
      <c r="M101" s="345" t="str">
        <f ca="1">IF(BBswitch=1,IF(ISBLANK($C101),"",IF(_xll.BDP($C101,M$72)="#N/A N/A","NA ",_xll.BDP($C101,M$72))),M101)</f>
        <v>3/13/2019</v>
      </c>
      <c r="N101" s="347" t="str" cm="1">
        <f t="array" aca="1" ref="N101" ca="1">IF(BBswitch=1,IF(ISBLANK($C101),"",IF(_xll.BDP($C101,N$72)="#N/A Field Not Applicable","Notes",_xll.BDP($C101,N$72))),N101)</f>
        <v>Notes</v>
      </c>
      <c r="O101" s="348" cm="1">
        <f t="array" aca="1" ref="O101" ca="1">IF(BBswitch=1,IF(ISBLANK($C101),"",IFERROR(IF(_xll.BDP($C101,O$72)="#N/A N/A","NA ",_xll.BDP($C101,O$72)/10^6),0)/P101),O101)</f>
        <v>0</v>
      </c>
      <c r="P101" s="349" cm="1">
        <f t="array" aca="1" ref="P101" ca="1">+IF(BBswitch=1,IF(ISBLANK($C101),"",IF(_xll.BDP("USD"&amp;Q101&amp;" BGN Curncy","px last")="#N/A Invalid Security",1,_xll.BDP("USD"&amp;Q101&amp;" BGN Curncy","px last"))),P101)</f>
        <v>1</v>
      </c>
      <c r="Q101" s="350" t="str">
        <f ca="1">IF(BBswitch=1,IF(ISBLANK($C101),"",IF(_xll.BDP($C101,Q$72)="#N/A N/A","NA ",_xll.BDP($C101,Q$72))),Q101)</f>
        <v>USD</v>
      </c>
      <c r="R101" s="351" t="str" cm="1">
        <f t="array" aca="1" ref="R101" ca="1">IF(BBswitch=1,IF(ISBLANK($C101),"",IF(OR(_xll.BDP($C101,R$72)="#N/A Field Not Applicable",_xll.BDP($C101,R$72)="#N/A N/A"),"",_xll.BDP($C101,R$72))),R101)</f>
        <v/>
      </c>
      <c r="S101" s="351" cm="1">
        <f t="array" aca="1" ref="S101" ca="1">IF(BBswitch=1,IF(ISBLANK($C101),"",IF(OR(_xll.BDP($C101,S$72)="#N/A Field Not Applicable",_xll.BDP($C101,S$72)="#N/A N/A"),"",_xll.BDP($C101,S$72))),S101)</f>
        <v>220.17763542090952</v>
      </c>
      <c r="T101" s="351" t="str" cm="1">
        <f t="array" aca="1" ref="T101" ca="1">IF(BBswitch=1,IF(ISBLANK($C101),"",IF(OR(_xll.BDP($C101,T$72)="#N/A Field Not Applicable",_xll.BDP($C101,T$72)="#N/A N/A"),"",_xll.BDP($C101,T$72))),T101)</f>
        <v/>
      </c>
      <c r="U101" s="351" cm="1">
        <f t="array" aca="1" ref="U101" ca="1">IF(BBswitch=1,IF(ISBLANK($C101),"",IF(OR(_xll.BDP($C101,U$72)="#N/A Field Not Applicable",_xll.BDP($C101,U$72)="#N/A N/A"),"",_xll.BDP($C101,U$72))),U101)</f>
        <v>1.6686473948877794</v>
      </c>
      <c r="V101" s="352" t="str">
        <f ca="1">IF(BBswitch=1,IF(ISBLANK($C101),"",IF(_xll.BDP($C101,V$72)="#N/A N/A","NA ",_xll.BDP($C101,V$72))),V101)</f>
        <v>1st lien</v>
      </c>
      <c r="W101" s="353" t="str" cm="1">
        <f t="array" aca="1" ref="W101" ca="1">IF(BBswitch=1,IF(ISBLANK($C101),"",IF(_xll.BDP($C101,W$72)="#N/A N/A","NA ",_xll.BDP($C101,W$72))),W101)</f>
        <v>Delta Air Lines 2019-1 Class AA Pass Through Trust</v>
      </c>
      <c r="X101" s="343" t="str">
        <f ca="1">IF(BBswitch=1,IF(ISBLANK($C101),"",IF(_xll.BDP($C101,X$73)="#N/A N/A","NA ",_xll.BDP($C101,X$73))),X101)</f>
        <v>DAL 3.204 24</v>
      </c>
      <c r="AC101" s="883"/>
      <c r="AD101" s="883"/>
      <c r="AE101" s="883"/>
      <c r="AF101" s="883"/>
      <c r="AG101" s="883"/>
      <c r="AH101" s="883"/>
      <c r="AI101" s="883"/>
      <c r="AJ101" s="883"/>
      <c r="AK101" s="883"/>
    </row>
    <row r="102" spans="3:37" hidden="1" outlineLevel="1">
      <c r="C102" s="6" t="s">
        <v>1597</v>
      </c>
      <c r="D102" s="343" t="str">
        <f ca="1">IF(BBswitch=1,IF(ISBLANK($C102),"",IF(_xll.BDP($C102,D$73)="#N/A N/A","NA ",_xll.BDP($C102,D$73))),D102)</f>
        <v>DAL 3.8 23</v>
      </c>
      <c r="E102" s="344" t="str">
        <f ca="1">IF(BBswitch=1,IF(ISBLANK($C102),"",IF(_xll.BDP($C102,E$73)="#N/A N/A","NA ",_xll.BDP($C102,E$73))),E102)</f>
        <v>BB</v>
      </c>
      <c r="F102" s="354">
        <f ca="1">IF(BBswitch=1,IF(ISBLANK($C102),"",IF(_xll.BDP($C102,F$72)="#N/A N/A","NA ",_xll.BDP($C102,F$72)/10^6)/P102),F102)</f>
        <v>500</v>
      </c>
      <c r="G102" s="355">
        <f ca="1">IF(BBswitch=1,IF(ISBLANK($C102),"",IF(_xll.BDP($C102,G$72)="#N/A N/A","NA ",_xll.BDP($C102,G$72)/100)),G102)</f>
        <v>3.7999999999999999E-2</v>
      </c>
      <c r="H102" s="355">
        <f ca="1">IF(BBswitch=1,IF(ISBLANK($C102),"",IF(_xll.BDP($C102,H$72)="#N/A N/A","NA ",_xll.BDP($C102,H$72)/100)),H102)</f>
        <v>0.99953000000000003</v>
      </c>
      <c r="I102" s="355">
        <f ca="1">IF(BBswitch=1,IF(ISBLANK($C102),"",IF(_xll.BDP($C102,I$72)="#N/A N/A","NA ",_xll.BDP($C102,I$72)/100)),I102)</f>
        <v>3.8051369348620641E-2</v>
      </c>
      <c r="J102" s="355">
        <f ca="1">IF(BBswitch=1,IF(ISBLANK($C102),"",IF(_xll.BDP($C102,J$72)="#N/A N/A","NA ",_xll.BDP($C102,J$72)/100)),J102)</f>
        <v>3.9800676741088351E-2</v>
      </c>
      <c r="K102" s="345" t="str">
        <f ca="1">IF(BBswitch=1,IF(ISBLANK($C102),"",IF(_xll.BDP($C102,K$72)="#N/A N/A","NA ",_xll.BDP($C102,K$72))),K102)</f>
        <v>4/19/2023</v>
      </c>
      <c r="L102" s="346" t="e">
        <f t="shared" ca="1" si="5"/>
        <v>#VALUE!</v>
      </c>
      <c r="M102" s="345" t="str">
        <f ca="1">IF(BBswitch=1,IF(ISBLANK($C102),"",IF(_xll.BDP($C102,M$72)="#N/A N/A","NA ",_xll.BDP($C102,M$72))),M102)</f>
        <v>4/19/2018</v>
      </c>
      <c r="N102" s="347" t="str" cm="1">
        <f t="array" aca="1" ref="N102" ca="1">IF(BBswitch=1,IF(ISBLANK($C102),"",IF(_xll.BDP($C102,N$72)="#N/A Field Not Applicable","Notes",_xll.BDP($C102,N$72))),N102)</f>
        <v>Notes</v>
      </c>
      <c r="O102" s="348" cm="1">
        <f t="array" aca="1" ref="O102" ca="1">IF(BBswitch=1,IF(ISBLANK($C102),"",IFERROR(IF(_xll.BDP($C102,O$72)="#N/A N/A","NA ",_xll.BDP($C102,O$72)/10^6),0)/P102),O102)</f>
        <v>0</v>
      </c>
      <c r="P102" s="349" cm="1">
        <f t="array" aca="1" ref="P102" ca="1">+IF(BBswitch=1,IF(ISBLANK($C102),"",IF(_xll.BDP("USD"&amp;Q102&amp;" BGN Curncy","px last")="#N/A Invalid Security",1,_xll.BDP("USD"&amp;Q102&amp;" BGN Curncy","px last"))),P102)</f>
        <v>1</v>
      </c>
      <c r="Q102" s="350" t="str">
        <f ca="1">IF(BBswitch=1,IF(ISBLANK($C102),"",IF(_xll.BDP($C102,Q$72)="#N/A N/A","NA ",_xll.BDP($C102,Q$72))),Q102)</f>
        <v>USD</v>
      </c>
      <c r="R102" s="351" t="str" cm="1">
        <f t="array" aca="1" ref="R102" ca="1">IF(BBswitch=1,IF(ISBLANK($C102),"",IF(OR(_xll.BDP($C102,R$72)="#N/A Field Not Applicable",_xll.BDP($C102,R$72)="#N/A N/A"),"",_xll.BDP($C102,R$72))),R102)</f>
        <v/>
      </c>
      <c r="S102" s="351" cm="1">
        <f t="array" aca="1" ref="S102" ca="1">IF(BBswitch=1,IF(ISBLANK($C102),"",IF(OR(_xll.BDP($C102,S$72)="#N/A Field Not Applicable",_xll.BDP($C102,S$72)="#N/A N/A"),"",_xll.BDP($C102,S$72))),S102)</f>
        <v>77.088358408751617</v>
      </c>
      <c r="T102" s="351" t="str" cm="1">
        <f t="array" aca="1" ref="T102" ca="1">IF(BBswitch=1,IF(ISBLANK($C102),"",IF(OR(_xll.BDP($C102,T$72)="#N/A Field Not Applicable",_xll.BDP($C102,T$72)="#N/A N/A"),"",_xll.BDP($C102,T$72))),T102)</f>
        <v/>
      </c>
      <c r="U102" s="351" cm="1">
        <f t="array" aca="1" ref="U102" ca="1">IF(BBswitch=1,IF(ISBLANK($C102),"",IF(OR(_xll.BDP($C102,U$72)="#N/A Field Not Applicable",_xll.BDP($C102,U$72)="#N/A N/A"),"",_xll.BDP($C102,U$72))),U102)</f>
        <v>0.69241886442054368</v>
      </c>
      <c r="V102" s="352" t="str">
        <f ca="1">IF(BBswitch=1,IF(ISBLANK($C102),"",IF(_xll.BDP($C102,V$72)="#N/A N/A","NA ",_xll.BDP($C102,V$72))),V102)</f>
        <v>Sr Unsecured</v>
      </c>
      <c r="W102" s="353" t="str" cm="1">
        <f t="array" aca="1" ref="W102" ca="1">IF(BBswitch=1,IF(ISBLANK($C102),"",IF(_xll.BDP($C102,W$72)="#N/A N/A","NA ",_xll.BDP($C102,W$72))),W102)</f>
        <v>Delta Air Lines Inc</v>
      </c>
      <c r="X102" s="343" t="str">
        <f ca="1">IF(BBswitch=1,IF(ISBLANK($C102),"",IF(_xll.BDP($C102,X$73)="#N/A N/A","NA ",_xll.BDP($C102,X$73))),X102)</f>
        <v>DAL 3.8 23</v>
      </c>
      <c r="AC102" s="883"/>
      <c r="AD102" s="883"/>
      <c r="AE102" s="883"/>
      <c r="AF102" s="883"/>
      <c r="AG102" s="883"/>
      <c r="AH102" s="883"/>
      <c r="AI102" s="883"/>
      <c r="AJ102" s="883"/>
      <c r="AK102" s="883"/>
    </row>
    <row r="103" spans="3:37" hidden="1" outlineLevel="1">
      <c r="C103" s="6" t="s">
        <v>1592</v>
      </c>
      <c r="D103" s="343" t="str">
        <f ca="1">IF(BBswitch=1,IF(ISBLANK($C103),"",IF(_xll.BDP($C103,D$73)="#N/A N/A","NA ",_xll.BDP($C103,D$73))),D103)</f>
        <v>DAL 4.375 28</v>
      </c>
      <c r="E103" s="344" t="str">
        <f ca="1">IF(BBswitch=1,IF(ISBLANK($C103),"",IF(_xll.BDP($C103,E$73)="#N/A N/A","NA ",_xll.BDP($C103,E$73))),E103)</f>
        <v>BB</v>
      </c>
      <c r="F103" s="354">
        <f ca="1">IF(BBswitch=1,IF(ISBLANK($C103),"",IF(_xll.BDP($C103,F$72)="#N/A N/A","NA ",_xll.BDP($C103,F$72)/10^6)/P103),F103)</f>
        <v>500</v>
      </c>
      <c r="G103" s="355">
        <f ca="1">IF(BBswitch=1,IF(ISBLANK($C103),"",IF(_xll.BDP($C103,G$72)="#N/A N/A","NA ",_xll.BDP($C103,G$72)/100)),G103)</f>
        <v>4.3749999999999997E-2</v>
      </c>
      <c r="H103" s="355">
        <f ca="1">IF(BBswitch=1,IF(ISBLANK($C103),"",IF(_xll.BDP($C103,H$72)="#N/A N/A","NA ",_xll.BDP($C103,H$72)/100)),H103)</f>
        <v>0.90278000000000003</v>
      </c>
      <c r="I103" s="355">
        <f ca="1">IF(BBswitch=1,IF(ISBLANK($C103),"",IF(_xll.BDP($C103,I$72)="#N/A N/A","NA ",_xll.BDP($C103,I$72)/100)),I103)</f>
        <v>4.8594373049283018E-2</v>
      </c>
      <c r="J103" s="355">
        <f ca="1">IF(BBswitch=1,IF(ISBLANK($C103),"",IF(_xll.BDP($C103,J$72)="#N/A N/A","NA ",_xll.BDP($C103,J$72)/100)),J103)</f>
        <v>6.4800589242737724E-2</v>
      </c>
      <c r="K103" s="345" t="str">
        <f ca="1">IF(BBswitch=1,IF(ISBLANK($C103),"",IF(_xll.BDP($C103,K$72)="#N/A N/A","NA ",_xll.BDP($C103,K$72))),K103)</f>
        <v>4/19/2028</v>
      </c>
      <c r="L103" s="346" t="e">
        <f t="shared" ca="1" si="5"/>
        <v>#VALUE!</v>
      </c>
      <c r="M103" s="345" t="str">
        <f ca="1">IF(BBswitch=1,IF(ISBLANK($C103),"",IF(_xll.BDP($C103,M$72)="#N/A N/A","NA ",_xll.BDP($C103,M$72))),M103)</f>
        <v>4/19/2018</v>
      </c>
      <c r="N103" s="347" t="str" cm="1">
        <f t="array" aca="1" ref="N103" ca="1">IF(BBswitch=1,IF(ISBLANK($C103),"",IF(_xll.BDP($C103,N$72)="#N/A Field Not Applicable","Notes",_xll.BDP($C103,N$72))),N103)</f>
        <v>Notes</v>
      </c>
      <c r="O103" s="348" cm="1">
        <f t="array" aca="1" ref="O103" ca="1">IF(BBswitch=1,IF(ISBLANK($C103),"",IFERROR(IF(_xll.BDP($C103,O$72)="#N/A N/A","NA ",_xll.BDP($C103,O$72)/10^6),0)/P103),O103)</f>
        <v>0</v>
      </c>
      <c r="P103" s="349" cm="1">
        <f t="array" aca="1" ref="P103" ca="1">+IF(BBswitch=1,IF(ISBLANK($C103),"",IF(_xll.BDP("USD"&amp;Q103&amp;" BGN Curncy","px last")="#N/A Invalid Security",1,_xll.BDP("USD"&amp;Q103&amp;" BGN Curncy","px last"))),P103)</f>
        <v>1</v>
      </c>
      <c r="Q103" s="350" t="str">
        <f ca="1">IF(BBswitch=1,IF(ISBLANK($C103),"",IF(_xll.BDP($C103,Q$72)="#N/A N/A","NA ",_xll.BDP($C103,Q$72))),Q103)</f>
        <v>USD</v>
      </c>
      <c r="R103" s="351" t="str" cm="1">
        <f t="array" aca="1" ref="R103" ca="1">IF(BBswitch=1,IF(ISBLANK($C103),"",IF(OR(_xll.BDP($C103,R$72)="#N/A Field Not Applicable",_xll.BDP($C103,R$72)="#N/A N/A"),"",_xll.BDP($C103,R$72))),R103)</f>
        <v/>
      </c>
      <c r="S103" s="351" cm="1">
        <f t="array" aca="1" ref="S103" ca="1">IF(BBswitch=1,IF(ISBLANK($C103),"",IF(OR(_xll.BDP($C103,S$72)="#N/A Field Not Applicable",_xll.BDP($C103,S$72)="#N/A N/A"),"",_xll.BDP($C103,S$72))),S103)</f>
        <v>329.95768845441859</v>
      </c>
      <c r="T103" s="351" t="str" cm="1">
        <f t="array" aca="1" ref="T103" ca="1">IF(BBswitch=1,IF(ISBLANK($C103),"",IF(OR(_xll.BDP($C103,T$72)="#N/A Field Not Applicable",_xll.BDP($C103,T$72)="#N/A N/A"),"",_xll.BDP($C103,T$72))),T103)</f>
        <v/>
      </c>
      <c r="U103" s="351" cm="1">
        <f t="array" aca="1" ref="U103" ca="1">IF(BBswitch=1,IF(ISBLANK($C103),"",IF(OR(_xll.BDP($C103,U$72)="#N/A Field Not Applicable",_xll.BDP($C103,U$72)="#N/A N/A"),"",_xll.BDP($C103,U$72))),U103)</f>
        <v>4.8736636195508414</v>
      </c>
      <c r="V103" s="352" t="str">
        <f ca="1">IF(BBswitch=1,IF(ISBLANK($C103),"",IF(_xll.BDP($C103,V$72)="#N/A N/A","NA ",_xll.BDP($C103,V$72))),V103)</f>
        <v>Sr Unsecured</v>
      </c>
      <c r="W103" s="353" t="str" cm="1">
        <f t="array" aca="1" ref="W103" ca="1">IF(BBswitch=1,IF(ISBLANK($C103),"",IF(_xll.BDP($C103,W$72)="#N/A N/A","NA ",_xll.BDP($C103,W$72))),W103)</f>
        <v>Delta Air Lines Inc</v>
      </c>
      <c r="X103" s="343" t="str">
        <f ca="1">IF(BBswitch=1,IF(ISBLANK($C103),"",IF(_xll.BDP($C103,X$73)="#N/A N/A","NA ",_xll.BDP($C103,X$73))),X103)</f>
        <v>DAL 4.375 28</v>
      </c>
      <c r="Z103" s="1018"/>
      <c r="AA103" s="883"/>
      <c r="AC103" s="883"/>
      <c r="AD103" s="883"/>
      <c r="AE103" s="883"/>
      <c r="AF103" s="883"/>
      <c r="AG103" s="883"/>
      <c r="AH103" s="883"/>
      <c r="AI103" s="883"/>
      <c r="AJ103" s="883"/>
      <c r="AK103" s="883"/>
    </row>
    <row r="104" spans="3:37" hidden="1" outlineLevel="1">
      <c r="C104" s="6" t="s">
        <v>1590</v>
      </c>
      <c r="D104" s="343" t="str">
        <f ca="1">IF(BBswitch=1,IF(ISBLANK($C104),"",IF(_xll.BDP($C104,D$73)="#N/A N/A","NA ",_xll.BDP($C104,D$73))),D104)</f>
        <v>DAL 3.75 29</v>
      </c>
      <c r="E104" s="344" t="str">
        <f ca="1">IF(BBswitch=1,IF(ISBLANK($C104),"",IF(_xll.BDP($C104,E$73)="#N/A N/A","NA ",_xll.BDP($C104,E$73))),E104)</f>
        <v>BB</v>
      </c>
      <c r="F104" s="354">
        <f ca="1">IF(BBswitch=1,IF(ISBLANK($C104),"",IF(_xll.BDP($C104,F$72)="#N/A N/A","NA ",_xll.BDP($C104,F$72)/10^6)/P104),F104)</f>
        <v>600</v>
      </c>
      <c r="G104" s="355">
        <f ca="1">IF(BBswitch=1,IF(ISBLANK($C104),"",IF(_xll.BDP($C104,G$72)="#N/A N/A","NA ",_xll.BDP($C104,G$72)/100)),G104)</f>
        <v>3.7499999999999999E-2</v>
      </c>
      <c r="H104" s="355">
        <f ca="1">IF(BBswitch=1,IF(ISBLANK($C104),"",IF(_xll.BDP($C104,H$72)="#N/A N/A","NA ",_xll.BDP($C104,H$72)/100)),H104)</f>
        <v>0.84834999999999994</v>
      </c>
      <c r="I104" s="355">
        <f ca="1">IF(BBswitch=1,IF(ISBLANK($C104),"",IF(_xll.BDP($C104,I$72)="#N/A N/A","NA ",_xll.BDP($C104,I$72)/100)),I104)</f>
        <v>4.4308433962710024E-2</v>
      </c>
      <c r="J104" s="355">
        <f ca="1">IF(BBswitch=1,IF(ISBLANK($C104),"",IF(_xll.BDP($C104,J$72)="#N/A N/A","NA ",_xll.BDP($C104,J$72)/100)),J104)</f>
        <v>6.428745170351173E-2</v>
      </c>
      <c r="K104" s="345" t="str">
        <f ca="1">IF(BBswitch=1,IF(ISBLANK($C104),"",IF(_xll.BDP($C104,K$72)="#N/A N/A","NA ",_xll.BDP($C104,K$72))),K104)</f>
        <v>10/28/2029</v>
      </c>
      <c r="L104" s="346" t="e">
        <f t="shared" ca="1" si="5"/>
        <v>#VALUE!</v>
      </c>
      <c r="M104" s="345" t="str">
        <f ca="1">IF(BBswitch=1,IF(ISBLANK($C104),"",IF(_xll.BDP($C104,M$72)="#N/A N/A","NA ",_xll.BDP($C104,M$72))),M104)</f>
        <v>10/28/2019</v>
      </c>
      <c r="N104" s="347" t="str" cm="1">
        <f t="array" aca="1" ref="N104" ca="1">IF(BBswitch=1,IF(ISBLANK($C104),"",IF(_xll.BDP($C104,N$72)="#N/A Field Not Applicable","Notes",_xll.BDP($C104,N$72))),N104)</f>
        <v>Notes</v>
      </c>
      <c r="O104" s="348" cm="1">
        <f t="array" aca="1" ref="O104" ca="1">IF(BBswitch=1,IF(ISBLANK($C104),"",IFERROR(IF(_xll.BDP($C104,O$72)="#N/A N/A","NA ",_xll.BDP($C104,O$72)/10^6),0)/P104),O104)</f>
        <v>0</v>
      </c>
      <c r="P104" s="349" cm="1">
        <f t="array" aca="1" ref="P104" ca="1">+IF(BBswitch=1,IF(ISBLANK($C104),"",IF(_xll.BDP("USD"&amp;Q104&amp;" BGN Curncy","px last")="#N/A Invalid Security",1,_xll.BDP("USD"&amp;Q104&amp;" BGN Curncy","px last"))),P104)</f>
        <v>1</v>
      </c>
      <c r="Q104" s="350" t="str">
        <f ca="1">IF(BBswitch=1,IF(ISBLANK($C104),"",IF(_xll.BDP($C104,Q$72)="#N/A N/A","NA ",_xll.BDP($C104,Q$72))),Q104)</f>
        <v>USD</v>
      </c>
      <c r="R104" s="351" t="str" cm="1">
        <f t="array" aca="1" ref="R104" ca="1">IF(BBswitch=1,IF(ISBLANK($C104),"",IF(OR(_xll.BDP($C104,R$72)="#N/A Field Not Applicable",_xll.BDP($C104,R$72)="#N/A N/A"),"",_xll.BDP($C104,R$72))),R104)</f>
        <v/>
      </c>
      <c r="S104" s="351" cm="1">
        <f t="array" aca="1" ref="S104" ca="1">IF(BBswitch=1,IF(ISBLANK($C104),"",IF(OR(_xll.BDP($C104,S$72)="#N/A Field Not Applicable",_xll.BDP($C104,S$72)="#N/A N/A"),"",_xll.BDP($C104,S$72))),S104)</f>
        <v>328.63711161734295</v>
      </c>
      <c r="T104" s="351" t="str" cm="1">
        <f t="array" aca="1" ref="T104" ca="1">IF(BBswitch=1,IF(ISBLANK($C104),"",IF(OR(_xll.BDP($C104,T$72)="#N/A Field Not Applicable",_xll.BDP($C104,T$72)="#N/A N/A"),"",_xll.BDP($C104,T$72))),T104)</f>
        <v/>
      </c>
      <c r="U104" s="351" cm="1">
        <f t="array" aca="1" ref="U104" ca="1">IF(BBswitch=1,IF(ISBLANK($C104),"",IF(OR(_xll.BDP($C104,U$72)="#N/A Field Not Applicable",_xll.BDP($C104,U$72)="#N/A N/A"),"",_xll.BDP($C104,U$72))),U104)</f>
        <v>6.0761634113877419</v>
      </c>
      <c r="V104" s="352" t="str">
        <f ca="1">IF(BBswitch=1,IF(ISBLANK($C104),"",IF(_xll.BDP($C104,V$72)="#N/A N/A","NA ",_xll.BDP($C104,V$72))),V104)</f>
        <v>Sr Unsecured</v>
      </c>
      <c r="W104" s="353" t="str" cm="1">
        <f t="array" aca="1" ref="W104" ca="1">IF(BBswitch=1,IF(ISBLANK($C104),"",IF(_xll.BDP($C104,W$72)="#N/A N/A","NA ",_xll.BDP($C104,W$72))),W104)</f>
        <v>Delta Air Lines Inc</v>
      </c>
      <c r="X104" s="343" t="str">
        <f ca="1">IF(BBswitch=1,IF(ISBLANK($C104),"",IF(_xll.BDP($C104,X$73)="#N/A N/A","NA ",_xll.BDP($C104,X$73))),X104)</f>
        <v>DAL 3.75 29</v>
      </c>
      <c r="Z104" s="1018"/>
      <c r="AA104" s="803"/>
      <c r="AC104" s="883"/>
      <c r="AD104" s="883"/>
      <c r="AE104" s="883"/>
      <c r="AF104" s="883"/>
      <c r="AG104" s="883"/>
      <c r="AH104" s="883"/>
      <c r="AI104" s="883"/>
      <c r="AJ104" s="883"/>
      <c r="AK104" s="883"/>
    </row>
    <row r="105" spans="3:37" hidden="1" outlineLevel="1">
      <c r="C105" s="6" t="s">
        <v>1683</v>
      </c>
      <c r="D105" s="343" t="str">
        <f ca="1">IF(BBswitch=1,IF(ISBLANK($C105),"",IF(_xll.BDP($C105,D$73)="#N/A N/A","NA ",_xll.BDP($C105,D$73))),D105)</f>
        <v>DAL 2 28</v>
      </c>
      <c r="E105" s="344" t="str">
        <f ca="1">IF(BBswitch=1,IF(ISBLANK($C105),"",IF(_xll.BDP($C105,E$73)="#N/A N/A","NA ",_xll.BDP($C105,E$73))),E105)</f>
        <v xml:space="preserve">NA </v>
      </c>
      <c r="F105" s="354">
        <f ca="1">IF(BBswitch=1,IF(ISBLANK($C105),"",IF(_xll.BDP($C105,F$72)="#N/A N/A","NA ",_xll.BDP($C105,F$72)/10^6)/P105),F105)</f>
        <v>700.71473820000006</v>
      </c>
      <c r="G105" s="355">
        <f ca="1">IF(BBswitch=1,IF(ISBLANK($C105),"",IF(_xll.BDP($C105,G$72)="#N/A N/A","NA ",_xll.BDP($C105,G$72)/100)),G105)</f>
        <v>0.02</v>
      </c>
      <c r="H105" s="355">
        <f ca="1">IF(BBswitch=1,IF(ISBLANK($C105),"",IF(_xll.BDP($C105,H$72)="#N/A N/A","NA ",_xll.BDP($C105,H$72)/100)),H105)</f>
        <v>0.86792000000000002</v>
      </c>
      <c r="I105" s="355">
        <f ca="1">IF(BBswitch=1,IF(ISBLANK($C105),"",IF(_xll.BDP($C105,I$72)="#N/A N/A","NA ",_xll.BDP($C105,I$72)/100)),I105)</f>
        <v>2.3144397898488669E-2</v>
      </c>
      <c r="J105" s="355">
        <f ca="1">IF(BBswitch=1,IF(ISBLANK($C105),"",IF(_xll.BDP($C105,J$72)="#N/A N/A","NA ",_xll.BDP($C105,J$72)/100)),J105)</f>
        <v>5.5195504055412271E-2</v>
      </c>
      <c r="K105" s="345" t="str">
        <f ca="1">IF(BBswitch=1,IF(ISBLANK($C105),"",IF(_xll.BDP($C105,K$72)="#N/A N/A","NA ",_xll.BDP($C105,K$72))),K105)</f>
        <v>6/10/2028</v>
      </c>
      <c r="L105" s="346">
        <f t="shared" ca="1" si="5"/>
        <v>2028</v>
      </c>
      <c r="M105" s="345" t="str">
        <f ca="1">IF(BBswitch=1,IF(ISBLANK($C105),"",IF(_xll.BDP($C105,M$72)="#N/A N/A","NA ",_xll.BDP($C105,M$72))),M105)</f>
        <v>3/12/2020</v>
      </c>
      <c r="N105" s="347" t="str" cm="1">
        <f t="array" aca="1" ref="N105" ca="1">IF(BBswitch=1,IF(ISBLANK($C105),"",IF(_xll.BDP($C105,N$72)="#N/A Field Not Applicable","Notes",_xll.BDP($C105,N$72))),N105)</f>
        <v>Notes</v>
      </c>
      <c r="O105" s="348" cm="1">
        <f t="array" aca="1" ref="O105" ca="1">IF(BBswitch=1,IF(ISBLANK($C105),"",IFERROR(IF(_xll.BDP($C105,O$72)="#N/A N/A","NA ",_xll.BDP($C105,O$72)/10^6),0)/P105),O105)</f>
        <v>0</v>
      </c>
      <c r="P105" s="349" cm="1">
        <f t="array" aca="1" ref="P105" ca="1">+IF(BBswitch=1,IF(ISBLANK($C105),"",IF(_xll.BDP("USD"&amp;Q105&amp;" BGN Curncy","px last")="#N/A Invalid Security",1,_xll.BDP("USD"&amp;Q105&amp;" BGN Curncy","px last"))),P105)</f>
        <v>1</v>
      </c>
      <c r="Q105" s="350" t="str">
        <f ca="1">IF(BBswitch=1,IF(ISBLANK($C105),"",IF(_xll.BDP($C105,Q$72)="#N/A N/A","NA ",_xll.BDP($C105,Q$72))),Q105)</f>
        <v>USD</v>
      </c>
      <c r="R105" s="351" t="str" cm="1">
        <f t="array" aca="1" ref="R105" ca="1">IF(BBswitch=1,IF(ISBLANK($C105),"",IF(OR(_xll.BDP($C105,R$72)="#N/A Field Not Applicable",_xll.BDP($C105,R$72)="#N/A N/A"),"",_xll.BDP($C105,R$72))),R105)</f>
        <v/>
      </c>
      <c r="S105" s="351" cm="1">
        <f t="array" aca="1" ref="S105" ca="1">IF(BBswitch=1,IF(ISBLANK($C105),"",IF(OR(_xll.BDP($C105,S$72)="#N/A Field Not Applicable",_xll.BDP($C105,S$72)="#N/A N/A"),"",_xll.BDP($C105,S$72))),S105)</f>
        <v>230.52168193001697</v>
      </c>
      <c r="T105" s="351" t="str" cm="1">
        <f t="array" aca="1" ref="T105" ca="1">IF(BBswitch=1,IF(ISBLANK($C105),"",IF(OR(_xll.BDP($C105,T$72)="#N/A Field Not Applicable",_xll.BDP($C105,T$72)="#N/A N/A"),"",_xll.BDP($C105,T$72))),T105)</f>
        <v/>
      </c>
      <c r="U105" s="351" cm="1">
        <f t="array" aca="1" ref="U105" ca="1">IF(BBswitch=1,IF(ISBLANK($C105),"",IF(OR(_xll.BDP($C105,U$72)="#N/A Field Not Applicable",_xll.BDP($C105,U$72)="#N/A N/A"),"",_xll.BDP($C105,U$72))),U105)</f>
        <v>4.056183530203004</v>
      </c>
      <c r="V105" s="352" t="str">
        <f ca="1">IF(BBswitch=1,IF(ISBLANK($C105),"",IF(_xll.BDP($C105,V$72)="#N/A N/A","NA ",_xll.BDP($C105,V$72))),V105)</f>
        <v>1st lien</v>
      </c>
      <c r="W105" s="353" t="str" cm="1">
        <f t="array" aca="1" ref="W105" ca="1">IF(BBswitch=1,IF(ISBLANK($C105),"",IF(_xll.BDP($C105,W$72)="#N/A N/A","NA ",_xll.BDP($C105,W$72))),W105)</f>
        <v>Delta Air Lines 2020-1 Class AA Pass Through Trust</v>
      </c>
      <c r="X105" s="343" t="str">
        <f ca="1">IF(BBswitch=1,IF(ISBLANK($C105),"",IF(_xll.BDP($C105,X$73)="#N/A N/A","NA ",_xll.BDP($C105,X$73))),X105)</f>
        <v>DAL 2 28</v>
      </c>
      <c r="AC105" s="883"/>
      <c r="AD105" s="883"/>
      <c r="AE105" s="883"/>
      <c r="AF105" s="883"/>
      <c r="AG105" s="883"/>
      <c r="AH105" s="883"/>
      <c r="AI105" s="883"/>
      <c r="AJ105" s="883"/>
      <c r="AK105" s="883"/>
    </row>
    <row r="106" spans="3:37" hidden="1" outlineLevel="1">
      <c r="C106" s="6" t="s">
        <v>1596</v>
      </c>
      <c r="D106" s="343" t="str">
        <f ca="1">IF(BBswitch=1,IF(ISBLANK($C106),"",IF(_xll.BDP($C106,D$73)="#N/A N/A","NA ",_xll.BDP($C106,D$73))),D106)</f>
        <v>DAL 2.9 24</v>
      </c>
      <c r="E106" s="344" t="str">
        <f ca="1">IF(BBswitch=1,IF(ISBLANK($C106),"",IF(_xll.BDP($C106,E$73)="#N/A N/A","NA ",_xll.BDP($C106,E$73))),E106)</f>
        <v>BB</v>
      </c>
      <c r="F106" s="354">
        <f ca="1">IF(BBswitch=1,IF(ISBLANK($C106),"",IF(_xll.BDP($C106,F$72)="#N/A N/A","NA ",_xll.BDP($C106,F$72)/10^6)/P106),F106)</f>
        <v>900</v>
      </c>
      <c r="G106" s="355">
        <f ca="1">IF(BBswitch=1,IF(ISBLANK($C106),"",IF(_xll.BDP($C106,G$72)="#N/A N/A","NA ",_xll.BDP($C106,G$72)/100)),G106)</f>
        <v>2.8999999999999998E-2</v>
      </c>
      <c r="H106" s="355">
        <f ca="1">IF(BBswitch=1,IF(ISBLANK($C106),"",IF(_xll.BDP($C106,H$72)="#N/A N/A","NA ",_xll.BDP($C106,H$72)/100)),H106)</f>
        <v>0.95438000000000001</v>
      </c>
      <c r="I106" s="355">
        <f ca="1">IF(BBswitch=1,IF(ISBLANK($C106),"",IF(_xll.BDP($C106,I$72)="#N/A N/A","NA ",_xll.BDP($C106,I$72)/100)),I106)</f>
        <v>3.042319716329913E-2</v>
      </c>
      <c r="J106" s="355">
        <f ca="1">IF(BBswitch=1,IF(ISBLANK($C106),"",IF(_xll.BDP($C106,J$72)="#N/A N/A","NA ",_xll.BDP($C106,J$72)/100)),J106)</f>
        <v>5.1097187350508423E-2</v>
      </c>
      <c r="K106" s="345" t="str">
        <f ca="1">IF(BBswitch=1,IF(ISBLANK($C106),"",IF(_xll.BDP($C106,K$72)="#N/A N/A","NA ",_xll.BDP($C106,K$72))),K106)</f>
        <v>10/28/2024</v>
      </c>
      <c r="L106" s="346" t="e">
        <f t="shared" ca="1" si="5"/>
        <v>#VALUE!</v>
      </c>
      <c r="M106" s="345" t="str">
        <f ca="1">IF(BBswitch=1,IF(ISBLANK($C106),"",IF(_xll.BDP($C106,M$72)="#N/A N/A","NA ",_xll.BDP($C106,M$72))),M106)</f>
        <v>10/28/2019</v>
      </c>
      <c r="N106" s="347" t="str" cm="1">
        <f t="array" aca="1" ref="N106" ca="1">IF(BBswitch=1,IF(ISBLANK($C106),"",IF(_xll.BDP($C106,N$72)="#N/A Field Not Applicable","Notes",_xll.BDP($C106,N$72))),N106)</f>
        <v>Notes</v>
      </c>
      <c r="O106" s="348" cm="1">
        <f t="array" aca="1" ref="O106" ca="1">IF(BBswitch=1,IF(ISBLANK($C106),"",IFERROR(IF(_xll.BDP($C106,O$72)="#N/A N/A","NA ",_xll.BDP($C106,O$72)/10^6),0)/P106),O106)</f>
        <v>0</v>
      </c>
      <c r="P106" s="349" cm="1">
        <f t="array" aca="1" ref="P106" ca="1">+IF(BBswitch=1,IF(ISBLANK($C106),"",IF(_xll.BDP("USD"&amp;Q106&amp;" BGN Curncy","px last")="#N/A Invalid Security",1,_xll.BDP("USD"&amp;Q106&amp;" BGN Curncy","px last"))),P106)</f>
        <v>1</v>
      </c>
      <c r="Q106" s="350" t="str">
        <f ca="1">IF(BBswitch=1,IF(ISBLANK($C106),"",IF(_xll.BDP($C106,Q$72)="#N/A N/A","NA ",_xll.BDP($C106,Q$72))),Q106)</f>
        <v>USD</v>
      </c>
      <c r="R106" s="351" t="str" cm="1">
        <f t="array" aca="1" ref="R106" ca="1">IF(BBswitch=1,IF(ISBLANK($C106),"",IF(OR(_xll.BDP($C106,R$72)="#N/A Field Not Applicable",_xll.BDP($C106,R$72)="#N/A N/A"),"",_xll.BDP($C106,R$72))),R106)</f>
        <v/>
      </c>
      <c r="S106" s="351" cm="1">
        <f t="array" aca="1" ref="S106" ca="1">IF(BBswitch=1,IF(ISBLANK($C106),"",IF(OR(_xll.BDP($C106,S$72)="#N/A Field Not Applicable",_xll.BDP($C106,S$72)="#N/A N/A"),"",_xll.BDP($C106,S$72))),S106)</f>
        <v>178.99172956314254</v>
      </c>
      <c r="T106" s="351" t="str" cm="1">
        <f t="array" aca="1" ref="T106" ca="1">IF(BBswitch=1,IF(ISBLANK($C106),"",IF(OR(_xll.BDP($C106,T$72)="#N/A Field Not Applicable",_xll.BDP($C106,T$72)="#N/A N/A"),"",_xll.BDP($C106,T$72))),T106)</f>
        <v/>
      </c>
      <c r="U106" s="351" cm="1">
        <f t="array" aca="1" ref="U106" ca="1">IF(BBswitch=1,IF(ISBLANK($C106),"",IF(OR(_xll.BDP($C106,U$72)="#N/A Field Not Applicable",_xll.BDP($C106,U$72)="#N/A N/A"),"",_xll.BDP($C106,U$72))),U106)</f>
        <v>2.1442443250116838</v>
      </c>
      <c r="V106" s="352" t="str">
        <f ca="1">IF(BBswitch=1,IF(ISBLANK($C106),"",IF(_xll.BDP($C106,V$72)="#N/A N/A","NA ",_xll.BDP($C106,V$72))),V106)</f>
        <v>Sr Unsecured</v>
      </c>
      <c r="W106" s="353" t="str" cm="1">
        <f t="array" aca="1" ref="W106" ca="1">IF(BBswitch=1,IF(ISBLANK($C106),"",IF(_xll.BDP($C106,W$72)="#N/A N/A","NA ",_xll.BDP($C106,W$72))),W106)</f>
        <v>Delta Air Lines Inc</v>
      </c>
      <c r="X106" s="343" t="str">
        <f ca="1">IF(BBswitch=1,IF(ISBLANK($C106),"",IF(_xll.BDP($C106,X$73)="#N/A N/A","NA ",_xll.BDP($C106,X$73))),X106)</f>
        <v>DAL 2.9 24</v>
      </c>
      <c r="Z106" s="1018"/>
      <c r="AA106" s="803"/>
      <c r="AC106" s="883"/>
      <c r="AD106" s="883"/>
      <c r="AE106" s="883"/>
      <c r="AF106" s="883"/>
      <c r="AG106" s="883"/>
      <c r="AH106" s="883"/>
      <c r="AI106" s="883"/>
      <c r="AJ106" s="883"/>
      <c r="AK106" s="883"/>
    </row>
    <row r="107" spans="3:37" hidden="1" outlineLevel="1">
      <c r="C107" s="6" t="s">
        <v>1593</v>
      </c>
      <c r="D107" s="343" t="str">
        <f ca="1">IF(BBswitch=1,IF(ISBLANK($C107),"",IF(_xll.BDP($C107,D$73)="#N/A N/A","NA ",_xll.BDP($C107,D$73))),D107)</f>
        <v>DAL 7.375 26</v>
      </c>
      <c r="E107" s="344" t="str">
        <f ca="1">IF(BBswitch=1,IF(ISBLANK($C107),"",IF(_xll.BDP($C107,E$73)="#N/A N/A","NA ",_xll.BDP($C107,E$73))),E107)</f>
        <v>BB</v>
      </c>
      <c r="F107" s="354">
        <f ca="1">IF(BBswitch=1,IF(ISBLANK($C107),"",IF(_xll.BDP($C107,F$72)="#N/A N/A","NA ",_xll.BDP($C107,F$72)/10^6)/P107),F107)</f>
        <v>1080.508</v>
      </c>
      <c r="G107" s="355">
        <f ca="1">IF(BBswitch=1,IF(ISBLANK($C107),"",IF(_xll.BDP($C107,G$72)="#N/A N/A","NA ",_xll.BDP($C107,G$72)/100)),G107)</f>
        <v>7.3749999999999996E-2</v>
      </c>
      <c r="H107" s="355">
        <f ca="1">IF(BBswitch=1,IF(ISBLANK($C107),"",IF(_xll.BDP($C107,H$72)="#N/A N/A","NA ",_xll.BDP($C107,H$72)/100)),H107)</f>
        <v>1.0480100000000001</v>
      </c>
      <c r="I107" s="355">
        <f ca="1">IF(BBswitch=1,IF(ISBLANK($C107),"",IF(_xll.BDP($C107,I$72)="#N/A N/A","NA ",_xll.BDP($C107,I$72)/100)),I107)</f>
        <v>7.0474352113752775E-2</v>
      </c>
      <c r="J107" s="355">
        <f ca="1">IF(BBswitch=1,IF(ISBLANK($C107),"",IF(_xll.BDP($C107,J$72)="#N/A N/A","NA ",_xll.BDP($C107,J$72)/100)),J107)</f>
        <v>5.8479298699999994E-2</v>
      </c>
      <c r="K107" s="345" t="str">
        <f ca="1">IF(BBswitch=1,IF(ISBLANK($C107),"",IF(_xll.BDP($C107,K$72)="#N/A N/A","NA ",_xll.BDP($C107,K$72))),K107)</f>
        <v>1/15/2026</v>
      </c>
      <c r="L107" s="346" t="e">
        <f t="shared" ca="1" si="5"/>
        <v>#VALUE!</v>
      </c>
      <c r="M107" s="345" t="str">
        <f ca="1">IF(BBswitch=1,IF(ISBLANK($C107),"",IF(_xll.BDP($C107,M$72)="#N/A N/A","NA ",_xll.BDP($C107,M$72))),M107)</f>
        <v>6/12/2020</v>
      </c>
      <c r="N107" s="347" t="str" cm="1">
        <f t="array" aca="1" ref="N107" ca="1">IF(BBswitch=1,IF(ISBLANK($C107),"",IF(_xll.BDP($C107,N$72)="#N/A Field Not Applicable","Notes",_xll.BDP($C107,N$72))),N107)</f>
        <v>Notes</v>
      </c>
      <c r="O107" s="348" cm="1">
        <f t="array" aca="1" ref="O107" ca="1">IF(BBswitch=1,IF(ISBLANK($C107),"",IFERROR(IF(_xll.BDP($C107,O$72)="#N/A N/A","NA ",_xll.BDP($C107,O$72)/10^6),0)/P107),O107)</f>
        <v>0</v>
      </c>
      <c r="P107" s="349" cm="1">
        <f t="array" aca="1" ref="P107" ca="1">+IF(BBswitch=1,IF(ISBLANK($C107),"",IF(_xll.BDP("USD"&amp;Q107&amp;" BGN Curncy","px last")="#N/A Invalid Security",1,_xll.BDP("USD"&amp;Q107&amp;" BGN Curncy","px last"))),P107)</f>
        <v>1</v>
      </c>
      <c r="Q107" s="350" t="str">
        <f ca="1">IF(BBswitch=1,IF(ISBLANK($C107),"",IF(_xll.BDP($C107,Q$72)="#N/A N/A","NA ",_xll.BDP($C107,Q$72))),Q107)</f>
        <v>USD</v>
      </c>
      <c r="R107" s="351" t="str" cm="1">
        <f t="array" aca="1" ref="R107" ca="1">IF(BBswitch=1,IF(ISBLANK($C107),"",IF(OR(_xll.BDP($C107,R$72)="#N/A Field Not Applicable",_xll.BDP($C107,R$72)="#N/A N/A"),"",_xll.BDP($C107,R$72))),R107)</f>
        <v/>
      </c>
      <c r="S107" s="351" cm="1">
        <f t="array" aca="1" ref="S107" ca="1">IF(BBswitch=1,IF(ISBLANK($C107),"",IF(OR(_xll.BDP($C107,S$72)="#N/A Field Not Applicable",_xll.BDP($C107,S$72)="#N/A N/A"),"",_xll.BDP($C107,S$72))),S107)</f>
        <v>259.76794802054047</v>
      </c>
      <c r="T107" s="351" t="str" cm="1">
        <f t="array" aca="1" ref="T107" ca="1">IF(BBswitch=1,IF(ISBLANK($C107),"",IF(OR(_xll.BDP($C107,T$72)="#N/A Field Not Applicable",_xll.BDP($C107,T$72)="#N/A N/A"),"",_xll.BDP($C107,T$72))),T107)</f>
        <v/>
      </c>
      <c r="U107" s="351" cm="1">
        <f t="array" aca="1" ref="U107" ca="1">IF(BBswitch=1,IF(ISBLANK($C107),"",IF(OR(_xll.BDP($C107,U$72)="#N/A Field Not Applicable",_xll.BDP($C107,U$72)="#N/A N/A"),"",_xll.BDP($C107,U$72))),U107)</f>
        <v>3.0105484833652354</v>
      </c>
      <c r="V107" s="352" t="str">
        <f ca="1">IF(BBswitch=1,IF(ISBLANK($C107),"",IF(_xll.BDP($C107,V$72)="#N/A N/A","NA ",_xll.BDP($C107,V$72))),V107)</f>
        <v>Sr Unsecured</v>
      </c>
      <c r="W107" s="353" t="str" cm="1">
        <f t="array" aca="1" ref="W107" ca="1">IF(BBswitch=1,IF(ISBLANK($C107),"",IF(_xll.BDP($C107,W$72)="#N/A N/A","NA ",_xll.BDP($C107,W$72))),W107)</f>
        <v>Delta Air Lines Inc</v>
      </c>
      <c r="X107" s="343" t="str">
        <f ca="1">IF(BBswitch=1,IF(ISBLANK($C107),"",IF(_xll.BDP($C107,X$73)="#N/A N/A","NA ",_xll.BDP($C107,X$73))),X107)</f>
        <v>DAL 7.375 26</v>
      </c>
      <c r="AC107" s="883"/>
      <c r="AD107" s="883"/>
      <c r="AE107" s="883"/>
      <c r="AF107" s="883"/>
      <c r="AG107" s="883"/>
      <c r="AH107" s="883"/>
      <c r="AI107" s="883"/>
      <c r="AJ107" s="883"/>
      <c r="AK107" s="883"/>
    </row>
    <row r="108" spans="3:37" hidden="1" outlineLevel="1">
      <c r="C108" s="6" t="s">
        <v>1631</v>
      </c>
      <c r="D108" s="343" t="str">
        <f ca="1">IF(BBswitch=1,IF(ISBLANK($C108),"",IF(_xll.BDP($C108,D$73)="#N/A N/A","NA ",_xll.BDP($C108,D$73))),D108)</f>
        <v>DAL REV 1L USD</v>
      </c>
      <c r="E108" s="344" t="str">
        <f ca="1">IF(BBswitch=1,IF(ISBLANK($C108),"",IF(_xll.BDP($C108,E$73)="#N/A N/A","NA ",_xll.BDP($C108,E$73))),E108)</f>
        <v>BB</v>
      </c>
      <c r="F108" s="354">
        <f ca="1">IF(BBswitch=1,IF(ISBLANK($C108),"",IF(_xll.BDP($C108,F$72)="#N/A N/A","NA ",_xll.BDP($C108,F$72)/10^6)/P108),F108)</f>
        <v>0</v>
      </c>
      <c r="G108" s="355">
        <f ca="1">IF(BBswitch=1,IF(ISBLANK($C108),"",IF(_xll.BDP($C108,G$72)="#N/A N/A","NA ",_xll.BDP($C108,G$72)/100)),G108)</f>
        <v>5.16157E-2</v>
      </c>
      <c r="H108" s="936">
        <v>1</v>
      </c>
      <c r="I108" s="355">
        <f ca="1">G108/H108</f>
        <v>5.16157E-2</v>
      </c>
      <c r="J108" s="355" t="str">
        <f ca="1">IF(BBswitch=1,IF(ISBLANK($C108),"",IF(_xll.BDP($C108,J$72)="#N/A N/A","NA ",_xll.BDP($C108,J$72)/100)),J108)</f>
        <v xml:space="preserve">NA </v>
      </c>
      <c r="K108" s="345" t="str">
        <f ca="1">IF(BBswitch=1,IF(ISBLANK($C108),"",IF(_xll.BDP($C108,K$72)="#N/A N/A","NA ",_xll.BDP($C108,K$72))),K108)</f>
        <v>4/19/2023</v>
      </c>
      <c r="L108" s="346" t="e">
        <f t="shared" ca="1" si="5"/>
        <v>#VALUE!</v>
      </c>
      <c r="M108" s="345" t="str">
        <f ca="1">IF(BBswitch=1,IF(ISBLANK($C108),"",IF(_xll.BDP($C108,M$72)="#N/A N/A","NA ",_xll.BDP($C108,M$72))),M108)</f>
        <v>4/19/2018</v>
      </c>
      <c r="N108" s="347" t="str" cm="1">
        <f t="array" aca="1" ref="N108" ca="1">IF(BBswitch=1,IF(ISBLANK($C108),"",IF(_xll.BDP($C108,N$72)="#N/A Field Not Applicable","Notes",_xll.BDP($C108,N$72))),N108)</f>
        <v>REV</v>
      </c>
      <c r="O108" s="348" cm="1">
        <f t="array" aca="1" ref="O108" ca="1">IF(BBswitch=1,IF(ISBLANK($C108),"",IFERROR(IF(_xll.BDP($C108,O$72)="#N/A N/A","NA ",_xll.BDP($C108,O$72)/10^6),0)/P108),O108)</f>
        <v>1325</v>
      </c>
      <c r="P108" s="349" cm="1">
        <f t="array" aca="1" ref="P108" ca="1">+IF(BBswitch=1,IF(ISBLANK($C108),"",IF(_xll.BDP("USD"&amp;Q108&amp;" BGN Curncy","px last")="#N/A Invalid Security",1,_xll.BDP("USD"&amp;Q108&amp;" BGN Curncy","px last"))),P108)</f>
        <v>1</v>
      </c>
      <c r="Q108" s="350" t="str">
        <f ca="1">IF(BBswitch=1,IF(ISBLANK($C108),"",IF(_xll.BDP($C108,Q$72)="#N/A N/A","NA ",_xll.BDP($C108,Q$72))),Q108)</f>
        <v>USD</v>
      </c>
      <c r="R108" s="351" t="str" cm="1">
        <f t="array" aca="1" ref="R108" ca="1">IF(BBswitch=1,IF(ISBLANK($C108),"",IF(OR(_xll.BDP($C108,R$72)="#N/A Field Not Applicable",_xll.BDP($C108,R$72)="#N/A N/A"),"",_xll.BDP($C108,R$72))),R108)</f>
        <v/>
      </c>
      <c r="S108" s="351" t="str" cm="1">
        <f t="array" aca="1" ref="S108" ca="1">IF(BBswitch=1,IF(ISBLANK($C108),"",IF(OR(_xll.BDP($C108,S$72)="#N/A Field Not Applicable",_xll.BDP($C108,S$72)="#N/A N/A"),"",_xll.BDP($C108,S$72))),S108)</f>
        <v/>
      </c>
      <c r="T108" s="351" t="str" cm="1">
        <f t="array" aca="1" ref="T108" ca="1">IF(BBswitch=1,IF(ISBLANK($C108),"",IF(OR(_xll.BDP($C108,T$72)="#N/A Field Not Applicable",_xll.BDP($C108,T$72)="#N/A N/A"),"",_xll.BDP($C108,T$72))),T108)</f>
        <v/>
      </c>
      <c r="U108" s="351" t="str" cm="1">
        <f t="array" aca="1" ref="U108" ca="1">IF(BBswitch=1,IF(ISBLANK($C108),"",IF(OR(_xll.BDP($C108,U$72)="#N/A Field Not Applicable",_xll.BDP($C108,U$72)="#N/A N/A"),"",_xll.BDP($C108,U$72))),U108)</f>
        <v/>
      </c>
      <c r="V108" s="352" t="str">
        <f ca="1">IF(BBswitch=1,IF(ISBLANK($C108),"",IF(_xll.BDP($C108,V$72)="#N/A N/A","NA ",_xll.BDP($C108,V$72))),V108)</f>
        <v>1L Sr. Secd</v>
      </c>
      <c r="W108" s="353" t="str" cm="1">
        <f t="array" aca="1" ref="W108" ca="1">IF(BBswitch=1,IF(ISBLANK($C108),"",IF(_xll.BDP($C108,W$72)="#N/A N/A","NA ",_xll.BDP($C108,W$72))),W108)</f>
        <v>Delta Air Lines Inc</v>
      </c>
      <c r="X108" s="343" t="str">
        <f ca="1">IF(BBswitch=1,IF(ISBLANK($C108),"",IF(_xll.BDP($C108,X$73)="#N/A N/A","NA ",_xll.BDP($C108,X$73))),X108)</f>
        <v>DAL REV 1L USD</v>
      </c>
      <c r="Z108" s="1018"/>
      <c r="AA108" s="883"/>
    </row>
    <row r="109" spans="3:37" hidden="1" outlineLevel="1">
      <c r="C109" s="6" t="s">
        <v>1632</v>
      </c>
      <c r="D109" s="343" t="str">
        <f ca="1">IF(BBswitch=1,IF(ISBLANK($C109),"",IF(_xll.BDP($C109,D$73)="#N/A N/A","NA ",_xll.BDP($C109,D$73))),D109)</f>
        <v>DAL REV EXT 1L USD</v>
      </c>
      <c r="E109" s="344" t="str">
        <f ca="1">IF(BBswitch=1,IF(ISBLANK($C109),"",IF(_xll.BDP($C109,E$73)="#N/A N/A","NA ",_xll.BDP($C109,E$73))),E109)</f>
        <v>BB</v>
      </c>
      <c r="F109" s="354">
        <f ca="1">IF(BBswitch=1,IF(ISBLANK($C109),"",IF(_xll.BDP($C109,F$72)="#N/A N/A","NA ",_xll.BDP($C109,F$72)/10^6)/P109),F109)</f>
        <v>0</v>
      </c>
      <c r="G109" s="355">
        <f ca="1">IF(BBswitch=1,IF(ISBLANK($C109),"",IF(_xll.BDP($C109,G$72)="#N/A N/A","NA ",_xll.BDP($C109,G$72)/100)),G109)</f>
        <v>5.16157E-2</v>
      </c>
      <c r="H109" s="936">
        <v>1</v>
      </c>
      <c r="I109" s="355">
        <f ca="1">G109/H109</f>
        <v>5.16157E-2</v>
      </c>
      <c r="J109" s="355" t="str">
        <f ca="1">IF(BBswitch=1,IF(ISBLANK($C109),"",IF(_xll.BDP($C109,J$72)="#N/A N/A","NA ",_xll.BDP($C109,J$72)/100)),J109)</f>
        <v xml:space="preserve">NA </v>
      </c>
      <c r="K109" s="345" t="str">
        <f ca="1">IF(BBswitch=1,IF(ISBLANK($C109),"",IF(_xll.BDP($C109,K$72)="#N/A N/A","NA ",_xll.BDP($C109,K$72))),K109)</f>
        <v>4/19/2024</v>
      </c>
      <c r="L109" s="346" t="e">
        <f t="shared" ca="1" si="5"/>
        <v>#VALUE!</v>
      </c>
      <c r="M109" s="345" t="str">
        <f ca="1">IF(BBswitch=1,IF(ISBLANK($C109),"",IF(_xll.BDP($C109,M$72)="#N/A N/A","NA ",_xll.BDP($C109,M$72))),M109)</f>
        <v>6/29/2020</v>
      </c>
      <c r="N109" s="347" t="str" cm="1">
        <f t="array" aca="1" ref="N109" ca="1">IF(BBswitch=1,IF(ISBLANK($C109),"",IF(_xll.BDP($C109,N$72)="#N/A Field Not Applicable","Notes",_xll.BDP($C109,N$72))),N109)</f>
        <v>REV</v>
      </c>
      <c r="O109" s="348" cm="1">
        <f t="array" aca="1" ref="O109" ca="1">IF(BBswitch=1,IF(ISBLANK($C109),"",IFERROR(IF(_xll.BDP($C109,O$72)="#N/A N/A","NA ",_xll.BDP($C109,O$72)/10^6),0)/P109),O109)</f>
        <v>1250</v>
      </c>
      <c r="P109" s="349" cm="1">
        <f t="array" aca="1" ref="P109" ca="1">+IF(BBswitch=1,IF(ISBLANK($C109),"",IF(_xll.BDP("USD"&amp;Q109&amp;" BGN Curncy","px last")="#N/A Invalid Security",1,_xll.BDP("USD"&amp;Q109&amp;" BGN Curncy","px last"))),P109)</f>
        <v>1</v>
      </c>
      <c r="Q109" s="350" t="str">
        <f ca="1">IF(BBswitch=1,IF(ISBLANK($C109),"",IF(_xll.BDP($C109,Q$72)="#N/A N/A","NA ",_xll.BDP($C109,Q$72))),Q109)</f>
        <v>USD</v>
      </c>
      <c r="R109" s="351" t="str" cm="1">
        <f t="array" aca="1" ref="R109" ca="1">IF(BBswitch=1,IF(ISBLANK($C109),"",IF(OR(_xll.BDP($C109,R$72)="#N/A Field Not Applicable",_xll.BDP($C109,R$72)="#N/A N/A"),"",_xll.BDP($C109,R$72))),R109)</f>
        <v/>
      </c>
      <c r="S109" s="351" t="str" cm="1">
        <f t="array" aca="1" ref="S109" ca="1">IF(BBswitch=1,IF(ISBLANK($C109),"",IF(OR(_xll.BDP($C109,S$72)="#N/A Field Not Applicable",_xll.BDP($C109,S$72)="#N/A N/A"),"",_xll.BDP($C109,S$72))),S109)</f>
        <v/>
      </c>
      <c r="T109" s="351" t="str" cm="1">
        <f t="array" aca="1" ref="T109" ca="1">IF(BBswitch=1,IF(ISBLANK($C109),"",IF(OR(_xll.BDP($C109,T$72)="#N/A Field Not Applicable",_xll.BDP($C109,T$72)="#N/A N/A"),"",_xll.BDP($C109,T$72))),T109)</f>
        <v/>
      </c>
      <c r="U109" s="351" t="str" cm="1">
        <f t="array" aca="1" ref="U109" ca="1">IF(BBswitch=1,IF(ISBLANK($C109),"",IF(OR(_xll.BDP($C109,U$72)="#N/A Field Not Applicable",_xll.BDP($C109,U$72)="#N/A N/A"),"",_xll.BDP($C109,U$72))),U109)</f>
        <v/>
      </c>
      <c r="V109" s="352" t="str">
        <f ca="1">IF(BBswitch=1,IF(ISBLANK($C109),"",IF(_xll.BDP($C109,V$72)="#N/A N/A","NA ",_xll.BDP($C109,V$72))),V109)</f>
        <v>1L Sr. Secd</v>
      </c>
      <c r="W109" s="353" t="str" cm="1">
        <f t="array" aca="1" ref="W109" ca="1">IF(BBswitch=1,IF(ISBLANK($C109),"",IF(_xll.BDP($C109,W$72)="#N/A N/A","NA ",_xll.BDP($C109,W$72))),W109)</f>
        <v>Delta Air Lines Inc</v>
      </c>
      <c r="X109" s="343" t="str">
        <f ca="1">IF(BBswitch=1,IF(ISBLANK($C109),"",IF(_xll.BDP($C109,X$73)="#N/A N/A","NA ",_xll.BDP($C109,X$73))),X109)</f>
        <v>DAL REV EXT 1L USD</v>
      </c>
      <c r="Z109" s="1018"/>
      <c r="AA109" s="883"/>
    </row>
    <row r="110" spans="3:37" hidden="1" outlineLevel="1">
      <c r="C110" s="6" t="s">
        <v>1633</v>
      </c>
      <c r="D110" s="343" t="str">
        <f ca="1">IF(BBswitch=1,IF(ISBLANK($C110),"",IF(_xll.BDP($C110,D$73)="#N/A N/A","NA ",_xll.BDP($C110,D$73))),D110)</f>
        <v>DAL LC 1L USD</v>
      </c>
      <c r="E110" s="344" t="str">
        <f ca="1">IF(BBswitch=1,IF(ISBLANK($C110),"",IF(_xll.BDP($C110,E$73)="#N/A N/A","NA ",_xll.BDP($C110,E$73))),E110)</f>
        <v>BB</v>
      </c>
      <c r="F110" s="354">
        <f ca="1">IF(BBswitch=1,IF(ISBLANK($C110),"",IF(_xll.BDP($C110,F$72)="#N/A N/A","NA ",_xll.BDP($C110,F$72)/10^6)/P110),F110)</f>
        <v>0</v>
      </c>
      <c r="G110" s="355">
        <f ca="1">IF(BBswitch=1,IF(ISBLANK($C110),"",IF(_xll.BDP($C110,G$72)="#N/A N/A","NA ",_xll.BDP($C110,G$72)/100)),G110)</f>
        <v>5.16157E-2</v>
      </c>
      <c r="H110" s="936">
        <v>1</v>
      </c>
      <c r="I110" s="355">
        <f ca="1">G110/H110</f>
        <v>5.16157E-2</v>
      </c>
      <c r="J110" s="355" t="str">
        <f ca="1">IF(BBswitch=1,IF(ISBLANK($C110),"",IF(_xll.BDP($C110,J$72)="#N/A N/A","NA ",_xll.BDP($C110,J$72)/100)),J110)</f>
        <v xml:space="preserve">NA </v>
      </c>
      <c r="K110" s="345" t="str">
        <f ca="1">IF(BBswitch=1,IF(ISBLANK($C110),"",IF(_xll.BDP($C110,K$72)="#N/A N/A","NA ",_xll.BDP($C110,K$72))),K110)</f>
        <v>4/19/2024</v>
      </c>
      <c r="L110" s="346" t="e">
        <f t="shared" ca="1" si="5"/>
        <v>#VALUE!</v>
      </c>
      <c r="M110" s="345" t="str">
        <f ca="1">IF(BBswitch=1,IF(ISBLANK($C110),"",IF(_xll.BDP($C110,M$72)="#N/A N/A","NA ",_xll.BDP($C110,M$72))),M110)</f>
        <v>6/29/2020</v>
      </c>
      <c r="N110" s="347" t="str" cm="1">
        <f t="array" aca="1" ref="N110" ca="1">IF(BBswitch=1,IF(ISBLANK($C110),"",IF(_xll.BDP($C110,N$72)="#N/A Field Not Applicable","Notes",_xll.BDP($C110,N$72))),N110)</f>
        <v>STANDBY LOC</v>
      </c>
      <c r="O110" s="348" cm="1">
        <f t="array" aca="1" ref="O110" ca="1">IF(BBswitch=1,IF(ISBLANK($C110),"",IFERROR(IF(_xll.BDP($C110,O$72)="#N/A N/A","NA ",_xll.BDP($C110,O$72)/10^6),0)/P110),O110)</f>
        <v>216.07836161</v>
      </c>
      <c r="P110" s="349" cm="1">
        <f t="array" aca="1" ref="P110" ca="1">+IF(BBswitch=1,IF(ISBLANK($C110),"",IF(_xll.BDP("USD"&amp;Q110&amp;" BGN Curncy","px last")="#N/A Invalid Security",1,_xll.BDP("USD"&amp;Q110&amp;" BGN Curncy","px last"))),P110)</f>
        <v>1</v>
      </c>
      <c r="Q110" s="350" t="str">
        <f ca="1">IF(BBswitch=1,IF(ISBLANK($C110),"",IF(_xll.BDP($C110,Q$72)="#N/A N/A","NA ",_xll.BDP($C110,Q$72))),Q110)</f>
        <v>USD</v>
      </c>
      <c r="R110" s="351" t="str" cm="1">
        <f t="array" aca="1" ref="R110" ca="1">IF(BBswitch=1,IF(ISBLANK($C110),"",IF(OR(_xll.BDP($C110,R$72)="#N/A Field Not Applicable",_xll.BDP($C110,R$72)="#N/A N/A"),"",_xll.BDP($C110,R$72))),R110)</f>
        <v/>
      </c>
      <c r="S110" s="351" t="str" cm="1">
        <f t="array" aca="1" ref="S110" ca="1">IF(BBswitch=1,IF(ISBLANK($C110),"",IF(OR(_xll.BDP($C110,S$72)="#N/A Field Not Applicable",_xll.BDP($C110,S$72)="#N/A N/A"),"",_xll.BDP($C110,S$72))),S110)</f>
        <v/>
      </c>
      <c r="T110" s="351" t="str" cm="1">
        <f t="array" aca="1" ref="T110" ca="1">IF(BBswitch=1,IF(ISBLANK($C110),"",IF(OR(_xll.BDP($C110,T$72)="#N/A Field Not Applicable",_xll.BDP($C110,T$72)="#N/A N/A"),"",_xll.BDP($C110,T$72))),T110)</f>
        <v/>
      </c>
      <c r="U110" s="351" t="str" cm="1">
        <f t="array" aca="1" ref="U110" ca="1">IF(BBswitch=1,IF(ISBLANK($C110),"",IF(OR(_xll.BDP($C110,U$72)="#N/A Field Not Applicable",_xll.BDP($C110,U$72)="#N/A N/A"),"",_xll.BDP($C110,U$72))),U110)</f>
        <v/>
      </c>
      <c r="V110" s="352" t="str">
        <f ca="1">IF(BBswitch=1,IF(ISBLANK($C110),"",IF(_xll.BDP($C110,V$72)="#N/A N/A","NA ",_xll.BDP($C110,V$72))),V110)</f>
        <v>1L Sr. Secd</v>
      </c>
      <c r="W110" s="353" t="str" cm="1">
        <f t="array" aca="1" ref="W110" ca="1">IF(BBswitch=1,IF(ISBLANK($C110),"",IF(_xll.BDP($C110,W$72)="#N/A N/A","NA ",_xll.BDP($C110,W$72))),W110)</f>
        <v>Delta Air Lines Inc</v>
      </c>
      <c r="X110" s="343" t="str">
        <f ca="1">IF(BBswitch=1,IF(ISBLANK($C110),"",IF(_xll.BDP($C110,X$73)="#N/A N/A","NA ",_xll.BDP($C110,X$73))),X110)</f>
        <v>DAL LC 1L USD</v>
      </c>
      <c r="Z110" s="1018"/>
      <c r="AA110" s="803"/>
    </row>
    <row r="111" spans="3:37" hidden="1" outlineLevel="1">
      <c r="C111" s="6" t="s">
        <v>1677</v>
      </c>
      <c r="D111" s="343"/>
      <c r="E111" s="344"/>
      <c r="F111" s="354"/>
      <c r="G111" s="355"/>
      <c r="H111" s="355"/>
      <c r="I111" s="355"/>
      <c r="J111" s="355"/>
      <c r="K111" s="345"/>
      <c r="L111" s="346"/>
      <c r="M111" s="345"/>
      <c r="N111" s="347"/>
      <c r="O111" s="348"/>
      <c r="P111" s="349"/>
      <c r="Q111" s="350"/>
      <c r="R111" s="351"/>
      <c r="S111" s="351"/>
      <c r="T111" s="351"/>
      <c r="U111" s="351"/>
      <c r="V111" s="352"/>
      <c r="W111" s="353"/>
      <c r="X111" s="343"/>
      <c r="Z111" s="1018"/>
      <c r="AA111" s="803"/>
    </row>
    <row r="112" spans="3:37" hidden="1" outlineLevel="1">
      <c r="D112" s="343"/>
      <c r="E112" s="344"/>
      <c r="F112" s="354"/>
      <c r="G112" s="355"/>
      <c r="H112" s="355"/>
      <c r="I112" s="355"/>
      <c r="J112" s="355"/>
      <c r="K112" s="345"/>
      <c r="L112" s="346"/>
      <c r="M112" s="345"/>
      <c r="N112" s="347"/>
      <c r="O112" s="348"/>
      <c r="P112" s="349"/>
      <c r="Q112" s="350"/>
      <c r="R112" s="351"/>
      <c r="S112" s="351"/>
      <c r="T112" s="351"/>
      <c r="U112" s="351"/>
      <c r="V112" s="352"/>
      <c r="W112" s="353"/>
      <c r="X112" s="343"/>
      <c r="Z112" s="1018"/>
      <c r="AA112" s="883"/>
    </row>
    <row r="113" spans="3:27" hidden="1" outlineLevel="1">
      <c r="C113" s="363" t="str">
        <f ca="1">IF(BBswitch=1,_xll.BQL.Query("get(Name)for( loans(['"&amp;$D$3&amp;" Equity'], IssuedBy=credit_family) )with(Dates="&amp;TEXT(TODAY(),"yyyy-mm-dd")&amp;")","cols=2;rows=4"),C113)</f>
        <v>ID</v>
      </c>
      <c r="D113" s="162" t="s">
        <v>121</v>
      </c>
      <c r="E113" s="162" t="str">
        <f ca="1">+IF($C113="No new issued notes","",E$75)</f>
        <v>Rating</v>
      </c>
      <c r="F113" s="162" t="str">
        <f t="shared" ref="F113:X113" ca="1" si="6">+IF($C113="No new issued notes","",F$75)</f>
        <v>Outs.(mm)</v>
      </c>
      <c r="G113" s="162" t="str">
        <f t="shared" ca="1" si="6"/>
        <v>Coupon</v>
      </c>
      <c r="H113" s="162" t="str">
        <f t="shared" ca="1" si="6"/>
        <v>Price</v>
      </c>
      <c r="I113" s="162" t="str">
        <f t="shared" ca="1" si="6"/>
        <v>CY</v>
      </c>
      <c r="J113" s="162" t="str">
        <f t="shared" ca="1" si="6"/>
        <v>YTW</v>
      </c>
      <c r="K113" s="162" t="str">
        <f t="shared" ca="1" si="6"/>
        <v>Maturity</v>
      </c>
      <c r="L113" s="162" t="str">
        <f t="shared" ca="1" si="6"/>
        <v>Year</v>
      </c>
      <c r="M113" s="162" t="str">
        <f t="shared" ca="1" si="6"/>
        <v>Issue Date.</v>
      </c>
      <c r="N113" s="162" t="str">
        <f t="shared" ca="1" si="6"/>
        <v>Debt type</v>
      </c>
      <c r="O113" s="162" t="str">
        <f t="shared" ca="1" si="6"/>
        <v>Tranche</v>
      </c>
      <c r="P113" s="162" t="str">
        <f t="shared" ca="1" si="6"/>
        <v>Fx. rate</v>
      </c>
      <c r="Q113" s="162" t="str">
        <f t="shared" ca="1" si="6"/>
        <v>Currency</v>
      </c>
      <c r="R113" s="162" t="str">
        <f t="shared" ca="1" si="6"/>
        <v>Spread Duration</v>
      </c>
      <c r="S113" s="162" t="str">
        <f t="shared" ca="1" si="6"/>
        <v>OAS</v>
      </c>
      <c r="T113" s="162" t="str">
        <f t="shared" ca="1" si="6"/>
        <v>ST3</v>
      </c>
      <c r="U113" s="162" t="str">
        <f t="shared" ca="1" si="6"/>
        <v>OAD</v>
      </c>
      <c r="V113" s="162" t="str">
        <f t="shared" ca="1" si="6"/>
        <v>Payment Rank</v>
      </c>
      <c r="W113" s="162" t="str">
        <f t="shared" ca="1" si="6"/>
        <v>Issuer Name</v>
      </c>
      <c r="X113" s="162" t="str">
        <f t="shared" ca="1" si="6"/>
        <v>Name</v>
      </c>
      <c r="Z113" s="1018"/>
      <c r="AA113" s="883"/>
    </row>
    <row r="114" spans="3:27" hidden="1" outlineLevel="1">
      <c r="C114" s="6" t="s">
        <v>1631</v>
      </c>
      <c r="D114" s="343" t="e">
        <v>#N/A</v>
      </c>
      <c r="E114" s="344" t="str">
        <f ca="1">IF(BBswitch=1,IF(ISBLANK($C114),"",IF(_xll.BDP($C114,E$73)="#N/A N/A","NA ",_xll.BDP($C114,E$73))),E114)</f>
        <v>BB</v>
      </c>
      <c r="F114" s="354">
        <f ca="1">IF(BBswitch=1,IF(ISBLANK($C114),"",IF(_xll.BDP($C114,F$72)="#N/A N/A","NA ",_xll.BDP($C114,F$72)/10^6)/P114),F114)</f>
        <v>0</v>
      </c>
      <c r="G114" s="355">
        <f ca="1">IF(BBswitch=1,IF(ISBLANK($C114),"",IF(_xll.BDP($C114,G$72)="#N/A N/A","NA ",_xll.BDP($C114,G$72)/100)),G114)</f>
        <v>5.16157E-2</v>
      </c>
      <c r="H114" s="355" t="str">
        <f ca="1">IF(BBswitch=1,IF(ISBLANK($C114),"",IF(_xll.BDP($C114,H$72)="#N/A N/A","NA ",_xll.BDP($C114,H$72)/100)),H114)</f>
        <v xml:space="preserve">NA </v>
      </c>
      <c r="I114" s="355" t="e">
        <f ca="1">IF(BBswitch=1,IF(ISBLANK($C114),"",IF(_xll.BDP($C114,I$72)="#N/A N/A","NA ",_xll.BDP($C114,I$72)/100)),I114)</f>
        <v>#VALUE!</v>
      </c>
      <c r="J114" s="355" t="str">
        <f ca="1">IF(BBswitch=1,IF(ISBLANK($C114),"",IF(_xll.BDP($C114,J$72)="#N/A N/A","NA ",_xll.BDP($C114,J$72)/100)),J114)</f>
        <v xml:space="preserve">NA </v>
      </c>
      <c r="K114" s="345" t="str">
        <f ca="1">IF(BBswitch=1,IF(ISBLANK($C114),"",IF(_xll.BDP($C114,K$72)="#N/A N/A","NA ",_xll.BDP($C114,K$72))),K114)</f>
        <v>4/19/2023</v>
      </c>
      <c r="L114" s="346" t="e">
        <f ca="1">IF(ISBLANK($C114),"",YEAR(K114))</f>
        <v>#VALUE!</v>
      </c>
      <c r="M114" s="345" t="str">
        <f ca="1">IF(BBswitch=1,IF(ISBLANK($C114),"",IF(_xll.BDP($C114,M$72)="#N/A N/A","NA ",_xll.BDP($C114,M$72))),M114)</f>
        <v>4/19/2018</v>
      </c>
      <c r="N114" s="347" t="str" cm="1">
        <f t="array" aca="1" ref="N114" ca="1">IF(BBswitch=1,IF(ISBLANK($C114),"",IF(_xll.BDP($C114,N$72)="#N/A Field Not Applicable","Notes",_xll.BDP($C114,N$72))),N114)</f>
        <v>REV</v>
      </c>
      <c r="O114" s="348" cm="1">
        <f t="array" aca="1" ref="O114" ca="1">IF(BBswitch=1,IF(ISBLANK($C114),"",IFERROR(IF(_xll.BDP($C114,O$72)="#N/A N/A","NA ",_xll.BDP($C114,O$72)/10^6),0)/P114),O114)</f>
        <v>1325</v>
      </c>
      <c r="P114" s="349" cm="1">
        <f t="array" aca="1" ref="P114" ca="1">+IF(BBswitch=1,IF(ISBLANK($C114),"",IF(_xll.BDP("USD"&amp;Q114&amp;" BGN Curncy","px last")="#N/A Invalid Security",1,_xll.BDP("USD"&amp;Q114&amp;" BGN Curncy","px last"))),P114)</f>
        <v>1</v>
      </c>
      <c r="Q114" s="350" t="str">
        <f ca="1">IF(BBswitch=1,IF(ISBLANK($C114),"",IF(_xll.BDP($C114,Q$72)="#N/A N/A","NA ",_xll.BDP($C114,Q$72))),Q114)</f>
        <v>USD</v>
      </c>
      <c r="R114" s="351" t="str" cm="1">
        <f t="array" aca="1" ref="R114" ca="1">IF(BBswitch=1,IF(ISBLANK($C114),"",IF(OR(_xll.BDP($C114,R$72)="#N/A Field Not Applicable",_xll.BDP($C114,R$72)="#N/A N/A"),"",_xll.BDP($C114,R$72))),R114)</f>
        <v/>
      </c>
      <c r="S114" s="351" t="str" cm="1">
        <f t="array" aca="1" ref="S114" ca="1">IF(BBswitch=1,IF(ISBLANK($C114),"",IF(OR(_xll.BDP($C114,S$72)="#N/A Field Not Applicable",_xll.BDP($C114,S$72)="#N/A N/A"),"",_xll.BDP($C114,S$72))),S114)</f>
        <v/>
      </c>
      <c r="T114" s="351" t="str" cm="1">
        <f t="array" aca="1" ref="T114" ca="1">IF(BBswitch=1,IF(ISBLANK($C114),"",IF(OR(_xll.BDP($C114,T$72)="#N/A Field Not Applicable",_xll.BDP($C114,T$72)="#N/A N/A"),"",_xll.BDP($C114,T$72))),T114)</f>
        <v/>
      </c>
      <c r="U114" s="351" t="str" cm="1">
        <f t="array" aca="1" ref="U114" ca="1">IF(BBswitch=1,IF(ISBLANK($C114),"",IF(OR(_xll.BDP($C114,U$72)="#N/A Field Not Applicable",_xll.BDP($C114,U$72)="#N/A N/A"),"",_xll.BDP($C114,U$72))),U114)</f>
        <v/>
      </c>
      <c r="V114" s="352" t="str">
        <f ca="1">IF(BBswitch=1,IF(ISBLANK($C114),"",IF(_xll.BDP($C114,V$72)="#N/A N/A","NA ",_xll.BDP($C114,V$72))),V114)</f>
        <v>1L Sr. Secd</v>
      </c>
      <c r="W114" s="353" t="str" cm="1">
        <f t="array" aca="1" ref="W114" ca="1">IF(BBswitch=1,IF(ISBLANK($C114),"",IF(_xll.BDP($C114,W$72)="#N/A N/A","NA ",_xll.BDP($C114,W$72))),W114)</f>
        <v>Delta Air Lines Inc</v>
      </c>
      <c r="X114" s="343" t="str">
        <f ca="1">IF(BBswitch=1,IF(ISBLANK($C114),"",IF(_xll.BDP($C114,X$73)="#N/A N/A","NA ",_xll.BDP($C114,X$73))),X114)</f>
        <v>DAL REV 1L USD</v>
      </c>
      <c r="Z114" s="1020"/>
      <c r="AA114" s="883"/>
    </row>
    <row r="115" spans="3:27" hidden="1" outlineLevel="1">
      <c r="C115" s="6" t="s">
        <v>1632</v>
      </c>
      <c r="D115" s="343" t="e">
        <v>#N/A</v>
      </c>
      <c r="E115" s="344" t="str">
        <f ca="1">IF(BBswitch=1,IF(ISBLANK($C115),"",IF(_xll.BDP($C115,E$73)="#N/A N/A","NA ",_xll.BDP($C115,E$73))),E115)</f>
        <v>BB</v>
      </c>
      <c r="F115" s="354">
        <f ca="1">IF(BBswitch=1,IF(ISBLANK($C115),"",IF(_xll.BDP($C115,F$72)="#N/A N/A","NA ",_xll.BDP($C115,F$72)/10^6)/P115),F115)</f>
        <v>0</v>
      </c>
      <c r="G115" s="355">
        <f ca="1">IF(BBswitch=1,IF(ISBLANK($C115),"",IF(_xll.BDP($C115,G$72)="#N/A N/A","NA ",_xll.BDP($C115,G$72)/100)),G115)</f>
        <v>5.16157E-2</v>
      </c>
      <c r="H115" s="355" t="str">
        <f ca="1">IF(BBswitch=1,IF(ISBLANK($C115),"",IF(_xll.BDP($C115,H$72)="#N/A N/A","NA ",_xll.BDP($C115,H$72)/100)),H115)</f>
        <v xml:space="preserve">NA </v>
      </c>
      <c r="I115" s="355" t="e">
        <f ca="1">IF(BBswitch=1,IF(ISBLANK($C115),"",IF(_xll.BDP($C115,I$72)="#N/A N/A","NA ",_xll.BDP($C115,I$72)/100)),I115)</f>
        <v>#VALUE!</v>
      </c>
      <c r="J115" s="355" t="str">
        <f ca="1">IF(BBswitch=1,IF(ISBLANK($C115),"",IF(_xll.BDP($C115,J$72)="#N/A N/A","NA ",_xll.BDP($C115,J$72)/100)),J115)</f>
        <v xml:space="preserve">NA </v>
      </c>
      <c r="K115" s="345" t="str">
        <f ca="1">IF(BBswitch=1,IF(ISBLANK($C115),"",IF(_xll.BDP($C115,K$72)="#N/A N/A","NA ",_xll.BDP($C115,K$72))),K115)</f>
        <v>4/19/2024</v>
      </c>
      <c r="L115" s="346" t="e">
        <f ca="1">IF(ISBLANK($C115),"",YEAR(K115))</f>
        <v>#VALUE!</v>
      </c>
      <c r="M115" s="345" t="str">
        <f ca="1">IF(BBswitch=1,IF(ISBLANK($C115),"",IF(_xll.BDP($C115,M$72)="#N/A N/A","NA ",_xll.BDP($C115,M$72))),M115)</f>
        <v>6/29/2020</v>
      </c>
      <c r="N115" s="347" t="str" cm="1">
        <f t="array" aca="1" ref="N115" ca="1">IF(BBswitch=1,IF(ISBLANK($C115),"",IF(_xll.BDP($C115,N$72)="#N/A Field Not Applicable","Notes",_xll.BDP($C115,N$72))),N115)</f>
        <v>REV</v>
      </c>
      <c r="O115" s="348" cm="1">
        <f t="array" aca="1" ref="O115" ca="1">IF(BBswitch=1,IF(ISBLANK($C115),"",IFERROR(IF(_xll.BDP($C115,O$72)="#N/A N/A","NA ",_xll.BDP($C115,O$72)/10^6),0)/P115),O115)</f>
        <v>1250</v>
      </c>
      <c r="P115" s="349" cm="1">
        <f t="array" aca="1" ref="P115" ca="1">+IF(BBswitch=1,IF(ISBLANK($C115),"",IF(_xll.BDP("USD"&amp;Q115&amp;" BGN Curncy","px last")="#N/A Invalid Security",1,_xll.BDP("USD"&amp;Q115&amp;" BGN Curncy","px last"))),P115)</f>
        <v>1</v>
      </c>
      <c r="Q115" s="350" t="str">
        <f ca="1">IF(BBswitch=1,IF(ISBLANK($C115),"",IF(_xll.BDP($C115,Q$72)="#N/A N/A","NA ",_xll.BDP($C115,Q$72))),Q115)</f>
        <v>USD</v>
      </c>
      <c r="R115" s="351" t="str" cm="1">
        <f t="array" aca="1" ref="R115" ca="1">IF(BBswitch=1,IF(ISBLANK($C115),"",IF(OR(_xll.BDP($C115,R$72)="#N/A Field Not Applicable",_xll.BDP($C115,R$72)="#N/A N/A"),"",_xll.BDP($C115,R$72))),R115)</f>
        <v/>
      </c>
      <c r="S115" s="351" t="str" cm="1">
        <f t="array" aca="1" ref="S115" ca="1">IF(BBswitch=1,IF(ISBLANK($C115),"",IF(OR(_xll.BDP($C115,S$72)="#N/A Field Not Applicable",_xll.BDP($C115,S$72)="#N/A N/A"),"",_xll.BDP($C115,S$72))),S115)</f>
        <v/>
      </c>
      <c r="T115" s="351" t="str" cm="1">
        <f t="array" aca="1" ref="T115" ca="1">IF(BBswitch=1,IF(ISBLANK($C115),"",IF(OR(_xll.BDP($C115,T$72)="#N/A Field Not Applicable",_xll.BDP($C115,T$72)="#N/A N/A"),"",_xll.BDP($C115,T$72))),T115)</f>
        <v/>
      </c>
      <c r="U115" s="351" t="str" cm="1">
        <f t="array" aca="1" ref="U115" ca="1">IF(BBswitch=1,IF(ISBLANK($C115),"",IF(OR(_xll.BDP($C115,U$72)="#N/A Field Not Applicable",_xll.BDP($C115,U$72)="#N/A N/A"),"",_xll.BDP($C115,U$72))),U115)</f>
        <v/>
      </c>
      <c r="V115" s="352" t="str">
        <f ca="1">IF(BBswitch=1,IF(ISBLANK($C115),"",IF(_xll.BDP($C115,V$72)="#N/A N/A","NA ",_xll.BDP($C115,V$72))),V115)</f>
        <v>1L Sr. Secd</v>
      </c>
      <c r="W115" s="353" t="str" cm="1">
        <f t="array" aca="1" ref="W115" ca="1">IF(BBswitch=1,IF(ISBLANK($C115),"",IF(_xll.BDP($C115,W$72)="#N/A N/A","NA ",_xll.BDP($C115,W$72))),W115)</f>
        <v>Delta Air Lines Inc</v>
      </c>
      <c r="X115" s="343" t="str">
        <f ca="1">IF(BBswitch=1,IF(ISBLANK($C115),"",IF(_xll.BDP($C115,X$73)="#N/A N/A","NA ",_xll.BDP($C115,X$73))),X115)</f>
        <v>DAL REV EXT 1L USD</v>
      </c>
      <c r="Z115" s="1018"/>
      <c r="AA115" s="883"/>
    </row>
    <row r="116" spans="3:27" hidden="1" outlineLevel="1">
      <c r="C116" s="6" t="s">
        <v>1633</v>
      </c>
      <c r="D116" s="343" t="e">
        <v>#N/A</v>
      </c>
      <c r="E116" s="344" t="str">
        <f ca="1">IF(BBswitch=1,IF(ISBLANK($C116),"",IF(_xll.BDP($C116,E$73)="#N/A N/A","NA ",_xll.BDP($C116,E$73))),E116)</f>
        <v>BB</v>
      </c>
      <c r="F116" s="354">
        <f ca="1">IF(BBswitch=1,IF(ISBLANK($C116),"",IF(_xll.BDP($C116,F$72)="#N/A N/A","NA ",_xll.BDP($C116,F$72)/10^6)/P116),F116)</f>
        <v>0</v>
      </c>
      <c r="G116" s="355">
        <f ca="1">IF(BBswitch=1,IF(ISBLANK($C116),"",IF(_xll.BDP($C116,G$72)="#N/A N/A","NA ",_xll.BDP($C116,G$72)/100)),G116)</f>
        <v>5.16157E-2</v>
      </c>
      <c r="H116" s="355" t="str">
        <f ca="1">IF(BBswitch=1,IF(ISBLANK($C116),"",IF(_xll.BDP($C116,H$72)="#N/A N/A","NA ",_xll.BDP($C116,H$72)/100)),H116)</f>
        <v xml:space="preserve">NA </v>
      </c>
      <c r="I116" s="355" t="e">
        <f ca="1">IF(BBswitch=1,IF(ISBLANK($C116),"",IF(_xll.BDP($C116,I$72)="#N/A N/A","NA ",_xll.BDP($C116,I$72)/100)),I116)</f>
        <v>#VALUE!</v>
      </c>
      <c r="J116" s="355" t="str">
        <f ca="1">IF(BBswitch=1,IF(ISBLANK($C116),"",IF(_xll.BDP($C116,J$72)="#N/A N/A","NA ",_xll.BDP($C116,J$72)/100)),J116)</f>
        <v xml:space="preserve">NA </v>
      </c>
      <c r="K116" s="345" t="str">
        <f ca="1">IF(BBswitch=1,IF(ISBLANK($C116),"",IF(_xll.BDP($C116,K$72)="#N/A N/A","NA ",_xll.BDP($C116,K$72))),K116)</f>
        <v>4/19/2024</v>
      </c>
      <c r="L116" s="346" t="e">
        <f ca="1">IF(ISBLANK($C116),"",YEAR(K116))</f>
        <v>#VALUE!</v>
      </c>
      <c r="M116" s="345" t="str">
        <f ca="1">IF(BBswitch=1,IF(ISBLANK($C116),"",IF(_xll.BDP($C116,M$72)="#N/A N/A","NA ",_xll.BDP($C116,M$72))),M116)</f>
        <v>6/29/2020</v>
      </c>
      <c r="N116" s="347" t="str" cm="1">
        <f t="array" aca="1" ref="N116" ca="1">IF(BBswitch=1,IF(ISBLANK($C116),"",IF(_xll.BDP($C116,N$72)="#N/A Field Not Applicable","Notes",_xll.BDP($C116,N$72))),N116)</f>
        <v>STANDBY LOC</v>
      </c>
      <c r="O116" s="348" cm="1">
        <f t="array" aca="1" ref="O116" ca="1">IF(BBswitch=1,IF(ISBLANK($C116),"",IFERROR(IF(_xll.BDP($C116,O$72)="#N/A N/A","NA ",_xll.BDP($C116,O$72)/10^6),0)/P116),O116)</f>
        <v>216.07836161</v>
      </c>
      <c r="P116" s="349" cm="1">
        <f t="array" aca="1" ref="P116" ca="1">+IF(BBswitch=1,IF(ISBLANK($C116),"",IF(_xll.BDP("USD"&amp;Q116&amp;" BGN Curncy","px last")="#N/A Invalid Security",1,_xll.BDP("USD"&amp;Q116&amp;" BGN Curncy","px last"))),P116)</f>
        <v>1</v>
      </c>
      <c r="Q116" s="350" t="str">
        <f ca="1">IF(BBswitch=1,IF(ISBLANK($C116),"",IF(_xll.BDP($C116,Q$72)="#N/A N/A","NA ",_xll.BDP($C116,Q$72))),Q116)</f>
        <v>USD</v>
      </c>
      <c r="R116" s="351" t="str" cm="1">
        <f t="array" aca="1" ref="R116" ca="1">IF(BBswitch=1,IF(ISBLANK($C116),"",IF(OR(_xll.BDP($C116,R$72)="#N/A Field Not Applicable",_xll.BDP($C116,R$72)="#N/A N/A"),"",_xll.BDP($C116,R$72))),R116)</f>
        <v/>
      </c>
      <c r="S116" s="351" t="str" cm="1">
        <f t="array" aca="1" ref="S116" ca="1">IF(BBswitch=1,IF(ISBLANK($C116),"",IF(OR(_xll.BDP($C116,S$72)="#N/A Field Not Applicable",_xll.BDP($C116,S$72)="#N/A N/A"),"",_xll.BDP($C116,S$72))),S116)</f>
        <v/>
      </c>
      <c r="T116" s="351" t="str" cm="1">
        <f t="array" aca="1" ref="T116" ca="1">IF(BBswitch=1,IF(ISBLANK($C116),"",IF(OR(_xll.BDP($C116,T$72)="#N/A Field Not Applicable",_xll.BDP($C116,T$72)="#N/A N/A"),"",_xll.BDP($C116,T$72))),T116)</f>
        <v/>
      </c>
      <c r="U116" s="351" t="str" cm="1">
        <f t="array" aca="1" ref="U116" ca="1">IF(BBswitch=1,IF(ISBLANK($C116),"",IF(OR(_xll.BDP($C116,U$72)="#N/A Field Not Applicable",_xll.BDP($C116,U$72)="#N/A N/A"),"",_xll.BDP($C116,U$72))),U116)</f>
        <v/>
      </c>
      <c r="V116" s="352" t="str">
        <f ca="1">IF(BBswitch=1,IF(ISBLANK($C116),"",IF(_xll.BDP($C116,V$72)="#N/A N/A","NA ",_xll.BDP($C116,V$72))),V116)</f>
        <v>1L Sr. Secd</v>
      </c>
      <c r="W116" s="353" t="str" cm="1">
        <f t="array" aca="1" ref="W116" ca="1">IF(BBswitch=1,IF(ISBLANK($C116),"",IF(_xll.BDP($C116,W$72)="#N/A N/A","NA ",_xll.BDP($C116,W$72))),W116)</f>
        <v>Delta Air Lines Inc</v>
      </c>
      <c r="X116" s="343" t="str">
        <f ca="1">IF(BBswitch=1,IF(ISBLANK($C116),"",IF(_xll.BDP($C116,X$73)="#N/A N/A","NA ",_xll.BDP($C116,X$73))),X116)</f>
        <v>DAL LC 1L USD</v>
      </c>
      <c r="Z116" s="1018"/>
      <c r="AA116" s="883"/>
    </row>
    <row r="117" spans="3:27" hidden="1" outlineLevel="1">
      <c r="Z117" s="1018"/>
      <c r="AA117" s="883"/>
    </row>
    <row r="118" spans="3:27" hidden="1" outlineLevel="1">
      <c r="C118" s="363" t="str">
        <f ca="1">IF(BBswitch=1,IF(_xll.BQL.Query("get(Name)for(filter(bonds('"&amp;$D$3&amp;" equity'),issue_date&gt;" &amp; TEXT($W$3,"yyyy-mm-dd") &amp; "))")="#N/A N/A","No new issued notes",_xll.BQL.Query("get(Name)for(filter(bonds('"&amp;$D$3&amp;" equity'),issue_date&gt;" &amp; TEXT($W$3,"yyyy-mm-dd") &amp; "))")),C118)</f>
        <v>#N/A N/A: Request returned no results.</v>
      </c>
      <c r="D118" s="162" t="str">
        <f ca="1">+IF($C118="No new issued notes","",D$75)</f>
        <v>Name</v>
      </c>
      <c r="E118" s="162" t="str">
        <f ca="1">+IF($C118="No new issued notes","",E$75)</f>
        <v>Rating</v>
      </c>
      <c r="F118" s="162" t="str">
        <f t="shared" ref="F118:X118" ca="1" si="7">+IF($C118="No new issued notes","",F$75)</f>
        <v>Outs.(mm)</v>
      </c>
      <c r="G118" s="162" t="str">
        <f t="shared" ca="1" si="7"/>
        <v>Coupon</v>
      </c>
      <c r="H118" s="162" t="str">
        <f t="shared" ca="1" si="7"/>
        <v>Price</v>
      </c>
      <c r="I118" s="162" t="str">
        <f t="shared" ca="1" si="7"/>
        <v>CY</v>
      </c>
      <c r="J118" s="162" t="str">
        <f t="shared" ca="1" si="7"/>
        <v>YTW</v>
      </c>
      <c r="K118" s="162" t="str">
        <f t="shared" ca="1" si="7"/>
        <v>Maturity</v>
      </c>
      <c r="L118" s="162" t="str">
        <f t="shared" ca="1" si="7"/>
        <v>Year</v>
      </c>
      <c r="M118" s="162" t="str">
        <f t="shared" ca="1" si="7"/>
        <v>Issue Date.</v>
      </c>
      <c r="N118" s="162" t="str">
        <f t="shared" ca="1" si="7"/>
        <v>Debt type</v>
      </c>
      <c r="O118" s="162" t="str">
        <f t="shared" ca="1" si="7"/>
        <v>Tranche</v>
      </c>
      <c r="P118" s="162" t="str">
        <f t="shared" ca="1" si="7"/>
        <v>Fx. rate</v>
      </c>
      <c r="Q118" s="162" t="str">
        <f t="shared" ca="1" si="7"/>
        <v>Currency</v>
      </c>
      <c r="R118" s="162" t="str">
        <f t="shared" ca="1" si="7"/>
        <v>Spread Duration</v>
      </c>
      <c r="S118" s="162" t="str">
        <f t="shared" ca="1" si="7"/>
        <v>OAS</v>
      </c>
      <c r="T118" s="162" t="str">
        <f t="shared" ca="1" si="7"/>
        <v>ST3</v>
      </c>
      <c r="U118" s="162" t="str">
        <f t="shared" ca="1" si="7"/>
        <v>OAD</v>
      </c>
      <c r="V118" s="162" t="str">
        <f t="shared" ca="1" si="7"/>
        <v>Payment Rank</v>
      </c>
      <c r="W118" s="162" t="str">
        <f t="shared" ca="1" si="7"/>
        <v>Issuer Name</v>
      </c>
      <c r="X118" s="162" t="str">
        <f t="shared" ca="1" si="7"/>
        <v>Name</v>
      </c>
    </row>
    <row r="119" spans="3:27" hidden="1" outlineLevel="1"/>
    <row r="120" spans="3:27" hidden="1" outlineLevel="1">
      <c r="C120" s="363" t="str">
        <f ca="1">IF(BBswitch=1,IF(_xll.BQL.Query("get(Name)for(filter(loans('"&amp;$D$3&amp;" equity'),issue_date&gt;" &amp; TEXT($W$3,"yyyy-mm-dd") &amp; "))")="#N/A N/A","No new issued notes",_xll.BQL.Query("get(Name)for(filter(loans('"&amp;$D$3&amp;" equity'),issue_date&gt;" &amp; TEXT($W$3,"yyyy-mm-dd") &amp; "))")),C120)</f>
        <v>#N/A N/A: Request returned no results.</v>
      </c>
      <c r="D120" s="162" t="str">
        <f ca="1">+IF($C120="No new issued loans","",D$75)</f>
        <v>Name</v>
      </c>
      <c r="E120" s="162" t="str">
        <f t="shared" ref="E120:X120" ca="1" si="8">+IF($C120="No new issued loans","",E$75)</f>
        <v>Rating</v>
      </c>
      <c r="F120" s="162" t="str">
        <f t="shared" ca="1" si="8"/>
        <v>Outs.(mm)</v>
      </c>
      <c r="G120" s="162" t="str">
        <f t="shared" ca="1" si="8"/>
        <v>Coupon</v>
      </c>
      <c r="H120" s="162" t="str">
        <f t="shared" ca="1" si="8"/>
        <v>Price</v>
      </c>
      <c r="I120" s="162" t="str">
        <f t="shared" ca="1" si="8"/>
        <v>CY</v>
      </c>
      <c r="J120" s="162" t="str">
        <f t="shared" ca="1" si="8"/>
        <v>YTW</v>
      </c>
      <c r="K120" s="162" t="str">
        <f t="shared" ca="1" si="8"/>
        <v>Maturity</v>
      </c>
      <c r="L120" s="162" t="str">
        <f t="shared" ca="1" si="8"/>
        <v>Year</v>
      </c>
      <c r="M120" s="162" t="str">
        <f t="shared" ca="1" si="8"/>
        <v>Issue Date.</v>
      </c>
      <c r="N120" s="162" t="str">
        <f t="shared" ca="1" si="8"/>
        <v>Debt type</v>
      </c>
      <c r="O120" s="162" t="str">
        <f t="shared" ca="1" si="8"/>
        <v>Tranche</v>
      </c>
      <c r="P120" s="162" t="str">
        <f t="shared" ca="1" si="8"/>
        <v>Fx. rate</v>
      </c>
      <c r="Q120" s="162" t="str">
        <f t="shared" ca="1" si="8"/>
        <v>Currency</v>
      </c>
      <c r="R120" s="162" t="str">
        <f t="shared" ca="1" si="8"/>
        <v>Spread Duration</v>
      </c>
      <c r="S120" s="162" t="str">
        <f t="shared" ca="1" si="8"/>
        <v>OAS</v>
      </c>
      <c r="T120" s="162" t="str">
        <f t="shared" ca="1" si="8"/>
        <v>ST3</v>
      </c>
      <c r="U120" s="162" t="str">
        <f t="shared" ca="1" si="8"/>
        <v>OAD</v>
      </c>
      <c r="V120" s="162" t="str">
        <f t="shared" ca="1" si="8"/>
        <v>Payment Rank</v>
      </c>
      <c r="W120" s="162" t="str">
        <f t="shared" ca="1" si="8"/>
        <v>Issuer Name</v>
      </c>
      <c r="X120" s="162" t="str">
        <f t="shared" ca="1" si="8"/>
        <v>Name</v>
      </c>
    </row>
    <row r="121" spans="3:27" hidden="1" outlineLevel="1"/>
    <row r="122" spans="3:27" hidden="1" outlineLevel="1">
      <c r="C122" s="6" t="s">
        <v>1589</v>
      </c>
      <c r="D122" s="343" t="str">
        <f ca="1">IF(BBswitch=1,IF(ISBLANK($C122),"",IF(_xll.BDP($C122,D$73)="#N/A N/A","NA ",_xll.BDP($C122,D$73))),D122)</f>
        <v>DAL 2.5 28</v>
      </c>
      <c r="E122" s="344" t="str">
        <f ca="1">IF(BBswitch=1,IF(ISBLANK($C122),"",IF(_xll.BDP($C122,E$73)="#N/A N/A","NA ",_xll.BDP($C122,E$73))),E122)</f>
        <v xml:space="preserve">NA </v>
      </c>
      <c r="F122" s="354">
        <f ca="1">IF(BBswitch=1,IF(ISBLANK($C122),"",IF(_xll.BDP($C122,F$72)="#N/A N/A","NA ",_xll.BDP($C122,F$72)/10^6)/P122),F122)</f>
        <v>167.22040756000004</v>
      </c>
      <c r="G122" s="355">
        <f ca="1">IF(BBswitch=1,IF(ISBLANK($C122),"",IF(_xll.BDP($C122,G$72)="#N/A N/A","NA ",_xll.BDP($C122,G$72)/100)),G122)</f>
        <v>2.5000000000000001E-2</v>
      </c>
      <c r="H122" s="355">
        <f ca="1">IF(BBswitch=1,IF(ISBLANK($C122),"",IF(_xll.BDP($C122,H$72)="#N/A N/A","NA ",_xll.BDP($C122,H$72)/100)),H122)</f>
        <v>0.88777000000000006</v>
      </c>
      <c r="I122" s="355">
        <f ca="1">IF(BBswitch=1,IF(ISBLANK($C122),"",IF(_xll.BDP($C122,I$72)="#N/A N/A","NA ",_xll.BDP($C122,I$72)/100)),I122)</f>
        <v>2.8244438670025872E-2</v>
      </c>
      <c r="J122" s="355">
        <f ca="1">IF(BBswitch=1,IF(ISBLANK($C122),"",IF(_xll.BDP($C122,J$72)="#N/A N/A","NA ",_xll.BDP($C122,J$72)/100)),J122)</f>
        <v>5.8313399003919054E-2</v>
      </c>
      <c r="K122" s="345" t="str">
        <f ca="1">IF(BBswitch=1,IF(ISBLANK($C122),"",IF(_xll.BDP($C122,K$72)="#N/A N/A","NA ",_xll.BDP($C122,K$72))),K122)</f>
        <v>6/10/2028</v>
      </c>
      <c r="L122" s="346">
        <f t="shared" ref="L122:L130" ca="1" si="9">IF(ISBLANK($C122),"",YEAR(K122))</f>
        <v>2028</v>
      </c>
      <c r="M122" s="345" t="str">
        <f ca="1">IF(BBswitch=1,IF(ISBLANK($C122),"",IF(_xll.BDP($C122,M$72)="#N/A N/A","NA ",_xll.BDP($C122,M$72))),M122)</f>
        <v>3/12/2020</v>
      </c>
      <c r="N122" s="347" t="str" cm="1">
        <f t="array" aca="1" ref="N122" ca="1">IF(BBswitch=1,IF(ISBLANK($C122),"",IF(_xll.BDP($C122,N$72)="#N/A Field Not Applicable","Notes",_xll.BDP($C122,N$72))),N122)</f>
        <v>Notes</v>
      </c>
      <c r="O122" s="348" cm="1">
        <f t="array" aca="1" ref="O122" ca="1">IF(BBswitch=1,IF(ISBLANK($C122),"",IFERROR(IF(_xll.BDP($C122,O$72)="#N/A N/A","NA ",_xll.BDP($C122,O$72)/10^6),0)/P122),O122)</f>
        <v>0</v>
      </c>
      <c r="P122" s="349" cm="1">
        <f t="array" aca="1" ref="P122" ca="1">+IF(BBswitch=1,IF(ISBLANK($C122),"",IF(_xll.BDP("USD"&amp;Q122&amp;" BGN Curncy","px last")="#N/A Invalid Security",1,_xll.BDP("USD"&amp;Q122&amp;" BGN Curncy","px last"))),P122)</f>
        <v>1</v>
      </c>
      <c r="Q122" s="350" t="str">
        <f ca="1">IF(BBswitch=1,IF(ISBLANK($C122),"",IF(_xll.BDP($C122,Q$72)="#N/A N/A","NA ",_xll.BDP($C122,Q$72))),Q122)</f>
        <v>USD</v>
      </c>
      <c r="R122" s="351" t="str" cm="1">
        <f t="array" aca="1" ref="R122" ca="1">IF(BBswitch=1,IF(ISBLANK($C122),"",IF(OR(_xll.BDP($C122,R$72)="#N/A Field Not Applicable",_xll.BDP($C122,R$72)="#N/A N/A"),"",_xll.BDP($C122,R$72))),R122)</f>
        <v/>
      </c>
      <c r="S122" s="351" cm="1">
        <f t="array" aca="1" ref="S122" ca="1">IF(BBswitch=1,IF(ISBLANK($C122),"",IF(OR(_xll.BDP($C122,S$72)="#N/A Field Not Applicable",_xll.BDP($C122,S$72)="#N/A N/A"),"",_xll.BDP($C122,S$72))),S122)</f>
        <v>260.40614493238695</v>
      </c>
      <c r="T122" s="351" t="str" cm="1">
        <f t="array" aca="1" ref="T122" ca="1">IF(BBswitch=1,IF(ISBLANK($C122),"",IF(OR(_xll.BDP($C122,T$72)="#N/A Field Not Applicable",_xll.BDP($C122,T$72)="#N/A N/A"),"",_xll.BDP($C122,T$72))),T122)</f>
        <v/>
      </c>
      <c r="U122" s="351" cm="1">
        <f t="array" aca="1" ref="U122" ca="1">IF(BBswitch=1,IF(ISBLANK($C122),"",IF(OR(_xll.BDP($C122,U$72)="#N/A Field Not Applicable",_xll.BDP($C122,U$72)="#N/A N/A"),"",_xll.BDP($C122,U$72))),U122)</f>
        <v>3.5684787842505759</v>
      </c>
      <c r="V122" s="352" t="str">
        <f ca="1">IF(BBswitch=1,IF(ISBLANK($C122),"",IF(_xll.BDP($C122,V$72)="#N/A N/A","NA ",_xll.BDP($C122,V$72))),V122)</f>
        <v>2nd lien</v>
      </c>
      <c r="W122" s="353" t="str" cm="1">
        <f t="array" aca="1" ref="W122" ca="1">IF(BBswitch=1,IF(ISBLANK($C122),"",IF(_xll.BDP($C122,W$72)="#N/A N/A","NA ",_xll.BDP($C122,W$72))),W122)</f>
        <v>Delta Air Lines 2020-1 Class A Pass Through Trust</v>
      </c>
      <c r="X122" s="343" t="str">
        <f ca="1">IF(BBswitch=1,IF(ISBLANK($C122),"",IF(_xll.BDP($C122,X$73)="#N/A N/A","NA ",_xll.BDP($C122,X$73))),X122)</f>
        <v>DAL 2.5 28</v>
      </c>
    </row>
    <row r="123" spans="3:27" hidden="1" outlineLevel="1">
      <c r="C123" s="6" t="s">
        <v>1590</v>
      </c>
      <c r="D123" s="343" t="str">
        <f ca="1">IF(BBswitch=1,IF(ISBLANK($C123),"",IF(_xll.BDP($C123,D$73)="#N/A N/A","NA ",_xll.BDP($C123,D$73))),D123)</f>
        <v>DAL 3.75 29</v>
      </c>
      <c r="E123" s="344" t="str">
        <f ca="1">IF(BBswitch=1,IF(ISBLANK($C123),"",IF(_xll.BDP($C123,E$73)="#N/A N/A","NA ",_xll.BDP($C123,E$73))),E123)</f>
        <v>BB</v>
      </c>
      <c r="F123" s="354">
        <f ca="1">IF(BBswitch=1,IF(ISBLANK($C123),"",IF(_xll.BDP($C123,F$72)="#N/A N/A","NA ",_xll.BDP($C123,F$72)/10^6)/P123),F123)</f>
        <v>600</v>
      </c>
      <c r="G123" s="355">
        <f ca="1">IF(BBswitch=1,IF(ISBLANK($C123),"",IF(_xll.BDP($C123,G$72)="#N/A N/A","NA ",_xll.BDP($C123,G$72)/100)),G123)</f>
        <v>3.7499999999999999E-2</v>
      </c>
      <c r="H123" s="355">
        <f ca="1">IF(BBswitch=1,IF(ISBLANK($C123),"",IF(_xll.BDP($C123,H$72)="#N/A N/A","NA ",_xll.BDP($C123,H$72)/100)),H123)</f>
        <v>0.84834999999999994</v>
      </c>
      <c r="I123" s="355">
        <f ca="1">IF(BBswitch=1,IF(ISBLANK($C123),"",IF(_xll.BDP($C123,I$72)="#N/A N/A","NA ",_xll.BDP($C123,I$72)/100)),I123)</f>
        <v>4.4308433962710024E-2</v>
      </c>
      <c r="J123" s="355">
        <f ca="1">IF(BBswitch=1,IF(ISBLANK($C123),"",IF(_xll.BDP($C123,J$72)="#N/A N/A","NA ",_xll.BDP($C123,J$72)/100)),J123)</f>
        <v>6.428745170351173E-2</v>
      </c>
      <c r="K123" s="345" t="str">
        <f ca="1">IF(BBswitch=1,IF(ISBLANK($C123),"",IF(_xll.BDP($C123,K$72)="#N/A N/A","NA ",_xll.BDP($C123,K$72))),K123)</f>
        <v>10/28/2029</v>
      </c>
      <c r="L123" s="346" t="e">
        <f t="shared" ca="1" si="9"/>
        <v>#VALUE!</v>
      </c>
      <c r="M123" s="345" t="str">
        <f ca="1">IF(BBswitch=1,IF(ISBLANK($C123),"",IF(_xll.BDP($C123,M$72)="#N/A N/A","NA ",_xll.BDP($C123,M$72))),M123)</f>
        <v>10/28/2019</v>
      </c>
      <c r="N123" s="347" t="str" cm="1">
        <f t="array" aca="1" ref="N123" ca="1">IF(BBswitch=1,IF(ISBLANK($C123),"",IF(_xll.BDP($C123,N$72)="#N/A Field Not Applicable","Notes",_xll.BDP($C123,N$72))),N123)</f>
        <v>Notes</v>
      </c>
      <c r="O123" s="348" cm="1">
        <f t="array" aca="1" ref="O123" ca="1">IF(BBswitch=1,IF(ISBLANK($C123),"",IFERROR(IF(_xll.BDP($C123,O$72)="#N/A N/A","NA ",_xll.BDP($C123,O$72)/10^6),0)/P123),O123)</f>
        <v>0</v>
      </c>
      <c r="P123" s="349" cm="1">
        <f t="array" aca="1" ref="P123" ca="1">+IF(BBswitch=1,IF(ISBLANK($C123),"",IF(_xll.BDP("USD"&amp;Q123&amp;" BGN Curncy","px last")="#N/A Invalid Security",1,_xll.BDP("USD"&amp;Q123&amp;" BGN Curncy","px last"))),P123)</f>
        <v>1</v>
      </c>
      <c r="Q123" s="350" t="str">
        <f ca="1">IF(BBswitch=1,IF(ISBLANK($C123),"",IF(_xll.BDP($C123,Q$72)="#N/A N/A","NA ",_xll.BDP($C123,Q$72))),Q123)</f>
        <v>USD</v>
      </c>
      <c r="R123" s="351" t="str" cm="1">
        <f t="array" aca="1" ref="R123" ca="1">IF(BBswitch=1,IF(ISBLANK($C123),"",IF(OR(_xll.BDP($C123,R$72)="#N/A Field Not Applicable",_xll.BDP($C123,R$72)="#N/A N/A"),"",_xll.BDP($C123,R$72))),R123)</f>
        <v/>
      </c>
      <c r="S123" s="351" cm="1">
        <f t="array" aca="1" ref="S123" ca="1">IF(BBswitch=1,IF(ISBLANK($C123),"",IF(OR(_xll.BDP($C123,S$72)="#N/A Field Not Applicable",_xll.BDP($C123,S$72)="#N/A N/A"),"",_xll.BDP($C123,S$72))),S123)</f>
        <v>328.63711161734295</v>
      </c>
      <c r="T123" s="351" t="str" cm="1">
        <f t="array" aca="1" ref="T123" ca="1">IF(BBswitch=1,IF(ISBLANK($C123),"",IF(OR(_xll.BDP($C123,T$72)="#N/A Field Not Applicable",_xll.BDP($C123,T$72)="#N/A N/A"),"",_xll.BDP($C123,T$72))),T123)</f>
        <v/>
      </c>
      <c r="U123" s="351" cm="1">
        <f t="array" aca="1" ref="U123" ca="1">IF(BBswitch=1,IF(ISBLANK($C123),"",IF(OR(_xll.BDP($C123,U$72)="#N/A Field Not Applicable",_xll.BDP($C123,U$72)="#N/A N/A"),"",_xll.BDP($C123,U$72))),U123)</f>
        <v>6.0761634113877419</v>
      </c>
      <c r="V123" s="352" t="str">
        <f ca="1">IF(BBswitch=1,IF(ISBLANK($C123),"",IF(_xll.BDP($C123,V$72)="#N/A N/A","NA ",_xll.BDP($C123,V$72))),V123)</f>
        <v>Sr Unsecured</v>
      </c>
      <c r="W123" s="353" t="str" cm="1">
        <f t="array" aca="1" ref="W123" ca="1">IF(BBswitch=1,IF(ISBLANK($C123),"",IF(_xll.BDP($C123,W$72)="#N/A N/A","NA ",_xll.BDP($C123,W$72))),W123)</f>
        <v>Delta Air Lines Inc</v>
      </c>
      <c r="X123" s="343" t="str">
        <f ca="1">IF(BBswitch=1,IF(ISBLANK($C123),"",IF(_xll.BDP($C123,X$73)="#N/A N/A","NA ",_xll.BDP($C123,X$73))),X123)</f>
        <v>DAL 3.75 29</v>
      </c>
    </row>
    <row r="124" spans="3:27" hidden="1" outlineLevel="1">
      <c r="C124" s="6" t="s">
        <v>1591</v>
      </c>
      <c r="D124" s="343" t="str">
        <f ca="1">IF(BBswitch=1,IF(ISBLANK($C124),"",IF(_xll.BDP($C124,D$73)="#N/A N/A","NA ",_xll.BDP($C124,D$73))),D124)</f>
        <v>DAL 4.75 28</v>
      </c>
      <c r="E124" s="344" t="str">
        <f ca="1">IF(BBswitch=1,IF(ISBLANK($C124),"",IF(_xll.BDP($C124,E$73)="#N/A N/A","NA ",_xll.BDP($C124,E$73))),E124)</f>
        <v xml:space="preserve">NA </v>
      </c>
      <c r="F124" s="354">
        <f ca="1">IF(BBswitch=1,IF(ISBLANK($C124),"",IF(_xll.BDP($C124,F$72)="#N/A N/A","NA ",_xll.BDP($C124,F$72)/10^6)/P124),F124)</f>
        <v>3500</v>
      </c>
      <c r="G124" s="355">
        <f ca="1">IF(BBswitch=1,IF(ISBLANK($C124),"",IF(_xll.BDP($C124,G$72)="#N/A N/A","NA ",_xll.BDP($C124,G$72)/100)),G124)</f>
        <v>4.7500000000000001E-2</v>
      </c>
      <c r="H124" s="355">
        <f ca="1">IF(BBswitch=1,IF(ISBLANK($C124),"",IF(_xll.BDP($C124,H$72)="#N/A N/A","NA ",_xll.BDP($C124,H$72)/100)),H124)</f>
        <v>0.96212000000000009</v>
      </c>
      <c r="I124" s="355">
        <f ca="1">IF(BBswitch=1,IF(ISBLANK($C124),"",IF(_xll.BDP($C124,I$72)="#N/A N/A","NA ",_xll.BDP($C124,I$72)/100)),I124)</f>
        <v>4.9426650850138393E-2</v>
      </c>
      <c r="J124" s="355">
        <f ca="1">IF(BBswitch=1,IF(ISBLANK($C124),"",IF(_xll.BDP($C124,J$72)="#N/A N/A","NA ",_xll.BDP($C124,J$72)/100)),J124)</f>
        <v>5.6752544339836015E-2</v>
      </c>
      <c r="K124" s="345" t="str">
        <f ca="1">IF(BBswitch=1,IF(ISBLANK($C124),"",IF(_xll.BDP($C124,K$72)="#N/A N/A","NA ",_xll.BDP($C124,K$72))),K124)</f>
        <v>10/20/2028</v>
      </c>
      <c r="L124" s="346" t="e">
        <f t="shared" ca="1" si="9"/>
        <v>#VALUE!</v>
      </c>
      <c r="M124" s="345" t="str">
        <f ca="1">IF(BBswitch=1,IF(ISBLANK($C124),"",IF(_xll.BDP($C124,M$72)="#N/A N/A","NA ",_xll.BDP($C124,M$72))),M124)</f>
        <v>9/23/2020</v>
      </c>
      <c r="N124" s="347" t="str" cm="1">
        <f t="array" aca="1" ref="N124" ca="1">IF(BBswitch=1,IF(ISBLANK($C124),"",IF(_xll.BDP($C124,N$72)="#N/A Field Not Applicable","Notes",_xll.BDP($C124,N$72))),N124)</f>
        <v>Notes</v>
      </c>
      <c r="O124" s="348" cm="1">
        <f t="array" aca="1" ref="O124" ca="1">IF(BBswitch=1,IF(ISBLANK($C124),"",IFERROR(IF(_xll.BDP($C124,O$72)="#N/A N/A","NA ",_xll.BDP($C124,O$72)/10^6),0)/P124),O124)</f>
        <v>0</v>
      </c>
      <c r="P124" s="349" cm="1">
        <f t="array" aca="1" ref="P124" ca="1">+IF(BBswitch=1,IF(ISBLANK($C124),"",IF(_xll.BDP("USD"&amp;Q124&amp;" BGN Curncy","px last")="#N/A Invalid Security",1,_xll.BDP("USD"&amp;Q124&amp;" BGN Curncy","px last"))),P124)</f>
        <v>1</v>
      </c>
      <c r="Q124" s="350" t="str">
        <f ca="1">IF(BBswitch=1,IF(ISBLANK($C124),"",IF(_xll.BDP($C124,Q$72)="#N/A N/A","NA ",_xll.BDP($C124,Q$72))),Q124)</f>
        <v>USD</v>
      </c>
      <c r="R124" s="351" t="str" cm="1">
        <f t="array" aca="1" ref="R124" ca="1">IF(BBswitch=1,IF(ISBLANK($C124),"",IF(OR(_xll.BDP($C124,R$72)="#N/A Field Not Applicable",_xll.BDP($C124,R$72)="#N/A N/A"),"",_xll.BDP($C124,R$72))),R124)</f>
        <v/>
      </c>
      <c r="S124" s="351" cm="1">
        <f t="array" aca="1" ref="S124" ca="1">IF(BBswitch=1,IF(ISBLANK($C124),"",IF(OR(_xll.BDP($C124,S$72)="#N/A Field Not Applicable",_xll.BDP($C124,S$72)="#N/A N/A"),"",_xll.BDP($C124,S$72))),S124)</f>
        <v>252.72494271953599</v>
      </c>
      <c r="T124" s="351" t="str" cm="1">
        <f t="array" aca="1" ref="T124" ca="1">IF(BBswitch=1,IF(ISBLANK($C124),"",IF(OR(_xll.BDP($C124,T$72)="#N/A Field Not Applicable",_xll.BDP($C124,T$72)="#N/A N/A"),"",_xll.BDP($C124,T$72))),T124)</f>
        <v/>
      </c>
      <c r="U124" s="351" cm="1">
        <f t="array" aca="1" ref="U124" ca="1">IF(BBswitch=1,IF(ISBLANK($C124),"",IF(OR(_xll.BDP($C124,U$72)="#N/A Field Not Applicable",_xll.BDP($C124,U$72)="#N/A N/A"),"",_xll.BDP($C124,U$72))),U124)</f>
        <v>4.2242649907203695</v>
      </c>
      <c r="V124" s="352" t="str">
        <f ca="1">IF(BBswitch=1,IF(ISBLANK($C124),"",IF(_xll.BDP($C124,V$72)="#N/A N/A","NA ",_xll.BDP($C124,V$72))),V124)</f>
        <v>1st lien</v>
      </c>
      <c r="W124" s="353" t="str" cm="1">
        <f t="array" aca="1" ref="W124" ca="1">IF(BBswitch=1,IF(ISBLANK($C124),"",IF(_xll.BDP($C124,W$72)="#N/A N/A","NA ",_xll.BDP($C124,W$72))),W124)</f>
        <v>Delta Air Lines Inc / SkyMiles IP Ltd</v>
      </c>
      <c r="X124" s="343" t="str">
        <f ca="1">IF(BBswitch=1,IF(ISBLANK($C124),"",IF(_xll.BDP($C124,X$73)="#N/A N/A","NA ",_xll.BDP($C124,X$73))),X124)</f>
        <v>DAL 4.75 28</v>
      </c>
    </row>
    <row r="125" spans="3:27" hidden="1" outlineLevel="1">
      <c r="C125" s="6" t="s">
        <v>1592</v>
      </c>
      <c r="D125" s="343" t="str">
        <f ca="1">IF(BBswitch=1,IF(ISBLANK($C125),"",IF(_xll.BDP($C125,D$73)="#N/A N/A","NA ",_xll.BDP($C125,D$73))),D125)</f>
        <v>DAL 4.375 28</v>
      </c>
      <c r="E125" s="344" t="str">
        <f ca="1">IF(BBswitch=1,IF(ISBLANK($C125),"",IF(_xll.BDP($C125,E$73)="#N/A N/A","NA ",_xll.BDP($C125,E$73))),E125)</f>
        <v>BB</v>
      </c>
      <c r="F125" s="354">
        <f ca="1">IF(BBswitch=1,IF(ISBLANK($C125),"",IF(_xll.BDP($C125,F$72)="#N/A N/A","NA ",_xll.BDP($C125,F$72)/10^6)/P125),F125)</f>
        <v>500</v>
      </c>
      <c r="G125" s="355">
        <f ca="1">IF(BBswitch=1,IF(ISBLANK($C125),"",IF(_xll.BDP($C125,G$72)="#N/A N/A","NA ",_xll.BDP($C125,G$72)/100)),G125)</f>
        <v>4.3749999999999997E-2</v>
      </c>
      <c r="H125" s="355">
        <f ca="1">IF(BBswitch=1,IF(ISBLANK($C125),"",IF(_xll.BDP($C125,H$72)="#N/A N/A","NA ",_xll.BDP($C125,H$72)/100)),H125)</f>
        <v>0.90278000000000003</v>
      </c>
      <c r="I125" s="355">
        <f ca="1">IF(BBswitch=1,IF(ISBLANK($C125),"",IF(_xll.BDP($C125,I$72)="#N/A N/A","NA ",_xll.BDP($C125,I$72)/100)),I125)</f>
        <v>4.8594373049283018E-2</v>
      </c>
      <c r="J125" s="355">
        <f ca="1">IF(BBswitch=1,IF(ISBLANK($C125),"",IF(_xll.BDP($C125,J$72)="#N/A N/A","NA ",_xll.BDP($C125,J$72)/100)),J125)</f>
        <v>6.4800589242737724E-2</v>
      </c>
      <c r="K125" s="345" t="str">
        <f ca="1">IF(BBswitch=1,IF(ISBLANK($C125),"",IF(_xll.BDP($C125,K$72)="#N/A N/A","NA ",_xll.BDP($C125,K$72))),K125)</f>
        <v>4/19/2028</v>
      </c>
      <c r="L125" s="346" t="e">
        <f t="shared" ca="1" si="9"/>
        <v>#VALUE!</v>
      </c>
      <c r="M125" s="345" t="str">
        <f ca="1">IF(BBswitch=1,IF(ISBLANK($C125),"",IF(_xll.BDP($C125,M$72)="#N/A N/A","NA ",_xll.BDP($C125,M$72))),M125)</f>
        <v>4/19/2018</v>
      </c>
      <c r="N125" s="347" t="str" cm="1">
        <f t="array" aca="1" ref="N125" ca="1">IF(BBswitch=1,IF(ISBLANK($C125),"",IF(_xll.BDP($C125,N$72)="#N/A Field Not Applicable","Notes",_xll.BDP($C125,N$72))),N125)</f>
        <v>Notes</v>
      </c>
      <c r="O125" s="348" cm="1">
        <f t="array" aca="1" ref="O125" ca="1">IF(BBswitch=1,IF(ISBLANK($C125),"",IFERROR(IF(_xll.BDP($C125,O$72)="#N/A N/A","NA ",_xll.BDP($C125,O$72)/10^6),0)/P125),O125)</f>
        <v>0</v>
      </c>
      <c r="P125" s="349" cm="1">
        <f t="array" aca="1" ref="P125" ca="1">+IF(BBswitch=1,IF(ISBLANK($C125),"",IF(_xll.BDP("USD"&amp;Q125&amp;" BGN Curncy","px last")="#N/A Invalid Security",1,_xll.BDP("USD"&amp;Q125&amp;" BGN Curncy","px last"))),P125)</f>
        <v>1</v>
      </c>
      <c r="Q125" s="350" t="str">
        <f ca="1">IF(BBswitch=1,IF(ISBLANK($C125),"",IF(_xll.BDP($C125,Q$72)="#N/A N/A","NA ",_xll.BDP($C125,Q$72))),Q125)</f>
        <v>USD</v>
      </c>
      <c r="R125" s="351" t="str" cm="1">
        <f t="array" aca="1" ref="R125" ca="1">IF(BBswitch=1,IF(ISBLANK($C125),"",IF(OR(_xll.BDP($C125,R$72)="#N/A Field Not Applicable",_xll.BDP($C125,R$72)="#N/A N/A"),"",_xll.BDP($C125,R$72))),R125)</f>
        <v/>
      </c>
      <c r="S125" s="351" cm="1">
        <f t="array" aca="1" ref="S125" ca="1">IF(BBswitch=1,IF(ISBLANK($C125),"",IF(OR(_xll.BDP($C125,S$72)="#N/A Field Not Applicable",_xll.BDP($C125,S$72)="#N/A N/A"),"",_xll.BDP($C125,S$72))),S125)</f>
        <v>329.95768845441859</v>
      </c>
      <c r="T125" s="351" t="str" cm="1">
        <f t="array" aca="1" ref="T125" ca="1">IF(BBswitch=1,IF(ISBLANK($C125),"",IF(OR(_xll.BDP($C125,T$72)="#N/A Field Not Applicable",_xll.BDP($C125,T$72)="#N/A N/A"),"",_xll.BDP($C125,T$72))),T125)</f>
        <v/>
      </c>
      <c r="U125" s="351" cm="1">
        <f t="array" aca="1" ref="U125" ca="1">IF(BBswitch=1,IF(ISBLANK($C125),"",IF(OR(_xll.BDP($C125,U$72)="#N/A Field Not Applicable",_xll.BDP($C125,U$72)="#N/A N/A"),"",_xll.BDP($C125,U$72))),U125)</f>
        <v>4.8736636195508414</v>
      </c>
      <c r="V125" s="352" t="str">
        <f ca="1">IF(BBswitch=1,IF(ISBLANK($C125),"",IF(_xll.BDP($C125,V$72)="#N/A N/A","NA ",_xll.BDP($C125,V$72))),V125)</f>
        <v>Sr Unsecured</v>
      </c>
      <c r="W125" s="353" t="str" cm="1">
        <f t="array" aca="1" ref="W125" ca="1">IF(BBswitch=1,IF(ISBLANK($C125),"",IF(_xll.BDP($C125,W$72)="#N/A N/A","NA ",_xll.BDP($C125,W$72))),W125)</f>
        <v>Delta Air Lines Inc</v>
      </c>
      <c r="X125" s="343" t="str">
        <f ca="1">IF(BBswitch=1,IF(ISBLANK($C125),"",IF(_xll.BDP($C125,X$73)="#N/A N/A","NA ",_xll.BDP($C125,X$73))),X125)</f>
        <v>DAL 4.375 28</v>
      </c>
    </row>
    <row r="126" spans="3:27" hidden="1" outlineLevel="1">
      <c r="C126" s="6" t="s">
        <v>1593</v>
      </c>
      <c r="D126" s="343" t="str">
        <f ca="1">IF(BBswitch=1,IF(ISBLANK($C126),"",IF(_xll.BDP($C126,D$73)="#N/A N/A","NA ",_xll.BDP($C126,D$73))),D126)</f>
        <v>DAL 7.375 26</v>
      </c>
      <c r="E126" s="344" t="str">
        <f ca="1">IF(BBswitch=1,IF(ISBLANK($C126),"",IF(_xll.BDP($C126,E$73)="#N/A N/A","NA ",_xll.BDP($C126,E$73))),E126)</f>
        <v>BB</v>
      </c>
      <c r="F126" s="354">
        <f ca="1">IF(BBswitch=1,IF(ISBLANK($C126),"",IF(_xll.BDP($C126,F$72)="#N/A N/A","NA ",_xll.BDP($C126,F$72)/10^6)/P126),F126)</f>
        <v>1080.508</v>
      </c>
      <c r="G126" s="355">
        <f ca="1">IF(BBswitch=1,IF(ISBLANK($C126),"",IF(_xll.BDP($C126,G$72)="#N/A N/A","NA ",_xll.BDP($C126,G$72)/100)),G126)</f>
        <v>7.3749999999999996E-2</v>
      </c>
      <c r="H126" s="355">
        <f ca="1">IF(BBswitch=1,IF(ISBLANK($C126),"",IF(_xll.BDP($C126,H$72)="#N/A N/A","NA ",_xll.BDP($C126,H$72)/100)),H126)</f>
        <v>1.0480100000000001</v>
      </c>
      <c r="I126" s="355">
        <f ca="1">IF(BBswitch=1,IF(ISBLANK($C126),"",IF(_xll.BDP($C126,I$72)="#N/A N/A","NA ",_xll.BDP($C126,I$72)/100)),I126)</f>
        <v>7.0474352113752775E-2</v>
      </c>
      <c r="J126" s="355">
        <f ca="1">IF(BBswitch=1,IF(ISBLANK($C126),"",IF(_xll.BDP($C126,J$72)="#N/A N/A","NA ",_xll.BDP($C126,J$72)/100)),J126)</f>
        <v>5.8479298699999994E-2</v>
      </c>
      <c r="K126" s="345" t="str">
        <f ca="1">IF(BBswitch=1,IF(ISBLANK($C126),"",IF(_xll.BDP($C126,K$72)="#N/A N/A","NA ",_xll.BDP($C126,K$72))),K126)</f>
        <v>1/15/2026</v>
      </c>
      <c r="L126" s="346" t="e">
        <f t="shared" ca="1" si="9"/>
        <v>#VALUE!</v>
      </c>
      <c r="M126" s="345" t="str">
        <f ca="1">IF(BBswitch=1,IF(ISBLANK($C126),"",IF(_xll.BDP($C126,M$72)="#N/A N/A","NA ",_xll.BDP($C126,M$72))),M126)</f>
        <v>6/12/2020</v>
      </c>
      <c r="N126" s="347" t="str" cm="1">
        <f t="array" aca="1" ref="N126" ca="1">IF(BBswitch=1,IF(ISBLANK($C126),"",IF(_xll.BDP($C126,N$72)="#N/A Field Not Applicable","Notes",_xll.BDP($C126,N$72))),N126)</f>
        <v>Notes</v>
      </c>
      <c r="O126" s="348" cm="1">
        <f t="array" aca="1" ref="O126" ca="1">IF(BBswitch=1,IF(ISBLANK($C126),"",IFERROR(IF(_xll.BDP($C126,O$72)="#N/A N/A","NA ",_xll.BDP($C126,O$72)/10^6),0)/P126),O126)</f>
        <v>0</v>
      </c>
      <c r="P126" s="349" cm="1">
        <f t="array" aca="1" ref="P126" ca="1">+IF(BBswitch=1,IF(ISBLANK($C126),"",IF(_xll.BDP("USD"&amp;Q126&amp;" BGN Curncy","px last")="#N/A Invalid Security",1,_xll.BDP("USD"&amp;Q126&amp;" BGN Curncy","px last"))),P126)</f>
        <v>1</v>
      </c>
      <c r="Q126" s="350" t="str">
        <f ca="1">IF(BBswitch=1,IF(ISBLANK($C126),"",IF(_xll.BDP($C126,Q$72)="#N/A N/A","NA ",_xll.BDP($C126,Q$72))),Q126)</f>
        <v>USD</v>
      </c>
      <c r="R126" s="351" t="str" cm="1">
        <f t="array" aca="1" ref="R126" ca="1">IF(BBswitch=1,IF(ISBLANK($C126),"",IF(OR(_xll.BDP($C126,R$72)="#N/A Field Not Applicable",_xll.BDP($C126,R$72)="#N/A N/A"),"",_xll.BDP($C126,R$72))),R126)</f>
        <v/>
      </c>
      <c r="S126" s="351" cm="1">
        <f t="array" aca="1" ref="S126" ca="1">IF(BBswitch=1,IF(ISBLANK($C126),"",IF(OR(_xll.BDP($C126,S$72)="#N/A Field Not Applicable",_xll.BDP($C126,S$72)="#N/A N/A"),"",_xll.BDP($C126,S$72))),S126)</f>
        <v>259.76794802054047</v>
      </c>
      <c r="T126" s="351" t="str" cm="1">
        <f t="array" aca="1" ref="T126" ca="1">IF(BBswitch=1,IF(ISBLANK($C126),"",IF(OR(_xll.BDP($C126,T$72)="#N/A Field Not Applicable",_xll.BDP($C126,T$72)="#N/A N/A"),"",_xll.BDP($C126,T$72))),T126)</f>
        <v/>
      </c>
      <c r="U126" s="351" cm="1">
        <f t="array" aca="1" ref="U126" ca="1">IF(BBswitch=1,IF(ISBLANK($C126),"",IF(OR(_xll.BDP($C126,U$72)="#N/A Field Not Applicable",_xll.BDP($C126,U$72)="#N/A N/A"),"",_xll.BDP($C126,U$72))),U126)</f>
        <v>3.0105484833652354</v>
      </c>
      <c r="V126" s="352" t="str">
        <f ca="1">IF(BBswitch=1,IF(ISBLANK($C126),"",IF(_xll.BDP($C126,V$72)="#N/A N/A","NA ",_xll.BDP($C126,V$72))),V126)</f>
        <v>Sr Unsecured</v>
      </c>
      <c r="W126" s="353" t="str" cm="1">
        <f t="array" aca="1" ref="W126" ca="1">IF(BBswitch=1,IF(ISBLANK($C126),"",IF(_xll.BDP($C126,W$72)="#N/A N/A","NA ",_xll.BDP($C126,W$72))),W126)</f>
        <v>Delta Air Lines Inc</v>
      </c>
      <c r="X126" s="343" t="str">
        <f ca="1">IF(BBswitch=1,IF(ISBLANK($C126),"",IF(_xll.BDP($C126,X$73)="#N/A N/A","NA ",_xll.BDP($C126,X$73))),X126)</f>
        <v>DAL 7.375 26</v>
      </c>
    </row>
    <row r="127" spans="3:27" hidden="1" outlineLevel="1">
      <c r="C127" s="6" t="s">
        <v>1594</v>
      </c>
      <c r="D127" s="343" t="str">
        <f ca="1">IF(BBswitch=1,IF(ISBLANK($C127),"",IF(_xll.BDP($C127,D$73)="#N/A N/A","NA ",_xll.BDP($C127,D$73))),D127)</f>
        <v>DAL 4.5 25</v>
      </c>
      <c r="E127" s="344" t="str">
        <f ca="1">IF(BBswitch=1,IF(ISBLANK($C127),"",IF(_xll.BDP($C127,E$73)="#N/A N/A","NA ",_xll.BDP($C127,E$73))),E127)</f>
        <v xml:space="preserve">NA </v>
      </c>
      <c r="F127" s="354">
        <f ca="1">IF(BBswitch=1,IF(ISBLANK($C127),"",IF(_xll.BDP($C127,F$72)="#N/A N/A","NA ",_xll.BDP($C127,F$72)/10^6)/P127),F127)</f>
        <v>2500</v>
      </c>
      <c r="G127" s="355">
        <f ca="1">IF(BBswitch=1,IF(ISBLANK($C127),"",IF(_xll.BDP($C127,G$72)="#N/A N/A","NA ",_xll.BDP($C127,G$72)/100)),G127)</f>
        <v>4.4999999999999998E-2</v>
      </c>
      <c r="H127" s="355">
        <f ca="1">IF(BBswitch=1,IF(ISBLANK($C127),"",IF(_xll.BDP($C127,H$72)="#N/A N/A","NA ",_xll.BDP($C127,H$72)/100)),H127)</f>
        <v>0.98714000000000002</v>
      </c>
      <c r="I127" s="355">
        <f ca="1">IF(BBswitch=1,IF(ISBLANK($C127),"",IF(_xll.BDP($C127,I$72)="#N/A N/A","NA ",_xll.BDP($C127,I$72)/100)),I127)</f>
        <v>4.5650056808959588E-2</v>
      </c>
      <c r="J127" s="355">
        <f ca="1">IF(BBswitch=1,IF(ISBLANK($C127),"",IF(_xll.BDP($C127,J$72)="#N/A N/A","NA ",_xll.BDP($C127,J$72)/100)),J127)</f>
        <v>5.3132717398967098E-2</v>
      </c>
      <c r="K127" s="345" t="str">
        <f ca="1">IF(BBswitch=1,IF(ISBLANK($C127),"",IF(_xll.BDP($C127,K$72)="#N/A N/A","NA ",_xll.BDP($C127,K$72))),K127)</f>
        <v>10/20/2025</v>
      </c>
      <c r="L127" s="346" t="e">
        <f t="shared" ca="1" si="9"/>
        <v>#VALUE!</v>
      </c>
      <c r="M127" s="345" t="str">
        <f ca="1">IF(BBswitch=1,IF(ISBLANK($C127),"",IF(_xll.BDP($C127,M$72)="#N/A N/A","NA ",_xll.BDP($C127,M$72))),M127)</f>
        <v>9/23/2020</v>
      </c>
      <c r="N127" s="347" t="str" cm="1">
        <f t="array" aca="1" ref="N127" ca="1">IF(BBswitch=1,IF(ISBLANK($C127),"",IF(_xll.BDP($C127,N$72)="#N/A Field Not Applicable","Notes",_xll.BDP($C127,N$72))),N127)</f>
        <v>Notes</v>
      </c>
      <c r="O127" s="348" cm="1">
        <f t="array" aca="1" ref="O127" ca="1">IF(BBswitch=1,IF(ISBLANK($C127),"",IFERROR(IF(_xll.BDP($C127,O$72)="#N/A N/A","NA ",_xll.BDP($C127,O$72)/10^6),0)/P127),O127)</f>
        <v>0</v>
      </c>
      <c r="P127" s="349" cm="1">
        <f t="array" aca="1" ref="P127" ca="1">+IF(BBswitch=1,IF(ISBLANK($C127),"",IF(_xll.BDP("USD"&amp;Q127&amp;" BGN Curncy","px last")="#N/A Invalid Security",1,_xll.BDP("USD"&amp;Q127&amp;" BGN Curncy","px last"))),P127)</f>
        <v>1</v>
      </c>
      <c r="Q127" s="350" t="str">
        <f ca="1">IF(BBswitch=1,IF(ISBLANK($C127),"",IF(_xll.BDP($C127,Q$72)="#N/A N/A","NA ",_xll.BDP($C127,Q$72))),Q127)</f>
        <v>USD</v>
      </c>
      <c r="R127" s="351" t="str" cm="1">
        <f t="array" aca="1" ref="R127" ca="1">IF(BBswitch=1,IF(ISBLANK($C127),"",IF(OR(_xll.BDP($C127,R$72)="#N/A Field Not Applicable",_xll.BDP($C127,R$72)="#N/A N/A"),"",_xll.BDP($C127,R$72))),R127)</f>
        <v/>
      </c>
      <c r="S127" s="351" cm="1">
        <f t="array" aca="1" ref="S127" ca="1">IF(BBswitch=1,IF(ISBLANK($C127),"",IF(OR(_xll.BDP($C127,S$72)="#N/A Field Not Applicable",_xll.BDP($C127,S$72)="#N/A N/A"),"",_xll.BDP($C127,S$72))),S127)</f>
        <v>208.12662819700137</v>
      </c>
      <c r="T127" s="351" t="str" cm="1">
        <f t="array" aca="1" ref="T127" ca="1">IF(BBswitch=1,IF(ISBLANK($C127),"",IF(OR(_xll.BDP($C127,T$72)="#N/A Field Not Applicable",_xll.BDP($C127,T$72)="#N/A N/A"),"",_xll.BDP($C127,T$72))),T127)</f>
        <v/>
      </c>
      <c r="U127" s="351" cm="1">
        <f t="array" aca="1" ref="U127" ca="1">IF(BBswitch=1,IF(ISBLANK($C127),"",IF(OR(_xll.BDP($C127,U$72)="#N/A Field Not Applicable",_xll.BDP($C127,U$72)="#N/A N/A"),"",_xll.BDP($C127,U$72))),U127)</f>
        <v>1.7388386715632804</v>
      </c>
      <c r="V127" s="352" t="str">
        <f ca="1">IF(BBswitch=1,IF(ISBLANK($C127),"",IF(_xll.BDP($C127,V$72)="#N/A N/A","NA ",_xll.BDP($C127,V$72))),V127)</f>
        <v>1st lien</v>
      </c>
      <c r="W127" s="353" t="str" cm="1">
        <f t="array" aca="1" ref="W127" ca="1">IF(BBswitch=1,IF(ISBLANK($C127),"",IF(_xll.BDP($C127,W$72)="#N/A N/A","NA ",_xll.BDP($C127,W$72))),W127)</f>
        <v>Delta Air Lines Inc / SkyMiles IP Ltd</v>
      </c>
      <c r="X127" s="343" t="str">
        <f ca="1">IF(BBswitch=1,IF(ISBLANK($C127),"",IF(_xll.BDP($C127,X$73)="#N/A N/A","NA ",_xll.BDP($C127,X$73))),X127)</f>
        <v>DAL 4.5 25</v>
      </c>
    </row>
    <row r="128" spans="3:27" hidden="1" outlineLevel="1">
      <c r="C128" s="6" t="s">
        <v>1595</v>
      </c>
      <c r="D128" s="343" t="str">
        <f ca="1">IF(BBswitch=1,IF(ISBLANK($C128),"",IF(_xll.BDP($C128,D$73)="#N/A N/A","NA ",_xll.BDP($C128,D$73))),D128)</f>
        <v>DAL 7 25</v>
      </c>
      <c r="E128" s="344" t="str">
        <f ca="1">IF(BBswitch=1,IF(ISBLANK($C128),"",IF(_xll.BDP($C128,E$73)="#N/A N/A","NA ",_xll.BDP($C128,E$73))),E128)</f>
        <v>BB</v>
      </c>
      <c r="F128" s="354">
        <f ca="1">IF(BBswitch=1,IF(ISBLANK($C128),"",IF(_xll.BDP($C128,F$72)="#N/A N/A","NA ",_xll.BDP($C128,F$72)/10^6)/P128),F128)</f>
        <v>2458.8245000000002</v>
      </c>
      <c r="G128" s="355">
        <f ca="1">IF(BBswitch=1,IF(ISBLANK($C128),"",IF(_xll.BDP($C128,G$72)="#N/A N/A","NA ",_xll.BDP($C128,G$72)/100)),G128)</f>
        <v>7.0000000000000007E-2</v>
      </c>
      <c r="H128" s="355">
        <f ca="1">IF(BBswitch=1,IF(ISBLANK($C128),"",IF(_xll.BDP($C128,H$72)="#N/A N/A","NA ",_xll.BDP($C128,H$72)/100)),H128)</f>
        <v>1.0343500000000001</v>
      </c>
      <c r="I128" s="355">
        <f ca="1">IF(BBswitch=1,IF(ISBLANK($C128),"",IF(_xll.BDP($C128,I$72)="#N/A N/A","NA ",_xll.BDP($C128,I$72)/100)),I128)</f>
        <v>6.7731011127237548E-2</v>
      </c>
      <c r="J128" s="355">
        <f ca="1">IF(BBswitch=1,IF(ISBLANK($C128),"",IF(_xll.BDP($C128,J$72)="#N/A N/A","NA ",_xll.BDP($C128,J$72)/100)),J128)</f>
        <v>5.673483314542558E-2</v>
      </c>
      <c r="K128" s="345" t="str">
        <f ca="1">IF(BBswitch=1,IF(ISBLANK($C128),"",IF(_xll.BDP($C128,K$72)="#N/A N/A","NA ",_xll.BDP($C128,K$72))),K128)</f>
        <v>5/1/2025</v>
      </c>
      <c r="L128" s="346">
        <f t="shared" ca="1" si="9"/>
        <v>2025</v>
      </c>
      <c r="M128" s="345" t="str">
        <f ca="1">IF(BBswitch=1,IF(ISBLANK($C128),"",IF(_xll.BDP($C128,M$72)="#N/A N/A","NA ",_xll.BDP($C128,M$72))),M128)</f>
        <v>4/29/2020</v>
      </c>
      <c r="N128" s="347" t="str" cm="1">
        <f t="array" aca="1" ref="N128" ca="1">IF(BBswitch=1,IF(ISBLANK($C128),"",IF(_xll.BDP($C128,N$72)="#N/A Field Not Applicable","Notes",_xll.BDP($C128,N$72))),N128)</f>
        <v>Notes</v>
      </c>
      <c r="O128" s="348" cm="1">
        <f t="array" aca="1" ref="O128" ca="1">IF(BBswitch=1,IF(ISBLANK($C128),"",IFERROR(IF(_xll.BDP($C128,O$72)="#N/A N/A","NA ",_xll.BDP($C128,O$72)/10^6),0)/P128),O128)</f>
        <v>0</v>
      </c>
      <c r="P128" s="349" cm="1">
        <f t="array" aca="1" ref="P128" ca="1">+IF(BBswitch=1,IF(ISBLANK($C128),"",IF(_xll.BDP("USD"&amp;Q128&amp;" BGN Curncy","px last")="#N/A Invalid Security",1,_xll.BDP("USD"&amp;Q128&amp;" BGN Curncy","px last"))),P128)</f>
        <v>1</v>
      </c>
      <c r="Q128" s="350" t="str">
        <f ca="1">IF(BBswitch=1,IF(ISBLANK($C128),"",IF(_xll.BDP($C128,Q$72)="#N/A N/A","NA ",_xll.BDP($C128,Q$72))),Q128)</f>
        <v>USD</v>
      </c>
      <c r="R128" s="351" t="str" cm="1">
        <f t="array" aca="1" ref="R128" ca="1">IF(BBswitch=1,IF(ISBLANK($C128),"",IF(OR(_xll.BDP($C128,R$72)="#N/A Field Not Applicable",_xll.BDP($C128,R$72)="#N/A N/A"),"",_xll.BDP($C128,R$72))),R128)</f>
        <v/>
      </c>
      <c r="S128" s="351" cm="1">
        <f t="array" aca="1" ref="S128" ca="1">IF(BBswitch=1,IF(ISBLANK($C128),"",IF(OR(_xll.BDP($C128,S$72)="#N/A Field Not Applicable",_xll.BDP($C128,S$72)="#N/A N/A"),"",_xll.BDP($C128,S$72))),S128)</f>
        <v>241.61259886442147</v>
      </c>
      <c r="T128" s="351" t="str" cm="1">
        <f t="array" aca="1" ref="T128" ca="1">IF(BBswitch=1,IF(ISBLANK($C128),"",IF(OR(_xll.BDP($C128,T$72)="#N/A Field Not Applicable",_xll.BDP($C128,T$72)="#N/A N/A"),"",_xll.BDP($C128,T$72))),T128)</f>
        <v/>
      </c>
      <c r="U128" s="351" cm="1">
        <f t="array" aca="1" ref="U128" ca="1">IF(BBswitch=1,IF(ISBLANK($C128),"",IF(OR(_xll.BDP($C128,U$72)="#N/A Field Not Applicable",_xll.BDP($C128,U$72)="#N/A N/A"),"",_xll.BDP($C128,U$72))),U128)</f>
        <v>2.470772148541458</v>
      </c>
      <c r="V128" s="352" t="str">
        <f ca="1">IF(BBswitch=1,IF(ISBLANK($C128),"",IF(_xll.BDP($C128,V$72)="#N/A N/A","NA ",_xll.BDP($C128,V$72))),V128)</f>
        <v>1st lien</v>
      </c>
      <c r="W128" s="353" t="str" cm="1">
        <f t="array" aca="1" ref="W128" ca="1">IF(BBswitch=1,IF(ISBLANK($C128),"",IF(_xll.BDP($C128,W$72)="#N/A N/A","NA ",_xll.BDP($C128,W$72))),W128)</f>
        <v>Delta Air Lines Inc</v>
      </c>
      <c r="X128" s="343" t="str">
        <f ca="1">IF(BBswitch=1,IF(ISBLANK($C128),"",IF(_xll.BDP($C128,X$73)="#N/A N/A","NA ",_xll.BDP($C128,X$73))),X128)</f>
        <v>DAL 7 25</v>
      </c>
    </row>
    <row r="129" spans="3:24" hidden="1" outlineLevel="1">
      <c r="C129" s="6" t="s">
        <v>1596</v>
      </c>
      <c r="D129" s="343" t="str">
        <f ca="1">IF(BBswitch=1,IF(ISBLANK($C129),"",IF(_xll.BDP($C129,D$73)="#N/A N/A","NA ",_xll.BDP($C129,D$73))),D129)</f>
        <v>DAL 2.9 24</v>
      </c>
      <c r="E129" s="344" t="str">
        <f ca="1">IF(BBswitch=1,IF(ISBLANK($C129),"",IF(_xll.BDP($C129,E$73)="#N/A N/A","NA ",_xll.BDP($C129,E$73))),E129)</f>
        <v>BB</v>
      </c>
      <c r="F129" s="354">
        <f ca="1">IF(BBswitch=1,IF(ISBLANK($C129),"",IF(_xll.BDP($C129,F$72)="#N/A N/A","NA ",_xll.BDP($C129,F$72)/10^6)/P129),F129)</f>
        <v>900</v>
      </c>
      <c r="G129" s="355">
        <f ca="1">IF(BBswitch=1,IF(ISBLANK($C129),"",IF(_xll.BDP($C129,G$72)="#N/A N/A","NA ",_xll.BDP($C129,G$72)/100)),G129)</f>
        <v>2.8999999999999998E-2</v>
      </c>
      <c r="H129" s="355">
        <f ca="1">IF(BBswitch=1,IF(ISBLANK($C129),"",IF(_xll.BDP($C129,H$72)="#N/A N/A","NA ",_xll.BDP($C129,H$72)/100)),H129)</f>
        <v>0.95438000000000001</v>
      </c>
      <c r="I129" s="355">
        <f ca="1">IF(BBswitch=1,IF(ISBLANK($C129),"",IF(_xll.BDP($C129,I$72)="#N/A N/A","NA ",_xll.BDP($C129,I$72)/100)),I129)</f>
        <v>3.042319716329913E-2</v>
      </c>
      <c r="J129" s="355">
        <f ca="1">IF(BBswitch=1,IF(ISBLANK($C129),"",IF(_xll.BDP($C129,J$72)="#N/A N/A","NA ",_xll.BDP($C129,J$72)/100)),J129)</f>
        <v>5.1097187350508423E-2</v>
      </c>
      <c r="K129" s="345" t="str">
        <f ca="1">IF(BBswitch=1,IF(ISBLANK($C129),"",IF(_xll.BDP($C129,K$72)="#N/A N/A","NA ",_xll.BDP($C129,K$72))),K129)</f>
        <v>10/28/2024</v>
      </c>
      <c r="L129" s="346" t="e">
        <f t="shared" ca="1" si="9"/>
        <v>#VALUE!</v>
      </c>
      <c r="M129" s="345" t="str">
        <f ca="1">IF(BBswitch=1,IF(ISBLANK($C129),"",IF(_xll.BDP($C129,M$72)="#N/A N/A","NA ",_xll.BDP($C129,M$72))),M129)</f>
        <v>10/28/2019</v>
      </c>
      <c r="N129" s="347" t="str" cm="1">
        <f t="array" aca="1" ref="N129" ca="1">IF(BBswitch=1,IF(ISBLANK($C129),"",IF(_xll.BDP($C129,N$72)="#N/A Field Not Applicable","Notes",_xll.BDP($C129,N$72))),N129)</f>
        <v>Notes</v>
      </c>
      <c r="O129" s="348" cm="1">
        <f t="array" aca="1" ref="O129" ca="1">IF(BBswitch=1,IF(ISBLANK($C129),"",IFERROR(IF(_xll.BDP($C129,O$72)="#N/A N/A","NA ",_xll.BDP($C129,O$72)/10^6),0)/P129),O129)</f>
        <v>0</v>
      </c>
      <c r="P129" s="349" cm="1">
        <f t="array" aca="1" ref="P129" ca="1">+IF(BBswitch=1,IF(ISBLANK($C129),"",IF(_xll.BDP("USD"&amp;Q129&amp;" BGN Curncy","px last")="#N/A Invalid Security",1,_xll.BDP("USD"&amp;Q129&amp;" BGN Curncy","px last"))),P129)</f>
        <v>1</v>
      </c>
      <c r="Q129" s="350" t="str">
        <f ca="1">IF(BBswitch=1,IF(ISBLANK($C129),"",IF(_xll.BDP($C129,Q$72)="#N/A N/A","NA ",_xll.BDP($C129,Q$72))),Q129)</f>
        <v>USD</v>
      </c>
      <c r="R129" s="351" t="str" cm="1">
        <f t="array" aca="1" ref="R129" ca="1">IF(BBswitch=1,IF(ISBLANK($C129),"",IF(OR(_xll.BDP($C129,R$72)="#N/A Field Not Applicable",_xll.BDP($C129,R$72)="#N/A N/A"),"",_xll.BDP($C129,R$72))),R129)</f>
        <v/>
      </c>
      <c r="S129" s="351" cm="1">
        <f t="array" aca="1" ref="S129" ca="1">IF(BBswitch=1,IF(ISBLANK($C129),"",IF(OR(_xll.BDP($C129,S$72)="#N/A Field Not Applicable",_xll.BDP($C129,S$72)="#N/A N/A"),"",_xll.BDP($C129,S$72))),S129)</f>
        <v>178.99172956314254</v>
      </c>
      <c r="T129" s="351" t="str" cm="1">
        <f t="array" aca="1" ref="T129" ca="1">IF(BBswitch=1,IF(ISBLANK($C129),"",IF(OR(_xll.BDP($C129,T$72)="#N/A Field Not Applicable",_xll.BDP($C129,T$72)="#N/A N/A"),"",_xll.BDP($C129,T$72))),T129)</f>
        <v/>
      </c>
      <c r="U129" s="351" cm="1">
        <f t="array" aca="1" ref="U129" ca="1">IF(BBswitch=1,IF(ISBLANK($C129),"",IF(OR(_xll.BDP($C129,U$72)="#N/A Field Not Applicable",_xll.BDP($C129,U$72)="#N/A N/A"),"",_xll.BDP($C129,U$72))),U129)</f>
        <v>2.1442443250116838</v>
      </c>
      <c r="V129" s="352" t="str">
        <f ca="1">IF(BBswitch=1,IF(ISBLANK($C129),"",IF(_xll.BDP($C129,V$72)="#N/A N/A","NA ",_xll.BDP($C129,V$72))),V129)</f>
        <v>Sr Unsecured</v>
      </c>
      <c r="W129" s="353" t="str" cm="1">
        <f t="array" aca="1" ref="W129" ca="1">IF(BBswitch=1,IF(ISBLANK($C129),"",IF(_xll.BDP($C129,W$72)="#N/A N/A","NA ",_xll.BDP($C129,W$72))),W129)</f>
        <v>Delta Air Lines Inc</v>
      </c>
      <c r="X129" s="343" t="str">
        <f ca="1">IF(BBswitch=1,IF(ISBLANK($C129),"",IF(_xll.BDP($C129,X$73)="#N/A N/A","NA ",_xll.BDP($C129,X$73))),X129)</f>
        <v>DAL 2.9 24</v>
      </c>
    </row>
    <row r="130" spans="3:24" hidden="1" outlineLevel="1">
      <c r="C130" s="6" t="s">
        <v>1597</v>
      </c>
      <c r="D130" s="343" t="str">
        <f ca="1">IF(BBswitch=1,IF(ISBLANK($C130),"",IF(_xll.BDP($C130,D$73)="#N/A N/A","NA ",_xll.BDP($C130,D$73))),D130)</f>
        <v>DAL 3.8 23</v>
      </c>
      <c r="E130" s="344" t="str">
        <f ca="1">IF(BBswitch=1,IF(ISBLANK($C130),"",IF(_xll.BDP($C130,E$73)="#N/A N/A","NA ",_xll.BDP($C130,E$73))),E130)</f>
        <v>BB</v>
      </c>
      <c r="F130" s="354">
        <f ca="1">IF(BBswitch=1,IF(ISBLANK($C130),"",IF(_xll.BDP($C130,F$72)="#N/A N/A","NA ",_xll.BDP($C130,F$72)/10^6)/P130),F130)</f>
        <v>500</v>
      </c>
      <c r="G130" s="355">
        <f ca="1">IF(BBswitch=1,IF(ISBLANK($C130),"",IF(_xll.BDP($C130,G$72)="#N/A N/A","NA ",_xll.BDP($C130,G$72)/100)),G130)</f>
        <v>3.7999999999999999E-2</v>
      </c>
      <c r="H130" s="355">
        <f ca="1">IF(BBswitch=1,IF(ISBLANK($C130),"",IF(_xll.BDP($C130,H$72)="#N/A N/A","NA ",_xll.BDP($C130,H$72)/100)),H130)</f>
        <v>0.99953000000000003</v>
      </c>
      <c r="I130" s="355">
        <f ca="1">IF(BBswitch=1,IF(ISBLANK($C130),"",IF(_xll.BDP($C130,I$72)="#N/A N/A","NA ",_xll.BDP($C130,I$72)/100)),I130)</f>
        <v>3.8051369348620641E-2</v>
      </c>
      <c r="J130" s="355">
        <f ca="1">IF(BBswitch=1,IF(ISBLANK($C130),"",IF(_xll.BDP($C130,J$72)="#N/A N/A","NA ",_xll.BDP($C130,J$72)/100)),J130)</f>
        <v>3.9800676741088351E-2</v>
      </c>
      <c r="K130" s="345" t="str">
        <f ca="1">IF(BBswitch=1,IF(ISBLANK($C130),"",IF(_xll.BDP($C130,K$72)="#N/A N/A","NA ",_xll.BDP($C130,K$72))),K130)</f>
        <v>4/19/2023</v>
      </c>
      <c r="L130" s="346" t="e">
        <f t="shared" ca="1" si="9"/>
        <v>#VALUE!</v>
      </c>
      <c r="M130" s="345" t="str">
        <f ca="1">IF(BBswitch=1,IF(ISBLANK($C130),"",IF(_xll.BDP($C130,M$72)="#N/A N/A","NA ",_xll.BDP($C130,M$72))),M130)</f>
        <v>4/19/2018</v>
      </c>
      <c r="N130" s="347" t="str" cm="1">
        <f t="array" aca="1" ref="N130" ca="1">IF(BBswitch=1,IF(ISBLANK($C130),"",IF(_xll.BDP($C130,N$72)="#N/A Field Not Applicable","Notes",_xll.BDP($C130,N$72))),N130)</f>
        <v>Notes</v>
      </c>
      <c r="O130" s="348" cm="1">
        <f t="array" aca="1" ref="O130" ca="1">IF(BBswitch=1,IF(ISBLANK($C130),"",IFERROR(IF(_xll.BDP($C130,O$72)="#N/A N/A","NA ",_xll.BDP($C130,O$72)/10^6),0)/P130),O130)</f>
        <v>0</v>
      </c>
      <c r="P130" s="349" cm="1">
        <f t="array" aca="1" ref="P130" ca="1">+IF(BBswitch=1,IF(ISBLANK($C130),"",IF(_xll.BDP("USD"&amp;Q130&amp;" BGN Curncy","px last")="#N/A Invalid Security",1,_xll.BDP("USD"&amp;Q130&amp;" BGN Curncy","px last"))),P130)</f>
        <v>1</v>
      </c>
      <c r="Q130" s="350" t="str">
        <f ca="1">IF(BBswitch=1,IF(ISBLANK($C130),"",IF(_xll.BDP($C130,Q$72)="#N/A N/A","NA ",_xll.BDP($C130,Q$72))),Q130)</f>
        <v>USD</v>
      </c>
      <c r="R130" s="351" t="str" cm="1">
        <f t="array" aca="1" ref="R130" ca="1">IF(BBswitch=1,IF(ISBLANK($C130),"",IF(OR(_xll.BDP($C130,R$72)="#N/A Field Not Applicable",_xll.BDP($C130,R$72)="#N/A N/A"),"",_xll.BDP($C130,R$72))),R130)</f>
        <v/>
      </c>
      <c r="S130" s="351" cm="1">
        <f t="array" aca="1" ref="S130" ca="1">IF(BBswitch=1,IF(ISBLANK($C130),"",IF(OR(_xll.BDP($C130,S$72)="#N/A Field Not Applicable",_xll.BDP($C130,S$72)="#N/A N/A"),"",_xll.BDP($C130,S$72))),S130)</f>
        <v>77.088358408751617</v>
      </c>
      <c r="T130" s="351" t="str" cm="1">
        <f t="array" aca="1" ref="T130" ca="1">IF(BBswitch=1,IF(ISBLANK($C130),"",IF(OR(_xll.BDP($C130,T$72)="#N/A Field Not Applicable",_xll.BDP($C130,T$72)="#N/A N/A"),"",_xll.BDP($C130,T$72))),T130)</f>
        <v/>
      </c>
      <c r="U130" s="351" cm="1">
        <f t="array" aca="1" ref="U130" ca="1">IF(BBswitch=1,IF(ISBLANK($C130),"",IF(OR(_xll.BDP($C130,U$72)="#N/A Field Not Applicable",_xll.BDP($C130,U$72)="#N/A N/A"),"",_xll.BDP($C130,U$72))),U130)</f>
        <v>0.69241886442054368</v>
      </c>
      <c r="V130" s="352" t="str">
        <f ca="1">IF(BBswitch=1,IF(ISBLANK($C130),"",IF(_xll.BDP($C130,V$72)="#N/A N/A","NA ",_xll.BDP($C130,V$72))),V130)</f>
        <v>Sr Unsecured</v>
      </c>
      <c r="W130" s="353" t="str" cm="1">
        <f t="array" aca="1" ref="W130" ca="1">IF(BBswitch=1,IF(ISBLANK($C130),"",IF(_xll.BDP($C130,W$72)="#N/A N/A","NA ",_xll.BDP($C130,W$72))),W130)</f>
        <v>Delta Air Lines Inc</v>
      </c>
      <c r="X130" s="343" t="str">
        <f ca="1">IF(BBswitch=1,IF(ISBLANK($C130),"",IF(_xll.BDP($C130,X$73)="#N/A N/A","NA ",_xll.BDP($C130,X$73))),X130)</f>
        <v>DAL 3.8 23</v>
      </c>
    </row>
    <row r="131" spans="3:24" hidden="1" outlineLevel="1"/>
    <row r="132" spans="3:24" collapsed="1"/>
  </sheetData>
  <phoneticPr fontId="107" type="noConversion"/>
  <dataValidations disablePrompts="1" count="2">
    <dataValidation type="list" allowBlank="1" showInputMessage="1" showErrorMessage="1" sqref="S3" xr:uid="{8088F26C-EFF6-41DF-8613-812764602865}">
      <formula1>$Y$7:$Y$12</formula1>
    </dataValidation>
    <dataValidation type="list" allowBlank="1" showInputMessage="1" showErrorMessage="1" sqref="S5" xr:uid="{954A5653-4C2E-4758-BDB8-D7191C40DD68}">
      <formula1>$Z$7:$Z$12</formula1>
    </dataValidation>
  </dataValidations>
  <pageMargins left="0" right="0" top="0" bottom="0" header="0" footer="0"/>
  <pageSetup scale="44" orientation="landscape" r:id="rId1"/>
  <rowBreaks count="1" manualBreakCount="1">
    <brk id="65"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B0124-5139-437F-9288-8EBB4BAEA0F9}">
  <sheetPr codeName="Sheet8">
    <tabColor theme="3"/>
  </sheetPr>
  <dimension ref="B2:AS101"/>
  <sheetViews>
    <sheetView showGridLines="0" workbookViewId="0">
      <selection activeCell="F39" sqref="F39"/>
    </sheetView>
  </sheetViews>
  <sheetFormatPr defaultColWidth="8.796875" defaultRowHeight="10.5" customHeight="1" outlineLevelCol="1"/>
  <cols>
    <col min="1" max="2" width="8.796875" style="253"/>
    <col min="3" max="6" width="12.53125" style="253" customWidth="1"/>
    <col min="7" max="7" width="8.796875" style="253"/>
    <col min="8" max="8" width="11.796875" style="253" customWidth="1"/>
    <col min="9" max="9" width="13.46484375" style="253" customWidth="1" outlineLevel="1"/>
    <col min="10" max="12" width="10.46484375" style="253" customWidth="1" outlineLevel="1"/>
    <col min="13" max="13" width="10.796875" style="253" customWidth="1" outlineLevel="1"/>
    <col min="14" max="16" width="10.46484375" style="253" customWidth="1" outlineLevel="1"/>
    <col min="17" max="17" width="10.796875" style="253" bestFit="1" customWidth="1"/>
    <col min="18" max="18" width="10.46484375" style="253" bestFit="1" customWidth="1"/>
    <col min="19" max="20" width="10.46484375" style="253" customWidth="1"/>
    <col min="21" max="22" width="11.19921875" style="253" bestFit="1" customWidth="1"/>
    <col min="23" max="24" width="8.796875" style="253"/>
    <col min="25" max="27" width="11.19921875" style="253" bestFit="1" customWidth="1"/>
    <col min="28" max="28" width="3.53125" style="253" customWidth="1"/>
    <col min="29" max="31" width="11.19921875" style="253" bestFit="1" customWidth="1"/>
    <col min="32" max="34" width="8.796875" style="253"/>
    <col min="46" max="16384" width="8.796875" style="253"/>
  </cols>
  <sheetData>
    <row r="2" spans="2:31" ht="10.5" customHeight="1">
      <c r="B2" s="404" t="s">
        <v>459</v>
      </c>
      <c r="C2" s="405" t="s">
        <v>460</v>
      </c>
      <c r="D2" s="406" t="s">
        <v>461</v>
      </c>
    </row>
    <row r="3" spans="2:31" ht="10.5" customHeight="1" thickBot="1">
      <c r="H3" s="447" t="s">
        <v>544</v>
      </c>
    </row>
    <row r="4" spans="2:31" ht="10.5" customHeight="1" thickBot="1">
      <c r="B4" s="407"/>
      <c r="C4" s="621" t="s">
        <v>462</v>
      </c>
      <c r="D4" s="460"/>
      <c r="E4" s="460"/>
      <c r="F4" s="622"/>
      <c r="H4" s="459" t="s">
        <v>543</v>
      </c>
      <c r="I4" s="621"/>
      <c r="J4" s="622"/>
      <c r="K4" s="460"/>
      <c r="L4" s="460"/>
      <c r="M4" s="460"/>
      <c r="N4" s="460"/>
      <c r="O4" s="460"/>
      <c r="P4" s="460"/>
      <c r="Q4" s="621"/>
      <c r="R4" s="622"/>
      <c r="S4" s="460"/>
      <c r="T4" s="460"/>
      <c r="U4" s="460"/>
      <c r="V4" s="622"/>
    </row>
    <row r="5" spans="2:31" ht="10.5" customHeight="1" thickBot="1">
      <c r="C5" s="448" t="s">
        <v>463</v>
      </c>
      <c r="D5" s="448" t="s">
        <v>464</v>
      </c>
      <c r="E5" s="448" t="s">
        <v>1232</v>
      </c>
      <c r="F5" s="448" t="s">
        <v>1233</v>
      </c>
      <c r="H5" s="461" t="s">
        <v>536</v>
      </c>
      <c r="I5" s="461" t="s">
        <v>357</v>
      </c>
      <c r="J5" s="462"/>
      <c r="K5" s="462"/>
      <c r="L5" s="463"/>
      <c r="M5" s="446" t="s">
        <v>537</v>
      </c>
      <c r="N5" s="446"/>
      <c r="O5" s="446"/>
      <c r="P5" s="446"/>
      <c r="Q5" s="461" t="s">
        <v>47</v>
      </c>
      <c r="R5" s="462"/>
      <c r="S5" s="462"/>
      <c r="T5" s="462"/>
      <c r="U5" s="462" t="s">
        <v>538</v>
      </c>
      <c r="V5" s="463" t="s">
        <v>538</v>
      </c>
    </row>
    <row r="6" spans="2:31" ht="10.5" customHeight="1" thickBot="1">
      <c r="C6" s="408">
        <v>42766</v>
      </c>
      <c r="D6" s="409">
        <v>1.514</v>
      </c>
      <c r="E6" s="716"/>
      <c r="F6" s="757"/>
      <c r="H6" s="448"/>
      <c r="I6" s="448" t="s">
        <v>538</v>
      </c>
      <c r="J6" s="446" t="s">
        <v>540</v>
      </c>
      <c r="K6" s="446" t="s">
        <v>580</v>
      </c>
      <c r="L6" s="449" t="s">
        <v>581</v>
      </c>
      <c r="M6" s="446" t="s">
        <v>538</v>
      </c>
      <c r="N6" s="446" t="s">
        <v>540</v>
      </c>
      <c r="O6" s="446" t="s">
        <v>580</v>
      </c>
      <c r="P6" s="446" t="s">
        <v>581</v>
      </c>
      <c r="Q6" s="448" t="s">
        <v>538</v>
      </c>
      <c r="R6" s="446" t="s">
        <v>540</v>
      </c>
      <c r="S6" s="446" t="s">
        <v>580</v>
      </c>
      <c r="T6" s="446" t="s">
        <v>581</v>
      </c>
      <c r="U6" s="446" t="s">
        <v>580</v>
      </c>
      <c r="V6" s="449" t="s">
        <v>581</v>
      </c>
      <c r="X6" s="472" t="s">
        <v>544</v>
      </c>
      <c r="Y6" s="473"/>
      <c r="Z6" s="473"/>
      <c r="AA6" s="473"/>
      <c r="AB6" s="473"/>
      <c r="AC6" s="473"/>
      <c r="AD6" s="473"/>
      <c r="AE6" s="474"/>
    </row>
    <row r="7" spans="2:31" ht="10.5" customHeight="1" thickBot="1">
      <c r="C7" s="408">
        <f t="shared" ref="C7:C38" si="0">+EOMONTH(C6,1)</f>
        <v>42794</v>
      </c>
      <c r="D7" s="409">
        <v>1.5469999999999999</v>
      </c>
      <c r="E7" s="716"/>
      <c r="F7" s="757"/>
      <c r="H7" s="458"/>
      <c r="I7" s="458" t="s">
        <v>539</v>
      </c>
      <c r="J7" s="456" t="s">
        <v>541</v>
      </c>
      <c r="K7" s="456" t="s">
        <v>465</v>
      </c>
      <c r="L7" s="457" t="s">
        <v>465</v>
      </c>
      <c r="M7" s="456" t="s">
        <v>539</v>
      </c>
      <c r="N7" s="456" t="s">
        <v>542</v>
      </c>
      <c r="O7" s="456" t="s">
        <v>465</v>
      </c>
      <c r="P7" s="456" t="s">
        <v>465</v>
      </c>
      <c r="Q7" s="458" t="s">
        <v>539</v>
      </c>
      <c r="R7" s="456" t="s">
        <v>541</v>
      </c>
      <c r="S7" s="456" t="s">
        <v>465</v>
      </c>
      <c r="T7" s="456" t="s">
        <v>465</v>
      </c>
      <c r="U7" s="456" t="s">
        <v>1428</v>
      </c>
      <c r="V7" s="457" t="s">
        <v>1428</v>
      </c>
      <c r="X7" s="431" t="s">
        <v>545</v>
      </c>
      <c r="Y7" s="464" t="s">
        <v>546</v>
      </c>
      <c r="Z7" s="431" t="s">
        <v>547</v>
      </c>
      <c r="AA7" s="432" t="s">
        <v>549</v>
      </c>
      <c r="AC7" s="431" t="s">
        <v>551</v>
      </c>
      <c r="AD7" s="431" t="s">
        <v>552</v>
      </c>
      <c r="AE7" s="432" t="s">
        <v>553</v>
      </c>
    </row>
    <row r="8" spans="2:31" ht="10.5" customHeight="1">
      <c r="C8" s="408">
        <f t="shared" si="0"/>
        <v>42825</v>
      </c>
      <c r="D8" s="409">
        <v>1.4450000000000001</v>
      </c>
      <c r="E8" s="717">
        <f>AVERAGE(D6:D8)</f>
        <v>1.502</v>
      </c>
      <c r="F8" s="758"/>
      <c r="H8" s="450">
        <v>42766</v>
      </c>
      <c r="I8" s="496">
        <v>882.4</v>
      </c>
      <c r="J8" s="387">
        <v>1.65</v>
      </c>
      <c r="K8" s="387"/>
      <c r="L8" s="445"/>
      <c r="M8" s="255">
        <v>460.9</v>
      </c>
      <c r="N8" s="387">
        <v>1.63</v>
      </c>
      <c r="O8" s="387"/>
      <c r="P8" s="387"/>
      <c r="Q8" s="509">
        <v>1343.3</v>
      </c>
      <c r="R8" s="1067">
        <v>1.64</v>
      </c>
      <c r="S8" s="387"/>
      <c r="T8" s="387"/>
      <c r="U8" s="856"/>
      <c r="V8" s="468"/>
      <c r="X8" s="454">
        <v>42766</v>
      </c>
      <c r="Y8" s="466">
        <v>91.164587999999995</v>
      </c>
      <c r="Z8" s="467"/>
      <c r="AA8" s="468"/>
      <c r="AB8" s="265"/>
      <c r="AC8" s="467">
        <v>71.876268999999994</v>
      </c>
      <c r="AD8" s="467"/>
      <c r="AE8" s="468"/>
    </row>
    <row r="9" spans="2:31" ht="10.5" customHeight="1">
      <c r="C9" s="408">
        <f t="shared" si="0"/>
        <v>42855</v>
      </c>
      <c r="D9" s="409">
        <v>1.51</v>
      </c>
      <c r="E9" s="716"/>
      <c r="F9" s="757"/>
      <c r="H9" s="450">
        <f t="shared" ref="H9:H40" si="1">EOMONTH(H8,1)</f>
        <v>42794</v>
      </c>
      <c r="I9" s="496">
        <v>804</v>
      </c>
      <c r="J9" s="387">
        <v>1.7</v>
      </c>
      <c r="K9" s="387"/>
      <c r="L9" s="445"/>
      <c r="M9" s="255">
        <v>404</v>
      </c>
      <c r="N9" s="387">
        <v>1.69</v>
      </c>
      <c r="O9" s="387"/>
      <c r="P9" s="387"/>
      <c r="Q9" s="509">
        <v>1208</v>
      </c>
      <c r="R9" s="1067">
        <v>1.7</v>
      </c>
      <c r="S9" s="387"/>
      <c r="T9" s="387"/>
      <c r="U9" s="856"/>
      <c r="V9" s="468"/>
      <c r="X9" s="454">
        <f t="shared" ref="X9:X40" si="2">EOMONTH(X8,1)</f>
        <v>42794</v>
      </c>
      <c r="Y9" s="466">
        <v>82.346802999999994</v>
      </c>
      <c r="Z9" s="467"/>
      <c r="AA9" s="468"/>
      <c r="AB9" s="265"/>
      <c r="AC9" s="467">
        <v>64.666059000000004</v>
      </c>
      <c r="AD9" s="467"/>
      <c r="AE9" s="468"/>
    </row>
    <row r="10" spans="2:31" ht="10.5" customHeight="1">
      <c r="C10" s="408">
        <f t="shared" si="0"/>
        <v>42886</v>
      </c>
      <c r="D10" s="409">
        <v>1.4119999999999999</v>
      </c>
      <c r="E10" s="716"/>
      <c r="F10" s="757"/>
      <c r="H10" s="450">
        <f t="shared" si="1"/>
        <v>42825</v>
      </c>
      <c r="I10" s="496">
        <v>965</v>
      </c>
      <c r="J10" s="387">
        <v>1.65</v>
      </c>
      <c r="K10" s="387">
        <f>AVERAGE(J8:J10)</f>
        <v>1.6666666666666667</v>
      </c>
      <c r="L10" s="445"/>
      <c r="M10" s="255">
        <v>481</v>
      </c>
      <c r="N10" s="387">
        <v>1.65</v>
      </c>
      <c r="O10" s="387">
        <f>AVERAGE(N8:N10)</f>
        <v>1.6566666666666665</v>
      </c>
      <c r="P10" s="387"/>
      <c r="Q10" s="509">
        <v>1446.1</v>
      </c>
      <c r="R10" s="1067">
        <v>1.65</v>
      </c>
      <c r="S10" s="387">
        <f>AVERAGE(R8:R10)</f>
        <v>1.6633333333333333</v>
      </c>
      <c r="T10" s="387"/>
      <c r="U10" s="856">
        <f>SUM(Q8:Q10)</f>
        <v>3997.4</v>
      </c>
      <c r="V10" s="439"/>
      <c r="X10" s="454">
        <f t="shared" si="2"/>
        <v>42825</v>
      </c>
      <c r="Y10" s="466">
        <v>97.873293000000004</v>
      </c>
      <c r="Z10" s="467">
        <f>SUM(Y8:Y10)</f>
        <v>271.38468399999999</v>
      </c>
      <c r="AA10" s="439"/>
      <c r="AB10" s="265"/>
      <c r="AC10" s="467">
        <v>81.311995999999994</v>
      </c>
      <c r="AD10" s="467">
        <f>SUM(AC8:AC10)</f>
        <v>217.85432399999999</v>
      </c>
      <c r="AE10" s="439"/>
    </row>
    <row r="11" spans="2:31" ht="10.5" customHeight="1">
      <c r="C11" s="408">
        <f t="shared" si="0"/>
        <v>42916</v>
      </c>
      <c r="D11" s="409">
        <v>1.2949999999999999</v>
      </c>
      <c r="E11" s="717">
        <f>AVERAGE(D9:D11)</f>
        <v>1.4056666666666666</v>
      </c>
      <c r="F11" s="758"/>
      <c r="H11" s="450">
        <f t="shared" si="1"/>
        <v>42855</v>
      </c>
      <c r="I11" s="496">
        <v>919.2</v>
      </c>
      <c r="J11" s="387">
        <v>1.66</v>
      </c>
      <c r="K11" s="387"/>
      <c r="L11" s="445"/>
      <c r="M11" s="255">
        <v>488.7</v>
      </c>
      <c r="N11" s="387">
        <v>1.63</v>
      </c>
      <c r="O11" s="387"/>
      <c r="P11" s="387"/>
      <c r="Q11" s="509">
        <v>1408</v>
      </c>
      <c r="R11" s="1067">
        <v>1.65</v>
      </c>
      <c r="S11" s="387"/>
      <c r="T11" s="387"/>
      <c r="U11" s="856"/>
      <c r="V11" s="439"/>
      <c r="X11" s="454">
        <f t="shared" si="2"/>
        <v>42855</v>
      </c>
      <c r="Y11" s="466">
        <v>95.842247</v>
      </c>
      <c r="Z11" s="467"/>
      <c r="AA11" s="439"/>
      <c r="AB11" s="265"/>
      <c r="AC11" s="467">
        <v>79.935851999999997</v>
      </c>
      <c r="AD11" s="467"/>
      <c r="AE11" s="439"/>
    </row>
    <row r="12" spans="2:31" ht="10.5" customHeight="1">
      <c r="C12" s="408">
        <f t="shared" si="0"/>
        <v>42947</v>
      </c>
      <c r="D12" s="409">
        <v>1.417</v>
      </c>
      <c r="E12" s="716"/>
      <c r="F12" s="757"/>
      <c r="H12" s="450">
        <f t="shared" si="1"/>
        <v>42886</v>
      </c>
      <c r="I12" s="496">
        <v>963.9</v>
      </c>
      <c r="J12" s="387">
        <v>1.6</v>
      </c>
      <c r="K12" s="387"/>
      <c r="L12" s="445"/>
      <c r="M12" s="255">
        <v>523.20000000000005</v>
      </c>
      <c r="N12" s="387">
        <v>1.61</v>
      </c>
      <c r="O12" s="387"/>
      <c r="P12" s="387"/>
      <c r="Q12" s="509">
        <v>1487.1</v>
      </c>
      <c r="R12" s="1067">
        <v>1.6</v>
      </c>
      <c r="S12" s="387"/>
      <c r="T12" s="387"/>
      <c r="U12" s="856"/>
      <c r="V12" s="439"/>
      <c r="X12" s="454">
        <f t="shared" si="2"/>
        <v>42886</v>
      </c>
      <c r="Y12" s="466">
        <v>100.388706</v>
      </c>
      <c r="Z12" s="467"/>
      <c r="AA12" s="439"/>
      <c r="AB12" s="265"/>
      <c r="AC12" s="467">
        <v>83.939003999999997</v>
      </c>
      <c r="AD12" s="467"/>
      <c r="AE12" s="439"/>
    </row>
    <row r="13" spans="2:31" ht="10.5" customHeight="1">
      <c r="C13" s="408">
        <f t="shared" si="0"/>
        <v>42978</v>
      </c>
      <c r="D13" s="409">
        <v>1.5609999999999999</v>
      </c>
      <c r="E13" s="716"/>
      <c r="F13" s="757"/>
      <c r="H13" s="450">
        <f t="shared" si="1"/>
        <v>42916</v>
      </c>
      <c r="I13" s="496">
        <v>1008.7</v>
      </c>
      <c r="J13" s="387">
        <v>1.53</v>
      </c>
      <c r="K13" s="387">
        <f>AVERAGE(J11:J13)</f>
        <v>1.5966666666666667</v>
      </c>
      <c r="L13" s="445"/>
      <c r="M13" s="255">
        <v>544.9</v>
      </c>
      <c r="N13" s="387">
        <v>1.55</v>
      </c>
      <c r="O13" s="387">
        <f>AVERAGE(N11:N13)</f>
        <v>1.5966666666666667</v>
      </c>
      <c r="P13" s="387"/>
      <c r="Q13" s="509">
        <v>1553.6</v>
      </c>
      <c r="R13" s="1067">
        <v>1.54</v>
      </c>
      <c r="S13" s="387">
        <f>AVERAGE(R11:R13)</f>
        <v>1.5966666666666667</v>
      </c>
      <c r="T13" s="387"/>
      <c r="U13" s="856">
        <f>SUM(Q11:Q13)</f>
        <v>4448.7</v>
      </c>
      <c r="V13" s="439"/>
      <c r="X13" s="454">
        <f t="shared" si="2"/>
        <v>42916</v>
      </c>
      <c r="Y13" s="466">
        <v>104.72940199999999</v>
      </c>
      <c r="Z13" s="467">
        <f>SUM(Y11:Y13)</f>
        <v>300.96035499999999</v>
      </c>
      <c r="AA13" s="439"/>
      <c r="AB13" s="265"/>
      <c r="AC13" s="467">
        <v>90.130481000000003</v>
      </c>
      <c r="AD13" s="467">
        <f>SUM(AC11:AC13)</f>
        <v>254.005337</v>
      </c>
      <c r="AE13" s="439"/>
    </row>
    <row r="14" spans="2:31" ht="10.5" customHeight="1">
      <c r="C14" s="408">
        <f t="shared" si="0"/>
        <v>43008</v>
      </c>
      <c r="D14" s="409">
        <v>1.8</v>
      </c>
      <c r="E14" s="717">
        <f>AVERAGE(D12:D14)</f>
        <v>1.5926666666666665</v>
      </c>
      <c r="F14" s="758"/>
      <c r="H14" s="450">
        <f t="shared" si="1"/>
        <v>42947</v>
      </c>
      <c r="I14" s="496">
        <v>1037.5</v>
      </c>
      <c r="J14" s="387">
        <v>1.55</v>
      </c>
      <c r="K14" s="387"/>
      <c r="L14" s="445"/>
      <c r="M14" s="255">
        <v>573.6</v>
      </c>
      <c r="N14" s="387">
        <v>1.54</v>
      </c>
      <c r="O14" s="387"/>
      <c r="P14" s="387"/>
      <c r="Q14" s="509">
        <v>1611.1</v>
      </c>
      <c r="R14" s="1067">
        <v>1.55</v>
      </c>
      <c r="S14" s="387"/>
      <c r="T14" s="387"/>
      <c r="U14" s="856"/>
      <c r="V14" s="439"/>
      <c r="X14" s="454">
        <f t="shared" si="2"/>
        <v>42947</v>
      </c>
      <c r="Y14" s="466">
        <v>109.83162400000001</v>
      </c>
      <c r="Z14" s="467"/>
      <c r="AA14" s="439"/>
      <c r="AB14" s="265"/>
      <c r="AC14" s="467">
        <v>94.641121999999996</v>
      </c>
      <c r="AD14" s="467"/>
      <c r="AE14" s="439"/>
    </row>
    <row r="15" spans="2:31" ht="10.5" customHeight="1">
      <c r="C15" s="408">
        <f t="shared" si="0"/>
        <v>43039</v>
      </c>
      <c r="D15" s="409">
        <v>1.659</v>
      </c>
      <c r="E15" s="716"/>
      <c r="F15" s="757"/>
      <c r="H15" s="450">
        <f t="shared" si="1"/>
        <v>42978</v>
      </c>
      <c r="I15" s="496">
        <v>1030.2</v>
      </c>
      <c r="J15" s="387">
        <v>1.65</v>
      </c>
      <c r="K15" s="387"/>
      <c r="L15" s="445"/>
      <c r="M15" s="255">
        <v>559.1</v>
      </c>
      <c r="N15" s="387">
        <v>1.61</v>
      </c>
      <c r="O15" s="387"/>
      <c r="P15" s="387"/>
      <c r="Q15" s="509">
        <v>1589.3</v>
      </c>
      <c r="R15" s="1067">
        <v>1.63</v>
      </c>
      <c r="S15" s="387"/>
      <c r="T15" s="387"/>
      <c r="U15" s="856"/>
      <c r="V15" s="439"/>
      <c r="X15" s="454">
        <f t="shared" si="2"/>
        <v>42978</v>
      </c>
      <c r="Y15" s="466">
        <v>106.93952400000001</v>
      </c>
      <c r="Z15" s="467"/>
      <c r="AA15" s="439"/>
      <c r="AB15" s="265"/>
      <c r="AC15" s="467">
        <v>90.980861000000004</v>
      </c>
      <c r="AD15" s="467"/>
      <c r="AE15" s="439"/>
    </row>
    <row r="16" spans="2:31" ht="10.5" customHeight="1">
      <c r="C16" s="408">
        <f t="shared" si="0"/>
        <v>43069</v>
      </c>
      <c r="D16" s="409">
        <v>1.76</v>
      </c>
      <c r="E16" s="716"/>
      <c r="F16" s="757"/>
      <c r="H16" s="450">
        <f t="shared" si="1"/>
        <v>43008</v>
      </c>
      <c r="I16" s="496">
        <v>879.4</v>
      </c>
      <c r="J16" s="387">
        <v>1.81</v>
      </c>
      <c r="K16" s="387">
        <f>AVERAGE(J14:J16)</f>
        <v>1.67</v>
      </c>
      <c r="L16" s="445"/>
      <c r="M16" s="255">
        <v>494.3</v>
      </c>
      <c r="N16" s="387">
        <v>1.73</v>
      </c>
      <c r="O16" s="387">
        <f>AVERAGE(N14:N16)</f>
        <v>1.6266666666666669</v>
      </c>
      <c r="P16" s="387"/>
      <c r="Q16" s="509">
        <v>1373.6</v>
      </c>
      <c r="R16" s="1067">
        <v>1.78</v>
      </c>
      <c r="S16" s="387">
        <f>AVERAGE(R14:R16)</f>
        <v>1.6533333333333333</v>
      </c>
      <c r="T16" s="387"/>
      <c r="U16" s="856">
        <f>SUM(Q14:Q16)</f>
        <v>4574</v>
      </c>
      <c r="V16" s="439"/>
      <c r="X16" s="454">
        <f t="shared" si="2"/>
        <v>43008</v>
      </c>
      <c r="Y16" s="466">
        <v>92.568954000000005</v>
      </c>
      <c r="Z16" s="467">
        <f>SUM(Y14:Y16)</f>
        <v>309.340102</v>
      </c>
      <c r="AA16" s="439"/>
      <c r="AB16" s="265"/>
      <c r="AC16" s="467">
        <v>75.092287999999996</v>
      </c>
      <c r="AD16" s="467">
        <f>SUM(AC14:AC16)</f>
        <v>260.714271</v>
      </c>
      <c r="AE16" s="439"/>
    </row>
    <row r="17" spans="3:31" ht="10.5" customHeight="1">
      <c r="C17" s="408">
        <f t="shared" si="0"/>
        <v>43100</v>
      </c>
      <c r="D17" s="409">
        <v>1.8169999999999999</v>
      </c>
      <c r="E17" s="717">
        <f>AVERAGE(D15:D17)</f>
        <v>1.7453333333333332</v>
      </c>
      <c r="F17" s="758">
        <f>AVERAGE(E6:E17)</f>
        <v>1.5614166666666665</v>
      </c>
      <c r="H17" s="450">
        <f t="shared" si="1"/>
        <v>43039</v>
      </c>
      <c r="I17" s="496">
        <v>953.4</v>
      </c>
      <c r="J17" s="387">
        <v>1.82</v>
      </c>
      <c r="K17" s="387"/>
      <c r="L17" s="445"/>
      <c r="M17" s="255">
        <v>495.4</v>
      </c>
      <c r="N17" s="387">
        <v>1.81</v>
      </c>
      <c r="O17" s="387"/>
      <c r="P17" s="387"/>
      <c r="Q17" s="509">
        <v>1448.9</v>
      </c>
      <c r="R17" s="1067">
        <v>1.82</v>
      </c>
      <c r="S17" s="387"/>
      <c r="T17" s="387"/>
      <c r="U17" s="856"/>
      <c r="V17" s="439"/>
      <c r="X17" s="454">
        <f t="shared" si="2"/>
        <v>43039</v>
      </c>
      <c r="Y17" s="466">
        <v>97.718204999999998</v>
      </c>
      <c r="Z17" s="467"/>
      <c r="AA17" s="439"/>
      <c r="AB17" s="265"/>
      <c r="AC17" s="467">
        <v>81.168037999999996</v>
      </c>
      <c r="AD17" s="467"/>
      <c r="AE17" s="439"/>
    </row>
    <row r="18" spans="3:31" ht="10.5" customHeight="1">
      <c r="C18" s="408">
        <f t="shared" si="0"/>
        <v>43131</v>
      </c>
      <c r="D18" s="409">
        <v>1.952</v>
      </c>
      <c r="E18" s="716"/>
      <c r="F18" s="757"/>
      <c r="H18" s="450">
        <f t="shared" si="1"/>
        <v>43069</v>
      </c>
      <c r="I18" s="496">
        <v>921.7</v>
      </c>
      <c r="J18" s="387">
        <v>1.87</v>
      </c>
      <c r="K18" s="387"/>
      <c r="L18" s="445"/>
      <c r="M18" s="255">
        <v>448.8</v>
      </c>
      <c r="N18" s="387">
        <v>1.85</v>
      </c>
      <c r="O18" s="387"/>
      <c r="P18" s="387"/>
      <c r="Q18" s="509">
        <v>1370.5</v>
      </c>
      <c r="R18" s="1067">
        <v>1.87</v>
      </c>
      <c r="S18" s="387"/>
      <c r="T18" s="387"/>
      <c r="U18" s="856"/>
      <c r="V18" s="439"/>
      <c r="X18" s="454">
        <f t="shared" si="2"/>
        <v>43069</v>
      </c>
      <c r="Y18" s="466">
        <v>91.376024000000001</v>
      </c>
      <c r="Z18" s="467"/>
      <c r="AA18" s="439"/>
      <c r="AB18" s="265"/>
      <c r="AC18" s="467">
        <v>76.124199000000004</v>
      </c>
      <c r="AD18" s="467"/>
      <c r="AE18" s="439"/>
    </row>
    <row r="19" spans="3:31" ht="10.5" customHeight="1">
      <c r="C19" s="408">
        <f t="shared" si="0"/>
        <v>43159</v>
      </c>
      <c r="D19" s="409">
        <v>1.849</v>
      </c>
      <c r="E19" s="716"/>
      <c r="F19" s="757"/>
      <c r="H19" s="450">
        <f t="shared" si="1"/>
        <v>43100</v>
      </c>
      <c r="I19" s="496">
        <v>975</v>
      </c>
      <c r="J19" s="387">
        <v>1.91</v>
      </c>
      <c r="K19" s="387">
        <f>AVERAGE(J17:J19)</f>
        <v>1.8666666666666669</v>
      </c>
      <c r="L19" s="445">
        <f>AVERAGE(J8:J19)</f>
        <v>1.7000000000000002</v>
      </c>
      <c r="M19" s="255">
        <v>480.8</v>
      </c>
      <c r="N19" s="387">
        <v>1.92</v>
      </c>
      <c r="O19" s="387">
        <f>AVERAGE(N17:N19)</f>
        <v>1.86</v>
      </c>
      <c r="P19" s="387">
        <f>AVERAGE(N8:N19)</f>
        <v>1.6849999999999998</v>
      </c>
      <c r="Q19" s="509">
        <v>1455.8</v>
      </c>
      <c r="R19" s="1067">
        <v>1.91</v>
      </c>
      <c r="S19" s="387">
        <f>AVERAGE(R17:R19)</f>
        <v>1.8666666666666669</v>
      </c>
      <c r="T19" s="387">
        <f>AVERAGE(R8:R19)</f>
        <v>1.6950000000000001</v>
      </c>
      <c r="U19" s="856">
        <f>SUM(Q17:Q19)</f>
        <v>4275.2</v>
      </c>
      <c r="V19" s="439">
        <f>SUM(Q8:Q19)</f>
        <v>17295.3</v>
      </c>
      <c r="X19" s="454">
        <f t="shared" si="2"/>
        <v>43100</v>
      </c>
      <c r="Y19" s="466">
        <v>97.216470999999999</v>
      </c>
      <c r="Z19" s="467">
        <f>SUM(Y17:Y19)</f>
        <v>286.3107</v>
      </c>
      <c r="AA19" s="439">
        <f>SUM(Y8:Y19)</f>
        <v>1167.9958409999999</v>
      </c>
      <c r="AB19" s="265"/>
      <c r="AC19" s="467">
        <v>80.037670000000006</v>
      </c>
      <c r="AD19" s="467">
        <f>SUM(AC17:AC19)</f>
        <v>237.32990699999999</v>
      </c>
      <c r="AE19" s="439">
        <f>SUM(AC8:AC19)</f>
        <v>969.90383900000006</v>
      </c>
    </row>
    <row r="20" spans="3:31" ht="10.5" customHeight="1">
      <c r="C20" s="408">
        <f t="shared" si="0"/>
        <v>43190</v>
      </c>
      <c r="D20" s="409">
        <v>1.8580000000000001</v>
      </c>
      <c r="E20" s="717">
        <f>AVERAGE(D18:D20)</f>
        <v>1.8863333333333336</v>
      </c>
      <c r="F20" s="758"/>
      <c r="H20" s="450">
        <f t="shared" si="1"/>
        <v>43131</v>
      </c>
      <c r="I20" s="496">
        <v>910.7</v>
      </c>
      <c r="J20" s="387">
        <v>2.02</v>
      </c>
      <c r="K20" s="387"/>
      <c r="L20" s="445"/>
      <c r="M20" s="255">
        <v>468.6</v>
      </c>
      <c r="N20" s="387">
        <v>2.02</v>
      </c>
      <c r="O20" s="387"/>
      <c r="P20" s="387"/>
      <c r="Q20" s="509">
        <v>1379.3</v>
      </c>
      <c r="R20" s="1067">
        <v>2.02</v>
      </c>
      <c r="S20" s="387"/>
      <c r="T20" s="387"/>
      <c r="U20" s="856"/>
      <c r="V20" s="439"/>
      <c r="X20" s="454">
        <f t="shared" si="2"/>
        <v>43131</v>
      </c>
      <c r="Y20" s="466">
        <v>94.089517999999998</v>
      </c>
      <c r="Z20" s="467"/>
      <c r="AA20" s="439"/>
      <c r="AB20" s="265"/>
      <c r="AC20" s="467">
        <v>73.795631999999998</v>
      </c>
      <c r="AD20" s="467"/>
      <c r="AE20" s="439"/>
    </row>
    <row r="21" spans="3:31" ht="10.5" customHeight="1">
      <c r="C21" s="408">
        <f t="shared" si="0"/>
        <v>43220</v>
      </c>
      <c r="D21" s="409">
        <v>2.0150000000000001</v>
      </c>
      <c r="E21" s="716"/>
      <c r="F21" s="757"/>
      <c r="H21" s="450">
        <f t="shared" si="1"/>
        <v>43159</v>
      </c>
      <c r="I21" s="496">
        <v>850.9</v>
      </c>
      <c r="J21" s="387">
        <v>2.02</v>
      </c>
      <c r="K21" s="387"/>
      <c r="L21" s="445"/>
      <c r="M21" s="255">
        <v>416.4</v>
      </c>
      <c r="N21" s="387">
        <v>2.0499999999999998</v>
      </c>
      <c r="O21" s="387"/>
      <c r="P21" s="387"/>
      <c r="Q21" s="509">
        <v>1267.4000000000001</v>
      </c>
      <c r="R21" s="1067">
        <v>2.0299999999999998</v>
      </c>
      <c r="S21" s="387"/>
      <c r="T21" s="387"/>
      <c r="U21" s="856"/>
      <c r="V21" s="439"/>
      <c r="X21" s="454">
        <f t="shared" si="2"/>
        <v>43159</v>
      </c>
      <c r="Y21" s="466">
        <v>86.237343999999993</v>
      </c>
      <c r="Z21" s="467"/>
      <c r="AA21" s="439"/>
      <c r="AB21" s="265"/>
      <c r="AC21" s="467">
        <v>68.674042</v>
      </c>
      <c r="AD21" s="467"/>
      <c r="AE21" s="439"/>
    </row>
    <row r="22" spans="3:31" ht="10.5" customHeight="1">
      <c r="C22" s="408">
        <f t="shared" si="0"/>
        <v>43251</v>
      </c>
      <c r="D22" s="409">
        <v>2.1549999999999998</v>
      </c>
      <c r="E22" s="716"/>
      <c r="F22" s="757"/>
      <c r="H22" s="450">
        <f t="shared" si="1"/>
        <v>43190</v>
      </c>
      <c r="I22" s="496">
        <v>990.3</v>
      </c>
      <c r="J22" s="387">
        <v>1.96</v>
      </c>
      <c r="K22" s="387">
        <f>AVERAGE(J20:J22)</f>
        <v>2</v>
      </c>
      <c r="L22" s="445"/>
      <c r="M22" s="255">
        <v>492.7</v>
      </c>
      <c r="N22" s="387">
        <v>1.98</v>
      </c>
      <c r="O22" s="387">
        <f>AVERAGE(N20:N22)</f>
        <v>2.0166666666666671</v>
      </c>
      <c r="P22" s="387"/>
      <c r="Q22" s="509">
        <v>1483</v>
      </c>
      <c r="R22" s="1067">
        <v>1.96</v>
      </c>
      <c r="S22" s="387">
        <f>AVERAGE(R20:R22)</f>
        <v>2.0033333333333334</v>
      </c>
      <c r="T22" s="387"/>
      <c r="U22" s="856">
        <f>SUM(Q20:Q22)</f>
        <v>4129.7</v>
      </c>
      <c r="V22" s="439"/>
      <c r="X22" s="454">
        <f t="shared" si="2"/>
        <v>43190</v>
      </c>
      <c r="Y22" s="466">
        <v>101.918187</v>
      </c>
      <c r="Z22" s="467">
        <f>SUM(Y20:Y22)</f>
        <v>282.24504899999999</v>
      </c>
      <c r="AA22" s="439"/>
      <c r="AB22" s="265"/>
      <c r="AC22" s="467">
        <v>86.103036000000003</v>
      </c>
      <c r="AD22" s="467">
        <f>SUM(AC20:AC22)</f>
        <v>228.57271</v>
      </c>
      <c r="AE22" s="439"/>
    </row>
    <row r="23" spans="3:31" ht="10.5" customHeight="1">
      <c r="C23" s="408">
        <f t="shared" si="0"/>
        <v>43281</v>
      </c>
      <c r="D23" s="409">
        <v>2.09</v>
      </c>
      <c r="E23" s="717">
        <f>AVERAGE(D21:D23)</f>
        <v>2.0866666666666664</v>
      </c>
      <c r="F23" s="758"/>
      <c r="H23" s="450">
        <f t="shared" si="1"/>
        <v>43220</v>
      </c>
      <c r="I23" s="496">
        <v>965.4</v>
      </c>
      <c r="J23" s="387">
        <v>2.08</v>
      </c>
      <c r="K23" s="387"/>
      <c r="L23" s="445"/>
      <c r="M23" s="255">
        <v>489.7</v>
      </c>
      <c r="N23" s="387">
        <v>2.09</v>
      </c>
      <c r="O23" s="387"/>
      <c r="P23" s="387"/>
      <c r="Q23" s="509">
        <v>1455.1</v>
      </c>
      <c r="R23" s="1067">
        <v>2.08</v>
      </c>
      <c r="S23" s="387"/>
      <c r="T23" s="387"/>
      <c r="U23" s="856"/>
      <c r="V23" s="439"/>
      <c r="X23" s="454">
        <f t="shared" si="2"/>
        <v>43220</v>
      </c>
      <c r="Y23" s="466">
        <v>100.588612</v>
      </c>
      <c r="Z23" s="467"/>
      <c r="AA23" s="439"/>
      <c r="AB23" s="265"/>
      <c r="AC23" s="467">
        <v>83.009398000000004</v>
      </c>
      <c r="AD23" s="467"/>
      <c r="AE23" s="439"/>
    </row>
    <row r="24" spans="3:31" ht="10.5" customHeight="1">
      <c r="C24" s="408">
        <f t="shared" si="0"/>
        <v>43312</v>
      </c>
      <c r="D24" s="409">
        <v>2.0979999999999999</v>
      </c>
      <c r="E24" s="716"/>
      <c r="F24" s="757"/>
      <c r="H24" s="450">
        <f t="shared" si="1"/>
        <v>43251</v>
      </c>
      <c r="I24" s="496">
        <v>1011.8</v>
      </c>
      <c r="J24" s="387">
        <v>2.1800000000000002</v>
      </c>
      <c r="K24" s="387"/>
      <c r="L24" s="445"/>
      <c r="M24" s="255">
        <v>531.29999999999995</v>
      </c>
      <c r="N24" s="387">
        <v>2.19</v>
      </c>
      <c r="O24" s="387"/>
      <c r="P24" s="387"/>
      <c r="Q24" s="509">
        <v>1543.1</v>
      </c>
      <c r="R24" s="1067">
        <v>2.19</v>
      </c>
      <c r="S24" s="387"/>
      <c r="T24" s="387"/>
      <c r="U24" s="856"/>
      <c r="V24" s="439"/>
      <c r="X24" s="454">
        <f t="shared" si="2"/>
        <v>43251</v>
      </c>
      <c r="Y24" s="466">
        <v>105.66683399999999</v>
      </c>
      <c r="Z24" s="467"/>
      <c r="AA24" s="439"/>
      <c r="AB24" s="265"/>
      <c r="AC24" s="467">
        <v>88.525057000000004</v>
      </c>
      <c r="AD24" s="467"/>
      <c r="AE24" s="439"/>
    </row>
    <row r="25" spans="3:31" ht="10.5" customHeight="1">
      <c r="C25" s="408">
        <f t="shared" si="0"/>
        <v>43343</v>
      </c>
      <c r="D25" s="409">
        <v>2.1179999999999999</v>
      </c>
      <c r="E25" s="716"/>
      <c r="F25" s="757"/>
      <c r="H25" s="450">
        <f t="shared" si="1"/>
        <v>43281</v>
      </c>
      <c r="I25" s="496">
        <v>1038.5999999999999</v>
      </c>
      <c r="J25" s="387">
        <v>2.2000000000000002</v>
      </c>
      <c r="K25" s="387">
        <f>AVERAGE(J23:J25)</f>
        <v>2.1533333333333333</v>
      </c>
      <c r="L25" s="445"/>
      <c r="M25" s="255">
        <v>548.5</v>
      </c>
      <c r="N25" s="387">
        <v>2.23</v>
      </c>
      <c r="O25" s="387">
        <f>AVERAGE(N23:N25)</f>
        <v>2.17</v>
      </c>
      <c r="P25" s="387"/>
      <c r="Q25" s="509">
        <v>1587.2</v>
      </c>
      <c r="R25" s="1067">
        <v>2.21</v>
      </c>
      <c r="S25" s="387">
        <f>AVERAGE(R23:R25)</f>
        <v>2.1599999999999997</v>
      </c>
      <c r="T25" s="387"/>
      <c r="U25" s="856">
        <f>SUM(Q23:Q25)</f>
        <v>4585.3999999999996</v>
      </c>
      <c r="V25" s="439"/>
      <c r="X25" s="454">
        <f t="shared" si="2"/>
        <v>43281</v>
      </c>
      <c r="Y25" s="466">
        <v>109.035438</v>
      </c>
      <c r="Z25" s="467">
        <f>SUM(Y23:Y25)</f>
        <v>315.29088400000001</v>
      </c>
      <c r="AA25" s="439"/>
      <c r="AB25" s="265"/>
      <c r="AC25" s="467">
        <v>94.917274000000006</v>
      </c>
      <c r="AD25" s="467">
        <f>SUM(AC23:AC25)</f>
        <v>266.451729</v>
      </c>
      <c r="AE25" s="439"/>
    </row>
    <row r="26" spans="3:31" ht="10.5" customHeight="1">
      <c r="C26" s="408">
        <f t="shared" si="0"/>
        <v>43373</v>
      </c>
      <c r="D26" s="409">
        <v>2.1890000000000001</v>
      </c>
      <c r="E26" s="717">
        <f>AVERAGE(D24:D26)</f>
        <v>2.1349999999999998</v>
      </c>
      <c r="F26" s="758"/>
      <c r="H26" s="450">
        <f t="shared" si="1"/>
        <v>43312</v>
      </c>
      <c r="I26" s="496">
        <v>1078.4000000000001</v>
      </c>
      <c r="J26" s="387">
        <v>2.19</v>
      </c>
      <c r="K26" s="387"/>
      <c r="L26" s="445"/>
      <c r="M26" s="255">
        <v>575.79999999999995</v>
      </c>
      <c r="N26" s="387">
        <v>2.2200000000000002</v>
      </c>
      <c r="O26" s="387"/>
      <c r="P26" s="387"/>
      <c r="Q26" s="509">
        <v>1654.2</v>
      </c>
      <c r="R26" s="1067">
        <v>2.2000000000000002</v>
      </c>
      <c r="S26" s="387"/>
      <c r="T26" s="387"/>
      <c r="U26" s="856"/>
      <c r="V26" s="439"/>
      <c r="X26" s="454">
        <f t="shared" si="2"/>
        <v>43312</v>
      </c>
      <c r="Y26" s="466">
        <v>113.74134599999999</v>
      </c>
      <c r="Z26" s="467"/>
      <c r="AA26" s="439"/>
      <c r="AB26" s="265"/>
      <c r="AC26" s="467">
        <v>99.373374999999996</v>
      </c>
      <c r="AD26" s="467"/>
      <c r="AE26" s="439"/>
    </row>
    <row r="27" spans="3:31" ht="10.5" customHeight="1">
      <c r="C27" s="408">
        <f t="shared" si="0"/>
        <v>43404</v>
      </c>
      <c r="D27" s="409">
        <v>2.2490000000000001</v>
      </c>
      <c r="E27" s="716"/>
      <c r="F27" s="757"/>
      <c r="H27" s="450">
        <f t="shared" si="1"/>
        <v>43343</v>
      </c>
      <c r="I27" s="496">
        <v>1071.0999999999999</v>
      </c>
      <c r="J27" s="387">
        <v>2.19</v>
      </c>
      <c r="K27" s="387"/>
      <c r="L27" s="445"/>
      <c r="M27" s="255">
        <v>559.5</v>
      </c>
      <c r="N27" s="387">
        <v>2.2000000000000002</v>
      </c>
      <c r="O27" s="387"/>
      <c r="P27" s="387"/>
      <c r="Q27" s="509">
        <v>1630.6</v>
      </c>
      <c r="R27" s="1067">
        <v>2.2000000000000002</v>
      </c>
      <c r="S27" s="387"/>
      <c r="T27" s="387"/>
      <c r="U27" s="856"/>
      <c r="V27" s="439"/>
      <c r="X27" s="454">
        <f t="shared" si="2"/>
        <v>43343</v>
      </c>
      <c r="Y27" s="466">
        <v>110.977835</v>
      </c>
      <c r="Z27" s="467"/>
      <c r="AA27" s="439"/>
      <c r="AB27" s="265"/>
      <c r="AC27" s="467">
        <v>95.268223000000006</v>
      </c>
      <c r="AD27" s="467"/>
      <c r="AE27" s="439"/>
    </row>
    <row r="28" spans="3:31" ht="10.5" customHeight="1">
      <c r="C28" s="408">
        <f t="shared" si="0"/>
        <v>43434</v>
      </c>
      <c r="D28" s="409">
        <v>1.9450000000000001</v>
      </c>
      <c r="E28" s="717"/>
      <c r="F28" s="758"/>
      <c r="H28" s="450">
        <f t="shared" si="1"/>
        <v>43373</v>
      </c>
      <c r="I28" s="496">
        <v>950.1</v>
      </c>
      <c r="J28" s="387">
        <v>2.2200000000000002</v>
      </c>
      <c r="K28" s="387">
        <f>AVERAGE(J26:J28)</f>
        <v>2.1999999999999997</v>
      </c>
      <c r="L28" s="445"/>
      <c r="M28" s="255">
        <v>503</v>
      </c>
      <c r="N28" s="387">
        <v>2.2400000000000002</v>
      </c>
      <c r="O28" s="387">
        <f>AVERAGE(N26:N28)</f>
        <v>2.2200000000000002</v>
      </c>
      <c r="P28" s="387"/>
      <c r="Q28" s="509">
        <v>1453.1</v>
      </c>
      <c r="R28" s="1067">
        <v>2.2200000000000002</v>
      </c>
      <c r="S28" s="387">
        <f>AVERAGE(R26:R28)</f>
        <v>2.206666666666667</v>
      </c>
      <c r="T28" s="387"/>
      <c r="U28" s="856">
        <f>SUM(Q26:Q28)</f>
        <v>4737.8999999999996</v>
      </c>
      <c r="V28" s="439"/>
      <c r="X28" s="454">
        <f t="shared" si="2"/>
        <v>43373</v>
      </c>
      <c r="Y28" s="466">
        <v>98.894425999999996</v>
      </c>
      <c r="Z28" s="467">
        <f>SUM(Y26:Y28)</f>
        <v>323.613607</v>
      </c>
      <c r="AA28" s="439"/>
      <c r="AB28" s="265"/>
      <c r="AC28" s="467">
        <v>79.470507999999995</v>
      </c>
      <c r="AD28" s="467">
        <f>SUM(AC26:AC28)</f>
        <v>274.11210599999998</v>
      </c>
      <c r="AE28" s="439"/>
    </row>
    <row r="29" spans="3:31" ht="10.5" customHeight="1">
      <c r="C29" s="408">
        <f t="shared" si="0"/>
        <v>43465</v>
      </c>
      <c r="D29" s="409">
        <v>1.696</v>
      </c>
      <c r="E29" s="717">
        <f>AVERAGE(D18:D29)</f>
        <v>2.0178333333333334</v>
      </c>
      <c r="F29" s="758">
        <f>AVERAGE(E18:E29)</f>
        <v>2.0314583333333331</v>
      </c>
      <c r="H29" s="450">
        <f t="shared" si="1"/>
        <v>43404</v>
      </c>
      <c r="I29" s="496">
        <v>1003.8</v>
      </c>
      <c r="J29" s="387">
        <v>2.34</v>
      </c>
      <c r="K29" s="387"/>
      <c r="L29" s="445"/>
      <c r="M29" s="255">
        <v>501.4</v>
      </c>
      <c r="N29" s="387">
        <v>2.36</v>
      </c>
      <c r="O29" s="387"/>
      <c r="P29" s="387"/>
      <c r="Q29" s="509">
        <v>1505.2</v>
      </c>
      <c r="R29" s="1067">
        <v>2.35</v>
      </c>
      <c r="S29" s="387"/>
      <c r="T29" s="387"/>
      <c r="U29" s="856"/>
      <c r="V29" s="439"/>
      <c r="X29" s="454">
        <f t="shared" si="2"/>
        <v>43404</v>
      </c>
      <c r="Y29" s="466">
        <v>102.278508</v>
      </c>
      <c r="Z29" s="467"/>
      <c r="AA29" s="439"/>
      <c r="AB29" s="265"/>
      <c r="AC29" s="467">
        <v>84.870973000000006</v>
      </c>
      <c r="AD29" s="467"/>
      <c r="AE29" s="439"/>
    </row>
    <row r="30" spans="3:31" ht="10.5" customHeight="1">
      <c r="C30" s="408">
        <f t="shared" si="0"/>
        <v>43496</v>
      </c>
      <c r="D30" s="409">
        <v>1.784</v>
      </c>
      <c r="E30" s="716"/>
      <c r="F30" s="757"/>
      <c r="H30" s="450">
        <f t="shared" si="1"/>
        <v>43434</v>
      </c>
      <c r="I30" s="496">
        <v>970.6</v>
      </c>
      <c r="J30" s="387">
        <v>2.25</v>
      </c>
      <c r="K30" s="387"/>
      <c r="L30" s="445"/>
      <c r="M30" s="255">
        <v>450.6</v>
      </c>
      <c r="N30" s="387">
        <v>2.2999999999999998</v>
      </c>
      <c r="O30" s="387"/>
      <c r="P30" s="387"/>
      <c r="Q30" s="509">
        <v>1421.2</v>
      </c>
      <c r="R30" s="1067">
        <v>2.27</v>
      </c>
      <c r="S30" s="387"/>
      <c r="T30" s="387"/>
      <c r="U30" s="856"/>
      <c r="V30" s="439"/>
      <c r="X30" s="454">
        <f t="shared" si="2"/>
        <v>43434</v>
      </c>
      <c r="Y30" s="466">
        <v>95.941500000000005</v>
      </c>
      <c r="Z30" s="467"/>
      <c r="AA30" s="439"/>
      <c r="AB30" s="265"/>
      <c r="AC30" s="467">
        <v>79.928178000000003</v>
      </c>
      <c r="AD30" s="467"/>
      <c r="AE30" s="439"/>
    </row>
    <row r="31" spans="3:31" ht="10.5" customHeight="1">
      <c r="C31" s="408">
        <f t="shared" si="0"/>
        <v>43524</v>
      </c>
      <c r="D31" s="409">
        <v>1.9139999999999999</v>
      </c>
      <c r="E31" s="716"/>
      <c r="F31" s="757"/>
      <c r="H31" s="450">
        <f t="shared" si="1"/>
        <v>43465</v>
      </c>
      <c r="I31" s="496">
        <v>1006.7</v>
      </c>
      <c r="J31" s="387">
        <v>2.0299999999999998</v>
      </c>
      <c r="K31" s="387">
        <f>AVERAGE(J29:J31)</f>
        <v>2.2066666666666666</v>
      </c>
      <c r="L31" s="445">
        <f>AVERAGE(J20:J31)</f>
        <v>2.14</v>
      </c>
      <c r="M31" s="255">
        <v>482.6</v>
      </c>
      <c r="N31" s="387">
        <v>2.1</v>
      </c>
      <c r="O31" s="387">
        <f>AVERAGE(N29:N31)</f>
        <v>2.2533333333333334</v>
      </c>
      <c r="P31" s="387">
        <f>AVERAGE(N20:N31)</f>
        <v>2.165</v>
      </c>
      <c r="Q31" s="509">
        <v>1489.2</v>
      </c>
      <c r="R31" s="1067">
        <v>2.06</v>
      </c>
      <c r="S31" s="387">
        <f>AVERAGE(R29:R31)</f>
        <v>2.2266666666666666</v>
      </c>
      <c r="T31" s="387">
        <f>AVERAGE(R20:R31)</f>
        <v>2.1491666666666664</v>
      </c>
      <c r="U31" s="856">
        <f>SUM(Q29:Q31)</f>
        <v>4415.6000000000004</v>
      </c>
      <c r="V31" s="439">
        <f>SUM(Q20:Q31)</f>
        <v>17868.600000000002</v>
      </c>
      <c r="X31" s="454">
        <f t="shared" si="2"/>
        <v>43465</v>
      </c>
      <c r="Y31" s="466">
        <v>101.113775</v>
      </c>
      <c r="Z31" s="467">
        <f>SUM(Y29:Y31)</f>
        <v>299.33378300000004</v>
      </c>
      <c r="AA31" s="439">
        <f>SUM(Y20:Y31)</f>
        <v>1220.4833229999999</v>
      </c>
      <c r="AB31" s="265"/>
      <c r="AC31" s="467">
        <v>83.057946999999999</v>
      </c>
      <c r="AD31" s="467">
        <f>SUM(AC29:AC31)</f>
        <v>247.85709800000001</v>
      </c>
      <c r="AE31" s="439">
        <f>SUM(AC20:AC31)</f>
        <v>1016.9936430000001</v>
      </c>
    </row>
    <row r="32" spans="3:31" ht="10.5" customHeight="1">
      <c r="C32" s="408">
        <f t="shared" si="0"/>
        <v>43555</v>
      </c>
      <c r="D32" s="409">
        <v>1.9019999999999999</v>
      </c>
      <c r="E32" s="717">
        <f>AVERAGE(D30:D32)</f>
        <v>1.8666666666666665</v>
      </c>
      <c r="F32" s="758"/>
      <c r="H32" s="450">
        <f t="shared" si="1"/>
        <v>43496</v>
      </c>
      <c r="I32" s="496">
        <v>947.7</v>
      </c>
      <c r="J32" s="387">
        <v>1.91</v>
      </c>
      <c r="K32" s="387"/>
      <c r="L32" s="445"/>
      <c r="M32" s="255">
        <v>475.8</v>
      </c>
      <c r="N32" s="387">
        <v>1.91</v>
      </c>
      <c r="O32" s="387"/>
      <c r="P32" s="387"/>
      <c r="Q32" s="509">
        <v>1423.5</v>
      </c>
      <c r="R32" s="1067">
        <v>1.91</v>
      </c>
      <c r="S32" s="387"/>
      <c r="T32" s="387"/>
      <c r="U32" s="856"/>
      <c r="V32" s="439"/>
      <c r="X32" s="454">
        <f t="shared" si="2"/>
        <v>43496</v>
      </c>
      <c r="Y32" s="466">
        <v>97.954835000000003</v>
      </c>
      <c r="Z32" s="467"/>
      <c r="AA32" s="439"/>
      <c r="AB32" s="265"/>
      <c r="AC32" s="467">
        <v>77.339888999999999</v>
      </c>
      <c r="AD32" s="467"/>
      <c r="AE32" s="439"/>
    </row>
    <row r="33" spans="3:31" ht="10.5" customHeight="1">
      <c r="C33" s="408">
        <f t="shared" si="0"/>
        <v>43585</v>
      </c>
      <c r="D33" s="409">
        <v>1.9770000000000001</v>
      </c>
      <c r="E33" s="716"/>
      <c r="F33" s="757"/>
      <c r="H33" s="450">
        <f t="shared" si="1"/>
        <v>43524</v>
      </c>
      <c r="I33" s="496">
        <v>874.7</v>
      </c>
      <c r="J33" s="387">
        <v>1.99</v>
      </c>
      <c r="K33" s="387"/>
      <c r="L33" s="445"/>
      <c r="M33" s="255">
        <v>415.9</v>
      </c>
      <c r="N33" s="387">
        <v>1.97</v>
      </c>
      <c r="O33" s="387"/>
      <c r="P33" s="387"/>
      <c r="Q33" s="509">
        <v>1290.5999999999999</v>
      </c>
      <c r="R33" s="1067">
        <v>1.98</v>
      </c>
      <c r="S33" s="387"/>
      <c r="T33" s="387"/>
      <c r="U33" s="856"/>
      <c r="V33" s="439"/>
      <c r="X33" s="454">
        <f t="shared" si="2"/>
        <v>43524</v>
      </c>
      <c r="Y33" s="466">
        <v>88.834950000000006</v>
      </c>
      <c r="Z33" s="467"/>
      <c r="AA33" s="439"/>
      <c r="AB33" s="265"/>
      <c r="AC33" s="467">
        <v>71.123686000000006</v>
      </c>
      <c r="AD33" s="467"/>
      <c r="AE33" s="439"/>
    </row>
    <row r="34" spans="3:31" ht="10.5" customHeight="1">
      <c r="C34" s="408">
        <f t="shared" si="0"/>
        <v>43616</v>
      </c>
      <c r="D34" s="409">
        <v>1.972</v>
      </c>
      <c r="E34" s="716"/>
      <c r="F34" s="757"/>
      <c r="H34" s="450">
        <f t="shared" si="1"/>
        <v>43555</v>
      </c>
      <c r="I34" s="496">
        <v>1031.9000000000001</v>
      </c>
      <c r="J34" s="387">
        <v>2.02</v>
      </c>
      <c r="K34" s="387">
        <f>AVERAGE(J32:J34)</f>
        <v>1.9733333333333334</v>
      </c>
      <c r="L34" s="445"/>
      <c r="M34" s="255">
        <v>494.4</v>
      </c>
      <c r="N34" s="387">
        <v>2.0299999999999998</v>
      </c>
      <c r="O34" s="387">
        <f>AVERAGE(N32:N34)</f>
        <v>1.97</v>
      </c>
      <c r="P34" s="387"/>
      <c r="Q34" s="509">
        <v>1526.2</v>
      </c>
      <c r="R34" s="1067">
        <v>2.02</v>
      </c>
      <c r="S34" s="387">
        <f>AVERAGE(R32:R34)</f>
        <v>1.97</v>
      </c>
      <c r="T34" s="387"/>
      <c r="U34" s="856">
        <f>SUM(Q32:Q34)</f>
        <v>4240.3</v>
      </c>
      <c r="V34" s="439"/>
      <c r="X34" s="454">
        <f t="shared" si="2"/>
        <v>43555</v>
      </c>
      <c r="Y34" s="466">
        <v>106.383791</v>
      </c>
      <c r="Z34" s="467">
        <f>SUM(Y32:Y34)</f>
        <v>293.17357600000003</v>
      </c>
      <c r="AA34" s="439"/>
      <c r="AB34" s="265"/>
      <c r="AC34" s="467">
        <v>90.478104999999999</v>
      </c>
      <c r="AD34" s="467">
        <f>SUM(AC32:AC34)</f>
        <v>238.94167999999999</v>
      </c>
      <c r="AE34" s="439"/>
    </row>
    <row r="35" spans="3:31" ht="10.5" customHeight="1">
      <c r="C35" s="408">
        <f t="shared" si="0"/>
        <v>43646</v>
      </c>
      <c r="D35" s="409">
        <v>1.8169999999999999</v>
      </c>
      <c r="E35" s="717">
        <f>AVERAGE(D33:D35)</f>
        <v>1.9219999999999999</v>
      </c>
      <c r="F35" s="758"/>
      <c r="H35" s="450">
        <f t="shared" si="1"/>
        <v>43585</v>
      </c>
      <c r="I35" s="496">
        <v>992.3</v>
      </c>
      <c r="J35" s="387">
        <v>2.06</v>
      </c>
      <c r="K35" s="387"/>
      <c r="L35" s="445"/>
      <c r="M35" s="255">
        <v>493.8</v>
      </c>
      <c r="N35" s="387">
        <v>2.0499999999999998</v>
      </c>
      <c r="O35" s="387"/>
      <c r="P35" s="387"/>
      <c r="Q35" s="509">
        <v>1486.1</v>
      </c>
      <c r="R35" s="1067">
        <v>2.06</v>
      </c>
      <c r="S35" s="387"/>
      <c r="T35" s="387"/>
      <c r="U35" s="856"/>
      <c r="V35" s="439"/>
      <c r="X35" s="454">
        <f t="shared" si="2"/>
        <v>43585</v>
      </c>
      <c r="Y35" s="466">
        <v>102.840256</v>
      </c>
      <c r="Z35" s="467"/>
      <c r="AA35" s="439"/>
      <c r="AB35" s="265"/>
      <c r="AC35" s="467">
        <v>86.684139999999999</v>
      </c>
      <c r="AD35" s="467"/>
      <c r="AE35" s="439"/>
    </row>
    <row r="36" spans="3:31" ht="10.5" customHeight="1">
      <c r="C36" s="408">
        <f t="shared" si="0"/>
        <v>43677</v>
      </c>
      <c r="D36" s="409">
        <v>1.913</v>
      </c>
      <c r="E36" s="716"/>
      <c r="F36" s="757"/>
      <c r="H36" s="450">
        <f t="shared" si="1"/>
        <v>43616</v>
      </c>
      <c r="I36" s="496">
        <v>1047.0999999999999</v>
      </c>
      <c r="J36" s="387">
        <v>2.12</v>
      </c>
      <c r="K36" s="387"/>
      <c r="L36" s="445"/>
      <c r="M36" s="255">
        <v>536.5</v>
      </c>
      <c r="N36" s="387">
        <v>2.1</v>
      </c>
      <c r="O36" s="387"/>
      <c r="P36" s="387"/>
      <c r="Q36" s="509">
        <v>1583.6</v>
      </c>
      <c r="R36" s="1067">
        <v>2.11</v>
      </c>
      <c r="S36" s="387"/>
      <c r="T36" s="387"/>
      <c r="U36" s="856"/>
      <c r="V36" s="439"/>
      <c r="X36" s="454">
        <f t="shared" si="2"/>
        <v>43616</v>
      </c>
      <c r="Y36" s="466">
        <v>108.36064500000001</v>
      </c>
      <c r="Z36" s="467"/>
      <c r="AA36" s="439"/>
      <c r="AB36" s="265"/>
      <c r="AC36" s="467">
        <v>92.977217999999993</v>
      </c>
      <c r="AD36" s="467"/>
      <c r="AE36" s="439"/>
    </row>
    <row r="37" spans="3:31" ht="10.5" customHeight="1">
      <c r="C37" s="408">
        <f t="shared" si="0"/>
        <v>43708</v>
      </c>
      <c r="D37" s="409">
        <v>1.8</v>
      </c>
      <c r="E37" s="716"/>
      <c r="F37" s="757"/>
      <c r="H37" s="450">
        <f t="shared" si="1"/>
        <v>43646</v>
      </c>
      <c r="I37" s="496">
        <v>1060.0999999999999</v>
      </c>
      <c r="J37" s="387">
        <v>2</v>
      </c>
      <c r="K37" s="387">
        <f>AVERAGE(J35:J37)</f>
        <v>2.06</v>
      </c>
      <c r="L37" s="445"/>
      <c r="M37" s="255">
        <v>555.20000000000005</v>
      </c>
      <c r="N37" s="387">
        <v>2.0299999999999998</v>
      </c>
      <c r="O37" s="387">
        <f>AVERAGE(N35:N37)</f>
        <v>2.06</v>
      </c>
      <c r="P37" s="387"/>
      <c r="Q37" s="509">
        <v>1615.3</v>
      </c>
      <c r="R37" s="1067">
        <v>2.0099999999999998</v>
      </c>
      <c r="S37" s="387">
        <f>AVERAGE(R35:R37)</f>
        <v>2.06</v>
      </c>
      <c r="T37" s="387"/>
      <c r="U37" s="856">
        <f>SUM(Q35:Q37)</f>
        <v>4685</v>
      </c>
      <c r="V37" s="439"/>
      <c r="X37" s="454">
        <f t="shared" si="2"/>
        <v>43646</v>
      </c>
      <c r="Y37" s="466">
        <v>111.12768699999999</v>
      </c>
      <c r="Z37" s="467">
        <f>SUM(Y35:Y37)</f>
        <v>322.32858799999997</v>
      </c>
      <c r="AA37" s="439"/>
      <c r="AB37" s="265"/>
      <c r="AC37" s="467">
        <v>98.273550999999998</v>
      </c>
      <c r="AD37" s="467">
        <f>SUM(AC35:AC37)</f>
        <v>277.934909</v>
      </c>
      <c r="AE37" s="439"/>
    </row>
    <row r="38" spans="3:31" ht="10.5" customHeight="1">
      <c r="C38" s="408">
        <f t="shared" si="0"/>
        <v>43738</v>
      </c>
      <c r="D38" s="409">
        <v>1.8740000000000001</v>
      </c>
      <c r="E38" s="717">
        <f>AVERAGE(D36:D38)</f>
        <v>1.8623333333333332</v>
      </c>
      <c r="F38" s="758"/>
      <c r="H38" s="450">
        <f t="shared" si="1"/>
        <v>43677</v>
      </c>
      <c r="I38" s="496">
        <v>1099.7</v>
      </c>
      <c r="J38" s="387">
        <v>1.99</v>
      </c>
      <c r="K38" s="387"/>
      <c r="L38" s="445"/>
      <c r="M38" s="255">
        <v>576.1</v>
      </c>
      <c r="N38" s="387">
        <v>1.98</v>
      </c>
      <c r="O38" s="387"/>
      <c r="P38" s="387"/>
      <c r="Q38" s="509">
        <v>1675.8</v>
      </c>
      <c r="R38" s="1067">
        <v>1.98</v>
      </c>
      <c r="S38" s="387"/>
      <c r="T38" s="387"/>
      <c r="U38" s="856"/>
      <c r="V38" s="439"/>
      <c r="X38" s="454">
        <f t="shared" si="2"/>
        <v>43677</v>
      </c>
      <c r="Y38" s="466">
        <v>116.09880699999999</v>
      </c>
      <c r="Z38" s="467"/>
      <c r="AA38" s="439"/>
      <c r="AB38" s="265"/>
      <c r="AC38" s="467">
        <v>102.295052</v>
      </c>
      <c r="AD38" s="467"/>
      <c r="AE38" s="439"/>
    </row>
    <row r="39" spans="3:31" ht="10.5" customHeight="1">
      <c r="C39" s="408">
        <f t="shared" ref="C39:C70" si="3">+EOMONTH(C38,1)</f>
        <v>43769</v>
      </c>
      <c r="D39" s="409">
        <v>1.861</v>
      </c>
      <c r="E39" s="716"/>
      <c r="F39" s="757"/>
      <c r="H39" s="450">
        <f t="shared" si="1"/>
        <v>43708</v>
      </c>
      <c r="I39" s="496">
        <v>1089.5</v>
      </c>
      <c r="J39" s="387">
        <v>1.94</v>
      </c>
      <c r="K39" s="387"/>
      <c r="L39" s="445"/>
      <c r="M39" s="255">
        <v>563.9</v>
      </c>
      <c r="N39" s="387">
        <v>1.95</v>
      </c>
      <c r="O39" s="387"/>
      <c r="P39" s="387"/>
      <c r="Q39" s="509">
        <v>1653.3</v>
      </c>
      <c r="R39" s="1067">
        <v>1.94</v>
      </c>
      <c r="S39" s="387"/>
      <c r="T39" s="387"/>
      <c r="U39" s="856"/>
      <c r="V39" s="439"/>
      <c r="X39" s="454">
        <f t="shared" si="2"/>
        <v>43708</v>
      </c>
      <c r="Y39" s="466">
        <v>114.001622</v>
      </c>
      <c r="Z39" s="467"/>
      <c r="AA39" s="439"/>
      <c r="AB39" s="265"/>
      <c r="AC39" s="467">
        <v>98.411626999999996</v>
      </c>
      <c r="AD39" s="467"/>
      <c r="AE39" s="439"/>
    </row>
    <row r="40" spans="3:31" ht="10.5" customHeight="1">
      <c r="C40" s="408">
        <f t="shared" si="3"/>
        <v>43799</v>
      </c>
      <c r="D40" s="409">
        <v>1.8240000000000001</v>
      </c>
      <c r="E40" s="716"/>
      <c r="F40" s="757"/>
      <c r="H40" s="450">
        <f t="shared" si="1"/>
        <v>43738</v>
      </c>
      <c r="I40" s="496">
        <v>962.6</v>
      </c>
      <c r="J40" s="387">
        <v>1.96</v>
      </c>
      <c r="K40" s="387">
        <f>AVERAGE(J38:J40)</f>
        <v>1.9633333333333332</v>
      </c>
      <c r="L40" s="445"/>
      <c r="M40" s="255">
        <v>514</v>
      </c>
      <c r="N40" s="387">
        <v>1.95</v>
      </c>
      <c r="O40" s="387">
        <f>AVERAGE(N38:N40)</f>
        <v>1.96</v>
      </c>
      <c r="P40" s="387"/>
      <c r="Q40" s="509">
        <v>1476.6</v>
      </c>
      <c r="R40" s="1067">
        <v>1.96</v>
      </c>
      <c r="S40" s="387">
        <f>AVERAGE(R38:R40)</f>
        <v>1.96</v>
      </c>
      <c r="T40" s="387"/>
      <c r="U40" s="856">
        <f>SUM(Q38:Q40)</f>
        <v>4805.7</v>
      </c>
      <c r="V40" s="439"/>
      <c r="X40" s="454">
        <f t="shared" si="2"/>
        <v>43738</v>
      </c>
      <c r="Y40" s="466">
        <v>102.165733</v>
      </c>
      <c r="Z40" s="467">
        <f>SUM(Y38:Y40)</f>
        <v>332.26616200000001</v>
      </c>
      <c r="AA40" s="439"/>
      <c r="AB40" s="265"/>
      <c r="AC40" s="467">
        <v>83.813961000000006</v>
      </c>
      <c r="AD40" s="467">
        <f>SUM(AC38:AC40)</f>
        <v>284.52064000000001</v>
      </c>
      <c r="AE40" s="439"/>
    </row>
    <row r="41" spans="3:31" ht="10.5" customHeight="1">
      <c r="C41" s="408">
        <f t="shared" si="3"/>
        <v>43830</v>
      </c>
      <c r="D41" s="409">
        <v>1.893</v>
      </c>
      <c r="E41" s="717">
        <f>AVERAGE(D39:D41)</f>
        <v>1.8593333333333335</v>
      </c>
      <c r="F41" s="758">
        <f>AVERAGE(E30:E41)</f>
        <v>1.8775833333333334</v>
      </c>
      <c r="H41" s="450">
        <f t="shared" ref="H41:H72" si="4">EOMONTH(H40,1)</f>
        <v>43769</v>
      </c>
      <c r="I41" s="496">
        <v>1033</v>
      </c>
      <c r="J41" s="387">
        <v>1.97</v>
      </c>
      <c r="K41" s="387"/>
      <c r="L41" s="445"/>
      <c r="M41" s="255">
        <v>508.8</v>
      </c>
      <c r="N41" s="387">
        <v>1.97</v>
      </c>
      <c r="O41" s="387"/>
      <c r="P41" s="387"/>
      <c r="Q41" s="509">
        <v>1541.8</v>
      </c>
      <c r="R41" s="1067">
        <v>1.97</v>
      </c>
      <c r="S41" s="387"/>
      <c r="T41" s="387"/>
      <c r="U41" s="856"/>
      <c r="V41" s="439"/>
      <c r="X41" s="454">
        <f t="shared" ref="X41:X67" si="5">EOMONTH(X40,1)</f>
        <v>43769</v>
      </c>
      <c r="Y41" s="466">
        <v>105.75995399999999</v>
      </c>
      <c r="Z41" s="467"/>
      <c r="AA41" s="439"/>
      <c r="AB41" s="265"/>
      <c r="AC41" s="467">
        <v>88.208130999999995</v>
      </c>
      <c r="AD41" s="467"/>
      <c r="AE41" s="439"/>
    </row>
    <row r="42" spans="3:31" ht="10.5" customHeight="1">
      <c r="C42" s="408">
        <f t="shared" si="3"/>
        <v>43861</v>
      </c>
      <c r="D42" s="409">
        <v>1.77</v>
      </c>
      <c r="E42" s="716"/>
      <c r="F42" s="757"/>
      <c r="H42" s="450">
        <f t="shared" si="4"/>
        <v>43799</v>
      </c>
      <c r="I42" s="496">
        <v>986.5</v>
      </c>
      <c r="J42" s="387">
        <v>1.99</v>
      </c>
      <c r="K42" s="387"/>
      <c r="L42" s="445"/>
      <c r="M42" s="255">
        <v>457.7</v>
      </c>
      <c r="N42" s="387">
        <v>1.98</v>
      </c>
      <c r="O42" s="387"/>
      <c r="P42" s="387"/>
      <c r="Q42" s="509">
        <v>1444.2</v>
      </c>
      <c r="R42" s="1067">
        <v>1.99</v>
      </c>
      <c r="S42" s="387"/>
      <c r="T42" s="387"/>
      <c r="U42" s="856"/>
      <c r="V42" s="439"/>
      <c r="X42" s="454">
        <f t="shared" si="5"/>
        <v>43799</v>
      </c>
      <c r="Y42" s="466">
        <v>99.657818000000006</v>
      </c>
      <c r="Z42" s="467"/>
      <c r="AA42" s="439"/>
      <c r="AB42" s="265"/>
      <c r="AC42" s="467">
        <v>81.010193000000001</v>
      </c>
      <c r="AD42" s="467"/>
      <c r="AE42" s="439"/>
    </row>
    <row r="43" spans="3:31" ht="10.5" customHeight="1">
      <c r="C43" s="408">
        <f t="shared" si="3"/>
        <v>43890</v>
      </c>
      <c r="D43" s="409">
        <v>1.5089999999999999</v>
      </c>
      <c r="E43" s="716"/>
      <c r="F43" s="757"/>
      <c r="H43" s="450">
        <f t="shared" si="4"/>
        <v>43830</v>
      </c>
      <c r="I43" s="496">
        <v>1059</v>
      </c>
      <c r="J43" s="387">
        <v>2.0099999999999998</v>
      </c>
      <c r="K43" s="387">
        <f>AVERAGE(J41:J43)</f>
        <v>1.99</v>
      </c>
      <c r="L43" s="445">
        <f>AVERAGE(J32:J43)</f>
        <v>1.9966666666666668</v>
      </c>
      <c r="M43" s="255">
        <v>493</v>
      </c>
      <c r="N43" s="387">
        <v>1.99</v>
      </c>
      <c r="O43" s="387">
        <f>AVERAGE(N41:N43)</f>
        <v>1.9800000000000002</v>
      </c>
      <c r="P43" s="387">
        <f>AVERAGE(N32:N43)</f>
        <v>1.9924999999999997</v>
      </c>
      <c r="Q43" s="509">
        <v>1552.1</v>
      </c>
      <c r="R43" s="1067">
        <v>2</v>
      </c>
      <c r="S43" s="387">
        <f>AVERAGE(R41:R43)</f>
        <v>1.9866666666666666</v>
      </c>
      <c r="T43" s="387">
        <f>AVERAGE(R32:R43)</f>
        <v>1.9941666666666666</v>
      </c>
      <c r="U43" s="856">
        <f>SUM(Q41:Q43)</f>
        <v>4538.1000000000004</v>
      </c>
      <c r="V43" s="439">
        <f>SUM(Q32:Q43)</f>
        <v>18269.099999999995</v>
      </c>
      <c r="X43" s="454">
        <f t="shared" si="5"/>
        <v>43830</v>
      </c>
      <c r="Y43" s="466">
        <v>106.290423</v>
      </c>
      <c r="Z43" s="467">
        <f>SUM(Y41:Y43)</f>
        <v>311.70819500000005</v>
      </c>
      <c r="AA43" s="439">
        <f>SUM(Y32:Y43)</f>
        <v>1259.4765209999998</v>
      </c>
      <c r="AB43" s="265"/>
      <c r="AC43" s="467">
        <v>90.389583000000002</v>
      </c>
      <c r="AD43" s="467">
        <f>SUM(AC41:AC43)</f>
        <v>259.60790700000001</v>
      </c>
      <c r="AE43" s="439">
        <f>SUM(AC32:AC43)</f>
        <v>1061.0051359999998</v>
      </c>
    </row>
    <row r="44" spans="3:31" ht="10.5" customHeight="1">
      <c r="C44" s="408">
        <f t="shared" si="3"/>
        <v>43921</v>
      </c>
      <c r="D44" s="409">
        <v>0.95299999999999996</v>
      </c>
      <c r="E44" s="717">
        <f>AVERAGE(D42:D44)</f>
        <v>1.4106666666666667</v>
      </c>
      <c r="F44" s="758"/>
      <c r="H44" s="450">
        <f t="shared" si="4"/>
        <v>43861</v>
      </c>
      <c r="I44" s="496">
        <v>982.3</v>
      </c>
      <c r="J44" s="387">
        <v>1.99</v>
      </c>
      <c r="K44" s="387"/>
      <c r="L44" s="445"/>
      <c r="M44" s="255">
        <v>478.5</v>
      </c>
      <c r="N44" s="387">
        <v>1.97</v>
      </c>
      <c r="O44" s="387"/>
      <c r="P44" s="387"/>
      <c r="Q44" s="509">
        <v>1460.9</v>
      </c>
      <c r="R44" s="1067">
        <v>1.98</v>
      </c>
      <c r="S44" s="387"/>
      <c r="T44" s="387"/>
      <c r="U44" s="856"/>
      <c r="V44" s="439"/>
      <c r="X44" s="454">
        <f t="shared" si="5"/>
        <v>43861</v>
      </c>
      <c r="Y44" s="466">
        <v>102.366929</v>
      </c>
      <c r="Z44" s="467"/>
      <c r="AA44" s="439"/>
      <c r="AB44" s="265"/>
      <c r="AC44" s="467">
        <v>81.536354000000003</v>
      </c>
      <c r="AD44" s="467"/>
      <c r="AE44" s="439"/>
    </row>
    <row r="45" spans="3:31" ht="10.5" customHeight="1">
      <c r="C45" s="408">
        <f t="shared" si="3"/>
        <v>43951</v>
      </c>
      <c r="D45" s="409">
        <v>0.60599999999999998</v>
      </c>
      <c r="E45" s="716"/>
      <c r="F45" s="757"/>
      <c r="H45" s="450">
        <f t="shared" si="4"/>
        <v>43890</v>
      </c>
      <c r="I45" s="496">
        <v>926.9</v>
      </c>
      <c r="J45" s="387">
        <v>1.79</v>
      </c>
      <c r="K45" s="387"/>
      <c r="L45" s="445"/>
      <c r="M45" s="255">
        <v>402.1</v>
      </c>
      <c r="N45" s="387">
        <v>1.84</v>
      </c>
      <c r="O45" s="387"/>
      <c r="P45" s="387"/>
      <c r="Q45" s="509">
        <v>1329</v>
      </c>
      <c r="R45" s="1067">
        <v>1.81</v>
      </c>
      <c r="S45" s="387"/>
      <c r="T45" s="387"/>
      <c r="U45" s="856"/>
      <c r="V45" s="439"/>
      <c r="X45" s="454">
        <f t="shared" si="5"/>
        <v>43890</v>
      </c>
      <c r="Y45" s="466">
        <v>94.107175999999995</v>
      </c>
      <c r="Z45" s="467"/>
      <c r="AA45" s="439"/>
      <c r="AB45" s="265"/>
      <c r="AC45" s="467">
        <v>74.428889999999996</v>
      </c>
      <c r="AD45" s="467"/>
      <c r="AE45" s="439"/>
    </row>
    <row r="46" spans="3:31" ht="10.5" customHeight="1">
      <c r="C46" s="408">
        <f t="shared" si="3"/>
        <v>43982</v>
      </c>
      <c r="D46" s="409">
        <v>0.68600000000000005</v>
      </c>
      <c r="E46" s="716"/>
      <c r="F46" s="757"/>
      <c r="H46" s="450">
        <f t="shared" si="4"/>
        <v>43921</v>
      </c>
      <c r="I46" s="496">
        <v>848.2</v>
      </c>
      <c r="J46" s="387">
        <v>1.46</v>
      </c>
      <c r="K46" s="387">
        <f>AVERAGE(J44:J46)</f>
        <v>1.7466666666666668</v>
      </c>
      <c r="L46" s="445"/>
      <c r="M46" s="255">
        <v>320.2</v>
      </c>
      <c r="N46" s="387">
        <v>1.52</v>
      </c>
      <c r="O46" s="387">
        <f>AVERAGE(N44:N46)</f>
        <v>1.7766666666666666</v>
      </c>
      <c r="P46" s="387"/>
      <c r="Q46" s="509">
        <v>1168.4000000000001</v>
      </c>
      <c r="R46" s="1067">
        <v>1.48</v>
      </c>
      <c r="S46" s="387">
        <f>AVERAGE(R44:R46)</f>
        <v>1.7566666666666666</v>
      </c>
      <c r="T46" s="387"/>
      <c r="U46" s="856">
        <f>SUM(Q44:Q46)</f>
        <v>3958.3</v>
      </c>
      <c r="V46" s="439"/>
      <c r="X46" s="454">
        <f t="shared" si="5"/>
        <v>43921</v>
      </c>
      <c r="Y46" s="466">
        <v>83.618893</v>
      </c>
      <c r="Z46" s="467">
        <f>SUM(Y44:Y46)</f>
        <v>280.09299800000002</v>
      </c>
      <c r="AA46" s="439"/>
      <c r="AB46" s="265"/>
      <c r="AC46" s="467">
        <v>43.175176999999998</v>
      </c>
      <c r="AD46" s="467">
        <f>SUM(AC44:AC46)</f>
        <v>199.14042099999998</v>
      </c>
      <c r="AE46" s="439"/>
    </row>
    <row r="47" spans="3:31" ht="10.5" customHeight="1">
      <c r="C47" s="408">
        <f t="shared" si="3"/>
        <v>44012</v>
      </c>
      <c r="D47" s="409">
        <v>0.98299999999999998</v>
      </c>
      <c r="E47" s="717">
        <f>AVERAGE(D45:D47)</f>
        <v>0.7583333333333333</v>
      </c>
      <c r="F47" s="758"/>
      <c r="H47" s="450">
        <f t="shared" si="4"/>
        <v>43951</v>
      </c>
      <c r="I47" s="496">
        <v>313</v>
      </c>
      <c r="J47" s="387">
        <v>1.45</v>
      </c>
      <c r="K47" s="387"/>
      <c r="L47" s="445"/>
      <c r="M47" s="255">
        <v>133.80000000000001</v>
      </c>
      <c r="N47" s="387">
        <v>1.21</v>
      </c>
      <c r="O47" s="387"/>
      <c r="P47" s="387"/>
      <c r="Q47" s="509">
        <v>446.9</v>
      </c>
      <c r="R47" s="1067">
        <v>1.38</v>
      </c>
      <c r="S47" s="387"/>
      <c r="T47" s="387"/>
      <c r="U47" s="856"/>
      <c r="V47" s="439"/>
      <c r="X47" s="454">
        <f t="shared" si="5"/>
        <v>43951</v>
      </c>
      <c r="Y47" s="466">
        <v>21.700144999999999</v>
      </c>
      <c r="Z47" s="467"/>
      <c r="AA47" s="439"/>
      <c r="AB47" s="265"/>
      <c r="AC47" s="467">
        <v>3.0867770000000001</v>
      </c>
      <c r="AD47" s="467"/>
      <c r="AE47" s="439"/>
    </row>
    <row r="48" spans="3:31" ht="10.5" customHeight="1">
      <c r="C48" s="408">
        <f t="shared" si="3"/>
        <v>44043</v>
      </c>
      <c r="D48" s="409">
        <v>1.0840000000000001</v>
      </c>
      <c r="E48" s="716"/>
      <c r="F48" s="757"/>
      <c r="H48" s="450">
        <f t="shared" si="4"/>
        <v>43982</v>
      </c>
      <c r="I48" s="496">
        <v>297</v>
      </c>
      <c r="J48" s="387">
        <v>1.07</v>
      </c>
      <c r="K48" s="387"/>
      <c r="L48" s="445"/>
      <c r="M48" s="255">
        <v>156.4</v>
      </c>
      <c r="N48" s="387">
        <v>0.96</v>
      </c>
      <c r="O48" s="387"/>
      <c r="P48" s="387"/>
      <c r="Q48" s="509">
        <v>453.4</v>
      </c>
      <c r="R48" s="1067">
        <v>1.03</v>
      </c>
      <c r="S48" s="387"/>
      <c r="T48" s="387"/>
      <c r="U48" s="856"/>
      <c r="V48" s="439"/>
      <c r="X48" s="454">
        <f t="shared" si="5"/>
        <v>43982</v>
      </c>
      <c r="Y48" s="466">
        <v>19.642593000000002</v>
      </c>
      <c r="Z48" s="467"/>
      <c r="AA48" s="439"/>
      <c r="AB48" s="265"/>
      <c r="AC48" s="467">
        <v>7.3733380000000004</v>
      </c>
      <c r="AD48" s="467"/>
      <c r="AE48" s="439"/>
    </row>
    <row r="49" spans="3:31" ht="10.5" customHeight="1">
      <c r="C49" s="408">
        <f t="shared" si="3"/>
        <v>44074</v>
      </c>
      <c r="D49" s="409">
        <v>1.1120000000000001</v>
      </c>
      <c r="E49" s="716"/>
      <c r="F49" s="757"/>
      <c r="H49" s="450">
        <f t="shared" si="4"/>
        <v>44012</v>
      </c>
      <c r="I49" s="496">
        <v>393.5</v>
      </c>
      <c r="J49" s="387">
        <v>1.1299999999999999</v>
      </c>
      <c r="K49" s="387">
        <f>AVERAGE(J47:J49)</f>
        <v>1.2166666666666666</v>
      </c>
      <c r="L49" s="445"/>
      <c r="M49" s="255">
        <v>164.4</v>
      </c>
      <c r="N49" s="387">
        <v>0.98</v>
      </c>
      <c r="O49" s="387">
        <f>AVERAGE(N47:N49)</f>
        <v>1.05</v>
      </c>
      <c r="P49" s="387"/>
      <c r="Q49" s="509">
        <v>558</v>
      </c>
      <c r="R49" s="1067">
        <v>1.08</v>
      </c>
      <c r="S49" s="387">
        <f>AVERAGE(R47:R49)</f>
        <v>1.1633333333333333</v>
      </c>
      <c r="T49" s="387"/>
      <c r="U49" s="856">
        <f>SUM(Q47:Q49)</f>
        <v>1458.3</v>
      </c>
      <c r="V49" s="439"/>
      <c r="X49" s="454">
        <f t="shared" si="5"/>
        <v>44012</v>
      </c>
      <c r="Y49" s="466">
        <v>28.168673999999999</v>
      </c>
      <c r="Z49" s="467">
        <f>SUM(Y47:Y49)</f>
        <v>69.511411999999993</v>
      </c>
      <c r="AA49" s="439"/>
      <c r="AB49" s="265"/>
      <c r="AC49" s="467">
        <v>15.137813</v>
      </c>
      <c r="AD49" s="467">
        <f>SUM(AC47:AC49)</f>
        <v>25.597928</v>
      </c>
      <c r="AE49" s="439"/>
    </row>
    <row r="50" spans="3:31" ht="10.5" customHeight="1">
      <c r="C50" s="408">
        <f t="shared" si="3"/>
        <v>44104</v>
      </c>
      <c r="D50" s="409">
        <v>1.006</v>
      </c>
      <c r="E50" s="717">
        <f>AVERAGE(D48:D50)</f>
        <v>1.0673333333333332</v>
      </c>
      <c r="F50" s="758"/>
      <c r="H50" s="450">
        <f t="shared" si="4"/>
        <v>44043</v>
      </c>
      <c r="I50" s="496">
        <v>565.70000000000005</v>
      </c>
      <c r="J50" s="387">
        <v>1.18</v>
      </c>
      <c r="K50" s="387"/>
      <c r="L50" s="445"/>
      <c r="M50" s="255">
        <v>197.4</v>
      </c>
      <c r="N50" s="387">
        <v>1.1599999999999999</v>
      </c>
      <c r="O50" s="387"/>
      <c r="P50" s="387"/>
      <c r="Q50" s="509">
        <v>763.1</v>
      </c>
      <c r="R50" s="1067">
        <v>1.17</v>
      </c>
      <c r="S50" s="387"/>
      <c r="T50" s="387"/>
      <c r="U50" s="856"/>
      <c r="V50" s="439"/>
      <c r="X50" s="454">
        <f t="shared" si="5"/>
        <v>44043</v>
      </c>
      <c r="Y50" s="466">
        <v>46.802627000000001</v>
      </c>
      <c r="Z50" s="467"/>
      <c r="AA50" s="439"/>
      <c r="AB50" s="265"/>
      <c r="AC50" s="467">
        <v>22.438880999999999</v>
      </c>
      <c r="AD50" s="467"/>
      <c r="AE50" s="439"/>
    </row>
    <row r="51" spans="3:31" ht="10.5" customHeight="1">
      <c r="C51" s="408">
        <f t="shared" si="3"/>
        <v>44135</v>
      </c>
      <c r="D51" s="409">
        <v>1.0469999999999999</v>
      </c>
      <c r="E51" s="716"/>
      <c r="F51" s="757"/>
      <c r="H51" s="450">
        <f t="shared" si="4"/>
        <v>44074</v>
      </c>
      <c r="I51" s="496">
        <v>589.1</v>
      </c>
      <c r="J51" s="387">
        <v>1.21</v>
      </c>
      <c r="K51" s="387"/>
      <c r="L51" s="445"/>
      <c r="M51" s="255">
        <v>212.5</v>
      </c>
      <c r="N51" s="387">
        <v>1.2</v>
      </c>
      <c r="O51" s="387"/>
      <c r="P51" s="387"/>
      <c r="Q51" s="509">
        <v>801.6</v>
      </c>
      <c r="R51" s="1067">
        <v>1.21</v>
      </c>
      <c r="S51" s="387"/>
      <c r="T51" s="387"/>
      <c r="U51" s="856"/>
      <c r="V51" s="439"/>
      <c r="X51" s="454">
        <f t="shared" si="5"/>
        <v>44074</v>
      </c>
      <c r="Y51" s="466">
        <v>50.699638</v>
      </c>
      <c r="Z51" s="467"/>
      <c r="AA51" s="439"/>
      <c r="AB51" s="265"/>
      <c r="AC51" s="467">
        <v>23.886246</v>
      </c>
      <c r="AD51" s="467"/>
      <c r="AE51" s="439"/>
    </row>
    <row r="52" spans="3:31" ht="10.5" customHeight="1">
      <c r="C52" s="408">
        <f t="shared" si="3"/>
        <v>44165</v>
      </c>
      <c r="D52" s="409">
        <v>1.133</v>
      </c>
      <c r="E52" s="716"/>
      <c r="F52" s="757"/>
      <c r="H52" s="450">
        <f t="shared" si="4"/>
        <v>44104</v>
      </c>
      <c r="I52" s="496">
        <v>508.5</v>
      </c>
      <c r="J52" s="387">
        <v>1.18</v>
      </c>
      <c r="K52" s="387">
        <f>AVERAGE(J50:J52)</f>
        <v>1.1899999999999997</v>
      </c>
      <c r="L52" s="445"/>
      <c r="M52" s="255">
        <v>219.4</v>
      </c>
      <c r="N52" s="387">
        <v>1.1499999999999999</v>
      </c>
      <c r="O52" s="387">
        <f>AVERAGE(N50:N52)</f>
        <v>1.17</v>
      </c>
      <c r="P52" s="387"/>
      <c r="Q52" s="509">
        <v>727.9</v>
      </c>
      <c r="R52" s="1067">
        <v>1.17</v>
      </c>
      <c r="S52" s="387">
        <f>AVERAGE(R50:R52)</f>
        <v>1.1833333333333333</v>
      </c>
      <c r="T52" s="387"/>
      <c r="U52" s="856">
        <f>SUM(Q50:Q52)</f>
        <v>2292.6</v>
      </c>
      <c r="V52" s="439"/>
      <c r="X52" s="454">
        <f t="shared" si="5"/>
        <v>44104</v>
      </c>
      <c r="Y52" s="466">
        <v>44.178713000000002</v>
      </c>
      <c r="Z52" s="467">
        <f>SUM(Y50:Y52)</f>
        <v>141.68097799999998</v>
      </c>
      <c r="AA52" s="439"/>
      <c r="AB52" s="265"/>
      <c r="AC52" s="467">
        <v>23.384159</v>
      </c>
      <c r="AD52" s="467">
        <f>SUM(AC50:AC52)</f>
        <v>69.709285999999992</v>
      </c>
      <c r="AE52" s="439"/>
    </row>
    <row r="53" spans="3:31" ht="10.5" customHeight="1">
      <c r="C53" s="408">
        <f t="shared" si="3"/>
        <v>44196</v>
      </c>
      <c r="D53" s="409">
        <v>1.3240000000000001</v>
      </c>
      <c r="E53" s="717">
        <f>AVERAGE(D51:D53)</f>
        <v>1.1679999999999999</v>
      </c>
      <c r="F53" s="758">
        <f>AVERAGE(E42:E53)</f>
        <v>1.1010833333333334</v>
      </c>
      <c r="H53" s="450">
        <f t="shared" si="4"/>
        <v>44135</v>
      </c>
      <c r="I53" s="496">
        <v>568.9</v>
      </c>
      <c r="J53" s="387">
        <v>1.1399999999999999</v>
      </c>
      <c r="K53" s="387"/>
      <c r="L53" s="445"/>
      <c r="M53" s="255">
        <v>238.5</v>
      </c>
      <c r="N53" s="387">
        <v>1.1200000000000001</v>
      </c>
      <c r="O53" s="387"/>
      <c r="P53" s="387"/>
      <c r="Q53" s="509">
        <v>807.4</v>
      </c>
      <c r="R53" s="1067">
        <v>1.1399999999999999</v>
      </c>
      <c r="S53" s="387"/>
      <c r="T53" s="387"/>
      <c r="U53" s="856"/>
      <c r="V53" s="439"/>
      <c r="X53" s="454">
        <f t="shared" si="5"/>
        <v>44135</v>
      </c>
      <c r="Y53" s="466">
        <v>50.458540999999997</v>
      </c>
      <c r="Z53" s="467"/>
      <c r="AA53" s="439"/>
      <c r="AB53" s="265"/>
      <c r="AC53" s="467">
        <v>28.273260000000001</v>
      </c>
      <c r="AD53" s="467"/>
      <c r="AE53" s="439"/>
    </row>
    <row r="54" spans="3:31" ht="10.5" customHeight="1">
      <c r="C54" s="408">
        <f t="shared" si="3"/>
        <v>44227</v>
      </c>
      <c r="D54" s="409">
        <v>1.42</v>
      </c>
      <c r="E54" s="716"/>
      <c r="F54" s="757"/>
      <c r="H54" s="450">
        <f t="shared" si="4"/>
        <v>44165</v>
      </c>
      <c r="I54" s="496">
        <v>593</v>
      </c>
      <c r="J54" s="387">
        <v>1.21</v>
      </c>
      <c r="K54" s="387"/>
      <c r="L54" s="445"/>
      <c r="M54" s="255">
        <v>251.6</v>
      </c>
      <c r="N54" s="387">
        <v>1.17</v>
      </c>
      <c r="O54" s="387"/>
      <c r="P54" s="387"/>
      <c r="Q54" s="509">
        <v>844.6</v>
      </c>
      <c r="R54" s="1067">
        <v>1.2</v>
      </c>
      <c r="S54" s="387"/>
      <c r="T54" s="387"/>
      <c r="U54" s="856"/>
      <c r="V54" s="439"/>
      <c r="X54" s="454">
        <f t="shared" si="5"/>
        <v>44165</v>
      </c>
      <c r="Y54" s="466">
        <v>54.639643999999997</v>
      </c>
      <c r="Z54" s="467"/>
      <c r="AA54" s="439"/>
      <c r="AB54" s="265"/>
      <c r="AC54" s="467">
        <v>28.292646999999999</v>
      </c>
      <c r="AD54" s="467"/>
      <c r="AE54" s="439"/>
    </row>
    <row r="55" spans="3:31" ht="10.5" customHeight="1">
      <c r="C55" s="408">
        <f t="shared" si="3"/>
        <v>44255</v>
      </c>
      <c r="D55" s="409">
        <v>1.601</v>
      </c>
      <c r="E55" s="716"/>
      <c r="F55" s="757"/>
      <c r="H55" s="450">
        <f t="shared" si="4"/>
        <v>44196</v>
      </c>
      <c r="I55" s="496">
        <v>646.70000000000005</v>
      </c>
      <c r="J55" s="387">
        <v>1.47</v>
      </c>
      <c r="K55" s="387">
        <f>AVERAGE(J53:J55)</f>
        <v>1.2733333333333332</v>
      </c>
      <c r="L55" s="445">
        <f>AVERAGE(J44:J55)</f>
        <v>1.3566666666666667</v>
      </c>
      <c r="M55" s="255">
        <v>271.8</v>
      </c>
      <c r="N55" s="387">
        <v>1.4</v>
      </c>
      <c r="O55" s="387">
        <f>AVERAGE(N53:N55)</f>
        <v>1.23</v>
      </c>
      <c r="P55" s="387">
        <f>AVERAGE(N44:N55)</f>
        <v>1.3066666666666666</v>
      </c>
      <c r="Q55" s="509">
        <v>918.4</v>
      </c>
      <c r="R55" s="1067">
        <v>1.45</v>
      </c>
      <c r="S55" s="387">
        <f>AVERAGE(R53:R55)</f>
        <v>1.2633333333333334</v>
      </c>
      <c r="T55" s="387">
        <f>AVERAGE(R44:R55)</f>
        <v>1.3416666666666668</v>
      </c>
      <c r="U55" s="856">
        <f>SUM(Q53:Q55)</f>
        <v>2570.4</v>
      </c>
      <c r="V55" s="439">
        <f>SUM(Q44:Q55)</f>
        <v>10279.6</v>
      </c>
      <c r="X55" s="454">
        <f t="shared" si="5"/>
        <v>44196</v>
      </c>
      <c r="Y55" s="466">
        <v>58.153830999999997</v>
      </c>
      <c r="Z55" s="467">
        <f>SUM(Y53:Y55)</f>
        <v>163.252016</v>
      </c>
      <c r="AA55" s="439">
        <f>SUM(Y44:Y55)</f>
        <v>654.53740400000004</v>
      </c>
      <c r="AB55" s="265"/>
      <c r="AC55" s="467">
        <v>31.081672000000001</v>
      </c>
      <c r="AD55" s="467">
        <f>SUM(AC53:AC55)</f>
        <v>87.647578999999993</v>
      </c>
      <c r="AE55" s="439">
        <f>SUM(AC44:AC55)</f>
        <v>382.095214</v>
      </c>
    </row>
    <row r="56" spans="3:31" ht="10.5" customHeight="1">
      <c r="C56" s="408">
        <f t="shared" si="3"/>
        <v>44286</v>
      </c>
      <c r="D56" s="409">
        <v>1.661</v>
      </c>
      <c r="E56" s="717">
        <f>AVERAGE(D54:D56)</f>
        <v>1.5606666666666669</v>
      </c>
      <c r="F56" s="758"/>
      <c r="H56" s="450">
        <f t="shared" si="4"/>
        <v>44227</v>
      </c>
      <c r="I56" s="496">
        <v>579</v>
      </c>
      <c r="J56" s="387">
        <v>1.52</v>
      </c>
      <c r="K56" s="387"/>
      <c r="L56" s="445"/>
      <c r="M56" s="255">
        <v>265.2</v>
      </c>
      <c r="N56" s="387">
        <v>1.49</v>
      </c>
      <c r="O56" s="387"/>
      <c r="P56" s="387"/>
      <c r="Q56" s="509">
        <v>844.2</v>
      </c>
      <c r="R56" s="1067">
        <v>1.51</v>
      </c>
      <c r="S56" s="387"/>
      <c r="T56" s="387"/>
      <c r="U56" s="856"/>
      <c r="V56" s="439"/>
      <c r="X56" s="454">
        <f t="shared" si="5"/>
        <v>44227</v>
      </c>
      <c r="Y56" s="466">
        <v>66.077704999999995</v>
      </c>
      <c r="Z56" s="467"/>
      <c r="AA56" s="439"/>
      <c r="AB56" s="265"/>
      <c r="AC56" s="467">
        <v>39.193877000000001</v>
      </c>
      <c r="AD56" s="467"/>
      <c r="AE56" s="439"/>
    </row>
    <row r="57" spans="3:31" ht="10.5" customHeight="1">
      <c r="C57" s="408">
        <f t="shared" si="3"/>
        <v>44316</v>
      </c>
      <c r="D57" s="409">
        <v>1.669</v>
      </c>
      <c r="E57" s="716"/>
      <c r="F57" s="757"/>
      <c r="H57" s="450">
        <f t="shared" si="4"/>
        <v>44255</v>
      </c>
      <c r="I57" s="496">
        <v>525.79999999999995</v>
      </c>
      <c r="J57" s="387">
        <v>1.61</v>
      </c>
      <c r="K57" s="387"/>
      <c r="L57" s="445"/>
      <c r="M57" s="255">
        <v>230.7</v>
      </c>
      <c r="N57" s="387">
        <v>1.56</v>
      </c>
      <c r="O57" s="387"/>
      <c r="P57" s="387"/>
      <c r="Q57" s="509">
        <v>756.5</v>
      </c>
      <c r="R57" s="1067">
        <v>1.6</v>
      </c>
      <c r="S57" s="387"/>
      <c r="T57" s="387"/>
      <c r="U57" s="856"/>
      <c r="V57" s="439"/>
      <c r="X57" s="454">
        <f t="shared" si="5"/>
        <v>44255</v>
      </c>
      <c r="Y57" s="466">
        <v>49.59243</v>
      </c>
      <c r="Z57" s="467"/>
      <c r="AA57" s="439"/>
      <c r="AB57" s="265"/>
      <c r="AC57" s="467">
        <v>26.554061999999998</v>
      </c>
      <c r="AD57" s="467"/>
      <c r="AE57" s="439"/>
    </row>
    <row r="58" spans="3:31" ht="10.5" customHeight="1">
      <c r="C58" s="408">
        <f t="shared" si="3"/>
        <v>44347</v>
      </c>
      <c r="D58" s="409">
        <v>1.752</v>
      </c>
      <c r="E58" s="716"/>
      <c r="F58" s="757"/>
      <c r="H58" s="450">
        <f t="shared" si="4"/>
        <v>44286</v>
      </c>
      <c r="I58" s="496">
        <v>713.6</v>
      </c>
      <c r="J58" s="387">
        <v>1.87</v>
      </c>
      <c r="K58" s="387">
        <f>AVERAGE(J56:J58)</f>
        <v>1.6666666666666667</v>
      </c>
      <c r="L58" s="445"/>
      <c r="M58" s="255">
        <v>289.7</v>
      </c>
      <c r="N58" s="387">
        <v>1.8</v>
      </c>
      <c r="O58" s="387">
        <f>AVERAGE(N56:N58)</f>
        <v>1.6166666666666665</v>
      </c>
      <c r="P58" s="387"/>
      <c r="Q58" s="509">
        <v>1003.3</v>
      </c>
      <c r="R58" s="1067">
        <v>1.85</v>
      </c>
      <c r="S58" s="387">
        <f>AVERAGE(R56:R58)</f>
        <v>1.6533333333333335</v>
      </c>
      <c r="T58" s="387"/>
      <c r="U58" s="856">
        <f>SUM(Q56:Q58)</f>
        <v>2604</v>
      </c>
      <c r="V58" s="439"/>
      <c r="X58" s="454">
        <f t="shared" si="5"/>
        <v>44286</v>
      </c>
      <c r="Y58" s="466">
        <v>68.162822000000006</v>
      </c>
      <c r="Z58" s="467">
        <f>SUM(Y56:Y58)</f>
        <v>183.83295699999999</v>
      </c>
      <c r="AA58" s="439"/>
      <c r="AB58" s="265"/>
      <c r="AC58" s="467">
        <v>42.987648999999998</v>
      </c>
      <c r="AD58" s="467">
        <f>SUM(AC56:AC58)</f>
        <v>108.73558800000001</v>
      </c>
      <c r="AE58" s="439"/>
    </row>
    <row r="59" spans="3:31" ht="10.5" customHeight="1">
      <c r="C59" s="408">
        <f t="shared" si="3"/>
        <v>44377</v>
      </c>
      <c r="D59" s="409">
        <v>1.857</v>
      </c>
      <c r="E59" s="717">
        <f>AVERAGE(D57:D59)</f>
        <v>1.7593333333333334</v>
      </c>
      <c r="F59" s="758"/>
      <c r="H59" s="450">
        <f t="shared" si="4"/>
        <v>44316</v>
      </c>
      <c r="I59" s="496">
        <v>739.8</v>
      </c>
      <c r="J59" s="387">
        <v>1.76</v>
      </c>
      <c r="K59" s="387"/>
      <c r="L59" s="445"/>
      <c r="M59" s="255">
        <v>300.2</v>
      </c>
      <c r="N59" s="387">
        <v>1.73</v>
      </c>
      <c r="O59" s="387"/>
      <c r="P59" s="387"/>
      <c r="Q59" s="509">
        <v>1040</v>
      </c>
      <c r="R59" s="1067">
        <v>1.75</v>
      </c>
      <c r="S59" s="387"/>
      <c r="T59" s="387"/>
      <c r="U59" s="856"/>
      <c r="V59" s="439"/>
      <c r="X59" s="454">
        <f t="shared" si="5"/>
        <v>44316</v>
      </c>
      <c r="Y59" s="466">
        <v>70.225395000000006</v>
      </c>
      <c r="Z59" s="467"/>
      <c r="AA59" s="439"/>
      <c r="AB59" s="265"/>
      <c r="AC59" s="467">
        <v>48.141745</v>
      </c>
      <c r="AD59" s="467"/>
      <c r="AE59" s="439"/>
    </row>
    <row r="60" spans="3:31" ht="10.5" customHeight="1">
      <c r="C60" s="408">
        <f t="shared" si="3"/>
        <v>44408</v>
      </c>
      <c r="D60" s="409">
        <v>1.887</v>
      </c>
      <c r="E60" s="716"/>
      <c r="F60" s="757"/>
      <c r="H60" s="450">
        <f t="shared" si="4"/>
        <v>44347</v>
      </c>
      <c r="I60" s="496">
        <v>819.4</v>
      </c>
      <c r="J60" s="387">
        <v>1.99</v>
      </c>
      <c r="K60" s="387"/>
      <c r="L60" s="445"/>
      <c r="M60" s="255">
        <v>318.60000000000002</v>
      </c>
      <c r="N60" s="387">
        <v>1.94</v>
      </c>
      <c r="O60" s="387"/>
      <c r="P60" s="387"/>
      <c r="Q60" s="509">
        <v>1138</v>
      </c>
      <c r="R60" s="1067">
        <v>1.98</v>
      </c>
      <c r="S60" s="387"/>
      <c r="T60" s="387"/>
      <c r="U60" s="856"/>
      <c r="V60" s="439"/>
      <c r="X60" s="454">
        <f t="shared" si="5"/>
        <v>44347</v>
      </c>
      <c r="Y60" s="466">
        <v>77.697993999999994</v>
      </c>
      <c r="Z60" s="467"/>
      <c r="AA60" s="439"/>
      <c r="AB60" s="265"/>
      <c r="AC60" s="467">
        <v>58.175406000000002</v>
      </c>
      <c r="AD60" s="467"/>
      <c r="AE60" s="439"/>
    </row>
    <row r="61" spans="3:31" ht="10.5" customHeight="1">
      <c r="C61" s="408">
        <f t="shared" si="3"/>
        <v>44439</v>
      </c>
      <c r="D61" s="409">
        <v>1.8169999999999999</v>
      </c>
      <c r="E61" s="716"/>
      <c r="F61" s="757"/>
      <c r="H61" s="450">
        <f t="shared" si="4"/>
        <v>44377</v>
      </c>
      <c r="I61" s="496">
        <v>897.7</v>
      </c>
      <c r="J61" s="387">
        <v>2.0299999999999998</v>
      </c>
      <c r="K61" s="387">
        <f>AVERAGE(J59:J61)</f>
        <v>1.9266666666666665</v>
      </c>
      <c r="L61" s="445"/>
      <c r="M61" s="255">
        <v>332</v>
      </c>
      <c r="N61" s="387">
        <v>1.98</v>
      </c>
      <c r="O61" s="387">
        <f>AVERAGE(N59:N61)</f>
        <v>1.8833333333333335</v>
      </c>
      <c r="P61" s="387"/>
      <c r="Q61" s="509">
        <v>1229.7</v>
      </c>
      <c r="R61" s="1067">
        <v>2.02</v>
      </c>
      <c r="S61" s="387">
        <f>AVERAGE(R59:R61)</f>
        <v>1.9166666666666667</v>
      </c>
      <c r="T61" s="387"/>
      <c r="U61" s="856">
        <f>SUM(Q59:Q61)</f>
        <v>3407.7</v>
      </c>
      <c r="V61" s="439"/>
      <c r="X61" s="454">
        <f t="shared" si="5"/>
        <v>44377</v>
      </c>
      <c r="Y61" s="466">
        <v>85.566231000000002</v>
      </c>
      <c r="Z61" s="467">
        <f>SUM(Y59:Y61)</f>
        <v>233.48962</v>
      </c>
      <c r="AA61" s="439"/>
      <c r="AB61" s="265"/>
      <c r="AC61" s="467">
        <v>68.908575999999996</v>
      </c>
      <c r="AD61" s="467">
        <f>SUM(AC59:AC61)</f>
        <v>175.22572700000001</v>
      </c>
      <c r="AE61" s="439"/>
    </row>
    <row r="62" spans="3:31" ht="10.5" customHeight="1">
      <c r="C62" s="408">
        <f t="shared" si="3"/>
        <v>44469</v>
      </c>
      <c r="D62" s="409">
        <v>2.0030000000000001</v>
      </c>
      <c r="E62" s="717">
        <f>AVERAGE(D60:D62)</f>
        <v>1.9023333333333332</v>
      </c>
      <c r="F62" s="758"/>
      <c r="H62" s="450">
        <f t="shared" si="4"/>
        <v>44408</v>
      </c>
      <c r="I62" s="496">
        <v>993.7</v>
      </c>
      <c r="J62" s="387">
        <v>1.99</v>
      </c>
      <c r="K62" s="387"/>
      <c r="L62" s="445"/>
      <c r="M62" s="255">
        <v>354.5</v>
      </c>
      <c r="N62" s="387">
        <v>1.99</v>
      </c>
      <c r="O62" s="387"/>
      <c r="P62" s="387"/>
      <c r="Q62" s="509">
        <v>1348.2</v>
      </c>
      <c r="R62" s="1067">
        <v>1.99</v>
      </c>
      <c r="S62" s="387"/>
      <c r="T62" s="387"/>
      <c r="U62" s="856"/>
      <c r="V62" s="439"/>
      <c r="X62" s="454">
        <f t="shared" si="5"/>
        <v>44408</v>
      </c>
      <c r="Y62" s="466">
        <v>93.985957999999997</v>
      </c>
      <c r="Z62" s="467"/>
      <c r="AA62" s="439"/>
      <c r="AB62" s="265"/>
      <c r="AC62" s="467">
        <v>78.638700999999998</v>
      </c>
      <c r="AD62" s="467"/>
      <c r="AE62" s="439"/>
    </row>
    <row r="63" spans="3:31" ht="10.5" customHeight="1">
      <c r="C63" s="408">
        <f t="shared" si="3"/>
        <v>44500</v>
      </c>
      <c r="D63" s="409">
        <v>2.2959999999999998</v>
      </c>
      <c r="E63" s="716"/>
      <c r="F63" s="757"/>
      <c r="H63" s="450">
        <f t="shared" si="4"/>
        <v>44439</v>
      </c>
      <c r="I63" s="496">
        <v>965.2</v>
      </c>
      <c r="J63" s="387">
        <v>1.98</v>
      </c>
      <c r="K63" s="387"/>
      <c r="L63" s="445"/>
      <c r="M63" s="255">
        <v>357.7</v>
      </c>
      <c r="N63" s="387">
        <v>1.96</v>
      </c>
      <c r="O63" s="387"/>
      <c r="P63" s="387"/>
      <c r="Q63" s="509">
        <v>1322.9</v>
      </c>
      <c r="R63" s="1067">
        <v>1.97</v>
      </c>
      <c r="S63" s="387"/>
      <c r="T63" s="387"/>
      <c r="U63" s="856"/>
      <c r="V63" s="439"/>
      <c r="X63" s="454">
        <f t="shared" si="5"/>
        <v>44439</v>
      </c>
      <c r="Y63" s="466">
        <v>92.089569999999995</v>
      </c>
      <c r="Z63" s="467"/>
      <c r="AA63" s="439"/>
      <c r="AB63" s="265"/>
      <c r="AC63" s="467">
        <v>72.080662000000004</v>
      </c>
      <c r="AD63" s="467"/>
      <c r="AE63" s="439"/>
    </row>
    <row r="64" spans="3:31" ht="10.5" customHeight="1">
      <c r="C64" s="408">
        <f t="shared" si="3"/>
        <v>44530</v>
      </c>
      <c r="D64" s="409">
        <v>2.1930000000000001</v>
      </c>
      <c r="E64" s="716"/>
      <c r="F64" s="757"/>
      <c r="H64" s="450">
        <f t="shared" si="4"/>
        <v>44469</v>
      </c>
      <c r="I64" s="496">
        <v>884.3</v>
      </c>
      <c r="J64" s="387">
        <v>2.0099999999999998</v>
      </c>
      <c r="K64" s="387">
        <f>AVERAGE(J62:J64)</f>
        <v>1.9933333333333332</v>
      </c>
      <c r="L64" s="445"/>
      <c r="M64" s="255">
        <v>338.8</v>
      </c>
      <c r="N64" s="387">
        <v>1.95</v>
      </c>
      <c r="O64" s="387">
        <f>AVERAGE(N62:N64)</f>
        <v>1.9666666666666668</v>
      </c>
      <c r="P64" s="387"/>
      <c r="Q64" s="509">
        <v>1223.0999999999999</v>
      </c>
      <c r="R64" s="1067">
        <v>1.99</v>
      </c>
      <c r="S64" s="387">
        <f>AVERAGE(R62:R64)</f>
        <v>1.9833333333333334</v>
      </c>
      <c r="T64" s="387"/>
      <c r="U64" s="856">
        <f>SUM(Q62:Q64)</f>
        <v>3894.2000000000003</v>
      </c>
      <c r="V64" s="439"/>
      <c r="X64" s="454">
        <f t="shared" si="5"/>
        <v>44469</v>
      </c>
      <c r="Y64" s="466">
        <v>85.230267999999995</v>
      </c>
      <c r="Z64" s="467">
        <f>SUM(Y62:Y64)</f>
        <v>271.30579599999999</v>
      </c>
      <c r="AA64" s="439"/>
      <c r="AB64" s="265"/>
      <c r="AC64" s="467">
        <v>61.061227000000002</v>
      </c>
      <c r="AD64" s="467">
        <f>SUM(AC62:AC64)</f>
        <v>211.78058999999999</v>
      </c>
      <c r="AE64" s="439"/>
    </row>
    <row r="65" spans="3:31" ht="10.5" customHeight="1">
      <c r="C65" s="408">
        <f t="shared" si="3"/>
        <v>44561</v>
      </c>
      <c r="D65" s="409">
        <v>2.0950000000000002</v>
      </c>
      <c r="E65" s="717">
        <f>AVERAGE(D63:D65)</f>
        <v>2.1946666666666665</v>
      </c>
      <c r="F65" s="758">
        <f>AVERAGE(E54:E65)</f>
        <v>1.85425</v>
      </c>
      <c r="H65" s="450">
        <f t="shared" si="4"/>
        <v>44500</v>
      </c>
      <c r="I65" s="496">
        <v>927.8</v>
      </c>
      <c r="J65" s="387">
        <v>2.2400000000000002</v>
      </c>
      <c r="K65" s="387"/>
      <c r="L65" s="445"/>
      <c r="M65" s="255">
        <v>348.9</v>
      </c>
      <c r="N65" s="387">
        <v>2.21</v>
      </c>
      <c r="O65" s="387"/>
      <c r="P65" s="387"/>
      <c r="Q65" s="509">
        <v>1276.7</v>
      </c>
      <c r="R65" s="1067">
        <v>2.23</v>
      </c>
      <c r="S65" s="387"/>
      <c r="T65" s="387"/>
      <c r="U65" s="856"/>
      <c r="V65" s="439"/>
      <c r="X65" s="454">
        <f t="shared" si="5"/>
        <v>44500</v>
      </c>
      <c r="Y65" s="466">
        <v>88.341893999999996</v>
      </c>
      <c r="Z65" s="467"/>
      <c r="AA65" s="439"/>
      <c r="AB65" s="265"/>
      <c r="AC65" s="467">
        <v>67.406330999999994</v>
      </c>
      <c r="AD65" s="467"/>
      <c r="AE65" s="439"/>
    </row>
    <row r="66" spans="3:31" ht="10.5" customHeight="1">
      <c r="C66" s="408">
        <f t="shared" si="3"/>
        <v>44592</v>
      </c>
      <c r="D66" s="409">
        <v>2.4460000000000002</v>
      </c>
      <c r="E66" s="716"/>
      <c r="F66" s="757"/>
      <c r="H66" s="450">
        <f t="shared" si="4"/>
        <v>44530</v>
      </c>
      <c r="I66" s="496">
        <v>915.1</v>
      </c>
      <c r="J66" s="387">
        <v>2.31</v>
      </c>
      <c r="K66" s="387"/>
      <c r="L66" s="445"/>
      <c r="M66" s="255">
        <v>339.6</v>
      </c>
      <c r="N66" s="387">
        <v>2.33</v>
      </c>
      <c r="O66" s="387"/>
      <c r="P66" s="387"/>
      <c r="Q66" s="509">
        <v>1254.7</v>
      </c>
      <c r="R66" s="1067">
        <v>2.31</v>
      </c>
      <c r="S66" s="387"/>
      <c r="T66" s="387"/>
      <c r="U66" s="856"/>
      <c r="V66" s="439"/>
      <c r="X66" s="454">
        <f t="shared" si="5"/>
        <v>44530</v>
      </c>
      <c r="Y66" s="466">
        <v>87.121250000000003</v>
      </c>
      <c r="Z66" s="467"/>
      <c r="AA66" s="439"/>
      <c r="AB66" s="265"/>
      <c r="AC66" s="467">
        <v>68.348787000000002</v>
      </c>
      <c r="AD66" s="467"/>
      <c r="AE66" s="439"/>
    </row>
    <row r="67" spans="3:31" ht="10.5" customHeight="1" thickBot="1">
      <c r="C67" s="408">
        <f t="shared" si="3"/>
        <v>44620</v>
      </c>
      <c r="D67" s="409">
        <v>2.6819999999999999</v>
      </c>
      <c r="E67" s="716"/>
      <c r="F67" s="757"/>
      <c r="H67" s="450">
        <f t="shared" si="4"/>
        <v>44561</v>
      </c>
      <c r="I67" s="496">
        <v>976.5</v>
      </c>
      <c r="J67" s="387">
        <v>2.14</v>
      </c>
      <c r="K67" s="387">
        <f>AVERAGE(J65:J67)</f>
        <v>2.2300000000000004</v>
      </c>
      <c r="L67" s="445">
        <f>AVERAGE(J56:J67)</f>
        <v>1.9541666666666666</v>
      </c>
      <c r="M67" s="255">
        <v>371.6</v>
      </c>
      <c r="N67" s="387">
        <v>2.13</v>
      </c>
      <c r="O67" s="387">
        <f>AVERAGE(N65:N67)</f>
        <v>2.2233333333333332</v>
      </c>
      <c r="P67" s="387">
        <f>AVERAGE(N56:N67)</f>
        <v>1.9224999999999997</v>
      </c>
      <c r="Q67" s="509">
        <v>1348.1</v>
      </c>
      <c r="R67" s="1067">
        <v>2.14</v>
      </c>
      <c r="S67" s="387">
        <f>AVERAGE(R65:R67)</f>
        <v>2.2266666666666666</v>
      </c>
      <c r="T67" s="387">
        <f>AVERAGE(R56:R67)</f>
        <v>1.9450000000000001</v>
      </c>
      <c r="U67" s="856">
        <f>SUM(Q65:Q67)</f>
        <v>3879.5</v>
      </c>
      <c r="V67" s="439">
        <f>SUM(Q56:Q67)</f>
        <v>13785.400000000001</v>
      </c>
      <c r="X67" s="455">
        <f t="shared" si="5"/>
        <v>44561</v>
      </c>
      <c r="Y67" s="469">
        <v>91.028902000000002</v>
      </c>
      <c r="Z67" s="470">
        <f>SUM(Y65:Y67)</f>
        <v>266.49204600000002</v>
      </c>
      <c r="AA67" s="471">
        <f>SUM(Y56:Y67)</f>
        <v>955.12041900000008</v>
      </c>
      <c r="AB67" s="475"/>
      <c r="AC67" s="470">
        <v>72.221118000000004</v>
      </c>
      <c r="AD67" s="470">
        <f>SUM(AC65:AC67)</f>
        <v>207.97623599999997</v>
      </c>
      <c r="AE67" s="471">
        <f>SUM(AC56:AC67)</f>
        <v>703.71814100000006</v>
      </c>
    </row>
    <row r="68" spans="3:31" ht="10.5" customHeight="1">
      <c r="C68" s="408">
        <f t="shared" si="3"/>
        <v>44651</v>
      </c>
      <c r="D68" s="409">
        <v>3.4950000000000001</v>
      </c>
      <c r="E68" s="717">
        <f>AVERAGE(D66:D68)</f>
        <v>2.8743333333333339</v>
      </c>
      <c r="F68" s="758"/>
      <c r="H68" s="450">
        <f t="shared" si="4"/>
        <v>44592</v>
      </c>
      <c r="I68" s="496">
        <v>848.7</v>
      </c>
      <c r="J68" s="387">
        <v>2.36</v>
      </c>
      <c r="K68" s="387"/>
      <c r="L68" s="445"/>
      <c r="M68" s="255">
        <v>359.6</v>
      </c>
      <c r="N68" s="387">
        <v>2.35</v>
      </c>
      <c r="O68" s="387"/>
      <c r="P68" s="387"/>
      <c r="Q68" s="509">
        <v>1208.2</v>
      </c>
      <c r="R68" s="1067">
        <v>2.36</v>
      </c>
      <c r="S68" s="387"/>
      <c r="T68" s="387"/>
      <c r="U68" s="856"/>
      <c r="V68" s="439"/>
    </row>
    <row r="69" spans="3:31" ht="10.5" customHeight="1">
      <c r="C69" s="408">
        <f t="shared" si="3"/>
        <v>44681</v>
      </c>
      <c r="D69" s="409">
        <v>3.9140000000000001</v>
      </c>
      <c r="E69" s="717"/>
      <c r="F69" s="758"/>
      <c r="H69" s="450">
        <f t="shared" si="4"/>
        <v>44620</v>
      </c>
      <c r="I69" s="496">
        <v>820</v>
      </c>
      <c r="J69" s="387">
        <v>2.59</v>
      </c>
      <c r="K69" s="387"/>
      <c r="L69" s="445"/>
      <c r="M69" s="255">
        <v>324.2</v>
      </c>
      <c r="N69" s="387">
        <v>2.64</v>
      </c>
      <c r="O69" s="387"/>
      <c r="P69" s="387"/>
      <c r="Q69" s="509">
        <v>1144.3</v>
      </c>
      <c r="R69" s="1067">
        <v>2.6</v>
      </c>
      <c r="S69" s="387"/>
      <c r="T69" s="387"/>
      <c r="U69" s="265"/>
      <c r="V69" s="445"/>
    </row>
    <row r="70" spans="3:31" ht="10.5" customHeight="1">
      <c r="C70" s="408">
        <f t="shared" si="3"/>
        <v>44712</v>
      </c>
      <c r="D70" s="409">
        <v>3.9020000000000001</v>
      </c>
      <c r="E70" s="717"/>
      <c r="F70" s="758"/>
      <c r="H70" s="450">
        <f t="shared" si="4"/>
        <v>44651</v>
      </c>
      <c r="I70" s="496">
        <v>980.8</v>
      </c>
      <c r="J70" s="387">
        <v>3.03</v>
      </c>
      <c r="K70" s="387">
        <f>AVERAGE(J68:J70)</f>
        <v>2.6599999999999997</v>
      </c>
      <c r="L70" s="445">
        <f>AVERAGE(J59:J70)</f>
        <v>2.2025000000000001</v>
      </c>
      <c r="M70" s="255">
        <v>395.4</v>
      </c>
      <c r="N70" s="387">
        <v>3.06</v>
      </c>
      <c r="O70" s="387">
        <f>AVERAGE(N68:N70)</f>
        <v>2.6833333333333336</v>
      </c>
      <c r="P70" s="387">
        <f>AVERAGE(N59:N70)</f>
        <v>2.1891666666666669</v>
      </c>
      <c r="Q70" s="509">
        <v>1376.2</v>
      </c>
      <c r="R70" s="1067">
        <v>3.04</v>
      </c>
      <c r="S70" s="387">
        <f>AVERAGE(R68:R70)</f>
        <v>2.6666666666666665</v>
      </c>
      <c r="T70" s="387"/>
      <c r="U70" s="856">
        <f>SUM(Q68:Q70)</f>
        <v>3728.7</v>
      </c>
      <c r="V70" s="439"/>
    </row>
    <row r="71" spans="3:31" ht="10.5" customHeight="1">
      <c r="C71" s="408">
        <f t="shared" ref="C71:C101" si="6">+EOMONTH(C70,1)</f>
        <v>44742</v>
      </c>
      <c r="D71" s="409">
        <v>4.12</v>
      </c>
      <c r="E71" s="717">
        <f>AVERAGE(D69:D71)</f>
        <v>3.9786666666666668</v>
      </c>
      <c r="F71" s="758"/>
      <c r="H71" s="450">
        <f t="shared" si="4"/>
        <v>44681</v>
      </c>
      <c r="I71" s="496">
        <v>933.7</v>
      </c>
      <c r="J71" s="387">
        <v>3.58</v>
      </c>
      <c r="K71" s="387"/>
      <c r="L71" s="445"/>
      <c r="M71" s="255">
        <v>411.5</v>
      </c>
      <c r="N71" s="387">
        <v>3.6</v>
      </c>
      <c r="O71" s="387"/>
      <c r="P71" s="387"/>
      <c r="Q71" s="509">
        <v>1345.2</v>
      </c>
      <c r="R71" s="1067">
        <v>3.58</v>
      </c>
      <c r="S71" s="387"/>
      <c r="T71" s="387"/>
      <c r="U71" s="265"/>
      <c r="V71" s="439"/>
    </row>
    <row r="72" spans="3:31" ht="10.5" customHeight="1" thickBot="1">
      <c r="C72" s="410">
        <f t="shared" si="6"/>
        <v>44773</v>
      </c>
      <c r="D72" s="411">
        <v>3.5007999999999999</v>
      </c>
      <c r="E72" s="527"/>
      <c r="F72" s="759"/>
      <c r="H72" s="451">
        <f t="shared" si="4"/>
        <v>44712</v>
      </c>
      <c r="I72" s="497">
        <v>962.3</v>
      </c>
      <c r="J72" s="452">
        <v>3.9</v>
      </c>
      <c r="K72" s="452"/>
      <c r="L72" s="453"/>
      <c r="M72" s="498">
        <v>451.78</v>
      </c>
      <c r="N72" s="452">
        <v>3.88</v>
      </c>
      <c r="O72" s="452"/>
      <c r="P72" s="453"/>
      <c r="Q72" s="777">
        <v>1414.1</v>
      </c>
      <c r="R72" s="1073">
        <v>3.9</v>
      </c>
      <c r="S72" s="452">
        <f>AVERAGE(R71:R72)</f>
        <v>3.74</v>
      </c>
      <c r="T72" s="452"/>
      <c r="U72" s="1205">
        <f>SUM(Q71:Q72)</f>
        <v>2759.3</v>
      </c>
      <c r="V72" s="471"/>
    </row>
    <row r="73" spans="3:31" ht="10.5" customHeight="1">
      <c r="C73" s="410">
        <f t="shared" si="6"/>
        <v>44804</v>
      </c>
      <c r="D73" s="411">
        <v>3.4392999999999998</v>
      </c>
      <c r="E73" s="527"/>
      <c r="F73" s="759"/>
    </row>
    <row r="74" spans="3:31" ht="10.5" customHeight="1">
      <c r="C74" s="410">
        <f t="shared" si="6"/>
        <v>44834</v>
      </c>
      <c r="D74" s="411">
        <v>3.3915999999999999</v>
      </c>
      <c r="E74" s="718">
        <f>AVERAGE(D72:D74)</f>
        <v>3.4438999999999997</v>
      </c>
      <c r="F74" s="760"/>
    </row>
    <row r="75" spans="3:31" ht="10.5" customHeight="1">
      <c r="C75" s="410">
        <f t="shared" si="6"/>
        <v>44865</v>
      </c>
      <c r="D75" s="411">
        <v>3.2797999999999998</v>
      </c>
      <c r="E75" s="527"/>
      <c r="F75" s="759"/>
    </row>
    <row r="76" spans="3:31" ht="10.5" customHeight="1">
      <c r="C76" s="410">
        <f t="shared" si="6"/>
        <v>44895</v>
      </c>
      <c r="D76" s="411">
        <v>3.2038000000000002</v>
      </c>
      <c r="E76" s="527"/>
      <c r="F76" s="759"/>
      <c r="H76" s="1206"/>
      <c r="I76" s="1206"/>
      <c r="J76" s="1206"/>
      <c r="K76" s="387"/>
      <c r="L76" s="387"/>
    </row>
    <row r="77" spans="3:31" ht="10.5" customHeight="1">
      <c r="C77" s="410">
        <f t="shared" si="6"/>
        <v>44926</v>
      </c>
      <c r="D77" s="411">
        <v>3.1387999999999998</v>
      </c>
      <c r="E77" s="718">
        <f>AVERAGE(D75:D77)</f>
        <v>3.2074666666666665</v>
      </c>
      <c r="F77" s="760">
        <f>AVERAGE(E66:E77)</f>
        <v>3.3760916666666669</v>
      </c>
      <c r="K77" s="387"/>
      <c r="L77" s="387"/>
    </row>
    <row r="78" spans="3:31" ht="10.5" customHeight="1">
      <c r="C78" s="410">
        <f t="shared" si="6"/>
        <v>44957</v>
      </c>
      <c r="D78" s="411">
        <v>3.1036999999999999</v>
      </c>
      <c r="E78" s="527"/>
      <c r="F78" s="759"/>
      <c r="K78" s="387"/>
      <c r="L78" s="387"/>
    </row>
    <row r="79" spans="3:31" ht="10.5" customHeight="1">
      <c r="C79" s="410">
        <f t="shared" si="6"/>
        <v>44985</v>
      </c>
      <c r="D79" s="411">
        <v>3.0493999999999999</v>
      </c>
      <c r="E79" s="527"/>
      <c r="F79" s="759"/>
      <c r="K79" s="387"/>
      <c r="L79" s="387"/>
    </row>
    <row r="80" spans="3:31" ht="10.5" customHeight="1">
      <c r="C80" s="410">
        <f t="shared" si="6"/>
        <v>45016</v>
      </c>
      <c r="D80" s="411">
        <v>2.9950999999999999</v>
      </c>
      <c r="E80" s="718">
        <f>AVERAGE(D78:D80)</f>
        <v>3.0493999999999999</v>
      </c>
      <c r="F80" s="760"/>
    </row>
    <row r="81" spans="2:6" ht="10.5" customHeight="1">
      <c r="C81" s="410">
        <f t="shared" si="6"/>
        <v>45046</v>
      </c>
      <c r="D81" s="411">
        <v>2.9638</v>
      </c>
      <c r="E81" s="527"/>
      <c r="F81" s="759"/>
    </row>
    <row r="82" spans="2:6" ht="10.5" customHeight="1">
      <c r="C82" s="410">
        <f t="shared" si="6"/>
        <v>45077</v>
      </c>
      <c r="D82" s="411">
        <v>2.9255</v>
      </c>
      <c r="E82" s="527"/>
      <c r="F82" s="759"/>
    </row>
    <row r="83" spans="2:6" ht="10.5" customHeight="1">
      <c r="C83" s="410">
        <f t="shared" si="6"/>
        <v>45107</v>
      </c>
      <c r="D83" s="411">
        <v>2.8965000000000001</v>
      </c>
      <c r="E83" s="718">
        <f>AVERAGE(D81:D83)</f>
        <v>2.9285999999999999</v>
      </c>
      <c r="F83" s="760"/>
    </row>
    <row r="84" spans="2:6" ht="10.5" customHeight="1">
      <c r="C84" s="410">
        <f t="shared" si="6"/>
        <v>45138</v>
      </c>
      <c r="D84" s="411">
        <v>2.8730000000000002</v>
      </c>
      <c r="E84" s="527"/>
      <c r="F84" s="759"/>
    </row>
    <row r="85" spans="2:6" ht="10.5" customHeight="1">
      <c r="C85" s="410">
        <f t="shared" si="6"/>
        <v>45169</v>
      </c>
      <c r="D85" s="411">
        <v>2.835</v>
      </c>
      <c r="E85" s="527"/>
      <c r="F85" s="759"/>
    </row>
    <row r="86" spans="2:6" ht="10.5" customHeight="1">
      <c r="C86" s="410">
        <f t="shared" si="6"/>
        <v>45199</v>
      </c>
      <c r="D86" s="411">
        <v>2.7909000000000002</v>
      </c>
      <c r="E86" s="718">
        <f>AVERAGE(D84:D86)</f>
        <v>2.8329666666666671</v>
      </c>
      <c r="F86" s="760"/>
    </row>
    <row r="87" spans="2:6" ht="10.5" customHeight="1">
      <c r="C87" s="410">
        <f t="shared" si="6"/>
        <v>45230</v>
      </c>
      <c r="D87" s="411">
        <v>2.7490999999999999</v>
      </c>
      <c r="E87" s="527"/>
      <c r="F87" s="759"/>
    </row>
    <row r="88" spans="2:6" ht="10.5" customHeight="1">
      <c r="C88" s="410">
        <f t="shared" si="6"/>
        <v>45260</v>
      </c>
      <c r="D88" s="411">
        <v>2.7118000000000002</v>
      </c>
      <c r="E88" s="527"/>
      <c r="F88" s="759"/>
    </row>
    <row r="89" spans="2:6" ht="10.5" customHeight="1">
      <c r="B89" s="649"/>
      <c r="C89" s="410">
        <f t="shared" si="6"/>
        <v>45291</v>
      </c>
      <c r="D89" s="411">
        <v>2.6892999999999998</v>
      </c>
      <c r="E89" s="718">
        <f>AVERAGE(D87:D89)</f>
        <v>2.7167333333333334</v>
      </c>
      <c r="F89" s="760">
        <f>AVERAGE(E78:E89)</f>
        <v>2.8819250000000003</v>
      </c>
    </row>
    <row r="90" spans="2:6" ht="10.5" customHeight="1">
      <c r="C90" s="410">
        <f t="shared" si="6"/>
        <v>45322</v>
      </c>
      <c r="D90" s="411">
        <v>2.6669999999999998</v>
      </c>
      <c r="E90" s="527"/>
      <c r="F90" s="759"/>
    </row>
    <row r="91" spans="2:6" ht="10.5" customHeight="1">
      <c r="C91" s="410">
        <f t="shared" si="6"/>
        <v>45351</v>
      </c>
      <c r="D91" s="411">
        <v>2.6469</v>
      </c>
      <c r="E91" s="527"/>
      <c r="F91" s="759"/>
    </row>
    <row r="92" spans="2:6" ht="10.5" customHeight="1">
      <c r="C92" s="410">
        <f t="shared" si="6"/>
        <v>45382</v>
      </c>
      <c r="D92" s="411">
        <v>2.6187</v>
      </c>
      <c r="E92" s="718">
        <f>AVERAGE(D90:D92)</f>
        <v>2.6442000000000001</v>
      </c>
      <c r="F92" s="760"/>
    </row>
    <row r="93" spans="2:6" ht="10.5" customHeight="1">
      <c r="C93" s="410">
        <f t="shared" si="6"/>
        <v>45412</v>
      </c>
      <c r="D93" s="411">
        <v>2.6015000000000001</v>
      </c>
      <c r="E93" s="527"/>
      <c r="F93" s="759"/>
    </row>
    <row r="94" spans="2:6" ht="10.5" customHeight="1">
      <c r="C94" s="410">
        <f t="shared" si="6"/>
        <v>45443</v>
      </c>
      <c r="D94" s="411">
        <v>2.573</v>
      </c>
      <c r="E94" s="527"/>
      <c r="F94" s="759"/>
    </row>
    <row r="95" spans="2:6" ht="10.5" customHeight="1">
      <c r="C95" s="410">
        <f t="shared" si="6"/>
        <v>45473</v>
      </c>
      <c r="D95" s="411">
        <v>2.5678999999999998</v>
      </c>
      <c r="E95" s="718">
        <f>AVERAGE(D93:D95)</f>
        <v>2.5808</v>
      </c>
      <c r="F95" s="760"/>
    </row>
    <row r="96" spans="2:6" ht="10.5" customHeight="1">
      <c r="C96" s="410">
        <f t="shared" si="6"/>
        <v>45504</v>
      </c>
      <c r="D96" s="411">
        <v>2.5602</v>
      </c>
      <c r="E96" s="527"/>
      <c r="F96" s="759"/>
    </row>
    <row r="97" spans="3:6" ht="10.5" customHeight="1">
      <c r="C97" s="410">
        <f t="shared" si="6"/>
        <v>45535</v>
      </c>
      <c r="D97" s="411">
        <v>2.5438999999999998</v>
      </c>
      <c r="E97" s="527"/>
      <c r="F97" s="759"/>
    </row>
    <row r="98" spans="3:6" ht="10.5" customHeight="1">
      <c r="C98" s="410">
        <f t="shared" si="6"/>
        <v>45565</v>
      </c>
      <c r="D98" s="411">
        <v>2.5167000000000002</v>
      </c>
      <c r="E98" s="718">
        <f>AVERAGE(D96:D98)</f>
        <v>2.5402666666666667</v>
      </c>
      <c r="F98" s="760"/>
    </row>
    <row r="99" spans="3:6" ht="10.5" customHeight="1">
      <c r="C99" s="410">
        <f t="shared" si="6"/>
        <v>45596</v>
      </c>
      <c r="D99" s="411">
        <v>2.4781</v>
      </c>
      <c r="E99" s="527"/>
      <c r="F99" s="759"/>
    </row>
    <row r="100" spans="3:6" ht="10.5" customHeight="1">
      <c r="C100" s="410">
        <f t="shared" si="6"/>
        <v>45626</v>
      </c>
      <c r="D100" s="411">
        <v>2.4371999999999998</v>
      </c>
      <c r="E100" s="527"/>
      <c r="F100" s="759"/>
    </row>
    <row r="101" spans="3:6" ht="10.5" customHeight="1" thickBot="1">
      <c r="C101" s="413">
        <f t="shared" si="6"/>
        <v>45657</v>
      </c>
      <c r="D101" s="414">
        <v>2.4426000000000001</v>
      </c>
      <c r="E101" s="749">
        <f>AVERAGE(D99:D101)</f>
        <v>2.4526333333333334</v>
      </c>
      <c r="F101" s="761">
        <f>AVERAGE(E90:E101)</f>
        <v>2.5544750000000001</v>
      </c>
    </row>
  </sheetData>
  <hyperlinks>
    <hyperlink ref="X6" r:id="rId1" xr:uid="{C1A70F51-3AB1-4B62-878D-AEABFB504A9B}"/>
    <hyperlink ref="C2" r:id="rId2" xr:uid="{CBC34309-00D3-466E-AD21-1F0CADD35468}"/>
    <hyperlink ref="D2" r:id="rId3" xr:uid="{A36DE8CC-DF2C-477A-97D4-8DE69E950796}"/>
  </hyperlinks>
  <pageMargins left="0.7" right="0.7" top="0.75" bottom="0.75" header="0.3" footer="0.3"/>
  <pageSetup orientation="portrait" horizontalDpi="90" verticalDpi="90"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02937-4109-4804-A1D4-873E868FC334}">
  <sheetPr>
    <tabColor theme="7" tint="0.39997558519241921"/>
  </sheetPr>
  <dimension ref="A1:W92"/>
  <sheetViews>
    <sheetView showGridLines="0" workbookViewId="0">
      <pane xSplit="5" ySplit="5" topLeftCell="F6" activePane="bottomRight" state="frozen"/>
      <selection activeCell="I40" sqref="I40"/>
      <selection pane="topRight" activeCell="I40" sqref="I40"/>
      <selection pane="bottomLeft" activeCell="I40" sqref="I40"/>
      <selection pane="bottomRight" activeCell="L29" sqref="L29"/>
    </sheetView>
  </sheetViews>
  <sheetFormatPr defaultColWidth="9.19921875" defaultRowHeight="10.5" outlineLevelCol="1"/>
  <cols>
    <col min="1" max="2" width="1.796875" style="167" customWidth="1"/>
    <col min="3" max="3" width="30.796875" style="167" customWidth="1"/>
    <col min="4" max="5" width="17.796875" style="167" hidden="1" customWidth="1" outlineLevel="1"/>
    <col min="6" max="6" width="9.19921875" style="167" customWidth="1" collapsed="1"/>
    <col min="7" max="13" width="9.19921875" style="167"/>
    <col min="14" max="17" width="9.19921875" style="167" customWidth="1" outlineLevel="1"/>
    <col min="18" max="16384" width="9.19921875" style="167"/>
  </cols>
  <sheetData>
    <row r="1" spans="1:23">
      <c r="A1" s="378" t="str">
        <f ca="1">'DAL One Pager'!$D$2</f>
        <v>Delta Air Lines Inc</v>
      </c>
    </row>
    <row r="2" spans="1:23">
      <c r="A2" s="278" t="str">
        <f>'DAL Financials'!$A$2</f>
        <v>(All Values in US$ millions)</v>
      </c>
      <c r="F2" s="327"/>
      <c r="N2" s="327"/>
      <c r="O2" s="327"/>
      <c r="P2" s="327"/>
      <c r="Q2" s="327"/>
    </row>
    <row r="3" spans="1:23">
      <c r="F3" s="168"/>
      <c r="G3" s="169"/>
      <c r="H3" s="169"/>
      <c r="I3" s="169"/>
      <c r="J3" s="169"/>
      <c r="K3" s="169"/>
      <c r="L3" s="169"/>
      <c r="M3" s="169"/>
      <c r="N3" s="168"/>
      <c r="O3" s="168"/>
      <c r="P3" s="168"/>
      <c r="Q3" s="168"/>
      <c r="R3" s="169"/>
      <c r="S3" s="169"/>
      <c r="T3" s="169"/>
      <c r="U3" s="169"/>
      <c r="V3" s="169"/>
      <c r="W3" s="170"/>
    </row>
    <row r="4" spans="1:23">
      <c r="F4" s="171"/>
      <c r="G4" s="172"/>
      <c r="H4" s="172"/>
      <c r="I4" s="172"/>
      <c r="J4" s="172"/>
      <c r="K4" s="172"/>
      <c r="L4" s="172"/>
      <c r="M4" s="172"/>
      <c r="N4" s="171"/>
      <c r="O4" s="171"/>
      <c r="P4" s="171"/>
      <c r="Q4" s="171"/>
      <c r="R4" s="172"/>
      <c r="S4" s="172"/>
      <c r="T4" s="172"/>
      <c r="U4" s="172"/>
      <c r="V4" s="172"/>
      <c r="W4" s="170"/>
    </row>
    <row r="5" spans="1:23">
      <c r="B5" s="173" t="s">
        <v>133</v>
      </c>
      <c r="C5" s="328" t="s">
        <v>81</v>
      </c>
      <c r="D5" s="328" t="s">
        <v>134</v>
      </c>
      <c r="E5" s="328" t="s">
        <v>135</v>
      </c>
      <c r="F5" s="173" t="s">
        <v>136</v>
      </c>
      <c r="G5" s="173" t="s">
        <v>137</v>
      </c>
      <c r="H5" s="173" t="s">
        <v>138</v>
      </c>
      <c r="I5" s="173" t="s">
        <v>139</v>
      </c>
      <c r="J5" s="173" t="s">
        <v>140</v>
      </c>
      <c r="K5" s="173" t="s">
        <v>141</v>
      </c>
      <c r="L5" s="173" t="s">
        <v>142</v>
      </c>
      <c r="M5" s="174" t="s">
        <v>143</v>
      </c>
      <c r="N5" s="173" t="s">
        <v>145</v>
      </c>
      <c r="O5" s="173" t="s">
        <v>146</v>
      </c>
      <c r="P5" s="173" t="s">
        <v>147</v>
      </c>
      <c r="Q5" s="173" t="s">
        <v>148</v>
      </c>
      <c r="R5" s="173" t="s">
        <v>149</v>
      </c>
      <c r="S5" s="173" t="s">
        <v>150</v>
      </c>
      <c r="T5" s="173" t="s">
        <v>1311</v>
      </c>
      <c r="U5" s="173" t="s">
        <v>1855</v>
      </c>
      <c r="V5" s="173" t="s">
        <v>1856</v>
      </c>
      <c r="W5" s="170"/>
    </row>
    <row r="6" spans="1:23">
      <c r="F6" s="175"/>
      <c r="G6" s="175"/>
      <c r="H6" s="175"/>
      <c r="I6" s="175"/>
      <c r="J6" s="175"/>
      <c r="K6" s="175"/>
      <c r="L6" s="175"/>
      <c r="M6" s="175"/>
      <c r="N6" s="175"/>
      <c r="O6" s="175"/>
      <c r="P6" s="175"/>
      <c r="Q6" s="175"/>
      <c r="R6" s="175"/>
      <c r="S6" s="175"/>
      <c r="T6" s="175"/>
      <c r="U6" s="175"/>
      <c r="V6" s="175"/>
      <c r="W6" s="170"/>
    </row>
    <row r="7" spans="1:23">
      <c r="C7" s="176" t="s">
        <v>151</v>
      </c>
      <c r="D7" s="176" t="s">
        <v>152</v>
      </c>
      <c r="E7" s="176" t="s">
        <v>153</v>
      </c>
      <c r="F7" s="506">
        <f>'DAL KPI'!V13</f>
        <v>41138</v>
      </c>
      <c r="G7" s="506">
        <f>'DAL KPI'!W13</f>
        <v>44438</v>
      </c>
      <c r="H7" s="506">
        <f>'DAL KPI'!X13</f>
        <v>46719</v>
      </c>
      <c r="I7" s="506">
        <f>'DAL KPI'!Y13</f>
        <v>15945</v>
      </c>
      <c r="J7" s="506">
        <f>'DAL KPI'!Z13</f>
        <v>26671</v>
      </c>
      <c r="K7" s="177">
        <f>+IFERROR(SUM(R7:U7)," NA")</f>
        <v>37183</v>
      </c>
      <c r="L7" s="506">
        <f>'DAL KPI'!AA13</f>
        <v>45286.221224842295</v>
      </c>
      <c r="M7" s="506">
        <f>'DAL KPI'!AB13</f>
        <v>50990.138280343876</v>
      </c>
      <c r="N7" s="506">
        <f>'DAL KPI'!K13</f>
        <v>2645</v>
      </c>
      <c r="O7" s="506">
        <f>'DAL KPI'!L13</f>
        <v>3532</v>
      </c>
      <c r="P7" s="506">
        <f>'DAL KPI'!M13</f>
        <v>3610</v>
      </c>
      <c r="Q7" s="506">
        <f>'DAL KPI'!N13</f>
        <v>6349</v>
      </c>
      <c r="R7" s="506">
        <f>'DAL KPI'!O13</f>
        <v>8282</v>
      </c>
      <c r="S7" s="506">
        <f>'DAL KPI'!P13</f>
        <v>8430</v>
      </c>
      <c r="T7" s="506">
        <f>'DAL KPI'!Q13</f>
        <v>8161</v>
      </c>
      <c r="U7" s="506">
        <f>'DAL KPI'!R13</f>
        <v>12310</v>
      </c>
      <c r="V7" s="506">
        <f>'DAL KPI'!S13</f>
        <v>12936.428907457415</v>
      </c>
    </row>
    <row r="8" spans="1:23">
      <c r="C8" s="176" t="s">
        <v>154</v>
      </c>
      <c r="D8" s="176" t="s">
        <v>155</v>
      </c>
      <c r="E8" s="176"/>
      <c r="F8" s="506">
        <f>'DAL KPI'!V24</f>
        <v>12104</v>
      </c>
      <c r="G8" s="506">
        <f>'DAL KPI'!W24</f>
        <v>12226</v>
      </c>
      <c r="H8" s="506">
        <f>'DAL KPI'!X24</f>
        <v>14895</v>
      </c>
      <c r="I8" s="506">
        <f>'DAL KPI'!Y24</f>
        <v>-4158</v>
      </c>
      <c r="J8" s="506">
        <f>'DAL KPI'!Z24</f>
        <v>1832</v>
      </c>
      <c r="K8" s="177">
        <f t="shared" ref="K8:K13" ca="1" si="0">+IFERROR(SUM(R8:U8)," NA")</f>
        <v>6567</v>
      </c>
      <c r="L8" s="506">
        <f ca="1">'DAL KPI'!AA24</f>
        <v>9042.4040169608925</v>
      </c>
      <c r="M8" s="506">
        <f>'DAL KPI'!AB24</f>
        <v>11482.255590133958</v>
      </c>
      <c r="N8" s="506">
        <f>'DAL KPI'!K24</f>
        <v>-1464</v>
      </c>
      <c r="O8" s="506">
        <f>'DAL KPI'!L24</f>
        <v>-981</v>
      </c>
      <c r="P8" s="506">
        <f>'DAL KPI'!M24</f>
        <v>-1726</v>
      </c>
      <c r="Q8" s="506">
        <f>'DAL KPI'!N24</f>
        <v>397</v>
      </c>
      <c r="R8" s="506">
        <f>'DAL KPI'!O24</f>
        <v>1601</v>
      </c>
      <c r="S8" s="506">
        <f>'DAL KPI'!P24</f>
        <v>1560</v>
      </c>
      <c r="T8" s="506">
        <f>'DAL KPI'!Q24</f>
        <v>434</v>
      </c>
      <c r="U8" s="506">
        <f ca="1">'DAL KPI'!R24</f>
        <v>2972</v>
      </c>
      <c r="V8" s="506">
        <f ca="1">'DAL KPI'!S24</f>
        <v>3147.8597888759905</v>
      </c>
    </row>
    <row r="9" spans="1:23">
      <c r="C9" s="176" t="s">
        <v>156</v>
      </c>
      <c r="D9" s="176"/>
      <c r="E9" s="176"/>
      <c r="F9" s="506">
        <f>'DAL KPI'!V26</f>
        <v>1501</v>
      </c>
      <c r="G9" s="506">
        <f>'DAL KPI'!W26</f>
        <v>1662</v>
      </c>
      <c r="H9" s="506">
        <f>'DAL KPI'!X26</f>
        <v>2210</v>
      </c>
      <c r="I9" s="506">
        <f>'DAL KPI'!Y26</f>
        <v>632</v>
      </c>
      <c r="J9" s="506">
        <f>'DAL KPI'!Z26</f>
        <v>953</v>
      </c>
      <c r="K9" s="177">
        <f t="shared" si="0"/>
        <v>1459</v>
      </c>
      <c r="L9" s="506">
        <f>'DAL KPI'!AA26</f>
        <v>1785.4400538007824</v>
      </c>
      <c r="M9" s="506">
        <f>'DAL KPI'!AB26</f>
        <v>1788.7572930266133</v>
      </c>
      <c r="N9" s="506">
        <f>'DAL KPI'!K26</f>
        <v>100</v>
      </c>
      <c r="O9" s="506">
        <f>'DAL KPI'!L26</f>
        <v>84</v>
      </c>
      <c r="P9" s="506">
        <f>'DAL KPI'!M26</f>
        <v>110</v>
      </c>
      <c r="Q9" s="506">
        <f>'DAL KPI'!N26</f>
        <v>222</v>
      </c>
      <c r="R9" s="506">
        <f>'DAL KPI'!O26</f>
        <v>308</v>
      </c>
      <c r="S9" s="506">
        <f>'DAL KPI'!P26</f>
        <v>313</v>
      </c>
      <c r="T9" s="506">
        <f>'DAL KPI'!Q26</f>
        <v>312</v>
      </c>
      <c r="U9" s="506">
        <f>'DAL KPI'!R26</f>
        <v>526</v>
      </c>
      <c r="V9" s="506">
        <f>'DAL KPI'!S26</f>
        <v>537.63902473471126</v>
      </c>
    </row>
    <row r="10" spans="1:23">
      <c r="C10" s="176" t="s">
        <v>157</v>
      </c>
      <c r="D10" s="176" t="s">
        <v>158</v>
      </c>
      <c r="E10" s="176" t="s">
        <v>159</v>
      </c>
      <c r="F10" s="506">
        <f>'DAL KPI'!V31</f>
        <v>6772</v>
      </c>
      <c r="G10" s="506">
        <f>'DAL KPI'!W31</f>
        <v>6512</v>
      </c>
      <c r="H10" s="506">
        <f>'DAL KPI'!X31</f>
        <v>8279</v>
      </c>
      <c r="I10" s="506">
        <f>'DAL KPI'!Y31</f>
        <v>-8185</v>
      </c>
      <c r="J10" s="506">
        <f>'DAL KPI'!Z31</f>
        <v>-2528</v>
      </c>
      <c r="K10" s="177">
        <f t="shared" ca="1" si="0"/>
        <v>1486</v>
      </c>
      <c r="L10" s="506">
        <f ca="1">'DAL KPI'!AA31</f>
        <v>3498.1063302052507</v>
      </c>
      <c r="M10" s="506">
        <f>'DAL KPI'!AB31</f>
        <v>5409.9982347066652</v>
      </c>
      <c r="N10" s="506">
        <f>'DAL KPI'!K31</f>
        <v>-2359</v>
      </c>
      <c r="O10" s="506">
        <f>'DAL KPI'!L31</f>
        <v>-1782</v>
      </c>
      <c r="P10" s="506">
        <f>'DAL KPI'!M31</f>
        <v>-2651</v>
      </c>
      <c r="Q10" s="506">
        <f>'DAL KPI'!N31</f>
        <v>-656</v>
      </c>
      <c r="R10" s="506">
        <f>'DAL KPI'!O31</f>
        <v>435</v>
      </c>
      <c r="S10" s="506">
        <f>'DAL KPI'!P31</f>
        <v>344</v>
      </c>
      <c r="T10" s="506">
        <f>'DAL KPI'!Q31</f>
        <v>-792</v>
      </c>
      <c r="U10" s="506">
        <f ca="1">'DAL KPI'!R31</f>
        <v>1499</v>
      </c>
      <c r="V10" s="506">
        <f ca="1">'DAL KPI'!S31</f>
        <v>1676.8806181715083</v>
      </c>
    </row>
    <row r="11" spans="1:23">
      <c r="C11" s="176" t="s">
        <v>88</v>
      </c>
      <c r="D11" s="176" t="s">
        <v>88</v>
      </c>
      <c r="E11" s="176" t="s">
        <v>160</v>
      </c>
      <c r="F11" s="506">
        <f>'DAL KPI'!V28</f>
        <v>8994</v>
      </c>
      <c r="G11" s="506">
        <f>'DAL KPI'!W28</f>
        <v>8841</v>
      </c>
      <c r="H11" s="506">
        <f>'DAL KPI'!X28</f>
        <v>10860</v>
      </c>
      <c r="I11" s="506">
        <f>'DAL KPI'!Y28</f>
        <v>-6000</v>
      </c>
      <c r="J11" s="506">
        <f>'DAL KPI'!Z28</f>
        <v>-529</v>
      </c>
      <c r="K11" s="177">
        <f t="shared" ca="1" si="0"/>
        <v>3507</v>
      </c>
      <c r="L11" s="506">
        <f ca="1">'DAL KPI'!AA28</f>
        <v>5460.9977133320263</v>
      </c>
      <c r="M11" s="506">
        <f>'DAL KPI'!AB28</f>
        <v>7847.0717927105297</v>
      </c>
      <c r="N11" s="506">
        <f>'DAL KPI'!K28</f>
        <v>-1814</v>
      </c>
      <c r="O11" s="506">
        <f>'DAL KPI'!L28</f>
        <v>-1283</v>
      </c>
      <c r="P11" s="506">
        <f>'DAL KPI'!M28</f>
        <v>-2158</v>
      </c>
      <c r="Q11" s="506">
        <f>'DAL KPI'!N28</f>
        <v>-155</v>
      </c>
      <c r="R11" s="506">
        <f>'DAL KPI'!O28</f>
        <v>936</v>
      </c>
      <c r="S11" s="506">
        <f>'DAL KPI'!P28</f>
        <v>848</v>
      </c>
      <c r="T11" s="506">
        <f>'DAL KPI'!Q28</f>
        <v>-286</v>
      </c>
      <c r="U11" s="506">
        <f ca="1">'DAL KPI'!R28</f>
        <v>2009</v>
      </c>
      <c r="V11" s="506">
        <f ca="1">'DAL KPI'!S28</f>
        <v>2142.4057690845657</v>
      </c>
    </row>
    <row r="12" spans="1:23">
      <c r="C12" s="176"/>
      <c r="D12" s="176"/>
      <c r="E12" s="176"/>
      <c r="F12" s="337"/>
      <c r="G12" s="337"/>
      <c r="H12" s="337"/>
      <c r="I12" s="337"/>
      <c r="J12" s="337"/>
      <c r="K12" s="177"/>
      <c r="L12" s="337"/>
      <c r="M12" s="337"/>
      <c r="N12" s="337"/>
      <c r="O12" s="337"/>
      <c r="P12" s="337"/>
      <c r="Q12" s="337"/>
      <c r="R12" s="337"/>
      <c r="S12" s="337"/>
      <c r="T12" s="337"/>
      <c r="U12" s="337"/>
      <c r="V12" s="337"/>
    </row>
    <row r="13" spans="1:23">
      <c r="C13" s="176" t="s">
        <v>161</v>
      </c>
      <c r="D13" s="176" t="s">
        <v>162</v>
      </c>
      <c r="E13" s="176" t="s">
        <v>163</v>
      </c>
      <c r="F13" s="506">
        <f>'DAL Financials'!V112</f>
        <v>1132</v>
      </c>
      <c r="G13" s="506">
        <f>'DAL Financials'!W112</f>
        <v>1846</v>
      </c>
      <c r="H13" s="506">
        <f>'DAL Financials'!X112</f>
        <v>3488</v>
      </c>
      <c r="I13" s="506">
        <f>'DAL Financials'!Y112</f>
        <v>-5693</v>
      </c>
      <c r="J13" s="506">
        <f>'DAL Financials'!Z112</f>
        <v>16</v>
      </c>
      <c r="K13" s="177">
        <f t="shared" si="0"/>
        <v>240</v>
      </c>
      <c r="L13" s="506">
        <f ca="1">'DAL Financials'!AA112</f>
        <v>-222.83668703502553</v>
      </c>
      <c r="M13" s="506">
        <f ca="1">'DAL Financials'!AB112</f>
        <v>-6591.4642769415805</v>
      </c>
      <c r="N13" s="506">
        <f>'DAL Financials'!K112</f>
        <v>-2708</v>
      </c>
      <c r="O13" s="506">
        <f>'DAL Financials'!L112</f>
        <v>-1834</v>
      </c>
      <c r="P13" s="506">
        <f>'DAL Financials'!M112</f>
        <v>253</v>
      </c>
      <c r="Q13" s="506">
        <f>'DAL Financials'!N112</f>
        <v>1105</v>
      </c>
      <c r="R13" s="506">
        <f>'DAL Financials'!O112</f>
        <v>-679</v>
      </c>
      <c r="S13" s="506">
        <f>'DAL Financials'!P112</f>
        <v>-663</v>
      </c>
      <c r="T13" s="506">
        <f>'DAL Financials'!Q112</f>
        <v>5</v>
      </c>
      <c r="U13" s="506">
        <f>'DAL Financials'!R112</f>
        <v>1577</v>
      </c>
      <c r="V13" s="506">
        <f ca="1">'DAL Financials'!S112</f>
        <v>-119.34933975076092</v>
      </c>
    </row>
    <row r="14" spans="1:23">
      <c r="C14" s="176"/>
      <c r="D14" s="176"/>
      <c r="E14" s="176"/>
      <c r="F14" s="337"/>
      <c r="G14" s="337"/>
      <c r="H14" s="337"/>
      <c r="I14" s="337"/>
      <c r="J14" s="337"/>
      <c r="K14" s="177"/>
      <c r="L14" s="337"/>
      <c r="M14" s="337"/>
      <c r="N14" s="337"/>
      <c r="O14" s="337"/>
      <c r="P14" s="337"/>
      <c r="Q14" s="337"/>
      <c r="R14" s="337"/>
      <c r="S14" s="337"/>
      <c r="T14" s="337"/>
      <c r="U14" s="337"/>
      <c r="V14" s="337"/>
    </row>
    <row r="15" spans="1:23">
      <c r="C15" s="176" t="s">
        <v>164</v>
      </c>
      <c r="D15" s="176" t="s">
        <v>165</v>
      </c>
      <c r="E15" s="176"/>
      <c r="F15" s="506">
        <f>'DAL KPI'!V36</f>
        <v>396</v>
      </c>
      <c r="G15" s="506">
        <f>'DAL KPI'!W36</f>
        <v>311</v>
      </c>
      <c r="H15" s="506">
        <f>'DAL KPI'!X36</f>
        <v>300</v>
      </c>
      <c r="I15" s="506">
        <f>'DAL KPI'!Y36</f>
        <v>929</v>
      </c>
      <c r="J15" s="506">
        <f>'DAL KPI'!Z36</f>
        <v>1278</v>
      </c>
      <c r="K15" s="177">
        <f t="shared" ref="K15:K21" si="1">+IFERROR(SUM(R15:U15)," NA")</f>
        <v>1122</v>
      </c>
      <c r="L15" s="506">
        <f ca="1">'DAL KPI'!AA36</f>
        <v>2533.9667043850332</v>
      </c>
      <c r="M15" s="506">
        <f ca="1">'DAL KPI'!AB36</f>
        <v>5233.8936725854655</v>
      </c>
      <c r="N15" s="506">
        <f>'DAL KPI'!K36</f>
        <v>291</v>
      </c>
      <c r="O15" s="506">
        <f>'DAL KPI'!L36</f>
        <v>365</v>
      </c>
      <c r="P15" s="506">
        <f>'DAL KPI'!M36</f>
        <v>361</v>
      </c>
      <c r="Q15" s="506">
        <f>'DAL KPI'!N36</f>
        <v>338</v>
      </c>
      <c r="R15" s="506">
        <f>'DAL KPI'!O36</f>
        <v>314</v>
      </c>
      <c r="S15" s="506">
        <f>'DAL KPI'!P36</f>
        <v>265</v>
      </c>
      <c r="T15" s="506">
        <f>'DAL KPI'!Q36</f>
        <v>274</v>
      </c>
      <c r="U15" s="506">
        <f>'DAL KPI'!R36</f>
        <v>269</v>
      </c>
      <c r="V15" s="506">
        <f ca="1">'DAL KPI'!S36</f>
        <v>740.97434365696154</v>
      </c>
    </row>
    <row r="16" spans="1:23">
      <c r="C16" s="176" t="s">
        <v>166</v>
      </c>
      <c r="D16" s="176"/>
      <c r="E16" s="176"/>
      <c r="F16" s="506">
        <f>'DAL KPI'!V41</f>
        <v>2044</v>
      </c>
      <c r="G16" s="506">
        <f>'DAL KPI'!W41</f>
        <v>1196</v>
      </c>
      <c r="H16" s="506">
        <f>'DAL KPI'!X41</f>
        <v>1438</v>
      </c>
      <c r="I16" s="506">
        <f>'DAL KPI'!Y41</f>
        <v>-2157</v>
      </c>
      <c r="J16" s="506">
        <f>'DAL KPI'!Z41</f>
        <v>-817</v>
      </c>
      <c r="K16" s="177">
        <f t="shared" si="1"/>
        <v>97</v>
      </c>
      <c r="L16" s="506">
        <f ca="1">'DAL KPI'!AA41</f>
        <v>47</v>
      </c>
      <c r="M16" s="506">
        <f ca="1">'DAL KPI'!AB41</f>
        <v>0</v>
      </c>
      <c r="N16" s="506">
        <f>'DAL KPI'!K41</f>
        <v>-493</v>
      </c>
      <c r="O16" s="506">
        <f>'DAL KPI'!L41</f>
        <v>-517</v>
      </c>
      <c r="P16" s="506">
        <f>'DAL KPI'!M41</f>
        <v>-664</v>
      </c>
      <c r="Q16" s="506">
        <f>'DAL KPI'!N41</f>
        <v>-203</v>
      </c>
      <c r="R16" s="506">
        <f>'DAL KPI'!O41</f>
        <v>23</v>
      </c>
      <c r="S16" s="506">
        <f>'DAL KPI'!P41</f>
        <v>27</v>
      </c>
      <c r="T16" s="506">
        <f>'DAL KPI'!Q41</f>
        <v>-253</v>
      </c>
      <c r="U16" s="506">
        <f>'DAL KPI'!R41</f>
        <v>300</v>
      </c>
      <c r="V16" s="506">
        <f ca="1">'DAL KPI'!S41</f>
        <v>0</v>
      </c>
    </row>
    <row r="17" spans="3:22">
      <c r="C17" s="176" t="s">
        <v>167</v>
      </c>
      <c r="D17" s="176" t="s">
        <v>168</v>
      </c>
      <c r="E17" s="176" t="s">
        <v>169</v>
      </c>
      <c r="F17" s="506">
        <f>-'DAL Financials'!V233</f>
        <v>3891</v>
      </c>
      <c r="G17" s="506">
        <f>-'DAL Financials'!W233</f>
        <v>5168</v>
      </c>
      <c r="H17" s="506">
        <f>-'DAL Financials'!X233</f>
        <v>4936</v>
      </c>
      <c r="I17" s="506">
        <f>-'DAL Financials'!Y233</f>
        <v>1900</v>
      </c>
      <c r="J17" s="506">
        <f>-'DAL Financials'!Z233</f>
        <v>3247</v>
      </c>
      <c r="K17" s="177">
        <f t="shared" si="1"/>
        <v>4772</v>
      </c>
      <c r="L17" s="506">
        <f>-'DAL Financials'!AA233</f>
        <v>6074.3591348575519</v>
      </c>
      <c r="M17" s="506">
        <f>-'DAL Financials'!AB233</f>
        <v>5989.5569140171938</v>
      </c>
      <c r="N17" s="506">
        <f>-'DAL Financials'!K233</f>
        <v>133</v>
      </c>
      <c r="O17" s="506">
        <f>-'DAL Financials'!L233</f>
        <v>548</v>
      </c>
      <c r="P17" s="506">
        <f>-'DAL Financials'!M233</f>
        <v>438</v>
      </c>
      <c r="Q17" s="506">
        <f>-'DAL Financials'!N233</f>
        <v>761</v>
      </c>
      <c r="R17" s="506">
        <f>-'DAL Financials'!O233</f>
        <v>830</v>
      </c>
      <c r="S17" s="506">
        <f>-'DAL Financials'!P233</f>
        <v>1218</v>
      </c>
      <c r="T17" s="506">
        <f>-'DAL Financials'!Q233</f>
        <v>1766</v>
      </c>
      <c r="U17" s="506">
        <f>-'DAL Financials'!R233</f>
        <v>958</v>
      </c>
      <c r="V17" s="506">
        <f>-'DAL Financials'!S233</f>
        <v>1590.2389903397143</v>
      </c>
    </row>
    <row r="18" spans="3:22">
      <c r="C18" s="176" t="s">
        <v>170</v>
      </c>
      <c r="D18" s="176" t="s">
        <v>171</v>
      </c>
      <c r="E18" s="176"/>
      <c r="F18" s="506">
        <f>-'DAL Financials'!V246</f>
        <v>731</v>
      </c>
      <c r="G18" s="506">
        <f>-'DAL Financials'!W246</f>
        <v>909</v>
      </c>
      <c r="H18" s="506">
        <f>-'DAL Financials'!X246</f>
        <v>981</v>
      </c>
      <c r="I18" s="506">
        <f>-'DAL Financials'!Y246</f>
        <v>260</v>
      </c>
      <c r="J18" s="506">
        <f>-'DAL Financials'!Z246</f>
        <v>0</v>
      </c>
      <c r="K18" s="177">
        <f t="shared" si="1"/>
        <v>0</v>
      </c>
      <c r="L18" s="506">
        <f>-'DAL Financials'!AA246</f>
        <v>0</v>
      </c>
      <c r="M18" s="506">
        <f>-'DAL Financials'!AB246</f>
        <v>0</v>
      </c>
      <c r="N18" s="506">
        <f>-'DAL Financials'!K246</f>
        <v>0</v>
      </c>
      <c r="O18" s="506">
        <f>-'DAL Financials'!L246</f>
        <v>0</v>
      </c>
      <c r="P18" s="506">
        <f>-'DAL Financials'!M246</f>
        <v>0</v>
      </c>
      <c r="Q18" s="506">
        <f>-'DAL Financials'!N246</f>
        <v>0</v>
      </c>
      <c r="R18" s="506">
        <f>-'DAL Financials'!O246</f>
        <v>0</v>
      </c>
      <c r="S18" s="506">
        <f>-'DAL Financials'!P246</f>
        <v>0</v>
      </c>
      <c r="T18" s="506">
        <f>-'DAL Financials'!Q246</f>
        <v>0</v>
      </c>
      <c r="U18" s="506">
        <f>-'DAL Financials'!R246</f>
        <v>0</v>
      </c>
      <c r="V18" s="506">
        <f>-'DAL Financials'!S246</f>
        <v>0</v>
      </c>
    </row>
    <row r="19" spans="3:22">
      <c r="C19" s="176" t="s">
        <v>172</v>
      </c>
      <c r="D19" s="176" t="s">
        <v>173</v>
      </c>
      <c r="E19" s="176"/>
      <c r="F19" s="506">
        <f>-'DAL Financials'!V245</f>
        <v>1677</v>
      </c>
      <c r="G19" s="506">
        <f>-'DAL Financials'!W245</f>
        <v>1575</v>
      </c>
      <c r="H19" s="506">
        <f>-'DAL Financials'!X245</f>
        <v>2026</v>
      </c>
      <c r="I19" s="506">
        <f>-'DAL Financials'!Y245</f>
        <v>344</v>
      </c>
      <c r="J19" s="506">
        <f>-'DAL Financials'!Z245</f>
        <v>0</v>
      </c>
      <c r="K19" s="177">
        <f t="shared" si="1"/>
        <v>0</v>
      </c>
      <c r="L19" s="506">
        <f>-'DAL Financials'!AA245</f>
        <v>0</v>
      </c>
      <c r="M19" s="506">
        <f>-'DAL Financials'!AB245</f>
        <v>0</v>
      </c>
      <c r="N19" s="506">
        <f>-'DAL Financials'!K245</f>
        <v>0</v>
      </c>
      <c r="O19" s="506">
        <f>-'DAL Financials'!L245</f>
        <v>0</v>
      </c>
      <c r="P19" s="506">
        <f>-'DAL Financials'!M245</f>
        <v>0</v>
      </c>
      <c r="Q19" s="506">
        <f>-'DAL Financials'!N245</f>
        <v>0</v>
      </c>
      <c r="R19" s="506">
        <f>-'DAL Financials'!O245</f>
        <v>0</v>
      </c>
      <c r="S19" s="506">
        <f>-'DAL Financials'!P245</f>
        <v>0</v>
      </c>
      <c r="T19" s="506">
        <f>-'DAL Financials'!Q245</f>
        <v>0</v>
      </c>
      <c r="U19" s="506">
        <f>-'DAL Financials'!R245</f>
        <v>0</v>
      </c>
      <c r="V19" s="506">
        <f>-'DAL Financials'!S245</f>
        <v>0</v>
      </c>
    </row>
    <row r="20" spans="3:22">
      <c r="C20" s="176" t="s">
        <v>174</v>
      </c>
      <c r="D20" s="176"/>
      <c r="E20" s="176"/>
      <c r="F20" s="506">
        <f>-'DAL Financials'!V243</f>
        <v>1258</v>
      </c>
      <c r="G20" s="506">
        <f>-'DAL Financials'!W243</f>
        <v>3052</v>
      </c>
      <c r="H20" s="506">
        <f>-'DAL Financials'!X243</f>
        <v>3321</v>
      </c>
      <c r="I20" s="506">
        <f>-'DAL Financials'!Y243</f>
        <v>8560</v>
      </c>
      <c r="J20" s="506">
        <f>-'DAL Financials'!Z243</f>
        <v>5834</v>
      </c>
      <c r="K20" s="177">
        <f t="shared" si="1"/>
        <v>5096</v>
      </c>
      <c r="L20" s="506">
        <f ca="1">-'DAL Financials'!AA243</f>
        <v>2395</v>
      </c>
      <c r="M20" s="506">
        <f ca="1">-'DAL Financials'!AB243</f>
        <v>0</v>
      </c>
      <c r="N20" s="506">
        <f>-'DAL Financials'!K243</f>
        <v>607</v>
      </c>
      <c r="O20" s="506">
        <f>-'DAL Financials'!L243</f>
        <v>6241</v>
      </c>
      <c r="P20" s="506">
        <f>-'DAL Financials'!M243</f>
        <v>1775</v>
      </c>
      <c r="Q20" s="506">
        <f>-'DAL Financials'!N243</f>
        <v>1358</v>
      </c>
      <c r="R20" s="506">
        <f>-'DAL Financials'!O243</f>
        <v>1553</v>
      </c>
      <c r="S20" s="506">
        <f>-'DAL Financials'!P243</f>
        <v>1148</v>
      </c>
      <c r="T20" s="506">
        <f>-'DAL Financials'!Q243</f>
        <v>1443</v>
      </c>
      <c r="U20" s="506">
        <f>-'DAL Financials'!R243</f>
        <v>952</v>
      </c>
      <c r="V20" s="506">
        <f ca="1">-'DAL Financials'!S243</f>
        <v>0</v>
      </c>
    </row>
    <row r="21" spans="3:22">
      <c r="C21" s="176" t="s">
        <v>175</v>
      </c>
      <c r="D21" s="176"/>
      <c r="E21" s="176"/>
      <c r="F21" s="338">
        <f>SUM(F15:F20)</f>
        <v>9997</v>
      </c>
      <c r="G21" s="338">
        <f>SUM(G15:G20)</f>
        <v>12211</v>
      </c>
      <c r="H21" s="338">
        <f>SUM(H15:H20)</f>
        <v>13002</v>
      </c>
      <c r="I21" s="338">
        <f>SUM(I15:I20)</f>
        <v>9836</v>
      </c>
      <c r="J21" s="338">
        <f>SUM(J15:J20)</f>
        <v>9542</v>
      </c>
      <c r="K21" s="338">
        <f t="shared" si="1"/>
        <v>11087</v>
      </c>
      <c r="L21" s="338">
        <f t="shared" ref="L21:N21" ca="1" si="2">SUM(L15:L20)</f>
        <v>11050.325839242585</v>
      </c>
      <c r="M21" s="338">
        <f t="shared" ca="1" si="2"/>
        <v>11223.450586602659</v>
      </c>
      <c r="N21" s="338">
        <f t="shared" si="2"/>
        <v>538</v>
      </c>
      <c r="O21" s="338">
        <f t="shared" ref="O21:V21" si="3">SUM(O15:O20)</f>
        <v>6637</v>
      </c>
      <c r="P21" s="338">
        <f t="shared" si="3"/>
        <v>1910</v>
      </c>
      <c r="Q21" s="338">
        <f t="shared" si="3"/>
        <v>2254</v>
      </c>
      <c r="R21" s="338">
        <f t="shared" si="3"/>
        <v>2720</v>
      </c>
      <c r="S21" s="338">
        <f t="shared" si="3"/>
        <v>2658</v>
      </c>
      <c r="T21" s="338">
        <f t="shared" si="3"/>
        <v>3230</v>
      </c>
      <c r="U21" s="338">
        <f t="shared" si="3"/>
        <v>2479</v>
      </c>
      <c r="V21" s="338">
        <f t="shared" ca="1" si="3"/>
        <v>2331.2133339966758</v>
      </c>
    </row>
    <row r="22" spans="3:22">
      <c r="C22" s="176"/>
      <c r="D22" s="176"/>
      <c r="E22" s="176"/>
      <c r="F22" s="339"/>
      <c r="G22" s="339"/>
      <c r="H22" s="339"/>
      <c r="I22" s="339"/>
      <c r="J22" s="339"/>
      <c r="K22" s="177"/>
      <c r="L22" s="339"/>
      <c r="M22" s="339"/>
      <c r="N22" s="339"/>
      <c r="O22" s="339"/>
      <c r="P22" s="339"/>
      <c r="Q22" s="339"/>
      <c r="R22" s="339"/>
      <c r="S22" s="339"/>
      <c r="T22" s="339"/>
      <c r="U22" s="339"/>
      <c r="V22" s="339"/>
    </row>
    <row r="23" spans="3:22">
      <c r="C23" s="176" t="s">
        <v>69</v>
      </c>
      <c r="D23" s="176" t="s">
        <v>176</v>
      </c>
      <c r="E23" s="176"/>
      <c r="F23" s="506">
        <f>'DAL Financials'!V146</f>
        <v>8440</v>
      </c>
      <c r="G23" s="506">
        <f>'DAL Financials'!W146</f>
        <v>9368</v>
      </c>
      <c r="H23" s="506">
        <f>'DAL Financials'!X146</f>
        <v>10106</v>
      </c>
      <c r="I23" s="506">
        <f>'DAL Financials'!Y146</f>
        <v>27974</v>
      </c>
      <c r="J23" s="506">
        <f>'DAL Financials'!Z146</f>
        <v>25084</v>
      </c>
      <c r="K23" s="177">
        <f>+U23</f>
        <v>24839</v>
      </c>
      <c r="L23" s="506">
        <f ca="1">'DAL Financials'!AA146</f>
        <v>117118.83668703501</v>
      </c>
      <c r="M23" s="506">
        <f ca="1">'DAL Financials'!AB146</f>
        <v>123770.30096397626</v>
      </c>
      <c r="N23" s="506">
        <f>'DAL Financials'!K146</f>
        <v>33648</v>
      </c>
      <c r="O23" s="506">
        <f>'DAL Financials'!L146</f>
        <v>27974</v>
      </c>
      <c r="P23" s="506">
        <f>'DAL Financials'!M146</f>
        <v>27473</v>
      </c>
      <c r="Q23" s="506">
        <f>'DAL Financials'!N146</f>
        <v>27265</v>
      </c>
      <c r="R23" s="506">
        <f>'DAL Financials'!O146</f>
        <v>26101</v>
      </c>
      <c r="S23" s="506">
        <f>'DAL Financials'!P146</f>
        <v>25084</v>
      </c>
      <c r="T23" s="506">
        <f>'DAL Financials'!Q146</f>
        <v>23770</v>
      </c>
      <c r="U23" s="506">
        <f>'DAL Financials'!R146</f>
        <v>24839</v>
      </c>
      <c r="V23" s="506">
        <f ca="1">'DAL Financials'!S146</f>
        <v>113645.84933975076</v>
      </c>
    </row>
    <row r="24" spans="3:22">
      <c r="C24" s="176" t="s">
        <v>73</v>
      </c>
      <c r="D24" s="176" t="s">
        <v>177</v>
      </c>
      <c r="E24" s="176" t="s">
        <v>178</v>
      </c>
      <c r="F24" s="177">
        <f>F23-F26</f>
        <v>6626</v>
      </c>
      <c r="G24" s="177">
        <f>G23-G26</f>
        <v>7803</v>
      </c>
      <c r="H24" s="177">
        <f>H23-H26</f>
        <v>7224</v>
      </c>
      <c r="I24" s="177">
        <f>I23-I26</f>
        <v>19667</v>
      </c>
      <c r="J24" s="177">
        <f>J23-J26</f>
        <v>17151</v>
      </c>
      <c r="K24" s="177">
        <f t="shared" ref="K24:K32" si="4">+U24</f>
        <v>15618</v>
      </c>
      <c r="L24" s="177">
        <f t="shared" ref="L24:N24" ca="1" si="5">L23-L26</f>
        <v>17449.836687035015</v>
      </c>
      <c r="M24" s="177">
        <f t="shared" ca="1" si="5"/>
        <v>24101.300963978181</v>
      </c>
      <c r="N24" s="177">
        <f t="shared" si="5"/>
        <v>17171</v>
      </c>
      <c r="O24" s="177">
        <f t="shared" ref="O24:V24" si="6">O23-O26</f>
        <v>19667</v>
      </c>
      <c r="P24" s="177">
        <f t="shared" si="6"/>
        <v>19013</v>
      </c>
      <c r="Q24" s="177">
        <f t="shared" si="6"/>
        <v>16908</v>
      </c>
      <c r="R24" s="177">
        <f t="shared" si="6"/>
        <v>17316</v>
      </c>
      <c r="S24" s="177">
        <f t="shared" si="6"/>
        <v>17151</v>
      </c>
      <c r="T24" s="177">
        <f t="shared" si="6"/>
        <v>16065</v>
      </c>
      <c r="U24" s="177">
        <f t="shared" si="6"/>
        <v>15618</v>
      </c>
      <c r="V24" s="177">
        <f t="shared" ca="1" si="6"/>
        <v>15750.849339750755</v>
      </c>
    </row>
    <row r="25" spans="3:22">
      <c r="C25" s="176" t="s">
        <v>179</v>
      </c>
      <c r="D25" s="176" t="s">
        <v>180</v>
      </c>
      <c r="E25" s="176"/>
      <c r="F25" s="506">
        <f>'DAL Financials'!V167</f>
        <v>12530</v>
      </c>
      <c r="G25" s="506">
        <f>'DAL Financials'!W167</f>
        <v>13687</v>
      </c>
      <c r="H25" s="506">
        <f>'DAL Financials'!X167</f>
        <v>15358</v>
      </c>
      <c r="I25" s="506">
        <f>'DAL Financials'!Y167</f>
        <v>1534</v>
      </c>
      <c r="J25" s="506">
        <f>'DAL Financials'!Z167</f>
        <v>3887</v>
      </c>
      <c r="K25" s="177">
        <f t="shared" si="4"/>
        <v>3811</v>
      </c>
      <c r="L25" s="506">
        <f ca="1">'DAL Financials'!AA167</f>
        <v>4147.6250536884363</v>
      </c>
      <c r="M25" s="506">
        <f ca="1">'DAL Financials'!AB167</f>
        <v>4294.8861919758729</v>
      </c>
      <c r="N25" s="506">
        <f>'DAL Financials'!K167</f>
        <v>3357</v>
      </c>
      <c r="O25" s="506">
        <f>'DAL Financials'!L167</f>
        <v>1534</v>
      </c>
      <c r="P25" s="506">
        <f>'DAL Financials'!M167</f>
        <v>482</v>
      </c>
      <c r="Q25" s="506">
        <f>'DAL Financials'!N167</f>
        <v>1281</v>
      </c>
      <c r="R25" s="506">
        <f>'DAL Financials'!O167</f>
        <v>2606</v>
      </c>
      <c r="S25" s="506">
        <f>'DAL Financials'!P167</f>
        <v>3887</v>
      </c>
      <c r="T25" s="506">
        <f>'DAL Financials'!Q167</f>
        <v>2991</v>
      </c>
      <c r="U25" s="506">
        <f>'DAL Financials'!R167</f>
        <v>3811</v>
      </c>
      <c r="V25" s="506">
        <f ca="1">'DAL Financials'!S167</f>
        <v>4468.7843547560351</v>
      </c>
    </row>
    <row r="26" spans="3:22">
      <c r="C26" s="176" t="s">
        <v>181</v>
      </c>
      <c r="D26" s="176" t="s">
        <v>182</v>
      </c>
      <c r="E26" s="176"/>
      <c r="F26" s="506">
        <f>'DAL Financials'!V116</f>
        <v>1814</v>
      </c>
      <c r="G26" s="506">
        <f>'DAL Financials'!W116</f>
        <v>1565</v>
      </c>
      <c r="H26" s="506">
        <f>'DAL Financials'!X116</f>
        <v>2882</v>
      </c>
      <c r="I26" s="506">
        <f>'DAL Financials'!Y116</f>
        <v>8307</v>
      </c>
      <c r="J26" s="506">
        <f>'DAL Financials'!Z116</f>
        <v>7933</v>
      </c>
      <c r="K26" s="177">
        <f t="shared" si="4"/>
        <v>9221</v>
      </c>
      <c r="L26" s="506">
        <f ca="1">'DAL Financials'!AA116</f>
        <v>99669</v>
      </c>
      <c r="M26" s="506">
        <f ca="1">'DAL Financials'!AB116</f>
        <v>99669.000000001019</v>
      </c>
      <c r="N26" s="506">
        <f>'DAL Financials'!K116</f>
        <v>16477</v>
      </c>
      <c r="O26" s="506">
        <f>'DAL Financials'!L116</f>
        <v>8307</v>
      </c>
      <c r="P26" s="506">
        <f>'DAL Financials'!M116</f>
        <v>8460</v>
      </c>
      <c r="Q26" s="506">
        <f>'DAL Financials'!N116</f>
        <v>10357</v>
      </c>
      <c r="R26" s="506">
        <f>'DAL Financials'!O116</f>
        <v>8785</v>
      </c>
      <c r="S26" s="506">
        <f>'DAL Financials'!P116</f>
        <v>7933</v>
      </c>
      <c r="T26" s="506">
        <f>'DAL Financials'!Q116</f>
        <v>7705</v>
      </c>
      <c r="U26" s="506">
        <f>'DAL Financials'!R116</f>
        <v>9221</v>
      </c>
      <c r="V26" s="506">
        <f ca="1">'DAL Financials'!S116</f>
        <v>97895</v>
      </c>
    </row>
    <row r="27" spans="3:22">
      <c r="C27" s="176" t="s">
        <v>183</v>
      </c>
      <c r="D27" s="176" t="s">
        <v>184</v>
      </c>
      <c r="E27" s="176"/>
      <c r="F27" s="506">
        <f>'DAL Financials'!V135</f>
        <v>53671</v>
      </c>
      <c r="G27" s="506">
        <f>'DAL Financials'!W135</f>
        <v>60266</v>
      </c>
      <c r="H27" s="506">
        <f>'DAL Financials'!X135</f>
        <v>64532</v>
      </c>
      <c r="I27" s="506">
        <f>'DAL Financials'!Y135</f>
        <v>71996</v>
      </c>
      <c r="J27" s="506">
        <f>'DAL Financials'!Z135</f>
        <v>72459</v>
      </c>
      <c r="K27" s="177">
        <f t="shared" si="4"/>
        <v>74805</v>
      </c>
      <c r="L27" s="506">
        <f ca="1">'DAL Financials'!AA135</f>
        <v>167242.45192421589</v>
      </c>
      <c r="M27" s="506">
        <f ca="1">'DAL Financials'!AB135</f>
        <v>173351.45478348833</v>
      </c>
      <c r="N27" s="506">
        <f>'DAL Financials'!K135</f>
        <v>79076</v>
      </c>
      <c r="O27" s="506">
        <f>'DAL Financials'!L135</f>
        <v>71996</v>
      </c>
      <c r="P27" s="506">
        <f>'DAL Financials'!M135</f>
        <v>73083</v>
      </c>
      <c r="Q27" s="506">
        <f>'DAL Financials'!N135</f>
        <v>75309</v>
      </c>
      <c r="R27" s="506">
        <f>'DAL Financials'!O135</f>
        <v>72783</v>
      </c>
      <c r="S27" s="506">
        <f>'DAL Financials'!P135</f>
        <v>72459</v>
      </c>
      <c r="T27" s="506">
        <f>'DAL Financials'!Q135</f>
        <v>73748</v>
      </c>
      <c r="U27" s="506">
        <f>'DAL Financials'!R135</f>
        <v>74805</v>
      </c>
      <c r="V27" s="506">
        <f ca="1">'DAL Financials'!S135</f>
        <v>164248.72539806081</v>
      </c>
    </row>
    <row r="28" spans="3:22">
      <c r="C28" s="176"/>
      <c r="D28" s="176"/>
      <c r="E28" s="176"/>
      <c r="F28" s="177"/>
      <c r="G28" s="177"/>
      <c r="H28" s="177"/>
      <c r="I28" s="177"/>
      <c r="J28" s="177"/>
      <c r="K28" s="177"/>
      <c r="L28" s="177"/>
      <c r="M28" s="177"/>
      <c r="N28" s="177"/>
      <c r="O28" s="177"/>
      <c r="P28" s="177"/>
      <c r="Q28" s="177"/>
      <c r="R28" s="177"/>
      <c r="S28" s="177"/>
      <c r="T28" s="177"/>
      <c r="U28" s="177"/>
      <c r="V28" s="177"/>
    </row>
    <row r="29" spans="3:22">
      <c r="C29" s="176" t="s">
        <v>185</v>
      </c>
      <c r="D29" s="176"/>
      <c r="E29" s="176"/>
      <c r="F29" s="506">
        <f>'DAL Financials'!V118</f>
        <v>2377</v>
      </c>
      <c r="G29" s="506">
        <f>'DAL Financials'!W118</f>
        <v>2314</v>
      </c>
      <c r="H29" s="506">
        <f>'DAL Financials'!X118</f>
        <v>2854</v>
      </c>
      <c r="I29" s="506">
        <f>'DAL Financials'!Y118</f>
        <v>1396</v>
      </c>
      <c r="J29" s="506">
        <f>'DAL Financials'!Z118</f>
        <v>2404</v>
      </c>
      <c r="K29" s="177">
        <f t="shared" si="4"/>
        <v>3093</v>
      </c>
      <c r="L29" s="506">
        <f>'DAL Financials'!AA118</f>
        <v>3193.9892826612954</v>
      </c>
      <c r="M29" s="506">
        <f>'DAL Financials'!AB118</f>
        <v>3553.4141930079713</v>
      </c>
      <c r="N29" s="506">
        <f>'DAL Financials'!K118</f>
        <v>1503</v>
      </c>
      <c r="O29" s="506">
        <f>'DAL Financials'!L118</f>
        <v>1396</v>
      </c>
      <c r="P29" s="506">
        <f>'DAL Financials'!M118</f>
        <v>1837</v>
      </c>
      <c r="Q29" s="506">
        <f>'DAL Financials'!N118</f>
        <v>2258</v>
      </c>
      <c r="R29" s="506">
        <f>'DAL Financials'!O118</f>
        <v>2183</v>
      </c>
      <c r="S29" s="506">
        <f>'DAL Financials'!P118</f>
        <v>2404</v>
      </c>
      <c r="T29" s="506">
        <f>'DAL Financials'!Q118</f>
        <v>3039</v>
      </c>
      <c r="U29" s="506">
        <f>'DAL Financials'!R118</f>
        <v>3093</v>
      </c>
      <c r="V29" s="506">
        <f>'DAL Financials'!S118</f>
        <v>3217.7006100998233</v>
      </c>
    </row>
    <row r="30" spans="3:22">
      <c r="C30" s="176" t="s">
        <v>186</v>
      </c>
      <c r="D30" s="176"/>
      <c r="E30" s="176"/>
      <c r="F30" s="506">
        <f>'DAL Financials'!V119</f>
        <v>1329</v>
      </c>
      <c r="G30" s="506">
        <f>'DAL Financials'!W119</f>
        <v>1055</v>
      </c>
      <c r="H30" s="506">
        <f>'DAL Financials'!X119</f>
        <v>1251</v>
      </c>
      <c r="I30" s="506">
        <f>'DAL Financials'!Y119</f>
        <v>732</v>
      </c>
      <c r="J30" s="506">
        <f>'DAL Financials'!Z119</f>
        <v>1098</v>
      </c>
      <c r="K30" s="177">
        <f t="shared" si="4"/>
        <v>1734</v>
      </c>
      <c r="L30" s="506">
        <f ca="1">'DAL Financials'!AA119</f>
        <v>1367.0699347059328</v>
      </c>
      <c r="M30" s="506">
        <f ca="1">'DAL Financials'!AB119</f>
        <v>1353.8438356229133</v>
      </c>
      <c r="N30" s="506">
        <f>'DAL Financials'!K119</f>
        <v>746</v>
      </c>
      <c r="O30" s="506">
        <f>'DAL Financials'!L119</f>
        <v>732</v>
      </c>
      <c r="P30" s="506">
        <f>'DAL Financials'!M119</f>
        <v>828</v>
      </c>
      <c r="Q30" s="506">
        <f>'DAL Financials'!N119</f>
        <v>1005</v>
      </c>
      <c r="R30" s="506">
        <f>'DAL Financials'!O119</f>
        <v>1012</v>
      </c>
      <c r="S30" s="506">
        <f>'DAL Financials'!P119</f>
        <v>1098</v>
      </c>
      <c r="T30" s="506">
        <f>'DAL Financials'!Q119</f>
        <v>1292</v>
      </c>
      <c r="U30" s="506">
        <f>'DAL Financials'!R119</f>
        <v>1734</v>
      </c>
      <c r="V30" s="506">
        <f ca="1">'DAL Financials'!S119</f>
        <v>1381.3679320689096</v>
      </c>
    </row>
    <row r="31" spans="3:22">
      <c r="C31" s="176" t="s">
        <v>187</v>
      </c>
      <c r="D31" s="176"/>
      <c r="E31" s="176"/>
      <c r="F31" s="506">
        <f>'DAL Financials'!V126</f>
        <v>26563</v>
      </c>
      <c r="G31" s="506">
        <f>'DAL Financials'!W126</f>
        <v>28335</v>
      </c>
      <c r="H31" s="506">
        <f>'DAL Financials'!X126</f>
        <v>31310</v>
      </c>
      <c r="I31" s="506">
        <f>'DAL Financials'!Y126</f>
        <v>26529</v>
      </c>
      <c r="J31" s="506">
        <f>'DAL Financials'!Z126</f>
        <v>28749</v>
      </c>
      <c r="K31" s="177">
        <f t="shared" si="4"/>
        <v>30519</v>
      </c>
      <c r="L31" s="506">
        <f>'DAL Financials'!AA126</f>
        <v>32927.467751730772</v>
      </c>
      <c r="M31" s="506">
        <f>'DAL Financials'!AB126</f>
        <v>36489.951107744098</v>
      </c>
      <c r="N31" s="506">
        <f>'DAL Financials'!K126</f>
        <v>26602</v>
      </c>
      <c r="O31" s="506">
        <f>'DAL Financials'!L126</f>
        <v>26529</v>
      </c>
      <c r="P31" s="506">
        <f>'DAL Financials'!M126</f>
        <v>26862</v>
      </c>
      <c r="Q31" s="506">
        <f>'DAL Financials'!N126</f>
        <v>27508</v>
      </c>
      <c r="R31" s="506">
        <f>'DAL Financials'!O126</f>
        <v>27816</v>
      </c>
      <c r="S31" s="506">
        <f>'DAL Financials'!P126</f>
        <v>28749</v>
      </c>
      <c r="T31" s="506">
        <f>'DAL Financials'!Q126</f>
        <v>30042</v>
      </c>
      <c r="U31" s="506">
        <f>'DAL Financials'!R126</f>
        <v>30519</v>
      </c>
      <c r="V31" s="506">
        <f>'DAL Financials'!S126</f>
        <v>31646.213839426655</v>
      </c>
    </row>
    <row r="32" spans="3:22">
      <c r="C32" s="176" t="s">
        <v>188</v>
      </c>
      <c r="D32" s="176" t="s">
        <v>189</v>
      </c>
      <c r="E32" s="176"/>
      <c r="F32" s="338">
        <f>SUM(F29:F31)</f>
        <v>30269</v>
      </c>
      <c r="G32" s="338">
        <f>SUM(G29:G31)</f>
        <v>31704</v>
      </c>
      <c r="H32" s="338">
        <f>SUM(H29:H31)</f>
        <v>35415</v>
      </c>
      <c r="I32" s="338">
        <f>SUM(I29:I31)</f>
        <v>28657</v>
      </c>
      <c r="J32" s="338">
        <f>SUM(J29:J31)</f>
        <v>32251</v>
      </c>
      <c r="K32" s="338">
        <f t="shared" si="4"/>
        <v>35346</v>
      </c>
      <c r="L32" s="338">
        <f t="shared" ref="L32:N32" ca="1" si="7">SUM(L29:L31)</f>
        <v>37488.526969097999</v>
      </c>
      <c r="M32" s="338">
        <f t="shared" ca="1" si="7"/>
        <v>41397.209136374986</v>
      </c>
      <c r="N32" s="338">
        <f t="shared" si="7"/>
        <v>28851</v>
      </c>
      <c r="O32" s="338">
        <f t="shared" ref="O32:V32" si="8">SUM(O29:O31)</f>
        <v>28657</v>
      </c>
      <c r="P32" s="338">
        <f t="shared" si="8"/>
        <v>29527</v>
      </c>
      <c r="Q32" s="338">
        <f t="shared" si="8"/>
        <v>30771</v>
      </c>
      <c r="R32" s="338">
        <f t="shared" si="8"/>
        <v>31011</v>
      </c>
      <c r="S32" s="338">
        <f t="shared" si="8"/>
        <v>32251</v>
      </c>
      <c r="T32" s="338">
        <f t="shared" si="8"/>
        <v>34373</v>
      </c>
      <c r="U32" s="338">
        <f t="shared" si="8"/>
        <v>35346</v>
      </c>
      <c r="V32" s="338">
        <f t="shared" ca="1" si="8"/>
        <v>36245.282381595389</v>
      </c>
    </row>
    <row r="33" spans="3:22">
      <c r="C33" s="176"/>
      <c r="D33" s="176"/>
      <c r="E33" s="176"/>
      <c r="F33" s="177"/>
      <c r="G33" s="177"/>
      <c r="H33" s="177"/>
      <c r="I33" s="177"/>
      <c r="J33" s="177"/>
      <c r="K33" s="177"/>
      <c r="L33" s="177"/>
      <c r="M33" s="177"/>
      <c r="N33" s="177"/>
      <c r="O33" s="177"/>
      <c r="P33" s="177"/>
      <c r="Q33" s="177"/>
      <c r="R33" s="177"/>
      <c r="S33" s="177"/>
      <c r="T33" s="177"/>
      <c r="U33" s="177"/>
      <c r="V33" s="177"/>
    </row>
    <row r="34" spans="3:22">
      <c r="C34" s="176" t="s">
        <v>190</v>
      </c>
      <c r="D34" s="176"/>
      <c r="E34" s="176"/>
      <c r="F34" s="507">
        <f>'DAL KPI'!V42</f>
        <v>0.38940750619165554</v>
      </c>
      <c r="G34" s="507">
        <f>'DAL KPI'!W42</f>
        <v>0.23501670269208097</v>
      </c>
      <c r="H34" s="507">
        <f>'DAL KPI'!X42</f>
        <v>0.23141293852590925</v>
      </c>
      <c r="I34" s="507">
        <f>'DAL KPI'!Y42</f>
        <v>-0.23977323254779903</v>
      </c>
      <c r="J34" s="507">
        <f>'DAL KPI'!Z42</f>
        <v>-0.23923865300146413</v>
      </c>
      <c r="K34" s="178">
        <f ca="1">+U34</f>
        <v>0.17017543859649123</v>
      </c>
      <c r="L34" s="507">
        <f ca="1">'DAL KPI'!AA42</f>
        <v>8.7929626999936394E-2</v>
      </c>
      <c r="M34" s="507">
        <f>'DAL KPI'!AB42</f>
        <v>0</v>
      </c>
      <c r="N34" s="507">
        <f>SUM('DAL KPI'!H41:K41)/ABS(SUM('DAL KPI'!H39:K39))</f>
        <v>-0.24198571166880381</v>
      </c>
      <c r="O34" s="507">
        <f>SUM('DAL KPI'!I41:L41)/ABS(SUM('DAL KPI'!I39:L39))</f>
        <v>-0.23977323254779903</v>
      </c>
      <c r="P34" s="507">
        <f>SUM('DAL KPI'!J41:M41)/ABS(SUM('DAL KPI'!J39:M39))</f>
        <v>-0.23708021576474683</v>
      </c>
      <c r="Q34" s="507">
        <f>SUM('DAL KPI'!K41:N41)/ABS(SUM('DAL KPI'!K39:N39))</f>
        <v>-0.220538127129597</v>
      </c>
      <c r="R34" s="507">
        <f>SUM('DAL KPI'!L41:O41)/ABS(SUM('DAL KPI'!L39:O39))</f>
        <v>-0.23856266432953549</v>
      </c>
      <c r="S34" s="507">
        <f>SUM('DAL KPI'!M41:P41)/ABS(SUM('DAL KPI'!M39:P39))</f>
        <v>-0.23923865300146413</v>
      </c>
      <c r="T34" s="507">
        <f>SUM('DAL KPI'!N41:Q41)/ABS(SUM('DAL KPI'!N39:Q39))</f>
        <v>-0.2650130548302872</v>
      </c>
      <c r="U34" s="507">
        <f ca="1">SUM('DAL KPI'!O41:R41)/ABS(SUM('DAL KPI'!O39:R39))</f>
        <v>0.17017543859649123</v>
      </c>
      <c r="V34" s="507">
        <f ca="1">SUM('DAL KPI'!P41:S41)/ABS(SUM('DAL KPI'!P39:S39))</f>
        <v>7.2636154094841254E-2</v>
      </c>
    </row>
    <row r="35" spans="3:22">
      <c r="C35" s="176"/>
      <c r="D35" s="176"/>
      <c r="E35" s="176"/>
      <c r="F35" s="177"/>
      <c r="G35" s="177"/>
      <c r="H35" s="177"/>
      <c r="I35" s="177"/>
      <c r="J35" s="177"/>
      <c r="K35" s="170"/>
      <c r="L35" s="170"/>
      <c r="M35" s="170"/>
      <c r="N35" s="177"/>
      <c r="O35" s="177"/>
      <c r="P35" s="177"/>
      <c r="Q35" s="177"/>
      <c r="R35" s="177"/>
      <c r="S35" s="177"/>
      <c r="T35" s="177"/>
      <c r="U35" s="177"/>
      <c r="V35" s="170"/>
    </row>
    <row r="36" spans="3:22" s="166" customFormat="1">
      <c r="C36" s="179" t="s">
        <v>151</v>
      </c>
      <c r="D36" s="179"/>
      <c r="E36" s="179"/>
      <c r="F36" s="180"/>
      <c r="G36" s="180">
        <f t="shared" ref="G36:V36" si="9">+G7</f>
        <v>44438</v>
      </c>
      <c r="H36" s="180">
        <f t="shared" si="9"/>
        <v>46719</v>
      </c>
      <c r="I36" s="180">
        <f t="shared" si="9"/>
        <v>15945</v>
      </c>
      <c r="J36" s="180">
        <f t="shared" si="9"/>
        <v>26671</v>
      </c>
      <c r="K36" s="180">
        <f t="shared" si="9"/>
        <v>37183</v>
      </c>
      <c r="L36" s="180">
        <f t="shared" si="9"/>
        <v>45286.221224842295</v>
      </c>
      <c r="M36" s="180">
        <f t="shared" si="9"/>
        <v>50990.138280343876</v>
      </c>
      <c r="N36" s="180">
        <f t="shared" si="9"/>
        <v>2645</v>
      </c>
      <c r="O36" s="180">
        <f t="shared" si="9"/>
        <v>3532</v>
      </c>
      <c r="P36" s="180">
        <f t="shared" si="9"/>
        <v>3610</v>
      </c>
      <c r="Q36" s="180">
        <f t="shared" si="9"/>
        <v>6349</v>
      </c>
      <c r="R36" s="180">
        <f t="shared" si="9"/>
        <v>8282</v>
      </c>
      <c r="S36" s="180">
        <f t="shared" si="9"/>
        <v>8430</v>
      </c>
      <c r="T36" s="180">
        <f t="shared" si="9"/>
        <v>8161</v>
      </c>
      <c r="U36" s="180">
        <f t="shared" si="9"/>
        <v>12310</v>
      </c>
      <c r="V36" s="180">
        <f t="shared" si="9"/>
        <v>12936.428907457415</v>
      </c>
    </row>
    <row r="37" spans="3:22">
      <c r="C37" s="176" t="s">
        <v>191</v>
      </c>
      <c r="D37" s="176"/>
      <c r="E37" s="176"/>
      <c r="F37" s="177"/>
      <c r="G37" s="178">
        <f>IFERROR(G36/F7-1," NA")</f>
        <v>8.0217803490689965E-2</v>
      </c>
      <c r="H37" s="178">
        <f>IFERROR(H36/G36-1," NA")</f>
        <v>5.1329942841711995E-2</v>
      </c>
      <c r="I37" s="178">
        <f>IFERROR(I36/H36-1," NA")</f>
        <v>-0.65870416746933791</v>
      </c>
      <c r="J37" s="178">
        <f>IFERROR(J36/I36-1," NA")</f>
        <v>0.67268736280965813</v>
      </c>
      <c r="K37" s="178">
        <f>+K36/SUM(N36:Q36)-1</f>
        <v>1.3043505205751114</v>
      </c>
      <c r="L37" s="178">
        <f>IFERROR(L36/J36-1," NA")</f>
        <v>0.69795737785768419</v>
      </c>
      <c r="M37" s="178">
        <f>IFERROR(M36/L36-1," NA")</f>
        <v>0.12595259443666351</v>
      </c>
      <c r="N37" s="177"/>
      <c r="O37" s="177"/>
      <c r="P37" s="177"/>
      <c r="Q37" s="177"/>
      <c r="R37" s="178">
        <f>IFERROR(R36/N36-1," NA")</f>
        <v>2.1311909262759925</v>
      </c>
      <c r="S37" s="178">
        <f>IFERROR(S36/O36-1," NA")</f>
        <v>1.3867497168742924</v>
      </c>
      <c r="T37" s="178">
        <f>IFERROR(T36/P36-1," NA")</f>
        <v>1.2606648199445982</v>
      </c>
      <c r="U37" s="178">
        <f>IFERROR(U36/Q36-1," NA")</f>
        <v>0.93888801386045051</v>
      </c>
      <c r="V37" s="178">
        <f>IFERROR(V36/R36-1," NA")</f>
        <v>0.56199334791806521</v>
      </c>
    </row>
    <row r="38" spans="3:22">
      <c r="C38" s="176" t="s">
        <v>192</v>
      </c>
      <c r="D38" s="176"/>
      <c r="E38" s="176" t="s">
        <v>193</v>
      </c>
      <c r="F38" s="181"/>
      <c r="G38" s="329">
        <f t="shared" ref="G38:M40" si="10">IFERROR(G8/G$7," NA")</f>
        <v>0.27512489310950089</v>
      </c>
      <c r="H38" s="329">
        <f t="shared" si="10"/>
        <v>0.3188210364091697</v>
      </c>
      <c r="I38" s="329">
        <f t="shared" si="10"/>
        <v>-0.2607714016933208</v>
      </c>
      <c r="J38" s="329">
        <f t="shared" si="10"/>
        <v>6.8688838063814636E-2</v>
      </c>
      <c r="K38" s="329">
        <f t="shared" ca="1" si="10"/>
        <v>0.17661296829196138</v>
      </c>
      <c r="L38" s="329">
        <f t="shared" ca="1" si="10"/>
        <v>0.19967230147258511</v>
      </c>
      <c r="M38" s="329">
        <f t="shared" si="10"/>
        <v>0.22518580998946297</v>
      </c>
      <c r="N38" s="181"/>
      <c r="O38" s="181"/>
      <c r="P38" s="181"/>
      <c r="Q38" s="181"/>
      <c r="R38" s="329">
        <f t="shared" ref="R38:V40" si="11">IFERROR(R8/R$7," NA")</f>
        <v>0.19331079449408356</v>
      </c>
      <c r="S38" s="329">
        <f t="shared" si="11"/>
        <v>0.18505338078291814</v>
      </c>
      <c r="T38" s="329">
        <f t="shared" si="11"/>
        <v>5.3179757382673692E-2</v>
      </c>
      <c r="U38" s="329">
        <f t="shared" ca="1" si="11"/>
        <v>0.24142973192526401</v>
      </c>
      <c r="V38" s="329">
        <f t="shared" ca="1" si="11"/>
        <v>0.24333297940217144</v>
      </c>
    </row>
    <row r="39" spans="3:22">
      <c r="C39" s="176" t="s">
        <v>194</v>
      </c>
      <c r="D39" s="176"/>
      <c r="E39" s="176"/>
      <c r="F39" s="182"/>
      <c r="G39" s="178">
        <f t="shared" si="10"/>
        <v>3.7400423061343897E-2</v>
      </c>
      <c r="H39" s="178">
        <f t="shared" si="10"/>
        <v>4.7304094693807662E-2</v>
      </c>
      <c r="I39" s="178">
        <f t="shared" si="10"/>
        <v>3.9636249608027592E-2</v>
      </c>
      <c r="J39" s="178">
        <f t="shared" si="10"/>
        <v>3.5731693599790032E-2</v>
      </c>
      <c r="K39" s="178">
        <f t="shared" si="10"/>
        <v>3.9238361616867924E-2</v>
      </c>
      <c r="L39" s="178">
        <f t="shared" si="10"/>
        <v>3.942567972134884E-2</v>
      </c>
      <c r="M39" s="178">
        <f t="shared" si="10"/>
        <v>3.5080455816613447E-2</v>
      </c>
      <c r="N39" s="181"/>
      <c r="O39" s="181"/>
      <c r="P39" s="181"/>
      <c r="Q39" s="181"/>
      <c r="R39" s="178">
        <f t="shared" si="11"/>
        <v>3.7189084762134748E-2</v>
      </c>
      <c r="S39" s="178">
        <f t="shared" si="11"/>
        <v>3.7129300118623962E-2</v>
      </c>
      <c r="T39" s="178">
        <f t="shared" si="11"/>
        <v>3.8230608993995836E-2</v>
      </c>
      <c r="U39" s="178">
        <f t="shared" si="11"/>
        <v>4.2729488220958567E-2</v>
      </c>
      <c r="V39" s="178">
        <f t="shared" si="11"/>
        <v>4.1560080342170819E-2</v>
      </c>
    </row>
    <row r="40" spans="3:22">
      <c r="C40" s="176" t="s">
        <v>195</v>
      </c>
      <c r="D40" s="176"/>
      <c r="E40" s="176"/>
      <c r="F40" s="182"/>
      <c r="G40" s="178">
        <f t="shared" si="10"/>
        <v>0.14654124848102976</v>
      </c>
      <c r="H40" s="178">
        <f t="shared" si="10"/>
        <v>0.17720841627603331</v>
      </c>
      <c r="I40" s="178">
        <f t="shared" si="10"/>
        <v>-0.5133270617748511</v>
      </c>
      <c r="J40" s="178">
        <f t="shared" si="10"/>
        <v>-9.4784597502905785E-2</v>
      </c>
      <c r="K40" s="178">
        <f t="shared" ca="1" si="10"/>
        <v>3.9964499905870962E-2</v>
      </c>
      <c r="L40" s="178">
        <f t="shared" ca="1" si="10"/>
        <v>7.7244385501661655E-2</v>
      </c>
      <c r="M40" s="178">
        <f t="shared" si="10"/>
        <v>0.10609891279294997</v>
      </c>
      <c r="N40" s="181"/>
      <c r="O40" s="181"/>
      <c r="P40" s="181"/>
      <c r="Q40" s="181"/>
      <c r="R40" s="178">
        <f t="shared" si="11"/>
        <v>5.252354503743057E-2</v>
      </c>
      <c r="S40" s="178">
        <f t="shared" si="11"/>
        <v>4.0806642941874256E-2</v>
      </c>
      <c r="T40" s="178">
        <f t="shared" si="11"/>
        <v>-9.7046930523220193E-2</v>
      </c>
      <c r="U40" s="178">
        <f t="shared" ca="1" si="11"/>
        <v>0.12177091795288383</v>
      </c>
      <c r="V40" s="178">
        <f t="shared" ca="1" si="11"/>
        <v>0.12962469242225289</v>
      </c>
    </row>
    <row r="41" spans="3:22" s="166" customFormat="1">
      <c r="C41" s="179" t="s">
        <v>88</v>
      </c>
      <c r="D41" s="179"/>
      <c r="E41" s="179"/>
      <c r="F41" s="183"/>
      <c r="G41" s="180">
        <f t="shared" ref="G41:M41" si="12">+G11</f>
        <v>8841</v>
      </c>
      <c r="H41" s="180">
        <f t="shared" si="12"/>
        <v>10860</v>
      </c>
      <c r="I41" s="180">
        <f t="shared" si="12"/>
        <v>-6000</v>
      </c>
      <c r="J41" s="180">
        <f t="shared" si="12"/>
        <v>-529</v>
      </c>
      <c r="K41" s="180">
        <f t="shared" ca="1" si="12"/>
        <v>3507</v>
      </c>
      <c r="L41" s="180">
        <f t="shared" ca="1" si="12"/>
        <v>5460.9977133320263</v>
      </c>
      <c r="M41" s="180">
        <f t="shared" si="12"/>
        <v>7847.0717927105297</v>
      </c>
      <c r="N41" s="184"/>
      <c r="O41" s="184"/>
      <c r="P41" s="184"/>
      <c r="Q41" s="184"/>
      <c r="R41" s="180">
        <f>+R11</f>
        <v>936</v>
      </c>
      <c r="S41" s="180">
        <f>+S11</f>
        <v>848</v>
      </c>
      <c r="T41" s="180">
        <f>+T11</f>
        <v>-286</v>
      </c>
      <c r="U41" s="180">
        <f ca="1">+U11</f>
        <v>2009</v>
      </c>
      <c r="V41" s="180">
        <f ca="1">+V11</f>
        <v>2142.4057690845657</v>
      </c>
    </row>
    <row r="42" spans="3:22">
      <c r="C42" s="176" t="s">
        <v>196</v>
      </c>
      <c r="D42" s="176"/>
      <c r="E42" s="176"/>
      <c r="F42" s="182"/>
      <c r="G42" s="178">
        <f t="shared" ref="G42:M42" si="13">IFERROR(G11/G$7," NA")</f>
        <v>0.19895134794545208</v>
      </c>
      <c r="H42" s="178">
        <f t="shared" si="13"/>
        <v>0.23245360559943493</v>
      </c>
      <c r="I42" s="178">
        <f t="shared" si="13"/>
        <v>-0.37629350893697083</v>
      </c>
      <c r="J42" s="178">
        <f t="shared" si="13"/>
        <v>-1.9834276929998874E-2</v>
      </c>
      <c r="K42" s="178">
        <f t="shared" ca="1" si="13"/>
        <v>9.4317295538283621E-2</v>
      </c>
      <c r="L42" s="178">
        <f t="shared" ca="1" si="13"/>
        <v>0.12058850497193462</v>
      </c>
      <c r="M42" s="178">
        <f t="shared" si="13"/>
        <v>0.15389391081011222</v>
      </c>
      <c r="N42" s="181"/>
      <c r="O42" s="181"/>
      <c r="P42" s="181"/>
      <c r="Q42" s="181"/>
      <c r="R42" s="178">
        <f>IFERROR(R11/R$7," NA")</f>
        <v>0.11301617966674717</v>
      </c>
      <c r="S42" s="178">
        <f>IFERROR(S11/S$7," NA")</f>
        <v>0.10059311981020166</v>
      </c>
      <c r="T42" s="178">
        <f>IFERROR(T11/T$7," NA")</f>
        <v>-3.5044724911162846E-2</v>
      </c>
      <c r="U42" s="178">
        <f ca="1">IFERROR(U11/U$7," NA")</f>
        <v>0.16320064987814784</v>
      </c>
      <c r="V42" s="178">
        <f ca="1">IFERROR(V11/V$7," NA")</f>
        <v>0.16561029202189956</v>
      </c>
    </row>
    <row r="43" spans="3:22">
      <c r="C43" s="176" t="s">
        <v>197</v>
      </c>
      <c r="D43" s="176"/>
      <c r="E43" s="176"/>
      <c r="F43" s="182"/>
      <c r="G43" s="178">
        <f t="shared" ref="G43:M43" si="14">IFERROR(G17/G$7," NA")</f>
        <v>0.11629686304514154</v>
      </c>
      <c r="H43" s="178">
        <f t="shared" si="14"/>
        <v>0.10565294633874869</v>
      </c>
      <c r="I43" s="178">
        <f t="shared" si="14"/>
        <v>0.1191596111633741</v>
      </c>
      <c r="J43" s="178">
        <f t="shared" si="14"/>
        <v>0.12174271680851861</v>
      </c>
      <c r="K43" s="178">
        <f t="shared" si="14"/>
        <v>0.1283382190786112</v>
      </c>
      <c r="L43" s="178">
        <f t="shared" si="14"/>
        <v>0.13413261187545031</v>
      </c>
      <c r="M43" s="178">
        <f t="shared" si="14"/>
        <v>0.11746500629369935</v>
      </c>
      <c r="N43" s="181"/>
      <c r="O43" s="181"/>
      <c r="P43" s="181"/>
      <c r="Q43" s="181"/>
      <c r="R43" s="178">
        <f>IFERROR(R17/R$7," NA")</f>
        <v>0.10021733880705144</v>
      </c>
      <c r="S43" s="178">
        <f>IFERROR(S17/S$7," NA")</f>
        <v>0.14448398576512456</v>
      </c>
      <c r="T43" s="178">
        <f>IFERROR(T17/T$7," NA")</f>
        <v>0.21639504962627129</v>
      </c>
      <c r="U43" s="178">
        <f>IFERROR(U17/U$7," NA")</f>
        <v>7.7822908204711619E-2</v>
      </c>
      <c r="V43" s="178">
        <f>IFERROR(V17/V$7," NA")</f>
        <v>0.12292720052154386</v>
      </c>
    </row>
    <row r="44" spans="3:22">
      <c r="C44" s="176" t="s">
        <v>198</v>
      </c>
      <c r="D44" s="176"/>
      <c r="E44" s="176"/>
      <c r="F44" s="182"/>
      <c r="G44" s="178">
        <f t="shared" ref="G44:M44" si="15">IFERROR(G13/G$7," NA")</f>
        <v>4.1541023448400015E-2</v>
      </c>
      <c r="H44" s="178">
        <f t="shared" si="15"/>
        <v>7.4659132258824035E-2</v>
      </c>
      <c r="I44" s="178">
        <f t="shared" si="15"/>
        <v>-0.3570398243963625</v>
      </c>
      <c r="J44" s="178">
        <f t="shared" si="15"/>
        <v>5.9990251584117579E-4</v>
      </c>
      <c r="K44" s="178">
        <f t="shared" si="15"/>
        <v>6.4545625689159027E-3</v>
      </c>
      <c r="L44" s="178">
        <f t="shared" ca="1" si="15"/>
        <v>-4.920628858138992E-3</v>
      </c>
      <c r="M44" s="178">
        <f t="shared" ca="1" si="15"/>
        <v>-0.12926939402873744</v>
      </c>
      <c r="N44" s="181"/>
      <c r="O44" s="181"/>
      <c r="P44" s="181"/>
      <c r="Q44" s="181"/>
      <c r="R44" s="178">
        <f>IFERROR(R13/R$7," NA")</f>
        <v>-8.1985027771069793E-2</v>
      </c>
      <c r="S44" s="178">
        <f>IFERROR(S13/S$7," NA")</f>
        <v>-7.8647686832740218E-2</v>
      </c>
      <c r="T44" s="178">
        <f>IFERROR(T13/T$7," NA")</f>
        <v>6.1267001592942038E-4</v>
      </c>
      <c r="U44" s="178">
        <f>IFERROR(U13/U$7," NA")</f>
        <v>0.1281072298943948</v>
      </c>
      <c r="V44" s="178">
        <f ca="1">IFERROR(V13/V$7," NA")</f>
        <v>-9.225833543750242E-3</v>
      </c>
    </row>
    <row r="45" spans="3:22">
      <c r="C45" s="176" t="s">
        <v>199</v>
      </c>
      <c r="D45" s="176"/>
      <c r="E45" s="176"/>
      <c r="F45" s="182"/>
      <c r="G45" s="178">
        <f t="shared" ref="G45:M45" si="16">IFERROR(G13/G$23," NA")</f>
        <v>0.19705380017079419</v>
      </c>
      <c r="H45" s="178">
        <f t="shared" si="16"/>
        <v>0.34514150009895112</v>
      </c>
      <c r="I45" s="178">
        <f t="shared" si="16"/>
        <v>-0.20351040251662258</v>
      </c>
      <c r="J45" s="178">
        <f t="shared" si="16"/>
        <v>6.378568011481422E-4</v>
      </c>
      <c r="K45" s="178">
        <f t="shared" si="16"/>
        <v>9.6622247272434483E-3</v>
      </c>
      <c r="L45" s="178">
        <f t="shared" ca="1" si="16"/>
        <v>-1.9026545459163821E-3</v>
      </c>
      <c r="M45" s="178">
        <f t="shared" ca="1" si="16"/>
        <v>-5.3255621304985332E-2</v>
      </c>
      <c r="N45" s="170"/>
      <c r="O45" s="170"/>
      <c r="P45" s="170"/>
      <c r="Q45" s="170"/>
      <c r="R45" s="178">
        <f>IFERROR(SUM(O13:R13)/R$23," NA")</f>
        <v>-4.4251178115781005E-2</v>
      </c>
      <c r="S45" s="178">
        <f>IFERROR(SUM(P13:S13)/S$23," NA")</f>
        <v>6.378568011481422E-4</v>
      </c>
      <c r="T45" s="178">
        <f>IFERROR(SUM(Q13:T13)/T$23," NA")</f>
        <v>-9.7602019352124522E-3</v>
      </c>
      <c r="U45" s="178">
        <f>IFERROR(SUM(R13:U13)/U$23," NA")</f>
        <v>9.6622247272434483E-3</v>
      </c>
      <c r="V45" s="178">
        <f ca="1">IFERROR(SUM(S13:V13)/V$23," NA")</f>
        <v>7.0363384575413551E-3</v>
      </c>
    </row>
    <row r="46" spans="3:22">
      <c r="C46" s="176" t="s">
        <v>200</v>
      </c>
      <c r="D46" s="185"/>
      <c r="E46" s="185"/>
      <c r="F46" s="186"/>
      <c r="G46" s="178">
        <f t="shared" ref="G46:M46" si="17">IFERROR(SUM(G18,G19)/G$23," NA")</f>
        <v>0.26515798462852264</v>
      </c>
      <c r="H46" s="178">
        <f t="shared" si="17"/>
        <v>0.29754601226993865</v>
      </c>
      <c r="I46" s="178">
        <f t="shared" si="17"/>
        <v>2.1591477800815044E-2</v>
      </c>
      <c r="J46" s="178">
        <f t="shared" si="17"/>
        <v>0</v>
      </c>
      <c r="K46" s="178">
        <f t="shared" si="17"/>
        <v>0</v>
      </c>
      <c r="L46" s="178">
        <f t="shared" ca="1" si="17"/>
        <v>0</v>
      </c>
      <c r="M46" s="178">
        <f t="shared" ca="1" si="17"/>
        <v>0</v>
      </c>
      <c r="N46" s="170"/>
      <c r="O46" s="170"/>
      <c r="P46" s="170"/>
      <c r="Q46" s="170"/>
      <c r="R46" s="178">
        <f>IFERROR(SUM(O18:R18,O19:R19)/R$23," NA")</f>
        <v>0</v>
      </c>
      <c r="S46" s="178">
        <f>IFERROR(SUM(P18:S18,P19:S19)/S$23," NA")</f>
        <v>0</v>
      </c>
      <c r="T46" s="178">
        <f>IFERROR(SUM(Q18:T18,Q19:T19)/T$23," NA")</f>
        <v>0</v>
      </c>
      <c r="U46" s="178">
        <f>IFERROR(SUM(R18:U18,R19:U19)/U$23," NA")</f>
        <v>0</v>
      </c>
      <c r="V46" s="178">
        <f ca="1">IFERROR(SUM(S18:V18,S19:V19)/V$23," NA")</f>
        <v>0</v>
      </c>
    </row>
    <row r="47" spans="3:22">
      <c r="C47" s="176" t="s">
        <v>201</v>
      </c>
      <c r="D47" s="176"/>
      <c r="E47" s="176"/>
      <c r="F47" s="182"/>
      <c r="G47" s="178">
        <f>IFERROR(G$10*(1-G$34)/AVERAGE(G27,F27)," NA")</f>
        <v>8.7444311015195578E-2</v>
      </c>
      <c r="H47" s="178">
        <f>IFERROR(H$10*(1-H$34)/AVERAGE(H27,G27)," NA")</f>
        <v>0.10197490796237114</v>
      </c>
      <c r="I47" s="178">
        <f>IFERROR(I$10*(1-I$34)/AVERAGE(I27,H27)," NA")</f>
        <v>-0.14865146941878202</v>
      </c>
      <c r="J47" s="178">
        <f>IFERROR(J$10*(1-J$34)/AVERAGE(J27,I27)," NA")</f>
        <v>-4.3373996258872324E-2</v>
      </c>
      <c r="K47" s="178">
        <f ca="1">IFERROR(K$10*(1-K$34)/AVERAGE(K27,Q27)," NA")</f>
        <v>1.6429104523836738E-2</v>
      </c>
      <c r="L47" s="178">
        <f ca="1">IFERROR(L$10*(1-L$34)/AVERAGE(L27,J27)," NA")</f>
        <v>2.6620774465670759E-2</v>
      </c>
      <c r="M47" s="178">
        <f ca="1">IFERROR(M$10*(1-M$34)/AVERAGE(M27,L27)," NA")</f>
        <v>3.1768027132379063E-2</v>
      </c>
      <c r="N47" s="170"/>
      <c r="O47" s="170"/>
      <c r="P47" s="170"/>
      <c r="Q47" s="170"/>
      <c r="R47" s="178">
        <f>IFERROR(SUM(O$10:R$10)*(1-R$34)/AVERAGE(R27,N27)," NA")</f>
        <v>-7.5916088474040494E-2</v>
      </c>
      <c r="S47" s="178">
        <f>IFERROR(SUM(P$10:S$10)*(1-S$34)/AVERAGE(S27,O27)," NA")</f>
        <v>-4.3373996258872324E-2</v>
      </c>
      <c r="T47" s="178">
        <f>IFERROR(SUM(Q$10:T$10)*(1-T$34)/AVERAGE(T27,P27)," NA")</f>
        <v>-1.1527453108423454E-2</v>
      </c>
      <c r="U47" s="178">
        <f ca="1">IFERROR(SUM(R$10:U$10)*(1-U$34)/AVERAGE(U27,Q27)," NA")</f>
        <v>1.6429104523836738E-2</v>
      </c>
      <c r="V47" s="178">
        <f ca="1">IFERROR(SUM(S$10:V$10)*(1-V$34)/AVERAGE(V27,R27)," NA")</f>
        <v>2.1345141516304109E-2</v>
      </c>
    </row>
    <row r="48" spans="3:22">
      <c r="C48" s="185" t="s">
        <v>202</v>
      </c>
      <c r="D48" s="176"/>
      <c r="E48" s="176"/>
      <c r="F48" s="182"/>
      <c r="G48" s="178">
        <f>IFERROR(G$10*(1-G34)/AVERAGE(G25+G24,F25+F24)," NA")</f>
        <v>0.24511987561231949</v>
      </c>
      <c r="H48" s="178">
        <f>IFERROR(H$10*(1-H34)/AVERAGE(H25+H24,G25+G24)," NA")</f>
        <v>0.28876076792267186</v>
      </c>
      <c r="I48" s="178">
        <f>IFERROR(I$10*(1-I34)/AVERAGE(I25+I24,H25+H24)," NA")</f>
        <v>-0.46353808137421992</v>
      </c>
      <c r="J48" s="178">
        <f>IFERROR(J$10*(1-J34)/AVERAGE(J25+J24,I25+I24)," NA")</f>
        <v>-0.14833662325280905</v>
      </c>
      <c r="K48" s="178">
        <f ca="1">IFERROR(K$10*(1-K34)/AVERAGE(K25+K24,Q25+Q24)," NA")</f>
        <v>6.556006689593355E-2</v>
      </c>
      <c r="L48" s="178">
        <f ca="1">IFERROR(L$10*(1-L34)/AVERAGE(L25+L24,J25+J24)," NA")</f>
        <v>0.14966504478297926</v>
      </c>
      <c r="M48" s="178">
        <f ca="1">IFERROR(M$10*(1-M34)/AVERAGE(M25+M24,L25+L24)," NA")</f>
        <v>0.21642742044644814</v>
      </c>
      <c r="N48" s="170"/>
      <c r="O48" s="170"/>
      <c r="P48" s="170"/>
      <c r="Q48" s="170"/>
      <c r="R48" s="178">
        <f>IFERROR(SUM(O$10:R$10)*(1-R$34)/AVERAGE(R25+R24,N25+N24)," NA")</f>
        <v>-0.28500720097847504</v>
      </c>
      <c r="S48" s="178">
        <f>IFERROR(SUM(P$10:S$10)*(1-S$34)/AVERAGE(S25+S24,O25+O24)," NA")</f>
        <v>-0.14833662325280905</v>
      </c>
      <c r="T48" s="178">
        <f>IFERROR(SUM(Q$10:T$10)*(1-T$34)/AVERAGE(T25+T24,P25+P24)," NA")</f>
        <v>-4.3905150770743279E-2</v>
      </c>
      <c r="U48" s="178">
        <f ca="1">IFERROR(SUM(R$10:U$10)*(1-U$34)/AVERAGE(U25+U24,Q25+Q24)," NA")</f>
        <v>6.556006689593355E-2</v>
      </c>
      <c r="V48" s="178">
        <f ca="1">IFERROR(SUM(S$10:V$10)*(1-V$34)/AVERAGE(V25+V24,R25+R24)," NA")</f>
        <v>0.12604060315481655</v>
      </c>
    </row>
    <row r="49" spans="2:23">
      <c r="C49" s="176" t="s">
        <v>203</v>
      </c>
      <c r="D49" s="176"/>
      <c r="E49" s="176"/>
      <c r="F49" s="182"/>
      <c r="G49" s="330">
        <f t="shared" ref="G49:M49" si="18">IFERROR(IF(G11&lt;0,"NM ",G23/G11)," NA")</f>
        <v>1.059608641556385</v>
      </c>
      <c r="H49" s="330">
        <f t="shared" si="18"/>
        <v>0.93057090239410678</v>
      </c>
      <c r="I49" s="330" t="str">
        <f t="shared" si="18"/>
        <v xml:space="preserve">NM </v>
      </c>
      <c r="J49" s="330" t="str">
        <f t="shared" si="18"/>
        <v xml:space="preserve">NM </v>
      </c>
      <c r="K49" s="330">
        <f t="shared" ca="1" si="18"/>
        <v>7.0826917593384655</v>
      </c>
      <c r="L49" s="330">
        <f t="shared" ca="1" si="18"/>
        <v>21.446417456119935</v>
      </c>
      <c r="M49" s="330">
        <f t="shared" ca="1" si="18"/>
        <v>15.772800891021747</v>
      </c>
      <c r="N49" s="170"/>
      <c r="O49" s="170"/>
      <c r="P49" s="170"/>
      <c r="Q49" s="170"/>
      <c r="R49" s="330" t="str">
        <f>IFERROR(IF(SUM(O$11:R$11)&lt;0,"NM ",R23/SUM(O$11:R$11))," NA")</f>
        <v xml:space="preserve">NM </v>
      </c>
      <c r="S49" s="330" t="str">
        <f t="shared" ref="S49:V50" si="19">IFERROR(IF(SUM(P$11:S$11)&lt;0,"NM ",S23/SUM(P$11:S$11))," NA")</f>
        <v xml:space="preserve">NM </v>
      </c>
      <c r="T49" s="330">
        <f t="shared" si="19"/>
        <v>17.699180938198065</v>
      </c>
      <c r="U49" s="330">
        <f t="shared" ca="1" si="19"/>
        <v>7.0826917593384655</v>
      </c>
      <c r="V49" s="330">
        <f t="shared" ca="1" si="19"/>
        <v>24.111195790771685</v>
      </c>
    </row>
    <row r="50" spans="2:23">
      <c r="C50" s="176" t="s">
        <v>204</v>
      </c>
      <c r="D50" s="176"/>
      <c r="E50" s="176"/>
      <c r="F50" s="187"/>
      <c r="G50" s="188">
        <f t="shared" ref="G50:M50" si="20">IFERROR(IF(G11&lt;0,"NM ",G24/G11)," NA")</f>
        <v>0.8825924669155073</v>
      </c>
      <c r="H50" s="188">
        <f t="shared" si="20"/>
        <v>0.66519337016574587</v>
      </c>
      <c r="I50" s="188" t="str">
        <f t="shared" si="20"/>
        <v xml:space="preserve">NM </v>
      </c>
      <c r="J50" s="188" t="str">
        <f t="shared" si="20"/>
        <v xml:space="preserve">NM </v>
      </c>
      <c r="K50" s="188">
        <f t="shared" ca="1" si="20"/>
        <v>4.4533789563729682</v>
      </c>
      <c r="L50" s="188">
        <f t="shared" ca="1" si="20"/>
        <v>3.1953568931981846</v>
      </c>
      <c r="M50" s="188">
        <f t="shared" ca="1" si="20"/>
        <v>3.0713751066183539</v>
      </c>
      <c r="N50" s="170"/>
      <c r="O50" s="170"/>
      <c r="P50" s="170"/>
      <c r="Q50" s="170"/>
      <c r="R50" s="188" t="str">
        <f>IFERROR(IF(SUM(O$11:R$11)&lt;0,"NM ",R24/SUM(O$11:R$11))," NA")</f>
        <v xml:space="preserve">NM </v>
      </c>
      <c r="S50" s="188" t="str">
        <f t="shared" si="19"/>
        <v xml:space="preserve">NM </v>
      </c>
      <c r="T50" s="188">
        <f t="shared" si="19"/>
        <v>11.962025316455696</v>
      </c>
      <c r="U50" s="188">
        <f t="shared" ca="1" si="19"/>
        <v>4.4533789563729682</v>
      </c>
      <c r="V50" s="188">
        <f t="shared" ca="1" si="19"/>
        <v>3.341713001469397</v>
      </c>
    </row>
    <row r="51" spans="2:23">
      <c r="C51" s="176" t="s">
        <v>205</v>
      </c>
      <c r="D51" s="176"/>
      <c r="E51" s="176"/>
      <c r="F51" s="188"/>
      <c r="G51" s="188">
        <f t="shared" ref="G51:M51" si="21">IFERROR(IF(G11&lt;0,"NM ",G11/G15)," NA")</f>
        <v>28.427652733118972</v>
      </c>
      <c r="H51" s="188">
        <f t="shared" si="21"/>
        <v>36.200000000000003</v>
      </c>
      <c r="I51" s="188" t="str">
        <f t="shared" si="21"/>
        <v xml:space="preserve">NM </v>
      </c>
      <c r="J51" s="188" t="str">
        <f t="shared" si="21"/>
        <v xml:space="preserve">NM </v>
      </c>
      <c r="K51" s="188">
        <f t="shared" ca="1" si="21"/>
        <v>3.1256684491978608</v>
      </c>
      <c r="L51" s="188">
        <f t="shared" ca="1" si="21"/>
        <v>2.1551181804724431</v>
      </c>
      <c r="M51" s="188">
        <f t="shared" ca="1" si="21"/>
        <v>1.4992799402503325</v>
      </c>
      <c r="N51" s="170"/>
      <c r="O51" s="170"/>
      <c r="P51" s="170"/>
      <c r="Q51" s="170"/>
      <c r="R51" s="188" t="str">
        <f>IFERROR(IF(SUM(O11:R11)&lt;0,"NM ",SUM(O11:R11)/SUM(O15:R15))," NA")</f>
        <v xml:space="preserve">NM </v>
      </c>
      <c r="S51" s="188" t="str">
        <f>IFERROR(IF(SUM(P11:S11)&lt;0,"NM ",SUM(P11:S11)/SUM(P15:S15))," NA")</f>
        <v xml:space="preserve">NM </v>
      </c>
      <c r="T51" s="188">
        <f>IFERROR(IF(SUM(Q11:T11)&lt;0,"NM ",SUM(Q11:T11)/SUM(Q15:T15))," NA")</f>
        <v>1.1276238455079766</v>
      </c>
      <c r="U51" s="188">
        <f ca="1">IFERROR(IF(SUM(R11:U11)&lt;0,"NM ",SUM(R11:U11)/SUM(R15:U15))," NA")</f>
        <v>3.1256684491978608</v>
      </c>
      <c r="V51" s="188">
        <f ca="1">IFERROR(IF(SUM(S11:V11)&lt;0,"NM ",SUM(S11:V11)/SUM(S15:V15))," NA")</f>
        <v>3.0429204901849585</v>
      </c>
    </row>
    <row r="52" spans="2:23">
      <c r="C52" s="176" t="s">
        <v>206</v>
      </c>
      <c r="D52" s="176"/>
      <c r="E52" s="176"/>
      <c r="F52" s="182"/>
      <c r="G52" s="188">
        <f t="shared" ref="G52:M52" si="22">IFERROR(IF(G10&lt;0,"NM ",G10/G15)," NA")</f>
        <v>20.938906752411576</v>
      </c>
      <c r="H52" s="188">
        <f t="shared" si="22"/>
        <v>27.596666666666668</v>
      </c>
      <c r="I52" s="188" t="str">
        <f t="shared" si="22"/>
        <v xml:space="preserve">NM </v>
      </c>
      <c r="J52" s="188" t="str">
        <f t="shared" si="22"/>
        <v xml:space="preserve">NM </v>
      </c>
      <c r="K52" s="188">
        <f t="shared" ca="1" si="22"/>
        <v>1.3244206773618539</v>
      </c>
      <c r="L52" s="188">
        <f t="shared" ca="1" si="22"/>
        <v>1.3804863040038262</v>
      </c>
      <c r="M52" s="188">
        <f t="shared" ca="1" si="22"/>
        <v>1.0336469506523633</v>
      </c>
      <c r="N52" s="170"/>
      <c r="O52" s="170"/>
      <c r="P52" s="170"/>
      <c r="Q52" s="170"/>
      <c r="R52" s="188" t="str">
        <f>IFERROR(IF(SUM(O10:R10)&lt;0,"NM ",SUM(O10:R10)/SUM(O15:R15))," NA")</f>
        <v xml:space="preserve">NM </v>
      </c>
      <c r="S52" s="188" t="str">
        <f>IFERROR(IF(SUM(P10:S10)&lt;0,"NM ",SUM(P10:S10)/SUM(P15:S15))," NA")</f>
        <v xml:space="preserve">NM </v>
      </c>
      <c r="T52" s="188" t="str">
        <f>IFERROR(IF(SUM(Q10:T10)&lt;0,"NM ",SUM(Q10:T10)/SUM(Q15:T15))," NA")</f>
        <v xml:space="preserve">NM </v>
      </c>
      <c r="U52" s="188">
        <f ca="1">IFERROR(IF(SUM(R10:U10)&lt;0,"NM ",SUM(R10:U10)/SUM(R15:U15))," NA")</f>
        <v>1.3244206773618539</v>
      </c>
      <c r="V52" s="188">
        <f ca="1">IFERROR(IF(SUM(S10:V10)&lt;0,"NM ",SUM(S10:V10)/SUM(S15:V15))," NA")</f>
        <v>1.7610883158537511</v>
      </c>
    </row>
    <row r="53" spans="2:23">
      <c r="C53" s="176" t="s">
        <v>207</v>
      </c>
      <c r="D53" s="176"/>
      <c r="E53" s="176"/>
      <c r="F53" s="182"/>
      <c r="G53" s="188">
        <f t="shared" ref="G53:M53" si="23">IFERROR(IF(G11&lt;0,"NM ",G11/G21)," NA")</f>
        <v>0.72401932683645898</v>
      </c>
      <c r="H53" s="188">
        <f t="shared" si="23"/>
        <v>0.83525611444393166</v>
      </c>
      <c r="I53" s="188" t="str">
        <f t="shared" si="23"/>
        <v xml:space="preserve">NM </v>
      </c>
      <c r="J53" s="188" t="str">
        <f t="shared" si="23"/>
        <v xml:space="preserve">NM </v>
      </c>
      <c r="K53" s="188">
        <f t="shared" ca="1" si="23"/>
        <v>0.31631640660232707</v>
      </c>
      <c r="L53" s="188">
        <f t="shared" ca="1" si="23"/>
        <v>0.49419336522535845</v>
      </c>
      <c r="M53" s="188">
        <f t="shared" ca="1" si="23"/>
        <v>0.69916749150902979</v>
      </c>
      <c r="N53" s="170"/>
      <c r="O53" s="170"/>
      <c r="P53" s="170"/>
      <c r="Q53" s="170"/>
      <c r="R53" s="188" t="str">
        <f>IFERROR(IF(SUM(O11:R11)&lt;0,"NM ",SUM(O11:R11)/SUM(O21:R21))," NA")</f>
        <v xml:space="preserve">NM </v>
      </c>
      <c r="S53" s="188" t="str">
        <f>IFERROR(IF(SUM(P11:S11)&lt;0,"NM ",SUM(P11:S11)/SUM(P21:S21))," NA")</f>
        <v xml:space="preserve">NM </v>
      </c>
      <c r="T53" s="188">
        <f>IFERROR(IF(SUM(Q11:T11)&lt;0,"NM ",SUM(Q11:T11)/SUM(Q21:T21))," NA")</f>
        <v>0.12364205487018966</v>
      </c>
      <c r="U53" s="188">
        <f ca="1">IFERROR(IF(SUM(R11:U11)&lt;0,"NM ",SUM(R11:U11)/SUM(R21:U21))," NA")</f>
        <v>0.31631640660232707</v>
      </c>
      <c r="V53" s="188">
        <f ca="1">IFERROR(IF(SUM(S11:V11)&lt;0,"NM ",SUM(S11:V11)/SUM(S21:V21))," NA")</f>
        <v>0.44057877908513493</v>
      </c>
    </row>
    <row r="54" spans="2:23">
      <c r="C54" s="176" t="s">
        <v>208</v>
      </c>
      <c r="F54" s="170"/>
      <c r="G54" s="188">
        <f t="shared" ref="G54:M54" si="24">IFERROR(G23/(G23+G25)," NA")</f>
        <v>0.40633268271524614</v>
      </c>
      <c r="H54" s="188">
        <f t="shared" si="24"/>
        <v>0.39687401822180335</v>
      </c>
      <c r="I54" s="188">
        <f t="shared" si="24"/>
        <v>0.94801409787176361</v>
      </c>
      <c r="J54" s="188">
        <f t="shared" si="24"/>
        <v>0.86583134858996924</v>
      </c>
      <c r="K54" s="188">
        <f t="shared" si="24"/>
        <v>0.86698080279232115</v>
      </c>
      <c r="L54" s="188">
        <f t="shared" ca="1" si="24"/>
        <v>0.96579742664087653</v>
      </c>
      <c r="M54" s="188">
        <f t="shared" ca="1" si="24"/>
        <v>0.96646328102620305</v>
      </c>
      <c r="N54" s="189"/>
      <c r="O54" s="189"/>
      <c r="P54" s="189"/>
      <c r="Q54" s="189"/>
      <c r="R54" s="188">
        <f>IFERROR(R23/(R23+R25)," NA")</f>
        <v>0.90922074755286164</v>
      </c>
      <c r="S54" s="188">
        <f>IFERROR(S23/(S23+S25)," NA")</f>
        <v>0.86583134858996924</v>
      </c>
      <c r="T54" s="188">
        <f>IFERROR(T23/(T23+T25)," NA")</f>
        <v>0.88823287620044089</v>
      </c>
      <c r="U54" s="188">
        <f>IFERROR(U23/(U23+U25)," NA")</f>
        <v>0.86698080279232115</v>
      </c>
      <c r="V54" s="188">
        <f ca="1">IFERROR(V23/(V23+V25)," NA")</f>
        <v>0.96216570110767008</v>
      </c>
    </row>
    <row r="55" spans="2:23">
      <c r="C55" s="176" t="s">
        <v>209</v>
      </c>
      <c r="F55" s="170"/>
      <c r="G55" s="188">
        <f t="shared" ref="G55:M55" si="25">IFERROR(G24/G32," NA")</f>
        <v>0.24612036336109008</v>
      </c>
      <c r="H55" s="188">
        <f t="shared" si="25"/>
        <v>0.20398136382888607</v>
      </c>
      <c r="I55" s="188">
        <f t="shared" si="25"/>
        <v>0.68628956275953523</v>
      </c>
      <c r="J55" s="188">
        <f t="shared" si="25"/>
        <v>0.53179746364453817</v>
      </c>
      <c r="K55" s="188">
        <f t="shared" si="25"/>
        <v>0.44186046511627908</v>
      </c>
      <c r="L55" s="188">
        <f t="shared" ca="1" si="25"/>
        <v>0.4654713881241323</v>
      </c>
      <c r="M55" s="188">
        <f t="shared" ca="1" si="25"/>
        <v>0.58219627522669881</v>
      </c>
      <c r="N55" s="170"/>
      <c r="O55" s="170"/>
      <c r="P55" s="170"/>
      <c r="Q55" s="170"/>
      <c r="R55" s="188">
        <f>IFERROR(R24/R32," NA")</f>
        <v>0.55838250943213696</v>
      </c>
      <c r="S55" s="188">
        <f>IFERROR(S24/S32," NA")</f>
        <v>0.53179746364453817</v>
      </c>
      <c r="T55" s="188">
        <f>IFERROR(T24/T32," NA")</f>
        <v>0.46737264713583337</v>
      </c>
      <c r="U55" s="188">
        <f>IFERROR(U24/U32," NA")</f>
        <v>0.44186046511627908</v>
      </c>
      <c r="V55" s="188">
        <f ca="1">IFERROR(V24/V32," NA")</f>
        <v>0.43456274319851107</v>
      </c>
    </row>
    <row r="58" spans="2:23">
      <c r="B58" s="190" t="s">
        <v>133</v>
      </c>
      <c r="C58" s="191" t="s">
        <v>210</v>
      </c>
      <c r="D58" s="191" t="s">
        <v>211</v>
      </c>
      <c r="E58" s="191" t="s">
        <v>212</v>
      </c>
      <c r="F58" s="191" t="s">
        <v>213</v>
      </c>
      <c r="G58" s="191" t="s">
        <v>214</v>
      </c>
      <c r="H58" s="191" t="s">
        <v>215</v>
      </c>
      <c r="I58" s="191" t="s">
        <v>216</v>
      </c>
      <c r="J58" s="191" t="s">
        <v>217</v>
      </c>
      <c r="K58" s="191"/>
      <c r="L58" s="191"/>
      <c r="M58" s="191"/>
      <c r="N58" s="191"/>
      <c r="O58" s="191"/>
      <c r="P58" s="191"/>
      <c r="Q58" s="191"/>
      <c r="R58" s="191"/>
      <c r="S58" s="191"/>
      <c r="T58" s="191"/>
      <c r="U58" s="191"/>
      <c r="V58" s="191"/>
      <c r="W58" s="191"/>
    </row>
    <row r="59" spans="2:23">
      <c r="C59" s="166"/>
      <c r="D59" s="166"/>
      <c r="E59" s="166"/>
      <c r="F59" s="166"/>
      <c r="G59" s="166"/>
      <c r="H59" s="166"/>
      <c r="I59" s="166"/>
      <c r="J59" s="166"/>
      <c r="K59" s="166"/>
      <c r="L59" s="166"/>
      <c r="M59" s="166"/>
      <c r="N59" s="166"/>
      <c r="O59" s="166"/>
      <c r="P59" s="166"/>
      <c r="Q59" s="166"/>
      <c r="R59" s="166"/>
      <c r="S59" s="166"/>
      <c r="T59" s="166"/>
      <c r="U59" s="166"/>
      <c r="V59" s="166"/>
      <c r="W59" s="166"/>
    </row>
    <row r="60" spans="2:23">
      <c r="C60" s="192" t="str">
        <f ca="1">IF(BBswitch=1,_xll.BDS('DAL One Pager'!$D$3&amp;" EQUITY","TOP_20_HOLDERS_PUBLIC_FILINGS","cols=10;rows=20"),C60)</f>
        <v>VANGUARD GROUP</v>
      </c>
      <c r="D60" s="167" t="s">
        <v>218</v>
      </c>
      <c r="E60" s="167" t="s">
        <v>1925</v>
      </c>
      <c r="F60" s="167">
        <v>68234306</v>
      </c>
      <c r="G60" s="167">
        <v>10.64</v>
      </c>
      <c r="H60" s="167">
        <v>1267578</v>
      </c>
      <c r="I60" s="193">
        <v>44651</v>
      </c>
      <c r="J60" s="167" t="s">
        <v>1926</v>
      </c>
      <c r="K60" s="167" t="s">
        <v>219</v>
      </c>
      <c r="L60" s="167" t="s">
        <v>1927</v>
      </c>
    </row>
    <row r="61" spans="2:23">
      <c r="C61" s="167" t="s">
        <v>1930</v>
      </c>
      <c r="D61" s="167" t="s">
        <v>218</v>
      </c>
      <c r="E61" s="167" t="s">
        <v>1925</v>
      </c>
      <c r="F61" s="167">
        <v>37933499</v>
      </c>
      <c r="G61" s="167">
        <v>5.92</v>
      </c>
      <c r="H61" s="167">
        <v>-275565</v>
      </c>
      <c r="I61" s="193">
        <v>44712</v>
      </c>
      <c r="J61" s="167" t="s">
        <v>1926</v>
      </c>
      <c r="K61" s="167" t="s">
        <v>219</v>
      </c>
      <c r="L61" s="167" t="s">
        <v>220</v>
      </c>
    </row>
    <row r="62" spans="2:23">
      <c r="C62" s="167" t="s">
        <v>1962</v>
      </c>
      <c r="D62" s="167" t="s">
        <v>1963</v>
      </c>
      <c r="E62" s="167" t="s">
        <v>1929</v>
      </c>
      <c r="F62" s="167">
        <v>22381001</v>
      </c>
      <c r="G62" s="167">
        <v>3.49</v>
      </c>
      <c r="H62" s="167">
        <v>5605</v>
      </c>
      <c r="I62" s="193">
        <v>44651</v>
      </c>
      <c r="J62" s="167" t="s">
        <v>1926</v>
      </c>
      <c r="K62" s="167" t="s">
        <v>219</v>
      </c>
      <c r="L62" s="167" t="s">
        <v>222</v>
      </c>
    </row>
    <row r="63" spans="2:23">
      <c r="C63" s="194" t="s">
        <v>1931</v>
      </c>
      <c r="D63" s="195" t="s">
        <v>218</v>
      </c>
      <c r="E63" s="167" t="s">
        <v>1925</v>
      </c>
      <c r="F63" s="167">
        <v>21779569</v>
      </c>
      <c r="G63" s="167">
        <v>3.4</v>
      </c>
      <c r="H63" s="167">
        <v>-296228</v>
      </c>
      <c r="I63" s="193">
        <v>44651</v>
      </c>
      <c r="J63" s="167" t="s">
        <v>1926</v>
      </c>
      <c r="K63" s="167" t="s">
        <v>219</v>
      </c>
      <c r="L63" s="167" t="s">
        <v>1932</v>
      </c>
    </row>
    <row r="64" spans="2:23">
      <c r="C64" s="167" t="s">
        <v>1928</v>
      </c>
      <c r="D64" s="167" t="s">
        <v>1928</v>
      </c>
      <c r="E64" s="167" t="s">
        <v>1929</v>
      </c>
      <c r="F64" s="167">
        <v>19098638</v>
      </c>
      <c r="G64" s="167">
        <v>2.98</v>
      </c>
      <c r="H64" s="167">
        <v>-533100</v>
      </c>
      <c r="I64" s="193">
        <v>44651</v>
      </c>
      <c r="J64" s="167" t="s">
        <v>1926</v>
      </c>
      <c r="K64" s="167" t="s">
        <v>219</v>
      </c>
      <c r="L64" s="167" t="s">
        <v>222</v>
      </c>
    </row>
    <row r="65" spans="3:20">
      <c r="C65" s="167" t="s">
        <v>1964</v>
      </c>
      <c r="D65" s="167" t="s">
        <v>218</v>
      </c>
      <c r="E65" s="167" t="s">
        <v>1925</v>
      </c>
      <c r="F65" s="167">
        <v>15159265</v>
      </c>
      <c r="G65" s="167">
        <v>2.36</v>
      </c>
      <c r="H65" s="167">
        <v>3624892</v>
      </c>
      <c r="I65" s="193">
        <v>44651</v>
      </c>
      <c r="J65" s="167" t="s">
        <v>1926</v>
      </c>
      <c r="K65" s="193" t="s">
        <v>219</v>
      </c>
      <c r="L65" s="167" t="s">
        <v>1932</v>
      </c>
    </row>
    <row r="66" spans="3:20">
      <c r="C66" s="167" t="s">
        <v>1937</v>
      </c>
      <c r="D66" s="167" t="s">
        <v>1937</v>
      </c>
      <c r="E66" s="167" t="s">
        <v>1929</v>
      </c>
      <c r="F66" s="167">
        <v>11906285</v>
      </c>
      <c r="G66" s="167">
        <v>1.86</v>
      </c>
      <c r="H66" s="167">
        <v>588525</v>
      </c>
      <c r="I66" s="193">
        <v>44651</v>
      </c>
      <c r="J66" s="167" t="s">
        <v>1926</v>
      </c>
      <c r="K66" s="167" t="s">
        <v>219</v>
      </c>
      <c r="L66" s="167" t="s">
        <v>1932</v>
      </c>
      <c r="N66" s="167" t="s">
        <v>108</v>
      </c>
      <c r="S66" s="193" t="s">
        <v>219</v>
      </c>
    </row>
    <row r="67" spans="3:20">
      <c r="C67" s="194" t="s">
        <v>1950</v>
      </c>
      <c r="D67" s="195" t="s">
        <v>1950</v>
      </c>
      <c r="E67" s="167" t="s">
        <v>1929</v>
      </c>
      <c r="F67" s="167">
        <v>11402177</v>
      </c>
      <c r="G67" s="167">
        <v>1.78</v>
      </c>
      <c r="H67" s="167">
        <v>2423615</v>
      </c>
      <c r="I67" s="193">
        <v>44651</v>
      </c>
      <c r="J67" s="167" t="s">
        <v>1926</v>
      </c>
      <c r="K67" s="167" t="s">
        <v>219</v>
      </c>
      <c r="L67" s="167" t="s">
        <v>220</v>
      </c>
      <c r="N67" s="194"/>
      <c r="O67" s="195"/>
      <c r="T67" s="193" t="s">
        <v>219</v>
      </c>
    </row>
    <row r="68" spans="3:20">
      <c r="C68" s="194" t="s">
        <v>1965</v>
      </c>
      <c r="D68" s="195" t="s">
        <v>1965</v>
      </c>
      <c r="E68" s="167" t="s">
        <v>1929</v>
      </c>
      <c r="F68" s="167">
        <v>10425433</v>
      </c>
      <c r="G68" s="167">
        <v>1.63</v>
      </c>
      <c r="H68" s="167">
        <v>0</v>
      </c>
      <c r="I68" s="193">
        <v>44651</v>
      </c>
      <c r="J68" s="167" t="s">
        <v>1926</v>
      </c>
      <c r="K68" s="167" t="s">
        <v>219</v>
      </c>
      <c r="L68" s="167" t="s">
        <v>220</v>
      </c>
      <c r="N68" s="194"/>
      <c r="O68" s="195"/>
      <c r="T68" s="193" t="s">
        <v>219</v>
      </c>
    </row>
    <row r="69" spans="3:20" s="194" customFormat="1">
      <c r="C69" s="194" t="s">
        <v>1933</v>
      </c>
      <c r="D69" s="195" t="s">
        <v>1933</v>
      </c>
      <c r="E69" s="167" t="s">
        <v>1929</v>
      </c>
      <c r="F69" s="167">
        <v>8991349</v>
      </c>
      <c r="G69" s="167">
        <v>1.4</v>
      </c>
      <c r="H69" s="167">
        <v>552758</v>
      </c>
      <c r="I69" s="193">
        <v>44651</v>
      </c>
      <c r="J69" s="167" t="s">
        <v>1926</v>
      </c>
      <c r="K69" s="167" t="s">
        <v>219</v>
      </c>
      <c r="L69" s="167" t="s">
        <v>1934</v>
      </c>
      <c r="M69" s="167"/>
      <c r="N69" s="194" t="s">
        <v>122</v>
      </c>
      <c r="O69" s="195" t="s">
        <v>123</v>
      </c>
      <c r="P69" s="167" t="s">
        <v>124</v>
      </c>
      <c r="Q69" s="167"/>
      <c r="R69" s="167" t="s">
        <v>125</v>
      </c>
      <c r="S69" s="167" t="s">
        <v>219</v>
      </c>
      <c r="T69" s="193"/>
    </row>
    <row r="70" spans="3:20">
      <c r="C70" s="194" t="s">
        <v>1954</v>
      </c>
      <c r="D70" s="195" t="s">
        <v>218</v>
      </c>
      <c r="E70" s="167" t="s">
        <v>1925</v>
      </c>
      <c r="F70" s="167">
        <v>8412250</v>
      </c>
      <c r="G70" s="167">
        <v>1.31</v>
      </c>
      <c r="H70" s="167">
        <v>-678112</v>
      </c>
      <c r="I70" s="193">
        <v>44651</v>
      </c>
      <c r="J70" s="167" t="s">
        <v>1952</v>
      </c>
      <c r="K70" s="167" t="s">
        <v>219</v>
      </c>
      <c r="L70" s="167" t="s">
        <v>220</v>
      </c>
      <c r="N70" s="194" t="s">
        <v>220</v>
      </c>
      <c r="O70" s="195"/>
      <c r="S70" s="167" t="s">
        <v>219</v>
      </c>
      <c r="T70" s="193"/>
    </row>
    <row r="71" spans="3:20">
      <c r="C71" s="194" t="s">
        <v>1976</v>
      </c>
      <c r="D71" s="195" t="s">
        <v>218</v>
      </c>
      <c r="E71" s="167" t="s">
        <v>1925</v>
      </c>
      <c r="F71" s="167">
        <v>7691095</v>
      </c>
      <c r="G71" s="167">
        <v>1.2</v>
      </c>
      <c r="H71" s="167">
        <v>2228673</v>
      </c>
      <c r="I71" s="193">
        <v>44651</v>
      </c>
      <c r="J71" s="167" t="s">
        <v>1926</v>
      </c>
      <c r="K71" s="167" t="s">
        <v>219</v>
      </c>
      <c r="L71" s="167" t="s">
        <v>220</v>
      </c>
      <c r="N71" s="194" t="s">
        <v>222</v>
      </c>
      <c r="O71" s="195"/>
      <c r="S71" s="167" t="s">
        <v>219</v>
      </c>
      <c r="T71" s="193"/>
    </row>
    <row r="72" spans="3:20">
      <c r="C72" s="194" t="s">
        <v>1977</v>
      </c>
      <c r="D72" s="195" t="s">
        <v>1977</v>
      </c>
      <c r="E72" s="167" t="s">
        <v>1929</v>
      </c>
      <c r="F72" s="167">
        <v>6295781</v>
      </c>
      <c r="G72" s="167">
        <v>0.98</v>
      </c>
      <c r="H72" s="167">
        <v>-92812</v>
      </c>
      <c r="I72" s="193">
        <v>44651</v>
      </c>
      <c r="J72" s="167" t="s">
        <v>1926</v>
      </c>
      <c r="K72" s="167" t="s">
        <v>219</v>
      </c>
      <c r="L72" s="167" t="s">
        <v>1949</v>
      </c>
      <c r="N72" s="194" t="s">
        <v>223</v>
      </c>
      <c r="O72" s="195"/>
      <c r="S72" s="167" t="s">
        <v>224</v>
      </c>
      <c r="T72" s="193"/>
    </row>
    <row r="73" spans="3:20">
      <c r="C73" s="194" t="s">
        <v>1947</v>
      </c>
      <c r="D73" s="195" t="s">
        <v>1947</v>
      </c>
      <c r="E73" s="167" t="s">
        <v>1929</v>
      </c>
      <c r="F73" s="167">
        <v>5569667</v>
      </c>
      <c r="G73" s="167">
        <v>0.87</v>
      </c>
      <c r="H73" s="167">
        <v>-6751</v>
      </c>
      <c r="I73" s="193">
        <v>44651</v>
      </c>
      <c r="J73" s="167" t="s">
        <v>1948</v>
      </c>
      <c r="K73" s="167" t="s">
        <v>219</v>
      </c>
      <c r="L73" s="167" t="s">
        <v>1949</v>
      </c>
      <c r="N73" s="194" t="s">
        <v>225</v>
      </c>
      <c r="O73" s="195"/>
      <c r="S73" s="167" t="s">
        <v>219</v>
      </c>
      <c r="T73" s="193"/>
    </row>
    <row r="74" spans="3:20">
      <c r="C74" s="194" t="s">
        <v>1978</v>
      </c>
      <c r="D74" s="195" t="s">
        <v>1978</v>
      </c>
      <c r="E74" s="167" t="s">
        <v>1929</v>
      </c>
      <c r="F74" s="167">
        <v>4548517</v>
      </c>
      <c r="G74" s="167">
        <v>0.71</v>
      </c>
      <c r="H74" s="167">
        <v>429944</v>
      </c>
      <c r="I74" s="193">
        <v>44651</v>
      </c>
      <c r="J74" s="167" t="s">
        <v>1968</v>
      </c>
      <c r="K74" s="167" t="s">
        <v>219</v>
      </c>
      <c r="L74" s="167" t="s">
        <v>1979</v>
      </c>
      <c r="N74" s="194" t="s">
        <v>222</v>
      </c>
      <c r="O74" s="195"/>
      <c r="S74" s="167" t="s">
        <v>219</v>
      </c>
      <c r="T74" s="193"/>
    </row>
    <row r="75" spans="3:20">
      <c r="C75" s="194" t="s">
        <v>1980</v>
      </c>
      <c r="D75" s="195" t="s">
        <v>1980</v>
      </c>
      <c r="E75" s="167" t="s">
        <v>1929</v>
      </c>
      <c r="F75" s="167">
        <v>4303144</v>
      </c>
      <c r="G75" s="167">
        <v>0.67</v>
      </c>
      <c r="H75" s="167">
        <v>1794055</v>
      </c>
      <c r="I75" s="193">
        <v>44651</v>
      </c>
      <c r="J75" s="167" t="s">
        <v>1936</v>
      </c>
      <c r="K75" s="167" t="s">
        <v>219</v>
      </c>
      <c r="L75" s="167" t="s">
        <v>220</v>
      </c>
      <c r="N75" s="194" t="s">
        <v>221</v>
      </c>
      <c r="O75" s="195"/>
      <c r="S75" s="167" t="s">
        <v>218</v>
      </c>
      <c r="T75" s="193"/>
    </row>
    <row r="76" spans="3:20">
      <c r="C76" s="194" t="s">
        <v>1945</v>
      </c>
      <c r="D76" s="195" t="s">
        <v>218</v>
      </c>
      <c r="E76" s="167" t="s">
        <v>1925</v>
      </c>
      <c r="F76" s="167">
        <v>4272391</v>
      </c>
      <c r="G76" s="167">
        <v>0.67</v>
      </c>
      <c r="H76" s="167">
        <v>-957333</v>
      </c>
      <c r="I76" s="193">
        <v>44651</v>
      </c>
      <c r="J76" s="167" t="s">
        <v>1926</v>
      </c>
      <c r="K76" s="167" t="s">
        <v>219</v>
      </c>
      <c r="L76" s="167" t="s">
        <v>220</v>
      </c>
      <c r="N76" s="194" t="s">
        <v>220</v>
      </c>
      <c r="O76" s="195"/>
      <c r="S76" s="167" t="s">
        <v>219</v>
      </c>
      <c r="T76" s="193"/>
    </row>
    <row r="77" spans="3:20">
      <c r="C77" s="194" t="s">
        <v>1955</v>
      </c>
      <c r="D77" s="195" t="s">
        <v>218</v>
      </c>
      <c r="E77" s="167" t="s">
        <v>1925</v>
      </c>
      <c r="F77" s="167">
        <v>3967291</v>
      </c>
      <c r="G77" s="167">
        <v>0.62</v>
      </c>
      <c r="H77" s="167">
        <v>-96496</v>
      </c>
      <c r="I77" s="193">
        <v>44651</v>
      </c>
      <c r="J77" s="167" t="s">
        <v>1926</v>
      </c>
      <c r="K77" s="167" t="s">
        <v>219</v>
      </c>
      <c r="L77" s="167" t="s">
        <v>220</v>
      </c>
      <c r="N77" s="194" t="s">
        <v>226</v>
      </c>
      <c r="O77" s="195"/>
      <c r="S77" s="167" t="s">
        <v>227</v>
      </c>
      <c r="T77" s="193"/>
    </row>
    <row r="78" spans="3:20">
      <c r="C78" s="194" t="s">
        <v>1981</v>
      </c>
      <c r="D78" s="195" t="s">
        <v>1982</v>
      </c>
      <c r="E78" s="167" t="s">
        <v>1929</v>
      </c>
      <c r="F78" s="167">
        <v>3860091</v>
      </c>
      <c r="G78" s="167">
        <v>0.6</v>
      </c>
      <c r="H78" s="167">
        <v>-592170</v>
      </c>
      <c r="I78" s="193">
        <v>44651</v>
      </c>
      <c r="J78" s="167" t="s">
        <v>1936</v>
      </c>
      <c r="K78" s="167" t="s">
        <v>1983</v>
      </c>
      <c r="L78" s="167" t="s">
        <v>1984</v>
      </c>
      <c r="N78" s="194" t="s">
        <v>220</v>
      </c>
      <c r="O78" s="195"/>
      <c r="S78" s="167" t="s">
        <v>219</v>
      </c>
      <c r="T78" s="193"/>
    </row>
    <row r="79" spans="3:20">
      <c r="C79" s="194" t="s">
        <v>1966</v>
      </c>
      <c r="D79" s="195" t="s">
        <v>1967</v>
      </c>
      <c r="E79" s="167" t="s">
        <v>1929</v>
      </c>
      <c r="F79" s="167">
        <v>3821826</v>
      </c>
      <c r="G79" s="167">
        <v>0.6</v>
      </c>
      <c r="H79" s="167">
        <v>496249</v>
      </c>
      <c r="I79" s="193">
        <v>44651</v>
      </c>
      <c r="J79" s="167" t="s">
        <v>1968</v>
      </c>
      <c r="K79" s="167" t="s">
        <v>1969</v>
      </c>
      <c r="L79" s="167" t="s">
        <v>1970</v>
      </c>
      <c r="N79" s="194" t="s">
        <v>228</v>
      </c>
      <c r="O79" s="195"/>
      <c r="S79" s="167" t="s">
        <v>219</v>
      </c>
      <c r="T79" s="193"/>
    </row>
    <row r="80" spans="3:20">
      <c r="E80" s="196"/>
      <c r="F80" s="196"/>
      <c r="G80" s="196"/>
      <c r="H80" s="196"/>
      <c r="I80" s="196"/>
      <c r="J80" s="196"/>
      <c r="K80" s="193"/>
      <c r="L80" s="193"/>
      <c r="M80" s="193"/>
      <c r="N80" s="193"/>
    </row>
    <row r="81" spans="2:23">
      <c r="B81" s="190" t="s">
        <v>133</v>
      </c>
      <c r="C81" s="191" t="s">
        <v>229</v>
      </c>
      <c r="D81" s="191"/>
      <c r="E81" s="197"/>
      <c r="F81" s="197"/>
      <c r="G81" s="197"/>
      <c r="H81" s="197"/>
      <c r="I81" s="197"/>
      <c r="J81" s="197"/>
      <c r="K81" s="191"/>
      <c r="L81" s="191"/>
      <c r="M81" s="191"/>
      <c r="N81" s="191"/>
      <c r="O81" s="191"/>
      <c r="P81" s="191"/>
      <c r="Q81" s="191"/>
      <c r="R81" s="191"/>
      <c r="S81" s="191"/>
      <c r="V81" s="191"/>
      <c r="W81" s="191"/>
    </row>
    <row r="82" spans="2:23">
      <c r="E82" s="196"/>
      <c r="F82" s="196"/>
      <c r="G82" s="196"/>
      <c r="H82" s="196"/>
      <c r="I82" s="196"/>
      <c r="J82" s="196"/>
      <c r="K82" s="193"/>
      <c r="L82" s="193"/>
      <c r="M82" s="193"/>
      <c r="N82" s="193"/>
    </row>
    <row r="83" spans="2:23">
      <c r="C83" s="192" t="str">
        <f ca="1">IF(BBswitch=1,_xll.BDS('DAL One Pager'!$D$3&amp;" EQUITY","BLOOMBERG_PEERS","cols=1;rows=7"),C83)</f>
        <v>AAL US</v>
      </c>
      <c r="E83" s="196"/>
      <c r="F83" s="196"/>
      <c r="G83" s="196"/>
      <c r="H83" s="196"/>
      <c r="I83" s="196"/>
      <c r="J83" s="196"/>
      <c r="L83" s="193"/>
      <c r="M83" s="193"/>
    </row>
    <row r="84" spans="2:23">
      <c r="C84" s="167" t="s">
        <v>283</v>
      </c>
      <c r="E84" s="196"/>
      <c r="F84" s="198"/>
      <c r="G84" s="196"/>
      <c r="H84" s="196"/>
      <c r="I84" s="196"/>
      <c r="J84" s="196"/>
      <c r="K84" s="193"/>
      <c r="L84" s="193"/>
      <c r="M84" s="193"/>
      <c r="N84" s="193"/>
    </row>
    <row r="85" spans="2:23">
      <c r="C85" s="167" t="s">
        <v>1880</v>
      </c>
      <c r="E85" s="196"/>
      <c r="F85" s="196"/>
      <c r="G85" s="196"/>
      <c r="H85" s="196"/>
      <c r="I85" s="196"/>
      <c r="J85" s="196"/>
      <c r="K85" s="193"/>
      <c r="N85" s="193"/>
    </row>
    <row r="86" spans="2:23">
      <c r="C86" s="167" t="s">
        <v>1879</v>
      </c>
      <c r="E86" s="196"/>
      <c r="F86" s="196"/>
      <c r="G86" s="196"/>
      <c r="H86" s="196"/>
      <c r="I86" s="196"/>
      <c r="J86" s="369" t="str">
        <f ca="1">IF(BBswitch=1,_xll.BDS('DAL One Pager'!$D$3&amp;" EQUITY","CIE_DES_BULK","cols=1;rows=4"),"Business Description")</f>
        <v>Business Description</v>
      </c>
      <c r="K86" s="193"/>
      <c r="N86" s="193"/>
    </row>
    <row r="87" spans="2:23">
      <c r="C87" s="167" t="s">
        <v>1881</v>
      </c>
      <c r="E87" s="196"/>
      <c r="F87" s="196"/>
      <c r="G87" s="196"/>
      <c r="H87" s="196"/>
      <c r="I87" s="196"/>
      <c r="J87" s="196" t="s">
        <v>1886</v>
      </c>
      <c r="K87" s="193"/>
      <c r="N87" s="193"/>
    </row>
    <row r="88" spans="2:23">
      <c r="C88" s="167" t="s">
        <v>1882</v>
      </c>
      <c r="E88" s="196"/>
      <c r="F88" s="196"/>
      <c r="G88" s="196"/>
      <c r="H88" s="196"/>
      <c r="I88" s="196"/>
      <c r="J88" s="196" t="s">
        <v>1887</v>
      </c>
      <c r="K88" s="193"/>
      <c r="N88" s="193"/>
    </row>
    <row r="89" spans="2:23">
      <c r="C89" s="167" t="s">
        <v>1883</v>
      </c>
      <c r="E89" s="196"/>
      <c r="F89" s="196"/>
      <c r="G89" s="196"/>
      <c r="H89" s="196"/>
      <c r="I89" s="196"/>
      <c r="J89" s="196" t="s">
        <v>1888</v>
      </c>
      <c r="K89" s="193"/>
      <c r="N89" s="193"/>
    </row>
    <row r="90" spans="2:23">
      <c r="E90" s="196"/>
      <c r="F90" s="196"/>
      <c r="G90" s="196"/>
      <c r="H90" s="196"/>
      <c r="I90" s="196"/>
      <c r="J90" s="196"/>
      <c r="K90" s="193"/>
      <c r="N90" s="193"/>
    </row>
    <row r="91" spans="2:23">
      <c r="E91" s="196"/>
      <c r="F91" s="196"/>
      <c r="G91" s="196"/>
      <c r="H91" s="196"/>
      <c r="I91" s="196"/>
      <c r="J91" s="196"/>
      <c r="K91" s="193"/>
      <c r="N91" s="193"/>
    </row>
    <row r="92" spans="2:23">
      <c r="E92" s="196"/>
      <c r="F92" s="196"/>
      <c r="G92" s="196"/>
      <c r="H92" s="196"/>
      <c r="I92" s="196"/>
      <c r="J92" s="196"/>
      <c r="K92" s="193"/>
      <c r="N92" s="193"/>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83012-1E76-463D-8DA3-A527284F2243}">
  <sheetPr>
    <tabColor theme="7" tint="0.39997558519241921"/>
  </sheetPr>
  <dimension ref="A1:AS270"/>
  <sheetViews>
    <sheetView showGridLines="0" zoomScaleNormal="100" workbookViewId="0">
      <pane xSplit="4" ySplit="6" topLeftCell="E7" activePane="bottomRight" state="frozen"/>
      <selection activeCell="I40" sqref="I40"/>
      <selection pane="topRight" activeCell="I40" sqref="I40"/>
      <selection pane="bottomLeft" activeCell="I40" sqref="I40"/>
      <selection pane="bottomRight"/>
    </sheetView>
  </sheetViews>
  <sheetFormatPr defaultColWidth="9.19921875" defaultRowHeight="11.25" customHeight="1" outlineLevelRow="1" outlineLevelCol="1"/>
  <cols>
    <col min="1" max="2" width="1.796875" style="253" customWidth="1"/>
    <col min="3" max="3" width="35.796875" style="253" customWidth="1"/>
    <col min="4" max="4" width="9.19921875" style="253" customWidth="1" outlineLevel="1"/>
    <col min="5" max="18" width="9.19921875" style="253" customWidth="1"/>
    <col min="19" max="20" width="9.19921875" style="253" customWidth="1" outlineLevel="1"/>
    <col min="21" max="30" width="9.19921875" style="253" customWidth="1"/>
    <col min="31" max="32" width="9.19921875" style="253" bestFit="1" customWidth="1"/>
    <col min="33" max="33" width="9.19921875" style="253" customWidth="1"/>
    <col min="34" max="16384" width="9.19921875" style="253"/>
  </cols>
  <sheetData>
    <row r="1" spans="1:45" ht="11.25" customHeight="1">
      <c r="A1" s="378" t="str">
        <f ca="1">'DAL One Pager'!$D$2</f>
        <v>Delta Air Lines Inc</v>
      </c>
    </row>
    <row r="2" spans="1:45" ht="11.25" customHeight="1">
      <c r="A2" s="332" t="s">
        <v>230</v>
      </c>
    </row>
    <row r="3" spans="1:45" s="293" customFormat="1" ht="11.25" customHeight="1">
      <c r="C3" s="334" t="s">
        <v>327</v>
      </c>
      <c r="E3" s="284">
        <f t="shared" ref="E3:P3" si="0">E170</f>
        <v>0</v>
      </c>
      <c r="F3" s="284">
        <f t="shared" si="0"/>
        <v>0</v>
      </c>
      <c r="G3" s="284">
        <f t="shared" si="0"/>
        <v>0</v>
      </c>
      <c r="H3" s="284">
        <f t="shared" si="0"/>
        <v>0</v>
      </c>
      <c r="I3" s="284">
        <f t="shared" si="0"/>
        <v>0</v>
      </c>
      <c r="J3" s="284">
        <f t="shared" si="0"/>
        <v>0</v>
      </c>
      <c r="K3" s="284">
        <f t="shared" si="0"/>
        <v>0</v>
      </c>
      <c r="L3" s="284">
        <f t="shared" si="0"/>
        <v>0</v>
      </c>
      <c r="M3" s="284">
        <f t="shared" si="0"/>
        <v>0</v>
      </c>
      <c r="N3" s="284">
        <f t="shared" si="0"/>
        <v>0</v>
      </c>
      <c r="O3" s="284">
        <f t="shared" si="0"/>
        <v>0</v>
      </c>
      <c r="P3" s="284">
        <f t="shared" si="0"/>
        <v>0</v>
      </c>
      <c r="Q3" s="284">
        <f>Q170</f>
        <v>0</v>
      </c>
      <c r="R3" s="284">
        <f>R170</f>
        <v>0</v>
      </c>
      <c r="S3" s="284">
        <f ca="1">S170</f>
        <v>0</v>
      </c>
      <c r="T3" s="284">
        <f ca="1">T170</f>
        <v>0</v>
      </c>
      <c r="V3" s="284">
        <f t="shared" ref="V3:AD3" si="1">V170</f>
        <v>0</v>
      </c>
      <c r="W3" s="284">
        <f t="shared" si="1"/>
        <v>0</v>
      </c>
      <c r="X3" s="284">
        <f t="shared" si="1"/>
        <v>0</v>
      </c>
      <c r="Y3" s="284">
        <f t="shared" si="1"/>
        <v>0</v>
      </c>
      <c r="Z3" s="284">
        <f t="shared" si="1"/>
        <v>0</v>
      </c>
      <c r="AA3" s="284">
        <f t="shared" ca="1" si="1"/>
        <v>0</v>
      </c>
      <c r="AB3" s="284">
        <f t="shared" ca="1" si="1"/>
        <v>1.5425030142068863E-9</v>
      </c>
      <c r="AC3" s="284">
        <f t="shared" ca="1" si="1"/>
        <v>3.7020072340965271E-8</v>
      </c>
      <c r="AD3" s="284">
        <f t="shared" ca="1" si="1"/>
        <v>3.4846016205847263E-7</v>
      </c>
    </row>
    <row r="4" spans="1:45" s="293" customFormat="1" ht="11.25" customHeight="1">
      <c r="C4" s="334" t="s">
        <v>382</v>
      </c>
      <c r="E4" s="284">
        <f>E257</f>
        <v>0</v>
      </c>
      <c r="F4" s="284">
        <f t="shared" ref="F4:P4" si="2">F257</f>
        <v>0</v>
      </c>
      <c r="G4" s="284">
        <f t="shared" si="2"/>
        <v>0</v>
      </c>
      <c r="H4" s="284">
        <f t="shared" si="2"/>
        <v>0</v>
      </c>
      <c r="I4" s="284">
        <f t="shared" si="2"/>
        <v>0</v>
      </c>
      <c r="J4" s="284">
        <f t="shared" si="2"/>
        <v>0</v>
      </c>
      <c r="K4" s="284">
        <f t="shared" si="2"/>
        <v>0</v>
      </c>
      <c r="L4" s="284">
        <f t="shared" si="2"/>
        <v>0</v>
      </c>
      <c r="M4" s="284">
        <f t="shared" si="2"/>
        <v>0</v>
      </c>
      <c r="N4" s="284">
        <f t="shared" si="2"/>
        <v>0</v>
      </c>
      <c r="O4" s="284">
        <f t="shared" si="2"/>
        <v>0</v>
      </c>
      <c r="P4" s="284">
        <f t="shared" si="2"/>
        <v>0</v>
      </c>
      <c r="Q4" s="284">
        <f>Q257</f>
        <v>0</v>
      </c>
      <c r="R4" s="284">
        <f>R257</f>
        <v>0</v>
      </c>
      <c r="S4" s="284">
        <f ca="1">S257</f>
        <v>0</v>
      </c>
      <c r="T4" s="284">
        <f ca="1">T257</f>
        <v>0</v>
      </c>
      <c r="U4" s="284"/>
      <c r="V4" s="284">
        <f t="shared" ref="V4:AD4" si="3">V257</f>
        <v>0</v>
      </c>
      <c r="W4" s="284">
        <f t="shared" si="3"/>
        <v>0</v>
      </c>
      <c r="X4" s="284">
        <f t="shared" si="3"/>
        <v>0</v>
      </c>
      <c r="Y4" s="284">
        <f t="shared" si="3"/>
        <v>0</v>
      </c>
      <c r="Z4" s="284">
        <f t="shared" si="3"/>
        <v>0</v>
      </c>
      <c r="AA4" s="284">
        <f t="shared" ca="1" si="3"/>
        <v>-1.4551915228366852E-11</v>
      </c>
      <c r="AB4" s="284">
        <f t="shared" ca="1" si="3"/>
        <v>-1.5570549294352531E-9</v>
      </c>
      <c r="AC4" s="284">
        <f t="shared" ca="1" si="3"/>
        <v>-3.5477569326758385E-8</v>
      </c>
      <c r="AD4" s="284">
        <f t="shared" ca="1" si="3"/>
        <v>-3.11425537802279E-7</v>
      </c>
    </row>
    <row r="5" spans="1:45" ht="12.75" customHeight="1">
      <c r="B5" s="276"/>
      <c r="C5" s="633" t="s">
        <v>65</v>
      </c>
      <c r="D5" s="276"/>
      <c r="E5" s="275">
        <f t="shared" ref="E5:T5" si="4">YEAR(E6)</f>
        <v>2019</v>
      </c>
      <c r="F5" s="274">
        <f t="shared" si="4"/>
        <v>2019</v>
      </c>
      <c r="G5" s="273">
        <f t="shared" si="4"/>
        <v>2019</v>
      </c>
      <c r="H5" s="272">
        <f t="shared" si="4"/>
        <v>2019</v>
      </c>
      <c r="I5" s="275">
        <f t="shared" si="4"/>
        <v>2020</v>
      </c>
      <c r="J5" s="274">
        <f t="shared" si="4"/>
        <v>2020</v>
      </c>
      <c r="K5" s="273">
        <f t="shared" si="4"/>
        <v>2020</v>
      </c>
      <c r="L5" s="272">
        <f t="shared" si="4"/>
        <v>2020</v>
      </c>
      <c r="M5" s="275">
        <f t="shared" si="4"/>
        <v>2021</v>
      </c>
      <c r="N5" s="274">
        <f t="shared" si="4"/>
        <v>2021</v>
      </c>
      <c r="O5" s="273">
        <f t="shared" si="4"/>
        <v>2021</v>
      </c>
      <c r="P5" s="272">
        <f t="shared" si="4"/>
        <v>2021</v>
      </c>
      <c r="Q5" s="275">
        <f t="shared" si="4"/>
        <v>2022</v>
      </c>
      <c r="R5" s="274">
        <f t="shared" si="4"/>
        <v>2022</v>
      </c>
      <c r="S5" s="365">
        <f t="shared" si="4"/>
        <v>2022</v>
      </c>
      <c r="T5" s="366">
        <f t="shared" si="4"/>
        <v>2022</v>
      </c>
      <c r="U5" s="265"/>
      <c r="V5" s="271">
        <f t="shared" ref="V5:AD5" si="5">YEAR(V6)</f>
        <v>2017</v>
      </c>
      <c r="W5" s="271">
        <f t="shared" si="5"/>
        <v>2018</v>
      </c>
      <c r="X5" s="271">
        <f t="shared" si="5"/>
        <v>2019</v>
      </c>
      <c r="Y5" s="271">
        <f t="shared" si="5"/>
        <v>2020</v>
      </c>
      <c r="Z5" s="271">
        <f t="shared" si="5"/>
        <v>2021</v>
      </c>
      <c r="AA5" s="270">
        <f t="shared" si="5"/>
        <v>2022</v>
      </c>
      <c r="AB5" s="270">
        <f t="shared" si="5"/>
        <v>2023</v>
      </c>
      <c r="AC5" s="270">
        <f t="shared" si="5"/>
        <v>2024</v>
      </c>
      <c r="AD5" s="270">
        <f t="shared" si="5"/>
        <v>2025</v>
      </c>
      <c r="AE5" s="269"/>
      <c r="AF5" s="268" t="s">
        <v>231</v>
      </c>
      <c r="AG5" s="267"/>
      <c r="AH5" s="267"/>
      <c r="AI5" s="267"/>
      <c r="AJ5" s="267"/>
      <c r="AK5" s="267"/>
      <c r="AL5" s="267"/>
      <c r="AM5" s="267"/>
      <c r="AN5" s="267"/>
      <c r="AO5" s="267"/>
      <c r="AP5" s="267"/>
      <c r="AQ5" s="267"/>
      <c r="AR5" s="267"/>
      <c r="AS5" s="267"/>
    </row>
    <row r="6" spans="1:45" s="260" customFormat="1" ht="12.75" customHeight="1">
      <c r="A6" s="253"/>
      <c r="B6" s="262"/>
      <c r="C6" s="262" t="s">
        <v>232</v>
      </c>
      <c r="D6" s="262"/>
      <c r="E6" s="262">
        <v>43555</v>
      </c>
      <c r="F6" s="262">
        <f t="shared" ref="F6:T6" si="6">+EOMONTH(E6,3)</f>
        <v>43646</v>
      </c>
      <c r="G6" s="262">
        <f t="shared" si="6"/>
        <v>43738</v>
      </c>
      <c r="H6" s="262">
        <f t="shared" si="6"/>
        <v>43830</v>
      </c>
      <c r="I6" s="262">
        <f t="shared" si="6"/>
        <v>43921</v>
      </c>
      <c r="J6" s="262">
        <f t="shared" si="6"/>
        <v>44012</v>
      </c>
      <c r="K6" s="262">
        <f t="shared" si="6"/>
        <v>44104</v>
      </c>
      <c r="L6" s="262">
        <f t="shared" si="6"/>
        <v>44196</v>
      </c>
      <c r="M6" s="262">
        <f t="shared" si="6"/>
        <v>44286</v>
      </c>
      <c r="N6" s="262">
        <f t="shared" si="6"/>
        <v>44377</v>
      </c>
      <c r="O6" s="262">
        <f t="shared" si="6"/>
        <v>44469</v>
      </c>
      <c r="P6" s="262">
        <f t="shared" si="6"/>
        <v>44561</v>
      </c>
      <c r="Q6" s="262">
        <f t="shared" si="6"/>
        <v>44651</v>
      </c>
      <c r="R6" s="262">
        <f t="shared" si="6"/>
        <v>44742</v>
      </c>
      <c r="S6" s="262">
        <f t="shared" si="6"/>
        <v>44834</v>
      </c>
      <c r="T6" s="262">
        <f t="shared" si="6"/>
        <v>44926</v>
      </c>
      <c r="U6" s="265"/>
      <c r="V6" s="261">
        <v>43100</v>
      </c>
      <c r="W6" s="261">
        <f>EOMONTH(V6,12)</f>
        <v>43465</v>
      </c>
      <c r="X6" s="261">
        <f t="shared" ref="X6:AD6" si="7">EOMONTH(W6,12)</f>
        <v>43830</v>
      </c>
      <c r="Y6" s="261">
        <f t="shared" si="7"/>
        <v>44196</v>
      </c>
      <c r="Z6" s="261">
        <f t="shared" si="7"/>
        <v>44561</v>
      </c>
      <c r="AA6" s="261">
        <f t="shared" si="7"/>
        <v>44926</v>
      </c>
      <c r="AB6" s="264">
        <f t="shared" si="7"/>
        <v>45291</v>
      </c>
      <c r="AC6" s="264">
        <f t="shared" si="7"/>
        <v>45657</v>
      </c>
      <c r="AD6" s="264">
        <f t="shared" si="7"/>
        <v>46022</v>
      </c>
      <c r="AE6" s="263"/>
      <c r="AF6" s="262">
        <v>43555</v>
      </c>
      <c r="AG6" s="261">
        <f t="shared" ref="AG6:AS6" si="8">+EOMONTH(AF6,3)</f>
        <v>43646</v>
      </c>
      <c r="AH6" s="261">
        <f t="shared" si="8"/>
        <v>43738</v>
      </c>
      <c r="AI6" s="261">
        <f t="shared" si="8"/>
        <v>43830</v>
      </c>
      <c r="AJ6" s="261">
        <f t="shared" si="8"/>
        <v>43921</v>
      </c>
      <c r="AK6" s="261">
        <f t="shared" si="8"/>
        <v>44012</v>
      </c>
      <c r="AL6" s="261">
        <f t="shared" si="8"/>
        <v>44104</v>
      </c>
      <c r="AM6" s="261">
        <f t="shared" si="8"/>
        <v>44196</v>
      </c>
      <c r="AN6" s="262">
        <f t="shared" si="8"/>
        <v>44286</v>
      </c>
      <c r="AO6" s="262">
        <f t="shared" si="8"/>
        <v>44377</v>
      </c>
      <c r="AP6" s="262">
        <f t="shared" si="8"/>
        <v>44469</v>
      </c>
      <c r="AQ6" s="261">
        <f t="shared" si="8"/>
        <v>44561</v>
      </c>
      <c r="AR6" s="261">
        <f t="shared" si="8"/>
        <v>44651</v>
      </c>
      <c r="AS6" s="261">
        <f t="shared" si="8"/>
        <v>44742</v>
      </c>
    </row>
    <row r="7" spans="1:45" ht="11.25" customHeight="1">
      <c r="E7" s="255"/>
      <c r="F7" s="255"/>
      <c r="G7" s="255"/>
      <c r="H7" s="255"/>
      <c r="I7" s="255"/>
      <c r="J7" s="255"/>
      <c r="K7" s="255"/>
      <c r="L7" s="255"/>
      <c r="M7" s="255"/>
      <c r="N7" s="255"/>
      <c r="O7" s="255"/>
      <c r="P7" s="255"/>
      <c r="Q7" s="255"/>
      <c r="R7" s="255"/>
      <c r="S7" s="255"/>
      <c r="T7" s="255"/>
    </row>
    <row r="8" spans="1:45" s="255" customFormat="1" ht="11.25" customHeight="1">
      <c r="B8" s="258" t="s">
        <v>133</v>
      </c>
      <c r="C8" s="259" t="s">
        <v>1050</v>
      </c>
      <c r="D8" s="259"/>
      <c r="E8" s="258"/>
      <c r="F8" s="258"/>
      <c r="G8" s="258"/>
      <c r="H8" s="258"/>
      <c r="I8" s="258"/>
      <c r="J8" s="258"/>
      <c r="K8" s="258"/>
      <c r="L8" s="258"/>
      <c r="M8" s="258"/>
      <c r="N8" s="258"/>
      <c r="O8" s="258"/>
      <c r="P8" s="258"/>
      <c r="Q8" s="258"/>
      <c r="R8" s="258"/>
      <c r="S8" s="258"/>
      <c r="T8" s="258"/>
      <c r="U8" s="280"/>
      <c r="V8" s="258"/>
      <c r="W8" s="258"/>
      <c r="X8" s="258"/>
      <c r="Y8" s="258"/>
      <c r="Z8" s="258"/>
      <c r="AA8" s="258"/>
      <c r="AB8" s="258"/>
      <c r="AC8" s="258"/>
      <c r="AD8" s="258"/>
    </row>
    <row r="9" spans="1:45" ht="11.25" customHeight="1">
      <c r="Z9" s="257"/>
    </row>
    <row r="10" spans="1:45" ht="11.25" customHeight="1">
      <c r="C10" s="253" t="s">
        <v>863</v>
      </c>
      <c r="E10" s="277">
        <v>9254</v>
      </c>
      <c r="F10" s="277">
        <v>11368</v>
      </c>
      <c r="G10" s="277">
        <v>11410</v>
      </c>
      <c r="H10" s="277">
        <v>10245</v>
      </c>
      <c r="I10" s="277">
        <v>7569</v>
      </c>
      <c r="J10" s="277">
        <v>678</v>
      </c>
      <c r="K10" s="277">
        <v>1938</v>
      </c>
      <c r="L10" s="277">
        <v>2698</v>
      </c>
      <c r="M10" s="277">
        <v>2748</v>
      </c>
      <c r="N10" s="277">
        <v>5339</v>
      </c>
      <c r="O10" s="277">
        <v>7191</v>
      </c>
      <c r="P10" s="277">
        <v>7241</v>
      </c>
      <c r="Q10" s="277">
        <v>6907</v>
      </c>
      <c r="R10" s="277">
        <v>10958</v>
      </c>
      <c r="S10" s="287">
        <f>'DAL KPI'!S92</f>
        <v>11409.805962942415</v>
      </c>
      <c r="T10" s="287">
        <f>'DAL KPI'!T92</f>
        <v>10486.61240538028</v>
      </c>
      <c r="U10" s="632"/>
      <c r="V10" s="277">
        <v>36947</v>
      </c>
      <c r="W10" s="277">
        <v>39755</v>
      </c>
      <c r="X10" s="254">
        <f t="shared" ref="X10:AA12" si="9">SUMIF($E$5:$T$5,X$5,$E10:$T10)</f>
        <v>42277</v>
      </c>
      <c r="Y10" s="254">
        <f t="shared" si="9"/>
        <v>12883</v>
      </c>
      <c r="Z10" s="254">
        <f t="shared" si="9"/>
        <v>22519</v>
      </c>
      <c r="AA10" s="254">
        <f t="shared" si="9"/>
        <v>39761.418368322695</v>
      </c>
      <c r="AB10" s="287">
        <f>'DAL KPI'!AB10</f>
        <v>44582.036686942083</v>
      </c>
      <c r="AC10" s="287">
        <f>'DAL KPI'!AC10</f>
        <v>48258.562758525135</v>
      </c>
      <c r="AD10" s="287">
        <f>'DAL KPI'!AD10</f>
        <v>49616.92340903735</v>
      </c>
    </row>
    <row r="11" spans="1:45" ht="11.25" customHeight="1">
      <c r="C11" s="253" t="s">
        <v>321</v>
      </c>
      <c r="E11" s="277">
        <v>1026</v>
      </c>
      <c r="F11" s="277">
        <v>982</v>
      </c>
      <c r="G11" s="277">
        <v>961</v>
      </c>
      <c r="H11" s="277">
        <v>1007</v>
      </c>
      <c r="I11" s="277">
        <v>871</v>
      </c>
      <c r="J11" s="277">
        <v>682</v>
      </c>
      <c r="K11" s="277">
        <v>982</v>
      </c>
      <c r="L11" s="277">
        <v>1071</v>
      </c>
      <c r="M11" s="277">
        <v>1187</v>
      </c>
      <c r="N11" s="277">
        <v>1536</v>
      </c>
      <c r="O11" s="277">
        <v>1701</v>
      </c>
      <c r="P11" s="277">
        <v>1925</v>
      </c>
      <c r="Q11" s="277">
        <v>2152</v>
      </c>
      <c r="R11" s="277">
        <v>2594</v>
      </c>
      <c r="S11" s="287">
        <f>'DAL KPI'!S98</f>
        <v>2634.2908913100005</v>
      </c>
      <c r="T11" s="287">
        <f>'DAL KPI'!T98</f>
        <v>2382.8065982258004</v>
      </c>
      <c r="V11" s="277">
        <v>3447</v>
      </c>
      <c r="W11" s="277">
        <v>3818</v>
      </c>
      <c r="X11" s="254">
        <f t="shared" si="9"/>
        <v>3976</v>
      </c>
      <c r="Y11" s="254">
        <f t="shared" si="9"/>
        <v>3606</v>
      </c>
      <c r="Z11" s="254">
        <f t="shared" si="9"/>
        <v>6349</v>
      </c>
      <c r="AA11" s="254">
        <f t="shared" si="9"/>
        <v>9763.0974895358013</v>
      </c>
      <c r="AB11" s="287">
        <f>'DAL KPI'!AB98</f>
        <v>10555.342585997099</v>
      </c>
      <c r="AC11" s="287">
        <f>'DAL KPI'!AC98</f>
        <v>11141.654028862722</v>
      </c>
      <c r="AD11" s="287">
        <f>'DAL KPI'!AD98</f>
        <v>11334.37632198336</v>
      </c>
    </row>
    <row r="12" spans="1:45" ht="11.25" customHeight="1">
      <c r="C12" s="253" t="s">
        <v>285</v>
      </c>
      <c r="E12" s="277">
        <v>192</v>
      </c>
      <c r="F12" s="277">
        <v>186</v>
      </c>
      <c r="G12" s="277">
        <v>189</v>
      </c>
      <c r="H12" s="277">
        <v>187</v>
      </c>
      <c r="I12" s="277">
        <v>152</v>
      </c>
      <c r="J12" s="277">
        <v>108</v>
      </c>
      <c r="K12" s="277">
        <v>142</v>
      </c>
      <c r="L12" s="277">
        <v>204</v>
      </c>
      <c r="M12" s="277">
        <v>215</v>
      </c>
      <c r="N12" s="277">
        <v>251</v>
      </c>
      <c r="O12" s="277">
        <v>262</v>
      </c>
      <c r="P12" s="277">
        <v>304</v>
      </c>
      <c r="Q12" s="277">
        <v>289</v>
      </c>
      <c r="R12" s="277">
        <v>272</v>
      </c>
      <c r="S12" s="287">
        <f>'DAL KPI'!S100</f>
        <v>292.33205320500002</v>
      </c>
      <c r="T12" s="287">
        <f>'DAL KPI'!T100</f>
        <v>309.37331377880002</v>
      </c>
      <c r="U12" s="632"/>
      <c r="V12" s="277">
        <v>744</v>
      </c>
      <c r="W12" s="277">
        <v>865</v>
      </c>
      <c r="X12" s="254">
        <f t="shared" si="9"/>
        <v>754</v>
      </c>
      <c r="Y12" s="254">
        <f t="shared" si="9"/>
        <v>606</v>
      </c>
      <c r="Z12" s="254">
        <f t="shared" si="9"/>
        <v>1032</v>
      </c>
      <c r="AA12" s="254">
        <f t="shared" si="9"/>
        <v>1162.7053669838001</v>
      </c>
      <c r="AB12" s="287">
        <f>'DAL KPI'!AB11</f>
        <v>1253.7590074047</v>
      </c>
      <c r="AC12" s="287">
        <f>'DAL KPI'!AC11</f>
        <v>1187.5061113395202</v>
      </c>
      <c r="AD12" s="287">
        <f>'DAL KPI'!AD11</f>
        <v>1056.1482698390403</v>
      </c>
    </row>
    <row r="13" spans="1:45" s="279" customFormat="1" ht="11.25" customHeight="1">
      <c r="C13" s="289" t="s">
        <v>287</v>
      </c>
      <c r="E13" s="358">
        <f t="shared" ref="E13:T13" si="10">SUM(E10:E12)</f>
        <v>10472</v>
      </c>
      <c r="F13" s="358">
        <f t="shared" si="10"/>
        <v>12536</v>
      </c>
      <c r="G13" s="358">
        <f t="shared" si="10"/>
        <v>12560</v>
      </c>
      <c r="H13" s="358">
        <f t="shared" si="10"/>
        <v>11439</v>
      </c>
      <c r="I13" s="358">
        <f t="shared" si="10"/>
        <v>8592</v>
      </c>
      <c r="J13" s="358">
        <f t="shared" si="10"/>
        <v>1468</v>
      </c>
      <c r="K13" s="358">
        <f t="shared" si="10"/>
        <v>3062</v>
      </c>
      <c r="L13" s="358">
        <f t="shared" si="10"/>
        <v>3973</v>
      </c>
      <c r="M13" s="358">
        <f t="shared" si="10"/>
        <v>4150</v>
      </c>
      <c r="N13" s="358">
        <f t="shared" si="10"/>
        <v>7126</v>
      </c>
      <c r="O13" s="358">
        <f t="shared" si="10"/>
        <v>9154</v>
      </c>
      <c r="P13" s="358">
        <f t="shared" si="10"/>
        <v>9470</v>
      </c>
      <c r="Q13" s="358">
        <f t="shared" si="10"/>
        <v>9348</v>
      </c>
      <c r="R13" s="358">
        <f t="shared" si="10"/>
        <v>13824</v>
      </c>
      <c r="S13" s="358">
        <f t="shared" si="10"/>
        <v>14336.428907457415</v>
      </c>
      <c r="T13" s="358">
        <f t="shared" si="10"/>
        <v>13178.792317384879</v>
      </c>
      <c r="V13" s="358">
        <f t="shared" ref="V13:AD13" si="11">SUM(V10:V12)</f>
        <v>41138</v>
      </c>
      <c r="W13" s="358">
        <f t="shared" si="11"/>
        <v>44438</v>
      </c>
      <c r="X13" s="358">
        <f t="shared" si="11"/>
        <v>47007</v>
      </c>
      <c r="Y13" s="358">
        <f t="shared" si="11"/>
        <v>17095</v>
      </c>
      <c r="Z13" s="358">
        <f t="shared" si="11"/>
        <v>29900</v>
      </c>
      <c r="AA13" s="358">
        <f t="shared" si="11"/>
        <v>50687.221224842295</v>
      </c>
      <c r="AB13" s="358">
        <f t="shared" si="11"/>
        <v>56391.138280343883</v>
      </c>
      <c r="AC13" s="358">
        <f t="shared" si="11"/>
        <v>60587.722898727377</v>
      </c>
      <c r="AD13" s="358">
        <f t="shared" si="11"/>
        <v>62007.448000859753</v>
      </c>
    </row>
    <row r="14" spans="1:45" ht="11.25" customHeight="1">
      <c r="E14" s="255"/>
      <c r="F14" s="255"/>
      <c r="G14" s="255"/>
      <c r="H14" s="255"/>
      <c r="I14" s="255"/>
      <c r="J14" s="255"/>
      <c r="K14" s="255"/>
      <c r="L14" s="255"/>
      <c r="M14" s="255"/>
      <c r="N14" s="255"/>
      <c r="O14" s="255"/>
      <c r="P14" s="255"/>
      <c r="Q14" s="277"/>
      <c r="R14" s="255"/>
      <c r="S14" s="255"/>
      <c r="T14" s="255"/>
      <c r="V14" s="255"/>
      <c r="W14" s="255"/>
      <c r="X14" s="255"/>
      <c r="Y14" s="255"/>
      <c r="Z14" s="255"/>
      <c r="AA14" s="255"/>
      <c r="AB14" s="255"/>
      <c r="AC14" s="255"/>
      <c r="AD14" s="255"/>
    </row>
    <row r="15" spans="1:45" ht="11.25" customHeight="1">
      <c r="C15" s="253" t="s">
        <v>865</v>
      </c>
      <c r="E15" s="277">
        <v>1978</v>
      </c>
      <c r="F15" s="277">
        <v>2291</v>
      </c>
      <c r="G15" s="277">
        <v>2239</v>
      </c>
      <c r="H15" s="277">
        <v>2012</v>
      </c>
      <c r="I15" s="277">
        <v>1595</v>
      </c>
      <c r="J15" s="277">
        <v>372</v>
      </c>
      <c r="K15" s="277">
        <v>486</v>
      </c>
      <c r="L15" s="277">
        <v>723</v>
      </c>
      <c r="M15" s="277">
        <v>1017</v>
      </c>
      <c r="N15" s="277">
        <v>1487</v>
      </c>
      <c r="O15" s="277">
        <v>1552</v>
      </c>
      <c r="P15" s="277">
        <v>1577</v>
      </c>
      <c r="Q15" s="277">
        <v>2092</v>
      </c>
      <c r="R15" s="277">
        <v>3223</v>
      </c>
      <c r="S15" s="287">
        <f>'DAL KPI'!S281</f>
        <v>3321.9927181317266</v>
      </c>
      <c r="T15" s="287">
        <f>'DAL KPI'!T281</f>
        <v>3093.4076270827327</v>
      </c>
      <c r="V15" s="277">
        <v>6756</v>
      </c>
      <c r="W15" s="277">
        <v>9020</v>
      </c>
      <c r="X15" s="254">
        <f t="shared" ref="X15:AA23" si="12">SUMIF($E$5:$T$5,X$5,$E15:$T15)</f>
        <v>8520</v>
      </c>
      <c r="Y15" s="254">
        <f t="shared" si="12"/>
        <v>3176</v>
      </c>
      <c r="Z15" s="254">
        <f t="shared" si="12"/>
        <v>5633</v>
      </c>
      <c r="AA15" s="254">
        <f t="shared" si="12"/>
        <v>11730.400345214461</v>
      </c>
      <c r="AB15" s="287">
        <f>'DAL KPI'!AB281</f>
        <v>12726.8760926266</v>
      </c>
      <c r="AC15" s="287">
        <f>'DAL KPI'!AC281</f>
        <v>11974.731053819771</v>
      </c>
      <c r="AD15" s="287">
        <f>'DAL KPI'!AD281</f>
        <v>12169.272927184311</v>
      </c>
    </row>
    <row r="16" spans="1:45" ht="11.25" customHeight="1">
      <c r="C16" s="253" t="s">
        <v>288</v>
      </c>
      <c r="E16" s="277">
        <v>2732</v>
      </c>
      <c r="F16" s="277">
        <v>2847</v>
      </c>
      <c r="G16" s="277">
        <v>2976</v>
      </c>
      <c r="H16" s="277">
        <v>3046</v>
      </c>
      <c r="I16" s="277">
        <v>2862</v>
      </c>
      <c r="J16" s="277">
        <v>2127</v>
      </c>
      <c r="K16" s="277">
        <v>2012</v>
      </c>
      <c r="L16" s="277">
        <v>1940</v>
      </c>
      <c r="M16" s="277">
        <v>2202</v>
      </c>
      <c r="N16" s="277">
        <v>2328</v>
      </c>
      <c r="O16" s="277">
        <v>2566</v>
      </c>
      <c r="P16" s="277">
        <v>2632</v>
      </c>
      <c r="Q16" s="277">
        <v>2826</v>
      </c>
      <c r="R16" s="277">
        <v>2955</v>
      </c>
      <c r="S16" s="287">
        <f>'DAL KPI'!S16</f>
        <v>3318.2066824497906</v>
      </c>
      <c r="T16" s="287">
        <f>'DAL KPI'!T16</f>
        <v>3310.6365883660983</v>
      </c>
      <c r="V16" s="277">
        <v>10058</v>
      </c>
      <c r="W16" s="277">
        <v>10743</v>
      </c>
      <c r="X16" s="254">
        <f t="shared" si="12"/>
        <v>11601</v>
      </c>
      <c r="Y16" s="254">
        <f t="shared" si="12"/>
        <v>8941</v>
      </c>
      <c r="Z16" s="254">
        <f t="shared" si="12"/>
        <v>9728</v>
      </c>
      <c r="AA16" s="254">
        <f t="shared" si="12"/>
        <v>12409.843270815889</v>
      </c>
      <c r="AB16" s="287">
        <f>'DAL KPI'!AB16</f>
        <v>14202.014570840558</v>
      </c>
      <c r="AC16" s="287">
        <f>'DAL KPI'!AC16</f>
        <v>16258.566269286715</v>
      </c>
      <c r="AD16" s="287">
        <f>'DAL KPI'!AD16</f>
        <v>16271.584595162491</v>
      </c>
    </row>
    <row r="17" spans="3:30" ht="11.25" customHeight="1">
      <c r="C17" s="253" t="s">
        <v>1051</v>
      </c>
      <c r="E17" s="277">
        <v>538</v>
      </c>
      <c r="F17" s="277">
        <v>542</v>
      </c>
      <c r="G17" s="277">
        <v>543</v>
      </c>
      <c r="H17" s="277">
        <v>536</v>
      </c>
      <c r="I17" s="277">
        <v>577</v>
      </c>
      <c r="J17" s="277">
        <v>338</v>
      </c>
      <c r="K17" s="277">
        <v>290</v>
      </c>
      <c r="L17" s="277">
        <v>591</v>
      </c>
      <c r="M17" s="277">
        <v>401</v>
      </c>
      <c r="N17" s="277">
        <v>403</v>
      </c>
      <c r="O17" s="277">
        <v>453</v>
      </c>
      <c r="P17" s="277">
        <v>478</v>
      </c>
      <c r="Q17" s="277">
        <v>491</v>
      </c>
      <c r="R17" s="277">
        <v>528</v>
      </c>
      <c r="S17" s="287">
        <f>'DAL KPI'!S17</f>
        <v>535.58058386470509</v>
      </c>
      <c r="T17" s="287">
        <f>'DAL KPI'!T17</f>
        <v>542.04125043812974</v>
      </c>
      <c r="V17" s="277">
        <v>3466</v>
      </c>
      <c r="W17" s="277">
        <v>3438</v>
      </c>
      <c r="X17" s="254">
        <f t="shared" si="12"/>
        <v>2159</v>
      </c>
      <c r="Y17" s="254">
        <f t="shared" si="12"/>
        <v>1796</v>
      </c>
      <c r="Z17" s="254">
        <f t="shared" si="12"/>
        <v>1735</v>
      </c>
      <c r="AA17" s="254">
        <f t="shared" si="12"/>
        <v>2096.6218343028349</v>
      </c>
      <c r="AB17" s="287">
        <f>'DAL KPI'!AB17</f>
        <v>2293.5652406259514</v>
      </c>
      <c r="AC17" s="287">
        <f>'DAL KPI'!AC17</f>
        <v>2467.1864660150932</v>
      </c>
      <c r="AD17" s="287">
        <f>'DAL KPI'!AD17</f>
        <v>2507.742611723475</v>
      </c>
    </row>
    <row r="18" spans="3:30" ht="11.25" customHeight="1">
      <c r="C18" s="253" t="s">
        <v>1052</v>
      </c>
      <c r="E18" s="277">
        <v>709</v>
      </c>
      <c r="F18" s="277">
        <v>731</v>
      </c>
      <c r="G18" s="277">
        <v>760</v>
      </c>
      <c r="H18" s="277">
        <v>742</v>
      </c>
      <c r="I18" s="277">
        <v>748</v>
      </c>
      <c r="J18" s="277">
        <v>369</v>
      </c>
      <c r="K18" s="277">
        <v>419</v>
      </c>
      <c r="L18" s="277">
        <v>381</v>
      </c>
      <c r="M18" s="277">
        <v>519</v>
      </c>
      <c r="N18" s="277">
        <v>570</v>
      </c>
      <c r="O18" s="277">
        <v>634</v>
      </c>
      <c r="P18" s="277">
        <v>697</v>
      </c>
      <c r="Q18" s="277">
        <v>753</v>
      </c>
      <c r="R18" s="277">
        <v>791</v>
      </c>
      <c r="S18" s="287">
        <f>'DAL KPI'!S18</f>
        <v>847.39149148583363</v>
      </c>
      <c r="T18" s="287">
        <f>'DAL KPI'!T18</f>
        <v>771.4012913370093</v>
      </c>
      <c r="V18" s="277">
        <v>2108</v>
      </c>
      <c r="W18" s="277">
        <v>2175</v>
      </c>
      <c r="X18" s="254">
        <f t="shared" si="12"/>
        <v>2942</v>
      </c>
      <c r="Y18" s="254">
        <f t="shared" si="12"/>
        <v>1917</v>
      </c>
      <c r="Z18" s="254">
        <f t="shared" si="12"/>
        <v>2420</v>
      </c>
      <c r="AA18" s="254">
        <f t="shared" si="12"/>
        <v>3162.792782822843</v>
      </c>
      <c r="AB18" s="287">
        <f>'DAL KPI'!AB18</f>
        <v>3274.1947690569723</v>
      </c>
      <c r="AC18" s="287">
        <f>'DAL KPI'!AC18</f>
        <v>3488.8220618027412</v>
      </c>
      <c r="AD18" s="287">
        <f>'DAL KPI'!AD18</f>
        <v>3546.1720747985664</v>
      </c>
    </row>
    <row r="19" spans="3:30" ht="11.25" customHeight="1">
      <c r="C19" s="253" t="s">
        <v>1053</v>
      </c>
      <c r="E19" s="277">
        <v>524</v>
      </c>
      <c r="F19" s="277">
        <v>548</v>
      </c>
      <c r="G19" s="277">
        <v>566</v>
      </c>
      <c r="H19" s="277">
        <v>538</v>
      </c>
      <c r="I19" s="277">
        <v>678</v>
      </c>
      <c r="J19" s="277">
        <v>422</v>
      </c>
      <c r="K19" s="277">
        <v>458</v>
      </c>
      <c r="L19" s="277">
        <v>323</v>
      </c>
      <c r="M19" s="277">
        <v>492</v>
      </c>
      <c r="N19" s="277">
        <v>460</v>
      </c>
      <c r="O19" s="277">
        <v>524</v>
      </c>
      <c r="P19" s="277">
        <v>542</v>
      </c>
      <c r="Q19" s="277">
        <v>504</v>
      </c>
      <c r="R19" s="277">
        <v>546</v>
      </c>
      <c r="S19" s="287">
        <f>'DAL KPI'!S19</f>
        <v>582.53876621171878</v>
      </c>
      <c r="T19" s="287">
        <f>'DAL KPI'!T19</f>
        <v>559.3179174384245</v>
      </c>
      <c r="V19" s="277">
        <v>1827</v>
      </c>
      <c r="W19" s="277">
        <v>1941</v>
      </c>
      <c r="X19" s="254">
        <f t="shared" si="12"/>
        <v>2176</v>
      </c>
      <c r="Y19" s="254">
        <f t="shared" si="12"/>
        <v>1881</v>
      </c>
      <c r="Z19" s="254">
        <f t="shared" si="12"/>
        <v>2018</v>
      </c>
      <c r="AA19" s="254">
        <f t="shared" si="12"/>
        <v>2191.8566836501432</v>
      </c>
      <c r="AB19" s="287">
        <f>'DAL KPI'!AB19</f>
        <v>2311.6248094497773</v>
      </c>
      <c r="AC19" s="287">
        <f>'DAL KPI'!AC19</f>
        <v>2463.1545166574697</v>
      </c>
      <c r="AD19" s="287">
        <f>'DAL KPI'!AD19</f>
        <v>2503.644384308684</v>
      </c>
    </row>
    <row r="20" spans="3:30" ht="11.25" customHeight="1">
      <c r="C20" s="253" t="s">
        <v>305</v>
      </c>
      <c r="E20" s="277">
        <v>476</v>
      </c>
      <c r="F20" s="277">
        <v>434</v>
      </c>
      <c r="G20" s="277">
        <v>424</v>
      </c>
      <c r="H20" s="277">
        <v>417</v>
      </c>
      <c r="I20" s="277">
        <v>469</v>
      </c>
      <c r="J20" s="277">
        <v>43</v>
      </c>
      <c r="K20" s="277">
        <v>106</v>
      </c>
      <c r="L20" s="277">
        <v>204</v>
      </c>
      <c r="M20" s="277">
        <v>294</v>
      </c>
      <c r="N20" s="277">
        <v>287</v>
      </c>
      <c r="O20" s="277">
        <v>433</v>
      </c>
      <c r="P20" s="277">
        <v>386</v>
      </c>
      <c r="Q20" s="277">
        <v>465</v>
      </c>
      <c r="R20" s="277">
        <v>522</v>
      </c>
      <c r="S20" s="287">
        <f>'DAL KPI'!S20</f>
        <v>490.93814749644849</v>
      </c>
      <c r="T20" s="287">
        <f>'DAL KPI'!T20</f>
        <v>453.22897483541124</v>
      </c>
      <c r="V20" s="277">
        <v>1591</v>
      </c>
      <c r="W20" s="277">
        <v>1575</v>
      </c>
      <c r="X20" s="254">
        <f t="shared" si="12"/>
        <v>1751</v>
      </c>
      <c r="Y20" s="254">
        <f t="shared" si="12"/>
        <v>822</v>
      </c>
      <c r="Z20" s="254">
        <f t="shared" si="12"/>
        <v>1400</v>
      </c>
      <c r="AA20" s="254">
        <f t="shared" si="12"/>
        <v>1931.1671223318597</v>
      </c>
      <c r="AB20" s="287">
        <f>'DAL KPI'!AB20</f>
        <v>1948.7134740376471</v>
      </c>
      <c r="AC20" s="287">
        <f>'DAL KPI'!AC20</f>
        <v>2076.4539191762747</v>
      </c>
      <c r="AD20" s="287">
        <f>'DAL KPI'!AD20</f>
        <v>2110.5871186173654</v>
      </c>
    </row>
    <row r="21" spans="3:30" ht="11.25" customHeight="1">
      <c r="C21" s="253" t="s">
        <v>1054</v>
      </c>
      <c r="E21" s="277">
        <v>288</v>
      </c>
      <c r="F21" s="277">
        <v>340</v>
      </c>
      <c r="G21" s="277">
        <v>360</v>
      </c>
      <c r="H21" s="277">
        <v>325</v>
      </c>
      <c r="I21" s="277">
        <v>273</v>
      </c>
      <c r="J21" s="277">
        <v>91</v>
      </c>
      <c r="K21" s="277">
        <v>92</v>
      </c>
      <c r="L21" s="277">
        <v>90</v>
      </c>
      <c r="M21" s="277">
        <v>118</v>
      </c>
      <c r="N21" s="277">
        <v>175</v>
      </c>
      <c r="O21" s="277">
        <v>226</v>
      </c>
      <c r="P21" s="277">
        <v>236</v>
      </c>
      <c r="Q21" s="277">
        <v>275</v>
      </c>
      <c r="R21" s="277">
        <v>369</v>
      </c>
      <c r="S21" s="287">
        <f>'DAL KPI'!S21</f>
        <v>355.08105007604763</v>
      </c>
      <c r="T21" s="287">
        <f>'DAL KPI'!T21</f>
        <v>337.87792410313739</v>
      </c>
      <c r="V21" s="277">
        <v>1123</v>
      </c>
      <c r="W21" s="277">
        <v>1178</v>
      </c>
      <c r="X21" s="254">
        <f t="shared" si="12"/>
        <v>1313</v>
      </c>
      <c r="Y21" s="254">
        <f t="shared" si="12"/>
        <v>546</v>
      </c>
      <c r="Z21" s="254">
        <f t="shared" si="12"/>
        <v>755</v>
      </c>
      <c r="AA21" s="254">
        <f t="shared" si="12"/>
        <v>1336.9589741791851</v>
      </c>
      <c r="AB21" s="287">
        <f>'DAL KPI'!AB21</f>
        <v>1428.046493311504</v>
      </c>
      <c r="AC21" s="287">
        <f>'DAL KPI'!AC21</f>
        <v>1557.0439725176748</v>
      </c>
      <c r="AD21" s="287">
        <f>'DAL KPI'!AD21</f>
        <v>1582.6389987119364</v>
      </c>
    </row>
    <row r="22" spans="3:30" ht="11.25" customHeight="1">
      <c r="C22" s="253" t="s">
        <v>294</v>
      </c>
      <c r="E22" s="277">
        <v>102</v>
      </c>
      <c r="F22" s="277">
        <v>107</v>
      </c>
      <c r="G22" s="277">
        <v>110</v>
      </c>
      <c r="H22" s="277">
        <v>105</v>
      </c>
      <c r="I22" s="277">
        <v>100</v>
      </c>
      <c r="J22" s="277">
        <v>96</v>
      </c>
      <c r="K22" s="277">
        <v>99</v>
      </c>
      <c r="L22" s="277">
        <v>104</v>
      </c>
      <c r="M22" s="277">
        <v>104</v>
      </c>
      <c r="N22" s="277">
        <v>104</v>
      </c>
      <c r="O22" s="277">
        <v>105</v>
      </c>
      <c r="P22" s="277">
        <v>118</v>
      </c>
      <c r="Q22" s="277">
        <v>122</v>
      </c>
      <c r="R22" s="277">
        <v>127</v>
      </c>
      <c r="S22" s="287">
        <f>'DAL KPI'!S22</f>
        <v>136.80054948582028</v>
      </c>
      <c r="T22" s="287">
        <f>'DAL KPI'!T22</f>
        <v>129.00793465756158</v>
      </c>
      <c r="V22" s="277">
        <v>351</v>
      </c>
      <c r="W22" s="277">
        <v>394</v>
      </c>
      <c r="X22" s="254">
        <f t="shared" si="12"/>
        <v>424</v>
      </c>
      <c r="Y22" s="254">
        <f t="shared" si="12"/>
        <v>399</v>
      </c>
      <c r="Z22" s="254">
        <f t="shared" si="12"/>
        <v>431</v>
      </c>
      <c r="AA22" s="254">
        <f t="shared" si="12"/>
        <v>514.80848414338186</v>
      </c>
      <c r="AB22" s="287">
        <f>'DAL KPI'!AB22</f>
        <v>493.32469235281485</v>
      </c>
      <c r="AC22" s="287">
        <f>'DAL KPI'!AC22</f>
        <v>525.66270234689341</v>
      </c>
      <c r="AD22" s="287">
        <f>'DAL KPI'!AD22</f>
        <v>534.30365974654853</v>
      </c>
    </row>
    <row r="23" spans="3:30" ht="11.25" customHeight="1">
      <c r="C23" s="253" t="s">
        <v>1055</v>
      </c>
      <c r="E23" s="277">
        <v>351</v>
      </c>
      <c r="F23" s="277">
        <v>316</v>
      </c>
      <c r="G23" s="277">
        <v>279</v>
      </c>
      <c r="H23" s="277">
        <v>299</v>
      </c>
      <c r="I23" s="277">
        <v>219</v>
      </c>
      <c r="J23" s="277">
        <v>401</v>
      </c>
      <c r="K23" s="277">
        <v>561</v>
      </c>
      <c r="L23" s="277">
        <v>604</v>
      </c>
      <c r="M23" s="277">
        <v>706</v>
      </c>
      <c r="N23" s="277">
        <v>939</v>
      </c>
      <c r="O23" s="277">
        <v>1079</v>
      </c>
      <c r="P23" s="277">
        <v>1233</v>
      </c>
      <c r="Q23" s="277">
        <v>1382</v>
      </c>
      <c r="R23" s="277">
        <v>1718</v>
      </c>
      <c r="S23" s="287">
        <f ca="1">'DAL KPI'!S117</f>
        <v>1608.0311804249889</v>
      </c>
      <c r="T23" s="287">
        <f ca="1">'DAL KPI'!T117</f>
        <v>1499.2298360865493</v>
      </c>
      <c r="V23" s="277">
        <v>1495</v>
      </c>
      <c r="W23" s="277">
        <v>1695</v>
      </c>
      <c r="X23" s="254">
        <f t="shared" si="12"/>
        <v>1245</v>
      </c>
      <c r="Y23" s="254">
        <f t="shared" si="12"/>
        <v>1785</v>
      </c>
      <c r="Z23" s="254">
        <f t="shared" si="12"/>
        <v>3957</v>
      </c>
      <c r="AA23" s="254">
        <f t="shared" ca="1" si="12"/>
        <v>6207.2610165115384</v>
      </c>
      <c r="AB23" s="287">
        <f>'DAL KPI'!AB117</f>
        <v>6244.6398579130328</v>
      </c>
      <c r="AC23" s="287">
        <f>'DAL KPI'!AC117</f>
        <v>6399.9414363247688</v>
      </c>
      <c r="AD23" s="287">
        <f>'DAL KPI'!AD117</f>
        <v>6514.7184304340844</v>
      </c>
    </row>
    <row r="24" spans="3:30" s="279" customFormat="1" ht="11.25" customHeight="1">
      <c r="C24" s="289" t="s">
        <v>154</v>
      </c>
      <c r="E24" s="396">
        <f t="shared" ref="E24:T24" si="13">E13-SUM(E15:E23)</f>
        <v>2774</v>
      </c>
      <c r="F24" s="396">
        <f t="shared" si="13"/>
        <v>4380</v>
      </c>
      <c r="G24" s="396">
        <f t="shared" si="13"/>
        <v>4303</v>
      </c>
      <c r="H24" s="396">
        <f t="shared" si="13"/>
        <v>3419</v>
      </c>
      <c r="I24" s="396">
        <f t="shared" si="13"/>
        <v>1071</v>
      </c>
      <c r="J24" s="396">
        <f t="shared" si="13"/>
        <v>-2791</v>
      </c>
      <c r="K24" s="396">
        <f t="shared" si="13"/>
        <v>-1461</v>
      </c>
      <c r="L24" s="396">
        <f t="shared" si="13"/>
        <v>-987</v>
      </c>
      <c r="M24" s="396">
        <f t="shared" si="13"/>
        <v>-1703</v>
      </c>
      <c r="N24" s="396">
        <f t="shared" si="13"/>
        <v>373</v>
      </c>
      <c r="O24" s="396">
        <f t="shared" si="13"/>
        <v>1582</v>
      </c>
      <c r="P24" s="396">
        <f t="shared" si="13"/>
        <v>1571</v>
      </c>
      <c r="Q24" s="396">
        <f t="shared" si="13"/>
        <v>438</v>
      </c>
      <c r="R24" s="396">
        <f t="shared" si="13"/>
        <v>3045</v>
      </c>
      <c r="S24" s="396">
        <f t="shared" ca="1" si="13"/>
        <v>3139.8677378303364</v>
      </c>
      <c r="T24" s="396">
        <f t="shared" ca="1" si="13"/>
        <v>2482.6429730398249</v>
      </c>
      <c r="U24" s="253"/>
      <c r="V24" s="396">
        <f t="shared" ref="V24:AA24" si="14">V13-SUM(V15:V23)</f>
        <v>12363</v>
      </c>
      <c r="W24" s="396">
        <f t="shared" si="14"/>
        <v>12279</v>
      </c>
      <c r="X24" s="396">
        <f t="shared" si="14"/>
        <v>14876</v>
      </c>
      <c r="Y24" s="396">
        <f t="shared" si="14"/>
        <v>-4168</v>
      </c>
      <c r="Z24" s="396">
        <f t="shared" si="14"/>
        <v>1823</v>
      </c>
      <c r="AA24" s="396">
        <f t="shared" ca="1" si="14"/>
        <v>9105.5107108701559</v>
      </c>
      <c r="AB24" s="396">
        <f>AB13-SUM(AB15:AB23)</f>
        <v>11468.138280129024</v>
      </c>
      <c r="AC24" s="396">
        <f>AC13-SUM(AC15:AC23)</f>
        <v>13376.160500779974</v>
      </c>
      <c r="AD24" s="396">
        <f>AD13-SUM(AD15:AD23)</f>
        <v>14266.783200172293</v>
      </c>
    </row>
    <row r="25" spans="3:30" ht="11.25" customHeight="1">
      <c r="E25" s="383"/>
      <c r="F25" s="383"/>
      <c r="G25" s="383"/>
      <c r="H25" s="383"/>
      <c r="I25" s="383"/>
      <c r="J25" s="383"/>
      <c r="K25" s="383"/>
      <c r="L25" s="383"/>
      <c r="M25" s="383"/>
      <c r="N25" s="383"/>
      <c r="O25" s="383"/>
      <c r="P25" s="383"/>
      <c r="Q25" s="383"/>
    </row>
    <row r="26" spans="3:30" ht="11.25" customHeight="1">
      <c r="C26" s="253" t="s">
        <v>1056</v>
      </c>
      <c r="E26" s="277">
        <v>474</v>
      </c>
      <c r="F26" s="277">
        <v>597</v>
      </c>
      <c r="G26" s="277">
        <v>597</v>
      </c>
      <c r="H26" s="277">
        <v>542</v>
      </c>
      <c r="I26" s="277">
        <v>398</v>
      </c>
      <c r="J26" s="277">
        <v>50</v>
      </c>
      <c r="K26" s="277">
        <v>100</v>
      </c>
      <c r="L26" s="277">
        <v>84</v>
      </c>
      <c r="M26" s="277">
        <v>110</v>
      </c>
      <c r="N26" s="277">
        <v>222</v>
      </c>
      <c r="O26" s="277">
        <v>308</v>
      </c>
      <c r="P26" s="277">
        <v>313</v>
      </c>
      <c r="Q26" s="277">
        <v>312</v>
      </c>
      <c r="R26" s="277">
        <v>526</v>
      </c>
      <c r="S26" s="287">
        <f>'DAL KPI'!S26</f>
        <v>537.63902473471126</v>
      </c>
      <c r="T26" s="287">
        <f>'DAL KPI'!T26</f>
        <v>409.80102906607107</v>
      </c>
      <c r="V26" s="277">
        <v>1501</v>
      </c>
      <c r="W26" s="277">
        <v>1662</v>
      </c>
      <c r="X26" s="254">
        <f t="shared" ref="X26:AA31" si="15">SUMIF($E$5:$T$5,X$5,$E26:$T26)</f>
        <v>2210</v>
      </c>
      <c r="Y26" s="254">
        <f t="shared" si="15"/>
        <v>632</v>
      </c>
      <c r="Z26" s="254">
        <f t="shared" si="15"/>
        <v>953</v>
      </c>
      <c r="AA26" s="254">
        <f t="shared" si="15"/>
        <v>1785.4400538007824</v>
      </c>
      <c r="AB26" s="287">
        <f>'DAL KPI'!AB26</f>
        <v>1788.7572930266133</v>
      </c>
      <c r="AC26" s="287">
        <f>'DAL KPI'!AC26</f>
        <v>1906.0124236039942</v>
      </c>
      <c r="AD26" s="287">
        <f>'DAL KPI'!AD26</f>
        <v>1937.343868810291</v>
      </c>
    </row>
    <row r="27" spans="3:30" ht="11.25" customHeight="1">
      <c r="C27" s="253" t="s">
        <v>321</v>
      </c>
      <c r="E27" s="277">
        <v>445</v>
      </c>
      <c r="F27" s="277">
        <v>424</v>
      </c>
      <c r="G27" s="277">
        <v>487</v>
      </c>
      <c r="H27" s="277">
        <v>469</v>
      </c>
      <c r="I27" s="277">
        <v>533</v>
      </c>
      <c r="J27" s="277">
        <v>209</v>
      </c>
      <c r="K27" s="277">
        <v>250</v>
      </c>
      <c r="L27" s="277">
        <v>218</v>
      </c>
      <c r="M27" s="277">
        <v>322</v>
      </c>
      <c r="N27" s="277">
        <v>330</v>
      </c>
      <c r="O27" s="277">
        <v>357</v>
      </c>
      <c r="P27" s="277">
        <v>399</v>
      </c>
      <c r="Q27" s="277">
        <v>408</v>
      </c>
      <c r="R27" s="277">
        <v>437</v>
      </c>
      <c r="S27" s="287">
        <f>'DAL KPI'!S27</f>
        <v>467.81499505671366</v>
      </c>
      <c r="T27" s="287">
        <f>'DAL KPI'!T27</f>
        <v>483.1512547713703</v>
      </c>
      <c r="V27" s="277">
        <v>1609</v>
      </c>
      <c r="W27" s="277">
        <v>1723</v>
      </c>
      <c r="X27" s="254">
        <f t="shared" si="15"/>
        <v>1825</v>
      </c>
      <c r="Y27" s="254">
        <f t="shared" si="15"/>
        <v>1210</v>
      </c>
      <c r="Z27" s="254">
        <f t="shared" si="15"/>
        <v>1408</v>
      </c>
      <c r="AA27" s="254">
        <f t="shared" si="15"/>
        <v>1795.9662498280838</v>
      </c>
      <c r="AB27" s="287">
        <f>'DAL KPI'!AB27</f>
        <v>1846.4265043968155</v>
      </c>
      <c r="AC27" s="287">
        <f>'DAL KPI'!AC27</f>
        <v>1967.4619191613629</v>
      </c>
      <c r="AD27" s="287">
        <f>'DAL KPI'!AD27</f>
        <v>1999.8034844902609</v>
      </c>
    </row>
    <row r="28" spans="3:30" ht="11.25" customHeight="1">
      <c r="C28" s="253" t="s">
        <v>291</v>
      </c>
      <c r="E28" s="277">
        <v>615</v>
      </c>
      <c r="F28" s="277">
        <v>713</v>
      </c>
      <c r="G28" s="277">
        <v>631</v>
      </c>
      <c r="H28" s="277">
        <v>622</v>
      </c>
      <c r="I28" s="277">
        <v>550</v>
      </c>
      <c r="J28" s="277">
        <v>591</v>
      </c>
      <c r="K28" s="277">
        <v>545</v>
      </c>
      <c r="L28" s="277">
        <v>499</v>
      </c>
      <c r="M28" s="277">
        <v>493</v>
      </c>
      <c r="N28" s="277">
        <v>501</v>
      </c>
      <c r="O28" s="277">
        <v>501</v>
      </c>
      <c r="P28" s="277">
        <v>504</v>
      </c>
      <c r="Q28" s="277">
        <v>506</v>
      </c>
      <c r="R28" s="277">
        <v>510</v>
      </c>
      <c r="S28" s="254">
        <f>S178+S194</f>
        <v>465.52515091305736</v>
      </c>
      <c r="T28" s="254">
        <f>T178+T194</f>
        <v>481.36623221371792</v>
      </c>
      <c r="V28" s="277">
        <v>2222</v>
      </c>
      <c r="W28" s="277">
        <v>2329</v>
      </c>
      <c r="X28" s="254">
        <f t="shared" si="15"/>
        <v>2581</v>
      </c>
      <c r="Y28" s="254">
        <f t="shared" si="15"/>
        <v>2185</v>
      </c>
      <c r="Z28" s="254">
        <f t="shared" si="15"/>
        <v>1999</v>
      </c>
      <c r="AA28" s="254">
        <f t="shared" si="15"/>
        <v>1962.8913831267753</v>
      </c>
      <c r="AB28" s="254">
        <f>AB178+AB194</f>
        <v>2437.0735580038645</v>
      </c>
      <c r="AC28" s="254">
        <f>AC178+AC194</f>
        <v>2112.6016702019556</v>
      </c>
      <c r="AD28" s="254">
        <f>AD178+AD194</f>
        <v>2304.2935870033311</v>
      </c>
    </row>
    <row r="29" spans="3:30" ht="11.25" customHeight="1">
      <c r="C29" s="253" t="s">
        <v>525</v>
      </c>
      <c r="E29" s="277">
        <v>220</v>
      </c>
      <c r="F29" s="277">
        <v>518</v>
      </c>
      <c r="G29" s="277">
        <v>517</v>
      </c>
      <c r="H29" s="277">
        <v>387</v>
      </c>
      <c r="I29" s="277">
        <v>0</v>
      </c>
      <c r="J29" s="277">
        <v>0</v>
      </c>
      <c r="K29" s="277">
        <v>0</v>
      </c>
      <c r="L29" s="277">
        <v>0</v>
      </c>
      <c r="M29" s="277">
        <v>0</v>
      </c>
      <c r="N29" s="277">
        <v>0</v>
      </c>
      <c r="O29" s="277">
        <v>0</v>
      </c>
      <c r="P29" s="277">
        <v>108</v>
      </c>
      <c r="Q29" s="277">
        <v>0</v>
      </c>
      <c r="R29" s="277">
        <v>54</v>
      </c>
      <c r="S29" s="287">
        <f ca="1">'DAL KPI'!S33</f>
        <v>270.1298687128579</v>
      </c>
      <c r="T29" s="287">
        <f ca="1">'DAL KPI'!T33</f>
        <v>179.49139732819233</v>
      </c>
      <c r="V29" s="277">
        <v>1065</v>
      </c>
      <c r="W29" s="277">
        <v>1301</v>
      </c>
      <c r="X29" s="254">
        <f t="shared" si="15"/>
        <v>1642</v>
      </c>
      <c r="Y29" s="254">
        <f t="shared" si="15"/>
        <v>0</v>
      </c>
      <c r="Z29" s="254">
        <f t="shared" si="15"/>
        <v>108</v>
      </c>
      <c r="AA29" s="254">
        <f t="shared" ca="1" si="15"/>
        <v>503.62126604105026</v>
      </c>
      <c r="AB29" s="287">
        <f ca="1">'DAL KPI'!AB33</f>
        <v>14.726113828725648</v>
      </c>
      <c r="AC29" s="287">
        <f ca="1">'DAL KPI'!AC33</f>
        <v>175.44193529930709</v>
      </c>
      <c r="AD29" s="287">
        <f ca="1">'DAL KPI'!AD33</f>
        <v>220.76800696221255</v>
      </c>
    </row>
    <row r="30" spans="3:30" ht="11.25" customHeight="1">
      <c r="C30" s="253" t="s">
        <v>1057</v>
      </c>
      <c r="E30" s="277">
        <v>0</v>
      </c>
      <c r="F30" s="277">
        <v>0</v>
      </c>
      <c r="G30" s="277">
        <v>0</v>
      </c>
      <c r="H30" s="277">
        <v>0</v>
      </c>
      <c r="I30" s="277">
        <v>0</v>
      </c>
      <c r="J30" s="277">
        <v>2454</v>
      </c>
      <c r="K30" s="277">
        <v>5345</v>
      </c>
      <c r="L30" s="277">
        <v>421</v>
      </c>
      <c r="M30" s="277">
        <v>-44</v>
      </c>
      <c r="N30" s="277">
        <v>8</v>
      </c>
      <c r="O30" s="277">
        <v>33</v>
      </c>
      <c r="P30" s="277">
        <v>-16</v>
      </c>
      <c r="Q30" s="277">
        <v>-5</v>
      </c>
      <c r="R30" s="277">
        <v>-1</v>
      </c>
      <c r="S30" s="277">
        <v>0</v>
      </c>
      <c r="T30" s="277">
        <v>0</v>
      </c>
      <c r="V30" s="277">
        <v>0</v>
      </c>
      <c r="W30" s="277">
        <v>0</v>
      </c>
      <c r="X30" s="254">
        <f t="shared" si="15"/>
        <v>0</v>
      </c>
      <c r="Y30" s="254">
        <f t="shared" si="15"/>
        <v>8220</v>
      </c>
      <c r="Z30" s="254">
        <f t="shared" si="15"/>
        <v>-19</v>
      </c>
      <c r="AA30" s="254">
        <f t="shared" si="15"/>
        <v>-6</v>
      </c>
      <c r="AB30" s="277">
        <v>0</v>
      </c>
      <c r="AC30" s="277">
        <v>0</v>
      </c>
      <c r="AD30" s="277">
        <v>0</v>
      </c>
    </row>
    <row r="31" spans="3:30" ht="11.25" customHeight="1">
      <c r="C31" s="253" t="s">
        <v>1058</v>
      </c>
      <c r="E31" s="277">
        <v>0</v>
      </c>
      <c r="F31" s="277">
        <v>0</v>
      </c>
      <c r="G31" s="277">
        <v>0</v>
      </c>
      <c r="H31" s="277">
        <v>0</v>
      </c>
      <c r="I31" s="277">
        <v>0</v>
      </c>
      <c r="J31" s="277">
        <v>-1280</v>
      </c>
      <c r="K31" s="277">
        <v>-1315</v>
      </c>
      <c r="L31" s="277">
        <v>-1351</v>
      </c>
      <c r="M31" s="277">
        <v>-1186</v>
      </c>
      <c r="N31" s="277">
        <v>-1504</v>
      </c>
      <c r="O31" s="277">
        <v>-1822</v>
      </c>
      <c r="P31" s="277">
        <v>0</v>
      </c>
      <c r="Q31" s="277">
        <v>0</v>
      </c>
      <c r="R31" s="277">
        <v>0</v>
      </c>
      <c r="S31" s="277">
        <f>R31</f>
        <v>0</v>
      </c>
      <c r="T31" s="277">
        <f>S31</f>
        <v>0</v>
      </c>
      <c r="V31" s="277">
        <v>0</v>
      </c>
      <c r="W31" s="277">
        <v>0</v>
      </c>
      <c r="X31" s="254">
        <f t="shared" si="15"/>
        <v>0</v>
      </c>
      <c r="Y31" s="254">
        <f t="shared" si="15"/>
        <v>-3946</v>
      </c>
      <c r="Z31" s="254">
        <f t="shared" si="15"/>
        <v>-4512</v>
      </c>
      <c r="AA31" s="254">
        <f t="shared" si="15"/>
        <v>0</v>
      </c>
      <c r="AB31" s="277">
        <f>AA31</f>
        <v>0</v>
      </c>
      <c r="AC31" s="277">
        <f>AB31</f>
        <v>0</v>
      </c>
      <c r="AD31" s="277">
        <f>AC31</f>
        <v>0</v>
      </c>
    </row>
    <row r="32" spans="3:30" s="289" customFormat="1" ht="11.25" customHeight="1">
      <c r="C32" s="289" t="s">
        <v>1059</v>
      </c>
      <c r="E32" s="358">
        <f t="shared" ref="E32:T32" si="16">E24-SUM(E26:E31)</f>
        <v>1020</v>
      </c>
      <c r="F32" s="358">
        <f t="shared" si="16"/>
        <v>2128</v>
      </c>
      <c r="G32" s="358">
        <f t="shared" si="16"/>
        <v>2071</v>
      </c>
      <c r="H32" s="358">
        <f t="shared" si="16"/>
        <v>1399</v>
      </c>
      <c r="I32" s="358">
        <f t="shared" si="16"/>
        <v>-410</v>
      </c>
      <c r="J32" s="358">
        <f t="shared" si="16"/>
        <v>-4815</v>
      </c>
      <c r="K32" s="358">
        <f t="shared" si="16"/>
        <v>-6386</v>
      </c>
      <c r="L32" s="358">
        <f t="shared" si="16"/>
        <v>-858</v>
      </c>
      <c r="M32" s="358">
        <f t="shared" si="16"/>
        <v>-1398</v>
      </c>
      <c r="N32" s="358">
        <f t="shared" si="16"/>
        <v>816</v>
      </c>
      <c r="O32" s="358">
        <f t="shared" si="16"/>
        <v>2205</v>
      </c>
      <c r="P32" s="358">
        <f t="shared" si="16"/>
        <v>263</v>
      </c>
      <c r="Q32" s="358">
        <f t="shared" si="16"/>
        <v>-783</v>
      </c>
      <c r="R32" s="358">
        <f t="shared" si="16"/>
        <v>1519</v>
      </c>
      <c r="S32" s="358">
        <f t="shared" ca="1" si="16"/>
        <v>1398.7586984129962</v>
      </c>
      <c r="T32" s="358">
        <f t="shared" ca="1" si="16"/>
        <v>928.83305966047328</v>
      </c>
      <c r="V32" s="358">
        <f t="shared" ref="V32:AA32" si="17">V24-SUM(V26:V31)</f>
        <v>5966</v>
      </c>
      <c r="W32" s="358">
        <f t="shared" si="17"/>
        <v>5264</v>
      </c>
      <c r="X32" s="358">
        <f t="shared" si="17"/>
        <v>6618</v>
      </c>
      <c r="Y32" s="358">
        <f t="shared" si="17"/>
        <v>-12469</v>
      </c>
      <c r="Z32" s="358">
        <f t="shared" si="17"/>
        <v>1886</v>
      </c>
      <c r="AA32" s="358">
        <f t="shared" ca="1" si="17"/>
        <v>3063.591758073464</v>
      </c>
      <c r="AB32" s="358">
        <f ca="1">AB24-SUM(AB26:AB31)</f>
        <v>5381.1548108730049</v>
      </c>
      <c r="AC32" s="358">
        <f ca="1">AC24-SUM(AC26:AC31)</f>
        <v>7214.6425525133536</v>
      </c>
      <c r="AD32" s="358">
        <f ca="1">AD24-SUM(AD26:AD31)</f>
        <v>7804.5742529061972</v>
      </c>
    </row>
    <row r="33" spans="2:30" s="678" customFormat="1" ht="11.25" customHeight="1">
      <c r="B33" s="400"/>
      <c r="E33" s="679"/>
      <c r="F33" s="679"/>
      <c r="G33" s="679"/>
      <c r="H33" s="679"/>
      <c r="I33" s="679"/>
      <c r="J33" s="679"/>
      <c r="K33" s="679"/>
      <c r="L33" s="679"/>
      <c r="M33" s="679"/>
      <c r="N33" s="679"/>
      <c r="O33" s="679"/>
      <c r="P33" s="679"/>
      <c r="Q33" s="679"/>
      <c r="R33" s="679"/>
      <c r="S33" s="679"/>
      <c r="T33" s="679"/>
      <c r="V33" s="679"/>
      <c r="W33" s="679"/>
      <c r="X33" s="679"/>
      <c r="Y33" s="679"/>
      <c r="Z33" s="679"/>
      <c r="AA33" s="679"/>
      <c r="AB33" s="679"/>
      <c r="AC33" s="679"/>
      <c r="AD33" s="679"/>
    </row>
    <row r="34" spans="2:30" ht="11.25" customHeight="1">
      <c r="B34" s="289"/>
      <c r="C34" s="253" t="s">
        <v>872</v>
      </c>
      <c r="E34" s="277">
        <v>83</v>
      </c>
      <c r="F34" s="277">
        <v>75</v>
      </c>
      <c r="G34" s="277">
        <v>70</v>
      </c>
      <c r="H34" s="277">
        <v>72</v>
      </c>
      <c r="I34" s="277">
        <v>79</v>
      </c>
      <c r="J34" s="277">
        <v>194</v>
      </c>
      <c r="K34" s="277">
        <v>291</v>
      </c>
      <c r="L34" s="277">
        <v>365</v>
      </c>
      <c r="M34" s="277">
        <v>361</v>
      </c>
      <c r="N34" s="277">
        <v>338</v>
      </c>
      <c r="O34" s="277">
        <v>314</v>
      </c>
      <c r="P34" s="277">
        <v>265</v>
      </c>
      <c r="Q34" s="277">
        <v>274</v>
      </c>
      <c r="R34" s="277">
        <v>269</v>
      </c>
      <c r="S34" s="287">
        <f ca="1">'DAL KPI'!S36</f>
        <v>740.97434365696154</v>
      </c>
      <c r="T34" s="287">
        <f ca="1">'DAL KPI'!T36</f>
        <v>1249.9923607280716</v>
      </c>
      <c r="V34" s="277">
        <v>396</v>
      </c>
      <c r="W34" s="277">
        <v>311</v>
      </c>
      <c r="X34" s="254">
        <f t="shared" ref="X34:AA39" si="18">SUMIF($E$5:$T$5,X$5,$E34:$T34)</f>
        <v>300</v>
      </c>
      <c r="Y34" s="254">
        <f t="shared" si="18"/>
        <v>929</v>
      </c>
      <c r="Z34" s="254">
        <f t="shared" si="18"/>
        <v>1278</v>
      </c>
      <c r="AA34" s="254">
        <f t="shared" ca="1" si="18"/>
        <v>2533.9667043850332</v>
      </c>
      <c r="AB34" s="287">
        <f ca="1">'DAL KPI'!AB36</f>
        <v>5233.8936725854655</v>
      </c>
      <c r="AC34" s="287">
        <f ca="1">'DAL KPI'!AC36</f>
        <v>5460.223199514041</v>
      </c>
      <c r="AD34" s="287">
        <f ca="1">'DAL KPI'!AD36</f>
        <v>5596.8941832165592</v>
      </c>
    </row>
    <row r="35" spans="2:30" ht="11.25" customHeight="1">
      <c r="B35" s="289"/>
      <c r="C35" s="253" t="s">
        <v>1060</v>
      </c>
      <c r="E35" s="277">
        <v>0</v>
      </c>
      <c r="F35" s="277">
        <v>0</v>
      </c>
      <c r="G35" s="277">
        <v>0</v>
      </c>
      <c r="H35" s="277">
        <v>0</v>
      </c>
      <c r="I35" s="277">
        <v>-11</v>
      </c>
      <c r="J35" s="277">
        <v>1</v>
      </c>
      <c r="K35" s="277">
        <v>-4</v>
      </c>
      <c r="L35" s="277">
        <v>0</v>
      </c>
      <c r="M35" s="277">
        <v>0</v>
      </c>
      <c r="N35" s="277">
        <v>0</v>
      </c>
      <c r="O35" s="277">
        <v>0</v>
      </c>
      <c r="P35" s="277">
        <v>0</v>
      </c>
      <c r="Q35" s="277">
        <v>0</v>
      </c>
      <c r="R35" s="277">
        <v>0</v>
      </c>
      <c r="S35" s="287">
        <f>+'DAL KPI'!S37</f>
        <v>0</v>
      </c>
      <c r="T35" s="287">
        <f>+'DAL KPI'!T37</f>
        <v>0</v>
      </c>
      <c r="V35" s="277"/>
      <c r="W35" s="277"/>
      <c r="X35" s="254">
        <f t="shared" si="18"/>
        <v>0</v>
      </c>
      <c r="Y35" s="254">
        <f t="shared" si="18"/>
        <v>-14</v>
      </c>
      <c r="Z35" s="254">
        <f t="shared" si="18"/>
        <v>0</v>
      </c>
      <c r="AA35" s="254">
        <f t="shared" si="18"/>
        <v>0</v>
      </c>
      <c r="AB35" s="287">
        <f>+'DAL KPI'!AB37</f>
        <v>0</v>
      </c>
      <c r="AC35" s="287">
        <f>+'DAL KPI'!AC37</f>
        <v>0</v>
      </c>
      <c r="AD35" s="287">
        <f>+'DAL KPI'!AD37</f>
        <v>0</v>
      </c>
    </row>
    <row r="36" spans="2:30" ht="11.25" customHeight="1">
      <c r="B36" s="289"/>
      <c r="C36" s="253" t="s">
        <v>301</v>
      </c>
      <c r="E36" s="277">
        <v>91</v>
      </c>
      <c r="F36" s="277">
        <v>64</v>
      </c>
      <c r="G36" s="277">
        <v>19</v>
      </c>
      <c r="H36" s="284">
        <v>-66</v>
      </c>
      <c r="I36" s="277">
        <v>6</v>
      </c>
      <c r="J36" s="277">
        <v>-45</v>
      </c>
      <c r="K36" s="277">
        <v>-27</v>
      </c>
      <c r="L36" s="277">
        <v>-21</v>
      </c>
      <c r="M36" s="277">
        <f>-36-M39</f>
        <v>-92</v>
      </c>
      <c r="N36" s="277">
        <f>-87-N39</f>
        <v>-113</v>
      </c>
      <c r="O36" s="277">
        <v>-96</v>
      </c>
      <c r="P36" s="277">
        <v>-90</v>
      </c>
      <c r="Q36" s="277">
        <f>-73+44</f>
        <v>-29</v>
      </c>
      <c r="R36" s="277">
        <f>16-73+12</f>
        <v>-45</v>
      </c>
      <c r="S36" s="254">
        <f>S66</f>
        <v>0</v>
      </c>
      <c r="T36" s="254">
        <f>T66</f>
        <v>0</v>
      </c>
      <c r="V36" s="277">
        <v>70</v>
      </c>
      <c r="W36" s="277">
        <v>-160</v>
      </c>
      <c r="X36" s="254">
        <f t="shared" si="18"/>
        <v>108</v>
      </c>
      <c r="Y36" s="254">
        <f t="shared" si="18"/>
        <v>-87</v>
      </c>
      <c r="Z36" s="254">
        <f t="shared" si="18"/>
        <v>-391</v>
      </c>
      <c r="AA36" s="254">
        <f t="shared" si="18"/>
        <v>-74</v>
      </c>
      <c r="AB36" s="254">
        <f>AB66</f>
        <v>0</v>
      </c>
      <c r="AC36" s="254">
        <f>AC66</f>
        <v>0</v>
      </c>
      <c r="AD36" s="254">
        <f>AD66</f>
        <v>0</v>
      </c>
    </row>
    <row r="37" spans="2:30" ht="11.25" customHeight="1">
      <c r="B37" s="289"/>
      <c r="C37" s="253" t="s">
        <v>1061</v>
      </c>
      <c r="E37" s="277">
        <v>0</v>
      </c>
      <c r="F37" s="277">
        <v>0</v>
      </c>
      <c r="G37" s="277">
        <v>0</v>
      </c>
      <c r="H37" s="277">
        <v>0</v>
      </c>
      <c r="I37" s="277">
        <v>0</v>
      </c>
      <c r="J37" s="277">
        <v>2058</v>
      </c>
      <c r="K37" s="277">
        <v>114</v>
      </c>
      <c r="L37" s="277">
        <v>0</v>
      </c>
      <c r="M37" s="277">
        <v>54</v>
      </c>
      <c r="N37" s="277">
        <v>0</v>
      </c>
      <c r="O37" s="277">
        <v>49</v>
      </c>
      <c r="P37" s="423">
        <v>232</v>
      </c>
      <c r="Q37" s="423">
        <v>0</v>
      </c>
      <c r="R37" s="423">
        <v>0</v>
      </c>
      <c r="S37" s="423">
        <v>0</v>
      </c>
      <c r="T37" s="423">
        <v>0</v>
      </c>
      <c r="V37" s="277">
        <v>0</v>
      </c>
      <c r="W37" s="277">
        <v>0</v>
      </c>
      <c r="X37" s="254">
        <f t="shared" si="18"/>
        <v>0</v>
      </c>
      <c r="Y37" s="254">
        <f t="shared" si="18"/>
        <v>2172</v>
      </c>
      <c r="Z37" s="254">
        <f t="shared" si="18"/>
        <v>335</v>
      </c>
      <c r="AA37" s="254">
        <f t="shared" si="18"/>
        <v>0</v>
      </c>
      <c r="AB37" s="423">
        <v>0</v>
      </c>
      <c r="AC37" s="423">
        <v>0</v>
      </c>
      <c r="AD37" s="423">
        <v>0</v>
      </c>
    </row>
    <row r="38" spans="2:30" ht="11.25" customHeight="1">
      <c r="B38" s="289"/>
      <c r="C38" s="253" t="s">
        <v>1060</v>
      </c>
      <c r="E38" s="277">
        <v>-100</v>
      </c>
      <c r="F38" s="277">
        <v>82</v>
      </c>
      <c r="G38" s="277">
        <v>35</v>
      </c>
      <c r="H38" s="284">
        <v>-4</v>
      </c>
      <c r="I38" s="277">
        <f>112-I35</f>
        <v>123</v>
      </c>
      <c r="J38" s="277">
        <f>-8-J35</f>
        <v>-9</v>
      </c>
      <c r="K38" s="277">
        <f>95-K35</f>
        <v>99</v>
      </c>
      <c r="L38" s="277">
        <v>-94</v>
      </c>
      <c r="M38" s="277">
        <v>-262</v>
      </c>
      <c r="N38" s="277">
        <v>-211</v>
      </c>
      <c r="O38" s="277">
        <v>223</v>
      </c>
      <c r="P38" s="277">
        <v>197</v>
      </c>
      <c r="Q38" s="277">
        <v>147</v>
      </c>
      <c r="R38" s="277">
        <v>221</v>
      </c>
      <c r="S38" s="277">
        <v>0</v>
      </c>
      <c r="T38" s="277">
        <v>0</v>
      </c>
      <c r="V38" s="277">
        <v>0</v>
      </c>
      <c r="W38" s="277">
        <v>-38</v>
      </c>
      <c r="X38" s="254">
        <f t="shared" si="18"/>
        <v>13</v>
      </c>
      <c r="Y38" s="254">
        <f t="shared" si="18"/>
        <v>119</v>
      </c>
      <c r="Z38" s="254">
        <f t="shared" si="18"/>
        <v>-53</v>
      </c>
      <c r="AA38" s="254">
        <f t="shared" si="18"/>
        <v>368</v>
      </c>
      <c r="AB38" s="277">
        <v>0</v>
      </c>
      <c r="AC38" s="277">
        <v>0</v>
      </c>
      <c r="AD38" s="277">
        <v>0</v>
      </c>
    </row>
    <row r="39" spans="2:30" ht="11.25" customHeight="1">
      <c r="B39" s="289"/>
      <c r="C39" s="253" t="s">
        <v>1062</v>
      </c>
      <c r="E39" s="277">
        <v>0</v>
      </c>
      <c r="F39" s="277">
        <v>0</v>
      </c>
      <c r="G39" s="277">
        <v>0</v>
      </c>
      <c r="H39" s="277">
        <v>0</v>
      </c>
      <c r="I39" s="277">
        <v>0</v>
      </c>
      <c r="J39" s="277">
        <v>0</v>
      </c>
      <c r="K39" s="277">
        <v>0</v>
      </c>
      <c r="L39" s="277">
        <v>0</v>
      </c>
      <c r="M39" s="277">
        <v>56</v>
      </c>
      <c r="N39" s="277">
        <v>26</v>
      </c>
      <c r="O39" s="277">
        <v>183</v>
      </c>
      <c r="P39" s="277">
        <v>54</v>
      </c>
      <c r="Q39" s="277">
        <v>25</v>
      </c>
      <c r="R39" s="277">
        <v>41</v>
      </c>
      <c r="S39" s="277">
        <v>0</v>
      </c>
      <c r="T39" s="277">
        <v>0</v>
      </c>
      <c r="V39" s="277">
        <v>0</v>
      </c>
      <c r="W39" s="277">
        <v>0</v>
      </c>
      <c r="X39" s="254">
        <f t="shared" si="18"/>
        <v>0</v>
      </c>
      <c r="Y39" s="254">
        <f t="shared" si="18"/>
        <v>0</v>
      </c>
      <c r="Z39" s="254">
        <f t="shared" si="18"/>
        <v>319</v>
      </c>
      <c r="AA39" s="254">
        <f t="shared" si="18"/>
        <v>66</v>
      </c>
      <c r="AB39" s="277">
        <v>0</v>
      </c>
      <c r="AC39" s="277">
        <v>0</v>
      </c>
      <c r="AD39" s="277">
        <v>0</v>
      </c>
    </row>
    <row r="40" spans="2:30" s="279" customFormat="1" ht="11.25" customHeight="1">
      <c r="B40" s="289"/>
      <c r="C40" s="289" t="s">
        <v>1063</v>
      </c>
      <c r="E40" s="358">
        <f t="shared" ref="E40:T40" si="19">E32-SUM(E34:E39)</f>
        <v>946</v>
      </c>
      <c r="F40" s="358">
        <f t="shared" si="19"/>
        <v>1907</v>
      </c>
      <c r="G40" s="358">
        <f t="shared" si="19"/>
        <v>1947</v>
      </c>
      <c r="H40" s="358">
        <f t="shared" si="19"/>
        <v>1397</v>
      </c>
      <c r="I40" s="358">
        <f t="shared" si="19"/>
        <v>-607</v>
      </c>
      <c r="J40" s="358">
        <f t="shared" si="19"/>
        <v>-7014</v>
      </c>
      <c r="K40" s="358">
        <f t="shared" si="19"/>
        <v>-6859</v>
      </c>
      <c r="L40" s="358">
        <f t="shared" si="19"/>
        <v>-1108</v>
      </c>
      <c r="M40" s="358">
        <f t="shared" si="19"/>
        <v>-1515</v>
      </c>
      <c r="N40" s="358">
        <f t="shared" si="19"/>
        <v>776</v>
      </c>
      <c r="O40" s="358">
        <f t="shared" si="19"/>
        <v>1532</v>
      </c>
      <c r="P40" s="358">
        <f t="shared" si="19"/>
        <v>-395</v>
      </c>
      <c r="Q40" s="358">
        <f t="shared" si="19"/>
        <v>-1200</v>
      </c>
      <c r="R40" s="358">
        <f t="shared" si="19"/>
        <v>1033</v>
      </c>
      <c r="S40" s="358">
        <f t="shared" ca="1" si="19"/>
        <v>657.78435475603465</v>
      </c>
      <c r="T40" s="358">
        <f t="shared" ca="1" si="19"/>
        <v>-321.15930106759834</v>
      </c>
      <c r="V40" s="358">
        <f t="shared" ref="V40:AA40" si="20">V32-SUM(V34:V39)</f>
        <v>5500</v>
      </c>
      <c r="W40" s="358">
        <f t="shared" si="20"/>
        <v>5151</v>
      </c>
      <c r="X40" s="358">
        <f t="shared" si="20"/>
        <v>6197</v>
      </c>
      <c r="Y40" s="358">
        <f t="shared" si="20"/>
        <v>-15588</v>
      </c>
      <c r="Z40" s="358">
        <f t="shared" si="20"/>
        <v>398</v>
      </c>
      <c r="AA40" s="358">
        <f t="shared" ca="1" si="20"/>
        <v>169.62505368843085</v>
      </c>
      <c r="AB40" s="358">
        <f ca="1">AB32-SUM(AB34:AB39)</f>
        <v>147.26113828753932</v>
      </c>
      <c r="AC40" s="358">
        <f ca="1">AC32-SUM(AC34:AC39)</f>
        <v>1754.4193529993127</v>
      </c>
      <c r="AD40" s="358">
        <f ca="1">AD32-SUM(AD34:AD39)</f>
        <v>2207.680069689638</v>
      </c>
    </row>
    <row r="41" spans="2:30" s="279" customFormat="1" ht="11.25" customHeight="1">
      <c r="B41" s="289"/>
      <c r="C41" s="289"/>
      <c r="E41" s="283"/>
      <c r="F41" s="283"/>
      <c r="G41" s="283"/>
      <c r="H41" s="283"/>
      <c r="I41" s="283"/>
      <c r="J41" s="283"/>
      <c r="K41" s="283"/>
      <c r="L41" s="283"/>
      <c r="M41" s="283"/>
      <c r="N41" s="283"/>
      <c r="O41" s="283"/>
      <c r="P41" s="283"/>
      <c r="Q41" s="283"/>
      <c r="R41" s="283"/>
      <c r="S41" s="283"/>
      <c r="T41" s="283"/>
      <c r="V41" s="283"/>
      <c r="W41" s="283"/>
      <c r="X41" s="283"/>
      <c r="Y41" s="283"/>
      <c r="Z41" s="283"/>
      <c r="AA41" s="283"/>
      <c r="AB41" s="283"/>
      <c r="AC41" s="283"/>
      <c r="AD41" s="283"/>
    </row>
    <row r="42" spans="2:30" ht="11.25" customHeight="1">
      <c r="B42" s="289"/>
      <c r="C42" s="253" t="s">
        <v>1064</v>
      </c>
      <c r="E42" s="277">
        <v>216</v>
      </c>
      <c r="F42" s="277">
        <v>464</v>
      </c>
      <c r="G42" s="277">
        <v>452</v>
      </c>
      <c r="H42" s="277">
        <v>298</v>
      </c>
      <c r="I42" s="277">
        <v>-73</v>
      </c>
      <c r="J42" s="277">
        <v>-1297</v>
      </c>
      <c r="K42" s="277">
        <v>-1480</v>
      </c>
      <c r="L42" s="277">
        <v>-353</v>
      </c>
      <c r="M42" s="277">
        <v>-338</v>
      </c>
      <c r="N42" s="277">
        <v>124</v>
      </c>
      <c r="O42" s="277">
        <v>320</v>
      </c>
      <c r="P42" s="277">
        <v>13</v>
      </c>
      <c r="Q42" s="277">
        <v>-260</v>
      </c>
      <c r="R42" s="277">
        <v>298</v>
      </c>
      <c r="S42" s="254">
        <f ca="1">S84</f>
        <v>0</v>
      </c>
      <c r="T42" s="254">
        <f ca="1">T84</f>
        <v>0</v>
      </c>
      <c r="V42" s="277">
        <v>2295</v>
      </c>
      <c r="W42" s="277">
        <v>1216</v>
      </c>
      <c r="X42" s="254">
        <f>SUMIF($E$5:$T$5,X$5,$E42:$T42)</f>
        <v>1430</v>
      </c>
      <c r="Y42" s="254">
        <f>SUMIF($E$5:$T$5,Y$5,$E42:$T42)</f>
        <v>-3203</v>
      </c>
      <c r="Z42" s="254">
        <f>SUMIF($E$5:$T$5,Z$5,$E42:$T42)</f>
        <v>119</v>
      </c>
      <c r="AA42" s="254">
        <f ca="1">SUMIF($E$5:$T$5,AA$5,$E42:$T42)</f>
        <v>38</v>
      </c>
      <c r="AB42" s="254">
        <f ca="1">AB84</f>
        <v>0</v>
      </c>
      <c r="AC42" s="254">
        <f ca="1">AC84</f>
        <v>0</v>
      </c>
      <c r="AD42" s="254">
        <f ca="1">AD84</f>
        <v>0</v>
      </c>
    </row>
    <row r="43" spans="2:30" s="279" customFormat="1" ht="11.25" customHeight="1">
      <c r="B43" s="289"/>
      <c r="C43" s="289" t="s">
        <v>957</v>
      </c>
      <c r="E43" s="358">
        <f t="shared" ref="E43:T43" si="21">E40-E42</f>
        <v>730</v>
      </c>
      <c r="F43" s="358">
        <f t="shared" si="21"/>
        <v>1443</v>
      </c>
      <c r="G43" s="358">
        <f t="shared" si="21"/>
        <v>1495</v>
      </c>
      <c r="H43" s="358">
        <f t="shared" si="21"/>
        <v>1099</v>
      </c>
      <c r="I43" s="358">
        <f t="shared" si="21"/>
        <v>-534</v>
      </c>
      <c r="J43" s="358">
        <f t="shared" si="21"/>
        <v>-5717</v>
      </c>
      <c r="K43" s="358">
        <f t="shared" si="21"/>
        <v>-5379</v>
      </c>
      <c r="L43" s="358">
        <f t="shared" si="21"/>
        <v>-755</v>
      </c>
      <c r="M43" s="358">
        <f t="shared" si="21"/>
        <v>-1177</v>
      </c>
      <c r="N43" s="358">
        <f t="shared" si="21"/>
        <v>652</v>
      </c>
      <c r="O43" s="358">
        <f t="shared" si="21"/>
        <v>1212</v>
      </c>
      <c r="P43" s="358">
        <f t="shared" si="21"/>
        <v>-408</v>
      </c>
      <c r="Q43" s="358">
        <f t="shared" si="21"/>
        <v>-940</v>
      </c>
      <c r="R43" s="358">
        <f t="shared" si="21"/>
        <v>735</v>
      </c>
      <c r="S43" s="358">
        <f t="shared" ca="1" si="21"/>
        <v>657.78435475603465</v>
      </c>
      <c r="T43" s="358">
        <f t="shared" ca="1" si="21"/>
        <v>-321.15930106759834</v>
      </c>
      <c r="V43" s="358">
        <f t="shared" ref="V43:AD43" si="22">V40-V42</f>
        <v>3205</v>
      </c>
      <c r="W43" s="358">
        <f t="shared" si="22"/>
        <v>3935</v>
      </c>
      <c r="X43" s="358">
        <f t="shared" si="22"/>
        <v>4767</v>
      </c>
      <c r="Y43" s="358">
        <f t="shared" si="22"/>
        <v>-12385</v>
      </c>
      <c r="Z43" s="358">
        <f t="shared" si="22"/>
        <v>279</v>
      </c>
      <c r="AA43" s="358">
        <f t="shared" ca="1" si="22"/>
        <v>131.62505368843085</v>
      </c>
      <c r="AB43" s="358">
        <f t="shared" ca="1" si="22"/>
        <v>147.26113828753932</v>
      </c>
      <c r="AC43" s="358">
        <f t="shared" ca="1" si="22"/>
        <v>1754.4193529993127</v>
      </c>
      <c r="AD43" s="358">
        <f t="shared" ca="1" si="22"/>
        <v>2207.680069689638</v>
      </c>
    </row>
    <row r="44" spans="2:30" ht="11.25" customHeight="1">
      <c r="C44" s="444"/>
      <c r="E44" s="255">
        <v>730</v>
      </c>
      <c r="F44" s="255">
        <v>1443</v>
      </c>
      <c r="G44" s="255">
        <v>1495</v>
      </c>
      <c r="H44" s="255">
        <v>1099</v>
      </c>
      <c r="I44" s="255">
        <v>-534</v>
      </c>
      <c r="J44" s="255"/>
      <c r="K44" s="255"/>
      <c r="L44" s="255"/>
      <c r="M44" s="255"/>
      <c r="N44" s="255"/>
      <c r="O44" s="255"/>
      <c r="P44" s="255"/>
      <c r="Q44" s="255"/>
      <c r="R44" s="255"/>
      <c r="S44" s="255"/>
      <c r="T44" s="255"/>
      <c r="V44" s="255"/>
      <c r="W44" s="255"/>
      <c r="X44" s="255"/>
      <c r="Y44" s="255"/>
      <c r="Z44" s="255"/>
      <c r="AA44" s="255"/>
      <c r="AB44" s="255"/>
      <c r="AC44" s="255"/>
      <c r="AD44" s="255"/>
    </row>
    <row r="45" spans="2:30" ht="11.25" customHeight="1">
      <c r="C45" s="253" t="s">
        <v>1065</v>
      </c>
      <c r="E45" s="387">
        <f t="shared" ref="E45:T46" si="23">E$43/E48</f>
        <v>1.0977443609022557</v>
      </c>
      <c r="F45" s="387">
        <f t="shared" si="23"/>
        <v>2.2200000000000002</v>
      </c>
      <c r="G45" s="387">
        <f t="shared" si="23"/>
        <v>2.3142414860681115</v>
      </c>
      <c r="H45" s="387">
        <f t="shared" si="23"/>
        <v>1.7118380062305296</v>
      </c>
      <c r="I45" s="387">
        <f t="shared" si="23"/>
        <v>-0.83830455259026693</v>
      </c>
      <c r="J45" s="387">
        <f t="shared" si="23"/>
        <v>-9.0031496062992122</v>
      </c>
      <c r="K45" s="387">
        <f t="shared" si="23"/>
        <v>-8.4708661417322837</v>
      </c>
      <c r="L45" s="387">
        <f t="shared" si="23"/>
        <v>-1.188976377952756</v>
      </c>
      <c r="M45" s="387">
        <f t="shared" si="23"/>
        <v>-1.85062893081761</v>
      </c>
      <c r="N45" s="387">
        <f t="shared" si="23"/>
        <v>1.0235478806907379</v>
      </c>
      <c r="O45" s="387">
        <f t="shared" si="23"/>
        <v>1.902668759811617</v>
      </c>
      <c r="P45" s="387">
        <f t="shared" si="23"/>
        <v>-0.64050235478806905</v>
      </c>
      <c r="Q45" s="387">
        <f t="shared" si="23"/>
        <v>-1.4756671899529041</v>
      </c>
      <c r="R45" s="387">
        <f t="shared" si="23"/>
        <v>1.152037617554859</v>
      </c>
      <c r="S45" s="387">
        <f t="shared" ca="1" si="23"/>
        <v>1.0245862223614246</v>
      </c>
      <c r="T45" s="387">
        <f t="shared" ca="1" si="23"/>
        <v>-0.5002481325040472</v>
      </c>
      <c r="V45" s="387">
        <f t="shared" ref="V45:AD46" si="24">V$43/V48</f>
        <v>4.4513888888888893</v>
      </c>
      <c r="W45" s="387">
        <f t="shared" si="24"/>
        <v>5.6946454413892909</v>
      </c>
      <c r="X45" s="387">
        <f t="shared" si="24"/>
        <v>7.32258064516129</v>
      </c>
      <c r="Y45" s="387">
        <f t="shared" si="24"/>
        <v>-19.473270440251572</v>
      </c>
      <c r="Z45" s="387">
        <f t="shared" si="24"/>
        <v>0.43867924528301888</v>
      </c>
      <c r="AA45" s="387">
        <f t="shared" ca="1" si="24"/>
        <v>0.20502344811282064</v>
      </c>
      <c r="AB45" s="387">
        <f t="shared" ca="1" si="24"/>
        <v>0.22831184230626253</v>
      </c>
      <c r="AC45" s="387">
        <f t="shared" ca="1" si="24"/>
        <v>2.7200300046500971</v>
      </c>
      <c r="AD45" s="387">
        <f t="shared" ca="1" si="24"/>
        <v>3.422759797968431</v>
      </c>
    </row>
    <row r="46" spans="2:30" ht="11.25" customHeight="1">
      <c r="C46" s="253" t="s">
        <v>1066</v>
      </c>
      <c r="E46" s="387">
        <f t="shared" si="23"/>
        <v>1.0944527736131935</v>
      </c>
      <c r="F46" s="387">
        <f t="shared" si="23"/>
        <v>2.21319018404908</v>
      </c>
      <c r="G46" s="387">
        <f t="shared" si="23"/>
        <v>2.3070987654320989</v>
      </c>
      <c r="H46" s="387">
        <f t="shared" si="23"/>
        <v>1.7065217391304348</v>
      </c>
      <c r="I46" s="387">
        <f t="shared" si="23"/>
        <v>-0.83830455259026693</v>
      </c>
      <c r="J46" s="387">
        <f t="shared" si="23"/>
        <v>-9.0031496062992122</v>
      </c>
      <c r="K46" s="387">
        <f t="shared" si="23"/>
        <v>-8.4708661417322837</v>
      </c>
      <c r="L46" s="387">
        <f t="shared" si="23"/>
        <v>-1.188976377952756</v>
      </c>
      <c r="M46" s="387">
        <f t="shared" si="23"/>
        <v>-1.85062893081761</v>
      </c>
      <c r="N46" s="387">
        <f t="shared" si="23"/>
        <v>1.0155763239875388</v>
      </c>
      <c r="O46" s="387">
        <f t="shared" si="23"/>
        <v>1.890795631825273</v>
      </c>
      <c r="P46" s="387">
        <f t="shared" si="23"/>
        <v>-0.64050235478806905</v>
      </c>
      <c r="Q46" s="387">
        <f t="shared" si="23"/>
        <v>-1.4756671899529041</v>
      </c>
      <c r="R46" s="387">
        <f t="shared" si="23"/>
        <v>1.1466458658346335</v>
      </c>
      <c r="S46" s="387">
        <f t="shared" ca="1" si="23"/>
        <v>1.0245862223614246</v>
      </c>
      <c r="T46" s="387">
        <f t="shared" ca="1" si="23"/>
        <v>-0.5002481325040472</v>
      </c>
      <c r="V46" s="387">
        <f t="shared" si="24"/>
        <v>4.4329183955739975</v>
      </c>
      <c r="W46" s="387">
        <f t="shared" si="24"/>
        <v>5.6700288184438037</v>
      </c>
      <c r="X46" s="387">
        <f t="shared" si="24"/>
        <v>7.3001531393568149</v>
      </c>
      <c r="Y46" s="387">
        <f t="shared" si="24"/>
        <v>-19.473270440251572</v>
      </c>
      <c r="Z46" s="387">
        <f t="shared" si="24"/>
        <v>0.43525741029641185</v>
      </c>
      <c r="AA46" s="387">
        <f t="shared" ca="1" si="24"/>
        <v>0.20502344811282064</v>
      </c>
      <c r="AB46" s="387">
        <f t="shared" ca="1" si="24"/>
        <v>0.22831184230626253</v>
      </c>
      <c r="AC46" s="387">
        <f t="shared" ca="1" si="24"/>
        <v>2.7200300046500971</v>
      </c>
      <c r="AD46" s="387">
        <f t="shared" ca="1" si="24"/>
        <v>3.422759797968431</v>
      </c>
    </row>
    <row r="47" spans="2:30" ht="11.25" customHeight="1">
      <c r="E47" s="255"/>
      <c r="F47" s="255"/>
      <c r="G47" s="255"/>
      <c r="H47" s="255"/>
      <c r="I47" s="255"/>
      <c r="J47" s="255"/>
      <c r="K47" s="255"/>
      <c r="L47" s="255"/>
      <c r="M47" s="255"/>
      <c r="N47" s="255"/>
      <c r="O47" s="255"/>
      <c r="P47" s="255"/>
      <c r="Q47" s="255"/>
      <c r="R47" s="255"/>
      <c r="S47" s="255"/>
      <c r="T47" s="255"/>
      <c r="V47" s="255"/>
      <c r="W47" s="255"/>
      <c r="X47" s="255"/>
      <c r="Y47" s="255"/>
      <c r="Z47" s="255"/>
      <c r="AA47" s="255"/>
      <c r="AB47" s="255"/>
      <c r="AC47" s="255"/>
      <c r="AD47" s="255"/>
    </row>
    <row r="48" spans="2:30" ht="11.25" customHeight="1">
      <c r="C48" s="253" t="s">
        <v>1067</v>
      </c>
      <c r="E48" s="277">
        <v>665</v>
      </c>
      <c r="F48" s="277">
        <v>650</v>
      </c>
      <c r="G48" s="277">
        <v>646</v>
      </c>
      <c r="H48" s="277">
        <v>642</v>
      </c>
      <c r="I48" s="277">
        <v>637</v>
      </c>
      <c r="J48" s="277">
        <v>635</v>
      </c>
      <c r="K48" s="277">
        <v>635</v>
      </c>
      <c r="L48" s="277">
        <v>635</v>
      </c>
      <c r="M48" s="277">
        <v>636</v>
      </c>
      <c r="N48" s="277">
        <v>637</v>
      </c>
      <c r="O48" s="277">
        <v>637</v>
      </c>
      <c r="P48" s="277">
        <v>637</v>
      </c>
      <c r="Q48" s="277">
        <v>637</v>
      </c>
      <c r="R48" s="277">
        <v>638</v>
      </c>
      <c r="S48" s="277">
        <v>642</v>
      </c>
      <c r="T48" s="288">
        <f t="shared" ref="T48:T49" si="25">S48</f>
        <v>642</v>
      </c>
      <c r="V48" s="277">
        <v>720</v>
      </c>
      <c r="W48" s="277">
        <v>691</v>
      </c>
      <c r="X48" s="277">
        <v>651</v>
      </c>
      <c r="Y48" s="277">
        <v>636</v>
      </c>
      <c r="Z48" s="277">
        <v>636</v>
      </c>
      <c r="AA48" s="254">
        <f>SUMIF($E$6:$T$6,AA$6,$E48:$T48)</f>
        <v>642</v>
      </c>
      <c r="AB48" s="277">
        <v>645</v>
      </c>
      <c r="AC48" s="277">
        <v>645</v>
      </c>
      <c r="AD48" s="277">
        <v>645</v>
      </c>
    </row>
    <row r="49" spans="2:30" ht="11.25" customHeight="1">
      <c r="C49" s="253" t="s">
        <v>1068</v>
      </c>
      <c r="E49" s="277">
        <v>667</v>
      </c>
      <c r="F49" s="277">
        <v>652</v>
      </c>
      <c r="G49" s="277">
        <v>648</v>
      </c>
      <c r="H49" s="277">
        <v>644</v>
      </c>
      <c r="I49" s="277">
        <v>637</v>
      </c>
      <c r="J49" s="277">
        <v>635</v>
      </c>
      <c r="K49" s="277">
        <v>635</v>
      </c>
      <c r="L49" s="277">
        <v>635</v>
      </c>
      <c r="M49" s="277">
        <v>636</v>
      </c>
      <c r="N49" s="277">
        <v>642</v>
      </c>
      <c r="O49" s="277">
        <v>641</v>
      </c>
      <c r="P49" s="277">
        <v>637</v>
      </c>
      <c r="Q49" s="277">
        <v>637</v>
      </c>
      <c r="R49" s="277">
        <v>641</v>
      </c>
      <c r="S49" s="277">
        <v>642</v>
      </c>
      <c r="T49" s="288">
        <f t="shared" si="25"/>
        <v>642</v>
      </c>
      <c r="V49" s="277">
        <v>723</v>
      </c>
      <c r="W49" s="277">
        <v>694</v>
      </c>
      <c r="X49" s="277">
        <v>653</v>
      </c>
      <c r="Y49" s="277">
        <v>636</v>
      </c>
      <c r="Z49" s="277">
        <v>641</v>
      </c>
      <c r="AA49" s="254">
        <f>SUMIF($E$6:$T$6,AA$6,$E49:$T49)</f>
        <v>642</v>
      </c>
      <c r="AB49" s="277">
        <v>645</v>
      </c>
      <c r="AC49" s="277">
        <v>645</v>
      </c>
      <c r="AD49" s="277">
        <v>645</v>
      </c>
    </row>
    <row r="51" spans="2:30" s="255" customFormat="1" ht="11.25" customHeight="1">
      <c r="B51" s="258" t="s">
        <v>133</v>
      </c>
      <c r="C51" s="259" t="s">
        <v>1069</v>
      </c>
      <c r="D51" s="259"/>
      <c r="E51" s="258"/>
      <c r="F51" s="258"/>
      <c r="G51" s="258"/>
      <c r="H51" s="258"/>
      <c r="I51" s="258"/>
      <c r="J51" s="258"/>
      <c r="K51" s="258"/>
      <c r="L51" s="258"/>
      <c r="M51" s="258"/>
      <c r="N51" s="258"/>
      <c r="O51" s="258"/>
      <c r="P51" s="258"/>
      <c r="Q51" s="258"/>
      <c r="R51" s="258"/>
      <c r="S51" s="258"/>
      <c r="T51" s="258"/>
      <c r="U51" s="280"/>
      <c r="V51" s="258"/>
      <c r="W51" s="258"/>
      <c r="X51" s="258"/>
      <c r="Y51" s="258"/>
      <c r="Z51" s="258"/>
      <c r="AA51" s="258"/>
      <c r="AB51" s="258"/>
      <c r="AC51" s="258"/>
      <c r="AD51" s="258"/>
    </row>
    <row r="53" spans="2:30" ht="11.25" customHeight="1">
      <c r="C53" s="397" t="s">
        <v>1070</v>
      </c>
      <c r="E53" s="254">
        <f t="shared" ref="E53:T53" si="26">SUM(E15:E23,E26:E31)</f>
        <v>9452</v>
      </c>
      <c r="F53" s="254">
        <f t="shared" si="26"/>
        <v>10408</v>
      </c>
      <c r="G53" s="254">
        <f t="shared" si="26"/>
        <v>10489</v>
      </c>
      <c r="H53" s="254">
        <f t="shared" si="26"/>
        <v>10040</v>
      </c>
      <c r="I53" s="254">
        <f t="shared" si="26"/>
        <v>9002</v>
      </c>
      <c r="J53" s="254">
        <f t="shared" si="26"/>
        <v>6283</v>
      </c>
      <c r="K53" s="254">
        <f t="shared" si="26"/>
        <v>9448</v>
      </c>
      <c r="L53" s="254">
        <f t="shared" si="26"/>
        <v>4831</v>
      </c>
      <c r="M53" s="254">
        <f t="shared" si="26"/>
        <v>5548</v>
      </c>
      <c r="N53" s="254">
        <f t="shared" si="26"/>
        <v>6310</v>
      </c>
      <c r="O53" s="254">
        <f t="shared" si="26"/>
        <v>6949</v>
      </c>
      <c r="P53" s="254">
        <f t="shared" si="26"/>
        <v>9207</v>
      </c>
      <c r="Q53" s="254">
        <f t="shared" si="26"/>
        <v>10131</v>
      </c>
      <c r="R53" s="254">
        <f t="shared" ref="R53" si="27">SUM(R15:R23,R26:R31)</f>
        <v>12305</v>
      </c>
      <c r="S53" s="254">
        <f t="shared" ca="1" si="26"/>
        <v>12937.67020904442</v>
      </c>
      <c r="T53" s="254">
        <f t="shared" ca="1" si="26"/>
        <v>12249.959257724406</v>
      </c>
      <c r="U53" s="255"/>
      <c r="V53" s="254">
        <f>SUM(V15:V23,V26:V31)</f>
        <v>35172</v>
      </c>
      <c r="W53" s="254">
        <f>SUM(W15:W23,W26:W31)</f>
        <v>39174</v>
      </c>
      <c r="X53" s="255">
        <f t="shared" ref="X53:AA59" si="28">SUMIF($E$5:$T$5,X$5,$E53:$T53)</f>
        <v>40389</v>
      </c>
      <c r="Y53" s="255">
        <f t="shared" si="28"/>
        <v>29564</v>
      </c>
      <c r="Z53" s="255">
        <f t="shared" si="28"/>
        <v>28014</v>
      </c>
      <c r="AA53" s="255">
        <f t="shared" ca="1" si="28"/>
        <v>47623.62946676882</v>
      </c>
      <c r="AB53" s="254">
        <f ca="1">SUM(AB15:AB23,AB26:AB31)</f>
        <v>51009.983469470884</v>
      </c>
      <c r="AC53" s="254">
        <f ca="1">SUM(AC15:AC23,AC26:AC31)</f>
        <v>53373.080346214017</v>
      </c>
      <c r="AD53" s="254">
        <f ca="1">SUM(AD15:AD23,AD26:AD31)</f>
        <v>54202.873747953556</v>
      </c>
    </row>
    <row r="54" spans="2:30" ht="11.25" customHeight="1">
      <c r="C54" s="647" t="s">
        <v>1071</v>
      </c>
      <c r="E54" s="254">
        <f t="shared" ref="E54:T54" si="29">E31</f>
        <v>0</v>
      </c>
      <c r="F54" s="254">
        <f t="shared" si="29"/>
        <v>0</v>
      </c>
      <c r="G54" s="254">
        <f t="shared" si="29"/>
        <v>0</v>
      </c>
      <c r="H54" s="254">
        <f t="shared" si="29"/>
        <v>0</v>
      </c>
      <c r="I54" s="254">
        <f t="shared" si="29"/>
        <v>0</v>
      </c>
      <c r="J54" s="254">
        <f t="shared" si="29"/>
        <v>-1280</v>
      </c>
      <c r="K54" s="254">
        <f t="shared" si="29"/>
        <v>-1315</v>
      </c>
      <c r="L54" s="254">
        <f t="shared" si="29"/>
        <v>-1351</v>
      </c>
      <c r="M54" s="254">
        <f t="shared" si="29"/>
        <v>-1186</v>
      </c>
      <c r="N54" s="254">
        <f t="shared" si="29"/>
        <v>-1504</v>
      </c>
      <c r="O54" s="254">
        <f t="shared" si="29"/>
        <v>-1822</v>
      </c>
      <c r="P54" s="254">
        <f t="shared" si="29"/>
        <v>0</v>
      </c>
      <c r="Q54" s="254">
        <f t="shared" si="29"/>
        <v>0</v>
      </c>
      <c r="R54" s="254">
        <f t="shared" ref="R54" si="30">R31</f>
        <v>0</v>
      </c>
      <c r="S54" s="254">
        <f t="shared" si="29"/>
        <v>0</v>
      </c>
      <c r="T54" s="254">
        <f t="shared" si="29"/>
        <v>0</v>
      </c>
      <c r="U54" s="255"/>
      <c r="V54" s="254">
        <f>V31</f>
        <v>0</v>
      </c>
      <c r="W54" s="254">
        <f>W31</f>
        <v>0</v>
      </c>
      <c r="X54" s="255">
        <f t="shared" si="28"/>
        <v>0</v>
      </c>
      <c r="Y54" s="255">
        <f t="shared" si="28"/>
        <v>-3946</v>
      </c>
      <c r="Z54" s="255">
        <f t="shared" si="28"/>
        <v>-4512</v>
      </c>
      <c r="AA54" s="255">
        <f t="shared" si="28"/>
        <v>0</v>
      </c>
      <c r="AB54" s="254">
        <f>AB31</f>
        <v>0</v>
      </c>
      <c r="AC54" s="254">
        <f>AC31</f>
        <v>0</v>
      </c>
      <c r="AD54" s="254">
        <f>AD31</f>
        <v>0</v>
      </c>
    </row>
    <row r="55" spans="2:30" ht="11.25" customHeight="1">
      <c r="C55" s="647" t="s">
        <v>1072</v>
      </c>
      <c r="E55" s="254">
        <f t="shared" ref="E55:T55" si="31">E30</f>
        <v>0</v>
      </c>
      <c r="F55" s="254">
        <f t="shared" si="31"/>
        <v>0</v>
      </c>
      <c r="G55" s="254">
        <f t="shared" si="31"/>
        <v>0</v>
      </c>
      <c r="H55" s="254">
        <f t="shared" si="31"/>
        <v>0</v>
      </c>
      <c r="I55" s="254">
        <f t="shared" si="31"/>
        <v>0</v>
      </c>
      <c r="J55" s="254">
        <f t="shared" si="31"/>
        <v>2454</v>
      </c>
      <c r="K55" s="254">
        <f t="shared" si="31"/>
        <v>5345</v>
      </c>
      <c r="L55" s="254">
        <f t="shared" si="31"/>
        <v>421</v>
      </c>
      <c r="M55" s="254">
        <f t="shared" si="31"/>
        <v>-44</v>
      </c>
      <c r="N55" s="254">
        <f t="shared" si="31"/>
        <v>8</v>
      </c>
      <c r="O55" s="254">
        <f t="shared" si="31"/>
        <v>33</v>
      </c>
      <c r="P55" s="254">
        <f t="shared" si="31"/>
        <v>-16</v>
      </c>
      <c r="Q55" s="254">
        <f t="shared" si="31"/>
        <v>-5</v>
      </c>
      <c r="R55" s="254">
        <f t="shared" ref="R55" si="32">R30</f>
        <v>-1</v>
      </c>
      <c r="S55" s="254">
        <f t="shared" si="31"/>
        <v>0</v>
      </c>
      <c r="T55" s="254">
        <f t="shared" si="31"/>
        <v>0</v>
      </c>
      <c r="U55" s="255"/>
      <c r="V55" s="254">
        <f>V30</f>
        <v>0</v>
      </c>
      <c r="W55" s="254">
        <f>W30</f>
        <v>0</v>
      </c>
      <c r="X55" s="255">
        <f t="shared" si="28"/>
        <v>0</v>
      </c>
      <c r="Y55" s="255">
        <f t="shared" si="28"/>
        <v>8220</v>
      </c>
      <c r="Z55" s="255">
        <f t="shared" si="28"/>
        <v>-19</v>
      </c>
      <c r="AA55" s="255">
        <f t="shared" si="28"/>
        <v>-6</v>
      </c>
      <c r="AB55" s="254">
        <f>AB30</f>
        <v>0</v>
      </c>
      <c r="AC55" s="254">
        <f>AC30</f>
        <v>0</v>
      </c>
      <c r="AD55" s="254">
        <f>AD30</f>
        <v>0</v>
      </c>
    </row>
    <row r="56" spans="2:30" ht="11.25" customHeight="1">
      <c r="C56" s="647" t="s">
        <v>1073</v>
      </c>
      <c r="E56" s="277">
        <v>0</v>
      </c>
      <c r="F56" s="277">
        <v>0</v>
      </c>
      <c r="G56" s="277">
        <v>0</v>
      </c>
      <c r="H56" s="277">
        <v>0</v>
      </c>
      <c r="I56" s="277">
        <v>0</v>
      </c>
      <c r="J56" s="277">
        <v>0</v>
      </c>
      <c r="K56" s="277">
        <v>0</v>
      </c>
      <c r="L56" s="277">
        <v>0</v>
      </c>
      <c r="M56" s="277">
        <v>0</v>
      </c>
      <c r="N56" s="277">
        <v>0</v>
      </c>
      <c r="O56" s="277">
        <v>0</v>
      </c>
      <c r="P56" s="284">
        <f>P29</f>
        <v>108</v>
      </c>
      <c r="Q56" s="277">
        <v>0</v>
      </c>
      <c r="R56" s="277">
        <v>0</v>
      </c>
      <c r="S56" s="277">
        <v>0</v>
      </c>
      <c r="T56" s="277">
        <v>0</v>
      </c>
      <c r="U56" s="255"/>
      <c r="V56" s="277">
        <v>0</v>
      </c>
      <c r="W56" s="277">
        <v>0</v>
      </c>
      <c r="X56" s="255">
        <f t="shared" si="28"/>
        <v>0</v>
      </c>
      <c r="Y56" s="255">
        <f t="shared" si="28"/>
        <v>0</v>
      </c>
      <c r="Z56" s="255">
        <f t="shared" si="28"/>
        <v>108</v>
      </c>
      <c r="AA56" s="255">
        <f t="shared" si="28"/>
        <v>0</v>
      </c>
      <c r="AB56" s="277">
        <v>0</v>
      </c>
      <c r="AC56" s="277">
        <v>0</v>
      </c>
      <c r="AD56" s="277">
        <v>0</v>
      </c>
    </row>
    <row r="57" spans="2:30" ht="11.25" customHeight="1">
      <c r="C57" s="647" t="s">
        <v>1074</v>
      </c>
      <c r="E57" s="287">
        <f>+'DAL KPI'!E94</f>
        <v>48</v>
      </c>
      <c r="F57" s="287">
        <f>+'DAL KPI'!F94</f>
        <v>40</v>
      </c>
      <c r="G57" s="287">
        <f>+'DAL KPI'!G94</f>
        <v>6</v>
      </c>
      <c r="H57" s="287">
        <f>+'DAL KPI'!H94</f>
        <v>2</v>
      </c>
      <c r="I57" s="287">
        <f>+'DAL KPI'!I94</f>
        <v>0</v>
      </c>
      <c r="J57" s="287">
        <f>+'DAL KPI'!J94</f>
        <v>292</v>
      </c>
      <c r="K57" s="287">
        <f>+'DAL KPI'!K94</f>
        <v>417</v>
      </c>
      <c r="L57" s="287">
        <f>+'DAL KPI'!L94</f>
        <v>441</v>
      </c>
      <c r="M57" s="287">
        <f>+'DAL KPI'!M94</f>
        <v>540</v>
      </c>
      <c r="N57" s="287">
        <f>+'DAL KPI'!N94</f>
        <v>777</v>
      </c>
      <c r="O57" s="287">
        <f>+'DAL KPI'!O94</f>
        <v>872</v>
      </c>
      <c r="P57" s="287">
        <f>+'DAL KPI'!P94</f>
        <v>1040</v>
      </c>
      <c r="Q57" s="287">
        <f>+'DAL KPI'!Q94</f>
        <v>1187</v>
      </c>
      <c r="R57" s="287">
        <f>+'DAL KPI'!R94</f>
        <v>1514</v>
      </c>
      <c r="S57" s="287">
        <f>+'DAL KPI'!S94</f>
        <v>1400</v>
      </c>
      <c r="T57" s="287">
        <f>+'DAL KPI'!T94</f>
        <v>1300</v>
      </c>
      <c r="U57" s="255"/>
      <c r="V57" s="287">
        <f>+'DAL KPI'!V94</f>
        <v>0</v>
      </c>
      <c r="W57" s="287">
        <f>+'DAL KPI'!W94</f>
        <v>0</v>
      </c>
      <c r="X57" s="255">
        <f t="shared" si="28"/>
        <v>96</v>
      </c>
      <c r="Y57" s="255">
        <f t="shared" si="28"/>
        <v>1150</v>
      </c>
      <c r="Z57" s="255">
        <f t="shared" si="28"/>
        <v>3229</v>
      </c>
      <c r="AA57" s="255">
        <f t="shared" si="28"/>
        <v>5401</v>
      </c>
      <c r="AB57" s="287">
        <f>+'DAL KPI'!AB94</f>
        <v>5401</v>
      </c>
      <c r="AC57" s="287">
        <f>+'DAL KPI'!AC94</f>
        <v>5501</v>
      </c>
      <c r="AD57" s="287">
        <f>+'DAL KPI'!AD94</f>
        <v>5601</v>
      </c>
    </row>
    <row r="58" spans="2:30" ht="11.25" customHeight="1">
      <c r="C58" s="647" t="s">
        <v>1075</v>
      </c>
      <c r="E58" s="287">
        <f>+'DAL KPI'!E283</f>
        <v>8</v>
      </c>
      <c r="F58" s="287">
        <f>+'DAL KPI'!F283</f>
        <v>10</v>
      </c>
      <c r="G58" s="287">
        <f>+'DAL KPI'!G283</f>
        <v>-25</v>
      </c>
      <c r="H58" s="287">
        <f>+'DAL KPI'!H283</f>
        <v>22</v>
      </c>
      <c r="I58" s="287">
        <f>+'DAL KPI'!I283</f>
        <v>-7</v>
      </c>
      <c r="J58" s="287">
        <f>+'DAL KPI'!J283</f>
        <v>14</v>
      </c>
      <c r="K58" s="287">
        <f>+'DAL KPI'!K283</f>
        <v>-3</v>
      </c>
      <c r="L58" s="287">
        <f>+'DAL KPI'!L283</f>
        <v>6</v>
      </c>
      <c r="M58" s="287">
        <f>+'DAL KPI'!M283</f>
        <v>-23</v>
      </c>
      <c r="N58" s="287">
        <f>+'DAL KPI'!N283</f>
        <v>24</v>
      </c>
      <c r="O58" s="287">
        <f>+'DAL KPI'!O283</f>
        <v>19</v>
      </c>
      <c r="P58" s="287">
        <f>+'DAL KPI'!P283</f>
        <v>-11</v>
      </c>
      <c r="Q58" s="287">
        <f>+'DAL KPI'!Q283</f>
        <v>-4</v>
      </c>
      <c r="R58" s="287">
        <f>+'DAL KPI'!R283</f>
        <v>-73</v>
      </c>
      <c r="S58" s="287">
        <f>+'DAL KPI'!S283</f>
        <v>7.992051045654021</v>
      </c>
      <c r="T58" s="287">
        <f>+'DAL KPI'!T283</f>
        <v>5.9012550450818564</v>
      </c>
      <c r="U58" s="255"/>
      <c r="V58" s="287">
        <f>+'DAL KPI'!V283</f>
        <v>-259</v>
      </c>
      <c r="W58" s="287">
        <f>+'DAL KPI'!W283</f>
        <v>-53</v>
      </c>
      <c r="X58" s="255">
        <f t="shared" si="28"/>
        <v>15</v>
      </c>
      <c r="Y58" s="255">
        <f t="shared" si="28"/>
        <v>10</v>
      </c>
      <c r="Z58" s="255">
        <f t="shared" si="28"/>
        <v>9</v>
      </c>
      <c r="AA58" s="255">
        <f t="shared" si="28"/>
        <v>-63.106693909264123</v>
      </c>
      <c r="AB58" s="287">
        <f>+'DAL KPI'!AB283</f>
        <v>14.11731000494539</v>
      </c>
      <c r="AC58" s="287">
        <f>+'DAL KPI'!AC283</f>
        <v>14.973073966220417</v>
      </c>
      <c r="AD58" s="287">
        <f>+'DAL KPI'!AD283</f>
        <v>15.219204600382501</v>
      </c>
    </row>
    <row r="59" spans="2:30" ht="11.25" customHeight="1">
      <c r="C59" s="647" t="s">
        <v>1076</v>
      </c>
      <c r="E59" s="277">
        <v>42</v>
      </c>
      <c r="F59" s="277">
        <v>50</v>
      </c>
      <c r="G59" s="277">
        <v>49</v>
      </c>
      <c r="H59" s="277">
        <v>55</v>
      </c>
      <c r="I59" s="277">
        <v>0</v>
      </c>
      <c r="J59" s="277">
        <v>0</v>
      </c>
      <c r="K59" s="277">
        <v>0</v>
      </c>
      <c r="L59" s="277">
        <v>0</v>
      </c>
      <c r="M59" s="277">
        <v>0</v>
      </c>
      <c r="N59" s="277">
        <v>0</v>
      </c>
      <c r="O59" s="277">
        <v>0</v>
      </c>
      <c r="P59" s="277">
        <v>0</v>
      </c>
      <c r="Q59" s="277">
        <v>0</v>
      </c>
      <c r="R59" s="277">
        <v>0</v>
      </c>
      <c r="S59" s="277">
        <v>0</v>
      </c>
      <c r="T59" s="277">
        <v>0</v>
      </c>
      <c r="U59" s="255"/>
      <c r="V59" s="277">
        <v>0</v>
      </c>
      <c r="W59" s="277">
        <v>0</v>
      </c>
      <c r="X59" s="255">
        <f t="shared" si="28"/>
        <v>196</v>
      </c>
      <c r="Y59" s="255">
        <f t="shared" si="28"/>
        <v>0</v>
      </c>
      <c r="Z59" s="255">
        <f t="shared" si="28"/>
        <v>0</v>
      </c>
      <c r="AA59" s="255">
        <f t="shared" si="28"/>
        <v>0</v>
      </c>
      <c r="AB59" s="277">
        <v>0</v>
      </c>
      <c r="AC59" s="277">
        <v>0</v>
      </c>
      <c r="AD59" s="277">
        <v>0</v>
      </c>
    </row>
    <row r="60" spans="2:30" s="279" customFormat="1" ht="11.25" customHeight="1">
      <c r="C60" s="289" t="s">
        <v>1077</v>
      </c>
      <c r="E60" s="358">
        <f t="shared" ref="E60:T60" si="33">+E53-SUM(E54:E59)</f>
        <v>9354</v>
      </c>
      <c r="F60" s="358">
        <f t="shared" si="33"/>
        <v>10308</v>
      </c>
      <c r="G60" s="358">
        <f t="shared" si="33"/>
        <v>10459</v>
      </c>
      <c r="H60" s="358">
        <f t="shared" si="33"/>
        <v>9961</v>
      </c>
      <c r="I60" s="358">
        <f t="shared" si="33"/>
        <v>9009</v>
      </c>
      <c r="J60" s="358">
        <f t="shared" si="33"/>
        <v>4803</v>
      </c>
      <c r="K60" s="358">
        <f t="shared" si="33"/>
        <v>5004</v>
      </c>
      <c r="L60" s="358">
        <f t="shared" si="33"/>
        <v>5314</v>
      </c>
      <c r="M60" s="358">
        <f t="shared" si="33"/>
        <v>6261</v>
      </c>
      <c r="N60" s="358">
        <f t="shared" si="33"/>
        <v>7005</v>
      </c>
      <c r="O60" s="358">
        <f t="shared" si="33"/>
        <v>7847</v>
      </c>
      <c r="P60" s="358">
        <f t="shared" si="33"/>
        <v>8086</v>
      </c>
      <c r="Q60" s="358">
        <f t="shared" si="33"/>
        <v>8953</v>
      </c>
      <c r="R60" s="358">
        <f t="shared" ref="R60" si="34">+R53-SUM(R54:R59)</f>
        <v>10865</v>
      </c>
      <c r="S60" s="358">
        <f t="shared" ca="1" si="33"/>
        <v>11529.678157998766</v>
      </c>
      <c r="T60" s="358">
        <f t="shared" ca="1" si="33"/>
        <v>10944.058002679323</v>
      </c>
      <c r="U60" s="255"/>
      <c r="V60" s="358">
        <f t="shared" ref="V60:AD60" si="35">+V53-SUM(V54:V59)</f>
        <v>35431</v>
      </c>
      <c r="W60" s="358">
        <f t="shared" si="35"/>
        <v>39227</v>
      </c>
      <c r="X60" s="358">
        <f t="shared" si="35"/>
        <v>40082</v>
      </c>
      <c r="Y60" s="358">
        <f t="shared" si="35"/>
        <v>24130</v>
      </c>
      <c r="Z60" s="358">
        <f t="shared" si="35"/>
        <v>29199</v>
      </c>
      <c r="AA60" s="358">
        <f t="shared" ca="1" si="35"/>
        <v>42291.736160678083</v>
      </c>
      <c r="AB60" s="358">
        <f t="shared" ca="1" si="35"/>
        <v>45594.866159465935</v>
      </c>
      <c r="AC60" s="358">
        <f t="shared" ca="1" si="35"/>
        <v>47857.107272247798</v>
      </c>
      <c r="AD60" s="358">
        <f t="shared" ca="1" si="35"/>
        <v>48586.654543353172</v>
      </c>
    </row>
    <row r="61" spans="2:30" s="397" customFormat="1" ht="11.25" customHeight="1">
      <c r="C61" s="400"/>
      <c r="E61" s="399"/>
      <c r="F61" s="399"/>
      <c r="G61" s="399"/>
      <c r="H61" s="399"/>
      <c r="I61" s="399"/>
      <c r="J61" s="399"/>
      <c r="K61" s="399"/>
      <c r="L61" s="399"/>
      <c r="M61" s="399"/>
      <c r="N61" s="399"/>
      <c r="O61" s="399"/>
      <c r="P61" s="284"/>
      <c r="Q61" s="284"/>
      <c r="R61" s="284"/>
      <c r="S61" s="399"/>
      <c r="T61" s="399"/>
      <c r="U61" s="284"/>
      <c r="V61" s="399"/>
      <c r="W61" s="399"/>
      <c r="X61" s="399"/>
      <c r="Y61" s="399"/>
      <c r="Z61" s="399"/>
      <c r="AA61" s="399"/>
      <c r="AB61" s="399"/>
      <c r="AC61" s="399"/>
      <c r="AD61" s="399"/>
    </row>
    <row r="62" spans="2:30" ht="11.25" customHeight="1">
      <c r="C62" s="384" t="s">
        <v>1078</v>
      </c>
      <c r="E62" s="287">
        <f>+'DAL KPI'!E285</f>
        <v>1963</v>
      </c>
      <c r="F62" s="287">
        <f>+'DAL KPI'!F285</f>
        <v>2273</v>
      </c>
      <c r="G62" s="287">
        <f>+'DAL KPI'!G285</f>
        <v>2257</v>
      </c>
      <c r="H62" s="287">
        <f>+'DAL KPI'!H285</f>
        <v>1984</v>
      </c>
      <c r="I62" s="287">
        <f>+'DAL KPI'!I285</f>
        <v>1602</v>
      </c>
      <c r="J62" s="287">
        <f>+'DAL KPI'!J285</f>
        <v>358</v>
      </c>
      <c r="K62" s="287">
        <f>+'DAL KPI'!K285</f>
        <v>489</v>
      </c>
      <c r="L62" s="287">
        <f>+'DAL KPI'!L285</f>
        <v>717</v>
      </c>
      <c r="M62" s="287">
        <f>+'DAL KPI'!M285</f>
        <v>1040</v>
      </c>
      <c r="N62" s="287">
        <f>+'DAL KPI'!N285</f>
        <v>1463</v>
      </c>
      <c r="O62" s="287">
        <f>+'DAL KPI'!O285</f>
        <v>1533</v>
      </c>
      <c r="P62" s="287">
        <f>+'DAL KPI'!P285</f>
        <v>1588</v>
      </c>
      <c r="Q62" s="287">
        <f>+'DAL KPI'!Q285</f>
        <v>2096</v>
      </c>
      <c r="R62" s="287">
        <f ca="1">+'DAL KPI'!R285</f>
        <v>3296</v>
      </c>
      <c r="S62" s="287">
        <f ca="1">+'DAL KPI'!S285</f>
        <v>3314.0006670860726</v>
      </c>
      <c r="T62" s="287">
        <f ca="1">+'DAL KPI'!T285</f>
        <v>3087.5063720376506</v>
      </c>
      <c r="U62" s="255"/>
      <c r="V62" s="287">
        <f>+'DAL KPI'!V285</f>
        <v>7015</v>
      </c>
      <c r="W62" s="287">
        <f>+'DAL KPI'!W285</f>
        <v>9073</v>
      </c>
      <c r="X62" s="255">
        <f>SUMIF('DAL KPI'!$E$5:$T$5,'DAL KPI'!X$5,$E62:$T62)</f>
        <v>8477</v>
      </c>
      <c r="Y62" s="255">
        <f t="shared" ref="Y62:AA63" si="36">SUMIF($E$5:$T$5,Y$5,$E62:$T62)</f>
        <v>3166</v>
      </c>
      <c r="Z62" s="255">
        <f t="shared" si="36"/>
        <v>5624</v>
      </c>
      <c r="AA62" s="255">
        <f t="shared" ca="1" si="36"/>
        <v>11793.507039123724</v>
      </c>
      <c r="AB62" s="287">
        <f>+'DAL KPI'!AB285</f>
        <v>12712.758782621655</v>
      </c>
      <c r="AC62" s="287">
        <f>+'DAL KPI'!AC285</f>
        <v>11959.75797985355</v>
      </c>
      <c r="AD62" s="287">
        <f>+'DAL KPI'!AD285</f>
        <v>12154.053722583929</v>
      </c>
    </row>
    <row r="63" spans="2:30" ht="11.25" customHeight="1">
      <c r="C63" s="647" t="s">
        <v>1073</v>
      </c>
      <c r="E63" s="287">
        <f t="shared" ref="E63:O63" si="37">E29</f>
        <v>220</v>
      </c>
      <c r="F63" s="287">
        <f t="shared" si="37"/>
        <v>518</v>
      </c>
      <c r="G63" s="287">
        <f t="shared" si="37"/>
        <v>517</v>
      </c>
      <c r="H63" s="287">
        <f t="shared" si="37"/>
        <v>387</v>
      </c>
      <c r="I63" s="287">
        <f t="shared" si="37"/>
        <v>0</v>
      </c>
      <c r="J63" s="287">
        <f t="shared" si="37"/>
        <v>0</v>
      </c>
      <c r="K63" s="287">
        <f t="shared" si="37"/>
        <v>0</v>
      </c>
      <c r="L63" s="287">
        <f t="shared" si="37"/>
        <v>0</v>
      </c>
      <c r="M63" s="287">
        <f t="shared" si="37"/>
        <v>0</v>
      </c>
      <c r="N63" s="287">
        <f t="shared" si="37"/>
        <v>0</v>
      </c>
      <c r="O63" s="287">
        <f t="shared" si="37"/>
        <v>0</v>
      </c>
      <c r="P63" s="287">
        <v>0</v>
      </c>
      <c r="Q63" s="287">
        <f>Q29</f>
        <v>0</v>
      </c>
      <c r="R63" s="287">
        <f>R29</f>
        <v>54</v>
      </c>
      <c r="S63" s="287">
        <f ca="1">S29</f>
        <v>270.1298687128579</v>
      </c>
      <c r="T63" s="287">
        <f ca="1">T29</f>
        <v>179.49139732819233</v>
      </c>
      <c r="U63" s="255"/>
      <c r="V63" s="287">
        <f>V29</f>
        <v>1065</v>
      </c>
      <c r="W63" s="287">
        <f>W29</f>
        <v>1301</v>
      </c>
      <c r="X63" s="255">
        <f>SUMIF('DAL KPI'!$E$5:$T$5,'DAL KPI'!X$5,$E63:$T63)</f>
        <v>1642</v>
      </c>
      <c r="Y63" s="255">
        <f t="shared" si="36"/>
        <v>0</v>
      </c>
      <c r="Z63" s="255">
        <f t="shared" si="36"/>
        <v>0</v>
      </c>
      <c r="AA63" s="255">
        <f t="shared" ca="1" si="36"/>
        <v>503.62126604105026</v>
      </c>
      <c r="AB63" s="287">
        <f ca="1">AB29</f>
        <v>14.726113828725648</v>
      </c>
      <c r="AC63" s="287">
        <f ca="1">AC29</f>
        <v>175.44193529930709</v>
      </c>
      <c r="AD63" s="287">
        <f ca="1">AD29</f>
        <v>220.76800696221255</v>
      </c>
    </row>
    <row r="64" spans="2:30" s="279" customFormat="1" ht="11.25" customHeight="1">
      <c r="C64" s="289" t="s">
        <v>1079</v>
      </c>
      <c r="E64" s="396">
        <f t="shared" ref="E64:T64" si="38">E60-SUM(E62:E63)</f>
        <v>7171</v>
      </c>
      <c r="F64" s="396">
        <f t="shared" si="38"/>
        <v>7517</v>
      </c>
      <c r="G64" s="396">
        <f t="shared" si="38"/>
        <v>7685</v>
      </c>
      <c r="H64" s="396">
        <f t="shared" si="38"/>
        <v>7590</v>
      </c>
      <c r="I64" s="396">
        <f t="shared" si="38"/>
        <v>7407</v>
      </c>
      <c r="J64" s="396">
        <f t="shared" si="38"/>
        <v>4445</v>
      </c>
      <c r="K64" s="396">
        <f t="shared" si="38"/>
        <v>4515</v>
      </c>
      <c r="L64" s="396">
        <f t="shared" si="38"/>
        <v>4597</v>
      </c>
      <c r="M64" s="396">
        <f t="shared" si="38"/>
        <v>5221</v>
      </c>
      <c r="N64" s="396">
        <f t="shared" si="38"/>
        <v>5542</v>
      </c>
      <c r="O64" s="396">
        <f t="shared" si="38"/>
        <v>6314</v>
      </c>
      <c r="P64" s="396">
        <f t="shared" si="38"/>
        <v>6498</v>
      </c>
      <c r="Q64" s="396">
        <f t="shared" si="38"/>
        <v>6857</v>
      </c>
      <c r="R64" s="396">
        <f t="shared" ref="R64" ca="1" si="39">R60-SUM(R62:R63)</f>
        <v>7515</v>
      </c>
      <c r="S64" s="396">
        <f t="shared" ca="1" si="38"/>
        <v>7945.5476221998351</v>
      </c>
      <c r="T64" s="396">
        <f t="shared" ca="1" si="38"/>
        <v>7677.0602333134802</v>
      </c>
      <c r="U64" s="255"/>
      <c r="V64" s="396">
        <f t="shared" ref="V64:AD64" si="40">V60-SUM(V62:V63)</f>
        <v>27351</v>
      </c>
      <c r="W64" s="396">
        <f t="shared" si="40"/>
        <v>28853</v>
      </c>
      <c r="X64" s="396">
        <f t="shared" si="40"/>
        <v>29963</v>
      </c>
      <c r="Y64" s="396">
        <f t="shared" si="40"/>
        <v>20964</v>
      </c>
      <c r="Z64" s="396">
        <f t="shared" si="40"/>
        <v>23575</v>
      </c>
      <c r="AA64" s="396">
        <f t="shared" ca="1" si="40"/>
        <v>29994.607855513306</v>
      </c>
      <c r="AB64" s="396">
        <f t="shared" ca="1" si="40"/>
        <v>32867.381263015559</v>
      </c>
      <c r="AC64" s="396">
        <f t="shared" ca="1" si="40"/>
        <v>35721.90735709494</v>
      </c>
      <c r="AD64" s="396">
        <f t="shared" ca="1" si="40"/>
        <v>36211.832813807028</v>
      </c>
    </row>
    <row r="65" spans="3:30" ht="11.25" customHeight="1">
      <c r="O65" s="255"/>
      <c r="P65" s="383"/>
      <c r="U65" s="255"/>
      <c r="Y65" s="383"/>
      <c r="Z65" s="383"/>
      <c r="AB65" s="255"/>
    </row>
    <row r="66" spans="3:30" s="255" customFormat="1" ht="11.25" customHeight="1">
      <c r="C66" s="397" t="s">
        <v>301</v>
      </c>
      <c r="E66" s="255">
        <f t="shared" ref="E66:Q66" si="41">E36</f>
        <v>91</v>
      </c>
      <c r="F66" s="255">
        <f t="shared" si="41"/>
        <v>64</v>
      </c>
      <c r="G66" s="255">
        <f t="shared" si="41"/>
        <v>19</v>
      </c>
      <c r="H66" s="255">
        <f t="shared" si="41"/>
        <v>-66</v>
      </c>
      <c r="I66" s="255">
        <f t="shared" si="41"/>
        <v>6</v>
      </c>
      <c r="J66" s="255">
        <f t="shared" si="41"/>
        <v>-45</v>
      </c>
      <c r="K66" s="255">
        <f t="shared" si="41"/>
        <v>-27</v>
      </c>
      <c r="L66" s="255">
        <f t="shared" si="41"/>
        <v>-21</v>
      </c>
      <c r="M66" s="255">
        <f t="shared" si="41"/>
        <v>-92</v>
      </c>
      <c r="N66" s="255">
        <f t="shared" si="41"/>
        <v>-113</v>
      </c>
      <c r="O66" s="255">
        <f t="shared" si="41"/>
        <v>-96</v>
      </c>
      <c r="P66" s="255">
        <f t="shared" si="41"/>
        <v>-90</v>
      </c>
      <c r="Q66" s="255">
        <f t="shared" si="41"/>
        <v>-29</v>
      </c>
      <c r="R66" s="255">
        <f t="shared" ref="R66" si="42">R36</f>
        <v>-45</v>
      </c>
      <c r="S66" s="255">
        <f>SUM(S67:S69)</f>
        <v>0</v>
      </c>
      <c r="T66" s="255">
        <f>SUM(T67:T69)</f>
        <v>0</v>
      </c>
      <c r="V66" s="255">
        <f t="shared" ref="V66:AA66" si="43">V36</f>
        <v>70</v>
      </c>
      <c r="W66" s="255">
        <f t="shared" si="43"/>
        <v>-160</v>
      </c>
      <c r="X66" s="255">
        <f t="shared" si="43"/>
        <v>108</v>
      </c>
      <c r="Y66" s="255">
        <f t="shared" si="43"/>
        <v>-87</v>
      </c>
      <c r="Z66" s="255">
        <f t="shared" si="43"/>
        <v>-391</v>
      </c>
      <c r="AA66" s="255">
        <f t="shared" si="43"/>
        <v>-74</v>
      </c>
      <c r="AB66" s="255">
        <f>SUM(AB67:AB69)</f>
        <v>0</v>
      </c>
      <c r="AC66" s="255">
        <f>SUM(AC67:AC69)</f>
        <v>0</v>
      </c>
      <c r="AD66" s="255">
        <f>SUM(AD67:AD69)</f>
        <v>0</v>
      </c>
    </row>
    <row r="67" spans="3:30" s="255" customFormat="1" ht="11.25" customHeight="1">
      <c r="C67" s="291" t="s">
        <v>1080</v>
      </c>
      <c r="E67" s="254">
        <f t="shared" ref="E67:T68" si="44">E80</f>
        <v>0</v>
      </c>
      <c r="F67" s="254">
        <f t="shared" si="44"/>
        <v>0</v>
      </c>
      <c r="G67" s="254">
        <f t="shared" si="44"/>
        <v>0</v>
      </c>
      <c r="H67" s="254">
        <f t="shared" si="44"/>
        <v>0</v>
      </c>
      <c r="I67" s="254">
        <f t="shared" si="44"/>
        <v>0</v>
      </c>
      <c r="J67" s="254">
        <f t="shared" si="44"/>
        <v>0</v>
      </c>
      <c r="K67" s="254">
        <f t="shared" si="44"/>
        <v>30</v>
      </c>
      <c r="L67" s="254">
        <f t="shared" si="44"/>
        <v>5</v>
      </c>
      <c r="M67" s="254">
        <f t="shared" si="44"/>
        <v>0</v>
      </c>
      <c r="N67" s="254">
        <f t="shared" si="44"/>
        <v>0</v>
      </c>
      <c r="O67" s="254">
        <f t="shared" si="44"/>
        <v>0</v>
      </c>
      <c r="P67" s="254">
        <f t="shared" si="44"/>
        <v>0</v>
      </c>
      <c r="Q67" s="254">
        <f t="shared" si="44"/>
        <v>0</v>
      </c>
      <c r="R67" s="254">
        <f t="shared" ref="R67" si="45">R80</f>
        <v>0</v>
      </c>
      <c r="S67" s="287">
        <f t="shared" si="44"/>
        <v>0</v>
      </c>
      <c r="T67" s="287">
        <f t="shared" si="44"/>
        <v>0</v>
      </c>
      <c r="V67" s="254">
        <f t="shared" ref="V67:AD68" si="46">V80</f>
        <v>0</v>
      </c>
      <c r="W67" s="254">
        <f t="shared" si="46"/>
        <v>0</v>
      </c>
      <c r="X67" s="255">
        <f t="shared" si="46"/>
        <v>0</v>
      </c>
      <c r="Y67" s="255">
        <f t="shared" si="46"/>
        <v>35</v>
      </c>
      <c r="Z67" s="255">
        <f t="shared" si="46"/>
        <v>0</v>
      </c>
      <c r="AA67" s="255">
        <f t="shared" si="46"/>
        <v>0</v>
      </c>
      <c r="AB67" s="287">
        <f t="shared" si="46"/>
        <v>0</v>
      </c>
      <c r="AC67" s="287">
        <f t="shared" si="46"/>
        <v>0</v>
      </c>
      <c r="AD67" s="287">
        <f t="shared" si="46"/>
        <v>0</v>
      </c>
    </row>
    <row r="68" spans="3:30" s="255" customFormat="1" ht="11.25" customHeight="1">
      <c r="C68" s="291" t="s">
        <v>1081</v>
      </c>
      <c r="E68" s="254">
        <f t="shared" si="44"/>
        <v>-21</v>
      </c>
      <c r="F68" s="254">
        <f t="shared" si="44"/>
        <v>-2</v>
      </c>
      <c r="G68" s="254">
        <f t="shared" si="44"/>
        <v>9</v>
      </c>
      <c r="H68" s="254">
        <f t="shared" si="44"/>
        <v>-1</v>
      </c>
      <c r="I68" s="254">
        <f t="shared" si="44"/>
        <v>69</v>
      </c>
      <c r="J68" s="254">
        <f t="shared" si="44"/>
        <v>-87</v>
      </c>
      <c r="K68" s="254">
        <f t="shared" si="44"/>
        <v>0</v>
      </c>
      <c r="L68" s="254">
        <f t="shared" si="44"/>
        <v>0</v>
      </c>
      <c r="M68" s="254">
        <f t="shared" si="44"/>
        <v>0</v>
      </c>
      <c r="N68" s="254">
        <f t="shared" si="44"/>
        <v>0</v>
      </c>
      <c r="O68" s="254">
        <f t="shared" si="44"/>
        <v>0</v>
      </c>
      <c r="P68" s="254">
        <f t="shared" si="44"/>
        <v>0</v>
      </c>
      <c r="Q68" s="254">
        <f t="shared" si="44"/>
        <v>0</v>
      </c>
      <c r="R68" s="254">
        <f t="shared" ref="R68" si="47">R81</f>
        <v>0</v>
      </c>
      <c r="S68" s="287">
        <f t="shared" si="44"/>
        <v>0</v>
      </c>
      <c r="T68" s="287">
        <f t="shared" si="44"/>
        <v>0</v>
      </c>
      <c r="V68" s="254">
        <f t="shared" si="46"/>
        <v>8</v>
      </c>
      <c r="W68" s="254">
        <f t="shared" si="46"/>
        <v>29</v>
      </c>
      <c r="X68" s="255">
        <f t="shared" si="46"/>
        <v>-15</v>
      </c>
      <c r="Y68" s="255">
        <f t="shared" si="46"/>
        <v>-18</v>
      </c>
      <c r="Z68" s="255">
        <f t="shared" si="46"/>
        <v>0</v>
      </c>
      <c r="AA68" s="255">
        <f t="shared" si="46"/>
        <v>0</v>
      </c>
      <c r="AB68" s="287">
        <f t="shared" si="46"/>
        <v>0</v>
      </c>
      <c r="AC68" s="287">
        <f t="shared" si="46"/>
        <v>0</v>
      </c>
      <c r="AD68" s="287">
        <f t="shared" si="46"/>
        <v>0</v>
      </c>
    </row>
    <row r="69" spans="3:30" s="283" customFormat="1" ht="11.25" customHeight="1">
      <c r="C69" s="286" t="s">
        <v>419</v>
      </c>
      <c r="E69" s="358">
        <f t="shared" ref="E69:Q69" si="48">E66-SUM(E67:E68)</f>
        <v>112</v>
      </c>
      <c r="F69" s="358">
        <f t="shared" si="48"/>
        <v>66</v>
      </c>
      <c r="G69" s="358">
        <f t="shared" si="48"/>
        <v>10</v>
      </c>
      <c r="H69" s="358">
        <f t="shared" si="48"/>
        <v>-65</v>
      </c>
      <c r="I69" s="358">
        <f t="shared" si="48"/>
        <v>-63</v>
      </c>
      <c r="J69" s="358">
        <f t="shared" si="48"/>
        <v>42</v>
      </c>
      <c r="K69" s="358">
        <f t="shared" si="48"/>
        <v>-57</v>
      </c>
      <c r="L69" s="358">
        <f t="shared" si="48"/>
        <v>-26</v>
      </c>
      <c r="M69" s="358">
        <f t="shared" si="48"/>
        <v>-92</v>
      </c>
      <c r="N69" s="358">
        <f t="shared" si="48"/>
        <v>-113</v>
      </c>
      <c r="O69" s="358">
        <f t="shared" si="48"/>
        <v>-96</v>
      </c>
      <c r="P69" s="358">
        <f t="shared" si="48"/>
        <v>-90</v>
      </c>
      <c r="Q69" s="358">
        <f t="shared" si="48"/>
        <v>-29</v>
      </c>
      <c r="R69" s="358">
        <f t="shared" ref="R69" si="49">R66-SUM(R67:R68)</f>
        <v>-45</v>
      </c>
      <c r="S69" s="482">
        <f>'DAL KPI'!S38</f>
        <v>0</v>
      </c>
      <c r="T69" s="482">
        <f>'DAL KPI'!T38</f>
        <v>0</v>
      </c>
      <c r="U69" s="255"/>
      <c r="V69" s="358">
        <f t="shared" ref="V69:AA69" si="50">V66-SUM(V67:V68)</f>
        <v>62</v>
      </c>
      <c r="W69" s="358">
        <f t="shared" si="50"/>
        <v>-189</v>
      </c>
      <c r="X69" s="358">
        <f t="shared" si="50"/>
        <v>123</v>
      </c>
      <c r="Y69" s="358">
        <f t="shared" si="50"/>
        <v>-104</v>
      </c>
      <c r="Z69" s="358">
        <f t="shared" si="50"/>
        <v>-391</v>
      </c>
      <c r="AA69" s="358">
        <f t="shared" si="50"/>
        <v>-74</v>
      </c>
      <c r="AB69" s="482">
        <f>'DAL KPI'!AB38</f>
        <v>0</v>
      </c>
      <c r="AC69" s="482">
        <f>'DAL KPI'!AC38</f>
        <v>0</v>
      </c>
      <c r="AD69" s="482">
        <f>'DAL KPI'!AD38</f>
        <v>0</v>
      </c>
    </row>
    <row r="70" spans="3:30" s="255" customFormat="1" ht="11.25" customHeight="1">
      <c r="C70" s="282"/>
    </row>
    <row r="71" spans="3:30" ht="11.25" customHeight="1">
      <c r="C71" s="397" t="s">
        <v>1063</v>
      </c>
      <c r="E71" s="255">
        <f t="shared" ref="E71:T71" si="51">E40</f>
        <v>946</v>
      </c>
      <c r="F71" s="255">
        <f t="shared" si="51"/>
        <v>1907</v>
      </c>
      <c r="G71" s="255">
        <f t="shared" si="51"/>
        <v>1947</v>
      </c>
      <c r="H71" s="255">
        <f t="shared" si="51"/>
        <v>1397</v>
      </c>
      <c r="I71" s="255">
        <f t="shared" si="51"/>
        <v>-607</v>
      </c>
      <c r="J71" s="255">
        <f t="shared" si="51"/>
        <v>-7014</v>
      </c>
      <c r="K71" s="255">
        <f t="shared" si="51"/>
        <v>-6859</v>
      </c>
      <c r="L71" s="255">
        <f t="shared" si="51"/>
        <v>-1108</v>
      </c>
      <c r="M71" s="255">
        <f t="shared" si="51"/>
        <v>-1515</v>
      </c>
      <c r="N71" s="255">
        <f t="shared" si="51"/>
        <v>776</v>
      </c>
      <c r="O71" s="255">
        <f t="shared" si="51"/>
        <v>1532</v>
      </c>
      <c r="P71" s="254">
        <f t="shared" si="51"/>
        <v>-395</v>
      </c>
      <c r="Q71" s="255">
        <f t="shared" si="51"/>
        <v>-1200</v>
      </c>
      <c r="R71" s="255">
        <f t="shared" ref="R71" si="52">R40</f>
        <v>1033</v>
      </c>
      <c r="S71" s="255">
        <f t="shared" ca="1" si="51"/>
        <v>657.78435475603465</v>
      </c>
      <c r="T71" s="255">
        <f t="shared" ca="1" si="51"/>
        <v>-321.15930106759834</v>
      </c>
      <c r="V71" s="255">
        <f t="shared" ref="V71:AD71" si="53">V40</f>
        <v>5500</v>
      </c>
      <c r="W71" s="255">
        <f t="shared" si="53"/>
        <v>5151</v>
      </c>
      <c r="X71" s="255">
        <f t="shared" si="53"/>
        <v>6197</v>
      </c>
      <c r="Y71" s="255">
        <f t="shared" si="53"/>
        <v>-15588</v>
      </c>
      <c r="Z71" s="255">
        <f t="shared" si="53"/>
        <v>398</v>
      </c>
      <c r="AA71" s="255">
        <f t="shared" ca="1" si="53"/>
        <v>169.62505368843085</v>
      </c>
      <c r="AB71" s="255">
        <f t="shared" ca="1" si="53"/>
        <v>147.26113828753932</v>
      </c>
      <c r="AC71" s="255">
        <f t="shared" ca="1" si="53"/>
        <v>1754.4193529993127</v>
      </c>
      <c r="AD71" s="255">
        <f t="shared" ca="1" si="53"/>
        <v>2207.680069689638</v>
      </c>
    </row>
    <row r="72" spans="3:30" ht="11.25" customHeight="1">
      <c r="C72" s="639" t="s">
        <v>1082</v>
      </c>
      <c r="E72" s="284">
        <f t="shared" ref="E72:T72" si="54">E39</f>
        <v>0</v>
      </c>
      <c r="F72" s="284">
        <f t="shared" si="54"/>
        <v>0</v>
      </c>
      <c r="G72" s="284">
        <f t="shared" si="54"/>
        <v>0</v>
      </c>
      <c r="H72" s="284">
        <f t="shared" si="54"/>
        <v>0</v>
      </c>
      <c r="I72" s="254">
        <f t="shared" si="54"/>
        <v>0</v>
      </c>
      <c r="J72" s="254">
        <f t="shared" si="54"/>
        <v>0</v>
      </c>
      <c r="K72" s="254">
        <f t="shared" si="54"/>
        <v>0</v>
      </c>
      <c r="L72" s="254">
        <f t="shared" si="54"/>
        <v>0</v>
      </c>
      <c r="M72" s="254">
        <f t="shared" si="54"/>
        <v>56</v>
      </c>
      <c r="N72" s="254">
        <f t="shared" si="54"/>
        <v>26</v>
      </c>
      <c r="O72" s="254">
        <f t="shared" si="54"/>
        <v>183</v>
      </c>
      <c r="P72" s="254">
        <f t="shared" si="54"/>
        <v>54</v>
      </c>
      <c r="Q72" s="254">
        <f t="shared" si="54"/>
        <v>25</v>
      </c>
      <c r="R72" s="254">
        <f t="shared" ref="R72" si="55">R39</f>
        <v>41</v>
      </c>
      <c r="S72" s="254">
        <f t="shared" si="54"/>
        <v>0</v>
      </c>
      <c r="T72" s="254">
        <f t="shared" si="54"/>
        <v>0</v>
      </c>
      <c r="V72" s="254">
        <f>V39</f>
        <v>0</v>
      </c>
      <c r="W72" s="254">
        <f>W39</f>
        <v>0</v>
      </c>
      <c r="X72" s="254">
        <f t="shared" ref="X72:AA81" si="56">SUMIF($E$5:$T$5,X$5,$E72:$T72)</f>
        <v>0</v>
      </c>
      <c r="Y72" s="254">
        <f t="shared" si="56"/>
        <v>0</v>
      </c>
      <c r="Z72" s="254">
        <f t="shared" si="56"/>
        <v>319</v>
      </c>
      <c r="AA72" s="254">
        <f t="shared" si="56"/>
        <v>66</v>
      </c>
      <c r="AB72" s="254">
        <f>AB39</f>
        <v>0</v>
      </c>
      <c r="AC72" s="254">
        <f>AC39</f>
        <v>0</v>
      </c>
      <c r="AD72" s="254">
        <f>AD39</f>
        <v>0</v>
      </c>
    </row>
    <row r="73" spans="3:30" ht="11.25" customHeight="1">
      <c r="C73" s="384" t="s">
        <v>1083</v>
      </c>
      <c r="E73" s="254">
        <f t="shared" ref="E73:T73" si="57">E38</f>
        <v>-100</v>
      </c>
      <c r="F73" s="254">
        <f t="shared" si="57"/>
        <v>82</v>
      </c>
      <c r="G73" s="254">
        <f t="shared" si="57"/>
        <v>35</v>
      </c>
      <c r="H73" s="254">
        <f t="shared" si="57"/>
        <v>-4</v>
      </c>
      <c r="I73" s="254">
        <f t="shared" si="57"/>
        <v>123</v>
      </c>
      <c r="J73" s="254">
        <f t="shared" si="57"/>
        <v>-9</v>
      </c>
      <c r="K73" s="254">
        <f t="shared" si="57"/>
        <v>99</v>
      </c>
      <c r="L73" s="254">
        <f t="shared" si="57"/>
        <v>-94</v>
      </c>
      <c r="M73" s="254">
        <f t="shared" si="57"/>
        <v>-262</v>
      </c>
      <c r="N73" s="254">
        <f t="shared" si="57"/>
        <v>-211</v>
      </c>
      <c r="O73" s="254">
        <f t="shared" si="57"/>
        <v>223</v>
      </c>
      <c r="P73" s="254">
        <f t="shared" si="57"/>
        <v>197</v>
      </c>
      <c r="Q73" s="254">
        <f t="shared" si="57"/>
        <v>147</v>
      </c>
      <c r="R73" s="254">
        <f t="shared" ref="R73" si="58">R38</f>
        <v>221</v>
      </c>
      <c r="S73" s="254">
        <f t="shared" si="57"/>
        <v>0</v>
      </c>
      <c r="T73" s="254">
        <f t="shared" si="57"/>
        <v>0</v>
      </c>
      <c r="U73" s="277"/>
      <c r="V73" s="254">
        <f>V38</f>
        <v>0</v>
      </c>
      <c r="W73" s="254">
        <f>W38</f>
        <v>-38</v>
      </c>
      <c r="X73" s="254">
        <f t="shared" si="56"/>
        <v>13</v>
      </c>
      <c r="Y73" s="254">
        <f t="shared" si="56"/>
        <v>119</v>
      </c>
      <c r="Z73" s="254">
        <f t="shared" si="56"/>
        <v>-53</v>
      </c>
      <c r="AA73" s="254">
        <f t="shared" si="56"/>
        <v>368</v>
      </c>
      <c r="AB73" s="254">
        <f>AB38</f>
        <v>0</v>
      </c>
      <c r="AC73" s="254">
        <f>AC38</f>
        <v>0</v>
      </c>
      <c r="AD73" s="254">
        <f>AD38</f>
        <v>0</v>
      </c>
    </row>
    <row r="74" spans="3:30" ht="11.25" customHeight="1">
      <c r="C74" s="639" t="s">
        <v>1084</v>
      </c>
      <c r="E74" s="255">
        <f t="shared" ref="E74:T74" si="59">E37</f>
        <v>0</v>
      </c>
      <c r="F74" s="255">
        <f t="shared" si="59"/>
        <v>0</v>
      </c>
      <c r="G74" s="255">
        <f t="shared" si="59"/>
        <v>0</v>
      </c>
      <c r="H74" s="255">
        <f t="shared" si="59"/>
        <v>0</v>
      </c>
      <c r="I74" s="255">
        <f t="shared" si="59"/>
        <v>0</v>
      </c>
      <c r="J74" s="255">
        <f t="shared" si="59"/>
        <v>2058</v>
      </c>
      <c r="K74" s="255">
        <f t="shared" si="59"/>
        <v>114</v>
      </c>
      <c r="L74" s="255">
        <f t="shared" si="59"/>
        <v>0</v>
      </c>
      <c r="M74" s="255">
        <f t="shared" si="59"/>
        <v>54</v>
      </c>
      <c r="N74" s="255">
        <f t="shared" si="59"/>
        <v>0</v>
      </c>
      <c r="O74" s="255">
        <f t="shared" si="59"/>
        <v>49</v>
      </c>
      <c r="P74" s="254">
        <f t="shared" si="59"/>
        <v>232</v>
      </c>
      <c r="Q74" s="254">
        <f t="shared" si="59"/>
        <v>0</v>
      </c>
      <c r="R74" s="254">
        <f t="shared" ref="R74" si="60">R37</f>
        <v>0</v>
      </c>
      <c r="S74" s="254">
        <f t="shared" si="59"/>
        <v>0</v>
      </c>
      <c r="T74" s="254">
        <f t="shared" si="59"/>
        <v>0</v>
      </c>
      <c r="V74" s="254">
        <f>V37</f>
        <v>0</v>
      </c>
      <c r="W74" s="254">
        <f>W37</f>
        <v>0</v>
      </c>
      <c r="X74" s="254">
        <f t="shared" si="56"/>
        <v>0</v>
      </c>
      <c r="Y74" s="254">
        <f t="shared" si="56"/>
        <v>2172</v>
      </c>
      <c r="Z74" s="254">
        <f t="shared" si="56"/>
        <v>335</v>
      </c>
      <c r="AA74" s="254">
        <f t="shared" si="56"/>
        <v>0</v>
      </c>
      <c r="AB74" s="254">
        <f>AB37</f>
        <v>0</v>
      </c>
      <c r="AC74" s="254">
        <f>AC37</f>
        <v>0</v>
      </c>
      <c r="AD74" s="254">
        <f>AD37</f>
        <v>0</v>
      </c>
    </row>
    <row r="75" spans="3:30" ht="11.25" customHeight="1">
      <c r="C75" s="639" t="s">
        <v>1085</v>
      </c>
      <c r="E75" s="255">
        <f t="shared" ref="E75:T75" si="61">E31</f>
        <v>0</v>
      </c>
      <c r="F75" s="255">
        <f t="shared" si="61"/>
        <v>0</v>
      </c>
      <c r="G75" s="255">
        <f t="shared" si="61"/>
        <v>0</v>
      </c>
      <c r="H75" s="255">
        <f t="shared" si="61"/>
        <v>0</v>
      </c>
      <c r="I75" s="255">
        <f t="shared" si="61"/>
        <v>0</v>
      </c>
      <c r="J75" s="255">
        <f t="shared" si="61"/>
        <v>-1280</v>
      </c>
      <c r="K75" s="255">
        <f t="shared" si="61"/>
        <v>-1315</v>
      </c>
      <c r="L75" s="255">
        <f t="shared" si="61"/>
        <v>-1351</v>
      </c>
      <c r="M75" s="255">
        <f t="shared" si="61"/>
        <v>-1186</v>
      </c>
      <c r="N75" s="255">
        <f t="shared" si="61"/>
        <v>-1504</v>
      </c>
      <c r="O75" s="255">
        <f t="shared" si="61"/>
        <v>-1822</v>
      </c>
      <c r="P75" s="254">
        <f t="shared" si="61"/>
        <v>0</v>
      </c>
      <c r="Q75" s="254">
        <f t="shared" si="61"/>
        <v>0</v>
      </c>
      <c r="R75" s="254">
        <f t="shared" ref="R75" si="62">R31</f>
        <v>0</v>
      </c>
      <c r="S75" s="254">
        <f t="shared" si="61"/>
        <v>0</v>
      </c>
      <c r="T75" s="254">
        <f t="shared" si="61"/>
        <v>0</v>
      </c>
      <c r="V75" s="254">
        <f>V31</f>
        <v>0</v>
      </c>
      <c r="W75" s="254">
        <f>W31</f>
        <v>0</v>
      </c>
      <c r="X75" s="254">
        <f t="shared" si="56"/>
        <v>0</v>
      </c>
      <c r="Y75" s="254">
        <f t="shared" si="56"/>
        <v>-3946</v>
      </c>
      <c r="Z75" s="254">
        <f t="shared" si="56"/>
        <v>-4512</v>
      </c>
      <c r="AA75" s="254">
        <f t="shared" si="56"/>
        <v>0</v>
      </c>
      <c r="AB75" s="254">
        <f>AB31</f>
        <v>0</v>
      </c>
      <c r="AC75" s="254">
        <f>AC31</f>
        <v>0</v>
      </c>
      <c r="AD75" s="254">
        <f>AD31</f>
        <v>0</v>
      </c>
    </row>
    <row r="76" spans="3:30" ht="11.25" customHeight="1">
      <c r="C76" s="639" t="s">
        <v>1086</v>
      </c>
      <c r="E76" s="255">
        <f t="shared" ref="E76:T76" si="63">E30</f>
        <v>0</v>
      </c>
      <c r="F76" s="255">
        <f t="shared" si="63"/>
        <v>0</v>
      </c>
      <c r="G76" s="255">
        <f t="shared" si="63"/>
        <v>0</v>
      </c>
      <c r="H76" s="255">
        <f t="shared" si="63"/>
        <v>0</v>
      </c>
      <c r="I76" s="255">
        <f t="shared" si="63"/>
        <v>0</v>
      </c>
      <c r="J76" s="255">
        <f t="shared" si="63"/>
        <v>2454</v>
      </c>
      <c r="K76" s="255">
        <f t="shared" si="63"/>
        <v>5345</v>
      </c>
      <c r="L76" s="255">
        <f t="shared" si="63"/>
        <v>421</v>
      </c>
      <c r="M76" s="255">
        <f t="shared" si="63"/>
        <v>-44</v>
      </c>
      <c r="N76" s="255">
        <f t="shared" si="63"/>
        <v>8</v>
      </c>
      <c r="O76" s="255">
        <f t="shared" si="63"/>
        <v>33</v>
      </c>
      <c r="P76" s="254">
        <f t="shared" si="63"/>
        <v>-16</v>
      </c>
      <c r="Q76" s="254">
        <f t="shared" si="63"/>
        <v>-5</v>
      </c>
      <c r="R76" s="254">
        <f t="shared" ref="R76" si="64">R30</f>
        <v>-1</v>
      </c>
      <c r="S76" s="254">
        <f t="shared" si="63"/>
        <v>0</v>
      </c>
      <c r="T76" s="254">
        <f t="shared" si="63"/>
        <v>0</v>
      </c>
      <c r="V76" s="254">
        <f>V30</f>
        <v>0</v>
      </c>
      <c r="W76" s="254">
        <f>W30</f>
        <v>0</v>
      </c>
      <c r="X76" s="254">
        <f t="shared" si="56"/>
        <v>0</v>
      </c>
      <c r="Y76" s="254">
        <f t="shared" si="56"/>
        <v>8220</v>
      </c>
      <c r="Z76" s="254">
        <f t="shared" si="56"/>
        <v>-19</v>
      </c>
      <c r="AA76" s="254">
        <f t="shared" si="56"/>
        <v>-6</v>
      </c>
      <c r="AB76" s="254">
        <f>AB30</f>
        <v>0</v>
      </c>
      <c r="AC76" s="254">
        <f>AC30</f>
        <v>0</v>
      </c>
      <c r="AD76" s="254">
        <f>AD30</f>
        <v>0</v>
      </c>
    </row>
    <row r="77" spans="3:30" ht="11.25" customHeight="1">
      <c r="C77" s="639" t="s">
        <v>1087</v>
      </c>
      <c r="E77" s="277">
        <v>0</v>
      </c>
      <c r="F77" s="277">
        <v>0</v>
      </c>
      <c r="G77" s="277">
        <v>0</v>
      </c>
      <c r="H77" s="277">
        <v>0</v>
      </c>
      <c r="I77" s="277">
        <v>0</v>
      </c>
      <c r="J77" s="277">
        <v>0</v>
      </c>
      <c r="K77" s="277">
        <v>0</v>
      </c>
      <c r="L77" s="277">
        <v>0</v>
      </c>
      <c r="M77" s="277">
        <v>0</v>
      </c>
      <c r="N77" s="277">
        <v>0</v>
      </c>
      <c r="O77" s="277">
        <v>0</v>
      </c>
      <c r="P77" s="284">
        <f>+P29</f>
        <v>108</v>
      </c>
      <c r="Q77" s="277">
        <v>0</v>
      </c>
      <c r="R77" s="277">
        <v>0</v>
      </c>
      <c r="S77" s="277">
        <v>0</v>
      </c>
      <c r="T77" s="277">
        <v>0</v>
      </c>
      <c r="V77" s="277">
        <v>0</v>
      </c>
      <c r="W77" s="277">
        <v>0</v>
      </c>
      <c r="X77" s="254">
        <f t="shared" si="56"/>
        <v>0</v>
      </c>
      <c r="Y77" s="254">
        <f t="shared" si="56"/>
        <v>0</v>
      </c>
      <c r="Z77" s="254">
        <f t="shared" si="56"/>
        <v>108</v>
      </c>
      <c r="AA77" s="254">
        <f t="shared" si="56"/>
        <v>0</v>
      </c>
      <c r="AB77" s="277">
        <v>0</v>
      </c>
      <c r="AC77" s="277">
        <v>0</v>
      </c>
      <c r="AD77" s="277">
        <v>0</v>
      </c>
    </row>
    <row r="78" spans="3:30" ht="11.25" customHeight="1">
      <c r="C78" s="384" t="s">
        <v>1088</v>
      </c>
      <c r="E78" s="254">
        <f t="shared" ref="E78:T78" si="65">+E58</f>
        <v>8</v>
      </c>
      <c r="F78" s="254">
        <f t="shared" si="65"/>
        <v>10</v>
      </c>
      <c r="G78" s="254">
        <f t="shared" si="65"/>
        <v>-25</v>
      </c>
      <c r="H78" s="254">
        <f t="shared" si="65"/>
        <v>22</v>
      </c>
      <c r="I78" s="254">
        <f t="shared" si="65"/>
        <v>-7</v>
      </c>
      <c r="J78" s="254">
        <f t="shared" si="65"/>
        <v>14</v>
      </c>
      <c r="K78" s="254">
        <f t="shared" si="65"/>
        <v>-3</v>
      </c>
      <c r="L78" s="254">
        <f t="shared" si="65"/>
        <v>6</v>
      </c>
      <c r="M78" s="254">
        <f t="shared" si="65"/>
        <v>-23</v>
      </c>
      <c r="N78" s="254">
        <f t="shared" si="65"/>
        <v>24</v>
      </c>
      <c r="O78" s="254">
        <f t="shared" si="65"/>
        <v>19</v>
      </c>
      <c r="P78" s="254">
        <f t="shared" si="65"/>
        <v>-11</v>
      </c>
      <c r="Q78" s="254">
        <f t="shared" si="65"/>
        <v>-4</v>
      </c>
      <c r="R78" s="254">
        <f t="shared" ref="R78" si="66">+R58</f>
        <v>-73</v>
      </c>
      <c r="S78" s="254">
        <f t="shared" si="65"/>
        <v>7.992051045654021</v>
      </c>
      <c r="T78" s="254">
        <f t="shared" si="65"/>
        <v>5.9012550450818564</v>
      </c>
      <c r="U78" s="277"/>
      <c r="V78" s="254">
        <f>+V58</f>
        <v>-259</v>
      </c>
      <c r="W78" s="254">
        <f>+W58</f>
        <v>-53</v>
      </c>
      <c r="X78" s="254">
        <f t="shared" si="56"/>
        <v>15</v>
      </c>
      <c r="Y78" s="254">
        <f t="shared" si="56"/>
        <v>10</v>
      </c>
      <c r="Z78" s="254">
        <f t="shared" si="56"/>
        <v>9</v>
      </c>
      <c r="AA78" s="254">
        <f t="shared" si="56"/>
        <v>-63.106693909264123</v>
      </c>
      <c r="AB78" s="254">
        <f>+AB58</f>
        <v>14.11731000494539</v>
      </c>
      <c r="AC78" s="254">
        <f>+AC58</f>
        <v>14.973073966220417</v>
      </c>
      <c r="AD78" s="254">
        <f>+AD58</f>
        <v>15.219204600382501</v>
      </c>
    </row>
    <row r="79" spans="3:30" ht="11.25" customHeight="1">
      <c r="C79" s="384" t="s">
        <v>1089</v>
      </c>
      <c r="E79" s="284">
        <f>+E59-'DAL KPI'!E104</f>
        <v>-1</v>
      </c>
      <c r="F79" s="284">
        <f>+F59-'DAL KPI'!F104</f>
        <v>1</v>
      </c>
      <c r="G79" s="284">
        <f>+G59-'DAL KPI'!G104</f>
        <v>2</v>
      </c>
      <c r="H79" s="284">
        <f>+H59-'DAL KPI'!H104</f>
        <v>2</v>
      </c>
      <c r="I79" s="284">
        <f>+I59-'DAL KPI'!I104</f>
        <v>0</v>
      </c>
      <c r="J79" s="284">
        <f>+J59-'DAL KPI'!J104</f>
        <v>0</v>
      </c>
      <c r="K79" s="284">
        <f>+K59-'DAL KPI'!K104</f>
        <v>0</v>
      </c>
      <c r="L79" s="284">
        <f>+L59-'DAL KPI'!L104</f>
        <v>0</v>
      </c>
      <c r="M79" s="284">
        <f>+M59-'DAL KPI'!M104</f>
        <v>0</v>
      </c>
      <c r="N79" s="284">
        <f>+N59-'DAL KPI'!N104</f>
        <v>0</v>
      </c>
      <c r="O79" s="284">
        <f>+O59-'DAL KPI'!O104</f>
        <v>0</v>
      </c>
      <c r="P79" s="284">
        <f>+P59-'DAL KPI'!P104</f>
        <v>0</v>
      </c>
      <c r="Q79" s="254">
        <f>+Q59-'DAL KPI'!Q104</f>
        <v>0</v>
      </c>
      <c r="R79" s="254">
        <f>+R59-'DAL KPI'!R104</f>
        <v>0</v>
      </c>
      <c r="S79" s="254">
        <f>+S59-'DAL KPI'!S104</f>
        <v>0</v>
      </c>
      <c r="T79" s="254">
        <f>+T59-'DAL KPI'!T104</f>
        <v>0</v>
      </c>
      <c r="U79" s="277"/>
      <c r="V79" s="254">
        <f>+V59-'DAL KPI'!V104</f>
        <v>0</v>
      </c>
      <c r="W79" s="254">
        <f>+W59-'DAL KPI'!W104</f>
        <v>0</v>
      </c>
      <c r="X79" s="254">
        <f t="shared" si="56"/>
        <v>4</v>
      </c>
      <c r="Y79" s="254">
        <f t="shared" si="56"/>
        <v>0</v>
      </c>
      <c r="Z79" s="254">
        <f t="shared" si="56"/>
        <v>0</v>
      </c>
      <c r="AA79" s="254">
        <f t="shared" si="56"/>
        <v>0</v>
      </c>
      <c r="AB79" s="254">
        <f>+AB59-'DAL KPI'!AB104</f>
        <v>0</v>
      </c>
      <c r="AC79" s="254">
        <f>+AC59-'DAL KPI'!AC104</f>
        <v>0</v>
      </c>
      <c r="AD79" s="254">
        <f>+AD59-'DAL KPI'!AD104</f>
        <v>0</v>
      </c>
    </row>
    <row r="80" spans="3:30" ht="11.25" customHeight="1">
      <c r="C80" s="639" t="s">
        <v>1090</v>
      </c>
      <c r="E80" s="277">
        <v>0</v>
      </c>
      <c r="F80" s="277">
        <v>0</v>
      </c>
      <c r="G80" s="277">
        <v>0</v>
      </c>
      <c r="H80" s="277">
        <v>0</v>
      </c>
      <c r="I80" s="277">
        <v>0</v>
      </c>
      <c r="J80" s="277">
        <v>0</v>
      </c>
      <c r="K80" s="277">
        <v>30</v>
      </c>
      <c r="L80" s="277">
        <v>5</v>
      </c>
      <c r="M80" s="277">
        <v>0</v>
      </c>
      <c r="N80" s="277">
        <v>0</v>
      </c>
      <c r="O80" s="277">
        <v>0</v>
      </c>
      <c r="P80" s="277">
        <v>0</v>
      </c>
      <c r="Q80" s="277">
        <v>0</v>
      </c>
      <c r="R80" s="277">
        <v>0</v>
      </c>
      <c r="S80" s="277">
        <v>0</v>
      </c>
      <c r="T80" s="277">
        <v>0</v>
      </c>
      <c r="V80" s="277">
        <v>0</v>
      </c>
      <c r="W80" s="277">
        <v>0</v>
      </c>
      <c r="X80" s="254">
        <f t="shared" si="56"/>
        <v>0</v>
      </c>
      <c r="Y80" s="254">
        <f t="shared" si="56"/>
        <v>35</v>
      </c>
      <c r="Z80" s="254">
        <f t="shared" si="56"/>
        <v>0</v>
      </c>
      <c r="AA80" s="254">
        <f t="shared" si="56"/>
        <v>0</v>
      </c>
      <c r="AB80" s="277">
        <v>0</v>
      </c>
      <c r="AC80" s="277">
        <v>0</v>
      </c>
      <c r="AD80" s="277">
        <v>0</v>
      </c>
    </row>
    <row r="81" spans="3:30" ht="11.25" customHeight="1">
      <c r="C81" s="384" t="s">
        <v>1091</v>
      </c>
      <c r="E81" s="277">
        <v>-21</v>
      </c>
      <c r="F81" s="277">
        <v>-2</v>
      </c>
      <c r="G81" s="277">
        <v>9</v>
      </c>
      <c r="H81" s="277">
        <v>-1</v>
      </c>
      <c r="I81" s="277">
        <v>69</v>
      </c>
      <c r="J81" s="277">
        <v>-87</v>
      </c>
      <c r="K81" s="277">
        <v>0</v>
      </c>
      <c r="L81" s="277">
        <v>0</v>
      </c>
      <c r="M81" s="277">
        <v>0</v>
      </c>
      <c r="N81" s="277">
        <v>0</v>
      </c>
      <c r="O81" s="277">
        <v>0</v>
      </c>
      <c r="P81" s="277">
        <v>0</v>
      </c>
      <c r="Q81" s="277">
        <v>0</v>
      </c>
      <c r="R81" s="277">
        <v>0</v>
      </c>
      <c r="S81" s="277">
        <v>0</v>
      </c>
      <c r="T81" s="277">
        <v>0</v>
      </c>
      <c r="U81" s="277"/>
      <c r="V81" s="277">
        <v>8</v>
      </c>
      <c r="W81" s="277">
        <v>29</v>
      </c>
      <c r="X81" s="254">
        <f t="shared" si="56"/>
        <v>-15</v>
      </c>
      <c r="Y81" s="254">
        <f t="shared" si="56"/>
        <v>-18</v>
      </c>
      <c r="Z81" s="254">
        <f t="shared" si="56"/>
        <v>0</v>
      </c>
      <c r="AA81" s="254">
        <f t="shared" si="56"/>
        <v>0</v>
      </c>
      <c r="AB81" s="277">
        <v>0</v>
      </c>
      <c r="AC81" s="277">
        <v>0</v>
      </c>
      <c r="AD81" s="277">
        <v>0</v>
      </c>
    </row>
    <row r="82" spans="3:30" s="279" customFormat="1" ht="11.25" customHeight="1">
      <c r="C82" s="289" t="s">
        <v>426</v>
      </c>
      <c r="E82" s="358">
        <f t="shared" ref="E82:T82" si="67">SUM(E71:E81)</f>
        <v>832</v>
      </c>
      <c r="F82" s="358">
        <f t="shared" si="67"/>
        <v>1998</v>
      </c>
      <c r="G82" s="358">
        <f t="shared" si="67"/>
        <v>1968</v>
      </c>
      <c r="H82" s="358">
        <f t="shared" si="67"/>
        <v>1416</v>
      </c>
      <c r="I82" s="358">
        <f t="shared" si="67"/>
        <v>-422</v>
      </c>
      <c r="J82" s="358">
        <f t="shared" si="67"/>
        <v>-3864</v>
      </c>
      <c r="K82" s="358">
        <f t="shared" si="67"/>
        <v>-2589</v>
      </c>
      <c r="L82" s="358">
        <f t="shared" si="67"/>
        <v>-2121</v>
      </c>
      <c r="M82" s="358">
        <f t="shared" si="67"/>
        <v>-2920</v>
      </c>
      <c r="N82" s="358">
        <f t="shared" si="67"/>
        <v>-881</v>
      </c>
      <c r="O82" s="358">
        <f t="shared" si="67"/>
        <v>217</v>
      </c>
      <c r="P82" s="358">
        <f t="shared" si="67"/>
        <v>169</v>
      </c>
      <c r="Q82" s="358">
        <f t="shared" si="67"/>
        <v>-1037</v>
      </c>
      <c r="R82" s="358">
        <f t="shared" ref="R82" si="68">SUM(R71:R81)</f>
        <v>1221</v>
      </c>
      <c r="S82" s="358">
        <f t="shared" ca="1" si="67"/>
        <v>665.77640580168861</v>
      </c>
      <c r="T82" s="358">
        <f t="shared" ca="1" si="67"/>
        <v>-315.25804602251645</v>
      </c>
      <c r="U82" s="277"/>
      <c r="V82" s="358">
        <f t="shared" ref="V82:AA82" si="69">SUM(V71:V81)</f>
        <v>5249</v>
      </c>
      <c r="W82" s="358">
        <f t="shared" si="69"/>
        <v>5089</v>
      </c>
      <c r="X82" s="358">
        <f t="shared" si="69"/>
        <v>6214</v>
      </c>
      <c r="Y82" s="358">
        <f t="shared" si="69"/>
        <v>-8996</v>
      </c>
      <c r="Z82" s="358">
        <f t="shared" si="69"/>
        <v>-3415</v>
      </c>
      <c r="AA82" s="358">
        <f t="shared" ca="1" si="69"/>
        <v>534.51835977916676</v>
      </c>
      <c r="AB82" s="358">
        <f ca="1">SUM(AB71:AB81)</f>
        <v>161.37844829248471</v>
      </c>
      <c r="AC82" s="358">
        <f ca="1">SUM(AC71:AC81)</f>
        <v>1769.3924269655331</v>
      </c>
      <c r="AD82" s="358">
        <f ca="1">SUM(AD71:AD81)</f>
        <v>2222.8992742900205</v>
      </c>
    </row>
    <row r="83" spans="3:30" ht="11.25" customHeight="1">
      <c r="E83" s="383"/>
      <c r="F83" s="383"/>
      <c r="G83" s="383"/>
      <c r="H83" s="383"/>
      <c r="I83" s="383"/>
      <c r="J83" s="383"/>
      <c r="K83" s="383"/>
      <c r="L83" s="383"/>
      <c r="M83" s="383"/>
      <c r="N83" s="383"/>
      <c r="O83" s="383"/>
      <c r="P83" s="383"/>
      <c r="Q83" s="383"/>
      <c r="R83" s="383"/>
      <c r="S83" s="383"/>
      <c r="T83" s="383"/>
      <c r="U83" s="383"/>
      <c r="V83" s="383"/>
      <c r="W83" s="383"/>
      <c r="AB83" s="383"/>
      <c r="AC83" s="383"/>
      <c r="AD83" s="383"/>
    </row>
    <row r="84" spans="3:30" ht="11.25" customHeight="1">
      <c r="C84" s="397" t="s">
        <v>1064</v>
      </c>
      <c r="E84" s="255">
        <f t="shared" ref="E84:Q84" si="70">E42</f>
        <v>216</v>
      </c>
      <c r="F84" s="255">
        <f t="shared" si="70"/>
        <v>464</v>
      </c>
      <c r="G84" s="255">
        <f t="shared" si="70"/>
        <v>452</v>
      </c>
      <c r="H84" s="255">
        <f t="shared" si="70"/>
        <v>298</v>
      </c>
      <c r="I84" s="255">
        <f t="shared" si="70"/>
        <v>-73</v>
      </c>
      <c r="J84" s="255">
        <f t="shared" si="70"/>
        <v>-1297</v>
      </c>
      <c r="K84" s="255">
        <f t="shared" si="70"/>
        <v>-1480</v>
      </c>
      <c r="L84" s="255">
        <f t="shared" si="70"/>
        <v>-353</v>
      </c>
      <c r="M84" s="255">
        <f t="shared" si="70"/>
        <v>-338</v>
      </c>
      <c r="N84" s="255">
        <f t="shared" si="70"/>
        <v>124</v>
      </c>
      <c r="O84" s="255">
        <f t="shared" si="70"/>
        <v>320</v>
      </c>
      <c r="P84" s="255">
        <f t="shared" si="70"/>
        <v>13</v>
      </c>
      <c r="Q84" s="255">
        <f t="shared" si="70"/>
        <v>-260</v>
      </c>
      <c r="R84" s="255">
        <f t="shared" ref="R84" si="71">R42</f>
        <v>298</v>
      </c>
      <c r="S84" s="255">
        <f ca="1">+SUM(S85:S95)</f>
        <v>0</v>
      </c>
      <c r="T84" s="255">
        <f ca="1">+SUM(T85:T95)</f>
        <v>0</v>
      </c>
      <c r="V84" s="255">
        <f t="shared" ref="V84:AA84" si="72">V42</f>
        <v>2295</v>
      </c>
      <c r="W84" s="255">
        <f t="shared" si="72"/>
        <v>1216</v>
      </c>
      <c r="X84" s="255">
        <f t="shared" si="72"/>
        <v>1430</v>
      </c>
      <c r="Y84" s="255">
        <f t="shared" si="72"/>
        <v>-3203</v>
      </c>
      <c r="Z84" s="255">
        <f t="shared" si="72"/>
        <v>119</v>
      </c>
      <c r="AA84" s="255">
        <f t="shared" ca="1" si="72"/>
        <v>38</v>
      </c>
      <c r="AB84" s="255">
        <f ca="1">+SUM(AB85:AB95)</f>
        <v>0</v>
      </c>
      <c r="AC84" s="255">
        <f ca="1">+SUM(AC85:AC95)</f>
        <v>0</v>
      </c>
      <c r="AD84" s="255">
        <f ca="1">+SUM(AD85:AD95)</f>
        <v>0</v>
      </c>
    </row>
    <row r="85" spans="3:30" ht="11.25" customHeight="1">
      <c r="C85" s="639" t="s">
        <v>1092</v>
      </c>
      <c r="E85" s="277">
        <v>0</v>
      </c>
      <c r="F85" s="277">
        <v>0</v>
      </c>
      <c r="G85" s="277">
        <v>0</v>
      </c>
      <c r="H85" s="277">
        <v>0</v>
      </c>
      <c r="I85" s="277">
        <v>0</v>
      </c>
      <c r="J85" s="277">
        <v>0</v>
      </c>
      <c r="K85" s="277">
        <v>0</v>
      </c>
      <c r="L85" s="277">
        <v>0</v>
      </c>
      <c r="M85" s="277">
        <v>-13</v>
      </c>
      <c r="N85" s="277">
        <v>-6</v>
      </c>
      <c r="O85" s="277">
        <v>-43</v>
      </c>
      <c r="P85" s="284">
        <f t="shared" ref="P85:P94" si="73">P72/SUM($P$72:$P$81)*-14</f>
        <v>-1.3404255319148937</v>
      </c>
      <c r="Q85" s="284">
        <f>Q72/SUM($Q$72:$Q$81)*-7</f>
        <v>-1.0736196319018405</v>
      </c>
      <c r="R85" s="284">
        <f>R72/SUM($R$72:$R$81)*-2</f>
        <v>-0.43617021276595747</v>
      </c>
      <c r="S85" s="277">
        <v>0</v>
      </c>
      <c r="T85" s="277">
        <v>0</v>
      </c>
      <c r="V85" s="277">
        <v>0</v>
      </c>
      <c r="W85" s="277">
        <v>0</v>
      </c>
      <c r="X85" s="254">
        <f t="shared" ref="X85:AA94" si="74">SUMIF($E$5:$T$5,X$5,$E85:$T85)</f>
        <v>0</v>
      </c>
      <c r="Y85" s="254">
        <f t="shared" si="74"/>
        <v>0</v>
      </c>
      <c r="Z85" s="254">
        <f t="shared" si="74"/>
        <v>-63.340425531914896</v>
      </c>
      <c r="AA85" s="254">
        <f t="shared" si="74"/>
        <v>-1.509789844667798</v>
      </c>
      <c r="AB85" s="277">
        <v>0</v>
      </c>
      <c r="AC85" s="277">
        <v>0</v>
      </c>
      <c r="AD85" s="277">
        <v>0</v>
      </c>
    </row>
    <row r="86" spans="3:30" ht="11.25" customHeight="1">
      <c r="C86" s="639" t="s">
        <v>1093</v>
      </c>
      <c r="E86" s="277">
        <v>20</v>
      </c>
      <c r="F86" s="277">
        <v>1</v>
      </c>
      <c r="G86" s="277">
        <v>-13</v>
      </c>
      <c r="H86" s="277">
        <v>-16</v>
      </c>
      <c r="I86" s="277">
        <v>37</v>
      </c>
      <c r="J86" s="277">
        <v>10</v>
      </c>
      <c r="K86" s="277">
        <v>-23</v>
      </c>
      <c r="L86" s="277">
        <v>-1</v>
      </c>
      <c r="M86" s="277">
        <v>60</v>
      </c>
      <c r="N86" s="277">
        <v>-9</v>
      </c>
      <c r="O86" s="277">
        <v>-88</v>
      </c>
      <c r="P86" s="284">
        <f t="shared" si="73"/>
        <v>-4.8900709219858154</v>
      </c>
      <c r="Q86" s="284">
        <f t="shared" ref="Q86:Q94" si="75">Q73/SUM($Q$72:$Q$81)*-7</f>
        <v>-6.3128834355828225</v>
      </c>
      <c r="R86" s="284">
        <f t="shared" ref="R86:R94" si="76">R73/SUM($R$72:$R$81)*-2</f>
        <v>-2.3510638297872339</v>
      </c>
      <c r="S86" s="277">
        <v>0</v>
      </c>
      <c r="T86" s="277">
        <v>0</v>
      </c>
      <c r="V86" s="277">
        <v>0</v>
      </c>
      <c r="W86" s="277">
        <v>0</v>
      </c>
      <c r="X86" s="254">
        <f t="shared" si="74"/>
        <v>-8</v>
      </c>
      <c r="Y86" s="254">
        <f t="shared" si="74"/>
        <v>23</v>
      </c>
      <c r="Z86" s="254">
        <f t="shared" si="74"/>
        <v>-41.890070921985817</v>
      </c>
      <c r="AA86" s="254">
        <f t="shared" si="74"/>
        <v>-8.6639472653700569</v>
      </c>
      <c r="AB86" s="277">
        <v>0</v>
      </c>
      <c r="AC86" s="277">
        <v>0</v>
      </c>
      <c r="AD86" s="277">
        <v>0</v>
      </c>
    </row>
    <row r="87" spans="3:30" ht="11.25" customHeight="1">
      <c r="C87" s="639" t="s">
        <v>1094</v>
      </c>
      <c r="E87" s="277">
        <v>0</v>
      </c>
      <c r="F87" s="277">
        <v>0</v>
      </c>
      <c r="G87" s="277">
        <v>0</v>
      </c>
      <c r="H87" s="277">
        <v>0</v>
      </c>
      <c r="I87" s="277">
        <v>0</v>
      </c>
      <c r="J87" s="277">
        <v>0</v>
      </c>
      <c r="K87" s="277">
        <v>0</v>
      </c>
      <c r="L87" s="277">
        <v>-47</v>
      </c>
      <c r="M87" s="277">
        <v>-12</v>
      </c>
      <c r="N87" s="277">
        <v>0</v>
      </c>
      <c r="O87" s="277">
        <v>16</v>
      </c>
      <c r="P87" s="284">
        <f t="shared" si="73"/>
        <v>-5.7588652482269502</v>
      </c>
      <c r="Q87" s="284">
        <f t="shared" si="75"/>
        <v>0</v>
      </c>
      <c r="R87" s="284">
        <f t="shared" si="76"/>
        <v>0</v>
      </c>
      <c r="S87" s="277">
        <v>0</v>
      </c>
      <c r="T87" s="277">
        <v>0</v>
      </c>
      <c r="V87" s="277">
        <v>0</v>
      </c>
      <c r="W87" s="277">
        <v>0</v>
      </c>
      <c r="X87" s="254">
        <f t="shared" si="74"/>
        <v>0</v>
      </c>
      <c r="Y87" s="254">
        <f t="shared" si="74"/>
        <v>-47</v>
      </c>
      <c r="Z87" s="254">
        <f t="shared" si="74"/>
        <v>-1.7588652482269502</v>
      </c>
      <c r="AA87" s="254">
        <f t="shared" si="74"/>
        <v>0</v>
      </c>
      <c r="AB87" s="277">
        <v>0</v>
      </c>
      <c r="AC87" s="277">
        <v>0</v>
      </c>
      <c r="AD87" s="277">
        <v>0</v>
      </c>
    </row>
    <row r="88" spans="3:30" ht="11.25" customHeight="1">
      <c r="C88" s="639" t="s">
        <v>1071</v>
      </c>
      <c r="E88" s="277">
        <v>0</v>
      </c>
      <c r="F88" s="277">
        <v>0</v>
      </c>
      <c r="G88" s="277">
        <v>0</v>
      </c>
      <c r="H88" s="277">
        <v>0</v>
      </c>
      <c r="I88" s="277">
        <v>0</v>
      </c>
      <c r="J88" s="277">
        <v>297</v>
      </c>
      <c r="K88" s="277">
        <v>313</v>
      </c>
      <c r="L88" s="277">
        <v>314</v>
      </c>
      <c r="M88" s="277">
        <v>276</v>
      </c>
      <c r="N88" s="277">
        <v>350</v>
      </c>
      <c r="O88" s="277">
        <v>424</v>
      </c>
      <c r="P88" s="284">
        <f t="shared" si="73"/>
        <v>0</v>
      </c>
      <c r="Q88" s="284">
        <f t="shared" si="75"/>
        <v>0</v>
      </c>
      <c r="R88" s="284">
        <f t="shared" si="76"/>
        <v>0</v>
      </c>
      <c r="S88" s="277">
        <v>0</v>
      </c>
      <c r="T88" s="277">
        <v>0</v>
      </c>
      <c r="V88" s="277">
        <v>0</v>
      </c>
      <c r="W88" s="277">
        <v>0</v>
      </c>
      <c r="X88" s="254">
        <f t="shared" si="74"/>
        <v>0</v>
      </c>
      <c r="Y88" s="254">
        <f t="shared" si="74"/>
        <v>924</v>
      </c>
      <c r="Z88" s="254">
        <f t="shared" si="74"/>
        <v>1050</v>
      </c>
      <c r="AA88" s="254">
        <f t="shared" si="74"/>
        <v>0</v>
      </c>
      <c r="AB88" s="277">
        <v>0</v>
      </c>
      <c r="AC88" s="277">
        <v>0</v>
      </c>
      <c r="AD88" s="277">
        <v>0</v>
      </c>
    </row>
    <row r="89" spans="3:30" ht="11.25" customHeight="1">
      <c r="C89" s="639" t="s">
        <v>1072</v>
      </c>
      <c r="E89" s="277">
        <v>0</v>
      </c>
      <c r="F89" s="277">
        <v>0</v>
      </c>
      <c r="G89" s="277">
        <v>0</v>
      </c>
      <c r="H89" s="277">
        <v>0</v>
      </c>
      <c r="I89" s="277">
        <v>0</v>
      </c>
      <c r="J89" s="277">
        <v>-570</v>
      </c>
      <c r="K89" s="277">
        <v>-1271</v>
      </c>
      <c r="L89" s="277">
        <v>-99</v>
      </c>
      <c r="M89" s="277">
        <v>10</v>
      </c>
      <c r="N89" s="277">
        <v>-2</v>
      </c>
      <c r="O89" s="277">
        <v>-8</v>
      </c>
      <c r="P89" s="284">
        <f t="shared" si="73"/>
        <v>0.3971631205673759</v>
      </c>
      <c r="Q89" s="284">
        <f t="shared" si="75"/>
        <v>0.21472392638036811</v>
      </c>
      <c r="R89" s="284">
        <f t="shared" si="76"/>
        <v>1.0638297872340425E-2</v>
      </c>
      <c r="S89" s="277">
        <v>0</v>
      </c>
      <c r="T89" s="277">
        <v>0</v>
      </c>
      <c r="V89" s="277">
        <v>0</v>
      </c>
      <c r="W89" s="277">
        <v>0</v>
      </c>
      <c r="X89" s="254">
        <f t="shared" si="74"/>
        <v>0</v>
      </c>
      <c r="Y89" s="254">
        <f t="shared" si="74"/>
        <v>-1940</v>
      </c>
      <c r="Z89" s="254">
        <f t="shared" si="74"/>
        <v>0.3971631205673759</v>
      </c>
      <c r="AA89" s="254">
        <f t="shared" si="74"/>
        <v>0.22536222425270852</v>
      </c>
      <c r="AB89" s="277">
        <v>0</v>
      </c>
      <c r="AC89" s="277">
        <v>0</v>
      </c>
      <c r="AD89" s="277">
        <v>0</v>
      </c>
    </row>
    <row r="90" spans="3:30" ht="11.25" customHeight="1">
      <c r="C90" s="639" t="s">
        <v>1095</v>
      </c>
      <c r="E90" s="277">
        <v>0</v>
      </c>
      <c r="F90" s="277">
        <v>0</v>
      </c>
      <c r="G90" s="277">
        <v>0</v>
      </c>
      <c r="H90" s="277">
        <v>0</v>
      </c>
      <c r="I90" s="277">
        <v>0</v>
      </c>
      <c r="J90" s="277">
        <v>0</v>
      </c>
      <c r="K90" s="277">
        <v>0</v>
      </c>
      <c r="L90" s="277">
        <v>0</v>
      </c>
      <c r="M90" s="277">
        <v>0</v>
      </c>
      <c r="N90" s="277">
        <v>0</v>
      </c>
      <c r="O90" s="277">
        <v>0</v>
      </c>
      <c r="P90" s="284">
        <f t="shared" si="73"/>
        <v>-2.6808510638297873</v>
      </c>
      <c r="Q90" s="284">
        <f t="shared" si="75"/>
        <v>0</v>
      </c>
      <c r="R90" s="284">
        <f t="shared" si="76"/>
        <v>0</v>
      </c>
      <c r="S90" s="277">
        <v>0</v>
      </c>
      <c r="T90" s="277">
        <v>0</v>
      </c>
      <c r="V90" s="277">
        <v>0</v>
      </c>
      <c r="W90" s="277">
        <v>0</v>
      </c>
      <c r="X90" s="254">
        <f t="shared" si="74"/>
        <v>0</v>
      </c>
      <c r="Y90" s="254">
        <f t="shared" si="74"/>
        <v>0</v>
      </c>
      <c r="Z90" s="254">
        <f t="shared" si="74"/>
        <v>-2.6808510638297873</v>
      </c>
      <c r="AA90" s="254">
        <f t="shared" si="74"/>
        <v>0</v>
      </c>
      <c r="AB90" s="277">
        <v>0</v>
      </c>
      <c r="AC90" s="277">
        <v>0</v>
      </c>
      <c r="AD90" s="277">
        <v>0</v>
      </c>
    </row>
    <row r="91" spans="3:30" ht="11.25" customHeight="1">
      <c r="C91" s="639" t="s">
        <v>1075</v>
      </c>
      <c r="E91" s="277">
        <v>-2</v>
      </c>
      <c r="F91" s="277">
        <v>-2</v>
      </c>
      <c r="G91" s="277">
        <v>6</v>
      </c>
      <c r="H91" s="277">
        <v>-5</v>
      </c>
      <c r="I91" s="277">
        <v>2</v>
      </c>
      <c r="J91" s="277">
        <v>-3</v>
      </c>
      <c r="K91" s="277">
        <v>1</v>
      </c>
      <c r="L91" s="277">
        <v>-2</v>
      </c>
      <c r="M91" s="277">
        <v>5</v>
      </c>
      <c r="N91" s="277">
        <v>-6</v>
      </c>
      <c r="O91" s="277">
        <v>-4</v>
      </c>
      <c r="P91" s="284">
        <f t="shared" si="73"/>
        <v>0.27304964539007093</v>
      </c>
      <c r="Q91" s="284">
        <f t="shared" si="75"/>
        <v>0.17177914110429449</v>
      </c>
      <c r="R91" s="284">
        <f t="shared" si="76"/>
        <v>0.77659574468085102</v>
      </c>
      <c r="S91" s="277">
        <v>0</v>
      </c>
      <c r="T91" s="277">
        <v>0</v>
      </c>
      <c r="V91" s="277">
        <f>V104-V78</f>
        <v>259</v>
      </c>
      <c r="W91" s="277">
        <f>W104-W78</f>
        <v>27</v>
      </c>
      <c r="X91" s="254">
        <f t="shared" si="74"/>
        <v>-3</v>
      </c>
      <c r="Y91" s="254">
        <f t="shared" si="74"/>
        <v>-2</v>
      </c>
      <c r="Z91" s="254">
        <f t="shared" si="74"/>
        <v>-4.7269503546099294</v>
      </c>
      <c r="AA91" s="254">
        <f t="shared" si="74"/>
        <v>0.9483748857851455</v>
      </c>
      <c r="AB91" s="277">
        <v>0</v>
      </c>
      <c r="AC91" s="277">
        <v>0</v>
      </c>
      <c r="AD91" s="277">
        <v>0</v>
      </c>
    </row>
    <row r="92" spans="3:30" ht="11.25" customHeight="1">
      <c r="C92" s="639" t="s">
        <v>1076</v>
      </c>
      <c r="E92" s="277">
        <v>0</v>
      </c>
      <c r="F92" s="277">
        <v>0</v>
      </c>
      <c r="G92" s="277">
        <v>0</v>
      </c>
      <c r="H92" s="277">
        <v>0</v>
      </c>
      <c r="I92" s="277">
        <v>0</v>
      </c>
      <c r="J92" s="277">
        <v>0</v>
      </c>
      <c r="K92" s="277">
        <v>0</v>
      </c>
      <c r="L92" s="277">
        <v>0</v>
      </c>
      <c r="M92" s="277">
        <v>0</v>
      </c>
      <c r="N92" s="277">
        <v>0</v>
      </c>
      <c r="O92" s="277">
        <v>0</v>
      </c>
      <c r="P92" s="284">
        <f t="shared" si="73"/>
        <v>0</v>
      </c>
      <c r="Q92" s="284">
        <f t="shared" si="75"/>
        <v>0</v>
      </c>
      <c r="R92" s="284">
        <f t="shared" si="76"/>
        <v>0</v>
      </c>
      <c r="S92" s="277">
        <v>0</v>
      </c>
      <c r="T92" s="277">
        <v>0</v>
      </c>
      <c r="V92" s="277">
        <v>0</v>
      </c>
      <c r="W92" s="277">
        <v>0</v>
      </c>
      <c r="X92" s="254">
        <f t="shared" si="74"/>
        <v>0</v>
      </c>
      <c r="Y92" s="254">
        <f t="shared" si="74"/>
        <v>0</v>
      </c>
      <c r="Z92" s="254">
        <f t="shared" si="74"/>
        <v>0</v>
      </c>
      <c r="AA92" s="254">
        <f t="shared" si="74"/>
        <v>0</v>
      </c>
      <c r="AB92" s="277">
        <v>0</v>
      </c>
      <c r="AC92" s="277">
        <v>0</v>
      </c>
      <c r="AD92" s="277">
        <v>0</v>
      </c>
    </row>
    <row r="93" spans="3:30" ht="11.25" customHeight="1">
      <c r="C93" s="639" t="s">
        <v>1080</v>
      </c>
      <c r="E93" s="277">
        <v>0</v>
      </c>
      <c r="F93" s="277">
        <v>0</v>
      </c>
      <c r="G93" s="277">
        <v>0</v>
      </c>
      <c r="H93" s="277">
        <v>0</v>
      </c>
      <c r="I93" s="277">
        <v>0</v>
      </c>
      <c r="J93" s="277">
        <v>0</v>
      </c>
      <c r="K93" s="277">
        <v>-7</v>
      </c>
      <c r="L93" s="277">
        <v>-1</v>
      </c>
      <c r="M93" s="277">
        <v>0</v>
      </c>
      <c r="N93" s="277">
        <v>0</v>
      </c>
      <c r="O93" s="277">
        <v>0</v>
      </c>
      <c r="P93" s="284">
        <f t="shared" si="73"/>
        <v>0</v>
      </c>
      <c r="Q93" s="284">
        <f t="shared" si="75"/>
        <v>0</v>
      </c>
      <c r="R93" s="284">
        <f t="shared" si="76"/>
        <v>0</v>
      </c>
      <c r="S93" s="277">
        <v>0</v>
      </c>
      <c r="T93" s="277">
        <v>0</v>
      </c>
      <c r="V93" s="277">
        <v>0</v>
      </c>
      <c r="W93" s="277">
        <v>0</v>
      </c>
      <c r="X93" s="254">
        <f t="shared" si="74"/>
        <v>0</v>
      </c>
      <c r="Y93" s="254">
        <f t="shared" si="74"/>
        <v>-8</v>
      </c>
      <c r="Z93" s="254">
        <f t="shared" si="74"/>
        <v>0</v>
      </c>
      <c r="AA93" s="254">
        <f t="shared" si="74"/>
        <v>0</v>
      </c>
      <c r="AB93" s="277">
        <v>0</v>
      </c>
      <c r="AC93" s="277">
        <v>0</v>
      </c>
      <c r="AD93" s="277">
        <v>0</v>
      </c>
    </row>
    <row r="94" spans="3:30" ht="11.25" customHeight="1">
      <c r="C94" s="639" t="s">
        <v>1081</v>
      </c>
      <c r="E94" s="277">
        <v>5</v>
      </c>
      <c r="F94" s="277">
        <v>0</v>
      </c>
      <c r="G94" s="277">
        <v>-2</v>
      </c>
      <c r="H94" s="277">
        <v>0</v>
      </c>
      <c r="I94" s="277">
        <v>-16</v>
      </c>
      <c r="J94" s="277">
        <v>20</v>
      </c>
      <c r="K94" s="277">
        <v>0</v>
      </c>
      <c r="L94" s="277">
        <v>0</v>
      </c>
      <c r="M94" s="277">
        <v>0</v>
      </c>
      <c r="N94" s="277">
        <v>0</v>
      </c>
      <c r="O94" s="277">
        <v>0</v>
      </c>
      <c r="P94" s="284">
        <f t="shared" si="73"/>
        <v>0</v>
      </c>
      <c r="Q94" s="284">
        <f t="shared" si="75"/>
        <v>0</v>
      </c>
      <c r="R94" s="284">
        <f t="shared" si="76"/>
        <v>0</v>
      </c>
      <c r="S94" s="277">
        <v>0</v>
      </c>
      <c r="T94" s="277">
        <v>0</v>
      </c>
      <c r="V94" s="277">
        <v>-8</v>
      </c>
      <c r="W94" s="277">
        <v>-7</v>
      </c>
      <c r="X94" s="254">
        <f t="shared" si="74"/>
        <v>3</v>
      </c>
      <c r="Y94" s="254">
        <f t="shared" si="74"/>
        <v>4</v>
      </c>
      <c r="Z94" s="254">
        <f t="shared" si="74"/>
        <v>0</v>
      </c>
      <c r="AA94" s="254">
        <f t="shared" si="74"/>
        <v>0</v>
      </c>
      <c r="AB94" s="277">
        <v>0</v>
      </c>
      <c r="AC94" s="277">
        <v>0</v>
      </c>
      <c r="AD94" s="277">
        <v>0</v>
      </c>
    </row>
    <row r="95" spans="3:30" ht="11.25" customHeight="1">
      <c r="C95" s="289" t="s">
        <v>1096</v>
      </c>
      <c r="E95" s="358">
        <f t="shared" ref="E95:Q95" si="77">E84-SUM(E85:E94)</f>
        <v>193</v>
      </c>
      <c r="F95" s="358">
        <f t="shared" si="77"/>
        <v>465</v>
      </c>
      <c r="G95" s="358">
        <f t="shared" si="77"/>
        <v>461</v>
      </c>
      <c r="H95" s="358">
        <f t="shared" si="77"/>
        <v>319</v>
      </c>
      <c r="I95" s="358">
        <f t="shared" si="77"/>
        <v>-96</v>
      </c>
      <c r="J95" s="358">
        <f t="shared" si="77"/>
        <v>-1051</v>
      </c>
      <c r="K95" s="358">
        <f t="shared" si="77"/>
        <v>-493</v>
      </c>
      <c r="L95" s="358">
        <f t="shared" si="77"/>
        <v>-517</v>
      </c>
      <c r="M95" s="358">
        <f t="shared" si="77"/>
        <v>-664</v>
      </c>
      <c r="N95" s="358">
        <f t="shared" si="77"/>
        <v>-203</v>
      </c>
      <c r="O95" s="358">
        <f t="shared" si="77"/>
        <v>23</v>
      </c>
      <c r="P95" s="358">
        <f t="shared" si="77"/>
        <v>27</v>
      </c>
      <c r="Q95" s="358">
        <f t="shared" si="77"/>
        <v>-253</v>
      </c>
      <c r="R95" s="358">
        <f t="shared" ref="R95" si="78">R84-SUM(R85:R94)</f>
        <v>300</v>
      </c>
      <c r="S95" s="482">
        <f ca="1">'DAL KPI'!S41</f>
        <v>0</v>
      </c>
      <c r="T95" s="482">
        <f ca="1">'DAL KPI'!T41</f>
        <v>0</v>
      </c>
      <c r="V95" s="358">
        <f t="shared" ref="V95:AA95" si="79">V84-SUM(V85:V94)</f>
        <v>2044</v>
      </c>
      <c r="W95" s="358">
        <f t="shared" si="79"/>
        <v>1196</v>
      </c>
      <c r="X95" s="358">
        <f t="shared" si="79"/>
        <v>1438</v>
      </c>
      <c r="Y95" s="358">
        <f t="shared" si="79"/>
        <v>-2157</v>
      </c>
      <c r="Z95" s="358">
        <f t="shared" si="79"/>
        <v>-817</v>
      </c>
      <c r="AA95" s="358">
        <f t="shared" ca="1" si="79"/>
        <v>47</v>
      </c>
      <c r="AB95" s="482">
        <f ca="1">'DAL KPI'!AB41</f>
        <v>0</v>
      </c>
      <c r="AC95" s="482">
        <f ca="1">'DAL KPI'!AC41</f>
        <v>0</v>
      </c>
      <c r="AD95" s="482">
        <f ca="1">'DAL KPI'!AD41</f>
        <v>0</v>
      </c>
    </row>
    <row r="96" spans="3:30" ht="11.25" customHeight="1">
      <c r="E96" s="257"/>
      <c r="F96" s="257"/>
      <c r="G96" s="257"/>
      <c r="H96" s="257"/>
      <c r="I96" s="257"/>
      <c r="J96" s="257"/>
      <c r="K96" s="257"/>
      <c r="L96" s="257"/>
      <c r="M96" s="257"/>
      <c r="N96" s="257"/>
      <c r="O96" s="257"/>
      <c r="P96" s="257"/>
    </row>
    <row r="97" spans="3:30" s="255" customFormat="1" ht="11.25" customHeight="1">
      <c r="C97" s="397" t="s">
        <v>957</v>
      </c>
      <c r="E97" s="255">
        <f t="shared" ref="E97:T97" si="80">E71-E84</f>
        <v>730</v>
      </c>
      <c r="F97" s="255">
        <f t="shared" si="80"/>
        <v>1443</v>
      </c>
      <c r="G97" s="255">
        <f t="shared" si="80"/>
        <v>1495</v>
      </c>
      <c r="H97" s="255">
        <f t="shared" si="80"/>
        <v>1099</v>
      </c>
      <c r="I97" s="255">
        <f t="shared" si="80"/>
        <v>-534</v>
      </c>
      <c r="J97" s="255">
        <f t="shared" si="80"/>
        <v>-5717</v>
      </c>
      <c r="K97" s="255">
        <f t="shared" si="80"/>
        <v>-5379</v>
      </c>
      <c r="L97" s="255">
        <f t="shared" si="80"/>
        <v>-755</v>
      </c>
      <c r="M97" s="255">
        <f t="shared" si="80"/>
        <v>-1177</v>
      </c>
      <c r="N97" s="255">
        <f t="shared" si="80"/>
        <v>652</v>
      </c>
      <c r="O97" s="255">
        <f t="shared" si="80"/>
        <v>1212</v>
      </c>
      <c r="P97" s="255">
        <f t="shared" si="80"/>
        <v>-408</v>
      </c>
      <c r="Q97" s="255">
        <f t="shared" si="80"/>
        <v>-940</v>
      </c>
      <c r="R97" s="255">
        <f t="shared" si="80"/>
        <v>735</v>
      </c>
      <c r="S97" s="255">
        <f t="shared" ca="1" si="80"/>
        <v>657.78435475603465</v>
      </c>
      <c r="T97" s="255">
        <f t="shared" ca="1" si="80"/>
        <v>-321.15930106759834</v>
      </c>
      <c r="U97" s="253"/>
      <c r="V97" s="255">
        <f t="shared" ref="V97:AD97" si="81">V71-V84</f>
        <v>3205</v>
      </c>
      <c r="W97" s="255">
        <f t="shared" si="81"/>
        <v>3935</v>
      </c>
      <c r="X97" s="255">
        <f t="shared" si="81"/>
        <v>4767</v>
      </c>
      <c r="Y97" s="255">
        <f t="shared" si="81"/>
        <v>-12385</v>
      </c>
      <c r="Z97" s="255">
        <f t="shared" si="81"/>
        <v>279</v>
      </c>
      <c r="AA97" s="255">
        <f t="shared" ca="1" si="81"/>
        <v>131.62505368843085</v>
      </c>
      <c r="AB97" s="255">
        <f t="shared" ca="1" si="81"/>
        <v>147.26113828753932</v>
      </c>
      <c r="AC97" s="255">
        <f t="shared" ca="1" si="81"/>
        <v>1754.4193529993127</v>
      </c>
      <c r="AD97" s="255">
        <f t="shared" ca="1" si="81"/>
        <v>2207.680069689638</v>
      </c>
    </row>
    <row r="98" spans="3:30" s="255" customFormat="1" ht="11.25" customHeight="1">
      <c r="C98" s="639" t="s">
        <v>1082</v>
      </c>
      <c r="E98" s="255">
        <f t="shared" ref="E98:T107" si="82">E72+E85</f>
        <v>0</v>
      </c>
      <c r="F98" s="255">
        <f t="shared" si="82"/>
        <v>0</v>
      </c>
      <c r="G98" s="255">
        <f t="shared" si="82"/>
        <v>0</v>
      </c>
      <c r="H98" s="255">
        <f t="shared" si="82"/>
        <v>0</v>
      </c>
      <c r="I98" s="255">
        <f t="shared" si="82"/>
        <v>0</v>
      </c>
      <c r="J98" s="255">
        <f t="shared" si="82"/>
        <v>0</v>
      </c>
      <c r="K98" s="255">
        <f t="shared" si="82"/>
        <v>0</v>
      </c>
      <c r="L98" s="255">
        <f t="shared" si="82"/>
        <v>0</v>
      </c>
      <c r="M98" s="255">
        <f t="shared" si="82"/>
        <v>43</v>
      </c>
      <c r="N98" s="255">
        <f t="shared" si="82"/>
        <v>20</v>
      </c>
      <c r="O98" s="255">
        <f t="shared" si="82"/>
        <v>140</v>
      </c>
      <c r="P98" s="255">
        <f t="shared" si="82"/>
        <v>52.659574468085104</v>
      </c>
      <c r="Q98" s="255">
        <f t="shared" si="82"/>
        <v>23.926380368098158</v>
      </c>
      <c r="R98" s="255">
        <f t="shared" si="82"/>
        <v>40.563829787234042</v>
      </c>
      <c r="S98" s="255">
        <f t="shared" si="82"/>
        <v>0</v>
      </c>
      <c r="T98" s="255">
        <f t="shared" si="82"/>
        <v>0</v>
      </c>
      <c r="U98" s="253"/>
      <c r="V98" s="277">
        <v>0</v>
      </c>
      <c r="W98" s="277">
        <v>0</v>
      </c>
      <c r="X98" s="255">
        <f t="shared" ref="X98:AD107" si="83">X72+X85</f>
        <v>0</v>
      </c>
      <c r="Y98" s="255">
        <f t="shared" si="83"/>
        <v>0</v>
      </c>
      <c r="Z98" s="255">
        <f t="shared" si="83"/>
        <v>255.65957446808511</v>
      </c>
      <c r="AA98" s="255">
        <f t="shared" si="83"/>
        <v>64.490210155332207</v>
      </c>
      <c r="AB98" s="255">
        <f t="shared" si="83"/>
        <v>0</v>
      </c>
      <c r="AC98" s="255">
        <f t="shared" si="83"/>
        <v>0</v>
      </c>
      <c r="AD98" s="255">
        <f t="shared" si="83"/>
        <v>0</v>
      </c>
    </row>
    <row r="99" spans="3:30" s="255" customFormat="1" ht="11.25" customHeight="1">
      <c r="C99" s="384" t="s">
        <v>1083</v>
      </c>
      <c r="E99" s="255">
        <f t="shared" si="82"/>
        <v>-80</v>
      </c>
      <c r="F99" s="255">
        <f t="shared" si="82"/>
        <v>83</v>
      </c>
      <c r="G99" s="255">
        <f t="shared" si="82"/>
        <v>22</v>
      </c>
      <c r="H99" s="255">
        <f t="shared" si="82"/>
        <v>-20</v>
      </c>
      <c r="I99" s="255">
        <f t="shared" si="82"/>
        <v>160</v>
      </c>
      <c r="J99" s="255">
        <f t="shared" si="82"/>
        <v>1</v>
      </c>
      <c r="K99" s="255">
        <f t="shared" si="82"/>
        <v>76</v>
      </c>
      <c r="L99" s="255">
        <f t="shared" si="82"/>
        <v>-95</v>
      </c>
      <c r="M99" s="255">
        <f t="shared" si="82"/>
        <v>-202</v>
      </c>
      <c r="N99" s="255">
        <f t="shared" si="82"/>
        <v>-220</v>
      </c>
      <c r="O99" s="255">
        <f t="shared" si="82"/>
        <v>135</v>
      </c>
      <c r="P99" s="255">
        <f t="shared" si="82"/>
        <v>192.10992907801418</v>
      </c>
      <c r="Q99" s="255">
        <f t="shared" si="82"/>
        <v>140.68711656441718</v>
      </c>
      <c r="R99" s="255">
        <f t="shared" si="82"/>
        <v>218.64893617021278</v>
      </c>
      <c r="S99" s="255">
        <f t="shared" si="82"/>
        <v>0</v>
      </c>
      <c r="T99" s="255">
        <f t="shared" si="82"/>
        <v>0</v>
      </c>
      <c r="U99" s="253"/>
      <c r="V99" s="277">
        <v>0</v>
      </c>
      <c r="W99" s="277">
        <v>-7</v>
      </c>
      <c r="X99" s="255">
        <f t="shared" si="83"/>
        <v>5</v>
      </c>
      <c r="Y99" s="255">
        <f t="shared" si="83"/>
        <v>142</v>
      </c>
      <c r="Z99" s="255">
        <f t="shared" si="83"/>
        <v>-94.890070921985824</v>
      </c>
      <c r="AA99" s="255">
        <f t="shared" si="83"/>
        <v>359.33605273462996</v>
      </c>
      <c r="AB99" s="255">
        <f t="shared" si="83"/>
        <v>0</v>
      </c>
      <c r="AC99" s="255">
        <f t="shared" si="83"/>
        <v>0</v>
      </c>
      <c r="AD99" s="255">
        <f t="shared" si="83"/>
        <v>0</v>
      </c>
    </row>
    <row r="100" spans="3:30" s="255" customFormat="1" ht="11.25" customHeight="1">
      <c r="C100" s="639" t="s">
        <v>1084</v>
      </c>
      <c r="E100" s="255">
        <f t="shared" si="82"/>
        <v>0</v>
      </c>
      <c r="F100" s="255">
        <f t="shared" si="82"/>
        <v>0</v>
      </c>
      <c r="G100" s="255">
        <f t="shared" si="82"/>
        <v>0</v>
      </c>
      <c r="H100" s="255">
        <f t="shared" si="82"/>
        <v>0</v>
      </c>
      <c r="I100" s="255">
        <f t="shared" si="82"/>
        <v>0</v>
      </c>
      <c r="J100" s="255">
        <f t="shared" si="82"/>
        <v>2058</v>
      </c>
      <c r="K100" s="255">
        <f t="shared" si="82"/>
        <v>114</v>
      </c>
      <c r="L100" s="255">
        <f t="shared" si="82"/>
        <v>-47</v>
      </c>
      <c r="M100" s="255">
        <f t="shared" si="82"/>
        <v>42</v>
      </c>
      <c r="N100" s="255">
        <f t="shared" si="82"/>
        <v>0</v>
      </c>
      <c r="O100" s="255">
        <f t="shared" si="82"/>
        <v>65</v>
      </c>
      <c r="P100" s="255">
        <f t="shared" si="82"/>
        <v>226.24113475177305</v>
      </c>
      <c r="Q100" s="255">
        <f t="shared" si="82"/>
        <v>0</v>
      </c>
      <c r="R100" s="255">
        <f t="shared" si="82"/>
        <v>0</v>
      </c>
      <c r="S100" s="255">
        <f t="shared" si="82"/>
        <v>0</v>
      </c>
      <c r="T100" s="255">
        <f t="shared" si="82"/>
        <v>0</v>
      </c>
      <c r="U100" s="253"/>
      <c r="V100" s="277">
        <v>0</v>
      </c>
      <c r="W100" s="277">
        <v>0</v>
      </c>
      <c r="X100" s="255">
        <f t="shared" si="83"/>
        <v>0</v>
      </c>
      <c r="Y100" s="255">
        <f t="shared" si="83"/>
        <v>2125</v>
      </c>
      <c r="Z100" s="255">
        <f t="shared" si="83"/>
        <v>333.24113475177307</v>
      </c>
      <c r="AA100" s="255">
        <f t="shared" si="83"/>
        <v>0</v>
      </c>
      <c r="AB100" s="255">
        <f t="shared" si="83"/>
        <v>0</v>
      </c>
      <c r="AC100" s="255">
        <f t="shared" si="83"/>
        <v>0</v>
      </c>
      <c r="AD100" s="255">
        <f t="shared" si="83"/>
        <v>0</v>
      </c>
    </row>
    <row r="101" spans="3:30" s="255" customFormat="1" ht="11.25" customHeight="1">
      <c r="C101" s="639" t="s">
        <v>1085</v>
      </c>
      <c r="E101" s="255">
        <f t="shared" si="82"/>
        <v>0</v>
      </c>
      <c r="F101" s="255">
        <f t="shared" si="82"/>
        <v>0</v>
      </c>
      <c r="G101" s="255">
        <f t="shared" si="82"/>
        <v>0</v>
      </c>
      <c r="H101" s="255">
        <f t="shared" si="82"/>
        <v>0</v>
      </c>
      <c r="I101" s="255">
        <f t="shared" si="82"/>
        <v>0</v>
      </c>
      <c r="J101" s="255">
        <f t="shared" si="82"/>
        <v>-983</v>
      </c>
      <c r="K101" s="255">
        <f t="shared" si="82"/>
        <v>-1002</v>
      </c>
      <c r="L101" s="255">
        <f t="shared" si="82"/>
        <v>-1037</v>
      </c>
      <c r="M101" s="255">
        <f t="shared" si="82"/>
        <v>-910</v>
      </c>
      <c r="N101" s="255">
        <f t="shared" si="82"/>
        <v>-1154</v>
      </c>
      <c r="O101" s="255">
        <f t="shared" si="82"/>
        <v>-1398</v>
      </c>
      <c r="P101" s="255">
        <f t="shared" si="82"/>
        <v>0</v>
      </c>
      <c r="Q101" s="255">
        <f t="shared" si="82"/>
        <v>0</v>
      </c>
      <c r="R101" s="255">
        <f t="shared" si="82"/>
        <v>0</v>
      </c>
      <c r="S101" s="255">
        <f t="shared" si="82"/>
        <v>0</v>
      </c>
      <c r="T101" s="255">
        <f t="shared" si="82"/>
        <v>0</v>
      </c>
      <c r="U101" s="253"/>
      <c r="V101" s="277">
        <v>0</v>
      </c>
      <c r="W101" s="277">
        <v>0</v>
      </c>
      <c r="X101" s="255">
        <f t="shared" si="83"/>
        <v>0</v>
      </c>
      <c r="Y101" s="255">
        <f t="shared" si="83"/>
        <v>-3022</v>
      </c>
      <c r="Z101" s="255">
        <f t="shared" si="83"/>
        <v>-3462</v>
      </c>
      <c r="AA101" s="255">
        <f t="shared" si="83"/>
        <v>0</v>
      </c>
      <c r="AB101" s="255">
        <f t="shared" si="83"/>
        <v>0</v>
      </c>
      <c r="AC101" s="255">
        <f t="shared" si="83"/>
        <v>0</v>
      </c>
      <c r="AD101" s="255">
        <f t="shared" si="83"/>
        <v>0</v>
      </c>
    </row>
    <row r="102" spans="3:30" s="255" customFormat="1" ht="11.25" customHeight="1">
      <c r="C102" s="639" t="s">
        <v>1086</v>
      </c>
      <c r="E102" s="255">
        <f t="shared" si="82"/>
        <v>0</v>
      </c>
      <c r="F102" s="255">
        <f t="shared" si="82"/>
        <v>0</v>
      </c>
      <c r="G102" s="255">
        <f t="shared" si="82"/>
        <v>0</v>
      </c>
      <c r="H102" s="255">
        <f t="shared" si="82"/>
        <v>0</v>
      </c>
      <c r="I102" s="255">
        <f t="shared" si="82"/>
        <v>0</v>
      </c>
      <c r="J102" s="255">
        <f t="shared" si="82"/>
        <v>1884</v>
      </c>
      <c r="K102" s="255">
        <f t="shared" si="82"/>
        <v>4074</v>
      </c>
      <c r="L102" s="255">
        <f t="shared" si="82"/>
        <v>322</v>
      </c>
      <c r="M102" s="255">
        <f t="shared" si="82"/>
        <v>-34</v>
      </c>
      <c r="N102" s="255">
        <f t="shared" si="82"/>
        <v>6</v>
      </c>
      <c r="O102" s="255">
        <f t="shared" si="82"/>
        <v>25</v>
      </c>
      <c r="P102" s="255">
        <f t="shared" si="82"/>
        <v>-15.602836879432624</v>
      </c>
      <c r="Q102" s="255">
        <f t="shared" si="82"/>
        <v>-4.7852760736196318</v>
      </c>
      <c r="R102" s="255">
        <f t="shared" si="82"/>
        <v>-0.98936170212765961</v>
      </c>
      <c r="S102" s="255">
        <f t="shared" si="82"/>
        <v>0</v>
      </c>
      <c r="T102" s="255">
        <f t="shared" si="82"/>
        <v>0</v>
      </c>
      <c r="U102" s="253"/>
      <c r="V102" s="277">
        <v>0</v>
      </c>
      <c r="W102" s="277">
        <v>0</v>
      </c>
      <c r="X102" s="255">
        <f t="shared" si="83"/>
        <v>0</v>
      </c>
      <c r="Y102" s="255">
        <f t="shared" si="83"/>
        <v>6280</v>
      </c>
      <c r="Z102" s="255">
        <f t="shared" si="83"/>
        <v>-18.602836879432623</v>
      </c>
      <c r="AA102" s="255">
        <f t="shared" si="83"/>
        <v>-5.7746377757472915</v>
      </c>
      <c r="AB102" s="255">
        <f t="shared" si="83"/>
        <v>0</v>
      </c>
      <c r="AC102" s="255">
        <f t="shared" si="83"/>
        <v>0</v>
      </c>
      <c r="AD102" s="255">
        <f t="shared" si="83"/>
        <v>0</v>
      </c>
    </row>
    <row r="103" spans="3:30" s="255" customFormat="1" ht="11.25" customHeight="1">
      <c r="C103" s="639" t="s">
        <v>1087</v>
      </c>
      <c r="E103" s="255">
        <f t="shared" si="82"/>
        <v>0</v>
      </c>
      <c r="F103" s="255">
        <f t="shared" si="82"/>
        <v>0</v>
      </c>
      <c r="G103" s="255">
        <f t="shared" si="82"/>
        <v>0</v>
      </c>
      <c r="H103" s="255">
        <f t="shared" si="82"/>
        <v>0</v>
      </c>
      <c r="I103" s="255">
        <f t="shared" si="82"/>
        <v>0</v>
      </c>
      <c r="J103" s="255">
        <f t="shared" si="82"/>
        <v>0</v>
      </c>
      <c r="K103" s="255">
        <f t="shared" si="82"/>
        <v>0</v>
      </c>
      <c r="L103" s="255">
        <f t="shared" si="82"/>
        <v>0</v>
      </c>
      <c r="M103" s="255">
        <f t="shared" si="82"/>
        <v>0</v>
      </c>
      <c r="N103" s="255">
        <f t="shared" si="82"/>
        <v>0</v>
      </c>
      <c r="O103" s="255">
        <f t="shared" si="82"/>
        <v>0</v>
      </c>
      <c r="P103" s="255">
        <f t="shared" si="82"/>
        <v>105.31914893617021</v>
      </c>
      <c r="Q103" s="255">
        <f t="shared" si="82"/>
        <v>0</v>
      </c>
      <c r="R103" s="255">
        <f t="shared" si="82"/>
        <v>0</v>
      </c>
      <c r="S103" s="255">
        <f t="shared" si="82"/>
        <v>0</v>
      </c>
      <c r="T103" s="255">
        <f t="shared" si="82"/>
        <v>0</v>
      </c>
      <c r="U103" s="253"/>
      <c r="V103" s="277">
        <v>0</v>
      </c>
      <c r="W103" s="277">
        <v>0</v>
      </c>
      <c r="X103" s="255">
        <f t="shared" si="83"/>
        <v>0</v>
      </c>
      <c r="Y103" s="255">
        <f t="shared" si="83"/>
        <v>0</v>
      </c>
      <c r="Z103" s="255">
        <f t="shared" si="83"/>
        <v>105.31914893617021</v>
      </c>
      <c r="AA103" s="255">
        <f t="shared" si="83"/>
        <v>0</v>
      </c>
      <c r="AB103" s="255">
        <f t="shared" si="83"/>
        <v>0</v>
      </c>
      <c r="AC103" s="255">
        <f t="shared" si="83"/>
        <v>0</v>
      </c>
      <c r="AD103" s="255">
        <f t="shared" si="83"/>
        <v>0</v>
      </c>
    </row>
    <row r="104" spans="3:30" s="255" customFormat="1" ht="11.25" customHeight="1">
      <c r="C104" s="384" t="s">
        <v>1088</v>
      </c>
      <c r="E104" s="255">
        <f t="shared" si="82"/>
        <v>6</v>
      </c>
      <c r="F104" s="255">
        <f t="shared" si="82"/>
        <v>8</v>
      </c>
      <c r="G104" s="255">
        <f t="shared" si="82"/>
        <v>-19</v>
      </c>
      <c r="H104" s="255">
        <f t="shared" si="82"/>
        <v>17</v>
      </c>
      <c r="I104" s="255">
        <f t="shared" si="82"/>
        <v>-5</v>
      </c>
      <c r="J104" s="255">
        <f t="shared" si="82"/>
        <v>11</v>
      </c>
      <c r="K104" s="255">
        <f t="shared" si="82"/>
        <v>-2</v>
      </c>
      <c r="L104" s="255">
        <f t="shared" si="82"/>
        <v>4</v>
      </c>
      <c r="M104" s="255">
        <f t="shared" si="82"/>
        <v>-18</v>
      </c>
      <c r="N104" s="255">
        <f t="shared" si="82"/>
        <v>18</v>
      </c>
      <c r="O104" s="255">
        <f t="shared" si="82"/>
        <v>15</v>
      </c>
      <c r="P104" s="255">
        <f t="shared" si="82"/>
        <v>-10.726950354609929</v>
      </c>
      <c r="Q104" s="255">
        <f t="shared" si="82"/>
        <v>-3.8282208588957056</v>
      </c>
      <c r="R104" s="255">
        <f t="shared" si="82"/>
        <v>-72.223404255319153</v>
      </c>
      <c r="S104" s="255">
        <f t="shared" si="82"/>
        <v>7.992051045654021</v>
      </c>
      <c r="T104" s="255">
        <f t="shared" si="82"/>
        <v>5.9012550450818564</v>
      </c>
      <c r="U104" s="253"/>
      <c r="V104" s="277">
        <v>0</v>
      </c>
      <c r="W104" s="277">
        <v>-26</v>
      </c>
      <c r="X104" s="255">
        <f t="shared" si="83"/>
        <v>12</v>
      </c>
      <c r="Y104" s="255">
        <f t="shared" si="83"/>
        <v>8</v>
      </c>
      <c r="Z104" s="255">
        <f t="shared" si="83"/>
        <v>4.2730496453900706</v>
      </c>
      <c r="AA104" s="255">
        <f t="shared" si="83"/>
        <v>-62.158319023478981</v>
      </c>
      <c r="AB104" s="255">
        <f t="shared" si="83"/>
        <v>14.11731000494539</v>
      </c>
      <c r="AC104" s="255">
        <f t="shared" si="83"/>
        <v>14.973073966220417</v>
      </c>
      <c r="AD104" s="255">
        <f t="shared" si="83"/>
        <v>15.219204600382501</v>
      </c>
    </row>
    <row r="105" spans="3:30" s="255" customFormat="1" ht="11.25" customHeight="1">
      <c r="C105" s="384" t="s">
        <v>1089</v>
      </c>
      <c r="E105" s="255">
        <f t="shared" si="82"/>
        <v>-1</v>
      </c>
      <c r="F105" s="255">
        <f t="shared" si="82"/>
        <v>1</v>
      </c>
      <c r="G105" s="255">
        <f t="shared" si="82"/>
        <v>2</v>
      </c>
      <c r="H105" s="255">
        <f t="shared" si="82"/>
        <v>2</v>
      </c>
      <c r="I105" s="255">
        <f t="shared" si="82"/>
        <v>0</v>
      </c>
      <c r="J105" s="255">
        <f t="shared" si="82"/>
        <v>0</v>
      </c>
      <c r="K105" s="255">
        <f t="shared" si="82"/>
        <v>0</v>
      </c>
      <c r="L105" s="255">
        <f t="shared" si="82"/>
        <v>0</v>
      </c>
      <c r="M105" s="255">
        <f t="shared" si="82"/>
        <v>0</v>
      </c>
      <c r="N105" s="255">
        <f t="shared" si="82"/>
        <v>0</v>
      </c>
      <c r="O105" s="255">
        <f t="shared" si="82"/>
        <v>0</v>
      </c>
      <c r="P105" s="255">
        <f t="shared" si="82"/>
        <v>0</v>
      </c>
      <c r="Q105" s="255">
        <f t="shared" si="82"/>
        <v>0</v>
      </c>
      <c r="R105" s="255">
        <f t="shared" si="82"/>
        <v>0</v>
      </c>
      <c r="S105" s="255">
        <f t="shared" si="82"/>
        <v>0</v>
      </c>
      <c r="T105" s="255">
        <f t="shared" si="82"/>
        <v>0</v>
      </c>
      <c r="U105" s="253"/>
      <c r="V105" s="277">
        <v>0</v>
      </c>
      <c r="W105" s="277">
        <v>-23</v>
      </c>
      <c r="X105" s="255">
        <f t="shared" si="83"/>
        <v>4</v>
      </c>
      <c r="Y105" s="255">
        <f t="shared" si="83"/>
        <v>0</v>
      </c>
      <c r="Z105" s="255">
        <f t="shared" si="83"/>
        <v>0</v>
      </c>
      <c r="AA105" s="255">
        <f t="shared" si="83"/>
        <v>0</v>
      </c>
      <c r="AB105" s="255">
        <f t="shared" si="83"/>
        <v>0</v>
      </c>
      <c r="AC105" s="255">
        <f t="shared" si="83"/>
        <v>0</v>
      </c>
      <c r="AD105" s="255">
        <f t="shared" si="83"/>
        <v>0</v>
      </c>
    </row>
    <row r="106" spans="3:30" s="255" customFormat="1" ht="11.25" customHeight="1">
      <c r="C106" s="639" t="s">
        <v>1090</v>
      </c>
      <c r="E106" s="255">
        <f t="shared" si="82"/>
        <v>0</v>
      </c>
      <c r="F106" s="255">
        <f t="shared" si="82"/>
        <v>0</v>
      </c>
      <c r="G106" s="255">
        <f t="shared" si="82"/>
        <v>0</v>
      </c>
      <c r="H106" s="255">
        <f t="shared" si="82"/>
        <v>0</v>
      </c>
      <c r="I106" s="255">
        <f t="shared" si="82"/>
        <v>0</v>
      </c>
      <c r="J106" s="255">
        <f t="shared" si="82"/>
        <v>0</v>
      </c>
      <c r="K106" s="255">
        <f t="shared" si="82"/>
        <v>23</v>
      </c>
      <c r="L106" s="255">
        <f t="shared" si="82"/>
        <v>4</v>
      </c>
      <c r="M106" s="255">
        <f t="shared" si="82"/>
        <v>0</v>
      </c>
      <c r="N106" s="255">
        <f t="shared" si="82"/>
        <v>0</v>
      </c>
      <c r="O106" s="255">
        <f t="shared" si="82"/>
        <v>0</v>
      </c>
      <c r="P106" s="255">
        <f t="shared" si="82"/>
        <v>0</v>
      </c>
      <c r="Q106" s="255">
        <f t="shared" si="82"/>
        <v>0</v>
      </c>
      <c r="R106" s="255">
        <f t="shared" si="82"/>
        <v>0</v>
      </c>
      <c r="S106" s="255">
        <f t="shared" si="82"/>
        <v>0</v>
      </c>
      <c r="T106" s="255">
        <f t="shared" si="82"/>
        <v>0</v>
      </c>
      <c r="U106" s="253"/>
      <c r="V106" s="277">
        <v>0</v>
      </c>
      <c r="W106" s="277">
        <v>0</v>
      </c>
      <c r="X106" s="255">
        <f t="shared" si="83"/>
        <v>0</v>
      </c>
      <c r="Y106" s="255">
        <f t="shared" si="83"/>
        <v>27</v>
      </c>
      <c r="Z106" s="255">
        <f t="shared" si="83"/>
        <v>0</v>
      </c>
      <c r="AA106" s="255">
        <f t="shared" si="83"/>
        <v>0</v>
      </c>
      <c r="AB106" s="255">
        <f t="shared" si="83"/>
        <v>0</v>
      </c>
      <c r="AC106" s="255">
        <f t="shared" si="83"/>
        <v>0</v>
      </c>
      <c r="AD106" s="255">
        <f t="shared" si="83"/>
        <v>0</v>
      </c>
    </row>
    <row r="107" spans="3:30" s="255" customFormat="1" ht="11.25" customHeight="1">
      <c r="C107" s="384" t="s">
        <v>1091</v>
      </c>
      <c r="E107" s="255">
        <f t="shared" si="82"/>
        <v>-16</v>
      </c>
      <c r="F107" s="255">
        <f t="shared" si="82"/>
        <v>-2</v>
      </c>
      <c r="G107" s="255">
        <f t="shared" si="82"/>
        <v>7</v>
      </c>
      <c r="H107" s="255">
        <f t="shared" si="82"/>
        <v>-1</v>
      </c>
      <c r="I107" s="255">
        <f t="shared" si="82"/>
        <v>53</v>
      </c>
      <c r="J107" s="255">
        <f t="shared" si="82"/>
        <v>-67</v>
      </c>
      <c r="K107" s="255">
        <f t="shared" si="82"/>
        <v>0</v>
      </c>
      <c r="L107" s="255">
        <f t="shared" si="82"/>
        <v>0</v>
      </c>
      <c r="M107" s="255">
        <f t="shared" si="82"/>
        <v>0</v>
      </c>
      <c r="N107" s="255">
        <f t="shared" si="82"/>
        <v>0</v>
      </c>
      <c r="O107" s="255">
        <f t="shared" si="82"/>
        <v>0</v>
      </c>
      <c r="P107" s="255">
        <f t="shared" si="82"/>
        <v>0</v>
      </c>
      <c r="Q107" s="255">
        <f t="shared" si="82"/>
        <v>0</v>
      </c>
      <c r="R107" s="255">
        <f t="shared" si="82"/>
        <v>0</v>
      </c>
      <c r="S107" s="255">
        <f t="shared" si="82"/>
        <v>0</v>
      </c>
      <c r="T107" s="255">
        <f t="shared" si="82"/>
        <v>0</v>
      </c>
      <c r="U107" s="253"/>
      <c r="V107" s="277">
        <v>0</v>
      </c>
      <c r="W107" s="277">
        <v>14</v>
      </c>
      <c r="X107" s="255">
        <f t="shared" si="83"/>
        <v>-12</v>
      </c>
      <c r="Y107" s="255">
        <f t="shared" si="83"/>
        <v>-14</v>
      </c>
      <c r="Z107" s="255">
        <f t="shared" si="83"/>
        <v>0</v>
      </c>
      <c r="AA107" s="255">
        <f t="shared" si="83"/>
        <v>0</v>
      </c>
      <c r="AB107" s="255">
        <f t="shared" si="83"/>
        <v>0</v>
      </c>
      <c r="AC107" s="255">
        <f t="shared" si="83"/>
        <v>0</v>
      </c>
      <c r="AD107" s="255">
        <f t="shared" si="83"/>
        <v>0</v>
      </c>
    </row>
    <row r="108" spans="3:30" s="283" customFormat="1" ht="11.25" customHeight="1">
      <c r="C108" s="286" t="s">
        <v>990</v>
      </c>
      <c r="E108" s="358">
        <f t="shared" ref="E108:T108" si="84">SUM(E97:E107)</f>
        <v>639</v>
      </c>
      <c r="F108" s="358">
        <f t="shared" si="84"/>
        <v>1533</v>
      </c>
      <c r="G108" s="358">
        <f t="shared" si="84"/>
        <v>1507</v>
      </c>
      <c r="H108" s="358">
        <f t="shared" si="84"/>
        <v>1097</v>
      </c>
      <c r="I108" s="358">
        <f t="shared" si="84"/>
        <v>-326</v>
      </c>
      <c r="J108" s="358">
        <f t="shared" si="84"/>
        <v>-2813</v>
      </c>
      <c r="K108" s="358">
        <f t="shared" si="84"/>
        <v>-2096</v>
      </c>
      <c r="L108" s="358">
        <f t="shared" si="84"/>
        <v>-1604</v>
      </c>
      <c r="M108" s="358">
        <f t="shared" si="84"/>
        <v>-2256</v>
      </c>
      <c r="N108" s="358">
        <f t="shared" si="84"/>
        <v>-678</v>
      </c>
      <c r="O108" s="358">
        <f t="shared" si="84"/>
        <v>194</v>
      </c>
      <c r="P108" s="358">
        <f t="shared" si="84"/>
        <v>142</v>
      </c>
      <c r="Q108" s="358">
        <f t="shared" si="84"/>
        <v>-784.00000000000011</v>
      </c>
      <c r="R108" s="358">
        <f t="shared" si="84"/>
        <v>921</v>
      </c>
      <c r="S108" s="358">
        <f t="shared" ca="1" si="84"/>
        <v>665.77640580168861</v>
      </c>
      <c r="T108" s="358">
        <f t="shared" ca="1" si="84"/>
        <v>-315.25804602251645</v>
      </c>
      <c r="U108" s="253"/>
      <c r="V108" s="358">
        <f t="shared" ref="V108:AA108" si="85">SUM(V97:V107)</f>
        <v>3205</v>
      </c>
      <c r="W108" s="358">
        <f t="shared" si="85"/>
        <v>3893</v>
      </c>
      <c r="X108" s="358">
        <f t="shared" si="85"/>
        <v>4776</v>
      </c>
      <c r="Y108" s="358">
        <f t="shared" si="85"/>
        <v>-6839</v>
      </c>
      <c r="Z108" s="358">
        <f t="shared" si="85"/>
        <v>-2598</v>
      </c>
      <c r="AA108" s="358">
        <f t="shared" ca="1" si="85"/>
        <v>487.51835977916687</v>
      </c>
      <c r="AB108" s="358">
        <f ca="1">SUM(AB97:AB107)</f>
        <v>161.37844829248471</v>
      </c>
      <c r="AC108" s="358">
        <f ca="1">SUM(AC97:AC107)</f>
        <v>1769.3924269655331</v>
      </c>
      <c r="AD108" s="358">
        <f ca="1">SUM(AD97:AD107)</f>
        <v>2222.8992742900205</v>
      </c>
    </row>
    <row r="110" spans="3:30" ht="11.25" customHeight="1">
      <c r="C110" s="253" t="s">
        <v>1131</v>
      </c>
      <c r="E110" s="255">
        <f t="shared" ref="E110:T110" si="86">E231</f>
        <v>1942</v>
      </c>
      <c r="F110" s="255">
        <f t="shared" si="86"/>
        <v>3268</v>
      </c>
      <c r="G110" s="255">
        <f t="shared" si="86"/>
        <v>2245</v>
      </c>
      <c r="H110" s="255">
        <f t="shared" si="86"/>
        <v>969</v>
      </c>
      <c r="I110" s="255">
        <f t="shared" si="86"/>
        <v>358</v>
      </c>
      <c r="J110" s="255">
        <f t="shared" si="86"/>
        <v>-290</v>
      </c>
      <c r="K110" s="255">
        <f t="shared" si="86"/>
        <v>-2575</v>
      </c>
      <c r="L110" s="255">
        <f t="shared" si="86"/>
        <v>-1286</v>
      </c>
      <c r="M110" s="255">
        <f t="shared" si="86"/>
        <v>691</v>
      </c>
      <c r="N110" s="255">
        <f t="shared" si="86"/>
        <v>1866</v>
      </c>
      <c r="O110" s="255">
        <f t="shared" si="86"/>
        <v>151</v>
      </c>
      <c r="P110" s="255">
        <f t="shared" si="86"/>
        <v>555</v>
      </c>
      <c r="Q110" s="255">
        <f t="shared" si="86"/>
        <v>1771</v>
      </c>
      <c r="R110" s="255">
        <f t="shared" si="86"/>
        <v>2535</v>
      </c>
      <c r="S110" s="255">
        <f t="shared" ca="1" si="86"/>
        <v>1470.8896505889534</v>
      </c>
      <c r="T110" s="255">
        <f t="shared" ca="1" si="86"/>
        <v>74.632797233573001</v>
      </c>
      <c r="V110" s="255">
        <f t="shared" ref="V110:AD110" si="87">V231</f>
        <v>5023</v>
      </c>
      <c r="W110" s="255">
        <f t="shared" si="87"/>
        <v>7014</v>
      </c>
      <c r="X110" s="255">
        <f t="shared" si="87"/>
        <v>8424</v>
      </c>
      <c r="Y110" s="255">
        <f t="shared" si="87"/>
        <v>-3793</v>
      </c>
      <c r="Z110" s="255">
        <f t="shared" si="87"/>
        <v>3263</v>
      </c>
      <c r="AA110" s="255">
        <f t="shared" ca="1" si="87"/>
        <v>5851.5224478225264</v>
      </c>
      <c r="AB110" s="255">
        <f t="shared" ca="1" si="87"/>
        <v>-601.90736292458087</v>
      </c>
      <c r="AC110" s="255">
        <f t="shared" ca="1" si="87"/>
        <v>3696.701961336993</v>
      </c>
      <c r="AD110" s="255">
        <f t="shared" ca="1" si="87"/>
        <v>4976.7080705232938</v>
      </c>
    </row>
    <row r="111" spans="3:30" ht="11.25" customHeight="1">
      <c r="C111" s="253" t="s">
        <v>1120</v>
      </c>
      <c r="E111" s="255">
        <f t="shared" ref="E111:T111" si="88">-E233</f>
        <v>1360</v>
      </c>
      <c r="F111" s="255">
        <f t="shared" si="88"/>
        <v>1559</v>
      </c>
      <c r="G111" s="255">
        <f t="shared" si="88"/>
        <v>945</v>
      </c>
      <c r="H111" s="255">
        <f t="shared" si="88"/>
        <v>1072</v>
      </c>
      <c r="I111" s="255">
        <f t="shared" si="88"/>
        <v>937</v>
      </c>
      <c r="J111" s="255">
        <f t="shared" si="88"/>
        <v>282</v>
      </c>
      <c r="K111" s="255">
        <f t="shared" si="88"/>
        <v>133</v>
      </c>
      <c r="L111" s="255">
        <f t="shared" si="88"/>
        <v>548</v>
      </c>
      <c r="M111" s="255">
        <f t="shared" si="88"/>
        <v>438</v>
      </c>
      <c r="N111" s="255">
        <f t="shared" si="88"/>
        <v>761</v>
      </c>
      <c r="O111" s="255">
        <f t="shared" si="88"/>
        <v>830</v>
      </c>
      <c r="P111" s="255">
        <f t="shared" si="88"/>
        <v>1218</v>
      </c>
      <c r="Q111" s="255">
        <f t="shared" si="88"/>
        <v>1766</v>
      </c>
      <c r="R111" s="255">
        <f t="shared" si="88"/>
        <v>958</v>
      </c>
      <c r="S111" s="255">
        <f t="shared" si="88"/>
        <v>1590.2389903397143</v>
      </c>
      <c r="T111" s="255">
        <f t="shared" si="88"/>
        <v>1760.1201445178374</v>
      </c>
      <c r="V111" s="255">
        <f t="shared" ref="V111:AD111" si="89">-V233</f>
        <v>3891</v>
      </c>
      <c r="W111" s="255">
        <f t="shared" si="89"/>
        <v>5168</v>
      </c>
      <c r="X111" s="255">
        <f t="shared" si="89"/>
        <v>4936</v>
      </c>
      <c r="Y111" s="255">
        <f t="shared" si="89"/>
        <v>1900</v>
      </c>
      <c r="Z111" s="255">
        <f t="shared" si="89"/>
        <v>3247</v>
      </c>
      <c r="AA111" s="255">
        <f t="shared" si="89"/>
        <v>6074.3591348575519</v>
      </c>
      <c r="AB111" s="255">
        <f t="shared" si="89"/>
        <v>5989.5569140171938</v>
      </c>
      <c r="AC111" s="255">
        <f t="shared" si="89"/>
        <v>6509.3861449363685</v>
      </c>
      <c r="AD111" s="255">
        <f t="shared" si="89"/>
        <v>5990.3724000429884</v>
      </c>
    </row>
    <row r="112" spans="3:30" ht="11.25" customHeight="1">
      <c r="C112" s="289" t="s">
        <v>161</v>
      </c>
      <c r="E112" s="762">
        <f t="shared" ref="E112:T112" si="90">E110-E111</f>
        <v>582</v>
      </c>
      <c r="F112" s="762">
        <f t="shared" si="90"/>
        <v>1709</v>
      </c>
      <c r="G112" s="762">
        <f t="shared" si="90"/>
        <v>1300</v>
      </c>
      <c r="H112" s="762">
        <f t="shared" si="90"/>
        <v>-103</v>
      </c>
      <c r="I112" s="762">
        <f t="shared" si="90"/>
        <v>-579</v>
      </c>
      <c r="J112" s="762">
        <f t="shared" si="90"/>
        <v>-572</v>
      </c>
      <c r="K112" s="762">
        <f t="shared" si="90"/>
        <v>-2708</v>
      </c>
      <c r="L112" s="762">
        <f t="shared" si="90"/>
        <v>-1834</v>
      </c>
      <c r="M112" s="762">
        <f t="shared" si="90"/>
        <v>253</v>
      </c>
      <c r="N112" s="762">
        <f t="shared" si="90"/>
        <v>1105</v>
      </c>
      <c r="O112" s="762">
        <f t="shared" si="90"/>
        <v>-679</v>
      </c>
      <c r="P112" s="762">
        <f t="shared" si="90"/>
        <v>-663</v>
      </c>
      <c r="Q112" s="762">
        <f t="shared" si="90"/>
        <v>5</v>
      </c>
      <c r="R112" s="762">
        <f t="shared" si="90"/>
        <v>1577</v>
      </c>
      <c r="S112" s="762">
        <f t="shared" ca="1" si="90"/>
        <v>-119.34933975076092</v>
      </c>
      <c r="T112" s="762">
        <f t="shared" ca="1" si="90"/>
        <v>-1685.4873472842644</v>
      </c>
      <c r="V112" s="762">
        <f t="shared" ref="V112:AD112" si="91">V110-V111</f>
        <v>1132</v>
      </c>
      <c r="W112" s="762">
        <f t="shared" si="91"/>
        <v>1846</v>
      </c>
      <c r="X112" s="762">
        <f t="shared" si="91"/>
        <v>3488</v>
      </c>
      <c r="Y112" s="762">
        <f t="shared" si="91"/>
        <v>-5693</v>
      </c>
      <c r="Z112" s="762">
        <f t="shared" si="91"/>
        <v>16</v>
      </c>
      <c r="AA112" s="762">
        <f t="shared" ca="1" si="91"/>
        <v>-222.83668703502553</v>
      </c>
      <c r="AB112" s="762">
        <f t="shared" ca="1" si="91"/>
        <v>-6591.4642769417751</v>
      </c>
      <c r="AC112" s="762">
        <f t="shared" ca="1" si="91"/>
        <v>-2812.6841835993755</v>
      </c>
      <c r="AD112" s="762">
        <f t="shared" ca="1" si="91"/>
        <v>-1013.6643295196945</v>
      </c>
    </row>
    <row r="113" spans="2:31" ht="11.25" customHeight="1">
      <c r="R113" s="384"/>
    </row>
    <row r="114" spans="2:31" s="255" customFormat="1" ht="11.25" customHeight="1">
      <c r="B114" s="258" t="s">
        <v>133</v>
      </c>
      <c r="C114" s="259" t="s">
        <v>1097</v>
      </c>
      <c r="D114" s="259"/>
      <c r="E114" s="258"/>
      <c r="F114" s="258"/>
      <c r="G114" s="258"/>
      <c r="H114" s="258"/>
      <c r="I114" s="258"/>
      <c r="J114" s="258"/>
      <c r="K114" s="258"/>
      <c r="L114" s="258"/>
      <c r="M114" s="258"/>
      <c r="N114" s="258"/>
      <c r="O114" s="258"/>
      <c r="P114" s="258"/>
      <c r="Q114" s="258"/>
      <c r="R114" s="258"/>
      <c r="S114" s="258"/>
      <c r="T114" s="258"/>
      <c r="U114" s="280"/>
      <c r="V114" s="258"/>
      <c r="W114" s="258"/>
      <c r="X114" s="258"/>
      <c r="Y114" s="258"/>
      <c r="Z114" s="258"/>
      <c r="AA114" s="258"/>
      <c r="AB114" s="258"/>
      <c r="AC114" s="258"/>
      <c r="AD114" s="258"/>
    </row>
    <row r="116" spans="2:31" ht="11.25" customHeight="1">
      <c r="C116" s="253" t="s">
        <v>308</v>
      </c>
      <c r="E116" s="277">
        <v>1910</v>
      </c>
      <c r="F116" s="277">
        <v>2009</v>
      </c>
      <c r="G116" s="277">
        <v>1899</v>
      </c>
      <c r="H116" s="277">
        <v>2882</v>
      </c>
      <c r="I116" s="277">
        <v>5967</v>
      </c>
      <c r="J116" s="277">
        <v>11366</v>
      </c>
      <c r="K116" s="277">
        <v>16477</v>
      </c>
      <c r="L116" s="277">
        <v>8307</v>
      </c>
      <c r="M116" s="277">
        <v>8460</v>
      </c>
      <c r="N116" s="277">
        <v>10357</v>
      </c>
      <c r="O116" s="277">
        <v>8785</v>
      </c>
      <c r="P116" s="277">
        <v>7933</v>
      </c>
      <c r="Q116" s="277">
        <v>7705</v>
      </c>
      <c r="R116" s="277">
        <v>9221</v>
      </c>
      <c r="S116" s="254">
        <f ca="1">S255-S117-S132</f>
        <v>97895</v>
      </c>
      <c r="T116" s="254">
        <f ca="1">T255-T117-T132</f>
        <v>99669</v>
      </c>
      <c r="V116" s="277">
        <v>1814</v>
      </c>
      <c r="W116" s="277">
        <v>1565</v>
      </c>
      <c r="X116" s="254">
        <f t="shared" ref="X116:AA118" si="92">SUMIF($E$6:$T$6,X$6,$E116:$T116)</f>
        <v>2882</v>
      </c>
      <c r="Y116" s="254">
        <f t="shared" si="92"/>
        <v>8307</v>
      </c>
      <c r="Z116" s="254">
        <f t="shared" si="92"/>
        <v>7933</v>
      </c>
      <c r="AA116" s="254">
        <f t="shared" ca="1" si="92"/>
        <v>99669</v>
      </c>
      <c r="AB116" s="254">
        <f ca="1">AB255-AB117-AB132</f>
        <v>99668.999999999462</v>
      </c>
      <c r="AC116" s="254">
        <f ca="1">AC255-AC117-AC132</f>
        <v>99668.999999986627</v>
      </c>
      <c r="AD116" s="254">
        <f ca="1">AD255-AD117-AD132</f>
        <v>99668.999999854728</v>
      </c>
      <c r="AE116" s="649" t="s">
        <v>1861</v>
      </c>
    </row>
    <row r="117" spans="2:31" ht="11.25" customHeight="1">
      <c r="C117" s="253" t="s">
        <v>310</v>
      </c>
      <c r="E117" s="277">
        <v>57</v>
      </c>
      <c r="F117" s="277">
        <v>127</v>
      </c>
      <c r="G117" s="277">
        <v>46</v>
      </c>
      <c r="H117" s="277">
        <v>212</v>
      </c>
      <c r="I117" s="277">
        <v>39</v>
      </c>
      <c r="J117" s="277">
        <v>112</v>
      </c>
      <c r="K117" s="277">
        <v>188</v>
      </c>
      <c r="L117" s="277">
        <v>191</v>
      </c>
      <c r="M117" s="277">
        <v>212</v>
      </c>
      <c r="N117" s="277">
        <v>171</v>
      </c>
      <c r="O117" s="277">
        <v>161</v>
      </c>
      <c r="P117" s="277">
        <v>162</v>
      </c>
      <c r="Q117" s="277">
        <v>170</v>
      </c>
      <c r="R117" s="277">
        <v>154</v>
      </c>
      <c r="S117" s="288">
        <f>R117</f>
        <v>154</v>
      </c>
      <c r="T117" s="288">
        <f>S117</f>
        <v>154</v>
      </c>
      <c r="V117" s="277">
        <v>39</v>
      </c>
      <c r="W117" s="277">
        <v>47</v>
      </c>
      <c r="X117" s="254">
        <f t="shared" si="92"/>
        <v>212</v>
      </c>
      <c r="Y117" s="254">
        <f t="shared" si="92"/>
        <v>191</v>
      </c>
      <c r="Z117" s="254">
        <f t="shared" si="92"/>
        <v>162</v>
      </c>
      <c r="AA117" s="254">
        <f t="shared" si="92"/>
        <v>154</v>
      </c>
      <c r="AB117" s="288">
        <f>AA117</f>
        <v>154</v>
      </c>
      <c r="AC117" s="288">
        <f>AB117</f>
        <v>154</v>
      </c>
      <c r="AD117" s="288">
        <f>AC117</f>
        <v>154</v>
      </c>
      <c r="AE117" s="649" t="s">
        <v>1862</v>
      </c>
    </row>
    <row r="118" spans="2:31" ht="11.25" customHeight="1">
      <c r="C118" s="253" t="s">
        <v>1098</v>
      </c>
      <c r="E118" s="277">
        <v>3154</v>
      </c>
      <c r="F118" s="277">
        <v>2844</v>
      </c>
      <c r="G118" s="277">
        <v>2836</v>
      </c>
      <c r="H118" s="277">
        <v>2854</v>
      </c>
      <c r="I118" s="277">
        <v>2280</v>
      </c>
      <c r="J118" s="277">
        <v>1375</v>
      </c>
      <c r="K118" s="277">
        <v>1503</v>
      </c>
      <c r="L118" s="277">
        <v>1396</v>
      </c>
      <c r="M118" s="277">
        <v>1837</v>
      </c>
      <c r="N118" s="277">
        <v>2258</v>
      </c>
      <c r="O118" s="277">
        <v>2183</v>
      </c>
      <c r="P118" s="277">
        <v>2404</v>
      </c>
      <c r="Q118" s="277">
        <v>3039</v>
      </c>
      <c r="R118" s="277">
        <v>3093</v>
      </c>
      <c r="S118" s="254">
        <f>S198*SUM(P13:S13)/365</f>
        <v>3217.7006100998233</v>
      </c>
      <c r="T118" s="254">
        <f>T198*SUM(Q13:T13)/365</f>
        <v>3193.9892826612954</v>
      </c>
      <c r="V118" s="277">
        <v>2377</v>
      </c>
      <c r="W118" s="277">
        <v>2314</v>
      </c>
      <c r="X118" s="254">
        <f t="shared" si="92"/>
        <v>2854</v>
      </c>
      <c r="Y118" s="254">
        <f t="shared" si="92"/>
        <v>1396</v>
      </c>
      <c r="Z118" s="254">
        <f t="shared" si="92"/>
        <v>2404</v>
      </c>
      <c r="AA118" s="254">
        <f t="shared" si="92"/>
        <v>3193.9892826612954</v>
      </c>
      <c r="AB118" s="254">
        <f>AB198*SUM(AB13)/365</f>
        <v>3553.4141930079713</v>
      </c>
      <c r="AC118" s="254">
        <f>AC198*SUM(AC13)/365</f>
        <v>3817.8565114266571</v>
      </c>
      <c r="AD118" s="254">
        <f>AD198*SUM(AD13)/365</f>
        <v>3907.3186411500674</v>
      </c>
    </row>
    <row r="119" spans="2:31" ht="11.25" customHeight="1">
      <c r="C119" s="253" t="s">
        <v>1099</v>
      </c>
      <c r="E119" s="254">
        <f>SUM(E120:E121)</f>
        <v>1071</v>
      </c>
      <c r="F119" s="254">
        <f t="shared" ref="F119:Z119" si="93">SUM(F120:F121)</f>
        <v>1083</v>
      </c>
      <c r="G119" s="254">
        <f t="shared" si="93"/>
        <v>1072</v>
      </c>
      <c r="H119" s="254">
        <f t="shared" si="93"/>
        <v>1251</v>
      </c>
      <c r="I119" s="254">
        <f t="shared" si="93"/>
        <v>974</v>
      </c>
      <c r="J119" s="254">
        <f t="shared" si="93"/>
        <v>847</v>
      </c>
      <c r="K119" s="254">
        <f t="shared" si="93"/>
        <v>746</v>
      </c>
      <c r="L119" s="254">
        <f t="shared" si="93"/>
        <v>732</v>
      </c>
      <c r="M119" s="254">
        <f t="shared" si="93"/>
        <v>828</v>
      </c>
      <c r="N119" s="254">
        <f t="shared" si="93"/>
        <v>1005</v>
      </c>
      <c r="O119" s="254">
        <f t="shared" si="93"/>
        <v>1012</v>
      </c>
      <c r="P119" s="254">
        <f t="shared" si="93"/>
        <v>1098</v>
      </c>
      <c r="Q119" s="277">
        <v>1292</v>
      </c>
      <c r="R119" s="277">
        <v>1734</v>
      </c>
      <c r="S119" s="254">
        <f ca="1">S199*SUM(P15:S23)/365</f>
        <v>1381.3679320689096</v>
      </c>
      <c r="T119" s="254">
        <f ca="1">T199*SUM(Q15:T23)/365</f>
        <v>1367.0699347059328</v>
      </c>
      <c r="U119" s="254"/>
      <c r="V119" s="254">
        <f t="shared" si="93"/>
        <v>1329</v>
      </c>
      <c r="W119" s="254">
        <f t="shared" si="93"/>
        <v>1055</v>
      </c>
      <c r="X119" s="254">
        <f t="shared" si="93"/>
        <v>1251</v>
      </c>
      <c r="Y119" s="254">
        <f t="shared" si="93"/>
        <v>732</v>
      </c>
      <c r="Z119" s="254">
        <f t="shared" si="93"/>
        <v>1098</v>
      </c>
      <c r="AA119" s="254">
        <f ca="1">SUMIF($E$6:$T$6,AA$6,$E119:$T119)</f>
        <v>1367.0699347059328</v>
      </c>
      <c r="AB119" s="254">
        <f ca="1">AB199*SUM(AB15:AB23)/365</f>
        <v>1353.8438356229133</v>
      </c>
      <c r="AC119" s="254">
        <f ca="1">AC199*SUM(AC15:AC23)/365</f>
        <v>1293.4674629574629</v>
      </c>
      <c r="AD119" s="254">
        <f>AD199*SUM(AD15:AD23)/365</f>
        <v>784.77805151815005</v>
      </c>
    </row>
    <row r="120" spans="2:31" ht="11.25" customHeight="1" outlineLevel="1">
      <c r="C120" s="390" t="s">
        <v>1100</v>
      </c>
      <c r="D120" s="390"/>
      <c r="E120" s="385">
        <v>601</v>
      </c>
      <c r="F120" s="385">
        <v>590</v>
      </c>
      <c r="G120" s="385">
        <v>568</v>
      </c>
      <c r="H120" s="385">
        <v>730</v>
      </c>
      <c r="I120" s="385">
        <v>439</v>
      </c>
      <c r="J120" s="385">
        <v>353</v>
      </c>
      <c r="K120" s="385">
        <v>353</v>
      </c>
      <c r="L120" s="385">
        <v>377</v>
      </c>
      <c r="M120" s="385">
        <v>457</v>
      </c>
      <c r="N120" s="385">
        <v>641</v>
      </c>
      <c r="O120" s="385">
        <v>641</v>
      </c>
      <c r="P120" s="385">
        <v>694</v>
      </c>
      <c r="Q120" s="385"/>
      <c r="R120" s="385"/>
      <c r="S120" s="420"/>
      <c r="T120" s="420"/>
      <c r="V120" s="385">
        <v>916</v>
      </c>
      <c r="W120" s="385">
        <v>592</v>
      </c>
      <c r="X120" s="641">
        <f t="shared" ref="X120:Z123" si="94">SUMIF($E$6:$T$6,X$6,$E120:$T120)</f>
        <v>730</v>
      </c>
      <c r="Y120" s="641">
        <f t="shared" si="94"/>
        <v>377</v>
      </c>
      <c r="Z120" s="641">
        <f t="shared" si="94"/>
        <v>694</v>
      </c>
      <c r="AA120" s="641">
        <f>SUMIF($E$6:$T$6,AA$6,$E120:$T120)</f>
        <v>0</v>
      </c>
      <c r="AB120" s="420"/>
      <c r="AC120" s="420"/>
      <c r="AD120" s="420"/>
    </row>
    <row r="121" spans="2:31" ht="11.25" customHeight="1" outlineLevel="1">
      <c r="C121" s="390" t="s">
        <v>1101</v>
      </c>
      <c r="D121" s="390"/>
      <c r="E121" s="385">
        <v>470</v>
      </c>
      <c r="F121" s="385">
        <v>493</v>
      </c>
      <c r="G121" s="385">
        <v>504</v>
      </c>
      <c r="H121" s="385">
        <v>521</v>
      </c>
      <c r="I121" s="385">
        <v>535</v>
      </c>
      <c r="J121" s="385">
        <v>494</v>
      </c>
      <c r="K121" s="385">
        <v>393</v>
      </c>
      <c r="L121" s="385">
        <v>355</v>
      </c>
      <c r="M121" s="385">
        <v>371</v>
      </c>
      <c r="N121" s="385">
        <v>364</v>
      </c>
      <c r="O121" s="385">
        <v>371</v>
      </c>
      <c r="P121" s="385">
        <v>404</v>
      </c>
      <c r="Q121" s="385"/>
      <c r="R121" s="385"/>
      <c r="S121" s="420"/>
      <c r="T121" s="420"/>
      <c r="V121" s="385">
        <v>413</v>
      </c>
      <c r="W121" s="385">
        <v>463</v>
      </c>
      <c r="X121" s="641">
        <f t="shared" si="94"/>
        <v>521</v>
      </c>
      <c r="Y121" s="641">
        <f t="shared" si="94"/>
        <v>355</v>
      </c>
      <c r="Z121" s="641">
        <f t="shared" si="94"/>
        <v>404</v>
      </c>
      <c r="AA121" s="641">
        <f>SUMIF($E$6:$T$6,AA$6,$E121:$T121)</f>
        <v>0</v>
      </c>
      <c r="AB121" s="420"/>
      <c r="AC121" s="420"/>
      <c r="AD121" s="420"/>
    </row>
    <row r="122" spans="2:31" ht="11.25" customHeight="1">
      <c r="C122" s="253" t="s">
        <v>311</v>
      </c>
      <c r="E122" s="277">
        <v>1004</v>
      </c>
      <c r="F122" s="277">
        <v>1071</v>
      </c>
      <c r="G122" s="277">
        <v>1091</v>
      </c>
      <c r="H122" s="277">
        <v>1050</v>
      </c>
      <c r="I122" s="277">
        <v>1015</v>
      </c>
      <c r="J122" s="277">
        <v>913</v>
      </c>
      <c r="K122" s="277">
        <v>1068</v>
      </c>
      <c r="L122" s="277">
        <v>989</v>
      </c>
      <c r="M122" s="277">
        <v>941</v>
      </c>
      <c r="N122" s="277">
        <v>1002</v>
      </c>
      <c r="O122" s="277">
        <v>913</v>
      </c>
      <c r="P122" s="277">
        <v>957</v>
      </c>
      <c r="Q122" s="277">
        <v>1264</v>
      </c>
      <c r="R122" s="277">
        <f>1716-R117</f>
        <v>1562</v>
      </c>
      <c r="S122" s="254">
        <f>S204*SUM(P13:S13)</f>
        <v>1268.4175805013504</v>
      </c>
      <c r="T122" s="254">
        <f>T204*SUM(Q13:T13)</f>
        <v>1267.1805306210576</v>
      </c>
      <c r="V122" s="277">
        <v>2245</v>
      </c>
      <c r="W122" s="277">
        <v>1359</v>
      </c>
      <c r="X122" s="254">
        <f t="shared" si="94"/>
        <v>1050</v>
      </c>
      <c r="Y122" s="254">
        <f t="shared" si="94"/>
        <v>989</v>
      </c>
      <c r="Z122" s="254">
        <f t="shared" si="94"/>
        <v>957</v>
      </c>
      <c r="AA122" s="254">
        <f>SUMIF($E$6:$T$6,AA$6,$E122:$T122)</f>
        <v>1267.1805306210576</v>
      </c>
      <c r="AB122" s="254">
        <f>AB204*AB13</f>
        <v>1409.7784570085973</v>
      </c>
      <c r="AC122" s="254">
        <f>AC204*AC13</f>
        <v>1514.6930724681847</v>
      </c>
      <c r="AD122" s="254">
        <f>AD204*AD13</f>
        <v>1550.1862000214942</v>
      </c>
    </row>
    <row r="123" spans="2:31" ht="11.25" customHeight="1">
      <c r="C123" s="253" t="s">
        <v>309</v>
      </c>
      <c r="E123" s="277">
        <v>0</v>
      </c>
      <c r="F123" s="277">
        <v>0</v>
      </c>
      <c r="G123" s="277">
        <v>0</v>
      </c>
      <c r="H123" s="277">
        <v>0</v>
      </c>
      <c r="I123" s="277">
        <v>0</v>
      </c>
      <c r="J123" s="277">
        <v>4302</v>
      </c>
      <c r="K123" s="277">
        <v>5048</v>
      </c>
      <c r="L123" s="277">
        <v>5789</v>
      </c>
      <c r="M123" s="277">
        <v>5575</v>
      </c>
      <c r="N123" s="277">
        <v>4873</v>
      </c>
      <c r="O123" s="277">
        <v>4417</v>
      </c>
      <c r="P123" s="277">
        <v>3386</v>
      </c>
      <c r="Q123" s="277">
        <v>2250</v>
      </c>
      <c r="R123" s="277">
        <v>1549</v>
      </c>
      <c r="S123" s="288">
        <f>R123</f>
        <v>1549</v>
      </c>
      <c r="T123" s="288">
        <f>S123</f>
        <v>1549</v>
      </c>
      <c r="V123" s="277">
        <v>0</v>
      </c>
      <c r="W123" s="277">
        <v>0</v>
      </c>
      <c r="X123" s="254">
        <f t="shared" si="94"/>
        <v>0</v>
      </c>
      <c r="Y123" s="254">
        <f t="shared" si="94"/>
        <v>5789</v>
      </c>
      <c r="Z123" s="254">
        <f t="shared" si="94"/>
        <v>3386</v>
      </c>
      <c r="AA123" s="254">
        <f>SUMIF($E$6:$T$6,AA$6,$E123:$T123)</f>
        <v>1549</v>
      </c>
      <c r="AB123" s="288">
        <f>AA123</f>
        <v>1549</v>
      </c>
      <c r="AC123" s="288">
        <f>AB123</f>
        <v>1549</v>
      </c>
      <c r="AD123" s="288">
        <f>AC123</f>
        <v>1549</v>
      </c>
    </row>
    <row r="124" spans="2:31" s="279" customFormat="1" ht="11.25" customHeight="1">
      <c r="C124" s="289" t="s">
        <v>312</v>
      </c>
      <c r="E124" s="358">
        <f>SUM(E116:E119,E122:E123)</f>
        <v>7196</v>
      </c>
      <c r="F124" s="358">
        <f t="shared" ref="F124:Q124" si="95">SUM(F116:F119,F122:F123)</f>
        <v>7134</v>
      </c>
      <c r="G124" s="358">
        <f t="shared" si="95"/>
        <v>6944</v>
      </c>
      <c r="H124" s="358">
        <f t="shared" si="95"/>
        <v>8249</v>
      </c>
      <c r="I124" s="358">
        <f t="shared" si="95"/>
        <v>10275</v>
      </c>
      <c r="J124" s="358">
        <f t="shared" si="95"/>
        <v>18915</v>
      </c>
      <c r="K124" s="358">
        <f t="shared" si="95"/>
        <v>25030</v>
      </c>
      <c r="L124" s="358">
        <f t="shared" si="95"/>
        <v>17404</v>
      </c>
      <c r="M124" s="358">
        <f t="shared" si="95"/>
        <v>17853</v>
      </c>
      <c r="N124" s="358">
        <f t="shared" si="95"/>
        <v>19666</v>
      </c>
      <c r="O124" s="358">
        <f t="shared" si="95"/>
        <v>17471</v>
      </c>
      <c r="P124" s="358">
        <f t="shared" si="95"/>
        <v>15940</v>
      </c>
      <c r="Q124" s="358">
        <f t="shared" si="95"/>
        <v>15720</v>
      </c>
      <c r="R124" s="358">
        <f t="shared" ref="R124" si="96">SUM(R116:R119,R122:R123)</f>
        <v>17313</v>
      </c>
      <c r="S124" s="358">
        <f ca="1">SUM(S116:S119,S122:S123)</f>
        <v>105465.48612267009</v>
      </c>
      <c r="T124" s="358">
        <f ca="1">SUM(T116:T119,T122:T123)</f>
        <v>107200.23974798828</v>
      </c>
      <c r="V124" s="358">
        <f t="shared" ref="V124:AD124" si="97">SUM(V116:V119,V122:V123)</f>
        <v>7804</v>
      </c>
      <c r="W124" s="358">
        <f t="shared" si="97"/>
        <v>6340</v>
      </c>
      <c r="X124" s="358">
        <f t="shared" si="97"/>
        <v>8249</v>
      </c>
      <c r="Y124" s="358">
        <f t="shared" si="97"/>
        <v>17404</v>
      </c>
      <c r="Z124" s="358">
        <f t="shared" si="97"/>
        <v>15940</v>
      </c>
      <c r="AA124" s="358">
        <f t="shared" ca="1" si="97"/>
        <v>107200.23974798828</v>
      </c>
      <c r="AB124" s="358">
        <f t="shared" ca="1" si="97"/>
        <v>107689.03648563894</v>
      </c>
      <c r="AC124" s="358">
        <f t="shared" ca="1" si="97"/>
        <v>107998.01704683893</v>
      </c>
      <c r="AD124" s="358">
        <f t="shared" ca="1" si="97"/>
        <v>107614.28289254443</v>
      </c>
    </row>
    <row r="125" spans="2:31" ht="11.25" customHeight="1">
      <c r="E125" s="255"/>
      <c r="F125" s="255"/>
      <c r="G125" s="255"/>
      <c r="H125" s="255"/>
      <c r="I125" s="255"/>
      <c r="J125" s="255"/>
      <c r="K125" s="255"/>
      <c r="L125" s="255"/>
      <c r="M125" s="255"/>
      <c r="N125" s="255"/>
      <c r="O125" s="255"/>
      <c r="P125" s="255"/>
      <c r="Q125" s="255"/>
      <c r="R125" s="255"/>
      <c r="S125" s="255"/>
      <c r="T125" s="255"/>
      <c r="V125" s="255"/>
      <c r="W125" s="255"/>
      <c r="X125" s="255"/>
      <c r="Y125" s="255"/>
      <c r="Z125" s="255"/>
      <c r="AA125" s="255"/>
      <c r="AB125" s="255"/>
      <c r="AC125" s="255"/>
      <c r="AD125" s="255"/>
    </row>
    <row r="126" spans="2:31" ht="11.25" customHeight="1">
      <c r="C126" s="253" t="s">
        <v>1102</v>
      </c>
      <c r="E126" s="277">
        <v>29139</v>
      </c>
      <c r="F126" s="277">
        <v>30165</v>
      </c>
      <c r="G126" s="277">
        <v>30796</v>
      </c>
      <c r="H126" s="277">
        <v>31310</v>
      </c>
      <c r="I126" s="277">
        <v>31644</v>
      </c>
      <c r="J126" s="277">
        <v>28473</v>
      </c>
      <c r="K126" s="277">
        <v>26602</v>
      </c>
      <c r="L126" s="277">
        <v>26529</v>
      </c>
      <c r="M126" s="277">
        <v>26862</v>
      </c>
      <c r="N126" s="277">
        <v>27508</v>
      </c>
      <c r="O126" s="277">
        <v>27816</v>
      </c>
      <c r="P126" s="277">
        <v>28749</v>
      </c>
      <c r="Q126" s="277">
        <v>30042</v>
      </c>
      <c r="R126" s="277">
        <v>30519</v>
      </c>
      <c r="S126" s="254">
        <f>S176</f>
        <v>31646.213839426655</v>
      </c>
      <c r="T126" s="254">
        <f>T176</f>
        <v>32927.467751730772</v>
      </c>
      <c r="V126" s="277">
        <v>26563</v>
      </c>
      <c r="W126" s="277">
        <v>28335</v>
      </c>
      <c r="X126" s="254">
        <f t="shared" ref="X126:AA134" si="98">SUMIF($E$6:$T$6,X$6,$E126:$T126)</f>
        <v>31310</v>
      </c>
      <c r="Y126" s="254">
        <f t="shared" si="98"/>
        <v>26529</v>
      </c>
      <c r="Z126" s="254">
        <f t="shared" si="98"/>
        <v>28749</v>
      </c>
      <c r="AA126" s="254">
        <f t="shared" si="98"/>
        <v>32927.467751730772</v>
      </c>
      <c r="AB126" s="254">
        <f>AB176</f>
        <v>36489.951107744098</v>
      </c>
      <c r="AC126" s="254">
        <f>AC176</f>
        <v>40896.735582478512</v>
      </c>
      <c r="AD126" s="254">
        <f>AD176</f>
        <v>44592.814395518173</v>
      </c>
    </row>
    <row r="127" spans="2:31" ht="11.25" customHeight="1">
      <c r="C127" s="253" t="s">
        <v>1103</v>
      </c>
      <c r="E127" s="277">
        <v>4827</v>
      </c>
      <c r="F127" s="277">
        <v>4824</v>
      </c>
      <c r="G127" s="277">
        <v>4821</v>
      </c>
      <c r="H127" s="277">
        <v>5163</v>
      </c>
      <c r="I127" s="277">
        <v>6019</v>
      </c>
      <c r="J127" s="277">
        <v>6017</v>
      </c>
      <c r="K127" s="277">
        <v>6014</v>
      </c>
      <c r="L127" s="277">
        <v>6011</v>
      </c>
      <c r="M127" s="277">
        <v>6009</v>
      </c>
      <c r="N127" s="277">
        <v>6006</v>
      </c>
      <c r="O127" s="277">
        <v>6004</v>
      </c>
      <c r="P127" s="277">
        <v>6001</v>
      </c>
      <c r="Q127" s="277">
        <v>5999</v>
      </c>
      <c r="R127" s="277">
        <v>5997</v>
      </c>
      <c r="S127" s="254">
        <f>S192</f>
        <v>5994.5</v>
      </c>
      <c r="T127" s="254">
        <f>T192</f>
        <v>5992</v>
      </c>
      <c r="V127" s="277">
        <v>4847</v>
      </c>
      <c r="W127" s="277">
        <v>4830</v>
      </c>
      <c r="X127" s="254">
        <f t="shared" ref="X127:AA128" si="99">SUMIF($E$6:$T$6,X$6,$E127:$T127)</f>
        <v>5163</v>
      </c>
      <c r="Y127" s="254">
        <f t="shared" si="99"/>
        <v>6011</v>
      </c>
      <c r="Z127" s="254">
        <f t="shared" si="99"/>
        <v>6001</v>
      </c>
      <c r="AA127" s="254">
        <f t="shared" si="99"/>
        <v>5992</v>
      </c>
      <c r="AB127" s="254">
        <f>AB192</f>
        <v>5982</v>
      </c>
      <c r="AC127" s="254">
        <f>AC192</f>
        <v>5972</v>
      </c>
      <c r="AD127" s="254">
        <f>AD192</f>
        <v>5962</v>
      </c>
    </row>
    <row r="128" spans="2:31" ht="11.25" customHeight="1">
      <c r="C128" s="253" t="s">
        <v>1607</v>
      </c>
      <c r="E128" s="277">
        <v>3844</v>
      </c>
      <c r="F128" s="277">
        <v>3815</v>
      </c>
      <c r="G128" s="277">
        <v>4309</v>
      </c>
      <c r="H128" s="277">
        <f>1078+120</f>
        <v>1198</v>
      </c>
      <c r="I128" s="277">
        <v>1420</v>
      </c>
      <c r="J128" s="277">
        <v>1481</v>
      </c>
      <c r="K128" s="277">
        <v>1249</v>
      </c>
      <c r="L128" s="277">
        <v>1357</v>
      </c>
      <c r="M128" s="277">
        <v>1571</v>
      </c>
      <c r="N128" s="277">
        <v>1493</v>
      </c>
      <c r="O128" s="277">
        <v>1467</v>
      </c>
      <c r="P128" s="277">
        <v>1300</v>
      </c>
      <c r="Q128" s="277">
        <v>1040</v>
      </c>
      <c r="R128" s="277">
        <f>1044-R132</f>
        <v>867</v>
      </c>
      <c r="S128" s="254">
        <f>S205*SUM(P13:S13)</f>
        <v>1033.5254359640633</v>
      </c>
      <c r="T128" s="254">
        <f>T205*SUM(Q13:T13)</f>
        <v>1013.744424496846</v>
      </c>
      <c r="V128" s="277">
        <v>3309</v>
      </c>
      <c r="W128" s="277">
        <v>3850</v>
      </c>
      <c r="X128" s="254">
        <f t="shared" si="99"/>
        <v>1198</v>
      </c>
      <c r="Y128" s="254">
        <f t="shared" si="99"/>
        <v>1357</v>
      </c>
      <c r="Z128" s="254">
        <f t="shared" si="99"/>
        <v>1300</v>
      </c>
      <c r="AA128" s="254">
        <f t="shared" si="99"/>
        <v>1013.744424496846</v>
      </c>
      <c r="AB128" s="254">
        <f>AB205*SUM(Y13:AB13)</f>
        <v>3081.4671901037241</v>
      </c>
      <c r="AC128" s="254">
        <f>AC205*SUM(Z13:AC13)</f>
        <v>3951.3216480782717</v>
      </c>
      <c r="AD128" s="254">
        <f>AD205*SUM(AA13:AD13)</f>
        <v>4593.4706080954675</v>
      </c>
    </row>
    <row r="129" spans="2:30" ht="11.25" customHeight="1">
      <c r="C129" s="253" t="s">
        <v>379</v>
      </c>
      <c r="E129" s="254">
        <f t="shared" ref="E129:T129" si="100">SUM(E130:E134)</f>
        <v>16835</v>
      </c>
      <c r="F129" s="254">
        <f t="shared" si="100"/>
        <v>16580</v>
      </c>
      <c r="G129" s="254">
        <f t="shared" si="100"/>
        <v>16349</v>
      </c>
      <c r="H129" s="254">
        <f t="shared" si="100"/>
        <v>18612</v>
      </c>
      <c r="I129" s="254">
        <f t="shared" si="100"/>
        <v>19380</v>
      </c>
      <c r="J129" s="254">
        <f t="shared" si="100"/>
        <v>17375</v>
      </c>
      <c r="K129" s="254">
        <f t="shared" si="100"/>
        <v>20181</v>
      </c>
      <c r="L129" s="254">
        <f t="shared" si="100"/>
        <v>20695</v>
      </c>
      <c r="M129" s="254">
        <f t="shared" si="100"/>
        <v>20788</v>
      </c>
      <c r="N129" s="254">
        <f t="shared" si="100"/>
        <v>20636</v>
      </c>
      <c r="O129" s="254">
        <f t="shared" si="100"/>
        <v>20025</v>
      </c>
      <c r="P129" s="254">
        <f t="shared" si="100"/>
        <v>20469</v>
      </c>
      <c r="Q129" s="254">
        <f t="shared" si="100"/>
        <v>20947</v>
      </c>
      <c r="R129" s="254">
        <f t="shared" ref="R129" si="101">SUM(R130:R134)</f>
        <v>20109</v>
      </c>
      <c r="S129" s="254">
        <f t="shared" si="100"/>
        <v>20109</v>
      </c>
      <c r="T129" s="254">
        <f t="shared" si="100"/>
        <v>20109</v>
      </c>
      <c r="V129" s="254">
        <f t="shared" ref="V129:AD129" si="102">SUM(V130:V134)</f>
        <v>11148</v>
      </c>
      <c r="W129" s="254">
        <f t="shared" si="102"/>
        <v>16911</v>
      </c>
      <c r="X129" s="254">
        <f t="shared" si="102"/>
        <v>18612</v>
      </c>
      <c r="Y129" s="254">
        <f t="shared" si="102"/>
        <v>20695</v>
      </c>
      <c r="Z129" s="254">
        <f t="shared" si="102"/>
        <v>20469</v>
      </c>
      <c r="AA129" s="254">
        <f t="shared" si="102"/>
        <v>20109</v>
      </c>
      <c r="AB129" s="254">
        <f t="shared" si="102"/>
        <v>20109</v>
      </c>
      <c r="AC129" s="254">
        <f t="shared" si="102"/>
        <v>20109</v>
      </c>
      <c r="AD129" s="254">
        <f t="shared" si="102"/>
        <v>20109</v>
      </c>
    </row>
    <row r="130" spans="2:30" ht="11.25" customHeight="1" outlineLevel="1">
      <c r="C130" s="390" t="s">
        <v>1271</v>
      </c>
      <c r="D130" s="390"/>
      <c r="E130" s="385">
        <v>6036</v>
      </c>
      <c r="F130" s="385">
        <v>5906</v>
      </c>
      <c r="G130" s="385">
        <v>5815</v>
      </c>
      <c r="H130" s="385">
        <v>5627</v>
      </c>
      <c r="I130" s="385">
        <v>5488</v>
      </c>
      <c r="J130" s="385">
        <v>5650</v>
      </c>
      <c r="K130" s="385">
        <v>5881</v>
      </c>
      <c r="L130" s="385">
        <v>5733</v>
      </c>
      <c r="M130" s="385">
        <v>5577</v>
      </c>
      <c r="N130" s="385">
        <v>5653</v>
      </c>
      <c r="O130" s="385">
        <v>5827</v>
      </c>
      <c r="P130" s="385">
        <v>7237</v>
      </c>
      <c r="Q130" s="385">
        <v>7402</v>
      </c>
      <c r="R130" s="385">
        <v>7189</v>
      </c>
      <c r="S130" s="420">
        <f t="shared" ref="S130:T134" si="103">R130</f>
        <v>7189</v>
      </c>
      <c r="T130" s="420">
        <f t="shared" si="103"/>
        <v>7189</v>
      </c>
      <c r="V130" s="385">
        <v>0</v>
      </c>
      <c r="W130" s="385">
        <v>5994</v>
      </c>
      <c r="X130" s="641">
        <f t="shared" si="98"/>
        <v>5627</v>
      </c>
      <c r="Y130" s="641">
        <f t="shared" si="98"/>
        <v>5733</v>
      </c>
      <c r="Z130" s="641">
        <f t="shared" si="98"/>
        <v>7237</v>
      </c>
      <c r="AA130" s="641">
        <f t="shared" si="98"/>
        <v>7189</v>
      </c>
      <c r="AB130" s="420">
        <f t="shared" ref="AB130:AD134" si="104">AA130</f>
        <v>7189</v>
      </c>
      <c r="AC130" s="420">
        <f t="shared" si="104"/>
        <v>7189</v>
      </c>
      <c r="AD130" s="420">
        <f t="shared" si="104"/>
        <v>7189</v>
      </c>
    </row>
    <row r="131" spans="2:30" ht="11.25" customHeight="1" outlineLevel="1">
      <c r="C131" s="390" t="s">
        <v>1272</v>
      </c>
      <c r="D131" s="390"/>
      <c r="E131" s="385">
        <v>9781</v>
      </c>
      <c r="F131" s="385">
        <v>9781</v>
      </c>
      <c r="G131" s="385">
        <v>9781</v>
      </c>
      <c r="H131" s="385">
        <v>9781</v>
      </c>
      <c r="I131" s="385">
        <v>9753</v>
      </c>
      <c r="J131" s="385">
        <v>9753</v>
      </c>
      <c r="K131" s="385">
        <v>9753</v>
      </c>
      <c r="L131" s="385">
        <v>9753</v>
      </c>
      <c r="M131" s="385">
        <v>9753</v>
      </c>
      <c r="N131" s="385">
        <v>9753</v>
      </c>
      <c r="O131" s="385">
        <v>9753</v>
      </c>
      <c r="P131" s="385">
        <v>9753</v>
      </c>
      <c r="Q131" s="385">
        <v>9753</v>
      </c>
      <c r="R131" s="385">
        <v>9753</v>
      </c>
      <c r="S131" s="420">
        <f t="shared" si="103"/>
        <v>9753</v>
      </c>
      <c r="T131" s="420">
        <f t="shared" si="103"/>
        <v>9753</v>
      </c>
      <c r="V131" s="385">
        <v>9794</v>
      </c>
      <c r="W131" s="385">
        <v>9781</v>
      </c>
      <c r="X131" s="641">
        <f t="shared" si="98"/>
        <v>9781</v>
      </c>
      <c r="Y131" s="641">
        <f t="shared" si="98"/>
        <v>9753</v>
      </c>
      <c r="Z131" s="641">
        <f t="shared" si="98"/>
        <v>9753</v>
      </c>
      <c r="AA131" s="641">
        <f t="shared" si="98"/>
        <v>9753</v>
      </c>
      <c r="AB131" s="420">
        <f t="shared" si="104"/>
        <v>9753</v>
      </c>
      <c r="AC131" s="420">
        <f t="shared" si="104"/>
        <v>9753</v>
      </c>
      <c r="AD131" s="420">
        <f t="shared" si="104"/>
        <v>9753</v>
      </c>
    </row>
    <row r="132" spans="2:30" ht="11.25" customHeight="1" outlineLevel="1">
      <c r="C132" s="390" t="s">
        <v>1273</v>
      </c>
      <c r="D132" s="390"/>
      <c r="E132" s="385">
        <v>1018</v>
      </c>
      <c r="F132" s="385">
        <v>893</v>
      </c>
      <c r="G132" s="385">
        <v>753</v>
      </c>
      <c r="H132" s="385">
        <v>636</v>
      </c>
      <c r="I132" s="385">
        <v>455</v>
      </c>
      <c r="J132" s="385">
        <v>339</v>
      </c>
      <c r="K132" s="385">
        <v>1680</v>
      </c>
      <c r="L132" s="385">
        <v>1556</v>
      </c>
      <c r="M132" s="385">
        <v>1223</v>
      </c>
      <c r="N132" s="385">
        <v>929</v>
      </c>
      <c r="O132" s="385">
        <v>713</v>
      </c>
      <c r="P132" s="385">
        <v>473</v>
      </c>
      <c r="Q132" s="385">
        <v>259</v>
      </c>
      <c r="R132" s="385">
        <v>177</v>
      </c>
      <c r="S132" s="420">
        <f t="shared" si="103"/>
        <v>177</v>
      </c>
      <c r="T132" s="420">
        <f t="shared" si="103"/>
        <v>177</v>
      </c>
      <c r="V132" s="385">
        <v>0</v>
      </c>
      <c r="W132" s="385">
        <v>1136</v>
      </c>
      <c r="X132" s="641">
        <f t="shared" si="98"/>
        <v>636</v>
      </c>
      <c r="Y132" s="641">
        <f t="shared" si="98"/>
        <v>1556</v>
      </c>
      <c r="Z132" s="641">
        <f t="shared" si="98"/>
        <v>473</v>
      </c>
      <c r="AA132" s="641">
        <f t="shared" si="98"/>
        <v>177</v>
      </c>
      <c r="AB132" s="420">
        <f t="shared" si="104"/>
        <v>177</v>
      </c>
      <c r="AC132" s="420">
        <f t="shared" si="104"/>
        <v>177</v>
      </c>
      <c r="AD132" s="420">
        <f t="shared" si="104"/>
        <v>177</v>
      </c>
    </row>
    <row r="133" spans="2:30" ht="11.25" customHeight="1" outlineLevel="1">
      <c r="C133" s="390" t="s">
        <v>1274</v>
      </c>
      <c r="D133" s="390"/>
      <c r="E133" s="385">
        <v>0</v>
      </c>
      <c r="F133" s="385">
        <v>0</v>
      </c>
      <c r="G133" s="385">
        <v>0</v>
      </c>
      <c r="H133" s="385">
        <v>2568</v>
      </c>
      <c r="I133" s="385">
        <v>3684</v>
      </c>
      <c r="J133" s="385">
        <v>1633</v>
      </c>
      <c r="K133" s="385">
        <v>1562</v>
      </c>
      <c r="L133" s="385">
        <v>1665</v>
      </c>
      <c r="M133" s="385">
        <v>1929</v>
      </c>
      <c r="N133" s="385">
        <v>2143</v>
      </c>
      <c r="O133" s="385">
        <v>1919</v>
      </c>
      <c r="P133" s="385">
        <v>1712</v>
      </c>
      <c r="Q133" s="385">
        <v>1999</v>
      </c>
      <c r="R133" s="385">
        <v>1771</v>
      </c>
      <c r="S133" s="420">
        <f t="shared" si="103"/>
        <v>1771</v>
      </c>
      <c r="T133" s="420">
        <f t="shared" si="103"/>
        <v>1771</v>
      </c>
      <c r="V133" s="385">
        <v>0</v>
      </c>
      <c r="W133" s="385">
        <v>0</v>
      </c>
      <c r="X133" s="641">
        <f t="shared" si="98"/>
        <v>2568</v>
      </c>
      <c r="Y133" s="641">
        <f t="shared" si="98"/>
        <v>1665</v>
      </c>
      <c r="Z133" s="641">
        <f t="shared" si="98"/>
        <v>1712</v>
      </c>
      <c r="AA133" s="641">
        <f t="shared" si="98"/>
        <v>1771</v>
      </c>
      <c r="AB133" s="420">
        <f t="shared" si="104"/>
        <v>1771</v>
      </c>
      <c r="AC133" s="420">
        <f t="shared" si="104"/>
        <v>1771</v>
      </c>
      <c r="AD133" s="420">
        <f t="shared" si="104"/>
        <v>1771</v>
      </c>
    </row>
    <row r="134" spans="2:30" ht="11.25" customHeight="1" outlineLevel="1">
      <c r="C134" s="390" t="s">
        <v>1275</v>
      </c>
      <c r="D134" s="390"/>
      <c r="E134" s="385">
        <v>0</v>
      </c>
      <c r="F134" s="385">
        <v>0</v>
      </c>
      <c r="G134" s="385">
        <v>0</v>
      </c>
      <c r="H134" s="385">
        <v>0</v>
      </c>
      <c r="I134" s="385">
        <v>0</v>
      </c>
      <c r="J134" s="385">
        <v>0</v>
      </c>
      <c r="K134" s="385">
        <v>1305</v>
      </c>
      <c r="L134" s="385">
        <v>1988</v>
      </c>
      <c r="M134" s="385">
        <v>2306</v>
      </c>
      <c r="N134" s="385">
        <v>2158</v>
      </c>
      <c r="O134" s="385">
        <v>1813</v>
      </c>
      <c r="P134" s="385">
        <v>1294</v>
      </c>
      <c r="Q134" s="385">
        <v>1534</v>
      </c>
      <c r="R134" s="385">
        <v>1219</v>
      </c>
      <c r="S134" s="420">
        <f t="shared" si="103"/>
        <v>1219</v>
      </c>
      <c r="T134" s="420">
        <f t="shared" si="103"/>
        <v>1219</v>
      </c>
      <c r="V134" s="385">
        <v>1354</v>
      </c>
      <c r="W134" s="385">
        <v>0</v>
      </c>
      <c r="X134" s="641">
        <f t="shared" si="98"/>
        <v>0</v>
      </c>
      <c r="Y134" s="641">
        <f t="shared" si="98"/>
        <v>1988</v>
      </c>
      <c r="Z134" s="641">
        <f t="shared" si="98"/>
        <v>1294</v>
      </c>
      <c r="AA134" s="641">
        <f t="shared" si="98"/>
        <v>1219</v>
      </c>
      <c r="AB134" s="420">
        <f t="shared" si="104"/>
        <v>1219</v>
      </c>
      <c r="AC134" s="420">
        <f t="shared" si="104"/>
        <v>1219</v>
      </c>
      <c r="AD134" s="420">
        <f t="shared" si="104"/>
        <v>1219</v>
      </c>
    </row>
    <row r="135" spans="2:30" s="680" customFormat="1" ht="11.25" customHeight="1">
      <c r="C135" s="289" t="s">
        <v>315</v>
      </c>
      <c r="E135" s="358">
        <f t="shared" ref="E135:T135" si="105">E124+SUM(E126:E129)</f>
        <v>61841</v>
      </c>
      <c r="F135" s="358">
        <f t="shared" si="105"/>
        <v>62518</v>
      </c>
      <c r="G135" s="358">
        <f t="shared" si="105"/>
        <v>63219</v>
      </c>
      <c r="H135" s="358">
        <f t="shared" si="105"/>
        <v>64532</v>
      </c>
      <c r="I135" s="358">
        <f t="shared" si="105"/>
        <v>68738</v>
      </c>
      <c r="J135" s="358">
        <f t="shared" si="105"/>
        <v>72261</v>
      </c>
      <c r="K135" s="358">
        <f t="shared" si="105"/>
        <v>79076</v>
      </c>
      <c r="L135" s="358">
        <f t="shared" si="105"/>
        <v>71996</v>
      </c>
      <c r="M135" s="358">
        <f t="shared" si="105"/>
        <v>73083</v>
      </c>
      <c r="N135" s="358">
        <f t="shared" si="105"/>
        <v>75309</v>
      </c>
      <c r="O135" s="358">
        <f t="shared" si="105"/>
        <v>72783</v>
      </c>
      <c r="P135" s="358">
        <f t="shared" si="105"/>
        <v>72459</v>
      </c>
      <c r="Q135" s="358">
        <f t="shared" si="105"/>
        <v>73748</v>
      </c>
      <c r="R135" s="358">
        <f t="shared" ref="R135" si="106">R124+SUM(R126:R129)</f>
        <v>74805</v>
      </c>
      <c r="S135" s="358">
        <f t="shared" ca="1" si="105"/>
        <v>164248.72539806081</v>
      </c>
      <c r="T135" s="358">
        <f t="shared" ca="1" si="105"/>
        <v>167242.45192421589</v>
      </c>
      <c r="U135" s="253"/>
      <c r="V135" s="358">
        <f t="shared" ref="V135:AD135" si="107">V124+SUM(V126:V129)</f>
        <v>53671</v>
      </c>
      <c r="W135" s="358">
        <f t="shared" si="107"/>
        <v>60266</v>
      </c>
      <c r="X135" s="358">
        <f t="shared" si="107"/>
        <v>64532</v>
      </c>
      <c r="Y135" s="358">
        <f t="shared" si="107"/>
        <v>71996</v>
      </c>
      <c r="Z135" s="358">
        <f t="shared" si="107"/>
        <v>72459</v>
      </c>
      <c r="AA135" s="358">
        <f t="shared" ca="1" si="107"/>
        <v>167242.45192421589</v>
      </c>
      <c r="AB135" s="358">
        <f t="shared" ca="1" si="107"/>
        <v>173351.45478348676</v>
      </c>
      <c r="AC135" s="358">
        <f t="shared" ca="1" si="107"/>
        <v>178927.07427739573</v>
      </c>
      <c r="AD135" s="358">
        <f t="shared" ca="1" si="107"/>
        <v>182871.56789615809</v>
      </c>
    </row>
    <row r="136" spans="2:30" ht="11.25" customHeight="1">
      <c r="E136" s="255"/>
      <c r="F136" s="255"/>
      <c r="G136" s="255"/>
      <c r="H136" s="255"/>
      <c r="I136" s="255"/>
      <c r="J136" s="255"/>
      <c r="K136" s="255"/>
      <c r="L136" s="255"/>
      <c r="M136" s="255"/>
      <c r="N136" s="255"/>
      <c r="O136" s="255"/>
      <c r="P136" s="255"/>
      <c r="Q136" s="255"/>
      <c r="R136" s="255"/>
      <c r="S136" s="255"/>
      <c r="T136" s="255"/>
      <c r="V136" s="255"/>
      <c r="W136" s="255"/>
      <c r="X136" s="255"/>
      <c r="Y136" s="255"/>
      <c r="Z136" s="255"/>
      <c r="AA136" s="255"/>
      <c r="AB136" s="255"/>
      <c r="AC136" s="255"/>
      <c r="AD136" s="255"/>
    </row>
    <row r="137" spans="2:30" ht="11.25" customHeight="1">
      <c r="C137" s="253" t="s">
        <v>316</v>
      </c>
      <c r="E137" s="277">
        <v>3214</v>
      </c>
      <c r="F137" s="277">
        <v>3359</v>
      </c>
      <c r="G137" s="277">
        <v>3470</v>
      </c>
      <c r="H137" s="277">
        <v>3266</v>
      </c>
      <c r="I137" s="277">
        <v>3337</v>
      </c>
      <c r="J137" s="277">
        <v>2332</v>
      </c>
      <c r="K137" s="277">
        <v>2403</v>
      </c>
      <c r="L137" s="277">
        <v>2840</v>
      </c>
      <c r="M137" s="277">
        <v>3432</v>
      </c>
      <c r="N137" s="277">
        <v>3930</v>
      </c>
      <c r="O137" s="277">
        <v>4017</v>
      </c>
      <c r="P137" s="277">
        <v>4240</v>
      </c>
      <c r="Q137" s="277">
        <v>4810</v>
      </c>
      <c r="R137" s="277">
        <v>5353</v>
      </c>
      <c r="S137" s="254">
        <f ca="1">S200*SUM(P15:S23)/365</f>
        <v>4994.1763697875967</v>
      </c>
      <c r="T137" s="254">
        <f ca="1">T200*SUM(Q15:T23)/365</f>
        <v>5012.5897605884211</v>
      </c>
      <c r="V137" s="277">
        <v>3634</v>
      </c>
      <c r="W137" s="277">
        <v>2976</v>
      </c>
      <c r="X137" s="254">
        <f t="shared" ref="X137:AA140" si="108">SUMIF($E$6:$T$6,X$6,$E137:$T137)</f>
        <v>3266</v>
      </c>
      <c r="Y137" s="254">
        <f t="shared" si="108"/>
        <v>2840</v>
      </c>
      <c r="Z137" s="254">
        <f t="shared" si="108"/>
        <v>4240</v>
      </c>
      <c r="AA137" s="254">
        <f t="shared" ca="1" si="108"/>
        <v>5012.5897605884211</v>
      </c>
      <c r="AB137" s="254">
        <f ca="1">AB200*SUM(AB15:AB23)/365</f>
        <v>5415.3753424916531</v>
      </c>
      <c r="AC137" s="254">
        <f ca="1">AC200*SUM(AC15:AC23)/365</f>
        <v>5691.2568370128365</v>
      </c>
      <c r="AD137" s="254">
        <f ca="1">AD200*SUM(AD15:AD23)/365</f>
        <v>5755.0390444664326</v>
      </c>
    </row>
    <row r="138" spans="2:30" ht="11.25" customHeight="1">
      <c r="C138" s="253" t="s">
        <v>920</v>
      </c>
      <c r="E138" s="277">
        <v>1397</v>
      </c>
      <c r="F138" s="277">
        <v>1335</v>
      </c>
      <c r="G138" s="277">
        <v>1181</v>
      </c>
      <c r="H138" s="277">
        <v>1078</v>
      </c>
      <c r="I138" s="277">
        <v>1309</v>
      </c>
      <c r="J138" s="277">
        <v>3327</v>
      </c>
      <c r="K138" s="277">
        <v>2896</v>
      </c>
      <c r="L138" s="277">
        <v>1670</v>
      </c>
      <c r="M138" s="277">
        <v>2794</v>
      </c>
      <c r="N138" s="277">
        <v>3763</v>
      </c>
      <c r="O138" s="277">
        <v>1812</v>
      </c>
      <c r="P138" s="277">
        <v>1746</v>
      </c>
      <c r="Q138" s="277">
        <v>2155</v>
      </c>
      <c r="R138" s="277">
        <v>1986</v>
      </c>
      <c r="S138" s="254">
        <f>S206*SUM(P13:S13)</f>
        <v>2254.9645875579563</v>
      </c>
      <c r="T138" s="254">
        <f>T206*SUM(Q13:T13)</f>
        <v>2280.9249551179037</v>
      </c>
      <c r="V138" s="277">
        <v>1868</v>
      </c>
      <c r="W138" s="277">
        <v>1117</v>
      </c>
      <c r="X138" s="254">
        <f>SUMIF($E$6:$T$6,X$6,$E138:$T138)</f>
        <v>1078</v>
      </c>
      <c r="Y138" s="254">
        <f>SUMIF($E$6:$T$6,Y$6,$E138:$T138)</f>
        <v>1670</v>
      </c>
      <c r="Z138" s="254">
        <f>SUMIF($E$6:$T$6,Z$6,$E138:$T138)</f>
        <v>1746</v>
      </c>
      <c r="AA138" s="254">
        <f>SUMIF($E$6:$T$6,AA$6,$E138:$T138)</f>
        <v>2280.9249551179037</v>
      </c>
      <c r="AB138" s="254">
        <f>AB206*SUM(AB13)</f>
        <v>2537.6012226154749</v>
      </c>
      <c r="AC138" s="254">
        <f>AC206*SUM(AC13)</f>
        <v>2726.4475304427324</v>
      </c>
      <c r="AD138" s="254">
        <f>AD206*SUM(AD13)</f>
        <v>2790.3351600386891</v>
      </c>
    </row>
    <row r="139" spans="2:30" ht="11.25" customHeight="1">
      <c r="C139" s="253" t="s">
        <v>1105</v>
      </c>
      <c r="E139" s="277">
        <v>2037</v>
      </c>
      <c r="F139" s="277">
        <v>2617</v>
      </c>
      <c r="G139" s="277">
        <v>3119</v>
      </c>
      <c r="H139" s="277">
        <v>3701</v>
      </c>
      <c r="I139" s="277">
        <v>1844</v>
      </c>
      <c r="J139" s="277">
        <v>1809</v>
      </c>
      <c r="K139" s="277">
        <v>1904</v>
      </c>
      <c r="L139" s="277">
        <v>2086</v>
      </c>
      <c r="M139" s="277">
        <v>2182</v>
      </c>
      <c r="N139" s="277">
        <v>2215</v>
      </c>
      <c r="O139" s="277">
        <v>2198</v>
      </c>
      <c r="P139" s="277">
        <v>2457</v>
      </c>
      <c r="Q139" s="277">
        <v>2288</v>
      </c>
      <c r="R139" s="277">
        <v>2565</v>
      </c>
      <c r="S139" s="288">
        <f t="shared" ref="S139:T140" si="109">R139</f>
        <v>2565</v>
      </c>
      <c r="T139" s="288">
        <f t="shared" si="109"/>
        <v>2565</v>
      </c>
      <c r="V139" s="277">
        <v>3022</v>
      </c>
      <c r="W139" s="277">
        <v>3287</v>
      </c>
      <c r="X139" s="254">
        <f t="shared" si="108"/>
        <v>3701</v>
      </c>
      <c r="Y139" s="254">
        <f t="shared" si="108"/>
        <v>2086</v>
      </c>
      <c r="Z139" s="254">
        <f t="shared" si="108"/>
        <v>2457</v>
      </c>
      <c r="AA139" s="254">
        <f t="shared" si="108"/>
        <v>2565</v>
      </c>
      <c r="AB139" s="288">
        <f t="shared" ref="AB139:AD140" si="110">AA139</f>
        <v>2565</v>
      </c>
      <c r="AC139" s="288">
        <f t="shared" si="110"/>
        <v>2565</v>
      </c>
      <c r="AD139" s="288">
        <f t="shared" si="110"/>
        <v>2565</v>
      </c>
    </row>
    <row r="140" spans="2:30" ht="11.25" customHeight="1">
      <c r="C140" s="253" t="s">
        <v>1106</v>
      </c>
      <c r="E140" s="277">
        <v>1066</v>
      </c>
      <c r="F140" s="277">
        <v>1067</v>
      </c>
      <c r="G140" s="277">
        <v>439</v>
      </c>
      <c r="H140" s="277">
        <v>736</v>
      </c>
      <c r="I140" s="277">
        <v>1100</v>
      </c>
      <c r="J140" s="277">
        <v>839</v>
      </c>
      <c r="K140" s="277">
        <v>1100</v>
      </c>
      <c r="L140" s="277">
        <v>1100</v>
      </c>
      <c r="M140" s="277">
        <v>1100</v>
      </c>
      <c r="N140" s="277">
        <v>1100</v>
      </c>
      <c r="O140" s="277">
        <v>1100</v>
      </c>
      <c r="P140" s="277">
        <v>1100</v>
      </c>
      <c r="Q140" s="277">
        <v>1100</v>
      </c>
      <c r="R140" s="277">
        <v>1100</v>
      </c>
      <c r="S140" s="288">
        <f t="shared" si="109"/>
        <v>1100</v>
      </c>
      <c r="T140" s="288">
        <f t="shared" si="109"/>
        <v>1100</v>
      </c>
      <c r="V140" s="277">
        <v>1067</v>
      </c>
      <c r="W140" s="277">
        <v>1075</v>
      </c>
      <c r="X140" s="254">
        <f t="shared" si="108"/>
        <v>736</v>
      </c>
      <c r="Y140" s="254">
        <f t="shared" si="108"/>
        <v>1100</v>
      </c>
      <c r="Z140" s="254">
        <f t="shared" si="108"/>
        <v>1100</v>
      </c>
      <c r="AA140" s="254">
        <f t="shared" si="108"/>
        <v>1100</v>
      </c>
      <c r="AB140" s="288">
        <f t="shared" si="110"/>
        <v>1100</v>
      </c>
      <c r="AC140" s="288">
        <f t="shared" si="110"/>
        <v>1100</v>
      </c>
      <c r="AD140" s="288">
        <f t="shared" si="110"/>
        <v>1100</v>
      </c>
    </row>
    <row r="141" spans="2:30" s="279" customFormat="1" ht="11.25" customHeight="1">
      <c r="C141" s="289" t="s">
        <v>322</v>
      </c>
      <c r="E141" s="358">
        <f t="shared" ref="E141:T141" si="111">SUM(E137:E140)</f>
        <v>7714</v>
      </c>
      <c r="F141" s="358">
        <f t="shared" si="111"/>
        <v>8378</v>
      </c>
      <c r="G141" s="358">
        <f t="shared" si="111"/>
        <v>8209</v>
      </c>
      <c r="H141" s="358">
        <f t="shared" si="111"/>
        <v>8781</v>
      </c>
      <c r="I141" s="358">
        <f t="shared" si="111"/>
        <v>7590</v>
      </c>
      <c r="J141" s="358">
        <f t="shared" si="111"/>
        <v>8307</v>
      </c>
      <c r="K141" s="358">
        <f t="shared" si="111"/>
        <v>8303</v>
      </c>
      <c r="L141" s="358">
        <f t="shared" si="111"/>
        <v>7696</v>
      </c>
      <c r="M141" s="358">
        <f t="shared" si="111"/>
        <v>9508</v>
      </c>
      <c r="N141" s="358">
        <f t="shared" si="111"/>
        <v>11008</v>
      </c>
      <c r="O141" s="358">
        <f t="shared" si="111"/>
        <v>9127</v>
      </c>
      <c r="P141" s="358">
        <f t="shared" si="111"/>
        <v>9543</v>
      </c>
      <c r="Q141" s="358">
        <f t="shared" si="111"/>
        <v>10353</v>
      </c>
      <c r="R141" s="358">
        <f t="shared" ref="R141" si="112">SUM(R137:R140)</f>
        <v>11004</v>
      </c>
      <c r="S141" s="358">
        <f t="shared" ca="1" si="111"/>
        <v>10914.140957345553</v>
      </c>
      <c r="T141" s="358">
        <f t="shared" ca="1" si="111"/>
        <v>10958.514715706326</v>
      </c>
      <c r="U141" s="253"/>
      <c r="V141" s="358">
        <f t="shared" ref="V141:AD141" si="113">SUM(V137:V140)</f>
        <v>9591</v>
      </c>
      <c r="W141" s="358">
        <f t="shared" si="113"/>
        <v>8455</v>
      </c>
      <c r="X141" s="358">
        <f t="shared" si="113"/>
        <v>8781</v>
      </c>
      <c r="Y141" s="358">
        <f t="shared" si="113"/>
        <v>7696</v>
      </c>
      <c r="Z141" s="358">
        <f t="shared" si="113"/>
        <v>9543</v>
      </c>
      <c r="AA141" s="358">
        <f t="shared" ca="1" si="113"/>
        <v>10958.514715706326</v>
      </c>
      <c r="AB141" s="358">
        <f t="shared" ca="1" si="113"/>
        <v>11617.976565107128</v>
      </c>
      <c r="AC141" s="358">
        <f t="shared" ca="1" si="113"/>
        <v>12082.704367455568</v>
      </c>
      <c r="AD141" s="358">
        <f t="shared" ca="1" si="113"/>
        <v>12210.374204505122</v>
      </c>
    </row>
    <row r="142" spans="2:30" s="279" customFormat="1" ht="11.25" customHeight="1">
      <c r="C142" s="289"/>
      <c r="E142" s="283"/>
      <c r="F142" s="283"/>
      <c r="G142" s="283"/>
      <c r="H142" s="283"/>
      <c r="I142" s="283"/>
      <c r="J142" s="283"/>
      <c r="K142" s="283"/>
      <c r="L142" s="283"/>
      <c r="M142" s="283"/>
      <c r="N142" s="283"/>
      <c r="O142" s="283"/>
      <c r="P142" s="283"/>
      <c r="Q142" s="283"/>
      <c r="R142" s="283"/>
      <c r="S142" s="283"/>
      <c r="T142" s="283"/>
      <c r="U142" s="253"/>
      <c r="V142" s="283"/>
      <c r="W142" s="283"/>
      <c r="X142" s="283"/>
      <c r="Y142" s="283"/>
      <c r="Z142" s="283"/>
      <c r="AA142" s="283"/>
      <c r="AB142" s="283"/>
      <c r="AC142" s="283"/>
      <c r="AD142" s="283"/>
    </row>
    <row r="143" spans="2:30" ht="11.25" customHeight="1">
      <c r="C143" s="253" t="s">
        <v>1270</v>
      </c>
      <c r="E143" s="255">
        <f t="shared" ref="E143:Q143" si="114">SUM(E144:E145)</f>
        <v>376</v>
      </c>
      <c r="F143" s="255">
        <f t="shared" si="114"/>
        <v>695</v>
      </c>
      <c r="G143" s="255">
        <f t="shared" si="114"/>
        <v>1094</v>
      </c>
      <c r="H143" s="255">
        <f t="shared" si="114"/>
        <v>1054</v>
      </c>
      <c r="I143" s="255">
        <f t="shared" si="114"/>
        <v>1159</v>
      </c>
      <c r="J143" s="255">
        <f t="shared" si="114"/>
        <v>1149</v>
      </c>
      <c r="K143" s="255">
        <f t="shared" si="114"/>
        <v>1222</v>
      </c>
      <c r="L143" s="255">
        <f t="shared" si="114"/>
        <v>1183</v>
      </c>
      <c r="M143" s="255">
        <f t="shared" si="114"/>
        <v>1571</v>
      </c>
      <c r="N143" s="255">
        <f t="shared" si="114"/>
        <v>1786</v>
      </c>
      <c r="O143" s="255">
        <f t="shared" si="114"/>
        <v>1718</v>
      </c>
      <c r="P143" s="255">
        <f t="shared" si="114"/>
        <v>1836</v>
      </c>
      <c r="Q143" s="255">
        <f t="shared" si="114"/>
        <v>1787</v>
      </c>
      <c r="R143" s="690"/>
      <c r="S143" s="288">
        <f>R143</f>
        <v>0</v>
      </c>
      <c r="T143" s="288">
        <f>S143</f>
        <v>0</v>
      </c>
      <c r="V143" s="255">
        <f>SUM(V144:V145)</f>
        <v>394</v>
      </c>
      <c r="W143" s="255">
        <f>SUM(W144:W145)</f>
        <v>403</v>
      </c>
      <c r="X143" s="255">
        <f>SUM(X144:X145)</f>
        <v>1054</v>
      </c>
      <c r="Y143" s="255">
        <f>SUM(Y144:Y145)</f>
        <v>1183</v>
      </c>
      <c r="Z143" s="255">
        <f>SUM(Z144:Z145)</f>
        <v>1836</v>
      </c>
      <c r="AA143" s="254">
        <f>SUMIF($E$6:$T$6,AA$6,$E143:$T143)</f>
        <v>0</v>
      </c>
      <c r="AB143" s="288">
        <f>AA143</f>
        <v>0</v>
      </c>
      <c r="AC143" s="288">
        <f>AB143</f>
        <v>0</v>
      </c>
      <c r="AD143" s="288">
        <f>AC143</f>
        <v>0</v>
      </c>
    </row>
    <row r="144" spans="2:30" s="484" customFormat="1" ht="11.25" customHeight="1" outlineLevel="1">
      <c r="B144" s="253"/>
      <c r="C144" s="737" t="s">
        <v>1269</v>
      </c>
      <c r="D144" s="737"/>
      <c r="E144" s="385">
        <v>275</v>
      </c>
      <c r="F144" s="385">
        <v>501</v>
      </c>
      <c r="G144" s="385">
        <v>851</v>
      </c>
      <c r="H144" s="385">
        <v>821</v>
      </c>
      <c r="I144" s="385">
        <v>912</v>
      </c>
      <c r="J144" s="385">
        <v>873</v>
      </c>
      <c r="K144" s="385">
        <v>915</v>
      </c>
      <c r="L144" s="385">
        <v>894</v>
      </c>
      <c r="M144" s="385">
        <v>1259</v>
      </c>
      <c r="N144" s="385">
        <v>1433</v>
      </c>
      <c r="O144" s="385">
        <v>1446</v>
      </c>
      <c r="P144" s="385">
        <v>1556</v>
      </c>
      <c r="Q144" s="385">
        <v>1502</v>
      </c>
      <c r="R144" s="385"/>
      <c r="S144" s="385">
        <v>0</v>
      </c>
      <c r="T144" s="385">
        <v>0</v>
      </c>
      <c r="U144" s="253"/>
      <c r="V144" s="385">
        <v>297</v>
      </c>
      <c r="W144" s="385">
        <v>294</v>
      </c>
      <c r="X144" s="641">
        <f t="shared" ref="X144:Z146" si="115">SUMIF($E$6:$T$6,X$6,$E144:$T144)</f>
        <v>821</v>
      </c>
      <c r="Y144" s="641">
        <f t="shared" si="115"/>
        <v>894</v>
      </c>
      <c r="Z144" s="641">
        <f t="shared" si="115"/>
        <v>1556</v>
      </c>
      <c r="AA144" s="641"/>
      <c r="AB144" s="641"/>
      <c r="AC144" s="641"/>
      <c r="AD144" s="641"/>
    </row>
    <row r="145" spans="2:30" s="484" customFormat="1" ht="11.25" customHeight="1" outlineLevel="1">
      <c r="B145" s="253"/>
      <c r="C145" s="390" t="s">
        <v>1268</v>
      </c>
      <c r="D145" s="737"/>
      <c r="E145" s="385">
        <v>101</v>
      </c>
      <c r="F145" s="385">
        <v>194</v>
      </c>
      <c r="G145" s="385">
        <v>243</v>
      </c>
      <c r="H145" s="385">
        <v>233</v>
      </c>
      <c r="I145" s="385">
        <v>247</v>
      </c>
      <c r="J145" s="385">
        <v>276</v>
      </c>
      <c r="K145" s="385">
        <v>307</v>
      </c>
      <c r="L145" s="385">
        <v>289</v>
      </c>
      <c r="M145" s="385">
        <v>312</v>
      </c>
      <c r="N145" s="385">
        <v>353</v>
      </c>
      <c r="O145" s="385">
        <v>272</v>
      </c>
      <c r="P145" s="385">
        <v>280</v>
      </c>
      <c r="Q145" s="385">
        <v>285</v>
      </c>
      <c r="R145" s="385"/>
      <c r="S145" s="385">
        <v>0</v>
      </c>
      <c r="T145" s="385">
        <v>0</v>
      </c>
      <c r="U145" s="253"/>
      <c r="V145" s="385">
        <v>97</v>
      </c>
      <c r="W145" s="385">
        <v>109</v>
      </c>
      <c r="X145" s="641">
        <f t="shared" si="115"/>
        <v>233</v>
      </c>
      <c r="Y145" s="641">
        <f t="shared" si="115"/>
        <v>289</v>
      </c>
      <c r="Z145" s="641">
        <f t="shared" si="115"/>
        <v>280</v>
      </c>
      <c r="AA145" s="641"/>
      <c r="AB145" s="641"/>
      <c r="AC145" s="641"/>
      <c r="AD145" s="641"/>
    </row>
    <row r="146" spans="2:30" ht="11.25" customHeight="1">
      <c r="C146" s="253" t="s">
        <v>1244</v>
      </c>
      <c r="E146" s="277">
        <v>10389</v>
      </c>
      <c r="F146" s="277">
        <v>9296</v>
      </c>
      <c r="G146" s="277">
        <v>9025</v>
      </c>
      <c r="H146" s="277">
        <v>10106</v>
      </c>
      <c r="I146" s="277">
        <v>15840</v>
      </c>
      <c r="J146" s="277">
        <v>23493</v>
      </c>
      <c r="K146" s="277">
        <v>33648</v>
      </c>
      <c r="L146" s="277">
        <v>27974</v>
      </c>
      <c r="M146" s="277">
        <v>27473</v>
      </c>
      <c r="N146" s="277">
        <v>27265</v>
      </c>
      <c r="O146" s="277">
        <v>26101</v>
      </c>
      <c r="P146" s="277">
        <v>25084</v>
      </c>
      <c r="Q146" s="277">
        <v>23770</v>
      </c>
      <c r="R146" s="690">
        <f>22903+1936</f>
        <v>24839</v>
      </c>
      <c r="S146" s="287">
        <f ca="1">'DAL Debt'!S33</f>
        <v>113645.84933975076</v>
      </c>
      <c r="T146" s="287">
        <f ca="1">'DAL Debt'!T33</f>
        <v>117118.83668703501</v>
      </c>
      <c r="V146" s="277">
        <v>8440</v>
      </c>
      <c r="W146" s="277">
        <v>9368</v>
      </c>
      <c r="X146" s="255">
        <f t="shared" si="115"/>
        <v>10106</v>
      </c>
      <c r="Y146" s="255">
        <f t="shared" si="115"/>
        <v>27974</v>
      </c>
      <c r="Z146" s="255">
        <f t="shared" si="115"/>
        <v>25084</v>
      </c>
      <c r="AA146" s="254">
        <f ca="1">SUMIF($E$6:$T$6,AA$6,$E146:$T146)</f>
        <v>117118.83668703501</v>
      </c>
      <c r="AB146" s="287">
        <f ca="1">'DAL Debt'!AB33</f>
        <v>123770.30096397697</v>
      </c>
      <c r="AC146" s="287">
        <f ca="1">'DAL Debt'!AC33</f>
        <v>126643.98514758144</v>
      </c>
      <c r="AD146" s="287">
        <f ca="1">'DAL Debt'!AD33</f>
        <v>127696.649477167</v>
      </c>
    </row>
    <row r="147" spans="2:30" s="484" customFormat="1" ht="11.25" customHeight="1" outlineLevel="1">
      <c r="B147" s="253"/>
      <c r="C147" s="390" t="s">
        <v>1451</v>
      </c>
      <c r="D147" s="737"/>
      <c r="E147" s="385">
        <v>6111</v>
      </c>
      <c r="F147" s="385">
        <v>5320</v>
      </c>
      <c r="G147" s="385">
        <v>5320</v>
      </c>
      <c r="H147" s="385">
        <v>1693</v>
      </c>
      <c r="I147" s="385">
        <v>4943</v>
      </c>
      <c r="J147" s="385">
        <v>17277</v>
      </c>
      <c r="K147" s="385">
        <v>26150</v>
      </c>
      <c r="L147" s="385">
        <v>17910</v>
      </c>
      <c r="M147" s="385">
        <v>16483</v>
      </c>
      <c r="N147" s="385">
        <v>15788</v>
      </c>
      <c r="O147" s="385">
        <v>14886</v>
      </c>
      <c r="P147" s="385">
        <v>14480</v>
      </c>
      <c r="Q147" s="385">
        <v>14253</v>
      </c>
      <c r="R147" s="385">
        <v>13693</v>
      </c>
      <c r="S147" s="1003">
        <f>SUM('DAL Debt'!S14:S26)</f>
        <v>14722.570563002681</v>
      </c>
      <c r="T147" s="1003">
        <f>SUM('DAL Debt'!T14:T26)</f>
        <v>15795.68</v>
      </c>
      <c r="U147" s="253"/>
      <c r="V147" s="385">
        <v>7706</v>
      </c>
      <c r="W147" s="385">
        <v>1787</v>
      </c>
      <c r="X147" s="641">
        <f>SUMIF($E$6:$T$6,X$6,$E147:$T147)</f>
        <v>1693</v>
      </c>
      <c r="Y147" s="641">
        <f>SUMIF($E$6:$T$6,Y$6,$E147:$T147)</f>
        <v>17910</v>
      </c>
      <c r="Z147" s="641">
        <f>SUMIF($E$6:$T$6,Z$6,$E147:$T147)</f>
        <v>14480</v>
      </c>
      <c r="AA147" s="641">
        <f>SUMIF($E$6:$T$6,AA$6,$E147:$T147)</f>
        <v>15795.68</v>
      </c>
      <c r="AB147" s="1003">
        <f>SUM('DAL Debt'!AB14:AB26)</f>
        <v>17722.71</v>
      </c>
      <c r="AC147" s="1003">
        <f>SUM('DAL Debt'!AC14:AC26)</f>
        <v>19959.740000000002</v>
      </c>
      <c r="AD147" s="1003">
        <f>SUM('DAL Debt'!AD14:AD26)</f>
        <v>19731.759999999998</v>
      </c>
    </row>
    <row r="148" spans="2:30" s="484" customFormat="1" ht="11.25" customHeight="1" outlineLevel="1">
      <c r="B148" s="253"/>
      <c r="C148" s="390" t="s">
        <v>1452</v>
      </c>
      <c r="D148" s="737"/>
      <c r="E148" s="641">
        <f t="shared" ref="E148:Q148" si="116">E146-E147</f>
        <v>4278</v>
      </c>
      <c r="F148" s="641">
        <f t="shared" si="116"/>
        <v>3976</v>
      </c>
      <c r="G148" s="641">
        <f t="shared" si="116"/>
        <v>3705</v>
      </c>
      <c r="H148" s="641">
        <f t="shared" si="116"/>
        <v>8413</v>
      </c>
      <c r="I148" s="641">
        <f t="shared" si="116"/>
        <v>10897</v>
      </c>
      <c r="J148" s="641">
        <f t="shared" si="116"/>
        <v>6216</v>
      </c>
      <c r="K148" s="641">
        <f t="shared" si="116"/>
        <v>7498</v>
      </c>
      <c r="L148" s="641">
        <f t="shared" si="116"/>
        <v>10064</v>
      </c>
      <c r="M148" s="641">
        <f t="shared" si="116"/>
        <v>10990</v>
      </c>
      <c r="N148" s="641">
        <f t="shared" si="116"/>
        <v>11477</v>
      </c>
      <c r="O148" s="641">
        <f t="shared" si="116"/>
        <v>11215</v>
      </c>
      <c r="P148" s="641">
        <f t="shared" si="116"/>
        <v>10604</v>
      </c>
      <c r="Q148" s="641">
        <f t="shared" si="116"/>
        <v>9517</v>
      </c>
      <c r="R148" s="641">
        <f>R146-R147</f>
        <v>11146</v>
      </c>
      <c r="S148" s="641">
        <f ca="1">S146-S147</f>
        <v>98923.278776748077</v>
      </c>
      <c r="T148" s="641">
        <f ca="1">T146-T147</f>
        <v>101323.15668703502</v>
      </c>
      <c r="U148" s="253"/>
      <c r="V148" s="641">
        <f t="shared" ref="V148:AA148" si="117">V146-V147</f>
        <v>734</v>
      </c>
      <c r="W148" s="641">
        <f t="shared" si="117"/>
        <v>7581</v>
      </c>
      <c r="X148" s="641">
        <f t="shared" si="117"/>
        <v>8413</v>
      </c>
      <c r="Y148" s="641">
        <f t="shared" si="117"/>
        <v>10064</v>
      </c>
      <c r="Z148" s="641">
        <f t="shared" si="117"/>
        <v>10604</v>
      </c>
      <c r="AA148" s="641">
        <f t="shared" ca="1" si="117"/>
        <v>101323.15668703502</v>
      </c>
      <c r="AB148" s="641">
        <f ca="1">AB146-AB147</f>
        <v>106047.59096397698</v>
      </c>
      <c r="AC148" s="641">
        <f ca="1">AC146-AC147</f>
        <v>106684.24514758143</v>
      </c>
      <c r="AD148" s="641">
        <f ca="1">AD146-AD147</f>
        <v>107964.889477167</v>
      </c>
    </row>
    <row r="149" spans="2:30" ht="11.25" customHeight="1">
      <c r="C149" s="253" t="s">
        <v>480</v>
      </c>
      <c r="E149" s="254">
        <f>SUM(E150:E151)</f>
        <v>6746</v>
      </c>
      <c r="F149" s="254">
        <f t="shared" ref="F149:Z149" si="118">SUM(F150:F151)</f>
        <v>6380</v>
      </c>
      <c r="G149" s="254">
        <f t="shared" si="118"/>
        <v>6285</v>
      </c>
      <c r="H149" s="254">
        <f t="shared" si="118"/>
        <v>6095</v>
      </c>
      <c r="I149" s="254">
        <f t="shared" si="118"/>
        <v>5972</v>
      </c>
      <c r="J149" s="254">
        <f t="shared" si="118"/>
        <v>6103</v>
      </c>
      <c r="K149" s="254">
        <f t="shared" si="118"/>
        <v>6570</v>
      </c>
      <c r="L149" s="254">
        <f t="shared" si="118"/>
        <v>6391</v>
      </c>
      <c r="M149" s="254">
        <f t="shared" si="118"/>
        <v>6221</v>
      </c>
      <c r="N149" s="254">
        <f t="shared" si="118"/>
        <v>6271</v>
      </c>
      <c r="O149" s="254">
        <f t="shared" si="118"/>
        <v>6378</v>
      </c>
      <c r="P149" s="254">
        <f t="shared" si="118"/>
        <v>7759</v>
      </c>
      <c r="Q149" s="254">
        <f t="shared" si="118"/>
        <v>7943</v>
      </c>
      <c r="R149" s="254">
        <f t="shared" ref="R149" si="119">SUM(R150:R151)</f>
        <v>7732</v>
      </c>
      <c r="S149" s="288">
        <f>R149</f>
        <v>7732</v>
      </c>
      <c r="T149" s="288">
        <f>S149</f>
        <v>7732</v>
      </c>
      <c r="V149" s="254">
        <f t="shared" si="118"/>
        <v>0</v>
      </c>
      <c r="W149" s="254">
        <f t="shared" si="118"/>
        <v>6756</v>
      </c>
      <c r="X149" s="254">
        <f t="shared" si="118"/>
        <v>6095</v>
      </c>
      <c r="Y149" s="254">
        <f t="shared" si="118"/>
        <v>6391</v>
      </c>
      <c r="Z149" s="254">
        <f t="shared" si="118"/>
        <v>7759</v>
      </c>
      <c r="AA149" s="254">
        <f t="shared" ref="AA149:AA160" si="120">SUMIF($E$6:$T$6,AA$6,$E149:$T149)</f>
        <v>7732</v>
      </c>
      <c r="AB149" s="288">
        <f>AA149</f>
        <v>7732</v>
      </c>
      <c r="AC149" s="288">
        <f>AB149</f>
        <v>7732</v>
      </c>
      <c r="AD149" s="288">
        <f>AC149</f>
        <v>7732</v>
      </c>
    </row>
    <row r="150" spans="2:30" ht="11.25" customHeight="1" outlineLevel="1">
      <c r="C150" s="390" t="s">
        <v>1107</v>
      </c>
      <c r="D150" s="390"/>
      <c r="E150" s="385">
        <v>5805</v>
      </c>
      <c r="F150" s="385">
        <v>5539</v>
      </c>
      <c r="G150" s="385">
        <v>5441</v>
      </c>
      <c r="H150" s="385">
        <v>5294</v>
      </c>
      <c r="I150" s="385">
        <v>5204</v>
      </c>
      <c r="J150" s="385">
        <v>5371</v>
      </c>
      <c r="K150" s="385">
        <v>5856</v>
      </c>
      <c r="L150" s="385">
        <v>5713</v>
      </c>
      <c r="M150" s="385">
        <v>5568</v>
      </c>
      <c r="N150" s="385">
        <v>5633</v>
      </c>
      <c r="O150" s="385">
        <v>5742</v>
      </c>
      <c r="P150" s="385">
        <v>7056</v>
      </c>
      <c r="Q150" s="385">
        <v>7199</v>
      </c>
      <c r="R150" s="385">
        <v>7006</v>
      </c>
      <c r="S150" s="385">
        <v>0</v>
      </c>
      <c r="T150" s="385">
        <v>0</v>
      </c>
      <c r="V150" s="385">
        <v>0</v>
      </c>
      <c r="W150" s="385">
        <v>5801</v>
      </c>
      <c r="X150" s="641">
        <f t="shared" ref="X150:Z151" si="121">SUMIF($E$6:$T$6,X$6,$E150:$T150)</f>
        <v>5294</v>
      </c>
      <c r="Y150" s="641">
        <f t="shared" si="121"/>
        <v>5713</v>
      </c>
      <c r="Z150" s="641">
        <f t="shared" si="121"/>
        <v>7056</v>
      </c>
      <c r="AA150" s="641">
        <f t="shared" si="120"/>
        <v>0</v>
      </c>
      <c r="AB150" s="385">
        <v>0</v>
      </c>
      <c r="AC150" s="385">
        <v>0</v>
      </c>
      <c r="AD150" s="385">
        <v>0</v>
      </c>
    </row>
    <row r="151" spans="2:30" ht="11.25" customHeight="1" outlineLevel="1">
      <c r="C151" s="390" t="s">
        <v>1108</v>
      </c>
      <c r="D151" s="390"/>
      <c r="E151" s="385">
        <v>941</v>
      </c>
      <c r="F151" s="385">
        <v>841</v>
      </c>
      <c r="G151" s="385">
        <v>844</v>
      </c>
      <c r="H151" s="385">
        <v>801</v>
      </c>
      <c r="I151" s="385">
        <v>768</v>
      </c>
      <c r="J151" s="385">
        <v>732</v>
      </c>
      <c r="K151" s="385">
        <v>714</v>
      </c>
      <c r="L151" s="385">
        <v>678</v>
      </c>
      <c r="M151" s="385">
        <v>653</v>
      </c>
      <c r="N151" s="385">
        <v>638</v>
      </c>
      <c r="O151" s="385">
        <v>636</v>
      </c>
      <c r="P151" s="385">
        <v>703</v>
      </c>
      <c r="Q151" s="385">
        <v>744</v>
      </c>
      <c r="R151" s="385">
        <v>726</v>
      </c>
      <c r="S151" s="385">
        <v>0</v>
      </c>
      <c r="T151" s="385">
        <v>0</v>
      </c>
      <c r="V151" s="385">
        <v>0</v>
      </c>
      <c r="W151" s="385">
        <v>955</v>
      </c>
      <c r="X151" s="641">
        <f t="shared" si="121"/>
        <v>801</v>
      </c>
      <c r="Y151" s="641">
        <f t="shared" si="121"/>
        <v>678</v>
      </c>
      <c r="Z151" s="641">
        <f t="shared" si="121"/>
        <v>703</v>
      </c>
      <c r="AA151" s="641">
        <f t="shared" si="120"/>
        <v>0</v>
      </c>
      <c r="AB151" s="385">
        <v>0</v>
      </c>
      <c r="AC151" s="385">
        <v>0</v>
      </c>
      <c r="AD151" s="385">
        <v>0</v>
      </c>
    </row>
    <row r="152" spans="2:30" ht="11.25" customHeight="1">
      <c r="C152" s="253" t="s">
        <v>1109</v>
      </c>
      <c r="E152" s="254">
        <f>SUM(E153:E154)</f>
        <v>6600</v>
      </c>
      <c r="F152" s="254">
        <f t="shared" ref="F152:Q152" si="122">SUM(F153:F154)</f>
        <v>6616</v>
      </c>
      <c r="G152" s="254">
        <f t="shared" si="122"/>
        <v>5762</v>
      </c>
      <c r="H152" s="254">
        <f t="shared" si="122"/>
        <v>5116</v>
      </c>
      <c r="I152" s="254">
        <f t="shared" si="122"/>
        <v>5598</v>
      </c>
      <c r="J152" s="254">
        <f t="shared" si="122"/>
        <v>5001</v>
      </c>
      <c r="K152" s="254">
        <f t="shared" si="122"/>
        <v>4618</v>
      </c>
      <c r="L152" s="254">
        <f t="shared" si="122"/>
        <v>4544</v>
      </c>
      <c r="M152" s="254">
        <f t="shared" si="122"/>
        <v>5355</v>
      </c>
      <c r="N152" s="254">
        <f t="shared" si="122"/>
        <v>6938</v>
      </c>
      <c r="O152" s="254">
        <f t="shared" si="122"/>
        <v>6376</v>
      </c>
      <c r="P152" s="254">
        <f t="shared" si="122"/>
        <v>6358</v>
      </c>
      <c r="Q152" s="254">
        <f t="shared" si="122"/>
        <v>9109</v>
      </c>
      <c r="R152" s="254">
        <f t="shared" ref="R152" si="123">SUM(R153:R154)</f>
        <v>9914</v>
      </c>
      <c r="S152" s="254">
        <f>S209+R152</f>
        <v>9564</v>
      </c>
      <c r="T152" s="254">
        <f>T209+S152</f>
        <v>9314</v>
      </c>
      <c r="V152" s="254">
        <f>SUM(V153:V154)</f>
        <v>4364</v>
      </c>
      <c r="W152" s="254">
        <f>SUM(W153:W154)</f>
        <v>4661</v>
      </c>
      <c r="X152" s="254">
        <f>SUM(X153:X154)</f>
        <v>5116</v>
      </c>
      <c r="Y152" s="254">
        <f>SUM(Y153:Y154)</f>
        <v>4544</v>
      </c>
      <c r="Z152" s="254">
        <f>SUM(Z153:Z154)</f>
        <v>6358</v>
      </c>
      <c r="AA152" s="254">
        <f t="shared" si="120"/>
        <v>9314</v>
      </c>
      <c r="AB152" s="254">
        <f>AB209+AA152</f>
        <v>7814</v>
      </c>
      <c r="AC152" s="254">
        <f>AC209+AB152</f>
        <v>8164</v>
      </c>
      <c r="AD152" s="254">
        <f>AD209+AC152</f>
        <v>8514</v>
      </c>
    </row>
    <row r="153" spans="2:30" ht="11.25" customHeight="1" outlineLevel="1">
      <c r="C153" s="390" t="s">
        <v>1110</v>
      </c>
      <c r="D153" s="390"/>
      <c r="E153" s="385">
        <v>0</v>
      </c>
      <c r="F153" s="385">
        <v>0</v>
      </c>
      <c r="G153" s="385">
        <v>0</v>
      </c>
      <c r="H153" s="385">
        <v>0</v>
      </c>
      <c r="I153" s="385">
        <v>0</v>
      </c>
      <c r="J153" s="385">
        <v>315</v>
      </c>
      <c r="K153" s="385">
        <v>239</v>
      </c>
      <c r="L153" s="385">
        <v>500</v>
      </c>
      <c r="M153" s="385">
        <v>250</v>
      </c>
      <c r="N153" s="385">
        <v>140</v>
      </c>
      <c r="O153" s="385">
        <v>130</v>
      </c>
      <c r="P153" s="385">
        <v>130</v>
      </c>
      <c r="Q153" s="385">
        <v>300</v>
      </c>
      <c r="R153" s="385">
        <v>250</v>
      </c>
      <c r="S153" s="385">
        <v>0</v>
      </c>
      <c r="T153" s="385">
        <v>0</v>
      </c>
      <c r="V153" s="385">
        <v>0</v>
      </c>
      <c r="W153" s="385">
        <v>0</v>
      </c>
      <c r="X153" s="641">
        <f t="shared" ref="X153:Z154" si="124">SUMIF($E$6:$T$6,X$6,$E153:$T153)</f>
        <v>0</v>
      </c>
      <c r="Y153" s="641">
        <f t="shared" si="124"/>
        <v>500</v>
      </c>
      <c r="Z153" s="641">
        <f t="shared" si="124"/>
        <v>130</v>
      </c>
      <c r="AA153" s="641">
        <f t="shared" si="120"/>
        <v>0</v>
      </c>
      <c r="AB153" s="385">
        <v>0</v>
      </c>
      <c r="AC153" s="385">
        <v>0</v>
      </c>
      <c r="AD153" s="385">
        <v>0</v>
      </c>
    </row>
    <row r="154" spans="2:30" ht="11.25" customHeight="1" outlineLevel="1">
      <c r="C154" s="390" t="s">
        <v>952</v>
      </c>
      <c r="D154" s="390"/>
      <c r="E154" s="385">
        <v>6600</v>
      </c>
      <c r="F154" s="385">
        <v>6616</v>
      </c>
      <c r="G154" s="385">
        <v>5762</v>
      </c>
      <c r="H154" s="385">
        <v>5116</v>
      </c>
      <c r="I154" s="385">
        <v>5598</v>
      </c>
      <c r="J154" s="385">
        <v>4686</v>
      </c>
      <c r="K154" s="385">
        <v>4379</v>
      </c>
      <c r="L154" s="385">
        <v>4044</v>
      </c>
      <c r="M154" s="385">
        <v>5105</v>
      </c>
      <c r="N154" s="385">
        <v>6798</v>
      </c>
      <c r="O154" s="385">
        <v>6246</v>
      </c>
      <c r="P154" s="385">
        <v>6228</v>
      </c>
      <c r="Q154" s="385">
        <v>8809</v>
      </c>
      <c r="R154" s="385">
        <v>9664</v>
      </c>
      <c r="S154" s="385">
        <v>0</v>
      </c>
      <c r="T154" s="385">
        <v>0</v>
      </c>
      <c r="V154" s="385">
        <v>4364</v>
      </c>
      <c r="W154" s="385">
        <v>4661</v>
      </c>
      <c r="X154" s="641">
        <f t="shared" si="124"/>
        <v>5116</v>
      </c>
      <c r="Y154" s="641">
        <f t="shared" si="124"/>
        <v>4044</v>
      </c>
      <c r="Z154" s="641">
        <f t="shared" si="124"/>
        <v>6228</v>
      </c>
      <c r="AA154" s="641">
        <f t="shared" si="120"/>
        <v>0</v>
      </c>
      <c r="AB154" s="385">
        <v>0</v>
      </c>
      <c r="AC154" s="385">
        <v>0</v>
      </c>
      <c r="AD154" s="385">
        <v>0</v>
      </c>
    </row>
    <row r="155" spans="2:30" ht="11.25" customHeight="1">
      <c r="C155" s="253" t="s">
        <v>1111</v>
      </c>
      <c r="E155" s="254">
        <f>SUM(E156:E157)</f>
        <v>6624</v>
      </c>
      <c r="F155" s="254">
        <f t="shared" ref="F155:Q155" si="125">SUM(F156:F157)</f>
        <v>6654</v>
      </c>
      <c r="G155" s="254">
        <f t="shared" si="125"/>
        <v>6696</v>
      </c>
      <c r="H155" s="254">
        <f t="shared" si="125"/>
        <v>6728</v>
      </c>
      <c r="I155" s="254">
        <f t="shared" si="125"/>
        <v>6817</v>
      </c>
      <c r="J155" s="254">
        <f t="shared" si="125"/>
        <v>6981</v>
      </c>
      <c r="K155" s="254">
        <f t="shared" si="125"/>
        <v>7089</v>
      </c>
      <c r="L155" s="254">
        <f t="shared" si="125"/>
        <v>7182</v>
      </c>
      <c r="M155" s="254">
        <f t="shared" si="125"/>
        <v>7285</v>
      </c>
      <c r="N155" s="254">
        <f t="shared" si="125"/>
        <v>7401</v>
      </c>
      <c r="O155" s="254">
        <f t="shared" si="125"/>
        <v>7456</v>
      </c>
      <c r="P155" s="254">
        <f t="shared" si="125"/>
        <v>7559</v>
      </c>
      <c r="Q155" s="254">
        <f t="shared" si="125"/>
        <v>7644</v>
      </c>
      <c r="R155" s="254">
        <f t="shared" ref="R155" si="126">SUM(R156:R157)</f>
        <v>7757</v>
      </c>
      <c r="S155" s="254">
        <f>S210+R155</f>
        <v>7807</v>
      </c>
      <c r="T155" s="254">
        <f>T210+S155</f>
        <v>7857</v>
      </c>
      <c r="V155" s="254">
        <f>SUM(V156:V157)</f>
        <v>6321</v>
      </c>
      <c r="W155" s="254">
        <f>SUM(W156:W157)</f>
        <v>6641</v>
      </c>
      <c r="X155" s="254">
        <f>SUM(X156:X157)</f>
        <v>6728</v>
      </c>
      <c r="Y155" s="254">
        <f>SUM(Y156:Y157)</f>
        <v>7182</v>
      </c>
      <c r="Z155" s="254">
        <f>SUM(Z156:Z157)</f>
        <v>7559</v>
      </c>
      <c r="AA155" s="254">
        <f t="shared" si="120"/>
        <v>7857</v>
      </c>
      <c r="AB155" s="254">
        <f>AB210+AA155</f>
        <v>7957</v>
      </c>
      <c r="AC155" s="254">
        <f>AC210+AB155</f>
        <v>8057</v>
      </c>
      <c r="AD155" s="254">
        <f>AD210+AC155</f>
        <v>8157</v>
      </c>
    </row>
    <row r="156" spans="2:30" ht="11.25" customHeight="1" outlineLevel="1">
      <c r="C156" s="390" t="s">
        <v>1112</v>
      </c>
      <c r="D156" s="390"/>
      <c r="E156" s="385">
        <v>3611</v>
      </c>
      <c r="F156" s="385">
        <v>3606</v>
      </c>
      <c r="G156" s="385">
        <v>3496</v>
      </c>
      <c r="H156" s="385">
        <v>3509</v>
      </c>
      <c r="I156" s="385">
        <v>5718</v>
      </c>
      <c r="J156" s="385">
        <v>5786</v>
      </c>
      <c r="K156" s="385">
        <v>5805</v>
      </c>
      <c r="L156" s="385">
        <v>5405</v>
      </c>
      <c r="M156" s="385">
        <v>4846</v>
      </c>
      <c r="N156" s="385">
        <v>4644</v>
      </c>
      <c r="O156" s="385">
        <v>4837</v>
      </c>
      <c r="P156" s="385">
        <v>4849</v>
      </c>
      <c r="Q156" s="385">
        <v>4606</v>
      </c>
      <c r="R156" s="385">
        <v>4763</v>
      </c>
      <c r="S156" s="385">
        <v>0</v>
      </c>
      <c r="T156" s="385">
        <v>0</v>
      </c>
      <c r="V156" s="385">
        <v>3559</v>
      </c>
      <c r="W156" s="385">
        <v>3652</v>
      </c>
      <c r="X156" s="641">
        <f t="shared" ref="X156:Z160" si="127">SUMIF($E$6:$T$6,X$6,$E156:$T156)</f>
        <v>3509</v>
      </c>
      <c r="Y156" s="641">
        <f t="shared" si="127"/>
        <v>5405</v>
      </c>
      <c r="Z156" s="641">
        <f t="shared" si="127"/>
        <v>4849</v>
      </c>
      <c r="AA156" s="641">
        <f t="shared" si="120"/>
        <v>0</v>
      </c>
      <c r="AB156" s="385">
        <v>0</v>
      </c>
      <c r="AC156" s="385">
        <v>0</v>
      </c>
      <c r="AD156" s="385">
        <v>0</v>
      </c>
    </row>
    <row r="157" spans="2:30" ht="11.25" customHeight="1" outlineLevel="1">
      <c r="C157" s="390" t="s">
        <v>1113</v>
      </c>
      <c r="D157" s="390"/>
      <c r="E157" s="385">
        <v>3013</v>
      </c>
      <c r="F157" s="385">
        <v>3048</v>
      </c>
      <c r="G157" s="385">
        <v>3200</v>
      </c>
      <c r="H157" s="385">
        <v>3219</v>
      </c>
      <c r="I157" s="385">
        <v>1099</v>
      </c>
      <c r="J157" s="385">
        <v>1195</v>
      </c>
      <c r="K157" s="385">
        <v>1284</v>
      </c>
      <c r="L157" s="385">
        <v>1777</v>
      </c>
      <c r="M157" s="385">
        <v>2439</v>
      </c>
      <c r="N157" s="385">
        <v>2757</v>
      </c>
      <c r="O157" s="385">
        <v>2619</v>
      </c>
      <c r="P157" s="385">
        <v>2710</v>
      </c>
      <c r="Q157" s="385">
        <v>3038</v>
      </c>
      <c r="R157" s="385">
        <v>2994</v>
      </c>
      <c r="S157" s="385">
        <v>0</v>
      </c>
      <c r="T157" s="385">
        <v>0</v>
      </c>
      <c r="V157" s="385">
        <v>2762</v>
      </c>
      <c r="W157" s="385">
        <v>2989</v>
      </c>
      <c r="X157" s="641">
        <f t="shared" si="127"/>
        <v>3219</v>
      </c>
      <c r="Y157" s="641">
        <f t="shared" si="127"/>
        <v>1777</v>
      </c>
      <c r="Z157" s="641">
        <f t="shared" si="127"/>
        <v>2710</v>
      </c>
      <c r="AA157" s="641">
        <f t="shared" si="120"/>
        <v>0</v>
      </c>
      <c r="AB157" s="385">
        <v>0</v>
      </c>
      <c r="AC157" s="385">
        <v>0</v>
      </c>
      <c r="AD157" s="385">
        <v>0</v>
      </c>
    </row>
    <row r="158" spans="2:30" ht="11.25" customHeight="1">
      <c r="C158" s="253" t="s">
        <v>1114</v>
      </c>
      <c r="E158" s="277">
        <v>9086</v>
      </c>
      <c r="F158" s="277">
        <v>8516</v>
      </c>
      <c r="G158" s="277">
        <v>8457</v>
      </c>
      <c r="H158" s="277">
        <v>8452</v>
      </c>
      <c r="I158" s="277">
        <v>8285</v>
      </c>
      <c r="J158" s="277">
        <v>8160</v>
      </c>
      <c r="K158" s="277">
        <v>9272</v>
      </c>
      <c r="L158" s="277">
        <v>10630</v>
      </c>
      <c r="M158" s="277">
        <v>10396</v>
      </c>
      <c r="N158" s="277">
        <v>8644</v>
      </c>
      <c r="O158" s="277">
        <v>8408</v>
      </c>
      <c r="P158" s="277">
        <v>6035</v>
      </c>
      <c r="Q158" s="277">
        <v>5862</v>
      </c>
      <c r="R158" s="277">
        <v>5654</v>
      </c>
      <c r="S158" s="288">
        <f t="shared" ref="S158:T159" si="128">R158</f>
        <v>5654</v>
      </c>
      <c r="T158" s="288">
        <f t="shared" si="128"/>
        <v>5654</v>
      </c>
      <c r="V158" s="277">
        <v>9810</v>
      </c>
      <c r="W158" s="277">
        <v>9163</v>
      </c>
      <c r="X158" s="254">
        <f t="shared" si="127"/>
        <v>8452</v>
      </c>
      <c r="Y158" s="254">
        <f t="shared" si="127"/>
        <v>10630</v>
      </c>
      <c r="Z158" s="254">
        <f t="shared" si="127"/>
        <v>6035</v>
      </c>
      <c r="AA158" s="254">
        <f t="shared" si="120"/>
        <v>5654</v>
      </c>
      <c r="AB158" s="288">
        <f t="shared" ref="AB158:AD159" si="129">AA158</f>
        <v>5654</v>
      </c>
      <c r="AC158" s="288">
        <f t="shared" si="129"/>
        <v>5654</v>
      </c>
      <c r="AD158" s="288">
        <f t="shared" si="129"/>
        <v>5654</v>
      </c>
    </row>
    <row r="159" spans="2:30" ht="11.25" customHeight="1">
      <c r="C159" s="253" t="s">
        <v>1104</v>
      </c>
      <c r="E159" s="277">
        <v>0</v>
      </c>
      <c r="F159" s="277">
        <v>0</v>
      </c>
      <c r="G159" s="277">
        <v>1245</v>
      </c>
      <c r="H159" s="277">
        <v>1456</v>
      </c>
      <c r="I159" s="277">
        <v>1502</v>
      </c>
      <c r="J159" s="277">
        <v>447</v>
      </c>
      <c r="K159" s="277">
        <v>0</v>
      </c>
      <c r="L159" s="277">
        <v>0</v>
      </c>
      <c r="M159" s="277">
        <v>0</v>
      </c>
      <c r="N159" s="277">
        <v>0</v>
      </c>
      <c r="O159" s="277">
        <v>0</v>
      </c>
      <c r="P159" s="277">
        <v>0</v>
      </c>
      <c r="Q159" s="277">
        <v>0</v>
      </c>
      <c r="R159" s="277">
        <v>0</v>
      </c>
      <c r="S159" s="288">
        <f t="shared" si="128"/>
        <v>0</v>
      </c>
      <c r="T159" s="288">
        <f t="shared" si="128"/>
        <v>0</v>
      </c>
      <c r="V159" s="277">
        <v>0</v>
      </c>
      <c r="W159" s="277">
        <v>163</v>
      </c>
      <c r="X159" s="254">
        <f t="shared" si="127"/>
        <v>1456</v>
      </c>
      <c r="Y159" s="254">
        <f t="shared" si="127"/>
        <v>0</v>
      </c>
      <c r="Z159" s="254">
        <f t="shared" si="127"/>
        <v>0</v>
      </c>
      <c r="AA159" s="254">
        <f t="shared" si="120"/>
        <v>0</v>
      </c>
      <c r="AB159" s="288">
        <f t="shared" si="129"/>
        <v>0</v>
      </c>
      <c r="AC159" s="288">
        <f t="shared" si="129"/>
        <v>0</v>
      </c>
      <c r="AD159" s="288">
        <f t="shared" si="129"/>
        <v>0</v>
      </c>
    </row>
    <row r="160" spans="2:30" ht="11.25" customHeight="1">
      <c r="C160" s="253" t="s">
        <v>1115</v>
      </c>
      <c r="E160" s="277">
        <v>1395</v>
      </c>
      <c r="F160" s="277">
        <v>2025</v>
      </c>
      <c r="G160" s="277">
        <v>1378</v>
      </c>
      <c r="H160" s="277">
        <v>1386</v>
      </c>
      <c r="I160" s="277">
        <v>1666</v>
      </c>
      <c r="J160" s="277">
        <v>3930</v>
      </c>
      <c r="K160" s="277">
        <v>4997</v>
      </c>
      <c r="L160" s="277">
        <v>4862</v>
      </c>
      <c r="M160" s="277">
        <v>4792</v>
      </c>
      <c r="N160" s="277">
        <v>4715</v>
      </c>
      <c r="O160" s="277">
        <v>4613</v>
      </c>
      <c r="P160" s="277">
        <v>4398</v>
      </c>
      <c r="Q160" s="277">
        <v>4289</v>
      </c>
      <c r="R160" s="277">
        <v>4094</v>
      </c>
      <c r="S160" s="254">
        <f>S207*SUM(P13:S13)</f>
        <v>4462.9507462084548</v>
      </c>
      <c r="T160" s="254">
        <f>T207*SUM(Q13:T13)</f>
        <v>4460.475467786122</v>
      </c>
      <c r="V160" s="277">
        <v>2221</v>
      </c>
      <c r="W160" s="277">
        <v>969</v>
      </c>
      <c r="X160" s="254">
        <f t="shared" si="127"/>
        <v>1386</v>
      </c>
      <c r="Y160" s="254">
        <f t="shared" si="127"/>
        <v>4862</v>
      </c>
      <c r="Z160" s="254">
        <f t="shared" si="127"/>
        <v>4398</v>
      </c>
      <c r="AA160" s="254">
        <f t="shared" si="120"/>
        <v>4460.475467786122</v>
      </c>
      <c r="AB160" s="254">
        <f>AB207*SUM(AB13)</f>
        <v>4511.291062427511</v>
      </c>
      <c r="AC160" s="254">
        <f>AC207*SUM(AC13)</f>
        <v>4544.0792174045528</v>
      </c>
      <c r="AD160" s="254">
        <f>AD207*SUM(AD13)</f>
        <v>4650.5586000644817</v>
      </c>
    </row>
    <row r="161" spans="1:45" s="279" customFormat="1" ht="11.25" customHeight="1">
      <c r="C161" s="289" t="s">
        <v>328</v>
      </c>
      <c r="E161" s="358">
        <f t="shared" ref="E161:T161" si="130">E141+E143+E146+E149+E152+E155+SUM(E158:E160)</f>
        <v>48930</v>
      </c>
      <c r="F161" s="358">
        <f t="shared" si="130"/>
        <v>48560</v>
      </c>
      <c r="G161" s="358">
        <f t="shared" si="130"/>
        <v>48151</v>
      </c>
      <c r="H161" s="358">
        <f t="shared" si="130"/>
        <v>49174</v>
      </c>
      <c r="I161" s="358">
        <f t="shared" si="130"/>
        <v>54429</v>
      </c>
      <c r="J161" s="358">
        <f t="shared" si="130"/>
        <v>63571</v>
      </c>
      <c r="K161" s="358">
        <f t="shared" si="130"/>
        <v>75719</v>
      </c>
      <c r="L161" s="358">
        <f t="shared" si="130"/>
        <v>70462</v>
      </c>
      <c r="M161" s="358">
        <f t="shared" si="130"/>
        <v>72601</v>
      </c>
      <c r="N161" s="358">
        <f t="shared" si="130"/>
        <v>74028</v>
      </c>
      <c r="O161" s="358">
        <f t="shared" si="130"/>
        <v>70177</v>
      </c>
      <c r="P161" s="358">
        <f t="shared" si="130"/>
        <v>68572</v>
      </c>
      <c r="Q161" s="358">
        <f t="shared" si="130"/>
        <v>70757</v>
      </c>
      <c r="R161" s="358">
        <f t="shared" ref="R161" si="131">R141+R143+R146+R149+R152+R155+SUM(R158:R160)</f>
        <v>70994</v>
      </c>
      <c r="S161" s="358">
        <f t="shared" ca="1" si="130"/>
        <v>159779.94104330477</v>
      </c>
      <c r="T161" s="358">
        <f t="shared" ca="1" si="130"/>
        <v>163094.82687052747</v>
      </c>
      <c r="U161" s="253"/>
      <c r="V161" s="358">
        <f t="shared" ref="V161:AD161" si="132">V141+V143+V146+V149+V152+V155+SUM(V158:V160)</f>
        <v>41141</v>
      </c>
      <c r="W161" s="358">
        <f t="shared" si="132"/>
        <v>46579</v>
      </c>
      <c r="X161" s="358">
        <f t="shared" si="132"/>
        <v>49174</v>
      </c>
      <c r="Y161" s="358">
        <f t="shared" si="132"/>
        <v>70462</v>
      </c>
      <c r="Z161" s="358">
        <f t="shared" si="132"/>
        <v>68572</v>
      </c>
      <c r="AA161" s="358">
        <f t="shared" ca="1" si="132"/>
        <v>163094.82687052747</v>
      </c>
      <c r="AB161" s="358">
        <f t="shared" ca="1" si="132"/>
        <v>169056.5685915116</v>
      </c>
      <c r="AC161" s="358">
        <f t="shared" ca="1" si="132"/>
        <v>172877.76873244156</v>
      </c>
      <c r="AD161" s="358">
        <f t="shared" ca="1" si="132"/>
        <v>174614.5822817366</v>
      </c>
    </row>
    <row r="162" spans="1:45" ht="11.25" customHeight="1">
      <c r="E162" s="255"/>
      <c r="F162" s="255"/>
      <c r="G162" s="255"/>
      <c r="H162" s="255"/>
      <c r="I162" s="255"/>
      <c r="J162" s="255"/>
      <c r="K162" s="255"/>
      <c r="L162" s="255"/>
      <c r="M162" s="255"/>
      <c r="N162" s="255"/>
      <c r="O162" s="255"/>
      <c r="P162" s="255"/>
      <c r="Q162" s="255"/>
      <c r="R162" s="255"/>
      <c r="S162" s="255"/>
      <c r="T162" s="255"/>
      <c r="V162" s="255"/>
      <c r="W162" s="255"/>
      <c r="X162" s="255"/>
      <c r="Y162" s="255"/>
      <c r="Z162" s="255"/>
      <c r="AA162" s="255"/>
      <c r="AB162" s="255"/>
      <c r="AC162" s="255"/>
      <c r="AD162" s="255"/>
    </row>
    <row r="163" spans="1:45" ht="11.25" customHeight="1">
      <c r="C163" s="253" t="s">
        <v>931</v>
      </c>
      <c r="E163" s="277">
        <v>11254</v>
      </c>
      <c r="F163" s="277">
        <v>11201</v>
      </c>
      <c r="G163" s="277">
        <v>11177</v>
      </c>
      <c r="H163" s="277">
        <v>11129</v>
      </c>
      <c r="I163" s="277">
        <v>11054</v>
      </c>
      <c r="J163" s="277">
        <v>11192</v>
      </c>
      <c r="K163" s="277">
        <v>11241</v>
      </c>
      <c r="L163" s="277">
        <v>11259</v>
      </c>
      <c r="M163" s="277">
        <v>11326</v>
      </c>
      <c r="N163" s="277">
        <v>11396</v>
      </c>
      <c r="O163" s="277">
        <v>11428</v>
      </c>
      <c r="P163" s="277">
        <v>11447</v>
      </c>
      <c r="Q163" s="277">
        <v>11462</v>
      </c>
      <c r="R163" s="277">
        <v>11485</v>
      </c>
      <c r="S163" s="288">
        <f>R163</f>
        <v>11485</v>
      </c>
      <c r="T163" s="288">
        <f>S163</f>
        <v>11485</v>
      </c>
      <c r="V163" s="277">
        <v>12053</v>
      </c>
      <c r="W163" s="277">
        <v>11671</v>
      </c>
      <c r="X163" s="254">
        <f t="shared" ref="X163:AA166" si="133">SUMIF($E$6:$T$6,X$6,$E163:$T163)</f>
        <v>11129</v>
      </c>
      <c r="Y163" s="254">
        <f t="shared" si="133"/>
        <v>11259</v>
      </c>
      <c r="Z163" s="254">
        <f t="shared" si="133"/>
        <v>11447</v>
      </c>
      <c r="AA163" s="254">
        <f t="shared" si="133"/>
        <v>11485</v>
      </c>
      <c r="AB163" s="288">
        <f>AA163</f>
        <v>11485</v>
      </c>
      <c r="AC163" s="288">
        <f>AB163</f>
        <v>11485</v>
      </c>
      <c r="AD163" s="288">
        <f>AC163</f>
        <v>11485</v>
      </c>
    </row>
    <row r="164" spans="1:45" ht="11.25" customHeight="1">
      <c r="C164" s="253" t="s">
        <v>1116</v>
      </c>
      <c r="E164" s="277">
        <v>9656</v>
      </c>
      <c r="F164" s="277">
        <v>10686</v>
      </c>
      <c r="G164" s="277">
        <v>11772</v>
      </c>
      <c r="H164" s="277">
        <v>12454</v>
      </c>
      <c r="I164" s="277">
        <v>11423</v>
      </c>
      <c r="J164" s="277">
        <v>5706</v>
      </c>
      <c r="K164" s="277">
        <v>327</v>
      </c>
      <c r="L164" s="277">
        <v>-428</v>
      </c>
      <c r="M164" s="277">
        <v>-1605</v>
      </c>
      <c r="N164" s="277">
        <v>-953</v>
      </c>
      <c r="O164" s="277">
        <v>259</v>
      </c>
      <c r="P164" s="277">
        <v>-148</v>
      </c>
      <c r="Q164" s="277">
        <v>-1088</v>
      </c>
      <c r="R164" s="277">
        <v>-353</v>
      </c>
      <c r="S164" s="254">
        <f ca="1">S43+R164</f>
        <v>304.78435475603465</v>
      </c>
      <c r="T164" s="254">
        <f ca="1">T43+S164</f>
        <v>-16.37494631156369</v>
      </c>
      <c r="V164" s="277">
        <v>8256</v>
      </c>
      <c r="W164" s="277">
        <v>10039</v>
      </c>
      <c r="X164" s="254">
        <f t="shared" si="133"/>
        <v>12454</v>
      </c>
      <c r="Y164" s="254">
        <f t="shared" si="133"/>
        <v>-428</v>
      </c>
      <c r="Z164" s="254">
        <f t="shared" si="133"/>
        <v>-148</v>
      </c>
      <c r="AA164" s="254">
        <f t="shared" ca="1" si="133"/>
        <v>-16.37494631156369</v>
      </c>
      <c r="AB164" s="254">
        <f ca="1">AB43+AA164</f>
        <v>130.88619197597563</v>
      </c>
      <c r="AC164" s="254">
        <f ca="1">AC43+AB164</f>
        <v>1885.3055449752883</v>
      </c>
      <c r="AD164" s="254">
        <f ca="1">AD43+AC164</f>
        <v>4092.9856146649263</v>
      </c>
    </row>
    <row r="165" spans="1:45" ht="11.25" customHeight="1">
      <c r="C165" s="253" t="s">
        <v>336</v>
      </c>
      <c r="E165" s="277">
        <v>-7766</v>
      </c>
      <c r="F165" s="277">
        <v>-7694</v>
      </c>
      <c r="G165" s="277">
        <v>-7645</v>
      </c>
      <c r="H165" s="277">
        <v>-7989</v>
      </c>
      <c r="I165" s="277">
        <v>-7898</v>
      </c>
      <c r="J165" s="277">
        <v>-7937</v>
      </c>
      <c r="K165" s="277">
        <v>-7939</v>
      </c>
      <c r="L165" s="277">
        <v>-9038</v>
      </c>
      <c r="M165" s="277">
        <v>-8960</v>
      </c>
      <c r="N165" s="277">
        <v>-8882</v>
      </c>
      <c r="O165" s="277">
        <v>-8800</v>
      </c>
      <c r="P165" s="277">
        <v>-7130</v>
      </c>
      <c r="Q165" s="277">
        <v>-7071</v>
      </c>
      <c r="R165" s="277">
        <v>-7008</v>
      </c>
      <c r="S165" s="288">
        <f t="shared" ref="S165:T166" si="134">R165</f>
        <v>-7008</v>
      </c>
      <c r="T165" s="288">
        <f t="shared" si="134"/>
        <v>-7008</v>
      </c>
      <c r="V165" s="277">
        <v>-7621</v>
      </c>
      <c r="W165" s="277">
        <v>-7825</v>
      </c>
      <c r="X165" s="254">
        <f t="shared" si="133"/>
        <v>-7989</v>
      </c>
      <c r="Y165" s="254">
        <f t="shared" si="133"/>
        <v>-9038</v>
      </c>
      <c r="Z165" s="254">
        <f t="shared" si="133"/>
        <v>-7130</v>
      </c>
      <c r="AA165" s="254">
        <f t="shared" si="133"/>
        <v>-7008</v>
      </c>
      <c r="AB165" s="288">
        <f t="shared" ref="AB165:AD166" si="135">AA165</f>
        <v>-7008</v>
      </c>
      <c r="AC165" s="288">
        <f t="shared" si="135"/>
        <v>-7008</v>
      </c>
      <c r="AD165" s="288">
        <f t="shared" si="135"/>
        <v>-7008</v>
      </c>
    </row>
    <row r="166" spans="1:45" ht="11.25" customHeight="1">
      <c r="C166" s="253" t="s">
        <v>1117</v>
      </c>
      <c r="E166" s="277">
        <v>-233</v>
      </c>
      <c r="F166" s="277">
        <v>-235</v>
      </c>
      <c r="G166" s="277">
        <v>-236</v>
      </c>
      <c r="H166" s="277">
        <v>-236</v>
      </c>
      <c r="I166" s="277">
        <v>-270</v>
      </c>
      <c r="J166" s="277">
        <v>-271</v>
      </c>
      <c r="K166" s="277">
        <v>-272</v>
      </c>
      <c r="L166" s="277">
        <v>-259</v>
      </c>
      <c r="M166" s="277">
        <v>-279</v>
      </c>
      <c r="N166" s="277">
        <v>-280</v>
      </c>
      <c r="O166" s="277">
        <v>-281</v>
      </c>
      <c r="P166" s="277">
        <v>-282</v>
      </c>
      <c r="Q166" s="277">
        <v>-312</v>
      </c>
      <c r="R166" s="277">
        <v>-313</v>
      </c>
      <c r="S166" s="288">
        <f t="shared" si="134"/>
        <v>-313</v>
      </c>
      <c r="T166" s="288">
        <f t="shared" si="134"/>
        <v>-313</v>
      </c>
      <c r="V166" s="277">
        <v>-158</v>
      </c>
      <c r="W166" s="277">
        <v>-198</v>
      </c>
      <c r="X166" s="254">
        <f t="shared" si="133"/>
        <v>-236</v>
      </c>
      <c r="Y166" s="254">
        <f t="shared" si="133"/>
        <v>-259</v>
      </c>
      <c r="Z166" s="254">
        <f t="shared" si="133"/>
        <v>-282</v>
      </c>
      <c r="AA166" s="254">
        <f t="shared" si="133"/>
        <v>-313</v>
      </c>
      <c r="AB166" s="288">
        <f t="shared" si="135"/>
        <v>-313</v>
      </c>
      <c r="AC166" s="288">
        <f t="shared" si="135"/>
        <v>-313</v>
      </c>
      <c r="AD166" s="288">
        <f t="shared" si="135"/>
        <v>-313</v>
      </c>
    </row>
    <row r="167" spans="1:45" s="279" customFormat="1" ht="11.25" customHeight="1">
      <c r="C167" s="289" t="s">
        <v>325</v>
      </c>
      <c r="E167" s="358">
        <f t="shared" ref="E167:Q167" si="136">SUM(E163:E166)</f>
        <v>12911</v>
      </c>
      <c r="F167" s="358">
        <f t="shared" si="136"/>
        <v>13958</v>
      </c>
      <c r="G167" s="358">
        <f t="shared" si="136"/>
        <v>15068</v>
      </c>
      <c r="H167" s="358">
        <f t="shared" si="136"/>
        <v>15358</v>
      </c>
      <c r="I167" s="358">
        <f t="shared" si="136"/>
        <v>14309</v>
      </c>
      <c r="J167" s="358">
        <f t="shared" si="136"/>
        <v>8690</v>
      </c>
      <c r="K167" s="358">
        <f t="shared" si="136"/>
        <v>3357</v>
      </c>
      <c r="L167" s="358">
        <f t="shared" si="136"/>
        <v>1534</v>
      </c>
      <c r="M167" s="358">
        <f t="shared" si="136"/>
        <v>482</v>
      </c>
      <c r="N167" s="358">
        <f t="shared" si="136"/>
        <v>1281</v>
      </c>
      <c r="O167" s="358">
        <f t="shared" si="136"/>
        <v>2606</v>
      </c>
      <c r="P167" s="358">
        <f t="shared" si="136"/>
        <v>3887</v>
      </c>
      <c r="Q167" s="358">
        <f t="shared" si="136"/>
        <v>2991</v>
      </c>
      <c r="R167" s="358">
        <f t="shared" ref="R167" si="137">SUM(R163:R166)</f>
        <v>3811</v>
      </c>
      <c r="S167" s="358">
        <f ca="1">SUM(S163:S166)</f>
        <v>4468.7843547560351</v>
      </c>
      <c r="T167" s="358">
        <f ca="1">SUM(T163:T166)</f>
        <v>4147.6250536884363</v>
      </c>
      <c r="V167" s="358">
        <f t="shared" ref="V167:AD167" si="138">SUM(V163:V166)</f>
        <v>12530</v>
      </c>
      <c r="W167" s="358">
        <f t="shared" si="138"/>
        <v>13687</v>
      </c>
      <c r="X167" s="358">
        <f t="shared" si="138"/>
        <v>15358</v>
      </c>
      <c r="Y167" s="358">
        <f t="shared" si="138"/>
        <v>1534</v>
      </c>
      <c r="Z167" s="358">
        <f t="shared" si="138"/>
        <v>3887</v>
      </c>
      <c r="AA167" s="358">
        <f t="shared" ca="1" si="138"/>
        <v>4147.6250536884363</v>
      </c>
      <c r="AB167" s="358">
        <f t="shared" ca="1" si="138"/>
        <v>4294.8861919759765</v>
      </c>
      <c r="AC167" s="358">
        <f t="shared" ca="1" si="138"/>
        <v>6049.3055449752883</v>
      </c>
      <c r="AD167" s="358">
        <f t="shared" ca="1" si="138"/>
        <v>8256.9856146649254</v>
      </c>
    </row>
    <row r="168" spans="1:45" s="279" customFormat="1" ht="11.25" customHeight="1">
      <c r="C168" s="289" t="s">
        <v>326</v>
      </c>
      <c r="E168" s="358">
        <f t="shared" ref="E168:Q168" si="139">E161+E167</f>
        <v>61841</v>
      </c>
      <c r="F168" s="358">
        <f t="shared" si="139"/>
        <v>62518</v>
      </c>
      <c r="G168" s="358">
        <f t="shared" si="139"/>
        <v>63219</v>
      </c>
      <c r="H168" s="358">
        <f t="shared" si="139"/>
        <v>64532</v>
      </c>
      <c r="I168" s="358">
        <f t="shared" si="139"/>
        <v>68738</v>
      </c>
      <c r="J168" s="358">
        <f t="shared" si="139"/>
        <v>72261</v>
      </c>
      <c r="K168" s="358">
        <f t="shared" si="139"/>
        <v>79076</v>
      </c>
      <c r="L168" s="358">
        <f t="shared" si="139"/>
        <v>71996</v>
      </c>
      <c r="M168" s="358">
        <f t="shared" si="139"/>
        <v>73083</v>
      </c>
      <c r="N168" s="358">
        <f t="shared" si="139"/>
        <v>75309</v>
      </c>
      <c r="O168" s="358">
        <f t="shared" si="139"/>
        <v>72783</v>
      </c>
      <c r="P168" s="358">
        <f t="shared" si="139"/>
        <v>72459</v>
      </c>
      <c r="Q168" s="358">
        <f t="shared" si="139"/>
        <v>73748</v>
      </c>
      <c r="R168" s="358">
        <f t="shared" ref="R168" si="140">R161+R167</f>
        <v>74805</v>
      </c>
      <c r="S168" s="358">
        <f ca="1">S161+S167</f>
        <v>164248.72539806081</v>
      </c>
      <c r="T168" s="358">
        <f ca="1">T161+T167</f>
        <v>167242.45192421591</v>
      </c>
      <c r="V168" s="358">
        <f t="shared" ref="V168:AD168" si="141">V161+V167</f>
        <v>53671</v>
      </c>
      <c r="W168" s="358">
        <f t="shared" si="141"/>
        <v>60266</v>
      </c>
      <c r="X168" s="358">
        <f t="shared" si="141"/>
        <v>64532</v>
      </c>
      <c r="Y168" s="358">
        <f t="shared" si="141"/>
        <v>71996</v>
      </c>
      <c r="Z168" s="358">
        <f t="shared" si="141"/>
        <v>72459</v>
      </c>
      <c r="AA168" s="358">
        <f t="shared" ca="1" si="141"/>
        <v>167242.45192421591</v>
      </c>
      <c r="AB168" s="358">
        <f t="shared" ca="1" si="141"/>
        <v>173351.45478348757</v>
      </c>
      <c r="AC168" s="358">
        <f t="shared" ca="1" si="141"/>
        <v>178927.07427741686</v>
      </c>
      <c r="AD168" s="358">
        <f t="shared" ca="1" si="141"/>
        <v>182871.56789640151</v>
      </c>
    </row>
    <row r="169" spans="1:45" ht="11.25" customHeight="1">
      <c r="E169" s="255"/>
      <c r="F169" s="255"/>
      <c r="G169" s="255"/>
      <c r="H169" s="255"/>
      <c r="I169" s="255"/>
      <c r="J169" s="255"/>
      <c r="K169" s="255"/>
      <c r="L169" s="255"/>
      <c r="M169" s="255"/>
      <c r="N169" s="255"/>
      <c r="O169" s="255"/>
      <c r="P169" s="255"/>
      <c r="Q169" s="255"/>
      <c r="R169" s="255"/>
      <c r="S169" s="255"/>
      <c r="T169" s="255"/>
      <c r="V169" s="255"/>
      <c r="W169" s="255"/>
      <c r="X169" s="255"/>
      <c r="Y169" s="255"/>
      <c r="Z169" s="255"/>
      <c r="AA169" s="255"/>
      <c r="AB169" s="255"/>
      <c r="AC169" s="255"/>
      <c r="AD169" s="255"/>
    </row>
    <row r="170" spans="1:45" s="293" customFormat="1" ht="11.25" customHeight="1">
      <c r="C170" s="293" t="s">
        <v>1118</v>
      </c>
      <c r="E170" s="284">
        <f t="shared" ref="E170:T170" si="142">E135-E168</f>
        <v>0</v>
      </c>
      <c r="F170" s="284">
        <f t="shared" si="142"/>
        <v>0</v>
      </c>
      <c r="G170" s="284">
        <f t="shared" si="142"/>
        <v>0</v>
      </c>
      <c r="H170" s="284">
        <f t="shared" si="142"/>
        <v>0</v>
      </c>
      <c r="I170" s="284">
        <f t="shared" si="142"/>
        <v>0</v>
      </c>
      <c r="J170" s="284">
        <f t="shared" si="142"/>
        <v>0</v>
      </c>
      <c r="K170" s="284">
        <f t="shared" si="142"/>
        <v>0</v>
      </c>
      <c r="L170" s="284">
        <f t="shared" si="142"/>
        <v>0</v>
      </c>
      <c r="M170" s="284">
        <f t="shared" si="142"/>
        <v>0</v>
      </c>
      <c r="N170" s="284">
        <f t="shared" si="142"/>
        <v>0</v>
      </c>
      <c r="O170" s="284">
        <f t="shared" si="142"/>
        <v>0</v>
      </c>
      <c r="P170" s="284">
        <f t="shared" si="142"/>
        <v>0</v>
      </c>
      <c r="Q170" s="284">
        <f t="shared" si="142"/>
        <v>0</v>
      </c>
      <c r="R170" s="284">
        <f t="shared" ref="R170" si="143">R135-R168</f>
        <v>0</v>
      </c>
      <c r="S170" s="284">
        <f t="shared" ca="1" si="142"/>
        <v>0</v>
      </c>
      <c r="T170" s="284">
        <f t="shared" ca="1" si="142"/>
        <v>0</v>
      </c>
      <c r="V170" s="284">
        <f t="shared" ref="V170:AD170" si="144">V135-V168</f>
        <v>0</v>
      </c>
      <c r="W170" s="284">
        <f t="shared" si="144"/>
        <v>0</v>
      </c>
      <c r="X170" s="284">
        <f t="shared" si="144"/>
        <v>0</v>
      </c>
      <c r="Y170" s="284">
        <f t="shared" si="144"/>
        <v>0</v>
      </c>
      <c r="Z170" s="284">
        <f t="shared" si="144"/>
        <v>0</v>
      </c>
      <c r="AA170" s="284">
        <f t="shared" ca="1" si="144"/>
        <v>0</v>
      </c>
      <c r="AB170" s="284">
        <f t="shared" ca="1" si="144"/>
        <v>-8.149072527885437E-10</v>
      </c>
      <c r="AC170" s="284">
        <f t="shared" ca="1" si="144"/>
        <v>-2.1129380911588669E-8</v>
      </c>
      <c r="AD170" s="284">
        <f t="shared" ca="1" si="144"/>
        <v>-2.434244379401207E-7</v>
      </c>
    </row>
    <row r="171" spans="1:45" ht="11.25" customHeight="1">
      <c r="A171" s="293"/>
      <c r="O171" s="383"/>
    </row>
    <row r="172" spans="1:45" s="255" customFormat="1" ht="11.25" customHeight="1">
      <c r="A172" s="293"/>
      <c r="B172" s="258" t="s">
        <v>133</v>
      </c>
      <c r="C172" s="259" t="s">
        <v>935</v>
      </c>
      <c r="D172" s="259"/>
      <c r="E172" s="258"/>
      <c r="F172" s="258"/>
      <c r="G172" s="258"/>
      <c r="H172" s="258"/>
      <c r="I172" s="258"/>
      <c r="J172" s="258"/>
      <c r="K172" s="258"/>
      <c r="L172" s="258"/>
      <c r="M172" s="258"/>
      <c r="N172" s="258"/>
      <c r="O172" s="258"/>
      <c r="P172" s="258"/>
      <c r="Q172" s="258"/>
      <c r="R172" s="258"/>
      <c r="S172" s="258"/>
      <c r="T172" s="258"/>
      <c r="U172" s="280"/>
      <c r="V172" s="258"/>
      <c r="W172" s="258"/>
      <c r="X172" s="258"/>
      <c r="Y172" s="258"/>
      <c r="Z172" s="258"/>
      <c r="AA172" s="258"/>
      <c r="AB172" s="258"/>
      <c r="AC172" s="258"/>
      <c r="AD172" s="258"/>
      <c r="AF172" s="258"/>
      <c r="AG172" s="258"/>
      <c r="AH172" s="258"/>
      <c r="AI172" s="258"/>
      <c r="AJ172" s="258"/>
      <c r="AK172" s="258"/>
      <c r="AL172" s="258"/>
      <c r="AM172" s="258"/>
      <c r="AN172" s="258"/>
      <c r="AO172" s="258"/>
      <c r="AP172" s="258"/>
      <c r="AQ172" s="258"/>
      <c r="AR172" s="258"/>
      <c r="AS172" s="258"/>
    </row>
    <row r="173" spans="1:45" ht="11.25" customHeight="1">
      <c r="A173" s="293"/>
      <c r="O173" s="383"/>
    </row>
    <row r="174" spans="1:45" ht="11.25" customHeight="1">
      <c r="A174" s="293"/>
      <c r="C174" s="381" t="s">
        <v>857</v>
      </c>
      <c r="E174" s="383">
        <f>E175+E176</f>
        <v>45540</v>
      </c>
      <c r="F174" s="383">
        <f t="shared" ref="F174:P174" si="145">F175+F176</f>
        <v>47170</v>
      </c>
      <c r="G174" s="383">
        <f t="shared" si="145"/>
        <v>48009</v>
      </c>
      <c r="H174" s="383">
        <f t="shared" si="145"/>
        <v>48337</v>
      </c>
      <c r="I174" s="383">
        <f t="shared" si="145"/>
        <v>49150</v>
      </c>
      <c r="J174" s="383">
        <f t="shared" si="145"/>
        <v>45740</v>
      </c>
      <c r="K174" s="383">
        <f t="shared" si="145"/>
        <v>44882</v>
      </c>
      <c r="L174" s="383">
        <f t="shared" si="145"/>
        <v>44040</v>
      </c>
      <c r="M174" s="383">
        <f t="shared" si="145"/>
        <v>44784</v>
      </c>
      <c r="N174" s="383">
        <f t="shared" si="145"/>
        <v>45985</v>
      </c>
      <c r="O174" s="383">
        <f t="shared" si="145"/>
        <v>46509</v>
      </c>
      <c r="P174" s="383">
        <f t="shared" si="145"/>
        <v>47420</v>
      </c>
      <c r="Q174" s="383">
        <f>Q175+Q176</f>
        <v>49178</v>
      </c>
      <c r="R174" s="383">
        <f>R175+R176</f>
        <v>49857</v>
      </c>
      <c r="S174" s="383">
        <f>S181+R174</f>
        <v>51447.238990339712</v>
      </c>
      <c r="T174" s="383">
        <f>T181+S174</f>
        <v>53207.35913485755</v>
      </c>
      <c r="V174" s="383">
        <f t="shared" ref="V174:AA174" si="146">V175+V176</f>
        <v>40660</v>
      </c>
      <c r="W174" s="383">
        <f t="shared" si="146"/>
        <v>44158</v>
      </c>
      <c r="X174" s="383">
        <f t="shared" si="146"/>
        <v>48337</v>
      </c>
      <c r="Y174" s="383">
        <f t="shared" si="146"/>
        <v>44040</v>
      </c>
      <c r="Z174" s="383">
        <f t="shared" si="146"/>
        <v>47420</v>
      </c>
      <c r="AA174" s="383">
        <f t="shared" si="146"/>
        <v>53207.359134857543</v>
      </c>
      <c r="AB174" s="383">
        <f>AB181+AA174</f>
        <v>59196.916048874737</v>
      </c>
      <c r="AC174" s="383">
        <f>AC181+AB174</f>
        <v>65706.302193811105</v>
      </c>
      <c r="AD174" s="383">
        <f>AD181+AC174</f>
        <v>71696.674593854099</v>
      </c>
    </row>
    <row r="175" spans="1:45" ht="11.25" customHeight="1">
      <c r="A175" s="293"/>
      <c r="C175" s="384" t="s">
        <v>372</v>
      </c>
      <c r="E175" s="277">
        <v>16401</v>
      </c>
      <c r="F175" s="277">
        <v>17005</v>
      </c>
      <c r="G175" s="277">
        <v>17213</v>
      </c>
      <c r="H175" s="277">
        <v>17027</v>
      </c>
      <c r="I175" s="277">
        <v>17506</v>
      </c>
      <c r="J175" s="277">
        <v>17267</v>
      </c>
      <c r="K175" s="277">
        <v>18280</v>
      </c>
      <c r="L175" s="277">
        <v>17511</v>
      </c>
      <c r="M175" s="277">
        <v>17922</v>
      </c>
      <c r="N175" s="277">
        <v>18477</v>
      </c>
      <c r="O175" s="277">
        <v>18693</v>
      </c>
      <c r="P175" s="277">
        <v>18671</v>
      </c>
      <c r="Q175" s="277">
        <v>19136</v>
      </c>
      <c r="R175" s="277">
        <v>19338</v>
      </c>
      <c r="S175" s="255">
        <f>S178+R175</f>
        <v>19801.025150913058</v>
      </c>
      <c r="T175" s="255">
        <f>T178+S175</f>
        <v>20279.891383126775</v>
      </c>
      <c r="V175" s="277">
        <v>14097</v>
      </c>
      <c r="W175" s="277">
        <v>15823</v>
      </c>
      <c r="X175" s="254">
        <f>SUMIF($E$6:$T$6,X$6,$E175:$T175)</f>
        <v>17027</v>
      </c>
      <c r="Y175" s="254">
        <f>SUMIF($E$6:$T$6,Y$6,$E175:$T175)</f>
        <v>17511</v>
      </c>
      <c r="Z175" s="254">
        <f>SUMIF($E$6:$T$6,Z$6,$E175:$T175)</f>
        <v>18671</v>
      </c>
      <c r="AA175" s="254">
        <f>SUMIF($E$6:$T$6,AA$6,$E175:$T175)</f>
        <v>20279.891383126775</v>
      </c>
      <c r="AB175" s="255">
        <f>AB178+AA175</f>
        <v>22706.964941130638</v>
      </c>
      <c r="AC175" s="255">
        <f>AC178+AB175</f>
        <v>24809.566611332593</v>
      </c>
      <c r="AD175" s="255">
        <f>AD178+AC175</f>
        <v>27103.860198335926</v>
      </c>
    </row>
    <row r="176" spans="1:45" s="279" customFormat="1" ht="11.25" customHeight="1">
      <c r="A176" s="293"/>
      <c r="C176" s="289" t="s">
        <v>858</v>
      </c>
      <c r="E176" s="358">
        <f t="shared" ref="E176:R176" si="147">E126</f>
        <v>29139</v>
      </c>
      <c r="F176" s="358">
        <f t="shared" si="147"/>
        <v>30165</v>
      </c>
      <c r="G176" s="358">
        <f t="shared" si="147"/>
        <v>30796</v>
      </c>
      <c r="H176" s="358">
        <f t="shared" si="147"/>
        <v>31310</v>
      </c>
      <c r="I176" s="358">
        <f t="shared" si="147"/>
        <v>31644</v>
      </c>
      <c r="J176" s="358">
        <f t="shared" si="147"/>
        <v>28473</v>
      </c>
      <c r="K176" s="358">
        <f t="shared" si="147"/>
        <v>26602</v>
      </c>
      <c r="L176" s="358">
        <f t="shared" si="147"/>
        <v>26529</v>
      </c>
      <c r="M176" s="358">
        <f t="shared" si="147"/>
        <v>26862</v>
      </c>
      <c r="N176" s="358">
        <f t="shared" si="147"/>
        <v>27508</v>
      </c>
      <c r="O176" s="358">
        <f t="shared" si="147"/>
        <v>27816</v>
      </c>
      <c r="P176" s="358">
        <f t="shared" si="147"/>
        <v>28749</v>
      </c>
      <c r="Q176" s="358">
        <f t="shared" si="147"/>
        <v>30042</v>
      </c>
      <c r="R176" s="358">
        <f t="shared" si="147"/>
        <v>30519</v>
      </c>
      <c r="S176" s="396">
        <f>S174-S175</f>
        <v>31646.213839426655</v>
      </c>
      <c r="T176" s="396">
        <f>T174-T175</f>
        <v>32927.467751730772</v>
      </c>
      <c r="U176" s="253"/>
      <c r="V176" s="358">
        <f t="shared" ref="V176:AA176" si="148">V126</f>
        <v>26563</v>
      </c>
      <c r="W176" s="358">
        <f t="shared" si="148"/>
        <v>28335</v>
      </c>
      <c r="X176" s="358">
        <f t="shared" si="148"/>
        <v>31310</v>
      </c>
      <c r="Y176" s="358">
        <f t="shared" si="148"/>
        <v>26529</v>
      </c>
      <c r="Z176" s="358">
        <f t="shared" si="148"/>
        <v>28749</v>
      </c>
      <c r="AA176" s="358">
        <f t="shared" si="148"/>
        <v>32927.467751730772</v>
      </c>
      <c r="AB176" s="396">
        <f>AB174-AB175</f>
        <v>36489.951107744098</v>
      </c>
      <c r="AC176" s="396">
        <f>AC174-AC175</f>
        <v>40896.735582478512</v>
      </c>
      <c r="AD176" s="396">
        <f>AD174-AD175</f>
        <v>44592.814395518173</v>
      </c>
    </row>
    <row r="177" spans="1:30" ht="11.25" customHeight="1">
      <c r="A177" s="293"/>
      <c r="E177" s="383"/>
      <c r="F177" s="383"/>
      <c r="G177" s="383"/>
      <c r="H177" s="383"/>
      <c r="I177" s="383"/>
      <c r="J177" s="383"/>
      <c r="K177" s="383"/>
      <c r="L177" s="383"/>
      <c r="M177" s="383"/>
      <c r="N177" s="383"/>
      <c r="O177" s="383"/>
      <c r="P177" s="383"/>
      <c r="Q177" s="383"/>
    </row>
    <row r="178" spans="1:30" ht="11.25" customHeight="1">
      <c r="A178" s="293"/>
      <c r="C178" s="253" t="s">
        <v>384</v>
      </c>
      <c r="E178" s="254">
        <f t="shared" ref="E178:Q178" si="149">+E28-E194</f>
        <v>612</v>
      </c>
      <c r="F178" s="254">
        <f t="shared" si="149"/>
        <v>710</v>
      </c>
      <c r="G178" s="254">
        <f t="shared" si="149"/>
        <v>628</v>
      </c>
      <c r="H178" s="254">
        <f t="shared" si="149"/>
        <v>620</v>
      </c>
      <c r="I178" s="254">
        <f t="shared" si="149"/>
        <v>548</v>
      </c>
      <c r="J178" s="254">
        <f t="shared" si="149"/>
        <v>588</v>
      </c>
      <c r="K178" s="254">
        <f t="shared" si="149"/>
        <v>543</v>
      </c>
      <c r="L178" s="254">
        <f t="shared" si="149"/>
        <v>496</v>
      </c>
      <c r="M178" s="254">
        <f t="shared" si="149"/>
        <v>491</v>
      </c>
      <c r="N178" s="254">
        <f t="shared" si="149"/>
        <v>498</v>
      </c>
      <c r="O178" s="254">
        <f t="shared" si="149"/>
        <v>499</v>
      </c>
      <c r="P178" s="254">
        <f t="shared" si="149"/>
        <v>501</v>
      </c>
      <c r="Q178" s="254">
        <f t="shared" si="149"/>
        <v>504</v>
      </c>
      <c r="R178" s="254">
        <f t="shared" ref="R178" si="150">+R28-R194</f>
        <v>508</v>
      </c>
      <c r="S178" s="255">
        <f>S179*S174</f>
        <v>463.02515091305736</v>
      </c>
      <c r="T178" s="255">
        <f>T179*T174</f>
        <v>478.86623221371792</v>
      </c>
      <c r="V178" s="254">
        <f>+V28-V194</f>
        <v>2222</v>
      </c>
      <c r="W178" s="254">
        <f>+W28-W194</f>
        <v>2312</v>
      </c>
      <c r="X178" s="254">
        <f>SUMIF($E$5:$T$5,X$5,$E178:$T178)</f>
        <v>2570</v>
      </c>
      <c r="Y178" s="254">
        <f>SUMIF($E$5:$T$5,Y$5,$E178:$T178)</f>
        <v>2175</v>
      </c>
      <c r="Z178" s="254">
        <f>SUMIF($E$5:$T$5,Z$5,$E178:$T178)</f>
        <v>1989</v>
      </c>
      <c r="AA178" s="254">
        <f>SUMIF($E$5:$T$5,AA$5,$E178:$T178)</f>
        <v>1953.8913831267753</v>
      </c>
      <c r="AB178" s="255">
        <f>AB179*AB174</f>
        <v>2427.0735580038645</v>
      </c>
      <c r="AC178" s="255">
        <f>AC179*AC174</f>
        <v>2102.6016702019556</v>
      </c>
      <c r="AD178" s="255">
        <f>AD179*AD174</f>
        <v>2294.2935870033311</v>
      </c>
    </row>
    <row r="179" spans="1:30" s="278" customFormat="1" ht="11.25" customHeight="1">
      <c r="A179" s="293"/>
      <c r="C179" s="278" t="s">
        <v>1119</v>
      </c>
      <c r="E179" s="297">
        <f>E178/E174</f>
        <v>1.3438735177865613E-2</v>
      </c>
      <c r="F179" s="297">
        <f t="shared" ref="F179:Q179" si="151">F178/F174</f>
        <v>1.5051939792240831E-2</v>
      </c>
      <c r="G179" s="297">
        <f t="shared" si="151"/>
        <v>1.3080880668208044E-2</v>
      </c>
      <c r="H179" s="297">
        <f t="shared" si="151"/>
        <v>1.2826613153484908E-2</v>
      </c>
      <c r="I179" s="297">
        <f t="shared" si="151"/>
        <v>1.1149542217700915E-2</v>
      </c>
      <c r="J179" s="297">
        <f t="shared" si="151"/>
        <v>1.2855268911237429E-2</v>
      </c>
      <c r="K179" s="297">
        <f t="shared" si="151"/>
        <v>1.2098391337284435E-2</v>
      </c>
      <c r="L179" s="297">
        <f t="shared" si="151"/>
        <v>1.1262488646684832E-2</v>
      </c>
      <c r="M179" s="297">
        <f t="shared" si="151"/>
        <v>1.0963737048946052E-2</v>
      </c>
      <c r="N179" s="297">
        <f t="shared" si="151"/>
        <v>1.0829618353811025E-2</v>
      </c>
      <c r="O179" s="297">
        <f t="shared" si="151"/>
        <v>1.0729106194499989E-2</v>
      </c>
      <c r="P179" s="297">
        <f t="shared" si="151"/>
        <v>1.0565162378743146E-2</v>
      </c>
      <c r="Q179" s="297">
        <f t="shared" si="151"/>
        <v>1.0248485094961162E-2</v>
      </c>
      <c r="R179" s="297">
        <f t="shared" ref="R179" si="152">R178/R174</f>
        <v>1.0189140943097258E-2</v>
      </c>
      <c r="S179" s="296">
        <v>8.9999999999999993E-3</v>
      </c>
      <c r="T179" s="296">
        <v>8.9999999999999993E-3</v>
      </c>
      <c r="U179" s="253"/>
      <c r="V179" s="297">
        <f t="shared" ref="V179:AA179" si="153">V178/V174</f>
        <v>5.4648303000491887E-2</v>
      </c>
      <c r="W179" s="297">
        <f t="shared" si="153"/>
        <v>5.2357443724806378E-2</v>
      </c>
      <c r="X179" s="297">
        <f t="shared" si="153"/>
        <v>5.3168380329768089E-2</v>
      </c>
      <c r="Y179" s="297">
        <f t="shared" si="153"/>
        <v>4.9386920980926431E-2</v>
      </c>
      <c r="Z179" s="297">
        <f t="shared" si="153"/>
        <v>4.1944327288064111E-2</v>
      </c>
      <c r="AA179" s="297">
        <f t="shared" si="153"/>
        <v>3.6722201870130582E-2</v>
      </c>
      <c r="AB179" s="296">
        <v>4.1000000000000002E-2</v>
      </c>
      <c r="AC179" s="296">
        <v>3.2000000000000001E-2</v>
      </c>
      <c r="AD179" s="296">
        <f>+AC179</f>
        <v>3.2000000000000001E-2</v>
      </c>
    </row>
    <row r="180" spans="1:30" ht="11.25" customHeight="1">
      <c r="A180" s="293"/>
      <c r="O180" s="383"/>
    </row>
    <row r="181" spans="1:30" s="255" customFormat="1" ht="11.25" customHeight="1">
      <c r="A181" s="293"/>
      <c r="C181" s="255" t="s">
        <v>1120</v>
      </c>
      <c r="E181" s="255">
        <f t="shared" ref="E181:T181" si="154">SUM(E182:E183)</f>
        <v>1360</v>
      </c>
      <c r="F181" s="255">
        <f t="shared" si="154"/>
        <v>1559</v>
      </c>
      <c r="G181" s="255">
        <f t="shared" si="154"/>
        <v>945</v>
      </c>
      <c r="H181" s="255">
        <f t="shared" si="154"/>
        <v>1072</v>
      </c>
      <c r="I181" s="255">
        <f t="shared" si="154"/>
        <v>937</v>
      </c>
      <c r="J181" s="255">
        <f t="shared" si="154"/>
        <v>282</v>
      </c>
      <c r="K181" s="255">
        <f t="shared" si="154"/>
        <v>133</v>
      </c>
      <c r="L181" s="255">
        <f t="shared" si="154"/>
        <v>548</v>
      </c>
      <c r="M181" s="255">
        <f t="shared" si="154"/>
        <v>438</v>
      </c>
      <c r="N181" s="255">
        <f t="shared" si="154"/>
        <v>761</v>
      </c>
      <c r="O181" s="255">
        <f t="shared" si="154"/>
        <v>830</v>
      </c>
      <c r="P181" s="255">
        <f t="shared" si="154"/>
        <v>1218</v>
      </c>
      <c r="Q181" s="255">
        <f t="shared" si="154"/>
        <v>1766</v>
      </c>
      <c r="R181" s="255">
        <f t="shared" si="154"/>
        <v>958</v>
      </c>
      <c r="S181" s="255">
        <f t="shared" si="154"/>
        <v>1590.2389903397143</v>
      </c>
      <c r="T181" s="255">
        <f t="shared" si="154"/>
        <v>1760.1201445178374</v>
      </c>
      <c r="U181" s="253"/>
      <c r="V181" s="255">
        <f t="shared" ref="V181:AA181" si="155">-V233</f>
        <v>3891</v>
      </c>
      <c r="W181" s="255">
        <f t="shared" si="155"/>
        <v>5168</v>
      </c>
      <c r="X181" s="255">
        <f t="shared" si="155"/>
        <v>4936</v>
      </c>
      <c r="Y181" s="255">
        <f t="shared" si="155"/>
        <v>1900</v>
      </c>
      <c r="Z181" s="255">
        <f t="shared" si="155"/>
        <v>3247</v>
      </c>
      <c r="AA181" s="255">
        <f t="shared" si="155"/>
        <v>6074.3591348575519</v>
      </c>
      <c r="AB181" s="255">
        <f>SUM(AB182:AB183)</f>
        <v>5989.5569140171938</v>
      </c>
      <c r="AC181" s="255">
        <f>SUM(AC182:AC183)</f>
        <v>6509.3861449363685</v>
      </c>
      <c r="AD181" s="255">
        <f>SUM(AD182:AD183)</f>
        <v>5990.3724000429884</v>
      </c>
    </row>
    <row r="182" spans="1:30" s="255" customFormat="1" ht="11.25" customHeight="1">
      <c r="A182" s="293"/>
      <c r="C182" s="395" t="s">
        <v>1449</v>
      </c>
      <c r="D182" s="395"/>
      <c r="E182" s="395">
        <f t="shared" ref="E182:Q182" si="156">-E234</f>
        <v>1059</v>
      </c>
      <c r="F182" s="395">
        <f t="shared" si="156"/>
        <v>1166</v>
      </c>
      <c r="G182" s="395">
        <f t="shared" si="156"/>
        <v>549</v>
      </c>
      <c r="H182" s="395">
        <f t="shared" si="156"/>
        <v>570</v>
      </c>
      <c r="I182" s="395">
        <f t="shared" si="156"/>
        <v>629</v>
      </c>
      <c r="J182" s="395">
        <f t="shared" si="156"/>
        <v>30</v>
      </c>
      <c r="K182" s="395">
        <f t="shared" si="156"/>
        <v>-65</v>
      </c>
      <c r="L182" s="395">
        <f t="shared" si="156"/>
        <v>302</v>
      </c>
      <c r="M182" s="395">
        <f t="shared" si="156"/>
        <v>132</v>
      </c>
      <c r="N182" s="395">
        <f t="shared" si="156"/>
        <v>395</v>
      </c>
      <c r="O182" s="395">
        <f t="shared" si="156"/>
        <v>434</v>
      </c>
      <c r="P182" s="395">
        <f t="shared" si="156"/>
        <v>635</v>
      </c>
      <c r="Q182" s="395">
        <f t="shared" si="156"/>
        <v>1276</v>
      </c>
      <c r="R182" s="395">
        <f t="shared" ref="R182" si="157">-R234</f>
        <v>603</v>
      </c>
      <c r="S182" s="686">
        <f>2320*(G182/SUM($G$182:$H$182))</f>
        <v>1138.230563002681</v>
      </c>
      <c r="T182" s="686">
        <f>2320*(H182/SUM($G$182:$H$182))</f>
        <v>1181.769436997319</v>
      </c>
      <c r="U182" s="253"/>
      <c r="V182" s="395">
        <f t="shared" ref="V182:AA183" si="158">-V234</f>
        <v>2704</v>
      </c>
      <c r="W182" s="395">
        <f t="shared" si="158"/>
        <v>3704</v>
      </c>
      <c r="X182" s="395">
        <f t="shared" si="158"/>
        <v>3344</v>
      </c>
      <c r="Y182" s="395">
        <f t="shared" si="158"/>
        <v>896</v>
      </c>
      <c r="Z182" s="395">
        <f t="shared" si="158"/>
        <v>1596</v>
      </c>
      <c r="AA182" s="395">
        <f t="shared" si="158"/>
        <v>4199</v>
      </c>
      <c r="AB182" s="333">
        <v>3170</v>
      </c>
      <c r="AC182" s="333">
        <v>3480</v>
      </c>
      <c r="AD182" s="333">
        <v>2890</v>
      </c>
    </row>
    <row r="183" spans="1:30" s="278" customFormat="1" ht="11.25" customHeight="1">
      <c r="A183" s="293"/>
      <c r="C183" s="881" t="s">
        <v>1450</v>
      </c>
      <c r="D183" s="881"/>
      <c r="E183" s="395">
        <f t="shared" ref="E183:Q183" si="159">-E235</f>
        <v>301</v>
      </c>
      <c r="F183" s="395">
        <f t="shared" si="159"/>
        <v>393</v>
      </c>
      <c r="G183" s="395">
        <f t="shared" si="159"/>
        <v>396</v>
      </c>
      <c r="H183" s="395">
        <f t="shared" si="159"/>
        <v>502</v>
      </c>
      <c r="I183" s="395">
        <f t="shared" si="159"/>
        <v>308</v>
      </c>
      <c r="J183" s="395">
        <f t="shared" si="159"/>
        <v>252</v>
      </c>
      <c r="K183" s="395">
        <f t="shared" si="159"/>
        <v>198</v>
      </c>
      <c r="L183" s="395">
        <f t="shared" si="159"/>
        <v>246</v>
      </c>
      <c r="M183" s="395">
        <f t="shared" si="159"/>
        <v>306</v>
      </c>
      <c r="N183" s="395">
        <f t="shared" si="159"/>
        <v>366</v>
      </c>
      <c r="O183" s="395">
        <f t="shared" si="159"/>
        <v>396</v>
      </c>
      <c r="P183" s="395">
        <f t="shared" si="159"/>
        <v>583</v>
      </c>
      <c r="Q183" s="395">
        <f t="shared" si="159"/>
        <v>490</v>
      </c>
      <c r="R183" s="395">
        <f t="shared" ref="R183" si="160">-R235</f>
        <v>355</v>
      </c>
      <c r="S183" s="395">
        <f>S13*S188</f>
        <v>452.00842733703314</v>
      </c>
      <c r="T183" s="395">
        <f>T13*T188</f>
        <v>578.35070752051843</v>
      </c>
      <c r="V183" s="395">
        <f t="shared" si="158"/>
        <v>1187</v>
      </c>
      <c r="W183" s="395">
        <f t="shared" si="158"/>
        <v>1464</v>
      </c>
      <c r="X183" s="395">
        <f t="shared" si="158"/>
        <v>1592</v>
      </c>
      <c r="Y183" s="395">
        <f t="shared" si="158"/>
        <v>1004</v>
      </c>
      <c r="Z183" s="395">
        <f t="shared" si="158"/>
        <v>1651</v>
      </c>
      <c r="AA183" s="395">
        <f t="shared" si="158"/>
        <v>1875.3591348575515</v>
      </c>
      <c r="AB183" s="395">
        <f>AB13*AB188</f>
        <v>2819.5569140171942</v>
      </c>
      <c r="AC183" s="395">
        <f>AC13*AC188</f>
        <v>3029.386144936369</v>
      </c>
      <c r="AD183" s="395">
        <f>AD13*AD188</f>
        <v>3100.3724000429879</v>
      </c>
    </row>
    <row r="184" spans="1:30" s="293" customFormat="1" ht="11.25" customHeight="1"/>
    <row r="185" spans="1:30" s="278" customFormat="1" ht="11.25" customHeight="1">
      <c r="A185" s="293"/>
      <c r="C185" s="278" t="s">
        <v>388</v>
      </c>
      <c r="E185" s="297"/>
      <c r="F185" s="297"/>
      <c r="G185" s="297"/>
      <c r="H185" s="297"/>
      <c r="I185" s="297"/>
      <c r="J185" s="297"/>
      <c r="K185" s="297"/>
      <c r="L185" s="297"/>
      <c r="M185" s="297"/>
      <c r="N185" s="297"/>
      <c r="O185" s="297"/>
      <c r="P185" s="297"/>
      <c r="Q185" s="297"/>
      <c r="R185" s="880"/>
      <c r="S185" s="880"/>
      <c r="T185" s="880"/>
      <c r="U185" s="253"/>
      <c r="V185" s="297"/>
      <c r="W185" s="297"/>
      <c r="X185" s="297"/>
      <c r="Y185" s="297"/>
      <c r="Z185" s="297"/>
      <c r="AA185" s="297"/>
      <c r="AB185" s="297"/>
      <c r="AC185" s="297"/>
      <c r="AD185" s="297"/>
    </row>
    <row r="186" spans="1:30" s="278" customFormat="1" ht="11.25" customHeight="1">
      <c r="A186" s="293"/>
      <c r="C186" s="255" t="s">
        <v>1120</v>
      </c>
      <c r="E186" s="297">
        <f t="shared" ref="E186:T186" si="161">E181/E$13</f>
        <v>0.12987012987012986</v>
      </c>
      <c r="F186" s="297">
        <f t="shared" si="161"/>
        <v>0.12436183790682834</v>
      </c>
      <c r="G186" s="297">
        <f t="shared" si="161"/>
        <v>7.5238853503184711E-2</v>
      </c>
      <c r="H186" s="297">
        <f t="shared" si="161"/>
        <v>9.3714485531952094E-2</v>
      </c>
      <c r="I186" s="297">
        <f t="shared" si="161"/>
        <v>0.10905493482309125</v>
      </c>
      <c r="J186" s="297">
        <f t="shared" si="161"/>
        <v>0.19209809264305178</v>
      </c>
      <c r="K186" s="297">
        <f t="shared" si="161"/>
        <v>4.3435662965382101E-2</v>
      </c>
      <c r="L186" s="297">
        <f t="shared" si="161"/>
        <v>0.13793103448275862</v>
      </c>
      <c r="M186" s="297">
        <f t="shared" si="161"/>
        <v>0.10554216867469879</v>
      </c>
      <c r="N186" s="297">
        <f t="shared" si="161"/>
        <v>0.10679202918888576</v>
      </c>
      <c r="O186" s="297">
        <f t="shared" si="161"/>
        <v>9.0670745029495306E-2</v>
      </c>
      <c r="P186" s="297">
        <f t="shared" si="161"/>
        <v>0.12861668426610348</v>
      </c>
      <c r="Q186" s="297">
        <f t="shared" si="161"/>
        <v>0.18891741548994437</v>
      </c>
      <c r="R186" s="297">
        <f t="shared" si="161"/>
        <v>6.9299768518518517E-2</v>
      </c>
      <c r="S186" s="297">
        <f t="shared" si="161"/>
        <v>0.11092295024129166</v>
      </c>
      <c r="T186" s="297">
        <f t="shared" si="161"/>
        <v>0.13355701358127975</v>
      </c>
      <c r="U186" s="253"/>
      <c r="V186" s="297">
        <f t="shared" ref="V186:AD186" si="162">V181/V$13</f>
        <v>9.4584082843113426E-2</v>
      </c>
      <c r="W186" s="297">
        <f t="shared" si="162"/>
        <v>0.11629686304514154</v>
      </c>
      <c r="X186" s="297">
        <f t="shared" si="162"/>
        <v>0.10500563745825089</v>
      </c>
      <c r="Y186" s="297">
        <f t="shared" si="162"/>
        <v>0.11114360924246856</v>
      </c>
      <c r="Z186" s="297">
        <f t="shared" si="162"/>
        <v>0.10859531772575251</v>
      </c>
      <c r="AA186" s="297">
        <f t="shared" si="162"/>
        <v>0.11984005017581137</v>
      </c>
      <c r="AB186" s="297">
        <f t="shared" si="162"/>
        <v>0.10621450633325766</v>
      </c>
      <c r="AC186" s="297">
        <f t="shared" si="162"/>
        <v>0.10743737895244608</v>
      </c>
      <c r="AD186" s="297">
        <f t="shared" si="162"/>
        <v>9.6607304334794267E-2</v>
      </c>
    </row>
    <row r="187" spans="1:30" s="278" customFormat="1" ht="11.25" customHeight="1">
      <c r="A187" s="293"/>
      <c r="C187" s="395" t="s">
        <v>1449</v>
      </c>
      <c r="D187" s="881"/>
      <c r="E187" s="882">
        <f t="shared" ref="E187:T187" si="163">E182/E$13</f>
        <v>0.10112681436210848</v>
      </c>
      <c r="F187" s="882">
        <f t="shared" si="163"/>
        <v>9.3012125079770261E-2</v>
      </c>
      <c r="G187" s="882">
        <f t="shared" si="163"/>
        <v>4.3710191082802545E-2</v>
      </c>
      <c r="H187" s="882">
        <f t="shared" si="163"/>
        <v>4.9829530553370048E-2</v>
      </c>
      <c r="I187" s="882">
        <f t="shared" si="163"/>
        <v>7.320763500931099E-2</v>
      </c>
      <c r="J187" s="882">
        <f t="shared" si="163"/>
        <v>2.0435967302452316E-2</v>
      </c>
      <c r="K187" s="882">
        <f t="shared" si="163"/>
        <v>-2.1227955584585238E-2</v>
      </c>
      <c r="L187" s="882">
        <f t="shared" si="163"/>
        <v>7.6013088346337784E-2</v>
      </c>
      <c r="M187" s="882">
        <f t="shared" si="163"/>
        <v>3.180722891566265E-2</v>
      </c>
      <c r="N187" s="882">
        <f t="shared" si="163"/>
        <v>5.5430816727476843E-2</v>
      </c>
      <c r="O187" s="882">
        <f t="shared" si="163"/>
        <v>4.7410967882892723E-2</v>
      </c>
      <c r="P187" s="882">
        <f t="shared" si="163"/>
        <v>6.7053854276663147E-2</v>
      </c>
      <c r="Q187" s="882">
        <f t="shared" si="163"/>
        <v>0.13649978605049209</v>
      </c>
      <c r="R187" s="882">
        <f t="shared" ref="R187" si="164">R182/R$13</f>
        <v>4.3619791666666664E-2</v>
      </c>
      <c r="S187" s="882">
        <f t="shared" si="163"/>
        <v>7.9394287820909487E-2</v>
      </c>
      <c r="T187" s="882">
        <f t="shared" si="163"/>
        <v>8.9672058602697682E-2</v>
      </c>
      <c r="U187" s="253"/>
      <c r="V187" s="882">
        <f t="shared" ref="V187:AD187" si="165">V182/V$13</f>
        <v>6.5729982011765276E-2</v>
      </c>
      <c r="W187" s="882">
        <f t="shared" si="165"/>
        <v>8.3352086052477611E-2</v>
      </c>
      <c r="X187" s="882">
        <f t="shared" si="165"/>
        <v>7.1138341098134314E-2</v>
      </c>
      <c r="Y187" s="882">
        <f t="shared" si="165"/>
        <v>5.2412986253290439E-2</v>
      </c>
      <c r="Z187" s="882">
        <f t="shared" si="165"/>
        <v>5.3377926421404681E-2</v>
      </c>
      <c r="AA187" s="882">
        <f t="shared" si="165"/>
        <v>8.2841392732376298E-2</v>
      </c>
      <c r="AB187" s="882">
        <f t="shared" si="165"/>
        <v>5.6214506333257669E-2</v>
      </c>
      <c r="AC187" s="882">
        <f t="shared" si="165"/>
        <v>5.7437378952446091E-2</v>
      </c>
      <c r="AD187" s="882">
        <f t="shared" si="165"/>
        <v>4.660730433479425E-2</v>
      </c>
    </row>
    <row r="188" spans="1:30" s="278" customFormat="1" ht="11.25" customHeight="1">
      <c r="A188" s="293"/>
      <c r="C188" s="881" t="s">
        <v>1450</v>
      </c>
      <c r="D188" s="881"/>
      <c r="E188" s="882">
        <f t="shared" ref="E188:Q188" si="166">E183/E$13</f>
        <v>2.8743315508021391E-2</v>
      </c>
      <c r="F188" s="882">
        <f t="shared" si="166"/>
        <v>3.134971282705807E-2</v>
      </c>
      <c r="G188" s="882">
        <f t="shared" si="166"/>
        <v>3.1528662420382166E-2</v>
      </c>
      <c r="H188" s="882">
        <f t="shared" si="166"/>
        <v>4.3884954978582046E-2</v>
      </c>
      <c r="I188" s="882">
        <f t="shared" si="166"/>
        <v>3.5847299813780258E-2</v>
      </c>
      <c r="J188" s="882">
        <f t="shared" si="166"/>
        <v>0.17166212534059946</v>
      </c>
      <c r="K188" s="882">
        <f t="shared" si="166"/>
        <v>6.4663618549967342E-2</v>
      </c>
      <c r="L188" s="882">
        <f t="shared" si="166"/>
        <v>6.1917946136420841E-2</v>
      </c>
      <c r="M188" s="882">
        <f t="shared" si="166"/>
        <v>7.3734939759036139E-2</v>
      </c>
      <c r="N188" s="882">
        <f t="shared" si="166"/>
        <v>5.1361212461408928E-2</v>
      </c>
      <c r="O188" s="882">
        <f t="shared" si="166"/>
        <v>4.3259777146602577E-2</v>
      </c>
      <c r="P188" s="882">
        <f t="shared" si="166"/>
        <v>6.1562829989440335E-2</v>
      </c>
      <c r="Q188" s="882">
        <f t="shared" si="166"/>
        <v>5.2417629439452287E-2</v>
      </c>
      <c r="R188" s="882">
        <f t="shared" ref="R188" si="167">R183/R$13</f>
        <v>2.5679976851851853E-2</v>
      </c>
      <c r="S188" s="296">
        <f t="shared" ref="S188:T188" si="168">G188</f>
        <v>3.1528662420382166E-2</v>
      </c>
      <c r="T188" s="296">
        <f t="shared" si="168"/>
        <v>4.3884954978582046E-2</v>
      </c>
      <c r="U188" s="253"/>
      <c r="V188" s="882">
        <f t="shared" ref="V188:AA188" si="169">V183/V$13</f>
        <v>2.8854100831348144E-2</v>
      </c>
      <c r="W188" s="882">
        <f t="shared" si="169"/>
        <v>3.2944776992663939E-2</v>
      </c>
      <c r="X188" s="882">
        <f t="shared" si="169"/>
        <v>3.3867296360116581E-2</v>
      </c>
      <c r="Y188" s="882">
        <f t="shared" si="169"/>
        <v>5.8730622989178125E-2</v>
      </c>
      <c r="Z188" s="882">
        <f t="shared" si="169"/>
        <v>5.5217391304347829E-2</v>
      </c>
      <c r="AA188" s="882">
        <f t="shared" si="169"/>
        <v>3.6998657443435071E-2</v>
      </c>
      <c r="AB188" s="296">
        <v>0.05</v>
      </c>
      <c r="AC188" s="296">
        <v>0.05</v>
      </c>
      <c r="AD188" s="296">
        <v>0.05</v>
      </c>
    </row>
    <row r="189" spans="1:30" s="278" customFormat="1" ht="11.25" customHeight="1">
      <c r="A189" s="293"/>
      <c r="E189" s="297"/>
      <c r="F189" s="297"/>
      <c r="G189" s="297"/>
      <c r="H189" s="297"/>
      <c r="I189" s="297"/>
      <c r="J189" s="297"/>
      <c r="K189" s="297"/>
      <c r="L189" s="297"/>
      <c r="M189" s="297"/>
      <c r="N189" s="297"/>
      <c r="O189" s="297"/>
      <c r="P189" s="297"/>
      <c r="Q189" s="297"/>
      <c r="R189" s="880"/>
      <c r="S189" s="880"/>
      <c r="T189" s="880"/>
      <c r="U189" s="253"/>
      <c r="V189" s="297"/>
      <c r="W189" s="297"/>
      <c r="X189" s="297"/>
      <c r="Y189" s="297"/>
      <c r="Z189" s="297"/>
      <c r="AA189" s="297"/>
      <c r="AB189" s="297"/>
      <c r="AC189" s="297"/>
      <c r="AD189" s="297"/>
    </row>
    <row r="190" spans="1:30" ht="11.25" customHeight="1">
      <c r="A190" s="293"/>
      <c r="C190" s="381" t="s">
        <v>1121</v>
      </c>
      <c r="E190" s="383">
        <f>E191+E192</f>
        <v>5692</v>
      </c>
      <c r="F190" s="383">
        <f t="shared" ref="F190:R190" si="170">F191+F192</f>
        <v>5692</v>
      </c>
      <c r="G190" s="383">
        <f t="shared" si="170"/>
        <v>5692</v>
      </c>
      <c r="H190" s="383">
        <f t="shared" si="170"/>
        <v>6036</v>
      </c>
      <c r="I190" s="383">
        <f t="shared" si="170"/>
        <v>6894</v>
      </c>
      <c r="J190" s="383">
        <f t="shared" si="170"/>
        <v>6895</v>
      </c>
      <c r="K190" s="383">
        <f t="shared" si="170"/>
        <v>6894</v>
      </c>
      <c r="L190" s="383">
        <f t="shared" si="170"/>
        <v>6894</v>
      </c>
      <c r="M190" s="383">
        <f t="shared" si="170"/>
        <v>6894</v>
      </c>
      <c r="N190" s="383">
        <f t="shared" si="170"/>
        <v>6894</v>
      </c>
      <c r="O190" s="383">
        <f t="shared" si="170"/>
        <v>6894</v>
      </c>
      <c r="P190" s="383">
        <f t="shared" si="170"/>
        <v>6894</v>
      </c>
      <c r="Q190" s="383">
        <f t="shared" si="170"/>
        <v>6894</v>
      </c>
      <c r="R190" s="383">
        <f t="shared" si="170"/>
        <v>6894</v>
      </c>
      <c r="S190" s="681">
        <f>R190</f>
        <v>6894</v>
      </c>
      <c r="T190" s="681">
        <f>S190</f>
        <v>6894</v>
      </c>
      <c r="V190" s="383">
        <f t="shared" ref="V190:AA190" si="171">V191+V192</f>
        <v>5692</v>
      </c>
      <c r="W190" s="383">
        <f t="shared" si="171"/>
        <v>5692</v>
      </c>
      <c r="X190" s="383">
        <f t="shared" si="171"/>
        <v>6036</v>
      </c>
      <c r="Y190" s="383">
        <f t="shared" si="171"/>
        <v>6894</v>
      </c>
      <c r="Z190" s="383">
        <f t="shared" si="171"/>
        <v>6894</v>
      </c>
      <c r="AA190" s="383">
        <f t="shared" si="171"/>
        <v>6894</v>
      </c>
      <c r="AB190" s="681">
        <f>AA190</f>
        <v>6894</v>
      </c>
      <c r="AC190" s="681">
        <f>AB190</f>
        <v>6894</v>
      </c>
      <c r="AD190" s="681">
        <f>AC190</f>
        <v>6894</v>
      </c>
    </row>
    <row r="191" spans="1:30" ht="11.25" customHeight="1">
      <c r="A191" s="293"/>
      <c r="C191" s="384" t="s">
        <v>349</v>
      </c>
      <c r="E191" s="277">
        <v>865</v>
      </c>
      <c r="F191" s="277">
        <v>868</v>
      </c>
      <c r="G191" s="277">
        <v>871</v>
      </c>
      <c r="H191" s="277">
        <v>873</v>
      </c>
      <c r="I191" s="277">
        <v>875</v>
      </c>
      <c r="J191" s="277">
        <v>878</v>
      </c>
      <c r="K191" s="277">
        <v>880</v>
      </c>
      <c r="L191" s="277">
        <v>883</v>
      </c>
      <c r="M191" s="277">
        <v>885</v>
      </c>
      <c r="N191" s="277">
        <v>888</v>
      </c>
      <c r="O191" s="277">
        <v>890</v>
      </c>
      <c r="P191" s="277">
        <v>893</v>
      </c>
      <c r="Q191" s="682">
        <v>895</v>
      </c>
      <c r="R191" s="682">
        <v>897</v>
      </c>
      <c r="S191" s="683">
        <f>S194+R191</f>
        <v>899.5</v>
      </c>
      <c r="T191" s="683">
        <f>T194+S191</f>
        <v>902</v>
      </c>
      <c r="V191" s="277">
        <v>845</v>
      </c>
      <c r="W191" s="277">
        <v>862</v>
      </c>
      <c r="X191" s="254">
        <f>SUMIF($E$6:$T$6,X$6,$E191:$T191)</f>
        <v>873</v>
      </c>
      <c r="Y191" s="254">
        <f>SUMIF($E$6:$T$6,Y$6,$E191:$T191)</f>
        <v>883</v>
      </c>
      <c r="Z191" s="254">
        <f>SUMIF($E$6:$T$6,Z$6,$E191:$T191)</f>
        <v>893</v>
      </c>
      <c r="AA191" s="254">
        <f>SUMIF($E$6:$T$6,AA$6,$E191:$T191)</f>
        <v>902</v>
      </c>
      <c r="AB191" s="683">
        <f>AB194+AA191</f>
        <v>912</v>
      </c>
      <c r="AC191" s="683">
        <f>AC194+AB191</f>
        <v>922</v>
      </c>
      <c r="AD191" s="683">
        <f>AD194+AC191</f>
        <v>932</v>
      </c>
    </row>
    <row r="192" spans="1:30" s="255" customFormat="1" ht="11.25" customHeight="1">
      <c r="A192" s="293"/>
      <c r="C192" s="286" t="s">
        <v>1122</v>
      </c>
      <c r="E192" s="358">
        <f t="shared" ref="E192:R192" si="172">E127</f>
        <v>4827</v>
      </c>
      <c r="F192" s="358">
        <f t="shared" si="172"/>
        <v>4824</v>
      </c>
      <c r="G192" s="358">
        <f t="shared" si="172"/>
        <v>4821</v>
      </c>
      <c r="H192" s="358">
        <f t="shared" si="172"/>
        <v>5163</v>
      </c>
      <c r="I192" s="358">
        <f t="shared" si="172"/>
        <v>6019</v>
      </c>
      <c r="J192" s="358">
        <f t="shared" si="172"/>
        <v>6017</v>
      </c>
      <c r="K192" s="358">
        <f t="shared" si="172"/>
        <v>6014</v>
      </c>
      <c r="L192" s="358">
        <f t="shared" si="172"/>
        <v>6011</v>
      </c>
      <c r="M192" s="358">
        <f t="shared" si="172"/>
        <v>6009</v>
      </c>
      <c r="N192" s="358">
        <f t="shared" si="172"/>
        <v>6006</v>
      </c>
      <c r="O192" s="358">
        <f t="shared" si="172"/>
        <v>6004</v>
      </c>
      <c r="P192" s="358">
        <f t="shared" si="172"/>
        <v>6001</v>
      </c>
      <c r="Q192" s="358">
        <f t="shared" si="172"/>
        <v>5999</v>
      </c>
      <c r="R192" s="358">
        <f t="shared" si="172"/>
        <v>5997</v>
      </c>
      <c r="S192" s="358">
        <f>S190-S191</f>
        <v>5994.5</v>
      </c>
      <c r="T192" s="358">
        <f>T190-T191</f>
        <v>5992</v>
      </c>
      <c r="U192" s="253"/>
      <c r="V192" s="358">
        <f t="shared" ref="V192:AA192" si="173">V127</f>
        <v>4847</v>
      </c>
      <c r="W192" s="358">
        <f t="shared" si="173"/>
        <v>4830</v>
      </c>
      <c r="X192" s="358">
        <f t="shared" si="173"/>
        <v>5163</v>
      </c>
      <c r="Y192" s="358">
        <f t="shared" si="173"/>
        <v>6011</v>
      </c>
      <c r="Z192" s="358">
        <f t="shared" si="173"/>
        <v>6001</v>
      </c>
      <c r="AA192" s="358">
        <f t="shared" si="173"/>
        <v>5992</v>
      </c>
      <c r="AB192" s="358">
        <f>AB190-AB191</f>
        <v>5982</v>
      </c>
      <c r="AC192" s="358">
        <f>AC190-AC191</f>
        <v>5972</v>
      </c>
      <c r="AD192" s="358">
        <f>AD190-AD191</f>
        <v>5962</v>
      </c>
    </row>
    <row r="193" spans="1:45" ht="11.25" customHeight="1">
      <c r="A193" s="293"/>
      <c r="O193" s="383"/>
      <c r="W193" s="383"/>
      <c r="X193" s="383"/>
      <c r="Y193" s="383"/>
      <c r="Z193" s="383"/>
    </row>
    <row r="194" spans="1:45" s="255" customFormat="1" ht="11.25" customHeight="1">
      <c r="A194" s="293"/>
      <c r="C194" s="255" t="s">
        <v>383</v>
      </c>
      <c r="E194" s="255">
        <f>E191-W191</f>
        <v>3</v>
      </c>
      <c r="F194" s="255">
        <f t="shared" ref="F194:R194" si="174">F191-E191</f>
        <v>3</v>
      </c>
      <c r="G194" s="255">
        <f t="shared" si="174"/>
        <v>3</v>
      </c>
      <c r="H194" s="255">
        <f t="shared" si="174"/>
        <v>2</v>
      </c>
      <c r="I194" s="255">
        <f t="shared" si="174"/>
        <v>2</v>
      </c>
      <c r="J194" s="255">
        <f t="shared" si="174"/>
        <v>3</v>
      </c>
      <c r="K194" s="255">
        <f t="shared" si="174"/>
        <v>2</v>
      </c>
      <c r="L194" s="255">
        <f t="shared" si="174"/>
        <v>3</v>
      </c>
      <c r="M194" s="255">
        <f t="shared" si="174"/>
        <v>2</v>
      </c>
      <c r="N194" s="255">
        <f t="shared" si="174"/>
        <v>3</v>
      </c>
      <c r="O194" s="255">
        <f t="shared" si="174"/>
        <v>2</v>
      </c>
      <c r="P194" s="255">
        <f t="shared" si="174"/>
        <v>3</v>
      </c>
      <c r="Q194" s="255">
        <f t="shared" si="174"/>
        <v>2</v>
      </c>
      <c r="R194" s="255">
        <f t="shared" si="174"/>
        <v>2</v>
      </c>
      <c r="S194" s="333">
        <v>2.5</v>
      </c>
      <c r="T194" s="333">
        <v>2.5</v>
      </c>
      <c r="U194" s="253"/>
      <c r="V194" s="253"/>
      <c r="W194" s="255">
        <f>W191-V191</f>
        <v>17</v>
      </c>
      <c r="X194" s="255">
        <f>X191-W191</f>
        <v>11</v>
      </c>
      <c r="Y194" s="255">
        <f>Y191-X191</f>
        <v>10</v>
      </c>
      <c r="Z194" s="255">
        <f>Z191-Y191</f>
        <v>10</v>
      </c>
      <c r="AA194" s="255">
        <f>AA191-Z191</f>
        <v>9</v>
      </c>
      <c r="AB194" s="333">
        <v>10</v>
      </c>
      <c r="AC194" s="333">
        <v>10</v>
      </c>
      <c r="AD194" s="333">
        <v>10</v>
      </c>
    </row>
    <row r="195" spans="1:45" ht="11.25" customHeight="1">
      <c r="A195" s="293"/>
      <c r="O195" s="383"/>
      <c r="W195" s="383"/>
      <c r="X195" s="383"/>
      <c r="Y195" s="383"/>
      <c r="Z195" s="383"/>
    </row>
    <row r="196" spans="1:45" s="255" customFormat="1" ht="11.25" customHeight="1">
      <c r="A196" s="293"/>
      <c r="B196" s="258" t="s">
        <v>133</v>
      </c>
      <c r="C196" s="259" t="s">
        <v>946</v>
      </c>
      <c r="D196" s="259"/>
      <c r="E196" s="258"/>
      <c r="F196" s="258"/>
      <c r="G196" s="258"/>
      <c r="H196" s="258"/>
      <c r="I196" s="258"/>
      <c r="J196" s="258"/>
      <c r="K196" s="258"/>
      <c r="L196" s="258"/>
      <c r="M196" s="258"/>
      <c r="N196" s="258"/>
      <c r="O196" s="258"/>
      <c r="P196" s="258"/>
      <c r="Q196" s="258"/>
      <c r="R196" s="258"/>
      <c r="S196" s="258"/>
      <c r="T196" s="258"/>
      <c r="U196" s="253"/>
      <c r="V196" s="258"/>
      <c r="W196" s="258"/>
      <c r="X196" s="258"/>
      <c r="Y196" s="258"/>
      <c r="Z196" s="258"/>
      <c r="AA196" s="258"/>
      <c r="AB196" s="258"/>
      <c r="AC196" s="258"/>
      <c r="AD196" s="258"/>
      <c r="AF196" s="258"/>
      <c r="AG196" s="258"/>
      <c r="AH196" s="258"/>
      <c r="AI196" s="258"/>
      <c r="AJ196" s="258"/>
      <c r="AK196" s="258"/>
      <c r="AL196" s="258"/>
      <c r="AM196" s="258"/>
      <c r="AN196" s="258"/>
      <c r="AO196" s="258"/>
      <c r="AP196" s="258"/>
      <c r="AQ196" s="258"/>
      <c r="AR196" s="258"/>
      <c r="AS196" s="258"/>
    </row>
    <row r="197" spans="1:45" ht="11.25" customHeight="1">
      <c r="O197" s="383"/>
    </row>
    <row r="198" spans="1:45" ht="11.25" customHeight="1">
      <c r="C198" s="253" t="s">
        <v>376</v>
      </c>
      <c r="H198" s="391">
        <f t="shared" ref="H198:R198" si="175">365/(SUM(E13:H13)/H118)</f>
        <v>22.160742017146383</v>
      </c>
      <c r="I198" s="391">
        <f t="shared" si="175"/>
        <v>18.441287920756977</v>
      </c>
      <c r="J198" s="391">
        <f t="shared" si="175"/>
        <v>14.735459056343403</v>
      </c>
      <c r="K198" s="391">
        <f t="shared" si="175"/>
        <v>22.336020520337119</v>
      </c>
      <c r="L198" s="391">
        <f t="shared" si="175"/>
        <v>29.806376133372332</v>
      </c>
      <c r="M198" s="391">
        <f t="shared" si="175"/>
        <v>52.991780605390026</v>
      </c>
      <c r="N198" s="391">
        <f t="shared" si="175"/>
        <v>45.009557096827038</v>
      </c>
      <c r="O198" s="391">
        <f t="shared" si="175"/>
        <v>32.651518255952134</v>
      </c>
      <c r="P198" s="391">
        <f t="shared" si="175"/>
        <v>29.34648829431438</v>
      </c>
      <c r="Q198" s="391">
        <f t="shared" si="175"/>
        <v>31.603937546298937</v>
      </c>
      <c r="R198" s="391">
        <f t="shared" si="175"/>
        <v>27.010838357737583</v>
      </c>
      <c r="S198" s="684">
        <v>25</v>
      </c>
      <c r="T198" s="684">
        <v>23</v>
      </c>
      <c r="V198" s="391">
        <f t="shared" ref="V198:AA198" si="176">365/(SUM(V13)/V118)</f>
        <v>21.090111332587878</v>
      </c>
      <c r="W198" s="391">
        <f t="shared" si="176"/>
        <v>19.006480939736264</v>
      </c>
      <c r="X198" s="391">
        <f t="shared" si="176"/>
        <v>22.160742017146383</v>
      </c>
      <c r="Y198" s="391">
        <f t="shared" si="176"/>
        <v>29.806376133372332</v>
      </c>
      <c r="Z198" s="391">
        <f t="shared" si="176"/>
        <v>29.34648829431438</v>
      </c>
      <c r="AA198" s="391">
        <f t="shared" si="176"/>
        <v>23.000000000000004</v>
      </c>
      <c r="AB198" s="684">
        <f t="shared" ref="AB198:AD200" si="177">AA198</f>
        <v>23.000000000000004</v>
      </c>
      <c r="AC198" s="684">
        <f t="shared" si="177"/>
        <v>23.000000000000004</v>
      </c>
      <c r="AD198" s="684">
        <f t="shared" si="177"/>
        <v>23.000000000000004</v>
      </c>
    </row>
    <row r="199" spans="1:45" ht="11.25" customHeight="1">
      <c r="C199" s="253" t="s">
        <v>378</v>
      </c>
      <c r="H199" s="685" cm="1">
        <f t="array" ref="H199">365/(SUM(E15:H23/H119))</f>
        <v>14.211042295602379</v>
      </c>
      <c r="I199" s="685" cm="1">
        <f t="array" ref="I199">365/(SUM(F15:I23/I119))</f>
        <v>11.125680665957313</v>
      </c>
      <c r="J199" s="685" cm="1">
        <f t="array" ref="J199">365/(SUM(G15:J23/J119))</f>
        <v>11.018818833089778</v>
      </c>
      <c r="K199" s="685" cm="1">
        <f t="array" ref="K199">365/(SUM(H15:K23/K119))</f>
        <v>11.194753936603215</v>
      </c>
      <c r="L199" s="685" cm="1">
        <f t="array" ref="L199">365/(SUM(I15:L23/L119))</f>
        <v>12.565489347693175</v>
      </c>
      <c r="M199" s="685" cm="1">
        <f t="array" ref="M199">365/(SUM(J15:M23/M119))</f>
        <v>15.42332227609084</v>
      </c>
      <c r="N199" s="685" cm="1">
        <f t="array" ref="N199">365/(SUM(K15:N23/N119))</f>
        <v>16.606682058943367</v>
      </c>
      <c r="O199" s="685" cm="1">
        <f t="array" ref="O199">365/(SUM(L15:O23/O119))</f>
        <v>14.694088630758218</v>
      </c>
      <c r="P199" s="685" cm="1">
        <f t="array" ref="P199">365/(SUM(M15:P23/P119))</f>
        <v>14.273960893257826</v>
      </c>
      <c r="Q199" s="685" cm="1">
        <f t="array" ref="Q199">365/(SUM(N15:Q23/Q119))</f>
        <v>15.14678486542044</v>
      </c>
      <c r="R199" s="685" cm="1">
        <f t="array" ref="R199">365/(SUM(O15:R23/R119))</f>
        <v>18.000853242320822</v>
      </c>
      <c r="S199" s="684">
        <v>13</v>
      </c>
      <c r="T199" s="684">
        <v>12</v>
      </c>
      <c r="V199" s="685" cm="1">
        <f t="array" ref="V199">365/(SUM(V15:V23/V119))</f>
        <v>16.857862728062557</v>
      </c>
      <c r="W199" s="685" cm="1">
        <f t="array" ref="W199">365/(SUM(W15:W23/W119))</f>
        <v>11.97409745327902</v>
      </c>
      <c r="X199" s="685" cm="1">
        <f t="array" ref="X199">365/(SUM(X15:X23/X119))</f>
        <v>14.211042295602377</v>
      </c>
      <c r="Y199" s="685" cm="1">
        <f t="array" ref="Y199">365/(SUM(Y15:Y23/Y119))</f>
        <v>12.565489347693177</v>
      </c>
      <c r="Z199" s="685" cm="1">
        <f t="array" ref="Z199">365/(SUM(Z15:Z23/Z119))</f>
        <v>14.273960893257824</v>
      </c>
      <c r="AA199" s="685" cm="1">
        <f t="array" aca="1" ref="AA199" ca="1">365/(SUM(AA15:AA23/AA119))</f>
        <v>11.999999999999998</v>
      </c>
      <c r="AB199" s="684">
        <f ca="1">AA199-1</f>
        <v>10.999999999999998</v>
      </c>
      <c r="AC199" s="684">
        <f ca="1">AB199-1</f>
        <v>9.9999999999999982</v>
      </c>
      <c r="AD199" s="684">
        <v>6</v>
      </c>
    </row>
    <row r="200" spans="1:45" ht="11.25" customHeight="1">
      <c r="C200" s="253" t="s">
        <v>377</v>
      </c>
      <c r="H200" s="391" cm="1">
        <f t="array" ref="H200">365/(SUM(E15:H23/H137))</f>
        <v>37.100930565497492</v>
      </c>
      <c r="I200" s="391" cm="1">
        <f t="array" ref="I200">365/(SUM(F15:I23/I137))</f>
        <v>38.117450084496461</v>
      </c>
      <c r="J200" s="391" cm="1">
        <f t="array" ref="J200">365/(SUM(G15:J23/J137))</f>
        <v>30.337527176818625</v>
      </c>
      <c r="K200" s="391" cm="1">
        <f t="array" ref="K200">365/(SUM(H15:K23/K137))</f>
        <v>36.060313283723232</v>
      </c>
      <c r="L200" s="391" cm="1">
        <f t="array" ref="L200">365/(SUM(I15:L23/L137))</f>
        <v>48.751352114000859</v>
      </c>
      <c r="M200" s="391" cm="1">
        <f t="array" ref="M200">365/(SUM(J15:M23/M137))</f>
        <v>63.928553202347537</v>
      </c>
      <c r="N200" s="391" cm="1">
        <f t="array" ref="N200">365/(SUM(K15:N23/N137))</f>
        <v>64.939562678256152</v>
      </c>
      <c r="O200" s="391" cm="1">
        <f t="array" ref="O200">365/(SUM(L15:O23/O137))</f>
        <v>58.326239159837677</v>
      </c>
      <c r="P200" s="391" cm="1">
        <f t="array" ref="P200">365/(SUM(M15:P23/P137))</f>
        <v>55.119848986715134</v>
      </c>
      <c r="Q200" s="391" cm="1">
        <f t="array" ref="Q200">365/(SUM(N15:Q23/Q137))</f>
        <v>56.390120125907359</v>
      </c>
      <c r="R200" s="391" cm="1">
        <f t="array" ref="R200">365/(SUM(O15:R23/R137))</f>
        <v>55.570108077360644</v>
      </c>
      <c r="S200" s="684">
        <v>47</v>
      </c>
      <c r="T200" s="684">
        <v>44</v>
      </c>
      <c r="V200" s="391" cm="1">
        <f t="array" ref="V200">365/(SUM(V15:V23/V137))</f>
        <v>46.095916594265852</v>
      </c>
      <c r="W200" s="391" cm="1">
        <f t="array" ref="W200">365/(SUM(W15:W23/W137))</f>
        <v>33.777169688112188</v>
      </c>
      <c r="X200" s="391" cm="1">
        <f t="array" ref="X200">365/(SUM(X15:X23/X137))</f>
        <v>37.100930565497492</v>
      </c>
      <c r="Y200" s="391" cm="1">
        <f t="array" ref="Y200">365/(SUM(Y15:Y23/Y137))</f>
        <v>48.751352114000852</v>
      </c>
      <c r="Z200" s="391" cm="1">
        <f t="array" ref="Z200">365/(SUM(Z15:Z23/Z137))</f>
        <v>55.119848986715098</v>
      </c>
      <c r="AA200" s="391" cm="1">
        <f t="array" aca="1" ref="AA200" ca="1">365/(SUM(AA15:AA23/AA137))</f>
        <v>43.999999999999993</v>
      </c>
      <c r="AB200" s="684">
        <f t="shared" ca="1" si="177"/>
        <v>43.999999999999993</v>
      </c>
      <c r="AC200" s="684">
        <f t="shared" ca="1" si="177"/>
        <v>43.999999999999993</v>
      </c>
      <c r="AD200" s="684">
        <f t="shared" ca="1" si="177"/>
        <v>43.999999999999993</v>
      </c>
    </row>
    <row r="201" spans="1:45" s="279" customFormat="1" ht="11.25" customHeight="1">
      <c r="C201" s="289" t="s">
        <v>859</v>
      </c>
      <c r="H201" s="603">
        <f>H198+H199-H200</f>
        <v>-0.72914625274873401</v>
      </c>
      <c r="I201" s="603">
        <f>I198+I199-I200</f>
        <v>-8.5504814977821724</v>
      </c>
      <c r="J201" s="603">
        <f t="shared" ref="J201:T201" si="178">J198+J199-J200</f>
        <v>-4.583249287385442</v>
      </c>
      <c r="K201" s="603">
        <f t="shared" si="178"/>
        <v>-2.5295388267828969</v>
      </c>
      <c r="L201" s="603">
        <f t="shared" si="178"/>
        <v>-6.3794866329353539</v>
      </c>
      <c r="M201" s="603">
        <f t="shared" si="178"/>
        <v>4.4865496791333257</v>
      </c>
      <c r="N201" s="603">
        <f t="shared" si="178"/>
        <v>-3.3233235224857509</v>
      </c>
      <c r="O201" s="603">
        <f t="shared" si="178"/>
        <v>-10.980632273127327</v>
      </c>
      <c r="P201" s="603">
        <f t="shared" si="178"/>
        <v>-11.499399799142928</v>
      </c>
      <c r="Q201" s="603">
        <f t="shared" si="178"/>
        <v>-9.6393977141879787</v>
      </c>
      <c r="R201" s="603">
        <f t="shared" ref="R201" si="179">R198+R199-R200</f>
        <v>-10.558416477302238</v>
      </c>
      <c r="S201" s="603">
        <f t="shared" si="178"/>
        <v>-9</v>
      </c>
      <c r="T201" s="603">
        <f t="shared" si="178"/>
        <v>-9</v>
      </c>
      <c r="U201" s="253"/>
      <c r="V201" s="603">
        <f t="shared" ref="V201:AD201" si="180">V198+V199-V200</f>
        <v>-8.1479425336154137</v>
      </c>
      <c r="W201" s="603">
        <f t="shared" si="180"/>
        <v>-2.7965912950969027</v>
      </c>
      <c r="X201" s="603">
        <f t="shared" si="180"/>
        <v>-0.72914625274873401</v>
      </c>
      <c r="Y201" s="603">
        <f t="shared" si="180"/>
        <v>-6.3794866329353397</v>
      </c>
      <c r="Z201" s="603">
        <f t="shared" si="180"/>
        <v>-11.499399799142893</v>
      </c>
      <c r="AA201" s="603">
        <f t="shared" ca="1" si="180"/>
        <v>-8.9999999999999929</v>
      </c>
      <c r="AB201" s="603">
        <f t="shared" ca="1" si="180"/>
        <v>-9.9999999999999929</v>
      </c>
      <c r="AC201" s="603">
        <f t="shared" ca="1" si="180"/>
        <v>-10.999999999999993</v>
      </c>
      <c r="AD201" s="603">
        <f t="shared" ca="1" si="180"/>
        <v>-14.999999999999989</v>
      </c>
    </row>
    <row r="202" spans="1:45" ht="11.25" customHeight="1">
      <c r="O202" s="383"/>
    </row>
    <row r="203" spans="1:45" ht="11.25" customHeight="1">
      <c r="C203" s="253" t="s">
        <v>388</v>
      </c>
      <c r="O203" s="383"/>
    </row>
    <row r="204" spans="1:45" ht="11.25" customHeight="1">
      <c r="C204" s="253" t="s">
        <v>1123</v>
      </c>
      <c r="H204" s="257">
        <f t="shared" ref="H204:R204" si="181">H122/SUM(E$13:H$13)</f>
        <v>2.2337098729976388E-2</v>
      </c>
      <c r="I204" s="257">
        <f t="shared" si="181"/>
        <v>2.2492077913444278E-2</v>
      </c>
      <c r="J204" s="257">
        <f t="shared" si="181"/>
        <v>2.6806424146334301E-2</v>
      </c>
      <c r="K204" s="257">
        <f t="shared" si="181"/>
        <v>4.3483571515817762E-2</v>
      </c>
      <c r="L204" s="257">
        <f t="shared" si="181"/>
        <v>5.7853173442527057E-2</v>
      </c>
      <c r="M204" s="257">
        <f t="shared" si="181"/>
        <v>7.4369714692167868E-2</v>
      </c>
      <c r="N204" s="257">
        <f t="shared" si="181"/>
        <v>5.4721205832559662E-2</v>
      </c>
      <c r="O204" s="257">
        <f t="shared" si="181"/>
        <v>3.7413432774658854E-2</v>
      </c>
      <c r="P204" s="257">
        <f t="shared" si="181"/>
        <v>3.2006688963210704E-2</v>
      </c>
      <c r="Q204" s="257">
        <f t="shared" si="181"/>
        <v>3.6013448059718504E-2</v>
      </c>
      <c r="R204" s="257">
        <f t="shared" si="181"/>
        <v>3.7371997320317735E-2</v>
      </c>
      <c r="S204" s="648">
        <v>2.7E-2</v>
      </c>
      <c r="T204" s="648">
        <v>2.5000000000000001E-2</v>
      </c>
      <c r="V204" s="257">
        <f t="shared" ref="V204:AA204" si="182">V122/V$13</f>
        <v>5.4572414798969321E-2</v>
      </c>
      <c r="W204" s="257">
        <f t="shared" si="182"/>
        <v>3.0581934380485169E-2</v>
      </c>
      <c r="X204" s="257">
        <f t="shared" si="182"/>
        <v>2.2337098729976388E-2</v>
      </c>
      <c r="Y204" s="257">
        <f t="shared" si="182"/>
        <v>5.7853173442527057E-2</v>
      </c>
      <c r="Z204" s="257">
        <f t="shared" si="182"/>
        <v>3.2006688963210704E-2</v>
      </c>
      <c r="AA204" s="257">
        <f t="shared" si="182"/>
        <v>2.5000000000000005E-2</v>
      </c>
      <c r="AB204" s="648">
        <f t="shared" ref="AB204:AD207" si="183">AA204</f>
        <v>2.5000000000000005E-2</v>
      </c>
      <c r="AC204" s="648">
        <f t="shared" si="183"/>
        <v>2.5000000000000005E-2</v>
      </c>
      <c r="AD204" s="648">
        <f t="shared" si="183"/>
        <v>2.5000000000000005E-2</v>
      </c>
    </row>
    <row r="205" spans="1:45" ht="11.25" customHeight="1">
      <c r="C205" s="253" t="s">
        <v>1599</v>
      </c>
      <c r="H205" s="257">
        <f t="shared" ref="H205:R205" si="184">H128/SUM(E$13:H$13)</f>
        <v>2.5485565979534962E-2</v>
      </c>
      <c r="I205" s="257">
        <f t="shared" si="184"/>
        <v>3.1466749396148644E-2</v>
      </c>
      <c r="J205" s="257">
        <f t="shared" si="184"/>
        <v>4.348336709827065E-2</v>
      </c>
      <c r="K205" s="257">
        <f t="shared" si="184"/>
        <v>5.0852978298929194E-2</v>
      </c>
      <c r="L205" s="257">
        <f t="shared" si="184"/>
        <v>7.9379935653699912E-2</v>
      </c>
      <c r="M205" s="257">
        <f t="shared" si="184"/>
        <v>0.12416027819489449</v>
      </c>
      <c r="N205" s="257">
        <f t="shared" si="184"/>
        <v>8.1535688930151271E-2</v>
      </c>
      <c r="O205" s="257">
        <f t="shared" si="184"/>
        <v>6.0115559562348889E-2</v>
      </c>
      <c r="P205" s="257">
        <f t="shared" si="184"/>
        <v>4.3478260869565216E-2</v>
      </c>
      <c r="Q205" s="257">
        <f t="shared" si="184"/>
        <v>2.963131802381902E-2</v>
      </c>
      <c r="R205" s="257">
        <f t="shared" si="184"/>
        <v>2.0743611828883148E-2</v>
      </c>
      <c r="S205" s="648">
        <v>2.1999999999999999E-2</v>
      </c>
      <c r="T205" s="648">
        <v>0.02</v>
      </c>
      <c r="V205" s="257">
        <f t="shared" ref="V205:AA205" si="185">V128/V$13</f>
        <v>8.0436579318391752E-2</v>
      </c>
      <c r="W205" s="257">
        <f t="shared" si="185"/>
        <v>8.6637562446554753E-2</v>
      </c>
      <c r="X205" s="257">
        <f t="shared" si="185"/>
        <v>2.5485565979534962E-2</v>
      </c>
      <c r="Y205" s="257">
        <f t="shared" si="185"/>
        <v>7.9379935653699912E-2</v>
      </c>
      <c r="Z205" s="257">
        <f t="shared" si="185"/>
        <v>4.3478260869565216E-2</v>
      </c>
      <c r="AA205" s="257">
        <f t="shared" si="185"/>
        <v>2.0000000000000004E-2</v>
      </c>
      <c r="AB205" s="648">
        <f>AA205</f>
        <v>2.0000000000000004E-2</v>
      </c>
      <c r="AC205" s="648">
        <f t="shared" si="183"/>
        <v>2.0000000000000004E-2</v>
      </c>
      <c r="AD205" s="648">
        <f t="shared" si="183"/>
        <v>2.0000000000000004E-2</v>
      </c>
    </row>
    <row r="206" spans="1:45" ht="11.25" customHeight="1">
      <c r="C206" s="253" t="s">
        <v>949</v>
      </c>
      <c r="H206" s="257">
        <f t="shared" ref="H206:R206" si="186">H138/SUM(E$13:H$13)</f>
        <v>2.293275469610909E-2</v>
      </c>
      <c r="I206" s="257">
        <f t="shared" si="186"/>
        <v>2.9007024619407452E-2</v>
      </c>
      <c r="J206" s="257">
        <f t="shared" si="186"/>
        <v>9.7683431692063769E-2</v>
      </c>
      <c r="K206" s="257">
        <f t="shared" si="186"/>
        <v>0.11791050852978299</v>
      </c>
      <c r="L206" s="257">
        <f t="shared" si="186"/>
        <v>9.7689382860485521E-2</v>
      </c>
      <c r="M206" s="257">
        <f t="shared" si="186"/>
        <v>0.22081719750256856</v>
      </c>
      <c r="N206" s="257">
        <f t="shared" si="186"/>
        <v>0.20550488777237727</v>
      </c>
      <c r="O206" s="257">
        <f t="shared" si="186"/>
        <v>7.4253165594394127E-2</v>
      </c>
      <c r="P206" s="257">
        <f t="shared" si="186"/>
        <v>5.8394648829431441E-2</v>
      </c>
      <c r="Q206" s="257">
        <f t="shared" si="186"/>
        <v>6.1399509943586526E-2</v>
      </c>
      <c r="R206" s="257">
        <f t="shared" si="186"/>
        <v>4.7516508756818836E-2</v>
      </c>
      <c r="S206" s="648">
        <v>4.8000000000000001E-2</v>
      </c>
      <c r="T206" s="648">
        <v>4.4999999999999998E-2</v>
      </c>
      <c r="V206" s="257">
        <f t="shared" ref="V206:AA206" si="187">V138/V$13</f>
        <v>4.5408138460790511E-2</v>
      </c>
      <c r="W206" s="257">
        <f t="shared" si="187"/>
        <v>2.5136144740987444E-2</v>
      </c>
      <c r="X206" s="257">
        <f t="shared" si="187"/>
        <v>2.293275469610909E-2</v>
      </c>
      <c r="Y206" s="257">
        <f t="shared" si="187"/>
        <v>9.7689382860485521E-2</v>
      </c>
      <c r="Z206" s="257">
        <f t="shared" si="187"/>
        <v>5.8394648829431441E-2</v>
      </c>
      <c r="AA206" s="257">
        <f t="shared" si="187"/>
        <v>4.5000000000000005E-2</v>
      </c>
      <c r="AB206" s="648">
        <f t="shared" si="183"/>
        <v>4.5000000000000005E-2</v>
      </c>
      <c r="AC206" s="648">
        <f t="shared" si="183"/>
        <v>4.5000000000000005E-2</v>
      </c>
      <c r="AD206" s="648">
        <f t="shared" si="183"/>
        <v>4.5000000000000005E-2</v>
      </c>
    </row>
    <row r="207" spans="1:45" ht="11.25" customHeight="1">
      <c r="C207" s="253" t="s">
        <v>1124</v>
      </c>
      <c r="H207" s="257">
        <f t="shared" ref="H207:R207" si="188">H160/SUM(E$13:H$13)</f>
        <v>2.9484970323568831E-2</v>
      </c>
      <c r="I207" s="257">
        <f t="shared" si="188"/>
        <v>3.6918031333791297E-2</v>
      </c>
      <c r="J207" s="257">
        <f t="shared" si="188"/>
        <v>0.11538800317096802</v>
      </c>
      <c r="K207" s="257">
        <f t="shared" si="188"/>
        <v>0.20345262815031961</v>
      </c>
      <c r="L207" s="257">
        <f t="shared" si="188"/>
        <v>0.2844106463878327</v>
      </c>
      <c r="M207" s="257">
        <f t="shared" si="188"/>
        <v>0.37872441318264444</v>
      </c>
      <c r="N207" s="257">
        <f t="shared" si="188"/>
        <v>0.25749549451149584</v>
      </c>
      <c r="O207" s="257">
        <f t="shared" si="188"/>
        <v>0.18903413514731796</v>
      </c>
      <c r="P207" s="257">
        <f t="shared" si="188"/>
        <v>0.14709030100334447</v>
      </c>
      <c r="Q207" s="257">
        <f t="shared" si="188"/>
        <v>0.12220069519630748</v>
      </c>
      <c r="R207" s="257">
        <f t="shared" si="188"/>
        <v>9.7951957125083741E-2</v>
      </c>
      <c r="S207" s="393">
        <v>9.5000000000000001E-2</v>
      </c>
      <c r="T207" s="393">
        <v>8.7999999999999995E-2</v>
      </c>
      <c r="V207" s="257">
        <f t="shared" ref="V207:AA207" si="189">V160/SUM(V$13)</f>
        <v>5.3989012591764307E-2</v>
      </c>
      <c r="W207" s="257">
        <f t="shared" si="189"/>
        <v>2.180566182096404E-2</v>
      </c>
      <c r="X207" s="257">
        <f t="shared" si="189"/>
        <v>2.9484970323568831E-2</v>
      </c>
      <c r="Y207" s="257">
        <f t="shared" si="189"/>
        <v>0.2844106463878327</v>
      </c>
      <c r="Z207" s="257">
        <f t="shared" si="189"/>
        <v>0.14709030100334447</v>
      </c>
      <c r="AA207" s="257">
        <f t="shared" si="189"/>
        <v>8.7999999999999995E-2</v>
      </c>
      <c r="AB207" s="393">
        <v>0.08</v>
      </c>
      <c r="AC207" s="393">
        <v>7.4999999999999997E-2</v>
      </c>
      <c r="AD207" s="393">
        <f t="shared" si="183"/>
        <v>7.4999999999999997E-2</v>
      </c>
    </row>
    <row r="209" spans="2:45" ht="11.25" customHeight="1">
      <c r="C209" s="253" t="s">
        <v>1125</v>
      </c>
      <c r="F209" s="255">
        <f t="shared" ref="F209:R209" si="190">F152-E152</f>
        <v>16</v>
      </c>
      <c r="G209" s="255">
        <f t="shared" si="190"/>
        <v>-854</v>
      </c>
      <c r="H209" s="255">
        <f t="shared" si="190"/>
        <v>-646</v>
      </c>
      <c r="I209" s="255">
        <f t="shared" si="190"/>
        <v>482</v>
      </c>
      <c r="J209" s="255">
        <f t="shared" si="190"/>
        <v>-597</v>
      </c>
      <c r="K209" s="255">
        <f t="shared" si="190"/>
        <v>-383</v>
      </c>
      <c r="L209" s="255">
        <f t="shared" si="190"/>
        <v>-74</v>
      </c>
      <c r="M209" s="255">
        <f t="shared" si="190"/>
        <v>811</v>
      </c>
      <c r="N209" s="255">
        <f t="shared" si="190"/>
        <v>1583</v>
      </c>
      <c r="O209" s="255">
        <f t="shared" si="190"/>
        <v>-562</v>
      </c>
      <c r="P209" s="255">
        <f t="shared" si="190"/>
        <v>-18</v>
      </c>
      <c r="Q209" s="255">
        <f t="shared" si="190"/>
        <v>2751</v>
      </c>
      <c r="R209" s="255">
        <f t="shared" si="190"/>
        <v>805</v>
      </c>
      <c r="S209" s="333">
        <v>-350</v>
      </c>
      <c r="T209" s="333">
        <v>-250</v>
      </c>
      <c r="V209" s="257"/>
      <c r="W209" s="255">
        <f>W152-V152</f>
        <v>297</v>
      </c>
      <c r="X209" s="255">
        <f>X152-W152</f>
        <v>455</v>
      </c>
      <c r="Y209" s="255">
        <f>Y152-X152</f>
        <v>-572</v>
      </c>
      <c r="Z209" s="255">
        <f>Z152-Y152</f>
        <v>1814</v>
      </c>
      <c r="AA209" s="255">
        <f>AA152-Z152</f>
        <v>2956</v>
      </c>
      <c r="AB209" s="333">
        <v>-1500</v>
      </c>
      <c r="AC209" s="333">
        <v>350</v>
      </c>
      <c r="AD209" s="333">
        <v>350</v>
      </c>
    </row>
    <row r="210" spans="2:45" ht="11.25" customHeight="1">
      <c r="C210" s="253" t="s">
        <v>1798</v>
      </c>
      <c r="F210" s="255">
        <f>F155-E155</f>
        <v>30</v>
      </c>
      <c r="G210" s="255">
        <f t="shared" ref="G210:R210" si="191">G155-F155</f>
        <v>42</v>
      </c>
      <c r="H210" s="255">
        <f t="shared" si="191"/>
        <v>32</v>
      </c>
      <c r="I210" s="255">
        <f t="shared" si="191"/>
        <v>89</v>
      </c>
      <c r="J210" s="255">
        <f t="shared" si="191"/>
        <v>164</v>
      </c>
      <c r="K210" s="255">
        <f t="shared" si="191"/>
        <v>108</v>
      </c>
      <c r="L210" s="255">
        <f t="shared" si="191"/>
        <v>93</v>
      </c>
      <c r="M210" s="255">
        <f t="shared" si="191"/>
        <v>103</v>
      </c>
      <c r="N210" s="255">
        <f t="shared" si="191"/>
        <v>116</v>
      </c>
      <c r="O210" s="255">
        <f t="shared" si="191"/>
        <v>55</v>
      </c>
      <c r="P210" s="255">
        <f t="shared" si="191"/>
        <v>103</v>
      </c>
      <c r="Q210" s="255">
        <f t="shared" si="191"/>
        <v>85</v>
      </c>
      <c r="R210" s="255">
        <f t="shared" si="191"/>
        <v>113</v>
      </c>
      <c r="S210" s="333">
        <v>50</v>
      </c>
      <c r="T210" s="333">
        <v>50</v>
      </c>
      <c r="U210" s="255"/>
      <c r="V210" s="255"/>
      <c r="W210" s="255">
        <f>W155-V155</f>
        <v>320</v>
      </c>
      <c r="X210" s="255">
        <f>X155-W155</f>
        <v>87</v>
      </c>
      <c r="Y210" s="255">
        <f>Y155-X155</f>
        <v>454</v>
      </c>
      <c r="Z210" s="255">
        <f>Z155-Y155</f>
        <v>377</v>
      </c>
      <c r="AA210" s="255">
        <f>AA155-Z155</f>
        <v>298</v>
      </c>
      <c r="AB210" s="333">
        <v>100</v>
      </c>
      <c r="AC210" s="333">
        <v>100</v>
      </c>
      <c r="AD210" s="333">
        <v>100</v>
      </c>
    </row>
    <row r="211" spans="2:45" ht="11.25" customHeight="1">
      <c r="O211" s="383"/>
      <c r="U211" s="255"/>
      <c r="V211" s="255"/>
    </row>
    <row r="212" spans="2:45" s="255" customFormat="1" ht="11.25" customHeight="1">
      <c r="B212" s="258" t="s">
        <v>133</v>
      </c>
      <c r="C212" s="259" t="s">
        <v>1126</v>
      </c>
      <c r="D212" s="259"/>
      <c r="E212" s="258"/>
      <c r="F212" s="258"/>
      <c r="G212" s="258"/>
      <c r="H212" s="258"/>
      <c r="I212" s="258"/>
      <c r="J212" s="258"/>
      <c r="K212" s="258"/>
      <c r="L212" s="258"/>
      <c r="M212" s="258"/>
      <c r="N212" s="258"/>
      <c r="O212" s="258"/>
      <c r="P212" s="258"/>
      <c r="Q212" s="258"/>
      <c r="R212" s="258"/>
      <c r="S212" s="258"/>
      <c r="T212" s="258"/>
      <c r="U212" s="280"/>
      <c r="V212" s="258"/>
      <c r="W212" s="258"/>
      <c r="X212" s="258"/>
      <c r="Y212" s="258"/>
      <c r="Z212" s="258"/>
      <c r="AA212" s="258"/>
      <c r="AB212" s="258"/>
      <c r="AC212" s="258"/>
      <c r="AD212" s="258"/>
      <c r="AF212" s="258"/>
      <c r="AG212" s="258"/>
      <c r="AH212" s="258"/>
      <c r="AI212" s="258"/>
      <c r="AJ212" s="258"/>
      <c r="AK212" s="258"/>
      <c r="AL212" s="258"/>
      <c r="AM212" s="258"/>
      <c r="AN212" s="258"/>
      <c r="AO212" s="258"/>
      <c r="AP212" s="258"/>
      <c r="AQ212" s="258"/>
      <c r="AR212" s="258"/>
      <c r="AS212" s="258"/>
    </row>
    <row r="213" spans="2:45" ht="11.25" customHeight="1">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row>
    <row r="214" spans="2:45" ht="11.25" customHeight="1">
      <c r="C214" s="253" t="s">
        <v>1127</v>
      </c>
      <c r="E214" s="687"/>
      <c r="F214" s="687"/>
      <c r="G214" s="687"/>
      <c r="H214" s="687"/>
      <c r="I214" s="687"/>
      <c r="J214" s="687"/>
      <c r="K214" s="687"/>
      <c r="L214" s="687"/>
      <c r="M214" s="687"/>
      <c r="N214" s="687"/>
      <c r="O214" s="687"/>
      <c r="P214" s="687"/>
      <c r="Q214" s="687"/>
      <c r="R214" s="254">
        <f>+R43</f>
        <v>735</v>
      </c>
      <c r="S214" s="254">
        <f ca="1">+S43</f>
        <v>657.78435475603465</v>
      </c>
      <c r="T214" s="254">
        <f ca="1">+T43</f>
        <v>-321.15930106759834</v>
      </c>
      <c r="V214" s="254">
        <f>+V43</f>
        <v>3205</v>
      </c>
      <c r="W214" s="254">
        <f>+W43</f>
        <v>3935</v>
      </c>
      <c r="X214" s="254">
        <f>X43</f>
        <v>4767</v>
      </c>
      <c r="Y214" s="254">
        <f>Y43</f>
        <v>-12385</v>
      </c>
      <c r="Z214" s="254">
        <f>Z43</f>
        <v>279</v>
      </c>
      <c r="AA214" s="641"/>
      <c r="AB214" s="254">
        <f ca="1">+AB43</f>
        <v>147.26113828753932</v>
      </c>
      <c r="AC214" s="254">
        <f ca="1">+AC43</f>
        <v>1754.4193529993127</v>
      </c>
      <c r="AD214" s="254">
        <f ca="1">+AD43</f>
        <v>2207.680069689638</v>
      </c>
    </row>
    <row r="215" spans="2:45" ht="11.25" customHeight="1">
      <c r="C215" s="253" t="s">
        <v>1057</v>
      </c>
      <c r="E215" s="688"/>
      <c r="F215" s="688"/>
      <c r="G215" s="688"/>
      <c r="H215" s="688"/>
      <c r="I215" s="688"/>
      <c r="J215" s="688"/>
      <c r="K215" s="688"/>
      <c r="L215" s="688"/>
      <c r="M215" s="688"/>
      <c r="N215" s="688"/>
      <c r="O215" s="688"/>
      <c r="P215" s="688"/>
      <c r="Q215" s="688"/>
      <c r="R215" s="277">
        <v>0</v>
      </c>
      <c r="S215" s="277">
        <v>0</v>
      </c>
      <c r="T215" s="277">
        <v>0</v>
      </c>
      <c r="V215" s="277">
        <v>0</v>
      </c>
      <c r="W215" s="277">
        <v>0</v>
      </c>
      <c r="X215" s="277">
        <f>SUMIF($E$5:$T$5,X$5,$E215:$T215)</f>
        <v>0</v>
      </c>
      <c r="Y215" s="277">
        <v>4111</v>
      </c>
      <c r="Z215" s="277">
        <v>5</v>
      </c>
      <c r="AA215" s="641"/>
      <c r="AB215" s="277">
        <v>0</v>
      </c>
      <c r="AC215" s="277">
        <v>0</v>
      </c>
      <c r="AD215" s="277">
        <v>0</v>
      </c>
    </row>
    <row r="216" spans="2:45" ht="11.25" customHeight="1">
      <c r="C216" s="253" t="s">
        <v>291</v>
      </c>
      <c r="E216" s="688"/>
      <c r="F216" s="688"/>
      <c r="G216" s="688"/>
      <c r="H216" s="688"/>
      <c r="I216" s="688"/>
      <c r="J216" s="688"/>
      <c r="K216" s="688"/>
      <c r="L216" s="688"/>
      <c r="M216" s="688"/>
      <c r="N216" s="688"/>
      <c r="O216" s="688"/>
      <c r="P216" s="688"/>
      <c r="Q216" s="688"/>
      <c r="R216" s="254">
        <f>R178+R194</f>
        <v>510</v>
      </c>
      <c r="S216" s="254">
        <f>S178+S194</f>
        <v>465.52515091305736</v>
      </c>
      <c r="T216" s="254">
        <f>T178+T194</f>
        <v>481.36623221371792</v>
      </c>
      <c r="V216" s="277">
        <v>2222</v>
      </c>
      <c r="W216" s="277">
        <v>2329</v>
      </c>
      <c r="X216" s="277">
        <v>2581</v>
      </c>
      <c r="Y216" s="277">
        <v>2312</v>
      </c>
      <c r="Z216" s="277">
        <v>1998</v>
      </c>
      <c r="AA216" s="641"/>
      <c r="AB216" s="254">
        <f>AB178+AB194</f>
        <v>2437.0735580038645</v>
      </c>
      <c r="AC216" s="254">
        <f>AC178+AC194</f>
        <v>2112.6016702019556</v>
      </c>
      <c r="AD216" s="254">
        <f>AD178+AD194</f>
        <v>2304.2935870033311</v>
      </c>
    </row>
    <row r="217" spans="2:45" ht="11.25" customHeight="1">
      <c r="C217" s="253" t="s">
        <v>1128</v>
      </c>
      <c r="E217" s="688"/>
      <c r="F217" s="688"/>
      <c r="G217" s="688"/>
      <c r="H217" s="688"/>
      <c r="I217" s="688"/>
      <c r="J217" s="688"/>
      <c r="K217" s="688"/>
      <c r="L217" s="688"/>
      <c r="M217" s="688"/>
      <c r="N217" s="688"/>
      <c r="O217" s="688"/>
      <c r="P217" s="688"/>
      <c r="Q217" s="688"/>
      <c r="R217" s="277">
        <v>0</v>
      </c>
      <c r="S217" s="277">
        <v>0</v>
      </c>
      <c r="T217" s="277">
        <v>0</v>
      </c>
      <c r="V217" s="277">
        <v>2242</v>
      </c>
      <c r="W217" s="277">
        <v>1364</v>
      </c>
      <c r="X217" s="277">
        <v>1473</v>
      </c>
      <c r="Y217" s="277">
        <v>-3110</v>
      </c>
      <c r="Z217" s="277">
        <v>115</v>
      </c>
      <c r="AA217" s="641"/>
      <c r="AB217" s="277">
        <v>0</v>
      </c>
      <c r="AC217" s="277">
        <v>0</v>
      </c>
      <c r="AD217" s="277">
        <v>0</v>
      </c>
    </row>
    <row r="218" spans="2:45" ht="11.25" customHeight="1">
      <c r="C218" s="253" t="s">
        <v>1129</v>
      </c>
      <c r="E218" s="688"/>
      <c r="F218" s="688"/>
      <c r="G218" s="688"/>
      <c r="H218" s="688"/>
      <c r="I218" s="688"/>
      <c r="J218" s="688"/>
      <c r="K218" s="688"/>
      <c r="L218" s="688"/>
      <c r="M218" s="688"/>
      <c r="N218" s="688"/>
      <c r="O218" s="688"/>
      <c r="P218" s="688"/>
      <c r="Q218" s="688"/>
      <c r="R218" s="277">
        <v>0</v>
      </c>
      <c r="S218" s="277">
        <v>0</v>
      </c>
      <c r="T218" s="277">
        <v>0</v>
      </c>
      <c r="U218" s="284"/>
      <c r="V218" s="277">
        <v>-3302</v>
      </c>
      <c r="W218" s="277">
        <v>-790</v>
      </c>
      <c r="X218" s="277">
        <v>-922</v>
      </c>
      <c r="Y218" s="277">
        <v>898</v>
      </c>
      <c r="Z218" s="277">
        <v>-2038</v>
      </c>
      <c r="AA218" s="641"/>
      <c r="AB218" s="277">
        <v>0</v>
      </c>
      <c r="AC218" s="277">
        <v>0</v>
      </c>
      <c r="AD218" s="277">
        <v>0</v>
      </c>
    </row>
    <row r="219" spans="2:45" ht="11.25" customHeight="1">
      <c r="C219" s="253" t="s">
        <v>1130</v>
      </c>
      <c r="E219" s="688"/>
      <c r="F219" s="688"/>
      <c r="G219" s="688"/>
      <c r="H219" s="688"/>
      <c r="I219" s="688"/>
      <c r="J219" s="688"/>
      <c r="K219" s="688"/>
      <c r="L219" s="688"/>
      <c r="M219" s="688"/>
      <c r="N219" s="688"/>
      <c r="O219" s="688"/>
      <c r="P219" s="688"/>
      <c r="Q219" s="688"/>
      <c r="R219" s="277">
        <v>0</v>
      </c>
      <c r="S219" s="277">
        <v>0</v>
      </c>
      <c r="T219" s="277">
        <v>0</v>
      </c>
      <c r="V219" s="277">
        <v>0</v>
      </c>
      <c r="W219" s="277">
        <v>0</v>
      </c>
      <c r="X219" s="277">
        <v>62</v>
      </c>
      <c r="Y219" s="277">
        <v>2432</v>
      </c>
      <c r="Z219" s="277">
        <v>337</v>
      </c>
      <c r="AA219" s="641"/>
      <c r="AB219" s="277">
        <v>0</v>
      </c>
      <c r="AC219" s="277">
        <v>0</v>
      </c>
      <c r="AD219" s="277">
        <v>0</v>
      </c>
    </row>
    <row r="220" spans="2:45" ht="11.25" customHeight="1">
      <c r="C220" s="253" t="s">
        <v>963</v>
      </c>
      <c r="E220" s="688"/>
      <c r="F220" s="688"/>
      <c r="G220" s="688"/>
      <c r="H220" s="688"/>
      <c r="I220" s="688"/>
      <c r="J220" s="688"/>
      <c r="K220" s="688"/>
      <c r="L220" s="688"/>
      <c r="M220" s="688"/>
      <c r="N220" s="688"/>
      <c r="O220" s="688"/>
      <c r="P220" s="688"/>
      <c r="Q220" s="688"/>
      <c r="R220" s="287">
        <f>'DAL Debt'!R32-'DAL Debt'!Q32</f>
        <v>17</v>
      </c>
      <c r="S220" s="287">
        <f>'DAL Debt'!S32-'DAL Debt'!R32</f>
        <v>13.5</v>
      </c>
      <c r="T220" s="287">
        <f>'DAL Debt'!T32-'DAL Debt'!S32</f>
        <v>13.5</v>
      </c>
      <c r="V220" s="277">
        <v>-49</v>
      </c>
      <c r="W220" s="277">
        <v>-247</v>
      </c>
      <c r="X220" s="277">
        <v>243</v>
      </c>
      <c r="Y220" s="277">
        <v>559</v>
      </c>
      <c r="Z220" s="277">
        <v>57</v>
      </c>
      <c r="AA220" s="641"/>
      <c r="AB220" s="287">
        <f>'DAL Debt'!AB32-'DAL Debt'!AA32</f>
        <v>60</v>
      </c>
      <c r="AC220" s="287">
        <f>'DAL Debt'!AC32-'DAL Debt'!AB32</f>
        <v>61</v>
      </c>
      <c r="AD220" s="287">
        <f>'DAL Debt'!AD32-'DAL Debt'!AC32</f>
        <v>39</v>
      </c>
    </row>
    <row r="221" spans="2:45" ht="11.25" customHeight="1">
      <c r="C221" s="253" t="s">
        <v>1598</v>
      </c>
      <c r="E221" s="688"/>
      <c r="F221" s="688"/>
      <c r="G221" s="688"/>
      <c r="H221" s="688"/>
      <c r="I221" s="688"/>
      <c r="J221" s="688"/>
      <c r="K221" s="688"/>
      <c r="L221" s="688"/>
      <c r="M221" s="688"/>
      <c r="N221" s="688"/>
      <c r="O221" s="688"/>
      <c r="P221" s="688"/>
      <c r="Q221" s="284">
        <f>SUM(Q222:Q230)</f>
        <v>2830</v>
      </c>
      <c r="R221" s="284">
        <f>SUM(R222:R230)</f>
        <v>476</v>
      </c>
      <c r="S221" s="254">
        <f ca="1">SUM(S222:S230)</f>
        <v>334.08014491986137</v>
      </c>
      <c r="T221" s="254">
        <f ca="1">SUM(T222:T230)</f>
        <v>-99.074133912546586</v>
      </c>
      <c r="V221" s="254">
        <f t="shared" ref="V221:AD221" si="192">SUM(V222:V230)</f>
        <v>705</v>
      </c>
      <c r="W221" s="254">
        <f t="shared" si="192"/>
        <v>423</v>
      </c>
      <c r="X221" s="254">
        <f t="shared" si="192"/>
        <v>220</v>
      </c>
      <c r="Y221" s="254">
        <f t="shared" si="192"/>
        <v>1390</v>
      </c>
      <c r="Z221" s="254">
        <f t="shared" si="192"/>
        <v>2510</v>
      </c>
      <c r="AA221" s="284">
        <f t="shared" ca="1" si="192"/>
        <v>3541.0060110073146</v>
      </c>
      <c r="AB221" s="254">
        <f t="shared" ca="1" si="192"/>
        <v>-3246.2420592158819</v>
      </c>
      <c r="AC221" s="254">
        <f t="shared" ca="1" si="192"/>
        <v>-231.31906186188758</v>
      </c>
      <c r="AD221" s="254">
        <f t="shared" ca="1" si="192"/>
        <v>425.73441385487899</v>
      </c>
    </row>
    <row r="222" spans="2:45" ht="11.25" customHeight="1">
      <c r="C222" s="390" t="s">
        <v>1601</v>
      </c>
      <c r="D222" s="390"/>
      <c r="E222" s="928"/>
      <c r="F222" s="928"/>
      <c r="G222" s="928"/>
      <c r="H222" s="928"/>
      <c r="I222" s="928"/>
      <c r="J222" s="928"/>
      <c r="K222" s="928"/>
      <c r="L222" s="928"/>
      <c r="M222" s="928"/>
      <c r="N222" s="928"/>
      <c r="O222" s="928"/>
      <c r="P222" s="928"/>
      <c r="Q222" s="928">
        <f t="shared" ref="Q222:T223" si="193">P118-Q118</f>
        <v>-635</v>
      </c>
      <c r="R222" s="928">
        <f t="shared" si="193"/>
        <v>-54</v>
      </c>
      <c r="S222" s="641">
        <f t="shared" si="193"/>
        <v>-124.70061009982328</v>
      </c>
      <c r="T222" s="641">
        <f t="shared" si="193"/>
        <v>23.71132743852786</v>
      </c>
      <c r="V222" s="385">
        <v>-428</v>
      </c>
      <c r="W222" s="385">
        <v>108</v>
      </c>
      <c r="X222" s="385">
        <v>-775</v>
      </c>
      <c r="Y222" s="385">
        <v>1168</v>
      </c>
      <c r="Z222" s="385">
        <v>-981</v>
      </c>
      <c r="AA222" s="928">
        <f t="shared" ref="AA222:AA231" si="194">SUMIF($E$5:$T$5,AA$5,$E222:$T222)</f>
        <v>-789.98928266129542</v>
      </c>
      <c r="AB222" s="641">
        <f t="shared" ref="AB222:AD223" si="195">AA118-AB118</f>
        <v>-359.42491034667592</v>
      </c>
      <c r="AC222" s="641">
        <f t="shared" si="195"/>
        <v>-264.44231841868577</v>
      </c>
      <c r="AD222" s="641">
        <f t="shared" si="195"/>
        <v>-89.462129723410271</v>
      </c>
    </row>
    <row r="223" spans="2:45" ht="11.25" customHeight="1">
      <c r="C223" s="390" t="s">
        <v>1602</v>
      </c>
      <c r="D223" s="390"/>
      <c r="E223" s="385"/>
      <c r="F223" s="385"/>
      <c r="G223" s="385"/>
      <c r="H223" s="385"/>
      <c r="I223" s="385"/>
      <c r="J223" s="385"/>
      <c r="K223" s="385"/>
      <c r="L223" s="385"/>
      <c r="M223" s="385"/>
      <c r="N223" s="385"/>
      <c r="O223" s="385"/>
      <c r="P223" s="385"/>
      <c r="Q223" s="928">
        <f t="shared" si="193"/>
        <v>-194</v>
      </c>
      <c r="R223" s="928">
        <f t="shared" si="193"/>
        <v>-442</v>
      </c>
      <c r="S223" s="641">
        <f t="shared" ca="1" si="193"/>
        <v>352.63206793109043</v>
      </c>
      <c r="T223" s="641">
        <f t="shared" ca="1" si="193"/>
        <v>14.29799736297673</v>
      </c>
      <c r="V223" s="385">
        <v>-397</v>
      </c>
      <c r="W223" s="385">
        <v>324</v>
      </c>
      <c r="X223" s="385">
        <v>-139</v>
      </c>
      <c r="Y223" s="385">
        <v>354</v>
      </c>
      <c r="Z223" s="385">
        <v>-318</v>
      </c>
      <c r="AA223" s="928">
        <f t="shared" ca="1" si="194"/>
        <v>-269.06993470593284</v>
      </c>
      <c r="AB223" s="641">
        <f t="shared" ca="1" si="195"/>
        <v>13.226099083019562</v>
      </c>
      <c r="AC223" s="641">
        <f t="shared" ca="1" si="195"/>
        <v>60.37637266545039</v>
      </c>
      <c r="AD223" s="641">
        <f t="shared" ca="1" si="195"/>
        <v>508.68941143931283</v>
      </c>
    </row>
    <row r="224" spans="2:45" ht="11.25" customHeight="1">
      <c r="C224" s="390" t="s">
        <v>1603</v>
      </c>
      <c r="D224" s="390"/>
      <c r="E224" s="385"/>
      <c r="F224" s="385"/>
      <c r="G224" s="385"/>
      <c r="H224" s="385"/>
      <c r="I224" s="385"/>
      <c r="J224" s="385"/>
      <c r="K224" s="385"/>
      <c r="L224" s="385"/>
      <c r="M224" s="385"/>
      <c r="N224" s="385"/>
      <c r="O224" s="385"/>
      <c r="P224" s="385"/>
      <c r="Q224" s="928">
        <f>P122-Q122</f>
        <v>-307</v>
      </c>
      <c r="R224" s="928">
        <f>Q122-R122</f>
        <v>-298</v>
      </c>
      <c r="S224" s="641">
        <f>R122-S122</f>
        <v>293.58241949864964</v>
      </c>
      <c r="T224" s="641">
        <f>S122-T122</f>
        <v>1.2370498802927159</v>
      </c>
      <c r="V224" s="385">
        <v>-57</v>
      </c>
      <c r="W224" s="385">
        <v>-440</v>
      </c>
      <c r="X224" s="385">
        <f>SUMIF($E$5:$T$5,X$5,$E224:$T224)</f>
        <v>0</v>
      </c>
      <c r="Y224" s="385">
        <v>0</v>
      </c>
      <c r="Z224" s="385">
        <v>0</v>
      </c>
      <c r="AA224" s="928">
        <f t="shared" si="194"/>
        <v>-310.18053062105764</v>
      </c>
      <c r="AB224" s="641">
        <f>AA122-AB122</f>
        <v>-142.5979263875397</v>
      </c>
      <c r="AC224" s="641">
        <f>AB122-AC122</f>
        <v>-104.91461545958737</v>
      </c>
      <c r="AD224" s="641">
        <f>AC122-AD122</f>
        <v>-35.493127553309478</v>
      </c>
    </row>
    <row r="225" spans="3:30" ht="11.25" customHeight="1">
      <c r="C225" s="390" t="s">
        <v>1600</v>
      </c>
      <c r="D225" s="390"/>
      <c r="E225" s="385"/>
      <c r="F225" s="385"/>
      <c r="G225" s="385"/>
      <c r="H225" s="385"/>
      <c r="I225" s="385"/>
      <c r="J225" s="385"/>
      <c r="K225" s="385"/>
      <c r="L225" s="385"/>
      <c r="M225" s="385"/>
      <c r="N225" s="385"/>
      <c r="O225" s="385"/>
      <c r="P225" s="385"/>
      <c r="Q225" s="928">
        <f>P128-Q128</f>
        <v>260</v>
      </c>
      <c r="R225" s="928">
        <f>Q128-R128</f>
        <v>173</v>
      </c>
      <c r="S225" s="641">
        <f>R128-S128</f>
        <v>-166.52543596406326</v>
      </c>
      <c r="T225" s="641">
        <f>S128-T128</f>
        <v>19.78101146721724</v>
      </c>
      <c r="V225" s="385">
        <v>0</v>
      </c>
      <c r="W225" s="385">
        <v>0</v>
      </c>
      <c r="X225" s="385">
        <v>111</v>
      </c>
      <c r="Y225" s="385">
        <v>210</v>
      </c>
      <c r="Z225" s="385">
        <v>-76</v>
      </c>
      <c r="AA225" s="928">
        <f t="shared" si="194"/>
        <v>286.25557550315398</v>
      </c>
      <c r="AB225" s="641">
        <f>AA128-AB128</f>
        <v>-2067.7227656068781</v>
      </c>
      <c r="AC225" s="641">
        <f>AB128-AC128</f>
        <v>-869.85445797454759</v>
      </c>
      <c r="AD225" s="641">
        <f>AC128-AD128</f>
        <v>-642.1489600171958</v>
      </c>
    </row>
    <row r="226" spans="3:30" ht="11.25" customHeight="1">
      <c r="C226" s="390" t="s">
        <v>1604</v>
      </c>
      <c r="D226" s="390"/>
      <c r="E226" s="385"/>
      <c r="F226" s="385"/>
      <c r="G226" s="385"/>
      <c r="H226" s="385"/>
      <c r="I226" s="385"/>
      <c r="J226" s="385"/>
      <c r="K226" s="385"/>
      <c r="L226" s="385"/>
      <c r="M226" s="385"/>
      <c r="N226" s="385"/>
      <c r="O226" s="385"/>
      <c r="P226" s="385"/>
      <c r="Q226" s="928">
        <f>Q137-P137+Q138-P138</f>
        <v>979</v>
      </c>
      <c r="R226" s="928">
        <f>R137-Q137+R138-Q138</f>
        <v>374</v>
      </c>
      <c r="S226" s="641">
        <f ca="1">S137-R137+S138-R138</f>
        <v>-89.859042654446966</v>
      </c>
      <c r="T226" s="641">
        <f ca="1">T137-S137+T138-S138</f>
        <v>44.373758360771717</v>
      </c>
      <c r="V226" s="385">
        <v>955</v>
      </c>
      <c r="W226" s="385">
        <v>-418</v>
      </c>
      <c r="X226" s="385">
        <v>144</v>
      </c>
      <c r="Y226" s="385">
        <v>240</v>
      </c>
      <c r="Z226" s="385">
        <v>1986</v>
      </c>
      <c r="AA226" s="928">
        <f t="shared" ca="1" si="194"/>
        <v>1307.5147157063248</v>
      </c>
      <c r="AB226" s="641">
        <f ca="1">AB137-AA137+AB138-AA138</f>
        <v>659.4618494008032</v>
      </c>
      <c r="AC226" s="641">
        <f ca="1">AC137-AB137+AC138-AB138</f>
        <v>464.72780234844095</v>
      </c>
      <c r="AD226" s="641">
        <f ca="1">AD137-AC137+AD138-AC138</f>
        <v>127.66983704955283</v>
      </c>
    </row>
    <row r="227" spans="3:30" ht="11.25" customHeight="1">
      <c r="C227" s="390" t="s">
        <v>1605</v>
      </c>
      <c r="D227" s="390"/>
      <c r="E227" s="385"/>
      <c r="F227" s="385"/>
      <c r="G227" s="385"/>
      <c r="H227" s="385"/>
      <c r="I227" s="385"/>
      <c r="J227" s="385"/>
      <c r="K227" s="385"/>
      <c r="L227" s="385"/>
      <c r="M227" s="385"/>
      <c r="N227" s="385"/>
      <c r="O227" s="385"/>
      <c r="P227" s="385"/>
      <c r="Q227" s="928">
        <f>Q160-P160</f>
        <v>-109</v>
      </c>
      <c r="R227" s="928">
        <f>R160-Q160</f>
        <v>-195</v>
      </c>
      <c r="S227" s="641">
        <f>S160-R160</f>
        <v>368.9507462084548</v>
      </c>
      <c r="T227" s="641">
        <f>T160-S160</f>
        <v>-2.475278422332849</v>
      </c>
      <c r="V227" s="385">
        <v>0</v>
      </c>
      <c r="W227" s="385">
        <v>0</v>
      </c>
      <c r="X227" s="385">
        <v>-16</v>
      </c>
      <c r="Y227" s="385">
        <v>1185</v>
      </c>
      <c r="Z227" s="385">
        <v>-399</v>
      </c>
      <c r="AA227" s="928">
        <f t="shared" si="194"/>
        <v>62.475467786121953</v>
      </c>
      <c r="AB227" s="641">
        <f>AB160-AA160</f>
        <v>50.815594641388998</v>
      </c>
      <c r="AC227" s="641">
        <f>AC160-AB160</f>
        <v>32.788154977041813</v>
      </c>
      <c r="AD227" s="641">
        <f>AD160-AC160</f>
        <v>106.47938265992889</v>
      </c>
    </row>
    <row r="228" spans="3:30" ht="11.25" customHeight="1">
      <c r="C228" s="390" t="s">
        <v>1606</v>
      </c>
      <c r="D228" s="390"/>
      <c r="E228" s="641"/>
      <c r="F228" s="928">
        <f t="shared" ref="F228:Q228" si="196">F209</f>
        <v>16</v>
      </c>
      <c r="G228" s="928">
        <f t="shared" si="196"/>
        <v>-854</v>
      </c>
      <c r="H228" s="928">
        <f t="shared" si="196"/>
        <v>-646</v>
      </c>
      <c r="I228" s="928">
        <f t="shared" si="196"/>
        <v>482</v>
      </c>
      <c r="J228" s="928">
        <f t="shared" si="196"/>
        <v>-597</v>
      </c>
      <c r="K228" s="928">
        <f t="shared" si="196"/>
        <v>-383</v>
      </c>
      <c r="L228" s="928">
        <f t="shared" si="196"/>
        <v>-74</v>
      </c>
      <c r="M228" s="928">
        <f t="shared" si="196"/>
        <v>811</v>
      </c>
      <c r="N228" s="928">
        <f t="shared" si="196"/>
        <v>1583</v>
      </c>
      <c r="O228" s="928">
        <f t="shared" si="196"/>
        <v>-562</v>
      </c>
      <c r="P228" s="928">
        <f t="shared" si="196"/>
        <v>-18</v>
      </c>
      <c r="Q228" s="928">
        <f t="shared" si="196"/>
        <v>2751</v>
      </c>
      <c r="R228" s="928">
        <f t="shared" ref="R228" si="197">R209</f>
        <v>805</v>
      </c>
      <c r="S228" s="641">
        <f t="shared" ref="S228:T229" si="198">S209</f>
        <v>-350</v>
      </c>
      <c r="T228" s="641">
        <f t="shared" si="198"/>
        <v>-250</v>
      </c>
      <c r="V228" s="385">
        <v>284</v>
      </c>
      <c r="W228" s="385">
        <v>297</v>
      </c>
      <c r="X228" s="385">
        <v>454</v>
      </c>
      <c r="Y228" s="385">
        <v>-572</v>
      </c>
      <c r="Z228" s="385">
        <v>1814</v>
      </c>
      <c r="AA228" s="928">
        <f t="shared" si="194"/>
        <v>2956</v>
      </c>
      <c r="AB228" s="641">
        <f t="shared" ref="AB228:AD229" si="199">AB209</f>
        <v>-1500</v>
      </c>
      <c r="AC228" s="641">
        <f t="shared" si="199"/>
        <v>350</v>
      </c>
      <c r="AD228" s="641">
        <f t="shared" si="199"/>
        <v>350</v>
      </c>
    </row>
    <row r="229" spans="3:30" ht="11.25" customHeight="1">
      <c r="C229" s="390" t="s">
        <v>1790</v>
      </c>
      <c r="D229" s="390"/>
      <c r="E229" s="641"/>
      <c r="F229" s="928">
        <f t="shared" ref="F229:Q229" si="200">F210</f>
        <v>30</v>
      </c>
      <c r="G229" s="928">
        <f t="shared" si="200"/>
        <v>42</v>
      </c>
      <c r="H229" s="928">
        <f t="shared" si="200"/>
        <v>32</v>
      </c>
      <c r="I229" s="928">
        <f t="shared" si="200"/>
        <v>89</v>
      </c>
      <c r="J229" s="928">
        <f t="shared" si="200"/>
        <v>164</v>
      </c>
      <c r="K229" s="928">
        <f t="shared" si="200"/>
        <v>108</v>
      </c>
      <c r="L229" s="928">
        <f t="shared" si="200"/>
        <v>93</v>
      </c>
      <c r="M229" s="928">
        <f t="shared" si="200"/>
        <v>103</v>
      </c>
      <c r="N229" s="928">
        <f t="shared" si="200"/>
        <v>116</v>
      </c>
      <c r="O229" s="928">
        <f t="shared" si="200"/>
        <v>55</v>
      </c>
      <c r="P229" s="928">
        <f t="shared" si="200"/>
        <v>103</v>
      </c>
      <c r="Q229" s="928">
        <f t="shared" si="200"/>
        <v>85</v>
      </c>
      <c r="R229" s="928">
        <f t="shared" ref="R229" si="201">R210</f>
        <v>113</v>
      </c>
      <c r="S229" s="641">
        <f t="shared" si="198"/>
        <v>50</v>
      </c>
      <c r="T229" s="641">
        <f t="shared" si="198"/>
        <v>50</v>
      </c>
      <c r="V229" s="385">
        <v>399</v>
      </c>
      <c r="W229" s="385">
        <v>319</v>
      </c>
      <c r="X229" s="385">
        <v>87</v>
      </c>
      <c r="Y229" s="385">
        <v>455</v>
      </c>
      <c r="Z229" s="385">
        <v>376</v>
      </c>
      <c r="AA229" s="928">
        <f t="shared" si="194"/>
        <v>298</v>
      </c>
      <c r="AB229" s="641">
        <f t="shared" si="199"/>
        <v>100</v>
      </c>
      <c r="AC229" s="641">
        <f t="shared" si="199"/>
        <v>100</v>
      </c>
      <c r="AD229" s="641">
        <f t="shared" si="199"/>
        <v>100</v>
      </c>
    </row>
    <row r="230" spans="3:30" ht="11.25" customHeight="1">
      <c r="C230" s="390" t="s">
        <v>1791</v>
      </c>
      <c r="D230" s="390"/>
      <c r="E230" s="385"/>
      <c r="F230" s="385"/>
      <c r="G230" s="385"/>
      <c r="H230" s="385"/>
      <c r="I230" s="385"/>
      <c r="J230" s="385"/>
      <c r="K230" s="385"/>
      <c r="L230" s="385"/>
      <c r="M230" s="385"/>
      <c r="N230" s="385"/>
      <c r="O230" s="385"/>
      <c r="P230" s="385"/>
      <c r="Q230" s="928">
        <v>0</v>
      </c>
      <c r="R230" s="928">
        <v>0</v>
      </c>
      <c r="S230" s="385">
        <v>0</v>
      </c>
      <c r="T230" s="385">
        <v>0</v>
      </c>
      <c r="V230" s="385">
        <v>-51</v>
      </c>
      <c r="W230" s="385">
        <v>233</v>
      </c>
      <c r="X230" s="385">
        <v>354</v>
      </c>
      <c r="Y230" s="385">
        <v>-1650</v>
      </c>
      <c r="Z230" s="385">
        <v>108</v>
      </c>
      <c r="AA230" s="928">
        <f t="shared" si="194"/>
        <v>0</v>
      </c>
      <c r="AB230" s="385">
        <v>0</v>
      </c>
      <c r="AC230" s="385">
        <v>0</v>
      </c>
      <c r="AD230" s="385">
        <v>0</v>
      </c>
    </row>
    <row r="231" spans="3:30" s="279" customFormat="1" ht="11.25" customHeight="1">
      <c r="C231" s="289" t="s">
        <v>1131</v>
      </c>
      <c r="E231" s="382">
        <v>1942</v>
      </c>
      <c r="F231" s="382">
        <v>3268</v>
      </c>
      <c r="G231" s="382">
        <v>2245</v>
      </c>
      <c r="H231" s="382">
        <v>969</v>
      </c>
      <c r="I231" s="382">
        <v>358</v>
      </c>
      <c r="J231" s="382">
        <v>-290</v>
      </c>
      <c r="K231" s="382">
        <v>-2575</v>
      </c>
      <c r="L231" s="382">
        <v>-1286</v>
      </c>
      <c r="M231" s="382">
        <v>691</v>
      </c>
      <c r="N231" s="382">
        <v>1866</v>
      </c>
      <c r="O231" s="382">
        <v>151</v>
      </c>
      <c r="P231" s="382">
        <v>555</v>
      </c>
      <c r="Q231" s="382">
        <v>1771</v>
      </c>
      <c r="R231" s="382">
        <v>2535</v>
      </c>
      <c r="S231" s="358">
        <f t="shared" ref="S231:AD231" ca="1" si="202">SUM(S214:S221)</f>
        <v>1470.8896505889534</v>
      </c>
      <c r="T231" s="358">
        <f t="shared" ca="1" si="202"/>
        <v>74.632797233573001</v>
      </c>
      <c r="U231" s="253"/>
      <c r="V231" s="358">
        <f t="shared" si="202"/>
        <v>5023</v>
      </c>
      <c r="W231" s="358">
        <f t="shared" si="202"/>
        <v>7014</v>
      </c>
      <c r="X231" s="358">
        <f t="shared" si="202"/>
        <v>8424</v>
      </c>
      <c r="Y231" s="358">
        <f t="shared" si="202"/>
        <v>-3793</v>
      </c>
      <c r="Z231" s="358">
        <f t="shared" si="202"/>
        <v>3263</v>
      </c>
      <c r="AA231" s="358">
        <f t="shared" ca="1" si="194"/>
        <v>5851.5224478225264</v>
      </c>
      <c r="AB231" s="358">
        <f t="shared" ca="1" si="202"/>
        <v>-601.90736292447809</v>
      </c>
      <c r="AC231" s="358">
        <f t="shared" ca="1" si="202"/>
        <v>3696.7019613393804</v>
      </c>
      <c r="AD231" s="358">
        <f t="shared" ca="1" si="202"/>
        <v>4976.7080705478484</v>
      </c>
    </row>
    <row r="232" spans="3:30" ht="11.25" customHeight="1">
      <c r="E232" s="255"/>
      <c r="F232" s="255"/>
      <c r="G232" s="255"/>
      <c r="H232" s="255"/>
      <c r="I232" s="255"/>
      <c r="J232" s="255"/>
      <c r="K232" s="255">
        <f>-2575-K231</f>
        <v>0</v>
      </c>
      <c r="L232" s="255"/>
      <c r="M232" s="255"/>
      <c r="N232" s="255"/>
      <c r="O232" s="255"/>
      <c r="P232" s="255"/>
      <c r="Q232" s="255"/>
      <c r="R232" s="255"/>
      <c r="S232" s="255"/>
      <c r="T232" s="255"/>
      <c r="V232" s="255"/>
      <c r="W232" s="255"/>
      <c r="X232" s="255"/>
      <c r="Y232" s="255"/>
      <c r="Z232" s="255"/>
      <c r="AA232" s="255"/>
      <c r="AB232" s="255"/>
      <c r="AC232" s="255"/>
      <c r="AD232" s="255"/>
    </row>
    <row r="233" spans="3:30" ht="11.25" customHeight="1">
      <c r="C233" s="253" t="s">
        <v>1132</v>
      </c>
      <c r="E233" s="255">
        <f>SUM(E234:E235)</f>
        <v>-1360</v>
      </c>
      <c r="F233" s="255">
        <f t="shared" ref="F233:Z233" si="203">SUM(F234:F235)</f>
        <v>-1559</v>
      </c>
      <c r="G233" s="255">
        <f t="shared" si="203"/>
        <v>-945</v>
      </c>
      <c r="H233" s="255">
        <f t="shared" si="203"/>
        <v>-1072</v>
      </c>
      <c r="I233" s="255">
        <f t="shared" si="203"/>
        <v>-937</v>
      </c>
      <c r="J233" s="255">
        <f t="shared" si="203"/>
        <v>-282</v>
      </c>
      <c r="K233" s="255">
        <f t="shared" si="203"/>
        <v>-133</v>
      </c>
      <c r="L233" s="255">
        <f t="shared" si="203"/>
        <v>-548</v>
      </c>
      <c r="M233" s="255">
        <f t="shared" si="203"/>
        <v>-438</v>
      </c>
      <c r="N233" s="255">
        <f t="shared" si="203"/>
        <v>-761</v>
      </c>
      <c r="O233" s="255">
        <f t="shared" si="203"/>
        <v>-830</v>
      </c>
      <c r="P233" s="255">
        <f t="shared" si="203"/>
        <v>-1218</v>
      </c>
      <c r="Q233" s="255">
        <f t="shared" si="203"/>
        <v>-1766</v>
      </c>
      <c r="R233" s="255">
        <f t="shared" si="203"/>
        <v>-958</v>
      </c>
      <c r="S233" s="255">
        <f>SUM(S234:S235)</f>
        <v>-1590.2389903397143</v>
      </c>
      <c r="T233" s="255">
        <f>SUM(T234:T235)</f>
        <v>-1760.1201445178374</v>
      </c>
      <c r="V233" s="255">
        <f t="shared" si="203"/>
        <v>-3891</v>
      </c>
      <c r="W233" s="255">
        <f t="shared" si="203"/>
        <v>-5168</v>
      </c>
      <c r="X233" s="255">
        <f t="shared" si="203"/>
        <v>-4936</v>
      </c>
      <c r="Y233" s="255">
        <f t="shared" si="203"/>
        <v>-1900</v>
      </c>
      <c r="Z233" s="255">
        <f t="shared" si="203"/>
        <v>-3247</v>
      </c>
      <c r="AA233" s="255">
        <f>SUM(AA234:AA235)</f>
        <v>-6074.3591348575519</v>
      </c>
      <c r="AB233" s="255">
        <f>SUM(AB234:AB235)</f>
        <v>-5989.5569140171938</v>
      </c>
      <c r="AC233" s="255">
        <f>SUM(AC234:AC235)</f>
        <v>-6509.3861449363685</v>
      </c>
      <c r="AD233" s="255">
        <f>SUM(AD234:AD235)</f>
        <v>-5990.3724000429884</v>
      </c>
    </row>
    <row r="234" spans="3:30" ht="11.25" customHeight="1">
      <c r="C234" s="640" t="s">
        <v>1133</v>
      </c>
      <c r="D234" s="390"/>
      <c r="E234" s="385">
        <v>-1059</v>
      </c>
      <c r="F234" s="385">
        <v>-1166</v>
      </c>
      <c r="G234" s="385">
        <v>-549</v>
      </c>
      <c r="H234" s="385">
        <v>-570</v>
      </c>
      <c r="I234" s="385">
        <v>-629</v>
      </c>
      <c r="J234" s="385">
        <v>-30</v>
      </c>
      <c r="K234" s="385">
        <v>65</v>
      </c>
      <c r="L234" s="385">
        <v>-302</v>
      </c>
      <c r="M234" s="385">
        <v>-132</v>
      </c>
      <c r="N234" s="385">
        <v>-395</v>
      </c>
      <c r="O234" s="385">
        <v>-434</v>
      </c>
      <c r="P234" s="385">
        <v>-635</v>
      </c>
      <c r="Q234" s="385">
        <v>-1276</v>
      </c>
      <c r="R234" s="385">
        <v>-603</v>
      </c>
      <c r="S234" s="641">
        <f t="shared" ref="S234:T235" si="204">-S182</f>
        <v>-1138.230563002681</v>
      </c>
      <c r="T234" s="641">
        <f t="shared" si="204"/>
        <v>-1181.769436997319</v>
      </c>
      <c r="V234" s="385">
        <v>-2704</v>
      </c>
      <c r="W234" s="385">
        <v>-3704</v>
      </c>
      <c r="X234" s="641">
        <f t="shared" ref="X234:Z240" si="205">SUMIF($E$5:$T$5,X$5,$E234:$T234)</f>
        <v>-3344</v>
      </c>
      <c r="Y234" s="641">
        <f t="shared" si="205"/>
        <v>-896</v>
      </c>
      <c r="Z234" s="641">
        <f t="shared" si="205"/>
        <v>-1596</v>
      </c>
      <c r="AA234" s="641">
        <f t="shared" ref="AA234:AA240" si="206">SUMIF($E$5:$T$5,AA$5,$E234:$T234)</f>
        <v>-4199</v>
      </c>
      <c r="AB234" s="641">
        <f t="shared" ref="AB234:AD235" si="207">-AB182</f>
        <v>-3170</v>
      </c>
      <c r="AC234" s="641">
        <f t="shared" si="207"/>
        <v>-3480</v>
      </c>
      <c r="AD234" s="641">
        <f t="shared" si="207"/>
        <v>-2890</v>
      </c>
    </row>
    <row r="235" spans="3:30" ht="11.25" customHeight="1">
      <c r="C235" s="640" t="s">
        <v>1134</v>
      </c>
      <c r="D235" s="390"/>
      <c r="E235" s="385">
        <v>-301</v>
      </c>
      <c r="F235" s="385">
        <v>-393</v>
      </c>
      <c r="G235" s="385">
        <v>-396</v>
      </c>
      <c r="H235" s="385">
        <v>-502</v>
      </c>
      <c r="I235" s="385">
        <v>-308</v>
      </c>
      <c r="J235" s="385">
        <v>-252</v>
      </c>
      <c r="K235" s="385">
        <v>-198</v>
      </c>
      <c r="L235" s="385">
        <v>-246</v>
      </c>
      <c r="M235" s="385">
        <v>-306</v>
      </c>
      <c r="N235" s="385">
        <v>-366</v>
      </c>
      <c r="O235" s="385">
        <v>-396</v>
      </c>
      <c r="P235" s="385">
        <v>-583</v>
      </c>
      <c r="Q235" s="385">
        <v>-490</v>
      </c>
      <c r="R235" s="385">
        <v>-355</v>
      </c>
      <c r="S235" s="641">
        <f t="shared" si="204"/>
        <v>-452.00842733703314</v>
      </c>
      <c r="T235" s="641">
        <f t="shared" si="204"/>
        <v>-578.35070752051843</v>
      </c>
      <c r="V235" s="385">
        <v>-1187</v>
      </c>
      <c r="W235" s="385">
        <v>-1464</v>
      </c>
      <c r="X235" s="641">
        <f t="shared" si="205"/>
        <v>-1592</v>
      </c>
      <c r="Y235" s="641">
        <f t="shared" si="205"/>
        <v>-1004</v>
      </c>
      <c r="Z235" s="641">
        <f t="shared" si="205"/>
        <v>-1651</v>
      </c>
      <c r="AA235" s="641">
        <f t="shared" si="206"/>
        <v>-1875.3591348575515</v>
      </c>
      <c r="AB235" s="641">
        <f t="shared" si="207"/>
        <v>-2819.5569140171942</v>
      </c>
      <c r="AC235" s="641">
        <f t="shared" si="207"/>
        <v>-3029.386144936369</v>
      </c>
      <c r="AD235" s="641">
        <f t="shared" si="207"/>
        <v>-3100.3724000429879</v>
      </c>
    </row>
    <row r="236" spans="3:30" ht="11.25" customHeight="1">
      <c r="C236" s="381" t="s">
        <v>1135</v>
      </c>
      <c r="E236" s="277">
        <v>0</v>
      </c>
      <c r="F236" s="277">
        <v>0</v>
      </c>
      <c r="G236" s="277">
        <v>0</v>
      </c>
      <c r="H236" s="277">
        <v>0</v>
      </c>
      <c r="I236" s="277">
        <v>0</v>
      </c>
      <c r="J236" s="277">
        <v>465</v>
      </c>
      <c r="K236" s="277">
        <v>0</v>
      </c>
      <c r="L236" s="277">
        <v>0</v>
      </c>
      <c r="M236" s="277">
        <v>0</v>
      </c>
      <c r="N236" s="277">
        <v>0</v>
      </c>
      <c r="O236" s="277">
        <v>0</v>
      </c>
      <c r="P236" s="277">
        <v>0</v>
      </c>
      <c r="Q236" s="277">
        <v>0</v>
      </c>
      <c r="R236" s="277">
        <v>0</v>
      </c>
      <c r="S236" s="277">
        <v>0</v>
      </c>
      <c r="T236" s="277">
        <v>0</v>
      </c>
      <c r="V236" s="277">
        <v>0</v>
      </c>
      <c r="W236" s="277">
        <v>0</v>
      </c>
      <c r="X236" s="254">
        <f t="shared" si="205"/>
        <v>0</v>
      </c>
      <c r="Y236" s="254">
        <f t="shared" si="205"/>
        <v>465</v>
      </c>
      <c r="Z236" s="254">
        <f t="shared" si="205"/>
        <v>0</v>
      </c>
      <c r="AA236" s="254">
        <f t="shared" si="206"/>
        <v>0</v>
      </c>
      <c r="AB236" s="277">
        <v>0</v>
      </c>
      <c r="AC236" s="277">
        <v>0</v>
      </c>
      <c r="AD236" s="277">
        <v>0</v>
      </c>
    </row>
    <row r="237" spans="3:30" ht="11.25" customHeight="1">
      <c r="C237" s="253" t="s">
        <v>1136</v>
      </c>
      <c r="E237" s="277">
        <v>0</v>
      </c>
      <c r="F237" s="277">
        <v>0</v>
      </c>
      <c r="G237" s="277">
        <v>0</v>
      </c>
      <c r="H237" s="277">
        <v>0</v>
      </c>
      <c r="I237" s="277">
        <v>-2099</v>
      </c>
      <c r="J237" s="277">
        <v>-4955</v>
      </c>
      <c r="K237" s="277">
        <v>-3745</v>
      </c>
      <c r="L237" s="277">
        <v>-4700</v>
      </c>
      <c r="M237" s="277">
        <v>-3161</v>
      </c>
      <c r="N237" s="277">
        <v>-2427</v>
      </c>
      <c r="O237" s="277">
        <v>-5212</v>
      </c>
      <c r="P237" s="277">
        <v>-1856</v>
      </c>
      <c r="Q237" s="277">
        <v>-226</v>
      </c>
      <c r="R237" s="277">
        <v>0</v>
      </c>
      <c r="S237" s="277">
        <v>0</v>
      </c>
      <c r="T237" s="277">
        <v>0</v>
      </c>
      <c r="V237" s="277">
        <f>-1245-925</f>
        <v>-2170</v>
      </c>
      <c r="W237" s="277">
        <v>-145</v>
      </c>
      <c r="X237" s="254">
        <f t="shared" si="205"/>
        <v>0</v>
      </c>
      <c r="Y237" s="254">
        <f t="shared" si="205"/>
        <v>-15499</v>
      </c>
      <c r="Z237" s="254">
        <f t="shared" si="205"/>
        <v>-12656</v>
      </c>
      <c r="AA237" s="254">
        <f t="shared" si="206"/>
        <v>-226</v>
      </c>
      <c r="AB237" s="277">
        <v>0</v>
      </c>
      <c r="AC237" s="277">
        <v>0</v>
      </c>
      <c r="AD237" s="277">
        <v>0</v>
      </c>
    </row>
    <row r="238" spans="3:30" ht="11.25" customHeight="1">
      <c r="C238" s="253" t="s">
        <v>1854</v>
      </c>
      <c r="E238" s="277">
        <v>206</v>
      </c>
      <c r="F238" s="277">
        <v>0</v>
      </c>
      <c r="G238" s="277">
        <v>0</v>
      </c>
      <c r="H238" s="277">
        <v>278</v>
      </c>
      <c r="I238" s="277">
        <v>0</v>
      </c>
      <c r="J238" s="277">
        <v>654</v>
      </c>
      <c r="K238" s="277">
        <v>3000</v>
      </c>
      <c r="L238" s="277">
        <v>3955</v>
      </c>
      <c r="M238" s="277">
        <v>3371</v>
      </c>
      <c r="N238" s="277">
        <v>3123</v>
      </c>
      <c r="O238" s="277">
        <v>5664</v>
      </c>
      <c r="P238" s="277">
        <v>2878</v>
      </c>
      <c r="Q238" s="277">
        <v>1346</v>
      </c>
      <c r="R238" s="277">
        <f>943-248</f>
        <v>695</v>
      </c>
      <c r="S238" s="277">
        <v>0</v>
      </c>
      <c r="T238" s="277">
        <v>0</v>
      </c>
      <c r="V238" s="277">
        <v>584</v>
      </c>
      <c r="W238" s="277">
        <f>28+766</f>
        <v>794</v>
      </c>
      <c r="X238" s="254">
        <f t="shared" si="205"/>
        <v>484</v>
      </c>
      <c r="Y238" s="254">
        <f t="shared" si="205"/>
        <v>7609</v>
      </c>
      <c r="Z238" s="254">
        <f t="shared" si="205"/>
        <v>15036</v>
      </c>
      <c r="AA238" s="254">
        <f t="shared" si="206"/>
        <v>2041</v>
      </c>
      <c r="AB238" s="277">
        <v>0</v>
      </c>
      <c r="AC238" s="277">
        <v>0</v>
      </c>
      <c r="AD238" s="277">
        <v>0</v>
      </c>
    </row>
    <row r="239" spans="3:30" ht="11.25" customHeight="1">
      <c r="C239" s="253" t="s">
        <v>963</v>
      </c>
      <c r="E239" s="277">
        <v>58</v>
      </c>
      <c r="F239" s="277">
        <f>-3-F240</f>
        <v>86</v>
      </c>
      <c r="G239" s="277">
        <f>-180-G240</f>
        <v>-99</v>
      </c>
      <c r="H239" s="277">
        <v>15</v>
      </c>
      <c r="I239" s="277">
        <v>65</v>
      </c>
      <c r="J239" s="277">
        <v>42</v>
      </c>
      <c r="K239" s="277">
        <v>-31</v>
      </c>
      <c r="L239" s="277">
        <v>103</v>
      </c>
      <c r="M239" s="277">
        <f>168-M240</f>
        <v>149</v>
      </c>
      <c r="N239" s="277">
        <f>91-N240</f>
        <v>17</v>
      </c>
      <c r="O239" s="277">
        <v>-6</v>
      </c>
      <c r="P239" s="277">
        <f>-283-P240</f>
        <v>-9</v>
      </c>
      <c r="Q239" s="277">
        <v>-3</v>
      </c>
      <c r="R239" s="277">
        <v>112</v>
      </c>
      <c r="S239" s="277">
        <v>0</v>
      </c>
      <c r="T239" s="277">
        <v>0</v>
      </c>
      <c r="V239" s="277">
        <v>211</v>
      </c>
      <c r="W239" s="277">
        <v>0</v>
      </c>
      <c r="X239" s="254">
        <f t="shared" si="205"/>
        <v>60</v>
      </c>
      <c r="Y239" s="254">
        <f t="shared" si="205"/>
        <v>179</v>
      </c>
      <c r="Z239" s="254">
        <f t="shared" si="205"/>
        <v>151</v>
      </c>
      <c r="AA239" s="254">
        <f t="shared" si="206"/>
        <v>109</v>
      </c>
      <c r="AB239" s="277">
        <v>0</v>
      </c>
      <c r="AC239" s="277">
        <v>0</v>
      </c>
      <c r="AD239" s="277">
        <v>0</v>
      </c>
    </row>
    <row r="240" spans="3:30" ht="11.25" customHeight="1">
      <c r="C240" s="253" t="s">
        <v>1137</v>
      </c>
      <c r="E240" s="277">
        <v>0</v>
      </c>
      <c r="F240" s="277">
        <v>-89</v>
      </c>
      <c r="G240" s="277">
        <v>-81</v>
      </c>
      <c r="H240" s="277">
        <v>0</v>
      </c>
      <c r="I240" s="277">
        <v>0</v>
      </c>
      <c r="J240" s="277">
        <v>0</v>
      </c>
      <c r="K240" s="277">
        <v>-235</v>
      </c>
      <c r="L240" s="277">
        <v>142</v>
      </c>
      <c r="M240" s="277">
        <v>19</v>
      </c>
      <c r="N240" s="277">
        <v>74</v>
      </c>
      <c r="O240" s="277">
        <v>0</v>
      </c>
      <c r="P240" s="277">
        <v>-274</v>
      </c>
      <c r="Q240" s="277">
        <v>-100</v>
      </c>
      <c r="R240" s="277">
        <v>0</v>
      </c>
      <c r="S240" s="277">
        <v>0</v>
      </c>
      <c r="T240" s="277">
        <v>0</v>
      </c>
      <c r="V240" s="277">
        <v>0</v>
      </c>
      <c r="W240" s="277">
        <v>126</v>
      </c>
      <c r="X240" s="254">
        <f t="shared" si="205"/>
        <v>-170</v>
      </c>
      <c r="Y240" s="254">
        <f t="shared" si="205"/>
        <v>-93</v>
      </c>
      <c r="Z240" s="254">
        <f t="shared" si="205"/>
        <v>-181</v>
      </c>
      <c r="AA240" s="254">
        <f t="shared" si="206"/>
        <v>-100</v>
      </c>
      <c r="AB240" s="277">
        <v>0</v>
      </c>
      <c r="AC240" s="277">
        <v>0</v>
      </c>
      <c r="AD240" s="277">
        <v>0</v>
      </c>
    </row>
    <row r="241" spans="3:30" s="279" customFormat="1" ht="11.25" customHeight="1">
      <c r="C241" s="289" t="s">
        <v>977</v>
      </c>
      <c r="E241" s="358">
        <f>SUM(E233,E236:E240)</f>
        <v>-1096</v>
      </c>
      <c r="F241" s="358">
        <f t="shared" ref="F241:T241" si="208">SUM(F233,F236:F240)</f>
        <v>-1562</v>
      </c>
      <c r="G241" s="358">
        <f t="shared" si="208"/>
        <v>-1125</v>
      </c>
      <c r="H241" s="358">
        <f t="shared" si="208"/>
        <v>-779</v>
      </c>
      <c r="I241" s="358">
        <f t="shared" si="208"/>
        <v>-2971</v>
      </c>
      <c r="J241" s="358">
        <f t="shared" si="208"/>
        <v>-4076</v>
      </c>
      <c r="K241" s="358">
        <f t="shared" si="208"/>
        <v>-1144</v>
      </c>
      <c r="L241" s="358">
        <f t="shared" si="208"/>
        <v>-1048</v>
      </c>
      <c r="M241" s="358">
        <f t="shared" si="208"/>
        <v>-60</v>
      </c>
      <c r="N241" s="358">
        <f t="shared" si="208"/>
        <v>26</v>
      </c>
      <c r="O241" s="358">
        <f t="shared" si="208"/>
        <v>-384</v>
      </c>
      <c r="P241" s="358">
        <f t="shared" si="208"/>
        <v>-479</v>
      </c>
      <c r="Q241" s="358">
        <f t="shared" si="208"/>
        <v>-749</v>
      </c>
      <c r="R241" s="358">
        <f t="shared" si="208"/>
        <v>-151</v>
      </c>
      <c r="S241" s="358">
        <f t="shared" si="208"/>
        <v>-1590.2389903397143</v>
      </c>
      <c r="T241" s="358">
        <f t="shared" si="208"/>
        <v>-1760.1201445178374</v>
      </c>
      <c r="V241" s="358">
        <f t="shared" ref="V241:AD241" si="209">SUM(V233,V236:V240)</f>
        <v>-5266</v>
      </c>
      <c r="W241" s="358">
        <f t="shared" si="209"/>
        <v>-4393</v>
      </c>
      <c r="X241" s="358">
        <f t="shared" si="209"/>
        <v>-4562</v>
      </c>
      <c r="Y241" s="358">
        <f t="shared" si="209"/>
        <v>-9239</v>
      </c>
      <c r="Z241" s="358">
        <f t="shared" si="209"/>
        <v>-897</v>
      </c>
      <c r="AA241" s="358">
        <f t="shared" si="209"/>
        <v>-4250.3591348575519</v>
      </c>
      <c r="AB241" s="358">
        <f t="shared" si="209"/>
        <v>-5989.5569140171938</v>
      </c>
      <c r="AC241" s="358">
        <f t="shared" si="209"/>
        <v>-6509.3861449363685</v>
      </c>
      <c r="AD241" s="358">
        <f t="shared" si="209"/>
        <v>-5990.3724000429884</v>
      </c>
    </row>
    <row r="242" spans="3:30" ht="11.25" customHeight="1">
      <c r="E242" s="255"/>
      <c r="F242" s="255"/>
      <c r="G242" s="255"/>
      <c r="H242" s="255"/>
      <c r="I242" s="255"/>
      <c r="J242" s="255"/>
      <c r="K242" s="255"/>
      <c r="L242" s="255"/>
      <c r="M242" s="255"/>
      <c r="N242" s="255"/>
      <c r="O242" s="255"/>
      <c r="P242" s="255"/>
      <c r="Q242" s="255"/>
      <c r="R242" s="255"/>
      <c r="S242" s="255"/>
      <c r="T242" s="255"/>
      <c r="V242" s="255"/>
      <c r="W242" s="255"/>
      <c r="X242" s="255"/>
      <c r="Y242" s="255"/>
      <c r="Z242" s="255"/>
      <c r="AA242" s="255"/>
      <c r="AB242" s="255"/>
      <c r="AC242" s="255"/>
      <c r="AD242" s="255"/>
    </row>
    <row r="243" spans="3:30" ht="11.25" customHeight="1">
      <c r="C243" s="253" t="s">
        <v>1138</v>
      </c>
      <c r="E243" s="277">
        <v>-1285</v>
      </c>
      <c r="F243" s="277">
        <v>-1165</v>
      </c>
      <c r="G243" s="277">
        <v>-355</v>
      </c>
      <c r="H243" s="277">
        <v>-516</v>
      </c>
      <c r="I243" s="277">
        <v>-1238</v>
      </c>
      <c r="J243" s="277">
        <v>-474</v>
      </c>
      <c r="K243" s="277">
        <v>-607</v>
      </c>
      <c r="L243" s="277">
        <v>-6241</v>
      </c>
      <c r="M243" s="277">
        <v>-1775</v>
      </c>
      <c r="N243" s="277">
        <v>-1358</v>
      </c>
      <c r="O243" s="277">
        <v>-1553</v>
      </c>
      <c r="P243" s="277">
        <v>-1148</v>
      </c>
      <c r="Q243" s="277">
        <v>-1443</v>
      </c>
      <c r="R243" s="277">
        <v>-952</v>
      </c>
      <c r="S243" s="287">
        <f ca="1">IF((S146-R146)&lt;0,S146-R146-('DAL Debt'!S32-'DAL Debt'!R32),0)</f>
        <v>0</v>
      </c>
      <c r="T243" s="287">
        <f ca="1">IF((T146-S146)&lt;0,T146-S146-('DAL Debt'!T32-'DAL Debt'!S32),0)</f>
        <v>0</v>
      </c>
      <c r="V243" s="277">
        <v>-1258</v>
      </c>
      <c r="W243" s="277">
        <v>-3052</v>
      </c>
      <c r="X243" s="254">
        <f t="shared" ref="X243:AA250" si="210">SUMIF($E$5:$T$5,X$5,$E243:$T243)</f>
        <v>-3321</v>
      </c>
      <c r="Y243" s="254">
        <f t="shared" si="210"/>
        <v>-8560</v>
      </c>
      <c r="Z243" s="254">
        <f t="shared" si="210"/>
        <v>-5834</v>
      </c>
      <c r="AA243" s="254">
        <f t="shared" ca="1" si="210"/>
        <v>-2395</v>
      </c>
      <c r="AB243" s="287">
        <f ca="1">IF((AB146-AA146)&lt;0,AB146-AA146-('DAL Debt'!AB32-'DAL Debt'!AA32),0)</f>
        <v>0</v>
      </c>
      <c r="AC243" s="287">
        <f ca="1">IF((AC146-AB146)&lt;0,AC146-AB146-('DAL Debt'!AC32-'DAL Debt'!AB32),0)</f>
        <v>0</v>
      </c>
      <c r="AD243" s="287">
        <f ca="1">IF((AD146-AC146)&lt;0,AD146-AC146-('DAL Debt'!AD32-'DAL Debt'!AC32),0)</f>
        <v>0</v>
      </c>
    </row>
    <row r="244" spans="3:30" ht="11.25" customHeight="1">
      <c r="C244" s="253" t="s">
        <v>1142</v>
      </c>
      <c r="E244" s="277">
        <v>500</v>
      </c>
      <c r="F244" s="277">
        <v>0</v>
      </c>
      <c r="G244" s="277">
        <v>0</v>
      </c>
      <c r="H244" s="277">
        <v>1557</v>
      </c>
      <c r="I244" s="277">
        <v>3962</v>
      </c>
      <c r="J244" s="277">
        <v>7785</v>
      </c>
      <c r="K244" s="277">
        <v>10734</v>
      </c>
      <c r="L244" s="277">
        <v>310</v>
      </c>
      <c r="M244" s="277">
        <v>924</v>
      </c>
      <c r="N244" s="277">
        <v>977</v>
      </c>
      <c r="O244" s="277">
        <v>0</v>
      </c>
      <c r="P244" s="277">
        <v>0</v>
      </c>
      <c r="Q244" s="277">
        <v>0</v>
      </c>
      <c r="R244" s="277">
        <v>0</v>
      </c>
      <c r="S244" s="287">
        <f ca="1">IF((S146-R146)&gt;0,S146-R146-('DAL Debt'!S32-'DAL Debt'!R32),0)</f>
        <v>88793.349339750755</v>
      </c>
      <c r="T244" s="287">
        <f ca="1">IF((T146-S146)&gt;0,T146-S146-('DAL Debt'!T32-'DAL Debt'!S32),0)</f>
        <v>3459.4873472842592</v>
      </c>
      <c r="V244" s="277">
        <v>2454</v>
      </c>
      <c r="W244" s="277">
        <v>3745</v>
      </c>
      <c r="X244" s="254">
        <f>SUMIF($E$5:$T$5,X$5,$E244:$T244)</f>
        <v>2057</v>
      </c>
      <c r="Y244" s="254">
        <f>SUMIF($E$5:$T$5,Y$5,$E244:$T244)</f>
        <v>22791</v>
      </c>
      <c r="Z244" s="254">
        <f>SUMIF($E$5:$T$5,Z$5,$E244:$T244)</f>
        <v>1901</v>
      </c>
      <c r="AA244" s="254">
        <f ca="1">SUMIF($E$5:$T$5,AA$5,$E244:$T244)</f>
        <v>92252.836687035015</v>
      </c>
      <c r="AB244" s="287">
        <f ca="1">IF((AB146-AA146)&gt;0,AB146-AA146-('DAL Debt'!AB32-'DAL Debt'!AA32),0)</f>
        <v>6591.4642769419588</v>
      </c>
      <c r="AC244" s="287">
        <f ca="1">IF((AC146-AB146)&gt;0,AC146-AB146-('DAL Debt'!AC32-'DAL Debt'!AB32),0)</f>
        <v>2812.6841836044623</v>
      </c>
      <c r="AD244" s="287">
        <f ca="1">IF((AD146-AC146)&gt;0,AD146-AC146-('DAL Debt'!AD32-'DAL Debt'!AC32),0)</f>
        <v>1013.6643295855611</v>
      </c>
    </row>
    <row r="245" spans="3:30" ht="11.25" customHeight="1">
      <c r="C245" s="253" t="s">
        <v>1139</v>
      </c>
      <c r="E245" s="277">
        <v>-1325</v>
      </c>
      <c r="F245" s="277">
        <v>-268</v>
      </c>
      <c r="G245" s="277">
        <v>-208</v>
      </c>
      <c r="H245" s="277">
        <v>-225</v>
      </c>
      <c r="I245" s="277">
        <v>-344</v>
      </c>
      <c r="J245" s="277">
        <v>0</v>
      </c>
      <c r="K245" s="277">
        <v>0</v>
      </c>
      <c r="L245" s="277">
        <v>0</v>
      </c>
      <c r="M245" s="277">
        <v>0</v>
      </c>
      <c r="N245" s="277">
        <v>0</v>
      </c>
      <c r="O245" s="277">
        <v>0</v>
      </c>
      <c r="P245" s="277">
        <v>0</v>
      </c>
      <c r="Q245" s="277">
        <v>0</v>
      </c>
      <c r="R245" s="277">
        <v>0</v>
      </c>
      <c r="S245" s="277">
        <v>0</v>
      </c>
      <c r="T245" s="277">
        <v>0</v>
      </c>
      <c r="V245" s="277">
        <v>-1677</v>
      </c>
      <c r="W245" s="277">
        <v>-1575</v>
      </c>
      <c r="X245" s="254">
        <f t="shared" si="210"/>
        <v>-2026</v>
      </c>
      <c r="Y245" s="254">
        <f t="shared" si="210"/>
        <v>-344</v>
      </c>
      <c r="Z245" s="254">
        <f t="shared" si="210"/>
        <v>0</v>
      </c>
      <c r="AA245" s="254">
        <f t="shared" si="210"/>
        <v>0</v>
      </c>
      <c r="AB245" s="277">
        <v>0</v>
      </c>
      <c r="AC245" s="277">
        <v>0</v>
      </c>
      <c r="AD245" s="277">
        <v>0</v>
      </c>
    </row>
    <row r="246" spans="3:30" ht="11.25" customHeight="1">
      <c r="C246" s="253" t="s">
        <v>1140</v>
      </c>
      <c r="E246" s="277">
        <v>-233</v>
      </c>
      <c r="F246" s="277">
        <v>-229</v>
      </c>
      <c r="G246" s="277">
        <v>-260</v>
      </c>
      <c r="H246" s="277">
        <v>-259</v>
      </c>
      <c r="I246" s="277">
        <v>-260</v>
      </c>
      <c r="J246" s="277">
        <v>0</v>
      </c>
      <c r="K246" s="277">
        <v>0</v>
      </c>
      <c r="L246" s="277">
        <v>0</v>
      </c>
      <c r="M246" s="277">
        <v>0</v>
      </c>
      <c r="N246" s="277">
        <v>0</v>
      </c>
      <c r="O246" s="277">
        <v>0</v>
      </c>
      <c r="P246" s="277">
        <v>0</v>
      </c>
      <c r="Q246" s="277">
        <v>0</v>
      </c>
      <c r="R246" s="277">
        <v>0</v>
      </c>
      <c r="S246" s="277">
        <v>0</v>
      </c>
      <c r="T246" s="277">
        <v>0</v>
      </c>
      <c r="V246" s="277">
        <v>-731</v>
      </c>
      <c r="W246" s="277">
        <v>-909</v>
      </c>
      <c r="X246" s="254">
        <f t="shared" si="210"/>
        <v>-981</v>
      </c>
      <c r="Y246" s="254">
        <f t="shared" si="210"/>
        <v>-260</v>
      </c>
      <c r="Z246" s="254">
        <f t="shared" si="210"/>
        <v>0</v>
      </c>
      <c r="AA246" s="254">
        <f t="shared" si="210"/>
        <v>0</v>
      </c>
      <c r="AB246" s="277">
        <v>0</v>
      </c>
      <c r="AC246" s="277">
        <v>0</v>
      </c>
      <c r="AD246" s="277">
        <v>0</v>
      </c>
    </row>
    <row r="247" spans="3:30" ht="11.25" customHeight="1">
      <c r="C247" s="253" t="s">
        <v>1141</v>
      </c>
      <c r="E247" s="277">
        <v>1750</v>
      </c>
      <c r="F247" s="277">
        <v>0</v>
      </c>
      <c r="G247" s="277">
        <v>0</v>
      </c>
      <c r="H247" s="277">
        <v>0</v>
      </c>
      <c r="I247" s="277">
        <v>2882</v>
      </c>
      <c r="J247" s="277">
        <v>379</v>
      </c>
      <c r="K247" s="277">
        <v>0</v>
      </c>
      <c r="L247" s="277">
        <v>0</v>
      </c>
      <c r="M247" s="277">
        <v>0</v>
      </c>
      <c r="N247" s="277">
        <v>0</v>
      </c>
      <c r="O247" s="277">
        <v>0</v>
      </c>
      <c r="P247" s="277">
        <v>0</v>
      </c>
      <c r="Q247" s="277">
        <v>0</v>
      </c>
      <c r="R247" s="277">
        <v>0</v>
      </c>
      <c r="S247" s="277">
        <v>0</v>
      </c>
      <c r="T247" s="277">
        <v>0</v>
      </c>
      <c r="V247" s="277">
        <v>0</v>
      </c>
      <c r="W247" s="277">
        <v>0</v>
      </c>
      <c r="X247" s="254">
        <f t="shared" si="210"/>
        <v>1750</v>
      </c>
      <c r="Y247" s="254">
        <f t="shared" si="210"/>
        <v>3261</v>
      </c>
      <c r="Z247" s="254">
        <f t="shared" si="210"/>
        <v>0</v>
      </c>
      <c r="AA247" s="254">
        <f t="shared" si="210"/>
        <v>0</v>
      </c>
      <c r="AB247" s="277">
        <v>0</v>
      </c>
      <c r="AC247" s="277">
        <v>0</v>
      </c>
      <c r="AD247" s="277">
        <v>0</v>
      </c>
    </row>
    <row r="248" spans="3:30" ht="11.25" customHeight="1">
      <c r="C248" s="253" t="s">
        <v>1135</v>
      </c>
      <c r="E248" s="277">
        <v>0</v>
      </c>
      <c r="F248" s="277">
        <v>0</v>
      </c>
      <c r="G248" s="277">
        <v>0</v>
      </c>
      <c r="H248" s="277">
        <v>0</v>
      </c>
      <c r="I248" s="277">
        <v>0</v>
      </c>
      <c r="J248" s="277">
        <v>2306</v>
      </c>
      <c r="K248" s="277">
        <v>0</v>
      </c>
      <c r="L248" s="277">
        <v>0</v>
      </c>
      <c r="M248" s="277">
        <v>0</v>
      </c>
      <c r="N248" s="277">
        <v>0</v>
      </c>
      <c r="O248" s="277">
        <v>0</v>
      </c>
      <c r="P248" s="277">
        <v>0</v>
      </c>
      <c r="Q248" s="277">
        <v>0</v>
      </c>
      <c r="R248" s="277">
        <v>0</v>
      </c>
      <c r="S248" s="277">
        <v>0</v>
      </c>
      <c r="T248" s="277">
        <v>0</v>
      </c>
      <c r="V248" s="277">
        <v>0</v>
      </c>
      <c r="W248" s="277">
        <v>0</v>
      </c>
      <c r="X248" s="254">
        <f t="shared" si="210"/>
        <v>0</v>
      </c>
      <c r="Y248" s="254">
        <f t="shared" si="210"/>
        <v>2306</v>
      </c>
      <c r="Z248" s="254">
        <f t="shared" si="210"/>
        <v>0</v>
      </c>
      <c r="AA248" s="254">
        <f t="shared" si="210"/>
        <v>0</v>
      </c>
      <c r="AB248" s="277">
        <v>0</v>
      </c>
      <c r="AC248" s="277">
        <v>0</v>
      </c>
      <c r="AD248" s="277">
        <v>0</v>
      </c>
    </row>
    <row r="249" spans="3:30" ht="11.25" customHeight="1">
      <c r="C249" s="253" t="s">
        <v>1106</v>
      </c>
      <c r="E249" s="277">
        <v>0</v>
      </c>
      <c r="F249" s="277">
        <v>1</v>
      </c>
      <c r="G249" s="277">
        <v>-628</v>
      </c>
      <c r="H249" s="277">
        <v>297</v>
      </c>
      <c r="I249" s="277">
        <v>0</v>
      </c>
      <c r="J249" s="277">
        <v>-261</v>
      </c>
      <c r="K249" s="277">
        <v>261</v>
      </c>
      <c r="L249" s="277">
        <v>0</v>
      </c>
      <c r="M249" s="277">
        <v>0</v>
      </c>
      <c r="N249" s="277">
        <v>0</v>
      </c>
      <c r="O249" s="277">
        <v>0</v>
      </c>
      <c r="P249" s="277">
        <v>0</v>
      </c>
      <c r="Q249" s="277">
        <v>0</v>
      </c>
      <c r="R249" s="277">
        <v>0</v>
      </c>
      <c r="S249" s="277">
        <v>0</v>
      </c>
      <c r="T249" s="277">
        <v>0</v>
      </c>
      <c r="V249" s="277">
        <v>636</v>
      </c>
      <c r="W249" s="277">
        <v>7</v>
      </c>
      <c r="X249" s="254">
        <f t="shared" si="210"/>
        <v>-330</v>
      </c>
      <c r="Y249" s="254">
        <f t="shared" si="210"/>
        <v>0</v>
      </c>
      <c r="Z249" s="254">
        <f t="shared" si="210"/>
        <v>0</v>
      </c>
      <c r="AA249" s="254">
        <f t="shared" si="210"/>
        <v>0</v>
      </c>
      <c r="AB249" s="277">
        <v>0</v>
      </c>
      <c r="AC249" s="277">
        <v>0</v>
      </c>
      <c r="AD249" s="277">
        <v>0</v>
      </c>
    </row>
    <row r="250" spans="3:30" ht="11.25" customHeight="1">
      <c r="C250" s="253" t="s">
        <v>963</v>
      </c>
      <c r="E250" s="277">
        <v>-16</v>
      </c>
      <c r="F250" s="277">
        <v>-1</v>
      </c>
      <c r="G250" s="277">
        <v>0</v>
      </c>
      <c r="H250" s="277">
        <v>-12</v>
      </c>
      <c r="I250" s="277">
        <v>342</v>
      </c>
      <c r="J250" s="277">
        <v>-13</v>
      </c>
      <c r="K250" s="277">
        <v>-141</v>
      </c>
      <c r="L250" s="277">
        <v>-26</v>
      </c>
      <c r="M250" s="277">
        <v>61</v>
      </c>
      <c r="N250" s="277">
        <v>51</v>
      </c>
      <c r="O250" s="277">
        <v>-12</v>
      </c>
      <c r="P250" s="277">
        <v>-19</v>
      </c>
      <c r="Q250" s="277">
        <v>-13</v>
      </c>
      <c r="R250" s="277">
        <v>-14</v>
      </c>
      <c r="S250" s="277">
        <v>0</v>
      </c>
      <c r="T250" s="277">
        <v>0</v>
      </c>
      <c r="V250" s="277">
        <v>-154</v>
      </c>
      <c r="W250" s="277">
        <v>58</v>
      </c>
      <c r="X250" s="254">
        <f t="shared" si="210"/>
        <v>-29</v>
      </c>
      <c r="Y250" s="254">
        <f t="shared" si="210"/>
        <v>162</v>
      </c>
      <c r="Z250" s="254">
        <f t="shared" si="210"/>
        <v>81</v>
      </c>
      <c r="AA250" s="254">
        <f t="shared" si="210"/>
        <v>-27</v>
      </c>
      <c r="AB250" s="277">
        <v>0</v>
      </c>
      <c r="AC250" s="277">
        <v>0</v>
      </c>
      <c r="AD250" s="277">
        <v>0</v>
      </c>
    </row>
    <row r="251" spans="3:30" s="279" customFormat="1" ht="11.25" customHeight="1">
      <c r="C251" s="289" t="s">
        <v>1143</v>
      </c>
      <c r="E251" s="358">
        <f t="shared" ref="E251:T251" si="211">SUM(E243:E250)</f>
        <v>-609</v>
      </c>
      <c r="F251" s="358">
        <f t="shared" si="211"/>
        <v>-1662</v>
      </c>
      <c r="G251" s="358">
        <f t="shared" si="211"/>
        <v>-1451</v>
      </c>
      <c r="H251" s="358">
        <f t="shared" si="211"/>
        <v>842</v>
      </c>
      <c r="I251" s="358">
        <f t="shared" si="211"/>
        <v>5344</v>
      </c>
      <c r="J251" s="358">
        <f t="shared" si="211"/>
        <v>9722</v>
      </c>
      <c r="K251" s="358">
        <f t="shared" si="211"/>
        <v>10247</v>
      </c>
      <c r="L251" s="358">
        <f t="shared" si="211"/>
        <v>-5957</v>
      </c>
      <c r="M251" s="358">
        <f t="shared" si="211"/>
        <v>-790</v>
      </c>
      <c r="N251" s="358">
        <f t="shared" si="211"/>
        <v>-330</v>
      </c>
      <c r="O251" s="358">
        <f t="shared" si="211"/>
        <v>-1565</v>
      </c>
      <c r="P251" s="358">
        <f t="shared" si="211"/>
        <v>-1167</v>
      </c>
      <c r="Q251" s="358">
        <f t="shared" si="211"/>
        <v>-1456</v>
      </c>
      <c r="R251" s="358">
        <f t="shared" ref="R251" si="212">SUM(R243:R250)</f>
        <v>-966</v>
      </c>
      <c r="S251" s="358">
        <f t="shared" ca="1" si="211"/>
        <v>88793.349339750755</v>
      </c>
      <c r="T251" s="358">
        <f t="shared" ca="1" si="211"/>
        <v>3459.4873472842592</v>
      </c>
      <c r="V251" s="358">
        <f t="shared" ref="V251:AD251" si="213">SUM(V243:V250)</f>
        <v>-730</v>
      </c>
      <c r="W251" s="358">
        <f t="shared" si="213"/>
        <v>-1726</v>
      </c>
      <c r="X251" s="358">
        <f t="shared" si="213"/>
        <v>-2880</v>
      </c>
      <c r="Y251" s="358">
        <f t="shared" si="213"/>
        <v>19356</v>
      </c>
      <c r="Z251" s="358">
        <f t="shared" si="213"/>
        <v>-3852</v>
      </c>
      <c r="AA251" s="358">
        <f t="shared" ca="1" si="213"/>
        <v>89830.836687035015</v>
      </c>
      <c r="AB251" s="358">
        <f t="shared" ca="1" si="213"/>
        <v>6591.4642769419588</v>
      </c>
      <c r="AC251" s="358">
        <f t="shared" ca="1" si="213"/>
        <v>2812.6841836044623</v>
      </c>
      <c r="AD251" s="358">
        <f t="shared" ca="1" si="213"/>
        <v>1013.6643295855611</v>
      </c>
    </row>
    <row r="252" spans="3:30" s="279" customFormat="1" ht="11.25" customHeight="1">
      <c r="C252" s="289"/>
      <c r="E252" s="283"/>
      <c r="F252" s="283"/>
      <c r="G252" s="283"/>
      <c r="H252" s="283"/>
      <c r="I252" s="283"/>
      <c r="J252" s="283"/>
      <c r="K252" s="283"/>
      <c r="L252" s="283"/>
      <c r="M252" s="283"/>
      <c r="N252" s="283"/>
      <c r="O252" s="283"/>
      <c r="P252" s="283"/>
      <c r="Q252" s="283"/>
      <c r="R252" s="283"/>
      <c r="S252" s="283"/>
      <c r="T252" s="283"/>
      <c r="V252" s="283"/>
      <c r="W252" s="283"/>
      <c r="X252" s="283"/>
      <c r="Y252" s="283"/>
      <c r="Z252" s="283"/>
      <c r="AA252" s="283"/>
      <c r="AB252" s="283"/>
      <c r="AC252" s="283"/>
      <c r="AD252" s="283"/>
    </row>
    <row r="253" spans="3:30" ht="11.25" customHeight="1">
      <c r="C253" s="253" t="s">
        <v>1144</v>
      </c>
      <c r="E253" s="255">
        <f t="shared" ref="E253:T253" si="214">E231+E241+E251</f>
        <v>237</v>
      </c>
      <c r="F253" s="255">
        <f t="shared" si="214"/>
        <v>44</v>
      </c>
      <c r="G253" s="255">
        <f t="shared" si="214"/>
        <v>-331</v>
      </c>
      <c r="H253" s="255">
        <f t="shared" si="214"/>
        <v>1032</v>
      </c>
      <c r="I253" s="255">
        <f t="shared" si="214"/>
        <v>2731</v>
      </c>
      <c r="J253" s="255">
        <f t="shared" si="214"/>
        <v>5356</v>
      </c>
      <c r="K253" s="255">
        <f t="shared" si="214"/>
        <v>6528</v>
      </c>
      <c r="L253" s="255">
        <f t="shared" si="214"/>
        <v>-8291</v>
      </c>
      <c r="M253" s="255">
        <f t="shared" si="214"/>
        <v>-159</v>
      </c>
      <c r="N253" s="255">
        <f t="shared" si="214"/>
        <v>1562</v>
      </c>
      <c r="O253" s="255">
        <f t="shared" si="214"/>
        <v>-1798</v>
      </c>
      <c r="P253" s="255">
        <f t="shared" si="214"/>
        <v>-1091</v>
      </c>
      <c r="Q253" s="255">
        <f t="shared" si="214"/>
        <v>-434</v>
      </c>
      <c r="R253" s="255">
        <f t="shared" si="214"/>
        <v>1418</v>
      </c>
      <c r="S253" s="255">
        <f t="shared" ca="1" si="214"/>
        <v>88674</v>
      </c>
      <c r="T253" s="255">
        <f t="shared" ca="1" si="214"/>
        <v>1773.9999999999948</v>
      </c>
      <c r="V253" s="255">
        <f t="shared" ref="V253:AD253" si="215">V231+V241+V251</f>
        <v>-973</v>
      </c>
      <c r="W253" s="255">
        <f t="shared" si="215"/>
        <v>895</v>
      </c>
      <c r="X253" s="255">
        <f t="shared" si="215"/>
        <v>982</v>
      </c>
      <c r="Y253" s="255">
        <f t="shared" si="215"/>
        <v>6324</v>
      </c>
      <c r="Z253" s="255">
        <f t="shared" si="215"/>
        <v>-1486</v>
      </c>
      <c r="AA253" s="255">
        <f t="shared" ca="1" si="215"/>
        <v>91431.999999999985</v>
      </c>
      <c r="AB253" s="255">
        <f t="shared" ca="1" si="215"/>
        <v>2.8740032576024532E-10</v>
      </c>
      <c r="AC253" s="255">
        <f t="shared" ca="1" si="215"/>
        <v>7.4742274591699243E-9</v>
      </c>
      <c r="AD253" s="255">
        <f t="shared" ca="1" si="215"/>
        <v>9.0421053755562752E-8</v>
      </c>
    </row>
    <row r="254" spans="3:30" ht="11.25" customHeight="1">
      <c r="C254" s="253" t="s">
        <v>1145</v>
      </c>
      <c r="E254" s="277">
        <v>2748</v>
      </c>
      <c r="F254" s="254">
        <f>E255</f>
        <v>2985</v>
      </c>
      <c r="G254" s="254">
        <f t="shared" ref="G254:Q254" si="216">F255</f>
        <v>3029</v>
      </c>
      <c r="H254" s="254">
        <f t="shared" si="216"/>
        <v>2698</v>
      </c>
      <c r="I254" s="254">
        <f t="shared" si="216"/>
        <v>3730</v>
      </c>
      <c r="J254" s="254">
        <f t="shared" si="216"/>
        <v>6461</v>
      </c>
      <c r="K254" s="254">
        <f t="shared" si="216"/>
        <v>11817</v>
      </c>
      <c r="L254" s="254">
        <f t="shared" si="216"/>
        <v>18345</v>
      </c>
      <c r="M254" s="254">
        <f t="shared" si="216"/>
        <v>10054</v>
      </c>
      <c r="N254" s="254">
        <f t="shared" si="216"/>
        <v>9895</v>
      </c>
      <c r="O254" s="254">
        <f t="shared" si="216"/>
        <v>11457</v>
      </c>
      <c r="P254" s="254">
        <f t="shared" si="216"/>
        <v>9659</v>
      </c>
      <c r="Q254" s="254">
        <f t="shared" si="216"/>
        <v>8568</v>
      </c>
      <c r="R254" s="254">
        <f>Q255</f>
        <v>8134</v>
      </c>
      <c r="S254" s="254">
        <f>R255</f>
        <v>9552</v>
      </c>
      <c r="T254" s="254">
        <f ca="1">S255</f>
        <v>98226</v>
      </c>
      <c r="V254" s="277">
        <v>2826</v>
      </c>
      <c r="W254" s="254">
        <f>V255</f>
        <v>1853</v>
      </c>
      <c r="X254" s="254">
        <f t="shared" ref="X254:AD254" si="217">W255</f>
        <v>2748</v>
      </c>
      <c r="Y254" s="254">
        <f t="shared" si="217"/>
        <v>3730</v>
      </c>
      <c r="Z254" s="254">
        <f t="shared" si="217"/>
        <v>10054</v>
      </c>
      <c r="AA254" s="254">
        <f t="shared" si="217"/>
        <v>8568</v>
      </c>
      <c r="AB254" s="254">
        <f t="shared" ca="1" si="217"/>
        <v>99999.999999999985</v>
      </c>
      <c r="AC254" s="254">
        <f t="shared" ca="1" si="217"/>
        <v>99999.999999999462</v>
      </c>
      <c r="AD254" s="254">
        <f t="shared" ca="1" si="217"/>
        <v>99999.999999986627</v>
      </c>
    </row>
    <row r="255" spans="3:30" s="279" customFormat="1" ht="11.25" customHeight="1">
      <c r="C255" s="289" t="s">
        <v>1146</v>
      </c>
      <c r="E255" s="358">
        <f>SUM(E253:E254)</f>
        <v>2985</v>
      </c>
      <c r="F255" s="358">
        <f t="shared" ref="F255:P255" si="218">SUM(F253:F254)</f>
        <v>3029</v>
      </c>
      <c r="G255" s="358">
        <f t="shared" si="218"/>
        <v>2698</v>
      </c>
      <c r="H255" s="358">
        <f t="shared" si="218"/>
        <v>3730</v>
      </c>
      <c r="I255" s="358">
        <f t="shared" si="218"/>
        <v>6461</v>
      </c>
      <c r="J255" s="358">
        <f t="shared" si="218"/>
        <v>11817</v>
      </c>
      <c r="K255" s="358">
        <f t="shared" si="218"/>
        <v>18345</v>
      </c>
      <c r="L255" s="358">
        <f t="shared" si="218"/>
        <v>10054</v>
      </c>
      <c r="M255" s="358">
        <f t="shared" si="218"/>
        <v>9895</v>
      </c>
      <c r="N255" s="358">
        <f t="shared" si="218"/>
        <v>11457</v>
      </c>
      <c r="O255" s="358">
        <f t="shared" si="218"/>
        <v>9659</v>
      </c>
      <c r="P255" s="358">
        <f t="shared" si="218"/>
        <v>8568</v>
      </c>
      <c r="Q255" s="358">
        <f>SUM(Q253:Q254)</f>
        <v>8134</v>
      </c>
      <c r="R255" s="358">
        <f>SUM(R253:R254)</f>
        <v>9552</v>
      </c>
      <c r="S255" s="358">
        <f ca="1">SUM(S253:S254)</f>
        <v>98226</v>
      </c>
      <c r="T255" s="358">
        <f ca="1">SUM(T253:T254)</f>
        <v>100000</v>
      </c>
      <c r="V255" s="358">
        <f t="shared" ref="V255:AD255" si="219">SUM(V253:V254)</f>
        <v>1853</v>
      </c>
      <c r="W255" s="358">
        <f t="shared" si="219"/>
        <v>2748</v>
      </c>
      <c r="X255" s="358">
        <f t="shared" si="219"/>
        <v>3730</v>
      </c>
      <c r="Y255" s="358">
        <f t="shared" si="219"/>
        <v>10054</v>
      </c>
      <c r="Z255" s="358">
        <f t="shared" si="219"/>
        <v>8568</v>
      </c>
      <c r="AA255" s="358">
        <f t="shared" ca="1" si="219"/>
        <v>99999.999999999985</v>
      </c>
      <c r="AB255" s="358">
        <f t="shared" ca="1" si="219"/>
        <v>100000.00000000028</v>
      </c>
      <c r="AC255" s="358">
        <f t="shared" ca="1" si="219"/>
        <v>100000.00000000694</v>
      </c>
      <c r="AD255" s="358">
        <f t="shared" ca="1" si="219"/>
        <v>100000.00000007705</v>
      </c>
    </row>
    <row r="257" spans="2:30" s="284" customFormat="1" ht="11.25" customHeight="1">
      <c r="C257" s="284" t="s">
        <v>233</v>
      </c>
      <c r="E257" s="284">
        <f t="shared" ref="E257:T257" si="220">E255-E116-E132-E117</f>
        <v>0</v>
      </c>
      <c r="F257" s="284">
        <f t="shared" si="220"/>
        <v>0</v>
      </c>
      <c r="G257" s="284">
        <f t="shared" si="220"/>
        <v>0</v>
      </c>
      <c r="H257" s="284">
        <f t="shared" si="220"/>
        <v>0</v>
      </c>
      <c r="I257" s="284">
        <f t="shared" si="220"/>
        <v>0</v>
      </c>
      <c r="J257" s="284">
        <f t="shared" si="220"/>
        <v>0</v>
      </c>
      <c r="K257" s="284">
        <f t="shared" si="220"/>
        <v>0</v>
      </c>
      <c r="L257" s="284">
        <f t="shared" si="220"/>
        <v>0</v>
      </c>
      <c r="M257" s="284">
        <f t="shared" si="220"/>
        <v>0</v>
      </c>
      <c r="N257" s="284">
        <f t="shared" si="220"/>
        <v>0</v>
      </c>
      <c r="O257" s="284">
        <f t="shared" si="220"/>
        <v>0</v>
      </c>
      <c r="P257" s="284">
        <f t="shared" si="220"/>
        <v>0</v>
      </c>
      <c r="Q257" s="284">
        <f t="shared" si="220"/>
        <v>0</v>
      </c>
      <c r="R257" s="284">
        <f t="shared" si="220"/>
        <v>0</v>
      </c>
      <c r="S257" s="284">
        <f t="shared" ca="1" si="220"/>
        <v>0</v>
      </c>
      <c r="T257" s="284">
        <f t="shared" ca="1" si="220"/>
        <v>0</v>
      </c>
      <c r="V257" s="284">
        <f t="shared" ref="V257:AD257" si="221">V255-V116-V132-V117</f>
        <v>0</v>
      </c>
      <c r="W257" s="284">
        <f t="shared" si="221"/>
        <v>0</v>
      </c>
      <c r="X257" s="284">
        <f t="shared" si="221"/>
        <v>0</v>
      </c>
      <c r="Y257" s="284">
        <f t="shared" si="221"/>
        <v>0</v>
      </c>
      <c r="Z257" s="284">
        <f t="shared" si="221"/>
        <v>0</v>
      </c>
      <c r="AA257" s="284">
        <f t="shared" ca="1" si="221"/>
        <v>-1.4551915228366852E-11</v>
      </c>
      <c r="AB257" s="284">
        <f t="shared" ca="1" si="221"/>
        <v>8.149072527885437E-10</v>
      </c>
      <c r="AC257" s="284">
        <f t="shared" ca="1" si="221"/>
        <v>2.0314473658800125E-8</v>
      </c>
      <c r="AD257" s="284">
        <f t="shared" ca="1" si="221"/>
        <v>2.2232416085898876E-7</v>
      </c>
    </row>
    <row r="258" spans="2:30" ht="11.25" hidden="1" customHeight="1">
      <c r="B258" s="649"/>
    </row>
    <row r="259" spans="2:30" ht="11.25" hidden="1" customHeight="1">
      <c r="B259" s="649"/>
      <c r="C259" s="253" t="s">
        <v>1147</v>
      </c>
      <c r="E259" s="255">
        <f t="shared" ref="E259:T259" si="222">E231</f>
        <v>1942</v>
      </c>
      <c r="F259" s="255">
        <f t="shared" si="222"/>
        <v>3268</v>
      </c>
      <c r="G259" s="255">
        <f t="shared" si="222"/>
        <v>2245</v>
      </c>
      <c r="H259" s="255">
        <f t="shared" si="222"/>
        <v>969</v>
      </c>
      <c r="I259" s="255">
        <f t="shared" si="222"/>
        <v>358</v>
      </c>
      <c r="J259" s="255">
        <f t="shared" si="222"/>
        <v>-290</v>
      </c>
      <c r="K259" s="255">
        <f t="shared" si="222"/>
        <v>-2575</v>
      </c>
      <c r="L259" s="255">
        <f t="shared" si="222"/>
        <v>-1286</v>
      </c>
      <c r="M259" s="255">
        <f t="shared" si="222"/>
        <v>691</v>
      </c>
      <c r="N259" s="255">
        <f t="shared" si="222"/>
        <v>1866</v>
      </c>
      <c r="O259" s="255">
        <f t="shared" si="222"/>
        <v>151</v>
      </c>
      <c r="P259" s="255">
        <f t="shared" si="222"/>
        <v>555</v>
      </c>
      <c r="Q259" s="255">
        <f t="shared" si="222"/>
        <v>1771</v>
      </c>
      <c r="R259" s="255">
        <f t="shared" si="222"/>
        <v>2535</v>
      </c>
      <c r="S259" s="255">
        <f t="shared" ca="1" si="222"/>
        <v>1470.8896505889534</v>
      </c>
      <c r="T259" s="255">
        <f t="shared" ca="1" si="222"/>
        <v>74.632797233573001</v>
      </c>
      <c r="V259" s="255">
        <f t="shared" ref="V259:AD259" si="223">V231</f>
        <v>5023</v>
      </c>
      <c r="W259" s="255">
        <f t="shared" si="223"/>
        <v>7014</v>
      </c>
      <c r="X259" s="255">
        <f t="shared" si="223"/>
        <v>8424</v>
      </c>
      <c r="Y259" s="255">
        <f t="shared" si="223"/>
        <v>-3793</v>
      </c>
      <c r="Z259" s="255">
        <f t="shared" si="223"/>
        <v>3263</v>
      </c>
      <c r="AA259" s="255">
        <f t="shared" ca="1" si="223"/>
        <v>5851.5224478225264</v>
      </c>
      <c r="AB259" s="255">
        <f t="shared" ca="1" si="223"/>
        <v>-601.90736292447809</v>
      </c>
      <c r="AC259" s="255">
        <f t="shared" ca="1" si="223"/>
        <v>3696.7019613393804</v>
      </c>
      <c r="AD259" s="255">
        <f t="shared" ca="1" si="223"/>
        <v>4976.7080705478484</v>
      </c>
    </row>
    <row r="260" spans="2:30" ht="11.25" hidden="1" customHeight="1">
      <c r="B260" s="649"/>
      <c r="C260" s="253" t="s">
        <v>977</v>
      </c>
      <c r="E260" s="255">
        <f t="shared" ref="E260:T260" si="224">E241</f>
        <v>-1096</v>
      </c>
      <c r="F260" s="255">
        <f t="shared" si="224"/>
        <v>-1562</v>
      </c>
      <c r="G260" s="255">
        <f t="shared" si="224"/>
        <v>-1125</v>
      </c>
      <c r="H260" s="255">
        <f t="shared" si="224"/>
        <v>-779</v>
      </c>
      <c r="I260" s="255">
        <f t="shared" si="224"/>
        <v>-2971</v>
      </c>
      <c r="J260" s="255">
        <f t="shared" si="224"/>
        <v>-4076</v>
      </c>
      <c r="K260" s="255">
        <f t="shared" si="224"/>
        <v>-1144</v>
      </c>
      <c r="L260" s="255">
        <f t="shared" si="224"/>
        <v>-1048</v>
      </c>
      <c r="M260" s="255">
        <f t="shared" si="224"/>
        <v>-60</v>
      </c>
      <c r="N260" s="255">
        <f t="shared" si="224"/>
        <v>26</v>
      </c>
      <c r="O260" s="255">
        <f t="shared" si="224"/>
        <v>-384</v>
      </c>
      <c r="P260" s="255">
        <f t="shared" si="224"/>
        <v>-479</v>
      </c>
      <c r="Q260" s="255">
        <f t="shared" si="224"/>
        <v>-749</v>
      </c>
      <c r="R260" s="255">
        <f t="shared" si="224"/>
        <v>-151</v>
      </c>
      <c r="S260" s="255">
        <f t="shared" si="224"/>
        <v>-1590.2389903397143</v>
      </c>
      <c r="T260" s="255">
        <f t="shared" si="224"/>
        <v>-1760.1201445178374</v>
      </c>
      <c r="V260" s="255">
        <f t="shared" ref="V260:AD260" si="225">V241</f>
        <v>-5266</v>
      </c>
      <c r="W260" s="255">
        <f t="shared" si="225"/>
        <v>-4393</v>
      </c>
      <c r="X260" s="255">
        <f t="shared" si="225"/>
        <v>-4562</v>
      </c>
      <c r="Y260" s="255">
        <f t="shared" si="225"/>
        <v>-9239</v>
      </c>
      <c r="Z260" s="255">
        <f t="shared" si="225"/>
        <v>-897</v>
      </c>
      <c r="AA260" s="255">
        <f t="shared" si="225"/>
        <v>-4250.3591348575519</v>
      </c>
      <c r="AB260" s="255">
        <f t="shared" si="225"/>
        <v>-5989.5569140171938</v>
      </c>
      <c r="AC260" s="255">
        <f t="shared" si="225"/>
        <v>-6509.3861449363685</v>
      </c>
      <c r="AD260" s="255">
        <f t="shared" si="225"/>
        <v>-5990.3724000429884</v>
      </c>
    </row>
    <row r="261" spans="2:30" ht="11.25" hidden="1" customHeight="1">
      <c r="B261" s="649"/>
      <c r="C261" s="253" t="s">
        <v>1148</v>
      </c>
      <c r="E261" s="255">
        <f t="shared" ref="E261:T261" si="226">-SUM(E237:E238)</f>
        <v>-206</v>
      </c>
      <c r="F261" s="255">
        <f t="shared" si="226"/>
        <v>0</v>
      </c>
      <c r="G261" s="255">
        <f t="shared" si="226"/>
        <v>0</v>
      </c>
      <c r="H261" s="255">
        <f t="shared" si="226"/>
        <v>-278</v>
      </c>
      <c r="I261" s="255">
        <f t="shared" si="226"/>
        <v>2099</v>
      </c>
      <c r="J261" s="255">
        <f t="shared" si="226"/>
        <v>4301</v>
      </c>
      <c r="K261" s="255">
        <f t="shared" si="226"/>
        <v>745</v>
      </c>
      <c r="L261" s="255">
        <f t="shared" si="226"/>
        <v>745</v>
      </c>
      <c r="M261" s="255">
        <f t="shared" si="226"/>
        <v>-210</v>
      </c>
      <c r="N261" s="255">
        <f t="shared" si="226"/>
        <v>-696</v>
      </c>
      <c r="O261" s="255">
        <f t="shared" si="226"/>
        <v>-452</v>
      </c>
      <c r="P261" s="255">
        <f t="shared" si="226"/>
        <v>-1022</v>
      </c>
      <c r="Q261" s="255">
        <f t="shared" si="226"/>
        <v>-1120</v>
      </c>
      <c r="R261" s="255">
        <f t="shared" si="226"/>
        <v>-695</v>
      </c>
      <c r="S261" s="255">
        <f t="shared" si="226"/>
        <v>0</v>
      </c>
      <c r="T261" s="255">
        <f t="shared" si="226"/>
        <v>0</v>
      </c>
      <c r="V261" s="255">
        <f t="shared" ref="V261:AD261" si="227">-SUM(V237:V238)</f>
        <v>1586</v>
      </c>
      <c r="W261" s="255">
        <f t="shared" si="227"/>
        <v>-649</v>
      </c>
      <c r="X261" s="255">
        <f t="shared" si="227"/>
        <v>-484</v>
      </c>
      <c r="Y261" s="255">
        <f t="shared" si="227"/>
        <v>7890</v>
      </c>
      <c r="Z261" s="255">
        <f t="shared" si="227"/>
        <v>-2380</v>
      </c>
      <c r="AA261" s="255">
        <f t="shared" si="227"/>
        <v>-1815</v>
      </c>
      <c r="AB261" s="255">
        <f t="shared" si="227"/>
        <v>0</v>
      </c>
      <c r="AC261" s="255">
        <f t="shared" si="227"/>
        <v>0</v>
      </c>
      <c r="AD261" s="255">
        <f t="shared" si="227"/>
        <v>0</v>
      </c>
    </row>
    <row r="262" spans="2:30" ht="11.25" hidden="1" customHeight="1">
      <c r="B262" s="649"/>
      <c r="C262" s="253" t="s">
        <v>1149</v>
      </c>
      <c r="E262" s="255">
        <f t="shared" ref="E262:T262" si="228">-E240</f>
        <v>0</v>
      </c>
      <c r="F262" s="255">
        <f t="shared" si="228"/>
        <v>89</v>
      </c>
      <c r="G262" s="255">
        <f t="shared" si="228"/>
        <v>81</v>
      </c>
      <c r="H262" s="255">
        <f t="shared" si="228"/>
        <v>0</v>
      </c>
      <c r="I262" s="255">
        <f t="shared" si="228"/>
        <v>0</v>
      </c>
      <c r="J262" s="255">
        <f t="shared" si="228"/>
        <v>0</v>
      </c>
      <c r="K262" s="255">
        <f t="shared" si="228"/>
        <v>235</v>
      </c>
      <c r="L262" s="255">
        <f t="shared" si="228"/>
        <v>-142</v>
      </c>
      <c r="M262" s="255">
        <f t="shared" si="228"/>
        <v>-19</v>
      </c>
      <c r="N262" s="255">
        <f t="shared" si="228"/>
        <v>-74</v>
      </c>
      <c r="O262" s="255">
        <f t="shared" si="228"/>
        <v>0</v>
      </c>
      <c r="P262" s="255">
        <f t="shared" si="228"/>
        <v>274</v>
      </c>
      <c r="Q262" s="255">
        <f t="shared" si="228"/>
        <v>100</v>
      </c>
      <c r="R262" s="255">
        <f t="shared" si="228"/>
        <v>0</v>
      </c>
      <c r="S262" s="255">
        <f t="shared" si="228"/>
        <v>0</v>
      </c>
      <c r="T262" s="255">
        <f t="shared" si="228"/>
        <v>0</v>
      </c>
      <c r="V262" s="255">
        <f t="shared" ref="V262:AD262" si="229">-V240</f>
        <v>0</v>
      </c>
      <c r="W262" s="255">
        <f t="shared" si="229"/>
        <v>-126</v>
      </c>
      <c r="X262" s="255">
        <f t="shared" si="229"/>
        <v>170</v>
      </c>
      <c r="Y262" s="255">
        <f t="shared" si="229"/>
        <v>93</v>
      </c>
      <c r="Z262" s="255">
        <f t="shared" si="229"/>
        <v>181</v>
      </c>
      <c r="AA262" s="255">
        <f t="shared" si="229"/>
        <v>100</v>
      </c>
      <c r="AB262" s="255">
        <f t="shared" si="229"/>
        <v>0</v>
      </c>
      <c r="AC262" s="255">
        <f t="shared" si="229"/>
        <v>0</v>
      </c>
      <c r="AD262" s="255">
        <f t="shared" si="229"/>
        <v>0</v>
      </c>
    </row>
    <row r="263" spans="2:30" ht="11.25" hidden="1" customHeight="1">
      <c r="B263" s="649"/>
      <c r="C263" s="253" t="s">
        <v>1150</v>
      </c>
      <c r="E263" s="277">
        <v>111</v>
      </c>
      <c r="F263" s="277">
        <v>54</v>
      </c>
      <c r="G263" s="277">
        <v>221</v>
      </c>
      <c r="H263" s="277">
        <v>-49</v>
      </c>
      <c r="I263" s="277">
        <v>353</v>
      </c>
      <c r="J263" s="277">
        <v>43</v>
      </c>
      <c r="K263" s="277">
        <v>208</v>
      </c>
      <c r="L263" s="277">
        <v>116</v>
      </c>
      <c r="M263" s="277">
        <v>308</v>
      </c>
      <c r="N263" s="277">
        <v>329</v>
      </c>
      <c r="O263" s="277">
        <v>222</v>
      </c>
      <c r="P263" s="277">
        <v>231</v>
      </c>
      <c r="Q263" s="277">
        <v>0</v>
      </c>
      <c r="R263" s="277">
        <v>0</v>
      </c>
      <c r="S263" s="277">
        <v>0</v>
      </c>
      <c r="T263" s="277">
        <v>0</v>
      </c>
      <c r="V263" s="277">
        <v>0</v>
      </c>
      <c r="W263" s="277">
        <v>0</v>
      </c>
      <c r="X263" s="277">
        <v>0</v>
      </c>
      <c r="Y263" s="277">
        <v>0</v>
      </c>
      <c r="Z263" s="277">
        <v>0</v>
      </c>
      <c r="AA263" s="277">
        <v>0</v>
      </c>
      <c r="AB263" s="277">
        <v>0</v>
      </c>
      <c r="AC263" s="277">
        <v>0</v>
      </c>
      <c r="AD263" s="277">
        <v>0</v>
      </c>
    </row>
    <row r="264" spans="2:30" s="279" customFormat="1" ht="11.25" hidden="1" customHeight="1">
      <c r="B264" s="689"/>
      <c r="C264" s="289" t="s">
        <v>1151</v>
      </c>
      <c r="E264" s="358">
        <f t="shared" ref="E264:J264" si="230">SUM(E259:E263)</f>
        <v>751</v>
      </c>
      <c r="F264" s="358">
        <f t="shared" si="230"/>
        <v>1849</v>
      </c>
      <c r="G264" s="358">
        <f t="shared" si="230"/>
        <v>1422</v>
      </c>
      <c r="H264" s="358">
        <f t="shared" si="230"/>
        <v>-137</v>
      </c>
      <c r="I264" s="358">
        <f t="shared" si="230"/>
        <v>-161</v>
      </c>
      <c r="J264" s="358">
        <f t="shared" si="230"/>
        <v>-22</v>
      </c>
      <c r="K264" s="358">
        <f>SUM(K259:K263)</f>
        <v>-2531</v>
      </c>
      <c r="L264" s="358">
        <f>SUM(L259:L263)</f>
        <v>-1615</v>
      </c>
      <c r="M264" s="358">
        <f t="shared" ref="M264:T264" si="231">SUM(M259:M263)</f>
        <v>710</v>
      </c>
      <c r="N264" s="358">
        <f t="shared" si="231"/>
        <v>1451</v>
      </c>
      <c r="O264" s="358">
        <f t="shared" si="231"/>
        <v>-463</v>
      </c>
      <c r="P264" s="358">
        <f t="shared" si="231"/>
        <v>-441</v>
      </c>
      <c r="Q264" s="358">
        <f t="shared" si="231"/>
        <v>2</v>
      </c>
      <c r="R264" s="358">
        <f t="shared" si="231"/>
        <v>1689</v>
      </c>
      <c r="S264" s="358">
        <f t="shared" ca="1" si="231"/>
        <v>-119.34933975076092</v>
      </c>
      <c r="T264" s="358">
        <f t="shared" ca="1" si="231"/>
        <v>-1685.4873472842644</v>
      </c>
      <c r="V264" s="358">
        <f t="shared" ref="V264:AD264" si="232">SUM(V259:V263)</f>
        <v>1343</v>
      </c>
      <c r="W264" s="358">
        <f t="shared" si="232"/>
        <v>1846</v>
      </c>
      <c r="X264" s="358">
        <f t="shared" si="232"/>
        <v>3548</v>
      </c>
      <c r="Y264" s="358">
        <f t="shared" si="232"/>
        <v>-5049</v>
      </c>
      <c r="Z264" s="358">
        <f t="shared" si="232"/>
        <v>167</v>
      </c>
      <c r="AA264" s="358">
        <f t="shared" ca="1" si="232"/>
        <v>-113.83668703502553</v>
      </c>
      <c r="AB264" s="358">
        <f t="shared" ca="1" si="232"/>
        <v>-6591.4642769416714</v>
      </c>
      <c r="AC264" s="358">
        <f t="shared" ca="1" si="232"/>
        <v>-2812.6841835969881</v>
      </c>
      <c r="AD264" s="358">
        <f t="shared" ca="1" si="232"/>
        <v>-1013.66432949514</v>
      </c>
    </row>
    <row r="265" spans="2:30" s="279" customFormat="1" ht="11.25" hidden="1" customHeight="1">
      <c r="B265" s="689"/>
      <c r="C265" s="289"/>
    </row>
    <row r="266" spans="2:30" ht="11.25" hidden="1" customHeight="1">
      <c r="B266" s="649"/>
      <c r="C266" s="253" t="s">
        <v>1152</v>
      </c>
      <c r="E266" s="277">
        <v>0</v>
      </c>
      <c r="F266" s="277">
        <v>0</v>
      </c>
      <c r="G266" s="277">
        <v>0</v>
      </c>
      <c r="H266" s="277">
        <v>0</v>
      </c>
      <c r="I266" s="277">
        <v>0</v>
      </c>
      <c r="J266" s="277">
        <v>-465</v>
      </c>
      <c r="K266" s="277">
        <v>37</v>
      </c>
      <c r="L266" s="277">
        <v>310</v>
      </c>
      <c r="M266" s="277">
        <v>0</v>
      </c>
      <c r="N266" s="277">
        <v>0</v>
      </c>
      <c r="O266" s="277">
        <v>0</v>
      </c>
      <c r="P266" s="277">
        <v>0</v>
      </c>
      <c r="Q266" s="277">
        <v>0</v>
      </c>
      <c r="R266" s="277">
        <v>0</v>
      </c>
      <c r="S266" s="277">
        <v>0</v>
      </c>
      <c r="T266" s="277">
        <v>0</v>
      </c>
      <c r="V266" s="277">
        <v>0</v>
      </c>
      <c r="W266" s="277">
        <v>0</v>
      </c>
      <c r="X266" s="277">
        <v>0</v>
      </c>
      <c r="Y266" s="277">
        <v>0</v>
      </c>
      <c r="Z266" s="277">
        <v>0</v>
      </c>
      <c r="AA266" s="277">
        <v>0</v>
      </c>
      <c r="AB266" s="277">
        <v>0</v>
      </c>
      <c r="AC266" s="277">
        <v>0</v>
      </c>
      <c r="AD266" s="277">
        <v>0</v>
      </c>
    </row>
    <row r="267" spans="2:30" ht="11.25" hidden="1" customHeight="1">
      <c r="B267" s="649"/>
      <c r="C267" s="253" t="s">
        <v>1153</v>
      </c>
      <c r="E267" s="277">
        <v>0</v>
      </c>
      <c r="F267" s="277">
        <v>0</v>
      </c>
      <c r="G267" s="277">
        <v>0</v>
      </c>
      <c r="H267" s="277">
        <v>0</v>
      </c>
      <c r="I267" s="277">
        <v>0</v>
      </c>
      <c r="J267" s="277">
        <v>-3455</v>
      </c>
      <c r="K267" s="277">
        <v>-491</v>
      </c>
      <c r="L267" s="277">
        <v>0</v>
      </c>
      <c r="M267" s="277">
        <v>0</v>
      </c>
      <c r="N267" s="277">
        <v>0</v>
      </c>
      <c r="O267" s="277">
        <v>0</v>
      </c>
      <c r="P267" s="277">
        <v>0</v>
      </c>
      <c r="Q267" s="277">
        <v>0</v>
      </c>
      <c r="R267" s="277">
        <v>0</v>
      </c>
      <c r="S267" s="277">
        <v>0</v>
      </c>
      <c r="T267" s="277">
        <v>0</v>
      </c>
      <c r="V267" s="277">
        <v>0</v>
      </c>
      <c r="W267" s="277">
        <v>0</v>
      </c>
      <c r="X267" s="277">
        <v>0</v>
      </c>
      <c r="Y267" s="277">
        <v>0</v>
      </c>
      <c r="Z267" s="277">
        <v>0</v>
      </c>
      <c r="AA267" s="277">
        <v>0</v>
      </c>
      <c r="AB267" s="277">
        <v>0</v>
      </c>
      <c r="AC267" s="277">
        <v>0</v>
      </c>
      <c r="AD267" s="277">
        <v>0</v>
      </c>
    </row>
    <row r="268" spans="2:30" ht="11.25" hidden="1" customHeight="1">
      <c r="B268" s="649"/>
      <c r="C268" s="253" t="s">
        <v>1154</v>
      </c>
      <c r="E268" s="277">
        <v>0</v>
      </c>
      <c r="F268" s="277">
        <v>0</v>
      </c>
      <c r="G268" s="277">
        <v>0</v>
      </c>
      <c r="H268" s="277">
        <v>0</v>
      </c>
      <c r="I268" s="277">
        <v>0</v>
      </c>
      <c r="J268" s="277">
        <v>0</v>
      </c>
      <c r="K268" s="277">
        <v>813</v>
      </c>
      <c r="L268" s="277">
        <v>206</v>
      </c>
      <c r="M268" s="277">
        <v>0</v>
      </c>
      <c r="N268" s="277">
        <v>0</v>
      </c>
      <c r="O268" s="277">
        <v>0</v>
      </c>
      <c r="P268" s="277">
        <v>0</v>
      </c>
      <c r="Q268" s="277">
        <v>0</v>
      </c>
      <c r="R268" s="277">
        <v>0</v>
      </c>
      <c r="S268" s="277">
        <v>0</v>
      </c>
      <c r="T268" s="277">
        <v>0</v>
      </c>
      <c r="V268" s="277">
        <v>0</v>
      </c>
      <c r="W268" s="277">
        <v>0</v>
      </c>
      <c r="X268" s="277">
        <v>0</v>
      </c>
      <c r="Y268" s="277">
        <v>0</v>
      </c>
      <c r="Z268" s="277">
        <v>0</v>
      </c>
      <c r="AA268" s="277">
        <v>0</v>
      </c>
      <c r="AB268" s="277">
        <v>0</v>
      </c>
      <c r="AC268" s="277">
        <v>0</v>
      </c>
      <c r="AD268" s="277">
        <v>0</v>
      </c>
    </row>
    <row r="269" spans="2:30" s="279" customFormat="1" ht="11.25" hidden="1" customHeight="1">
      <c r="B269" s="689"/>
      <c r="C269" s="289" t="s">
        <v>1155</v>
      </c>
      <c r="E269" s="396">
        <f t="shared" ref="E269:J269" si="233">E264+SUM(E266:E268)</f>
        <v>751</v>
      </c>
      <c r="F269" s="396">
        <f t="shared" si="233"/>
        <v>1849</v>
      </c>
      <c r="G269" s="396">
        <f t="shared" si="233"/>
        <v>1422</v>
      </c>
      <c r="H269" s="396">
        <f t="shared" si="233"/>
        <v>-137</v>
      </c>
      <c r="I269" s="396">
        <f t="shared" si="233"/>
        <v>-161</v>
      </c>
      <c r="J269" s="396">
        <f t="shared" si="233"/>
        <v>-3942</v>
      </c>
      <c r="K269" s="396">
        <f>K264+SUM(K266:K268)</f>
        <v>-2172</v>
      </c>
      <c r="L269" s="396">
        <f>L264+SUM(L266:L268)</f>
        <v>-1099</v>
      </c>
      <c r="M269" s="396">
        <f t="shared" ref="M269:T269" si="234">M264+SUM(M266:M268)</f>
        <v>710</v>
      </c>
      <c r="N269" s="396">
        <f t="shared" si="234"/>
        <v>1451</v>
      </c>
      <c r="O269" s="396">
        <f t="shared" si="234"/>
        <v>-463</v>
      </c>
      <c r="P269" s="396">
        <f t="shared" si="234"/>
        <v>-441</v>
      </c>
      <c r="Q269" s="396">
        <f t="shared" si="234"/>
        <v>2</v>
      </c>
      <c r="R269" s="396">
        <f t="shared" si="234"/>
        <v>1689</v>
      </c>
      <c r="S269" s="396">
        <f t="shared" ca="1" si="234"/>
        <v>-119.34933975076092</v>
      </c>
      <c r="T269" s="396">
        <f t="shared" ca="1" si="234"/>
        <v>-1685.4873472842644</v>
      </c>
      <c r="V269" s="396">
        <f t="shared" ref="V269:AD269" si="235">V264+SUM(V266:V268)</f>
        <v>1343</v>
      </c>
      <c r="W269" s="396">
        <f t="shared" si="235"/>
        <v>1846</v>
      </c>
      <c r="X269" s="396">
        <f t="shared" si="235"/>
        <v>3548</v>
      </c>
      <c r="Y269" s="396">
        <f t="shared" si="235"/>
        <v>-5049</v>
      </c>
      <c r="Z269" s="396">
        <f t="shared" si="235"/>
        <v>167</v>
      </c>
      <c r="AA269" s="396">
        <f t="shared" ca="1" si="235"/>
        <v>-113.83668703502553</v>
      </c>
      <c r="AB269" s="396">
        <f t="shared" ca="1" si="235"/>
        <v>-6591.4642769416714</v>
      </c>
      <c r="AC269" s="396">
        <f t="shared" ca="1" si="235"/>
        <v>-2812.6841835969881</v>
      </c>
      <c r="AD269" s="396">
        <f t="shared" ca="1" si="235"/>
        <v>-1013.66432949514</v>
      </c>
    </row>
    <row r="270" spans="2:30" s="279" customFormat="1" ht="11.25" hidden="1" customHeight="1">
      <c r="B270" s="689"/>
      <c r="C270" s="289"/>
      <c r="E270" s="602"/>
      <c r="F270" s="602"/>
      <c r="G270" s="602"/>
      <c r="H270" s="602"/>
      <c r="I270" s="602"/>
      <c r="J270" s="602"/>
      <c r="K270" s="602"/>
      <c r="L270" s="602"/>
      <c r="M270" s="602"/>
      <c r="N270" s="602"/>
      <c r="O270" s="602"/>
      <c r="P270" s="602"/>
      <c r="Q270" s="602"/>
      <c r="R270" s="602"/>
      <c r="S270" s="602"/>
      <c r="T270" s="602"/>
      <c r="V270" s="602"/>
      <c r="W270" s="602"/>
      <c r="X270" s="602"/>
      <c r="Y270" s="602"/>
      <c r="Z270" s="602"/>
      <c r="AA270" s="602"/>
      <c r="AB270" s="602"/>
      <c r="AC270" s="602"/>
      <c r="AD270" s="602"/>
    </row>
  </sheetData>
  <pageMargins left="0.7" right="0.7" top="0.75" bottom="0.75" header="0.3" footer="0.3"/>
  <pageSetup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89726-08DF-4C1A-8CCB-08354F582BE1}">
  <sheetPr>
    <tabColor theme="7" tint="0.39997558519241921"/>
  </sheetPr>
  <dimension ref="A1:AQ333"/>
  <sheetViews>
    <sheetView showGridLines="0" zoomScaleNormal="100" workbookViewId="0">
      <pane xSplit="4" ySplit="6" topLeftCell="E7" activePane="bottomRight" state="frozen"/>
      <selection activeCell="I40" sqref="I40"/>
      <selection pane="topRight" activeCell="I40" sqref="I40"/>
      <selection pane="bottomLeft" activeCell="I40" sqref="I40"/>
      <selection pane="bottomRight" activeCell="B1" sqref="B1"/>
    </sheetView>
  </sheetViews>
  <sheetFormatPr defaultColWidth="9.19921875" defaultRowHeight="11.25" customHeight="1" outlineLevelRow="1" outlineLevelCol="1"/>
  <cols>
    <col min="1" max="2" width="1.796875" style="253" customWidth="1"/>
    <col min="3" max="3" width="35.796875" style="253" customWidth="1"/>
    <col min="4" max="4" width="9.19921875" style="253" hidden="1" customWidth="1" outlineLevel="1"/>
    <col min="5" max="5" width="9.19921875" style="253" customWidth="1" collapsed="1"/>
    <col min="6" max="18" width="9.19921875" style="253" customWidth="1"/>
    <col min="19" max="20" width="9.19921875" style="253" customWidth="1" outlineLevel="1"/>
    <col min="21" max="21" width="9.19921875" style="253" bestFit="1" customWidth="1"/>
    <col min="22" max="23" width="9.19921875" style="253" customWidth="1" outlineLevel="1"/>
    <col min="24" max="30" width="9.19921875" style="253" customWidth="1"/>
    <col min="31" max="32" width="9.19921875" style="253" bestFit="1" customWidth="1"/>
    <col min="33" max="33" width="9.19921875" style="253" customWidth="1"/>
    <col min="34" max="16384" width="9.19921875" style="253"/>
  </cols>
  <sheetData>
    <row r="1" spans="1:43" ht="11.25" customHeight="1">
      <c r="A1" s="378" t="str">
        <f ca="1">'DAL One Pager'!$D$2</f>
        <v>Delta Air Lines Inc</v>
      </c>
    </row>
    <row r="2" spans="1:43" ht="11.25" customHeight="1">
      <c r="A2" s="691" t="str">
        <f>'DAL Financials'!$A$2</f>
        <v>(All Values in US$ millions)</v>
      </c>
    </row>
    <row r="3" spans="1:43" ht="11.25" customHeight="1">
      <c r="A3" s="692"/>
      <c r="E3" s="284"/>
      <c r="F3" s="284"/>
      <c r="G3" s="284"/>
      <c r="AD3" s="284"/>
    </row>
    <row r="4" spans="1:43" ht="11.25" customHeight="1">
      <c r="A4" s="692"/>
    </row>
    <row r="5" spans="1:43" ht="12.75" customHeight="1">
      <c r="B5" s="276"/>
      <c r="C5" s="633" t="s">
        <v>65</v>
      </c>
      <c r="D5" s="276"/>
      <c r="E5" s="275">
        <f t="shared" ref="E5:T5" si="0">YEAR(E6)</f>
        <v>2019</v>
      </c>
      <c r="F5" s="274">
        <f t="shared" si="0"/>
        <v>2019</v>
      </c>
      <c r="G5" s="273">
        <f t="shared" si="0"/>
        <v>2019</v>
      </c>
      <c r="H5" s="272">
        <f t="shared" si="0"/>
        <v>2019</v>
      </c>
      <c r="I5" s="275">
        <f t="shared" si="0"/>
        <v>2020</v>
      </c>
      <c r="J5" s="274">
        <f t="shared" si="0"/>
        <v>2020</v>
      </c>
      <c r="K5" s="273">
        <f t="shared" si="0"/>
        <v>2020</v>
      </c>
      <c r="L5" s="272">
        <f t="shared" si="0"/>
        <v>2020</v>
      </c>
      <c r="M5" s="275">
        <f t="shared" si="0"/>
        <v>2021</v>
      </c>
      <c r="N5" s="274">
        <f t="shared" si="0"/>
        <v>2021</v>
      </c>
      <c r="O5" s="273">
        <f t="shared" si="0"/>
        <v>2021</v>
      </c>
      <c r="P5" s="272">
        <f t="shared" si="0"/>
        <v>2021</v>
      </c>
      <c r="Q5" s="275">
        <f t="shared" si="0"/>
        <v>2022</v>
      </c>
      <c r="R5" s="274">
        <f t="shared" si="0"/>
        <v>2022</v>
      </c>
      <c r="S5" s="365">
        <f t="shared" si="0"/>
        <v>2022</v>
      </c>
      <c r="T5" s="366">
        <f t="shared" si="0"/>
        <v>2022</v>
      </c>
      <c r="U5" s="265"/>
      <c r="V5" s="271">
        <f t="shared" ref="V5:AD5" si="1">YEAR(V6)</f>
        <v>2017</v>
      </c>
      <c r="W5" s="271">
        <f t="shared" si="1"/>
        <v>2018</v>
      </c>
      <c r="X5" s="271">
        <f t="shared" si="1"/>
        <v>2019</v>
      </c>
      <c r="Y5" s="271">
        <f t="shared" si="1"/>
        <v>2020</v>
      </c>
      <c r="Z5" s="271">
        <f t="shared" si="1"/>
        <v>2021</v>
      </c>
      <c r="AA5" s="270">
        <f t="shared" si="1"/>
        <v>2022</v>
      </c>
      <c r="AB5" s="270">
        <f t="shared" si="1"/>
        <v>2023</v>
      </c>
      <c r="AC5" s="270">
        <f t="shared" si="1"/>
        <v>2024</v>
      </c>
      <c r="AD5" s="270">
        <f t="shared" si="1"/>
        <v>2025</v>
      </c>
      <c r="AE5" s="269"/>
      <c r="AF5" s="268" t="s">
        <v>231</v>
      </c>
      <c r="AG5" s="267"/>
      <c r="AH5" s="267"/>
      <c r="AI5" s="267"/>
      <c r="AJ5" s="267"/>
      <c r="AK5" s="267"/>
      <c r="AL5" s="267"/>
      <c r="AM5" s="267"/>
      <c r="AN5" s="267"/>
      <c r="AO5" s="267"/>
      <c r="AP5" s="267"/>
      <c r="AQ5" s="267"/>
    </row>
    <row r="6" spans="1:43" s="260" customFormat="1" ht="12.75" customHeight="1">
      <c r="A6" s="253"/>
      <c r="B6" s="262"/>
      <c r="C6" s="262" t="s">
        <v>232</v>
      </c>
      <c r="D6" s="262"/>
      <c r="E6" s="262">
        <v>43555</v>
      </c>
      <c r="F6" s="262">
        <f t="shared" ref="F6:T6" si="2">EOMONTH(E6,3)</f>
        <v>43646</v>
      </c>
      <c r="G6" s="262">
        <f t="shared" si="2"/>
        <v>43738</v>
      </c>
      <c r="H6" s="262">
        <f t="shared" si="2"/>
        <v>43830</v>
      </c>
      <c r="I6" s="262">
        <f t="shared" si="2"/>
        <v>43921</v>
      </c>
      <c r="J6" s="262">
        <f t="shared" si="2"/>
        <v>44012</v>
      </c>
      <c r="K6" s="262">
        <f t="shared" si="2"/>
        <v>44104</v>
      </c>
      <c r="L6" s="262">
        <f t="shared" si="2"/>
        <v>44196</v>
      </c>
      <c r="M6" s="262">
        <f t="shared" si="2"/>
        <v>44286</v>
      </c>
      <c r="N6" s="262">
        <f t="shared" si="2"/>
        <v>44377</v>
      </c>
      <c r="O6" s="262">
        <f t="shared" si="2"/>
        <v>44469</v>
      </c>
      <c r="P6" s="262">
        <f t="shared" si="2"/>
        <v>44561</v>
      </c>
      <c r="Q6" s="262">
        <f t="shared" si="2"/>
        <v>44651</v>
      </c>
      <c r="R6" s="262">
        <f t="shared" si="2"/>
        <v>44742</v>
      </c>
      <c r="S6" s="262">
        <f t="shared" si="2"/>
        <v>44834</v>
      </c>
      <c r="T6" s="262">
        <f t="shared" si="2"/>
        <v>44926</v>
      </c>
      <c r="U6" s="265"/>
      <c r="V6" s="261">
        <v>43100</v>
      </c>
      <c r="W6" s="261">
        <f t="shared" ref="W6:AD6" si="3">EOMONTH(V6,12)</f>
        <v>43465</v>
      </c>
      <c r="X6" s="261">
        <f t="shared" si="3"/>
        <v>43830</v>
      </c>
      <c r="Y6" s="261">
        <f t="shared" si="3"/>
        <v>44196</v>
      </c>
      <c r="Z6" s="261">
        <f t="shared" si="3"/>
        <v>44561</v>
      </c>
      <c r="AA6" s="261">
        <f t="shared" si="3"/>
        <v>44926</v>
      </c>
      <c r="AB6" s="264">
        <f t="shared" si="3"/>
        <v>45291</v>
      </c>
      <c r="AC6" s="264">
        <f t="shared" si="3"/>
        <v>45657</v>
      </c>
      <c r="AD6" s="264">
        <f t="shared" si="3"/>
        <v>46022</v>
      </c>
      <c r="AE6" s="263"/>
      <c r="AF6" s="262">
        <v>43555</v>
      </c>
      <c r="AG6" s="261">
        <f t="shared" ref="AG6:AQ6" si="4">EOMONTH(AF6,3)</f>
        <v>43646</v>
      </c>
      <c r="AH6" s="261">
        <f t="shared" si="4"/>
        <v>43738</v>
      </c>
      <c r="AI6" s="261">
        <f t="shared" si="4"/>
        <v>43830</v>
      </c>
      <c r="AJ6" s="261">
        <f t="shared" si="4"/>
        <v>43921</v>
      </c>
      <c r="AK6" s="261">
        <f t="shared" si="4"/>
        <v>44012</v>
      </c>
      <c r="AL6" s="261">
        <f t="shared" si="4"/>
        <v>44104</v>
      </c>
      <c r="AM6" s="261">
        <f t="shared" si="4"/>
        <v>44196</v>
      </c>
      <c r="AN6" s="261">
        <f t="shared" si="4"/>
        <v>44286</v>
      </c>
      <c r="AO6" s="261">
        <f t="shared" si="4"/>
        <v>44377</v>
      </c>
      <c r="AP6" s="261">
        <f t="shared" si="4"/>
        <v>44469</v>
      </c>
      <c r="AQ6" s="261">
        <f t="shared" si="4"/>
        <v>44561</v>
      </c>
    </row>
    <row r="7" spans="1:43" s="380" customFormat="1" ht="11.25" customHeight="1">
      <c r="C7" s="398"/>
      <c r="E7" s="660"/>
      <c r="F7" s="660"/>
      <c r="G7" s="660"/>
      <c r="H7" s="660"/>
      <c r="I7" s="660"/>
      <c r="J7" s="660"/>
      <c r="K7" s="660"/>
      <c r="L7" s="660"/>
      <c r="M7" s="660"/>
      <c r="N7" s="660"/>
      <c r="O7" s="660"/>
      <c r="P7" s="660"/>
      <c r="Q7" s="660"/>
      <c r="R7" s="660"/>
      <c r="S7" s="660"/>
      <c r="T7" s="660"/>
    </row>
    <row r="8" spans="1:43" s="255" customFormat="1" ht="11.25" customHeight="1">
      <c r="B8" s="258" t="s">
        <v>133</v>
      </c>
      <c r="C8" s="259" t="s">
        <v>417</v>
      </c>
      <c r="D8" s="259"/>
      <c r="E8" s="258"/>
      <c r="F8" s="258"/>
      <c r="G8" s="258"/>
      <c r="H8" s="258"/>
      <c r="I8" s="258"/>
      <c r="J8" s="258"/>
      <c r="K8" s="258"/>
      <c r="L8" s="258"/>
      <c r="M8" s="258"/>
      <c r="N8" s="258"/>
      <c r="O8" s="258"/>
      <c r="P8" s="258"/>
      <c r="Q8" s="258"/>
      <c r="R8" s="258"/>
      <c r="S8" s="258"/>
      <c r="T8" s="258"/>
      <c r="U8" s="280"/>
      <c r="V8" s="258"/>
      <c r="W8" s="258"/>
      <c r="X8" s="258"/>
      <c r="Y8" s="258"/>
      <c r="Z8" s="258"/>
      <c r="AA8" s="258"/>
      <c r="AB8" s="258"/>
      <c r="AC8" s="258"/>
      <c r="AD8" s="258"/>
    </row>
    <row r="9" spans="1:43" s="380" customFormat="1" ht="11.25" customHeight="1">
      <c r="C9" s="398"/>
      <c r="E9" s="660"/>
      <c r="F9" s="660"/>
      <c r="G9" s="660"/>
      <c r="H9" s="660"/>
      <c r="I9" s="660"/>
      <c r="J9" s="660"/>
      <c r="K9" s="660"/>
      <c r="L9" s="660"/>
      <c r="M9" s="660"/>
      <c r="N9" s="660"/>
      <c r="O9" s="660"/>
      <c r="P9" s="660"/>
      <c r="Q9" s="660"/>
      <c r="R9" s="660"/>
      <c r="S9" s="660"/>
      <c r="T9" s="660"/>
    </row>
    <row r="10" spans="1:43" s="255" customFormat="1" ht="11.25" customHeight="1">
      <c r="C10" s="291" t="str">
        <f>C92</f>
        <v>Total passenger revenue</v>
      </c>
      <c r="E10" s="255">
        <f>E92</f>
        <v>9254</v>
      </c>
      <c r="F10" s="255">
        <f t="shared" ref="F10:AD10" si="5">F92</f>
        <v>11368</v>
      </c>
      <c r="G10" s="255">
        <f t="shared" si="5"/>
        <v>11410</v>
      </c>
      <c r="H10" s="255">
        <f t="shared" si="5"/>
        <v>10245</v>
      </c>
      <c r="I10" s="255">
        <f t="shared" si="5"/>
        <v>7569</v>
      </c>
      <c r="J10" s="255">
        <f t="shared" si="5"/>
        <v>678</v>
      </c>
      <c r="K10" s="255">
        <f t="shared" si="5"/>
        <v>1938</v>
      </c>
      <c r="L10" s="255">
        <f t="shared" si="5"/>
        <v>2698</v>
      </c>
      <c r="M10" s="255">
        <f t="shared" si="5"/>
        <v>2748</v>
      </c>
      <c r="N10" s="255">
        <f t="shared" si="5"/>
        <v>5339</v>
      </c>
      <c r="O10" s="255">
        <f t="shared" si="5"/>
        <v>7191</v>
      </c>
      <c r="P10" s="255">
        <f t="shared" si="5"/>
        <v>7241</v>
      </c>
      <c r="Q10" s="255">
        <f t="shared" si="5"/>
        <v>6907</v>
      </c>
      <c r="R10" s="255">
        <f t="shared" ref="R10" si="6">R92</f>
        <v>10958</v>
      </c>
      <c r="S10" s="255">
        <f t="shared" si="5"/>
        <v>11409.805962942415</v>
      </c>
      <c r="T10" s="255">
        <f t="shared" si="5"/>
        <v>10486.61240538028</v>
      </c>
      <c r="V10" s="255">
        <f t="shared" si="5"/>
        <v>36947</v>
      </c>
      <c r="W10" s="255">
        <f t="shared" si="5"/>
        <v>39755</v>
      </c>
      <c r="X10" s="254">
        <f t="shared" ref="X10:AA12" si="7">SUMIF($E$5:$T$5,X$5,$E10:$T10)</f>
        <v>42277</v>
      </c>
      <c r="Y10" s="254">
        <f t="shared" si="7"/>
        <v>12883</v>
      </c>
      <c r="Z10" s="254">
        <f t="shared" si="7"/>
        <v>22519</v>
      </c>
      <c r="AA10" s="254">
        <f t="shared" si="7"/>
        <v>39761.418368322695</v>
      </c>
      <c r="AB10" s="255">
        <f t="shared" si="5"/>
        <v>44582.036686942083</v>
      </c>
      <c r="AC10" s="255">
        <f t="shared" si="5"/>
        <v>48258.562758525135</v>
      </c>
      <c r="AD10" s="255">
        <f t="shared" si="5"/>
        <v>49616.92340903735</v>
      </c>
    </row>
    <row r="11" spans="1:43" s="255" customFormat="1" ht="11.25" customHeight="1">
      <c r="C11" s="291" t="s">
        <v>285</v>
      </c>
      <c r="E11" s="255">
        <f>E100</f>
        <v>192</v>
      </c>
      <c r="F11" s="255">
        <f t="shared" ref="F11:AD11" si="8">F100</f>
        <v>186</v>
      </c>
      <c r="G11" s="255">
        <f t="shared" si="8"/>
        <v>189</v>
      </c>
      <c r="H11" s="255">
        <f t="shared" si="8"/>
        <v>187</v>
      </c>
      <c r="I11" s="255">
        <f t="shared" si="8"/>
        <v>152</v>
      </c>
      <c r="J11" s="255">
        <f t="shared" si="8"/>
        <v>108</v>
      </c>
      <c r="K11" s="255">
        <f t="shared" si="8"/>
        <v>142</v>
      </c>
      <c r="L11" s="255">
        <f t="shared" si="8"/>
        <v>204</v>
      </c>
      <c r="M11" s="255">
        <f t="shared" si="8"/>
        <v>215</v>
      </c>
      <c r="N11" s="255">
        <f t="shared" si="8"/>
        <v>251</v>
      </c>
      <c r="O11" s="255">
        <f t="shared" si="8"/>
        <v>262</v>
      </c>
      <c r="P11" s="255">
        <f t="shared" si="8"/>
        <v>304</v>
      </c>
      <c r="Q11" s="255">
        <f t="shared" si="8"/>
        <v>289</v>
      </c>
      <c r="R11" s="255">
        <f t="shared" ref="R11" si="9">R100</f>
        <v>272</v>
      </c>
      <c r="S11" s="255">
        <f t="shared" si="8"/>
        <v>292.33205320500002</v>
      </c>
      <c r="T11" s="255">
        <f t="shared" si="8"/>
        <v>309.37331377880002</v>
      </c>
      <c r="V11" s="255">
        <f t="shared" si="8"/>
        <v>744</v>
      </c>
      <c r="W11" s="255">
        <f t="shared" si="8"/>
        <v>865</v>
      </c>
      <c r="X11" s="254">
        <f t="shared" si="7"/>
        <v>754</v>
      </c>
      <c r="Y11" s="254">
        <f t="shared" si="7"/>
        <v>606</v>
      </c>
      <c r="Z11" s="254">
        <f t="shared" si="7"/>
        <v>1032</v>
      </c>
      <c r="AA11" s="254">
        <f t="shared" si="7"/>
        <v>1162.7053669838001</v>
      </c>
      <c r="AB11" s="255">
        <f t="shared" si="8"/>
        <v>1253.7590074047</v>
      </c>
      <c r="AC11" s="255">
        <f t="shared" si="8"/>
        <v>1187.5061113395202</v>
      </c>
      <c r="AD11" s="255">
        <f t="shared" si="8"/>
        <v>1056.1482698390403</v>
      </c>
    </row>
    <row r="12" spans="1:43" s="255" customFormat="1" ht="11.25" customHeight="1">
      <c r="C12" s="291" t="s">
        <v>1466</v>
      </c>
      <c r="E12" s="255">
        <f>E98-E103-E104</f>
        <v>935</v>
      </c>
      <c r="F12" s="255">
        <f t="shared" ref="F12:AD12" si="10">F98-F103-F104</f>
        <v>893</v>
      </c>
      <c r="G12" s="255">
        <f t="shared" si="10"/>
        <v>908</v>
      </c>
      <c r="H12" s="255">
        <f t="shared" si="10"/>
        <v>952</v>
      </c>
      <c r="I12" s="255">
        <f t="shared" si="10"/>
        <v>871</v>
      </c>
      <c r="J12" s="255">
        <f t="shared" si="10"/>
        <v>390</v>
      </c>
      <c r="K12" s="255">
        <f t="shared" si="10"/>
        <v>565</v>
      </c>
      <c r="L12" s="255">
        <f t="shared" si="10"/>
        <v>630</v>
      </c>
      <c r="M12" s="255">
        <f t="shared" si="10"/>
        <v>647</v>
      </c>
      <c r="N12" s="255">
        <f t="shared" si="10"/>
        <v>759</v>
      </c>
      <c r="O12" s="255">
        <f t="shared" si="10"/>
        <v>829</v>
      </c>
      <c r="P12" s="255">
        <f t="shared" si="10"/>
        <v>885</v>
      </c>
      <c r="Q12" s="255">
        <f t="shared" si="10"/>
        <v>965</v>
      </c>
      <c r="R12" s="255">
        <f t="shared" ref="R12" si="11">R98-R103-R104</f>
        <v>1080</v>
      </c>
      <c r="S12" s="255">
        <f t="shared" si="10"/>
        <v>1234.2908913100005</v>
      </c>
      <c r="T12" s="255">
        <f t="shared" si="10"/>
        <v>1082.8065982258004</v>
      </c>
      <c r="V12" s="255">
        <f t="shared" si="10"/>
        <v>3447</v>
      </c>
      <c r="W12" s="255">
        <f t="shared" si="10"/>
        <v>3818</v>
      </c>
      <c r="X12" s="254">
        <f t="shared" si="7"/>
        <v>3688</v>
      </c>
      <c r="Y12" s="254">
        <f t="shared" si="7"/>
        <v>2456</v>
      </c>
      <c r="Z12" s="254">
        <f t="shared" si="7"/>
        <v>3120</v>
      </c>
      <c r="AA12" s="254">
        <f t="shared" si="7"/>
        <v>4362.0974895358013</v>
      </c>
      <c r="AB12" s="255">
        <f t="shared" si="10"/>
        <v>5154.3425859970994</v>
      </c>
      <c r="AC12" s="255">
        <f t="shared" si="10"/>
        <v>5640.654028862722</v>
      </c>
      <c r="AD12" s="255">
        <f t="shared" si="10"/>
        <v>5733.37632198336</v>
      </c>
    </row>
    <row r="13" spans="1:43" s="283" customFormat="1" ht="11.25" customHeight="1">
      <c r="C13" s="286" t="s">
        <v>1467</v>
      </c>
      <c r="E13" s="727">
        <f>SUM(E10:E12)</f>
        <v>10381</v>
      </c>
      <c r="F13" s="727">
        <f t="shared" ref="F13:AD13" si="12">SUM(F10:F12)</f>
        <v>12447</v>
      </c>
      <c r="G13" s="727">
        <f t="shared" si="12"/>
        <v>12507</v>
      </c>
      <c r="H13" s="727">
        <f t="shared" si="12"/>
        <v>11384</v>
      </c>
      <c r="I13" s="727">
        <f t="shared" si="12"/>
        <v>8592</v>
      </c>
      <c r="J13" s="727">
        <f t="shared" si="12"/>
        <v>1176</v>
      </c>
      <c r="K13" s="727">
        <f t="shared" si="12"/>
        <v>2645</v>
      </c>
      <c r="L13" s="727">
        <f t="shared" si="12"/>
        <v>3532</v>
      </c>
      <c r="M13" s="727">
        <f t="shared" si="12"/>
        <v>3610</v>
      </c>
      <c r="N13" s="727">
        <f t="shared" si="12"/>
        <v>6349</v>
      </c>
      <c r="O13" s="727">
        <f t="shared" si="12"/>
        <v>8282</v>
      </c>
      <c r="P13" s="727">
        <f t="shared" si="12"/>
        <v>8430</v>
      </c>
      <c r="Q13" s="727">
        <f t="shared" si="12"/>
        <v>8161</v>
      </c>
      <c r="R13" s="727">
        <f t="shared" ref="R13" si="13">SUM(R10:R12)</f>
        <v>12310</v>
      </c>
      <c r="S13" s="727">
        <f t="shared" si="12"/>
        <v>12936.428907457415</v>
      </c>
      <c r="T13" s="727">
        <f t="shared" si="12"/>
        <v>11878.792317384879</v>
      </c>
      <c r="U13" s="255"/>
      <c r="V13" s="727">
        <f t="shared" si="12"/>
        <v>41138</v>
      </c>
      <c r="W13" s="727">
        <f t="shared" si="12"/>
        <v>44438</v>
      </c>
      <c r="X13" s="727">
        <f t="shared" si="12"/>
        <v>46719</v>
      </c>
      <c r="Y13" s="727">
        <f t="shared" si="12"/>
        <v>15945</v>
      </c>
      <c r="Z13" s="727">
        <f t="shared" si="12"/>
        <v>26671</v>
      </c>
      <c r="AA13" s="727">
        <f t="shared" si="12"/>
        <v>45286.221224842295</v>
      </c>
      <c r="AB13" s="727">
        <f t="shared" si="12"/>
        <v>50990.138280343876</v>
      </c>
      <c r="AC13" s="727">
        <f t="shared" si="12"/>
        <v>55086.722898727377</v>
      </c>
      <c r="AD13" s="727">
        <f t="shared" si="12"/>
        <v>56406.448000859746</v>
      </c>
    </row>
    <row r="14" spans="1:43" s="255" customFormat="1" ht="11.25" customHeight="1">
      <c r="C14" s="291"/>
      <c r="Q14" s="257"/>
      <c r="R14" s="628"/>
      <c r="X14" s="254"/>
      <c r="Y14" s="254"/>
      <c r="Z14" s="254"/>
      <c r="AA14" s="254"/>
    </row>
    <row r="15" spans="1:43" s="255" customFormat="1" ht="11.25" customHeight="1">
      <c r="C15" s="291" t="s">
        <v>865</v>
      </c>
      <c r="E15" s="254">
        <f t="shared" ref="E15:Q15" si="14">E285</f>
        <v>1963</v>
      </c>
      <c r="F15" s="254">
        <f t="shared" si="14"/>
        <v>2273</v>
      </c>
      <c r="G15" s="254">
        <f t="shared" si="14"/>
        <v>2257</v>
      </c>
      <c r="H15" s="254">
        <f t="shared" si="14"/>
        <v>1984</v>
      </c>
      <c r="I15" s="254">
        <f t="shared" si="14"/>
        <v>1602</v>
      </c>
      <c r="J15" s="254">
        <f t="shared" si="14"/>
        <v>358</v>
      </c>
      <c r="K15" s="254">
        <f t="shared" si="14"/>
        <v>489</v>
      </c>
      <c r="L15" s="254">
        <f t="shared" si="14"/>
        <v>717</v>
      </c>
      <c r="M15" s="254">
        <f t="shared" si="14"/>
        <v>1040</v>
      </c>
      <c r="N15" s="254">
        <f t="shared" si="14"/>
        <v>1463</v>
      </c>
      <c r="O15" s="254">
        <f t="shared" si="14"/>
        <v>1533</v>
      </c>
      <c r="P15" s="254">
        <f t="shared" si="14"/>
        <v>1588</v>
      </c>
      <c r="Q15" s="254">
        <f t="shared" si="14"/>
        <v>2096</v>
      </c>
      <c r="R15" s="254">
        <f t="shared" ref="R15" ca="1" si="15">R285</f>
        <v>3296</v>
      </c>
      <c r="S15" s="254">
        <f ca="1">S285</f>
        <v>3314.0006670860726</v>
      </c>
      <c r="T15" s="254">
        <f ca="1">T285</f>
        <v>3087.5063720376506</v>
      </c>
      <c r="V15" s="254">
        <f>V285</f>
        <v>7015</v>
      </c>
      <c r="W15" s="254">
        <f>W285</f>
        <v>9073</v>
      </c>
      <c r="X15" s="254">
        <f t="shared" ref="X15:AA23" si="16">SUMIF($E$5:$T$5,X$5,$E15:$T15)</f>
        <v>8477</v>
      </c>
      <c r="Y15" s="254">
        <f t="shared" si="16"/>
        <v>3166</v>
      </c>
      <c r="Z15" s="254">
        <f t="shared" si="16"/>
        <v>5624</v>
      </c>
      <c r="AA15" s="254">
        <f t="shared" ca="1" si="16"/>
        <v>11793.507039123724</v>
      </c>
      <c r="AB15" s="254">
        <f>AB285</f>
        <v>12712.758782621655</v>
      </c>
      <c r="AC15" s="254">
        <f>AC285</f>
        <v>11959.75797985355</v>
      </c>
      <c r="AD15" s="254">
        <f>AD285</f>
        <v>12154.053722583929</v>
      </c>
    </row>
    <row r="16" spans="1:43" s="255" customFormat="1" ht="11.25" customHeight="1">
      <c r="C16" s="291" t="s">
        <v>288</v>
      </c>
      <c r="E16" s="287">
        <f>'DAL Financials'!E16</f>
        <v>2732</v>
      </c>
      <c r="F16" s="287">
        <f>'DAL Financials'!F16</f>
        <v>2847</v>
      </c>
      <c r="G16" s="287">
        <f>'DAL Financials'!G16</f>
        <v>2976</v>
      </c>
      <c r="H16" s="287">
        <f>'DAL Financials'!H16</f>
        <v>3046</v>
      </c>
      <c r="I16" s="287">
        <f>'DAL Financials'!I16</f>
        <v>2862</v>
      </c>
      <c r="J16" s="287">
        <f>'DAL Financials'!J16</f>
        <v>2127</v>
      </c>
      <c r="K16" s="287">
        <f>'DAL Financials'!K16</f>
        <v>2012</v>
      </c>
      <c r="L16" s="287">
        <f>'DAL Financials'!L16</f>
        <v>1940</v>
      </c>
      <c r="M16" s="287">
        <f>'DAL Financials'!M16</f>
        <v>2202</v>
      </c>
      <c r="N16" s="287">
        <f>'DAL Financials'!N16</f>
        <v>2328</v>
      </c>
      <c r="O16" s="287">
        <f>'DAL Financials'!O16</f>
        <v>2566</v>
      </c>
      <c r="P16" s="287">
        <f>'DAL Financials'!P16</f>
        <v>2632</v>
      </c>
      <c r="Q16" s="287">
        <f>'DAL Financials'!Q16</f>
        <v>2826</v>
      </c>
      <c r="R16" s="287">
        <f>'DAL Financials'!R16</f>
        <v>2955</v>
      </c>
      <c r="S16" s="255">
        <f t="shared" ref="S16:T22" si="17">S231</f>
        <v>3318.2066824497906</v>
      </c>
      <c r="T16" s="255">
        <f t="shared" si="17"/>
        <v>3310.6365883660983</v>
      </c>
      <c r="V16" s="287">
        <f>'DAL Financials'!V16</f>
        <v>10058</v>
      </c>
      <c r="W16" s="287">
        <f>'DAL Financials'!W16</f>
        <v>10743</v>
      </c>
      <c r="X16" s="254">
        <f t="shared" si="16"/>
        <v>11601</v>
      </c>
      <c r="Y16" s="254">
        <f t="shared" si="16"/>
        <v>8941</v>
      </c>
      <c r="Z16" s="254">
        <f t="shared" si="16"/>
        <v>9728</v>
      </c>
      <c r="AA16" s="254">
        <f t="shared" si="16"/>
        <v>12409.843270815889</v>
      </c>
      <c r="AB16" s="255">
        <f t="shared" ref="AB16:AD22" si="18">AB231</f>
        <v>14202.014570840558</v>
      </c>
      <c r="AC16" s="255">
        <f t="shared" si="18"/>
        <v>16258.566269286715</v>
      </c>
      <c r="AD16" s="255">
        <f t="shared" si="18"/>
        <v>16271.584595162491</v>
      </c>
    </row>
    <row r="17" spans="3:31" s="255" customFormat="1" ht="11.25" customHeight="1">
      <c r="C17" s="291" t="s">
        <v>1051</v>
      </c>
      <c r="E17" s="287">
        <f>'DAL Financials'!E17</f>
        <v>538</v>
      </c>
      <c r="F17" s="287">
        <f>'DAL Financials'!F17</f>
        <v>542</v>
      </c>
      <c r="G17" s="287">
        <f>'DAL Financials'!G17</f>
        <v>543</v>
      </c>
      <c r="H17" s="287">
        <f>'DAL Financials'!H17</f>
        <v>536</v>
      </c>
      <c r="I17" s="287">
        <f>'DAL Financials'!I17</f>
        <v>577</v>
      </c>
      <c r="J17" s="287">
        <f>'DAL Financials'!J17</f>
        <v>338</v>
      </c>
      <c r="K17" s="287">
        <f>'DAL Financials'!K17</f>
        <v>290</v>
      </c>
      <c r="L17" s="287">
        <f>'DAL Financials'!L17</f>
        <v>591</v>
      </c>
      <c r="M17" s="287">
        <f>'DAL Financials'!M17</f>
        <v>401</v>
      </c>
      <c r="N17" s="287">
        <f>'DAL Financials'!N17</f>
        <v>403</v>
      </c>
      <c r="O17" s="287">
        <f>'DAL Financials'!O17</f>
        <v>453</v>
      </c>
      <c r="P17" s="287">
        <f>'DAL Financials'!P17</f>
        <v>478</v>
      </c>
      <c r="Q17" s="287">
        <f>'DAL Financials'!Q17</f>
        <v>491</v>
      </c>
      <c r="R17" s="287">
        <f>'DAL Financials'!R17</f>
        <v>528</v>
      </c>
      <c r="S17" s="255">
        <f t="shared" si="17"/>
        <v>535.58058386470509</v>
      </c>
      <c r="T17" s="255">
        <f t="shared" si="17"/>
        <v>542.04125043812974</v>
      </c>
      <c r="V17" s="287">
        <f>'DAL Financials'!V17</f>
        <v>3466</v>
      </c>
      <c r="W17" s="287">
        <f>'DAL Financials'!W17</f>
        <v>3438</v>
      </c>
      <c r="X17" s="254">
        <f t="shared" si="16"/>
        <v>2159</v>
      </c>
      <c r="Y17" s="254">
        <f t="shared" si="16"/>
        <v>1796</v>
      </c>
      <c r="Z17" s="254">
        <f t="shared" si="16"/>
        <v>1735</v>
      </c>
      <c r="AA17" s="254">
        <f t="shared" si="16"/>
        <v>2096.6218343028349</v>
      </c>
      <c r="AB17" s="255">
        <f t="shared" si="18"/>
        <v>2293.5652406259514</v>
      </c>
      <c r="AC17" s="255">
        <f t="shared" si="18"/>
        <v>2467.1864660150932</v>
      </c>
      <c r="AD17" s="255">
        <f t="shared" si="18"/>
        <v>2507.742611723475</v>
      </c>
    </row>
    <row r="18" spans="3:31" s="255" customFormat="1" ht="11.25" customHeight="1">
      <c r="C18" s="291" t="s">
        <v>1052</v>
      </c>
      <c r="E18" s="287">
        <f>'DAL Financials'!E18</f>
        <v>709</v>
      </c>
      <c r="F18" s="287">
        <f>'DAL Financials'!F18</f>
        <v>731</v>
      </c>
      <c r="G18" s="287">
        <f>'DAL Financials'!G18</f>
        <v>760</v>
      </c>
      <c r="H18" s="287">
        <f>'DAL Financials'!H18</f>
        <v>742</v>
      </c>
      <c r="I18" s="287">
        <f>'DAL Financials'!I18</f>
        <v>748</v>
      </c>
      <c r="J18" s="287">
        <f>'DAL Financials'!J18</f>
        <v>369</v>
      </c>
      <c r="K18" s="287">
        <f>'DAL Financials'!K18</f>
        <v>419</v>
      </c>
      <c r="L18" s="287">
        <f>'DAL Financials'!L18</f>
        <v>381</v>
      </c>
      <c r="M18" s="287">
        <f>'DAL Financials'!M18</f>
        <v>519</v>
      </c>
      <c r="N18" s="287">
        <f>'DAL Financials'!N18</f>
        <v>570</v>
      </c>
      <c r="O18" s="287">
        <f>'DAL Financials'!O18</f>
        <v>634</v>
      </c>
      <c r="P18" s="287">
        <f>'DAL Financials'!P18</f>
        <v>697</v>
      </c>
      <c r="Q18" s="287">
        <f>'DAL Financials'!Q18</f>
        <v>753</v>
      </c>
      <c r="R18" s="287">
        <f>'DAL Financials'!R18</f>
        <v>791</v>
      </c>
      <c r="S18" s="255">
        <f t="shared" si="17"/>
        <v>847.39149148583363</v>
      </c>
      <c r="T18" s="255">
        <f t="shared" si="17"/>
        <v>771.4012913370093</v>
      </c>
      <c r="V18" s="287">
        <f>'DAL Financials'!V18</f>
        <v>2108</v>
      </c>
      <c r="W18" s="287">
        <f>'DAL Financials'!W18</f>
        <v>2175</v>
      </c>
      <c r="X18" s="254">
        <f t="shared" si="16"/>
        <v>2942</v>
      </c>
      <c r="Y18" s="254">
        <f t="shared" si="16"/>
        <v>1917</v>
      </c>
      <c r="Z18" s="254">
        <f t="shared" si="16"/>
        <v>2420</v>
      </c>
      <c r="AA18" s="254">
        <f t="shared" si="16"/>
        <v>3162.792782822843</v>
      </c>
      <c r="AB18" s="255">
        <f t="shared" si="18"/>
        <v>3274.1947690569723</v>
      </c>
      <c r="AC18" s="255">
        <f t="shared" si="18"/>
        <v>3488.8220618027412</v>
      </c>
      <c r="AD18" s="255">
        <f t="shared" si="18"/>
        <v>3546.1720747985664</v>
      </c>
    </row>
    <row r="19" spans="3:31" s="255" customFormat="1" ht="11.25" customHeight="1">
      <c r="C19" s="291" t="s">
        <v>1053</v>
      </c>
      <c r="E19" s="287">
        <f>'DAL Financials'!E19</f>
        <v>524</v>
      </c>
      <c r="F19" s="287">
        <f>'DAL Financials'!F19</f>
        <v>548</v>
      </c>
      <c r="G19" s="287">
        <f>'DAL Financials'!G19</f>
        <v>566</v>
      </c>
      <c r="H19" s="287">
        <f>'DAL Financials'!H19</f>
        <v>538</v>
      </c>
      <c r="I19" s="287">
        <f>'DAL Financials'!I19</f>
        <v>678</v>
      </c>
      <c r="J19" s="287">
        <f>'DAL Financials'!J19</f>
        <v>422</v>
      </c>
      <c r="K19" s="287">
        <f>'DAL Financials'!K19</f>
        <v>458</v>
      </c>
      <c r="L19" s="287">
        <f>'DAL Financials'!L19</f>
        <v>323</v>
      </c>
      <c r="M19" s="287">
        <f>'DAL Financials'!M19</f>
        <v>492</v>
      </c>
      <c r="N19" s="287">
        <f>'DAL Financials'!N19</f>
        <v>460</v>
      </c>
      <c r="O19" s="287">
        <f>'DAL Financials'!O19</f>
        <v>524</v>
      </c>
      <c r="P19" s="287">
        <f>'DAL Financials'!P19</f>
        <v>542</v>
      </c>
      <c r="Q19" s="287">
        <f>'DAL Financials'!Q19</f>
        <v>504</v>
      </c>
      <c r="R19" s="287">
        <f>'DAL Financials'!R19</f>
        <v>546</v>
      </c>
      <c r="S19" s="255">
        <f t="shared" si="17"/>
        <v>582.53876621171878</v>
      </c>
      <c r="T19" s="255">
        <f t="shared" si="17"/>
        <v>559.3179174384245</v>
      </c>
      <c r="V19" s="287">
        <f>'DAL Financials'!V19</f>
        <v>1827</v>
      </c>
      <c r="W19" s="287">
        <f>'DAL Financials'!W19</f>
        <v>1941</v>
      </c>
      <c r="X19" s="254">
        <f t="shared" si="16"/>
        <v>2176</v>
      </c>
      <c r="Y19" s="254">
        <f t="shared" si="16"/>
        <v>1881</v>
      </c>
      <c r="Z19" s="254">
        <f t="shared" si="16"/>
        <v>2018</v>
      </c>
      <c r="AA19" s="254">
        <f t="shared" si="16"/>
        <v>2191.8566836501432</v>
      </c>
      <c r="AB19" s="255">
        <f t="shared" si="18"/>
        <v>2311.6248094497773</v>
      </c>
      <c r="AC19" s="255">
        <f t="shared" si="18"/>
        <v>2463.1545166574697</v>
      </c>
      <c r="AD19" s="255">
        <f t="shared" si="18"/>
        <v>2503.644384308684</v>
      </c>
    </row>
    <row r="20" spans="3:31" s="255" customFormat="1" ht="11.25" customHeight="1">
      <c r="C20" s="291" t="s">
        <v>305</v>
      </c>
      <c r="E20" s="287">
        <f>'DAL Financials'!E20</f>
        <v>476</v>
      </c>
      <c r="F20" s="287">
        <f>'DAL Financials'!F20</f>
        <v>434</v>
      </c>
      <c r="G20" s="287">
        <f>'DAL Financials'!G20</f>
        <v>424</v>
      </c>
      <c r="H20" s="287">
        <f>'DAL Financials'!H20</f>
        <v>417</v>
      </c>
      <c r="I20" s="287">
        <f>'DAL Financials'!I20</f>
        <v>469</v>
      </c>
      <c r="J20" s="287">
        <f>'DAL Financials'!J20</f>
        <v>43</v>
      </c>
      <c r="K20" s="287">
        <f>'DAL Financials'!K20</f>
        <v>106</v>
      </c>
      <c r="L20" s="287">
        <f>'DAL Financials'!L20</f>
        <v>204</v>
      </c>
      <c r="M20" s="287">
        <f>'DAL Financials'!M20</f>
        <v>294</v>
      </c>
      <c r="N20" s="287">
        <f>'DAL Financials'!N20</f>
        <v>287</v>
      </c>
      <c r="O20" s="287">
        <f>'DAL Financials'!O20</f>
        <v>433</v>
      </c>
      <c r="P20" s="287">
        <f>'DAL Financials'!P20</f>
        <v>386</v>
      </c>
      <c r="Q20" s="287">
        <f>'DAL Financials'!Q20</f>
        <v>465</v>
      </c>
      <c r="R20" s="287">
        <f>'DAL Financials'!R20</f>
        <v>522</v>
      </c>
      <c r="S20" s="255">
        <f t="shared" si="17"/>
        <v>490.93814749644849</v>
      </c>
      <c r="T20" s="255">
        <f t="shared" si="17"/>
        <v>453.22897483541124</v>
      </c>
      <c r="V20" s="287">
        <f>'DAL Financials'!V20</f>
        <v>1591</v>
      </c>
      <c r="W20" s="287">
        <f>'DAL Financials'!W20</f>
        <v>1575</v>
      </c>
      <c r="X20" s="254">
        <f t="shared" si="16"/>
        <v>1751</v>
      </c>
      <c r="Y20" s="254">
        <f t="shared" si="16"/>
        <v>822</v>
      </c>
      <c r="Z20" s="254">
        <f t="shared" si="16"/>
        <v>1400</v>
      </c>
      <c r="AA20" s="254">
        <f t="shared" si="16"/>
        <v>1931.1671223318597</v>
      </c>
      <c r="AB20" s="255">
        <f t="shared" si="18"/>
        <v>1948.7134740376471</v>
      </c>
      <c r="AC20" s="255">
        <f t="shared" si="18"/>
        <v>2076.4539191762747</v>
      </c>
      <c r="AD20" s="255">
        <f t="shared" si="18"/>
        <v>2110.5871186173654</v>
      </c>
    </row>
    <row r="21" spans="3:31" s="255" customFormat="1" ht="11.25" customHeight="1">
      <c r="C21" s="291" t="s">
        <v>1054</v>
      </c>
      <c r="E21" s="287">
        <f>'DAL Financials'!E21</f>
        <v>288</v>
      </c>
      <c r="F21" s="287">
        <f>'DAL Financials'!F21</f>
        <v>340</v>
      </c>
      <c r="G21" s="287">
        <f>'DAL Financials'!G21</f>
        <v>360</v>
      </c>
      <c r="H21" s="287">
        <f>'DAL Financials'!H21</f>
        <v>325</v>
      </c>
      <c r="I21" s="287">
        <f>'DAL Financials'!I21</f>
        <v>273</v>
      </c>
      <c r="J21" s="287">
        <f>'DAL Financials'!J21</f>
        <v>91</v>
      </c>
      <c r="K21" s="287">
        <f>'DAL Financials'!K21</f>
        <v>92</v>
      </c>
      <c r="L21" s="287">
        <f>'DAL Financials'!L21</f>
        <v>90</v>
      </c>
      <c r="M21" s="287">
        <f>'DAL Financials'!M21</f>
        <v>118</v>
      </c>
      <c r="N21" s="287">
        <f>'DAL Financials'!N21</f>
        <v>175</v>
      </c>
      <c r="O21" s="287">
        <f>'DAL Financials'!O21</f>
        <v>226</v>
      </c>
      <c r="P21" s="287">
        <f>'DAL Financials'!P21</f>
        <v>236</v>
      </c>
      <c r="Q21" s="287">
        <f>'DAL Financials'!Q21</f>
        <v>275</v>
      </c>
      <c r="R21" s="287">
        <f>'DAL Financials'!R21</f>
        <v>369</v>
      </c>
      <c r="S21" s="255">
        <f t="shared" si="17"/>
        <v>355.08105007604763</v>
      </c>
      <c r="T21" s="255">
        <f t="shared" si="17"/>
        <v>337.87792410313739</v>
      </c>
      <c r="V21" s="287">
        <f>'DAL Financials'!V21</f>
        <v>1123</v>
      </c>
      <c r="W21" s="287">
        <f>'DAL Financials'!W21</f>
        <v>1178</v>
      </c>
      <c r="X21" s="254">
        <f t="shared" si="16"/>
        <v>1313</v>
      </c>
      <c r="Y21" s="254">
        <f t="shared" si="16"/>
        <v>546</v>
      </c>
      <c r="Z21" s="254">
        <f t="shared" si="16"/>
        <v>755</v>
      </c>
      <c r="AA21" s="254">
        <f t="shared" si="16"/>
        <v>1336.9589741791851</v>
      </c>
      <c r="AB21" s="255">
        <f t="shared" si="18"/>
        <v>1428.046493311504</v>
      </c>
      <c r="AC21" s="255">
        <f t="shared" si="18"/>
        <v>1557.0439725176748</v>
      </c>
      <c r="AD21" s="255">
        <f t="shared" si="18"/>
        <v>1582.6389987119364</v>
      </c>
    </row>
    <row r="22" spans="3:31" s="255" customFormat="1" ht="11.25" customHeight="1">
      <c r="C22" s="291" t="s">
        <v>294</v>
      </c>
      <c r="E22" s="287">
        <f>'DAL Financials'!E22</f>
        <v>102</v>
      </c>
      <c r="F22" s="287">
        <f>'DAL Financials'!F22</f>
        <v>107</v>
      </c>
      <c r="G22" s="287">
        <f>'DAL Financials'!G22</f>
        <v>110</v>
      </c>
      <c r="H22" s="287">
        <f>'DAL Financials'!H22</f>
        <v>105</v>
      </c>
      <c r="I22" s="287">
        <f>'DAL Financials'!I22</f>
        <v>100</v>
      </c>
      <c r="J22" s="287">
        <f>'DAL Financials'!J22</f>
        <v>96</v>
      </c>
      <c r="K22" s="287">
        <f>'DAL Financials'!K22</f>
        <v>99</v>
      </c>
      <c r="L22" s="287">
        <f>'DAL Financials'!L22</f>
        <v>104</v>
      </c>
      <c r="M22" s="287">
        <f>'DAL Financials'!M22</f>
        <v>104</v>
      </c>
      <c r="N22" s="287">
        <f>'DAL Financials'!N22</f>
        <v>104</v>
      </c>
      <c r="O22" s="287">
        <f>'DAL Financials'!O22</f>
        <v>105</v>
      </c>
      <c r="P22" s="287">
        <f>'DAL Financials'!P22</f>
        <v>118</v>
      </c>
      <c r="Q22" s="287">
        <f>'DAL Financials'!Q22</f>
        <v>122</v>
      </c>
      <c r="R22" s="287">
        <f>'DAL Financials'!R22</f>
        <v>127</v>
      </c>
      <c r="S22" s="255">
        <f t="shared" si="17"/>
        <v>136.80054948582028</v>
      </c>
      <c r="T22" s="255">
        <f t="shared" si="17"/>
        <v>129.00793465756158</v>
      </c>
      <c r="V22" s="287">
        <f>'DAL Financials'!V22</f>
        <v>351</v>
      </c>
      <c r="W22" s="287">
        <f>'DAL Financials'!W22</f>
        <v>394</v>
      </c>
      <c r="X22" s="254">
        <f t="shared" si="16"/>
        <v>424</v>
      </c>
      <c r="Y22" s="254">
        <f t="shared" si="16"/>
        <v>399</v>
      </c>
      <c r="Z22" s="254">
        <f t="shared" si="16"/>
        <v>431</v>
      </c>
      <c r="AA22" s="254">
        <f t="shared" si="16"/>
        <v>514.80848414338186</v>
      </c>
      <c r="AB22" s="255">
        <f t="shared" si="18"/>
        <v>493.32469235281485</v>
      </c>
      <c r="AC22" s="255">
        <f t="shared" si="18"/>
        <v>525.66270234689341</v>
      </c>
      <c r="AD22" s="255">
        <f t="shared" si="18"/>
        <v>534.30365974654853</v>
      </c>
    </row>
    <row r="23" spans="3:31" s="254" customFormat="1" ht="11.25" customHeight="1">
      <c r="C23" s="694" t="s">
        <v>1156</v>
      </c>
      <c r="E23" s="254">
        <f t="shared" ref="E23:Q23" si="19">E120</f>
        <v>268</v>
      </c>
      <c r="F23" s="254">
        <f t="shared" si="19"/>
        <v>234</v>
      </c>
      <c r="G23" s="254">
        <f t="shared" si="19"/>
        <v>231</v>
      </c>
      <c r="H23" s="254">
        <f t="shared" si="19"/>
        <v>248</v>
      </c>
      <c r="I23" s="254">
        <f t="shared" si="19"/>
        <v>219</v>
      </c>
      <c r="J23" s="254">
        <f t="shared" si="19"/>
        <v>109</v>
      </c>
      <c r="K23" s="254">
        <f t="shared" si="19"/>
        <v>144</v>
      </c>
      <c r="L23" s="254">
        <f t="shared" si="19"/>
        <v>163</v>
      </c>
      <c r="M23" s="254">
        <f t="shared" si="19"/>
        <v>166</v>
      </c>
      <c r="N23" s="254">
        <f t="shared" si="19"/>
        <v>162</v>
      </c>
      <c r="O23" s="254">
        <f t="shared" si="19"/>
        <v>207</v>
      </c>
      <c r="P23" s="254">
        <f t="shared" si="19"/>
        <v>193</v>
      </c>
      <c r="Q23" s="254">
        <f t="shared" si="19"/>
        <v>195</v>
      </c>
      <c r="R23" s="254">
        <f t="shared" ref="R23" ca="1" si="20">R120</f>
        <v>204</v>
      </c>
      <c r="S23" s="254">
        <f>S120</f>
        <v>208.03118042498878</v>
      </c>
      <c r="T23" s="254">
        <f>T120</f>
        <v>199.22983608654928</v>
      </c>
      <c r="V23" s="254">
        <f>V120</f>
        <v>1495</v>
      </c>
      <c r="W23" s="254">
        <f>W120</f>
        <v>1695</v>
      </c>
      <c r="X23" s="254">
        <f t="shared" si="16"/>
        <v>981</v>
      </c>
      <c r="Y23" s="254">
        <f t="shared" si="16"/>
        <v>635</v>
      </c>
      <c r="Z23" s="254">
        <f t="shared" si="16"/>
        <v>728</v>
      </c>
      <c r="AA23" s="254">
        <f t="shared" ca="1" si="16"/>
        <v>806.26101651153806</v>
      </c>
      <c r="AB23" s="254">
        <f>AB120</f>
        <v>843.63985791303276</v>
      </c>
      <c r="AC23" s="254">
        <f>AC120</f>
        <v>898.94143632476857</v>
      </c>
      <c r="AD23" s="254">
        <f>AD120</f>
        <v>913.71843043408467</v>
      </c>
      <c r="AE23" s="255"/>
    </row>
    <row r="24" spans="3:31" s="283" customFormat="1" ht="11.25" customHeight="1">
      <c r="C24" s="286" t="s">
        <v>1157</v>
      </c>
      <c r="E24" s="357">
        <f>E13-SUM(E15:E23)</f>
        <v>2781</v>
      </c>
      <c r="F24" s="357">
        <f t="shared" ref="F24:T24" si="21">F13-SUM(F15:F23)</f>
        <v>4391</v>
      </c>
      <c r="G24" s="357">
        <f t="shared" si="21"/>
        <v>4280</v>
      </c>
      <c r="H24" s="357">
        <f t="shared" si="21"/>
        <v>3443</v>
      </c>
      <c r="I24" s="357">
        <f t="shared" si="21"/>
        <v>1064</v>
      </c>
      <c r="J24" s="357">
        <f t="shared" si="21"/>
        <v>-2777</v>
      </c>
      <c r="K24" s="357">
        <f t="shared" si="21"/>
        <v>-1464</v>
      </c>
      <c r="L24" s="357">
        <f t="shared" si="21"/>
        <v>-981</v>
      </c>
      <c r="M24" s="357">
        <f t="shared" si="21"/>
        <v>-1726</v>
      </c>
      <c r="N24" s="357">
        <f t="shared" si="21"/>
        <v>397</v>
      </c>
      <c r="O24" s="357">
        <f t="shared" si="21"/>
        <v>1601</v>
      </c>
      <c r="P24" s="357">
        <f t="shared" si="21"/>
        <v>1560</v>
      </c>
      <c r="Q24" s="357">
        <f t="shared" si="21"/>
        <v>434</v>
      </c>
      <c r="R24" s="357">
        <f t="shared" ref="R24" ca="1" si="22">R13-SUM(R15:R23)</f>
        <v>2972</v>
      </c>
      <c r="S24" s="357">
        <f t="shared" ca="1" si="21"/>
        <v>3147.8597888759905</v>
      </c>
      <c r="T24" s="357">
        <f t="shared" ca="1" si="21"/>
        <v>2488.5442280849074</v>
      </c>
      <c r="U24" s="255"/>
      <c r="V24" s="357">
        <f t="shared" ref="V24:AD24" si="23">V13-SUM(V15:V23)</f>
        <v>12104</v>
      </c>
      <c r="W24" s="357">
        <f t="shared" si="23"/>
        <v>12226</v>
      </c>
      <c r="X24" s="357">
        <f t="shared" si="23"/>
        <v>14895</v>
      </c>
      <c r="Y24" s="357">
        <f t="shared" si="23"/>
        <v>-4158</v>
      </c>
      <c r="Z24" s="357">
        <f t="shared" si="23"/>
        <v>1832</v>
      </c>
      <c r="AA24" s="357">
        <f t="shared" ca="1" si="23"/>
        <v>9042.4040169608925</v>
      </c>
      <c r="AB24" s="357">
        <f t="shared" si="23"/>
        <v>11482.255590133958</v>
      </c>
      <c r="AC24" s="357">
        <f t="shared" si="23"/>
        <v>13391.133574746193</v>
      </c>
      <c r="AD24" s="357">
        <f t="shared" si="23"/>
        <v>14282.002404772662</v>
      </c>
      <c r="AE24" s="255"/>
    </row>
    <row r="25" spans="3:31" s="255" customFormat="1" ht="11.25" customHeight="1">
      <c r="C25" s="291"/>
      <c r="E25" s="287"/>
      <c r="F25" s="287"/>
      <c r="G25" s="287"/>
      <c r="H25" s="287"/>
      <c r="I25" s="287"/>
      <c r="J25" s="287"/>
      <c r="K25" s="287"/>
      <c r="L25" s="287"/>
      <c r="M25" s="287"/>
      <c r="N25" s="287"/>
      <c r="O25" s="287"/>
      <c r="P25" s="287"/>
      <c r="Q25" s="287"/>
      <c r="R25" s="287"/>
      <c r="V25" s="287"/>
      <c r="W25" s="287"/>
      <c r="X25" s="287"/>
      <c r="Y25" s="287"/>
      <c r="Z25" s="287"/>
      <c r="AA25" s="287"/>
    </row>
    <row r="26" spans="3:31" s="255" customFormat="1" ht="11.25" customHeight="1">
      <c r="C26" s="291" t="s">
        <v>1056</v>
      </c>
      <c r="E26" s="287">
        <f>'DAL Financials'!E26</f>
        <v>474</v>
      </c>
      <c r="F26" s="287">
        <f>'DAL Financials'!F26</f>
        <v>597</v>
      </c>
      <c r="G26" s="287">
        <f>'DAL Financials'!G26</f>
        <v>597</v>
      </c>
      <c r="H26" s="287">
        <f>'DAL Financials'!H26</f>
        <v>542</v>
      </c>
      <c r="I26" s="287">
        <f>'DAL Financials'!I26</f>
        <v>398</v>
      </c>
      <c r="J26" s="287">
        <f>'DAL Financials'!J26</f>
        <v>50</v>
      </c>
      <c r="K26" s="287">
        <f>'DAL Financials'!K26</f>
        <v>100</v>
      </c>
      <c r="L26" s="287">
        <f>'DAL Financials'!L26</f>
        <v>84</v>
      </c>
      <c r="M26" s="287">
        <f>'DAL Financials'!M26</f>
        <v>110</v>
      </c>
      <c r="N26" s="287">
        <f>'DAL Financials'!N26</f>
        <v>222</v>
      </c>
      <c r="O26" s="287">
        <f>'DAL Financials'!O26</f>
        <v>308</v>
      </c>
      <c r="P26" s="287">
        <f>'DAL Financials'!P26</f>
        <v>313</v>
      </c>
      <c r="Q26" s="287">
        <f>'DAL Financials'!Q26</f>
        <v>312</v>
      </c>
      <c r="R26" s="287">
        <f>'DAL Financials'!R26</f>
        <v>526</v>
      </c>
      <c r="S26" s="255">
        <f t="shared" ref="S26:T27" si="24">S239</f>
        <v>537.63902473471126</v>
      </c>
      <c r="T26" s="255">
        <f t="shared" si="24"/>
        <v>409.80102906607107</v>
      </c>
      <c r="V26" s="287">
        <f>'DAL Financials'!V26</f>
        <v>1501</v>
      </c>
      <c r="W26" s="287">
        <f>'DAL Financials'!W26</f>
        <v>1662</v>
      </c>
      <c r="X26" s="254">
        <f t="shared" ref="X26:AA27" si="25">SUMIF($E$5:$T$5,X$5,$E26:$T26)</f>
        <v>2210</v>
      </c>
      <c r="Y26" s="254">
        <f t="shared" si="25"/>
        <v>632</v>
      </c>
      <c r="Z26" s="254">
        <f t="shared" si="25"/>
        <v>953</v>
      </c>
      <c r="AA26" s="254">
        <f t="shared" si="25"/>
        <v>1785.4400538007824</v>
      </c>
      <c r="AB26" s="255">
        <f t="shared" ref="AB26:AD27" si="26">AB239</f>
        <v>1788.7572930266133</v>
      </c>
      <c r="AC26" s="255">
        <f t="shared" si="26"/>
        <v>1906.0124236039942</v>
      </c>
      <c r="AD26" s="255">
        <f t="shared" si="26"/>
        <v>1937.343868810291</v>
      </c>
    </row>
    <row r="27" spans="3:31" s="255" customFormat="1" ht="11.25" customHeight="1">
      <c r="C27" s="291" t="s">
        <v>321</v>
      </c>
      <c r="E27" s="287">
        <f>'DAL Financials'!E27</f>
        <v>445</v>
      </c>
      <c r="F27" s="287">
        <f>'DAL Financials'!F27</f>
        <v>424</v>
      </c>
      <c r="G27" s="287">
        <f>'DAL Financials'!G27</f>
        <v>487</v>
      </c>
      <c r="H27" s="287">
        <f>'DAL Financials'!H27</f>
        <v>469</v>
      </c>
      <c r="I27" s="287">
        <f>'DAL Financials'!I27</f>
        <v>533</v>
      </c>
      <c r="J27" s="287">
        <f>'DAL Financials'!J27</f>
        <v>209</v>
      </c>
      <c r="K27" s="287">
        <f>'DAL Financials'!K27</f>
        <v>250</v>
      </c>
      <c r="L27" s="287">
        <f>'DAL Financials'!L27</f>
        <v>218</v>
      </c>
      <c r="M27" s="287">
        <f>'DAL Financials'!M27</f>
        <v>322</v>
      </c>
      <c r="N27" s="287">
        <f>'DAL Financials'!N27</f>
        <v>330</v>
      </c>
      <c r="O27" s="287">
        <f>'DAL Financials'!O27</f>
        <v>357</v>
      </c>
      <c r="P27" s="287">
        <f>'DAL Financials'!P27</f>
        <v>399</v>
      </c>
      <c r="Q27" s="287">
        <f>'DAL Financials'!Q27</f>
        <v>408</v>
      </c>
      <c r="R27" s="287">
        <f>'DAL Financials'!R27</f>
        <v>437</v>
      </c>
      <c r="S27" s="255">
        <f t="shared" si="24"/>
        <v>467.81499505671366</v>
      </c>
      <c r="T27" s="255">
        <f t="shared" si="24"/>
        <v>483.1512547713703</v>
      </c>
      <c r="V27" s="287">
        <f>'DAL Financials'!V27</f>
        <v>1609</v>
      </c>
      <c r="W27" s="287">
        <f>'DAL Financials'!W27</f>
        <v>1723</v>
      </c>
      <c r="X27" s="254">
        <f t="shared" si="25"/>
        <v>1825</v>
      </c>
      <c r="Y27" s="254">
        <f t="shared" si="25"/>
        <v>1210</v>
      </c>
      <c r="Z27" s="254">
        <f t="shared" si="25"/>
        <v>1408</v>
      </c>
      <c r="AA27" s="254">
        <f t="shared" si="25"/>
        <v>1795.9662498280838</v>
      </c>
      <c r="AB27" s="255">
        <f t="shared" si="26"/>
        <v>1846.4265043968155</v>
      </c>
      <c r="AC27" s="255">
        <f t="shared" si="26"/>
        <v>1967.4619191613629</v>
      </c>
      <c r="AD27" s="255">
        <f t="shared" si="26"/>
        <v>1999.8034844902609</v>
      </c>
    </row>
    <row r="28" spans="3:31" s="283" customFormat="1" ht="11.25" customHeight="1">
      <c r="C28" s="286" t="s">
        <v>421</v>
      </c>
      <c r="E28" s="358">
        <f t="shared" ref="E28:T28" si="27">E24-SUM(E26:E27)</f>
        <v>1862</v>
      </c>
      <c r="F28" s="358">
        <f t="shared" si="27"/>
        <v>3370</v>
      </c>
      <c r="G28" s="358">
        <f t="shared" si="27"/>
        <v>3196</v>
      </c>
      <c r="H28" s="358">
        <f t="shared" si="27"/>
        <v>2432</v>
      </c>
      <c r="I28" s="358">
        <f t="shared" si="27"/>
        <v>133</v>
      </c>
      <c r="J28" s="358">
        <f t="shared" si="27"/>
        <v>-3036</v>
      </c>
      <c r="K28" s="358">
        <f t="shared" si="27"/>
        <v>-1814</v>
      </c>
      <c r="L28" s="358">
        <f t="shared" si="27"/>
        <v>-1283</v>
      </c>
      <c r="M28" s="358">
        <f t="shared" si="27"/>
        <v>-2158</v>
      </c>
      <c r="N28" s="358">
        <f t="shared" si="27"/>
        <v>-155</v>
      </c>
      <c r="O28" s="358">
        <f t="shared" si="27"/>
        <v>936</v>
      </c>
      <c r="P28" s="358">
        <f t="shared" si="27"/>
        <v>848</v>
      </c>
      <c r="Q28" s="358">
        <f t="shared" si="27"/>
        <v>-286</v>
      </c>
      <c r="R28" s="358">
        <f t="shared" ref="R28" ca="1" si="28">R24-SUM(R26:R27)</f>
        <v>2009</v>
      </c>
      <c r="S28" s="358">
        <f t="shared" ca="1" si="27"/>
        <v>2142.4057690845657</v>
      </c>
      <c r="T28" s="358">
        <f t="shared" ca="1" si="27"/>
        <v>1595.591944247466</v>
      </c>
      <c r="U28" s="255"/>
      <c r="V28" s="358">
        <f t="shared" ref="V28:AA28" si="29">V24-SUM(V26:V27)</f>
        <v>8994</v>
      </c>
      <c r="W28" s="358">
        <f t="shared" si="29"/>
        <v>8841</v>
      </c>
      <c r="X28" s="358">
        <f t="shared" si="29"/>
        <v>10860</v>
      </c>
      <c r="Y28" s="358">
        <f t="shared" si="29"/>
        <v>-6000</v>
      </c>
      <c r="Z28" s="358">
        <f t="shared" si="29"/>
        <v>-529</v>
      </c>
      <c r="AA28" s="358">
        <f t="shared" ca="1" si="29"/>
        <v>5460.9977133320263</v>
      </c>
      <c r="AB28" s="358">
        <f>AB24-SUM(AB26:AB27)</f>
        <v>7847.0717927105297</v>
      </c>
      <c r="AC28" s="358">
        <f>AC24-SUM(AC26:AC27)</f>
        <v>9517.6592319808351</v>
      </c>
      <c r="AD28" s="358">
        <f>AD24-SUM(AD26:AD27)</f>
        <v>10344.85505147211</v>
      </c>
      <c r="AE28" s="255"/>
    </row>
    <row r="29" spans="3:31" s="255" customFormat="1" ht="11.25" customHeight="1">
      <c r="C29" s="291"/>
    </row>
    <row r="30" spans="3:31" s="255" customFormat="1" ht="11.25" customHeight="1">
      <c r="C30" s="291" t="s">
        <v>291</v>
      </c>
      <c r="E30" s="287">
        <f>'DAL Financials'!E28</f>
        <v>615</v>
      </c>
      <c r="F30" s="287">
        <f>'DAL Financials'!F28</f>
        <v>713</v>
      </c>
      <c r="G30" s="287">
        <f>'DAL Financials'!G28</f>
        <v>631</v>
      </c>
      <c r="H30" s="287">
        <f>'DAL Financials'!H28</f>
        <v>622</v>
      </c>
      <c r="I30" s="287">
        <f>'DAL Financials'!I28</f>
        <v>550</v>
      </c>
      <c r="J30" s="287">
        <f>'DAL Financials'!J28</f>
        <v>591</v>
      </c>
      <c r="K30" s="287">
        <f>'DAL Financials'!K28</f>
        <v>545</v>
      </c>
      <c r="L30" s="287">
        <f>'DAL Financials'!L28</f>
        <v>499</v>
      </c>
      <c r="M30" s="287">
        <f>'DAL Financials'!M28</f>
        <v>493</v>
      </c>
      <c r="N30" s="287">
        <f>'DAL Financials'!N28</f>
        <v>501</v>
      </c>
      <c r="O30" s="287">
        <f>'DAL Financials'!O28</f>
        <v>501</v>
      </c>
      <c r="P30" s="287">
        <f>'DAL Financials'!P28</f>
        <v>504</v>
      </c>
      <c r="Q30" s="287">
        <f>'DAL Financials'!Q28</f>
        <v>506</v>
      </c>
      <c r="R30" s="287">
        <f>'DAL Financials'!R28</f>
        <v>510</v>
      </c>
      <c r="S30" s="287">
        <f>'DAL Financials'!S28</f>
        <v>465.52515091305736</v>
      </c>
      <c r="T30" s="287">
        <f>'DAL Financials'!T28</f>
        <v>481.36623221371792</v>
      </c>
      <c r="V30" s="287">
        <f>'DAL Financials'!V28</f>
        <v>2222</v>
      </c>
      <c r="W30" s="287">
        <f>'DAL Financials'!W28</f>
        <v>2329</v>
      </c>
      <c r="X30" s="254">
        <f>SUMIF($E$5:$T$5,X$5,$E30:$T30)</f>
        <v>2581</v>
      </c>
      <c r="Y30" s="254">
        <f>SUMIF($E$5:$T$5,Y$5,$E30:$T30)</f>
        <v>2185</v>
      </c>
      <c r="Z30" s="254">
        <f>SUMIF($E$5:$T$5,Z$5,$E30:$T30)</f>
        <v>1999</v>
      </c>
      <c r="AA30" s="254">
        <f>SUMIF($E$5:$T$5,AA$5,$E30:$T30)</f>
        <v>1962.8913831267753</v>
      </c>
      <c r="AB30" s="287">
        <f>'DAL Financials'!AB28</f>
        <v>2437.0735580038645</v>
      </c>
      <c r="AC30" s="287">
        <f>'DAL Financials'!AC28</f>
        <v>2112.6016702019556</v>
      </c>
      <c r="AD30" s="287">
        <f>'DAL Financials'!AD28</f>
        <v>2304.2935870033311</v>
      </c>
    </row>
    <row r="31" spans="3:31" s="283" customFormat="1" ht="11.25" customHeight="1">
      <c r="C31" s="286" t="s">
        <v>1158</v>
      </c>
      <c r="E31" s="358">
        <f t="shared" ref="E31:T31" si="30">E28-SUM(E30:E30)</f>
        <v>1247</v>
      </c>
      <c r="F31" s="358">
        <f t="shared" si="30"/>
        <v>2657</v>
      </c>
      <c r="G31" s="358">
        <f t="shared" si="30"/>
        <v>2565</v>
      </c>
      <c r="H31" s="358">
        <f t="shared" si="30"/>
        <v>1810</v>
      </c>
      <c r="I31" s="358">
        <f t="shared" si="30"/>
        <v>-417</v>
      </c>
      <c r="J31" s="358">
        <f t="shared" si="30"/>
        <v>-3627</v>
      </c>
      <c r="K31" s="358">
        <f t="shared" si="30"/>
        <v>-2359</v>
      </c>
      <c r="L31" s="358">
        <f t="shared" si="30"/>
        <v>-1782</v>
      </c>
      <c r="M31" s="358">
        <f t="shared" si="30"/>
        <v>-2651</v>
      </c>
      <c r="N31" s="358">
        <f t="shared" si="30"/>
        <v>-656</v>
      </c>
      <c r="O31" s="358">
        <f t="shared" si="30"/>
        <v>435</v>
      </c>
      <c r="P31" s="358">
        <f t="shared" si="30"/>
        <v>344</v>
      </c>
      <c r="Q31" s="358">
        <f t="shared" si="30"/>
        <v>-792</v>
      </c>
      <c r="R31" s="358">
        <f t="shared" ref="R31" ca="1" si="31">R28-SUM(R30:R30)</f>
        <v>1499</v>
      </c>
      <c r="S31" s="358">
        <f t="shared" ca="1" si="30"/>
        <v>1676.8806181715083</v>
      </c>
      <c r="T31" s="358">
        <f t="shared" ca="1" si="30"/>
        <v>1114.2257120337481</v>
      </c>
      <c r="U31" s="255"/>
      <c r="V31" s="358">
        <f t="shared" ref="V31:AA31" si="32">V28-SUM(V30:V30)</f>
        <v>6772</v>
      </c>
      <c r="W31" s="358">
        <f t="shared" si="32"/>
        <v>6512</v>
      </c>
      <c r="X31" s="358">
        <f t="shared" si="32"/>
        <v>8279</v>
      </c>
      <c r="Y31" s="358">
        <f t="shared" si="32"/>
        <v>-8185</v>
      </c>
      <c r="Z31" s="358">
        <f t="shared" si="32"/>
        <v>-2528</v>
      </c>
      <c r="AA31" s="358">
        <f t="shared" ca="1" si="32"/>
        <v>3498.1063302052507</v>
      </c>
      <c r="AB31" s="358">
        <f>AB28-SUM(AB30:AB30)</f>
        <v>5409.9982347066652</v>
      </c>
      <c r="AC31" s="358">
        <f>AC28-SUM(AC30:AC30)</f>
        <v>7405.05756177888</v>
      </c>
      <c r="AD31" s="358">
        <f>AD28-SUM(AD30:AD30)</f>
        <v>8040.5614644687794</v>
      </c>
    </row>
    <row r="32" spans="3:31" s="284" customFormat="1" ht="11.25" customHeight="1">
      <c r="C32" s="693"/>
      <c r="U32" s="255"/>
    </row>
    <row r="33" spans="3:30" s="255" customFormat="1" ht="11.25" customHeight="1">
      <c r="C33" s="291" t="s">
        <v>525</v>
      </c>
      <c r="E33" s="287">
        <f>'DAL Financials'!E29</f>
        <v>220</v>
      </c>
      <c r="F33" s="287">
        <f>'DAL Financials'!F29</f>
        <v>518</v>
      </c>
      <c r="G33" s="287">
        <f>'DAL Financials'!G29</f>
        <v>517</v>
      </c>
      <c r="H33" s="287">
        <f>'DAL Financials'!H29</f>
        <v>387</v>
      </c>
      <c r="I33" s="287">
        <f>'DAL Financials'!I29</f>
        <v>0</v>
      </c>
      <c r="J33" s="287">
        <f>'DAL Financials'!J29</f>
        <v>0</v>
      </c>
      <c r="K33" s="287">
        <f>'DAL Financials'!K29</f>
        <v>0</v>
      </c>
      <c r="L33" s="287">
        <f>'DAL Financials'!L29</f>
        <v>0</v>
      </c>
      <c r="M33" s="287">
        <f>'DAL Financials'!M29</f>
        <v>0</v>
      </c>
      <c r="N33" s="287">
        <f>'DAL Financials'!N29</f>
        <v>0</v>
      </c>
      <c r="O33" s="287">
        <f>'DAL Financials'!O29</f>
        <v>0</v>
      </c>
      <c r="P33" s="287">
        <v>0</v>
      </c>
      <c r="Q33" s="287">
        <f>'DAL Financials'!Q29</f>
        <v>0</v>
      </c>
      <c r="R33" s="287">
        <f>'DAL Financials'!R29</f>
        <v>54</v>
      </c>
      <c r="S33" s="254">
        <f ca="1">S327</f>
        <v>270.1298687128579</v>
      </c>
      <c r="T33" s="254">
        <f ca="1">T327</f>
        <v>179.49139732819233</v>
      </c>
      <c r="V33" s="287">
        <f>'DAL Financials'!V29</f>
        <v>1065</v>
      </c>
      <c r="W33" s="287">
        <f>'DAL Financials'!W29</f>
        <v>1301</v>
      </c>
      <c r="X33" s="254">
        <f>SUMIF($E$5:$T$5,X$5,$E33:$T33)</f>
        <v>1642</v>
      </c>
      <c r="Y33" s="254">
        <f>SUMIF($E$5:$T$5,Y$5,$E33:$T33)</f>
        <v>0</v>
      </c>
      <c r="Z33" s="254">
        <f>SUMIF($E$5:$T$5,Z$5,$E33:$T33)</f>
        <v>0</v>
      </c>
      <c r="AA33" s="254">
        <f ca="1">SUMIF($E$5:$T$5,AA$5,$E33:$T33)</f>
        <v>503.62126604105026</v>
      </c>
      <c r="AB33" s="254">
        <f ca="1">AB327</f>
        <v>14.726113828762756</v>
      </c>
      <c r="AC33" s="254">
        <f ca="1">AC327</f>
        <v>175.44193530011327</v>
      </c>
      <c r="AD33" s="254">
        <f ca="1">AD327</f>
        <v>220.76800697022045</v>
      </c>
    </row>
    <row r="34" spans="3:30" s="284" customFormat="1" ht="11.25" customHeight="1">
      <c r="C34" s="286" t="s">
        <v>423</v>
      </c>
      <c r="E34" s="357">
        <f t="shared" ref="E34:T34" si="33">E31-E33</f>
        <v>1027</v>
      </c>
      <c r="F34" s="357">
        <f t="shared" si="33"/>
        <v>2139</v>
      </c>
      <c r="G34" s="357">
        <f t="shared" si="33"/>
        <v>2048</v>
      </c>
      <c r="H34" s="357">
        <f t="shared" si="33"/>
        <v>1423</v>
      </c>
      <c r="I34" s="357">
        <f t="shared" si="33"/>
        <v>-417</v>
      </c>
      <c r="J34" s="357">
        <f t="shared" si="33"/>
        <v>-3627</v>
      </c>
      <c r="K34" s="357">
        <f t="shared" si="33"/>
        <v>-2359</v>
      </c>
      <c r="L34" s="357">
        <f t="shared" si="33"/>
        <v>-1782</v>
      </c>
      <c r="M34" s="357">
        <f t="shared" si="33"/>
        <v>-2651</v>
      </c>
      <c r="N34" s="357">
        <f t="shared" si="33"/>
        <v>-656</v>
      </c>
      <c r="O34" s="357">
        <f t="shared" si="33"/>
        <v>435</v>
      </c>
      <c r="P34" s="357">
        <f t="shared" si="33"/>
        <v>344</v>
      </c>
      <c r="Q34" s="357">
        <f t="shared" si="33"/>
        <v>-792</v>
      </c>
      <c r="R34" s="357">
        <f t="shared" ref="R34" ca="1" si="34">R31-R33</f>
        <v>1445</v>
      </c>
      <c r="S34" s="357">
        <f t="shared" ca="1" si="33"/>
        <v>1406.7507494586505</v>
      </c>
      <c r="T34" s="357">
        <f t="shared" ca="1" si="33"/>
        <v>934.73431470555579</v>
      </c>
      <c r="U34" s="255"/>
      <c r="V34" s="357">
        <f t="shared" ref="V34:AD34" si="35">V31-V33</f>
        <v>5707</v>
      </c>
      <c r="W34" s="357">
        <f t="shared" si="35"/>
        <v>5211</v>
      </c>
      <c r="X34" s="357">
        <f t="shared" si="35"/>
        <v>6637</v>
      </c>
      <c r="Y34" s="357">
        <f t="shared" si="35"/>
        <v>-8185</v>
      </c>
      <c r="Z34" s="357">
        <f t="shared" si="35"/>
        <v>-2528</v>
      </c>
      <c r="AA34" s="357">
        <f t="shared" ca="1" si="35"/>
        <v>2994.4850641642006</v>
      </c>
      <c r="AB34" s="357">
        <f t="shared" ca="1" si="35"/>
        <v>5395.2721208779021</v>
      </c>
      <c r="AC34" s="357">
        <f t="shared" ca="1" si="35"/>
        <v>7229.6156264787669</v>
      </c>
      <c r="AD34" s="357">
        <f t="shared" ca="1" si="35"/>
        <v>7819.7934574985593</v>
      </c>
    </row>
    <row r="35" spans="3:30" s="284" customFormat="1" ht="11.25" customHeight="1">
      <c r="C35" s="693"/>
      <c r="U35" s="255"/>
    </row>
    <row r="36" spans="3:30" s="255" customFormat="1" ht="11.25" customHeight="1">
      <c r="C36" s="291" t="s">
        <v>872</v>
      </c>
      <c r="E36" s="287">
        <f>'DAL Financials'!E34</f>
        <v>83</v>
      </c>
      <c r="F36" s="287">
        <f>'DAL Financials'!F34</f>
        <v>75</v>
      </c>
      <c r="G36" s="287">
        <f>'DAL Financials'!G34</f>
        <v>70</v>
      </c>
      <c r="H36" s="287">
        <f>'DAL Financials'!H34</f>
        <v>72</v>
      </c>
      <c r="I36" s="287">
        <f>'DAL Financials'!I34</f>
        <v>79</v>
      </c>
      <c r="J36" s="287">
        <f>'DAL Financials'!J34</f>
        <v>194</v>
      </c>
      <c r="K36" s="287">
        <f>'DAL Financials'!K34</f>
        <v>291</v>
      </c>
      <c r="L36" s="287">
        <f>'DAL Financials'!L34</f>
        <v>365</v>
      </c>
      <c r="M36" s="287">
        <f>'DAL Financials'!M34</f>
        <v>361</v>
      </c>
      <c r="N36" s="287">
        <f>'DAL Financials'!N34</f>
        <v>338</v>
      </c>
      <c r="O36" s="287">
        <f>'DAL Financials'!O34</f>
        <v>314</v>
      </c>
      <c r="P36" s="287">
        <f>'DAL Financials'!P34</f>
        <v>265</v>
      </c>
      <c r="Q36" s="287">
        <f>'DAL Financials'!Q34</f>
        <v>274</v>
      </c>
      <c r="R36" s="287">
        <f>'DAL Financials'!R34</f>
        <v>269</v>
      </c>
      <c r="S36" s="287">
        <f ca="1">'DAL Debt'!S109</f>
        <v>740.97434365696154</v>
      </c>
      <c r="T36" s="287">
        <f ca="1">'DAL Debt'!T109</f>
        <v>1249.9923607280716</v>
      </c>
      <c r="V36" s="287">
        <f>'DAL Financials'!V34</f>
        <v>396</v>
      </c>
      <c r="W36" s="287">
        <f>'DAL Financials'!W34</f>
        <v>311</v>
      </c>
      <c r="X36" s="254">
        <f t="shared" ref="X36:AA38" si="36">SUMIF($E$5:$T$5,X$5,$E36:$T36)</f>
        <v>300</v>
      </c>
      <c r="Y36" s="254">
        <f t="shared" si="36"/>
        <v>929</v>
      </c>
      <c r="Z36" s="254">
        <f t="shared" si="36"/>
        <v>1278</v>
      </c>
      <c r="AA36" s="254">
        <f t="shared" ca="1" si="36"/>
        <v>2533.9667043850332</v>
      </c>
      <c r="AB36" s="287">
        <f ca="1">'DAL Debt'!AB109</f>
        <v>5233.8936725854819</v>
      </c>
      <c r="AC36" s="287">
        <f ca="1">'DAL Debt'!AC109</f>
        <v>5460.2231995145003</v>
      </c>
      <c r="AD36" s="287">
        <f ca="1">'DAL Debt'!AD109</f>
        <v>5596.8941832225637</v>
      </c>
    </row>
    <row r="37" spans="3:30" s="255" customFormat="1" ht="11.25" customHeight="1">
      <c r="C37" s="291" t="s">
        <v>1060</v>
      </c>
      <c r="E37" s="287">
        <f>'DAL Financials'!E35</f>
        <v>0</v>
      </c>
      <c r="F37" s="287">
        <f>'DAL Financials'!F35</f>
        <v>0</v>
      </c>
      <c r="G37" s="287">
        <f>'DAL Financials'!G35</f>
        <v>0</v>
      </c>
      <c r="H37" s="287">
        <f>'DAL Financials'!H35</f>
        <v>0</v>
      </c>
      <c r="I37" s="287">
        <f>'DAL Financials'!I35</f>
        <v>-11</v>
      </c>
      <c r="J37" s="287">
        <f>'DAL Financials'!J35</f>
        <v>1</v>
      </c>
      <c r="K37" s="287">
        <f>'DAL Financials'!K35</f>
        <v>-4</v>
      </c>
      <c r="L37" s="287">
        <f>'DAL Financials'!L35</f>
        <v>0</v>
      </c>
      <c r="M37" s="287">
        <f>'DAL Financials'!M35</f>
        <v>0</v>
      </c>
      <c r="N37" s="287">
        <f>'DAL Financials'!N35</f>
        <v>0</v>
      </c>
      <c r="O37" s="287">
        <f>'DAL Financials'!O35</f>
        <v>0</v>
      </c>
      <c r="P37" s="287">
        <f>'DAL Financials'!P35</f>
        <v>0</v>
      </c>
      <c r="Q37" s="287">
        <f>'DAL Financials'!Q35</f>
        <v>0</v>
      </c>
      <c r="R37" s="287">
        <f>'DAL Financials'!R35</f>
        <v>0</v>
      </c>
      <c r="S37" s="277">
        <v>0</v>
      </c>
      <c r="T37" s="277">
        <v>0</v>
      </c>
      <c r="V37" s="287">
        <f>'DAL Financials'!V35</f>
        <v>0</v>
      </c>
      <c r="W37" s="287">
        <f>'DAL Financials'!W35</f>
        <v>0</v>
      </c>
      <c r="X37" s="254">
        <f t="shared" si="36"/>
        <v>0</v>
      </c>
      <c r="Y37" s="254">
        <f t="shared" si="36"/>
        <v>-14</v>
      </c>
      <c r="Z37" s="254">
        <f t="shared" si="36"/>
        <v>0</v>
      </c>
      <c r="AA37" s="254">
        <f t="shared" si="36"/>
        <v>0</v>
      </c>
      <c r="AB37" s="277">
        <v>0</v>
      </c>
      <c r="AC37" s="277">
        <v>0</v>
      </c>
      <c r="AD37" s="277">
        <v>0</v>
      </c>
    </row>
    <row r="38" spans="3:30" s="255" customFormat="1" ht="11.25" customHeight="1">
      <c r="C38" s="291" t="s">
        <v>419</v>
      </c>
      <c r="E38" s="287">
        <f>'DAL Financials'!E69</f>
        <v>112</v>
      </c>
      <c r="F38" s="287">
        <f>'DAL Financials'!F69</f>
        <v>66</v>
      </c>
      <c r="G38" s="287">
        <f>'DAL Financials'!G69</f>
        <v>10</v>
      </c>
      <c r="H38" s="287">
        <f>'DAL Financials'!H69</f>
        <v>-65</v>
      </c>
      <c r="I38" s="287">
        <f>'DAL Financials'!I69</f>
        <v>-63</v>
      </c>
      <c r="J38" s="287">
        <f>'DAL Financials'!J69</f>
        <v>42</v>
      </c>
      <c r="K38" s="287">
        <f>'DAL Financials'!K69</f>
        <v>-57</v>
      </c>
      <c r="L38" s="287">
        <f>'DAL Financials'!L69</f>
        <v>-26</v>
      </c>
      <c r="M38" s="287">
        <f>'DAL Financials'!M69</f>
        <v>-92</v>
      </c>
      <c r="N38" s="287">
        <f>'DAL Financials'!N69</f>
        <v>-113</v>
      </c>
      <c r="O38" s="287">
        <f>'DAL Financials'!O69</f>
        <v>-96</v>
      </c>
      <c r="P38" s="287">
        <f>'DAL Financials'!P69</f>
        <v>-90</v>
      </c>
      <c r="Q38" s="287">
        <f>'DAL Financials'!Q69</f>
        <v>-29</v>
      </c>
      <c r="R38" s="287">
        <f>'DAL Financials'!R69</f>
        <v>-45</v>
      </c>
      <c r="S38" s="277">
        <v>0</v>
      </c>
      <c r="T38" s="277">
        <v>0</v>
      </c>
      <c r="V38" s="255">
        <f>'DAL Financials'!V69</f>
        <v>62</v>
      </c>
      <c r="W38" s="255">
        <f>'DAL Financials'!W69</f>
        <v>-189</v>
      </c>
      <c r="X38" s="254">
        <f t="shared" si="36"/>
        <v>123</v>
      </c>
      <c r="Y38" s="254">
        <f t="shared" si="36"/>
        <v>-104</v>
      </c>
      <c r="Z38" s="254">
        <f t="shared" si="36"/>
        <v>-391</v>
      </c>
      <c r="AA38" s="254">
        <f t="shared" si="36"/>
        <v>-74</v>
      </c>
      <c r="AB38" s="277">
        <v>0</v>
      </c>
      <c r="AC38" s="277">
        <v>0</v>
      </c>
      <c r="AD38" s="277">
        <v>0</v>
      </c>
    </row>
    <row r="39" spans="3:30" s="255" customFormat="1" ht="11.25" customHeight="1">
      <c r="C39" s="286" t="s">
        <v>426</v>
      </c>
      <c r="E39" s="358">
        <f t="shared" ref="E39:T39" si="37">E34-SUM(E36:E38)</f>
        <v>832</v>
      </c>
      <c r="F39" s="358">
        <f t="shared" si="37"/>
        <v>1998</v>
      </c>
      <c r="G39" s="358">
        <f t="shared" si="37"/>
        <v>1968</v>
      </c>
      <c r="H39" s="358">
        <f t="shared" si="37"/>
        <v>1416</v>
      </c>
      <c r="I39" s="358">
        <f t="shared" si="37"/>
        <v>-422</v>
      </c>
      <c r="J39" s="358">
        <f t="shared" si="37"/>
        <v>-3864</v>
      </c>
      <c r="K39" s="358">
        <f t="shared" si="37"/>
        <v>-2589</v>
      </c>
      <c r="L39" s="358">
        <f t="shared" si="37"/>
        <v>-2121</v>
      </c>
      <c r="M39" s="358">
        <f t="shared" si="37"/>
        <v>-2920</v>
      </c>
      <c r="N39" s="358">
        <f t="shared" si="37"/>
        <v>-881</v>
      </c>
      <c r="O39" s="358">
        <f t="shared" si="37"/>
        <v>217</v>
      </c>
      <c r="P39" s="358">
        <f t="shared" si="37"/>
        <v>169</v>
      </c>
      <c r="Q39" s="358">
        <f t="shared" si="37"/>
        <v>-1037</v>
      </c>
      <c r="R39" s="358">
        <f t="shared" ref="R39" ca="1" si="38">R34-SUM(R36:R38)</f>
        <v>1221</v>
      </c>
      <c r="S39" s="358">
        <f t="shared" ca="1" si="37"/>
        <v>665.77640580168895</v>
      </c>
      <c r="T39" s="358">
        <f t="shared" ca="1" si="37"/>
        <v>-315.25804602251583</v>
      </c>
      <c r="V39" s="358">
        <f t="shared" ref="V39:AA39" si="39">V34-SUM(V36:V38)</f>
        <v>5249</v>
      </c>
      <c r="W39" s="358">
        <f t="shared" si="39"/>
        <v>5089</v>
      </c>
      <c r="X39" s="358">
        <f t="shared" si="39"/>
        <v>6214</v>
      </c>
      <c r="Y39" s="358">
        <f t="shared" si="39"/>
        <v>-8996</v>
      </c>
      <c r="Z39" s="358">
        <f t="shared" si="39"/>
        <v>-3415</v>
      </c>
      <c r="AA39" s="358">
        <f t="shared" ca="1" si="39"/>
        <v>534.51835977916744</v>
      </c>
      <c r="AB39" s="358">
        <f ca="1">AB34-SUM(AB36:AB38)</f>
        <v>161.37844829242022</v>
      </c>
      <c r="AC39" s="358">
        <f ca="1">AC34-SUM(AC36:AC38)</f>
        <v>1769.3924269642666</v>
      </c>
      <c r="AD39" s="358">
        <f ca="1">AD34-SUM(AD36:AD38)</f>
        <v>2222.8992742759956</v>
      </c>
    </row>
    <row r="40" spans="3:30" s="255" customFormat="1" ht="11.25" customHeight="1">
      <c r="C40" s="291"/>
    </row>
    <row r="41" spans="3:30" s="284" customFormat="1" ht="11.25" customHeight="1">
      <c r="C41" s="694" t="s">
        <v>1792</v>
      </c>
      <c r="E41" s="287">
        <f>'DAL Financials'!E95</f>
        <v>193</v>
      </c>
      <c r="F41" s="287">
        <f>'DAL Financials'!F95</f>
        <v>465</v>
      </c>
      <c r="G41" s="287">
        <f>'DAL Financials'!G95</f>
        <v>461</v>
      </c>
      <c r="H41" s="287">
        <f>'DAL Financials'!H95</f>
        <v>319</v>
      </c>
      <c r="I41" s="287">
        <f>'DAL Financials'!I95</f>
        <v>-96</v>
      </c>
      <c r="J41" s="287">
        <f>'DAL Financials'!J95</f>
        <v>-1051</v>
      </c>
      <c r="K41" s="287">
        <f>'DAL Financials'!K95</f>
        <v>-493</v>
      </c>
      <c r="L41" s="287">
        <f>'DAL Financials'!L95</f>
        <v>-517</v>
      </c>
      <c r="M41" s="287">
        <f>'DAL Financials'!M95</f>
        <v>-664</v>
      </c>
      <c r="N41" s="287">
        <f>'DAL Financials'!N95</f>
        <v>-203</v>
      </c>
      <c r="O41" s="287">
        <f>'DAL Financials'!O95</f>
        <v>23</v>
      </c>
      <c r="P41" s="287">
        <f>'DAL Financials'!P95</f>
        <v>27</v>
      </c>
      <c r="Q41" s="287">
        <f>'DAL Financials'!Q95</f>
        <v>-253</v>
      </c>
      <c r="R41" s="287">
        <f>'DAL Financials'!R95</f>
        <v>300</v>
      </c>
      <c r="S41" s="254">
        <f ca="1">S42*S39</f>
        <v>0</v>
      </c>
      <c r="T41" s="254">
        <f ca="1">T42*T39</f>
        <v>0</v>
      </c>
      <c r="U41" s="255"/>
      <c r="V41" s="287">
        <f>'DAL Financials'!V95</f>
        <v>2044</v>
      </c>
      <c r="W41" s="287">
        <f>'DAL Financials'!W95</f>
        <v>1196</v>
      </c>
      <c r="X41" s="254">
        <f>SUMIF($E$5:$T$5,X$5,$E41:$T41)</f>
        <v>1438</v>
      </c>
      <c r="Y41" s="254">
        <f>SUMIF($E$5:$T$5,Y$5,$E41:$T41)</f>
        <v>-2157</v>
      </c>
      <c r="Z41" s="254">
        <f>SUMIF($E$5:$T$5,Z$5,$E41:$T41)</f>
        <v>-817</v>
      </c>
      <c r="AA41" s="254">
        <f ca="1">SUMIF($E$5:$T$5,AA$5,$E41:$T41)</f>
        <v>47</v>
      </c>
      <c r="AB41" s="254">
        <f ca="1">AB42*AB39</f>
        <v>0</v>
      </c>
      <c r="AC41" s="254">
        <f ca="1">AC42*AC39</f>
        <v>0</v>
      </c>
      <c r="AD41" s="254">
        <f ca="1">AD42*AD39</f>
        <v>0</v>
      </c>
    </row>
    <row r="42" spans="3:30" s="516" customFormat="1" ht="11.25" customHeight="1">
      <c r="C42" s="772" t="s">
        <v>475</v>
      </c>
      <c r="E42" s="477">
        <f t="shared" ref="E42:Q42" si="40">E41/ABS(E39)</f>
        <v>0.23197115384615385</v>
      </c>
      <c r="F42" s="477">
        <f t="shared" si="40"/>
        <v>0.23273273273273273</v>
      </c>
      <c r="G42" s="477">
        <f t="shared" si="40"/>
        <v>0.2342479674796748</v>
      </c>
      <c r="H42" s="477">
        <f t="shared" si="40"/>
        <v>0.22528248587570621</v>
      </c>
      <c r="I42" s="477">
        <f t="shared" si="40"/>
        <v>-0.22748815165876776</v>
      </c>
      <c r="J42" s="477">
        <f t="shared" si="40"/>
        <v>-0.27199792960662528</v>
      </c>
      <c r="K42" s="477">
        <f t="shared" si="40"/>
        <v>-0.19042101197373504</v>
      </c>
      <c r="L42" s="477">
        <f t="shared" si="40"/>
        <v>-0.24375294672324374</v>
      </c>
      <c r="M42" s="477">
        <f t="shared" si="40"/>
        <v>-0.22739726027397261</v>
      </c>
      <c r="N42" s="477">
        <f t="shared" si="40"/>
        <v>-0.2304199772985244</v>
      </c>
      <c r="O42" s="477">
        <f t="shared" si="40"/>
        <v>0.10599078341013825</v>
      </c>
      <c r="P42" s="477">
        <f t="shared" si="40"/>
        <v>0.15976331360946747</v>
      </c>
      <c r="Q42" s="477">
        <f t="shared" si="40"/>
        <v>-0.24397299903567984</v>
      </c>
      <c r="R42" s="477">
        <f t="shared" ref="R42" ca="1" si="41">R41/ABS(R39)</f>
        <v>0.24570024570024571</v>
      </c>
      <c r="S42" s="296">
        <v>0</v>
      </c>
      <c r="T42" s="296">
        <v>0</v>
      </c>
      <c r="U42" s="441"/>
      <c r="V42" s="477">
        <f t="shared" ref="V42:AA42" si="42">V41/ABS(V39)</f>
        <v>0.38940750619165554</v>
      </c>
      <c r="W42" s="477">
        <f t="shared" si="42"/>
        <v>0.23501670269208097</v>
      </c>
      <c r="X42" s="477">
        <f t="shared" si="42"/>
        <v>0.23141293852590925</v>
      </c>
      <c r="Y42" s="477">
        <f t="shared" si="42"/>
        <v>-0.23977323254779903</v>
      </c>
      <c r="Z42" s="477">
        <f t="shared" si="42"/>
        <v>-0.23923865300146413</v>
      </c>
      <c r="AA42" s="477">
        <f t="shared" ca="1" si="42"/>
        <v>8.7929626999936394E-2</v>
      </c>
      <c r="AB42" s="296">
        <v>0</v>
      </c>
      <c r="AC42" s="296">
        <v>0</v>
      </c>
      <c r="AD42" s="296">
        <v>0</v>
      </c>
    </row>
    <row r="43" spans="3:30" s="399" customFormat="1" ht="11.25" customHeight="1">
      <c r="C43" s="696" t="s">
        <v>1160</v>
      </c>
      <c r="E43" s="357">
        <f t="shared" ref="E43:T43" si="43">E39-E41</f>
        <v>639</v>
      </c>
      <c r="F43" s="357">
        <f t="shared" si="43"/>
        <v>1533</v>
      </c>
      <c r="G43" s="357">
        <f t="shared" si="43"/>
        <v>1507</v>
      </c>
      <c r="H43" s="357">
        <f t="shared" si="43"/>
        <v>1097</v>
      </c>
      <c r="I43" s="357">
        <f t="shared" si="43"/>
        <v>-326</v>
      </c>
      <c r="J43" s="357">
        <f t="shared" si="43"/>
        <v>-2813</v>
      </c>
      <c r="K43" s="357">
        <f t="shared" si="43"/>
        <v>-2096</v>
      </c>
      <c r="L43" s="357">
        <f t="shared" si="43"/>
        <v>-1604</v>
      </c>
      <c r="M43" s="357">
        <f t="shared" si="43"/>
        <v>-2256</v>
      </c>
      <c r="N43" s="357">
        <f t="shared" si="43"/>
        <v>-678</v>
      </c>
      <c r="O43" s="357">
        <f t="shared" si="43"/>
        <v>194</v>
      </c>
      <c r="P43" s="357">
        <f t="shared" si="43"/>
        <v>142</v>
      </c>
      <c r="Q43" s="357">
        <f t="shared" si="43"/>
        <v>-784</v>
      </c>
      <c r="R43" s="357">
        <f t="shared" ref="R43" ca="1" si="44">R39-R41</f>
        <v>921</v>
      </c>
      <c r="S43" s="357">
        <f t="shared" ca="1" si="43"/>
        <v>665.77640580168895</v>
      </c>
      <c r="T43" s="357">
        <f t="shared" ca="1" si="43"/>
        <v>-315.25804602251583</v>
      </c>
      <c r="U43" s="255"/>
      <c r="V43" s="357">
        <f t="shared" ref="V43:AD43" si="45">V39-V41</f>
        <v>3205</v>
      </c>
      <c r="W43" s="357">
        <f t="shared" si="45"/>
        <v>3893</v>
      </c>
      <c r="X43" s="357">
        <f t="shared" si="45"/>
        <v>4776</v>
      </c>
      <c r="Y43" s="357">
        <f t="shared" si="45"/>
        <v>-6839</v>
      </c>
      <c r="Z43" s="357">
        <f t="shared" si="45"/>
        <v>-2598</v>
      </c>
      <c r="AA43" s="357">
        <f t="shared" ca="1" si="45"/>
        <v>487.51835977916744</v>
      </c>
      <c r="AB43" s="357">
        <f t="shared" ca="1" si="45"/>
        <v>161.37844829242022</v>
      </c>
      <c r="AC43" s="357">
        <f t="shared" ca="1" si="45"/>
        <v>1769.3924269642666</v>
      </c>
      <c r="AD43" s="357">
        <f t="shared" ca="1" si="45"/>
        <v>2222.8992742759956</v>
      </c>
    </row>
    <row r="44" spans="3:30" s="284" customFormat="1" ht="11.25" customHeight="1">
      <c r="C44" s="693"/>
      <c r="U44" s="255"/>
    </row>
    <row r="45" spans="3:30" s="284" customFormat="1" ht="11.25" customHeight="1" outlineLevel="1">
      <c r="C45" s="693" t="s">
        <v>1241</v>
      </c>
      <c r="E45" s="284">
        <f>ROUND('DAL Financials'!E60-SUM(E15:E23,E26:E27,E30,E33),0)</f>
        <v>0</v>
      </c>
      <c r="F45" s="284">
        <f>ROUND('DAL Financials'!F60-SUM(F15:F23,F26:F27,F30,F33),0)</f>
        <v>0</v>
      </c>
      <c r="G45" s="284">
        <f>ROUND('DAL Financials'!G60-SUM(G15:G23,G26:G27,G30,G33),0)</f>
        <v>0</v>
      </c>
      <c r="H45" s="284">
        <f>ROUND('DAL Financials'!H60-SUM(H15:H23,H26:H27,H30,H33),0)</f>
        <v>0</v>
      </c>
      <c r="I45" s="284">
        <f>ROUND('DAL Financials'!I60-SUM(I15:I23,I26:I27,I30,I33),0)</f>
        <v>0</v>
      </c>
      <c r="J45" s="284">
        <f>ROUND('DAL Financials'!J60-SUM(J15:J23,J26:J27,J30,J33),0)</f>
        <v>0</v>
      </c>
      <c r="K45" s="284">
        <f>ROUND('DAL Financials'!K60-SUM(K15:K23,K26:K27,K30,K33),0)</f>
        <v>0</v>
      </c>
      <c r="L45" s="284">
        <f>ROUND('DAL Financials'!L60-SUM(L15:L23,L26:L27,L30,L33),0)</f>
        <v>0</v>
      </c>
      <c r="M45" s="284">
        <f>ROUND('DAL Financials'!M60-SUM(M15:M23,M26:M27,M30,M33),0)</f>
        <v>0</v>
      </c>
      <c r="N45" s="284">
        <f>ROUND('DAL Financials'!N60-SUM(N15:N23,N26:N27,N30,N33),0)</f>
        <v>0</v>
      </c>
      <c r="O45" s="284">
        <f>ROUND('DAL Financials'!O60-SUM(O15:O23,O26:O27,O30,O33),0)</f>
        <v>0</v>
      </c>
      <c r="P45" s="284">
        <f>ROUND('DAL Financials'!P60-SUM(P15:P23,P26:P27,P30,P33),0)</f>
        <v>0</v>
      </c>
      <c r="Q45" s="284">
        <f>ROUND('DAL Financials'!Q60-SUM(Q15:Q23,Q26:Q27,Q30,Q33),0)</f>
        <v>0</v>
      </c>
      <c r="R45" s="284">
        <f ca="1">ROUND('DAL Financials'!R60-SUM(R15:R23,R26:R27,R30,R33),0)</f>
        <v>0</v>
      </c>
      <c r="S45" s="284">
        <f ca="1">ROUND('DAL Financials'!S60-SUM(S15:S23,S26:S27,S30,S33),0)</f>
        <v>0</v>
      </c>
      <c r="T45" s="284">
        <f ca="1">ROUND('DAL Financials'!T60-SUM(T15:T23,T26:T27,T30,T33),0)</f>
        <v>0</v>
      </c>
      <c r="U45" s="255"/>
      <c r="V45" s="284">
        <f>ROUND('DAL Financials'!V60-SUM(V15:V23,V26:V27,V30,V33),0)</f>
        <v>0</v>
      </c>
      <c r="W45" s="284">
        <f>ROUND('DAL Financials'!W60-SUM(W15:W23,W26:W27,W30,W33),0)</f>
        <v>0</v>
      </c>
      <c r="X45" s="284">
        <f>ROUND('DAL Financials'!X60-SUM(X15:X23,X26:X27,X30,X33),0)</f>
        <v>0</v>
      </c>
      <c r="Y45" s="284">
        <f>ROUND('DAL Financials'!Y60-SUM(Y15:Y23,Y26:Y27,Y30,Y33),0)</f>
        <v>0</v>
      </c>
      <c r="Z45" s="284">
        <f>ROUND('DAL Financials'!Z60-SUM(Z15:Z23,Z26:Z27,Z30,Z33),0)</f>
        <v>0</v>
      </c>
      <c r="AA45" s="284">
        <f ca="1">ROUND('DAL Financials'!AA60-SUM(AA15:AA23,AA26:AA27,AA30,AA33),0)</f>
        <v>0</v>
      </c>
      <c r="AB45" s="284">
        <f ca="1">ROUND('DAL Financials'!AB60-SUM(AB15:AB23,AB26:AB27,AB30,AB33),0)</f>
        <v>0</v>
      </c>
      <c r="AC45" s="284">
        <f ca="1">ROUND('DAL Financials'!AC60-SUM(AC15:AC23,AC26:AC27,AC30,AC33),0)</f>
        <v>0</v>
      </c>
      <c r="AD45" s="284">
        <f ca="1">ROUND('DAL Financials'!AD60-SUM(AD15:AD23,AD26:AD27,AD30,AD33),0)</f>
        <v>0</v>
      </c>
    </row>
    <row r="46" spans="3:30" s="284" customFormat="1" ht="11.25" customHeight="1" outlineLevel="1">
      <c r="C46" s="693" t="s">
        <v>1161</v>
      </c>
      <c r="E46" s="284">
        <f>ROUND('DAL KPI'!E105-'DAL Financials'!E60-E34,0)</f>
        <v>0</v>
      </c>
      <c r="F46" s="284">
        <f>ROUND('DAL KPI'!F105-'DAL Financials'!F60-F34,0)</f>
        <v>0</v>
      </c>
      <c r="G46" s="284">
        <f>ROUND('DAL KPI'!G105-'DAL Financials'!G60-G34,0)</f>
        <v>0</v>
      </c>
      <c r="H46" s="284">
        <f>ROUND('DAL KPI'!H105-'DAL Financials'!H60-H34,0)</f>
        <v>0</v>
      </c>
      <c r="I46" s="284">
        <f>ROUND('DAL KPI'!I105-'DAL Financials'!I60-I34,0)</f>
        <v>0</v>
      </c>
      <c r="J46" s="284">
        <f>ROUND('DAL KPI'!J105-'DAL Financials'!J60-J34,0)</f>
        <v>0</v>
      </c>
      <c r="K46" s="284">
        <f>ROUND('DAL KPI'!K105-'DAL Financials'!K60-K34,0)</f>
        <v>0</v>
      </c>
      <c r="L46" s="284">
        <f>ROUND('DAL KPI'!L105-'DAL Financials'!L60-L34,0)</f>
        <v>0</v>
      </c>
      <c r="M46" s="284">
        <f>ROUND('DAL KPI'!M105-'DAL Financials'!M60-M34,0)</f>
        <v>0</v>
      </c>
      <c r="N46" s="284">
        <f>ROUND('DAL KPI'!N105-'DAL Financials'!N60-N34,0)</f>
        <v>0</v>
      </c>
      <c r="O46" s="284">
        <f>ROUND('DAL KPI'!O105-'DAL Financials'!O60-O34,0)</f>
        <v>0</v>
      </c>
      <c r="P46" s="284">
        <f>ROUND('DAL KPI'!P105-'DAL Financials'!P60-P34,0)</f>
        <v>0</v>
      </c>
      <c r="Q46" s="284">
        <f>ROUND('DAL KPI'!Q105-'DAL Financials'!Q60-Q34,0)</f>
        <v>0</v>
      </c>
      <c r="R46" s="284">
        <f ca="1">ROUND('DAL KPI'!R105-'DAL Financials'!R60-R34,0)</f>
        <v>0</v>
      </c>
      <c r="S46" s="284">
        <f ca="1">ROUND('DAL KPI'!S105-'DAL Financials'!S60-S34,0)</f>
        <v>0</v>
      </c>
      <c r="T46" s="284">
        <f ca="1">ROUND('DAL KPI'!T105-'DAL Financials'!T60-T34,0)</f>
        <v>0</v>
      </c>
      <c r="U46" s="255"/>
      <c r="V46" s="284">
        <f>ROUND('DAL KPI'!V105-'DAL Financials'!V60-V34,0)</f>
        <v>0</v>
      </c>
      <c r="W46" s="284">
        <f>ROUND('DAL KPI'!W105-'DAL Financials'!W60-W34,0)</f>
        <v>0</v>
      </c>
      <c r="X46" s="284">
        <f>ROUND('DAL KPI'!X105-'DAL Financials'!X60-X34,0)</f>
        <v>0</v>
      </c>
      <c r="Y46" s="284">
        <f>ROUND('DAL KPI'!Y105-'DAL Financials'!Y60-Y34,0)</f>
        <v>0</v>
      </c>
      <c r="Z46" s="284">
        <f>ROUND('DAL KPI'!Z105-'DAL Financials'!Z60-Z34,0)</f>
        <v>0</v>
      </c>
      <c r="AA46" s="284">
        <f ca="1">ROUND('DAL KPI'!AA105-'DAL Financials'!AA60-AA34,0)</f>
        <v>0</v>
      </c>
      <c r="AB46" s="284">
        <f ca="1">ROUND('DAL KPI'!AB105-'DAL Financials'!AB60-AB34,0)</f>
        <v>0</v>
      </c>
      <c r="AC46" s="284">
        <f ca="1">ROUND('DAL KPI'!AC105-'DAL Financials'!AC60-AC34,0)</f>
        <v>0</v>
      </c>
      <c r="AD46" s="284">
        <f ca="1">ROUND('DAL KPI'!AD105-'DAL Financials'!AD60-AD34,0)</f>
        <v>0</v>
      </c>
    </row>
    <row r="47" spans="3:30" s="255" customFormat="1" ht="11.25" customHeight="1" outlineLevel="1">
      <c r="C47" s="693" t="s">
        <v>989</v>
      </c>
      <c r="E47" s="284">
        <f>ROUND('DAL Financials'!E82-E39,0)</f>
        <v>0</v>
      </c>
      <c r="F47" s="284">
        <f>ROUND('DAL Financials'!F82-F39,0)</f>
        <v>0</v>
      </c>
      <c r="G47" s="284">
        <f>ROUND('DAL Financials'!G82-G39,0)</f>
        <v>0</v>
      </c>
      <c r="H47" s="284">
        <f>ROUND('DAL Financials'!H82-H39,0)</f>
        <v>0</v>
      </c>
      <c r="I47" s="284">
        <f>ROUND('DAL Financials'!I82-I39,0)</f>
        <v>0</v>
      </c>
      <c r="J47" s="284">
        <f>ROUND('DAL Financials'!J82-J39,0)</f>
        <v>0</v>
      </c>
      <c r="K47" s="284">
        <f>ROUND('DAL Financials'!K82-K39,0)</f>
        <v>0</v>
      </c>
      <c r="L47" s="284">
        <f>ROUND('DAL Financials'!L82-L39,0)</f>
        <v>0</v>
      </c>
      <c r="M47" s="284">
        <f>ROUND('DAL Financials'!M82-M39,0)</f>
        <v>0</v>
      </c>
      <c r="N47" s="284">
        <f>ROUND('DAL Financials'!N82-N39,0)</f>
        <v>0</v>
      </c>
      <c r="O47" s="284">
        <f>ROUND('DAL Financials'!O82-O39,0)</f>
        <v>0</v>
      </c>
      <c r="P47" s="284">
        <f>ROUND('DAL Financials'!P82-P39,0)</f>
        <v>0</v>
      </c>
      <c r="Q47" s="284">
        <f>ROUND('DAL Financials'!Q82-Q39,0)</f>
        <v>0</v>
      </c>
      <c r="R47" s="284">
        <f ca="1">ROUND('DAL Financials'!R82-R39,0)</f>
        <v>0</v>
      </c>
      <c r="S47" s="284">
        <f ca="1">ROUND('DAL Financials'!S82-S39,0)</f>
        <v>0</v>
      </c>
      <c r="T47" s="284">
        <f ca="1">ROUND('DAL Financials'!T82-T39,0)</f>
        <v>0</v>
      </c>
      <c r="U47" s="284"/>
      <c r="V47" s="284">
        <f>ROUND('DAL Financials'!V82-V39,0)</f>
        <v>0</v>
      </c>
      <c r="W47" s="284">
        <f>ROUND('DAL Financials'!W82-W39,0)</f>
        <v>0</v>
      </c>
      <c r="X47" s="284">
        <f>ROUND('DAL Financials'!X82-X39,0)</f>
        <v>0</v>
      </c>
      <c r="Y47" s="284">
        <f>ROUND('DAL Financials'!Y82-Y39,0)</f>
        <v>0</v>
      </c>
      <c r="Z47" s="284">
        <f>ROUND('DAL Financials'!Z82-Z39,0)</f>
        <v>0</v>
      </c>
      <c r="AA47" s="284">
        <f ca="1">ROUND('DAL Financials'!AA82-AA39,0)</f>
        <v>0</v>
      </c>
      <c r="AB47" s="284">
        <f ca="1">ROUND('DAL Financials'!AB82-AB39,0)</f>
        <v>0</v>
      </c>
      <c r="AC47" s="284">
        <f ca="1">ROUND('DAL Financials'!AC82-AC39,0)</f>
        <v>0</v>
      </c>
      <c r="AD47" s="284">
        <f ca="1">ROUND('DAL Financials'!AD82-AD39,0)</f>
        <v>0</v>
      </c>
    </row>
    <row r="48" spans="3:30" s="255" customFormat="1" ht="11.25" customHeight="1" outlineLevel="1">
      <c r="C48" s="693" t="s">
        <v>428</v>
      </c>
      <c r="E48" s="284">
        <f>ROUND('DAL Financials'!E108-E43,0)</f>
        <v>0</v>
      </c>
      <c r="F48" s="284">
        <f>ROUND('DAL Financials'!F108-F43,0)</f>
        <v>0</v>
      </c>
      <c r="G48" s="284">
        <f>ROUND('DAL Financials'!G108-G43,0)</f>
        <v>0</v>
      </c>
      <c r="H48" s="284">
        <f>ROUND('DAL Financials'!H108-H43,0)</f>
        <v>0</v>
      </c>
      <c r="I48" s="284">
        <f>ROUND('DAL Financials'!I108-I43,0)</f>
        <v>0</v>
      </c>
      <c r="J48" s="284">
        <f>ROUND('DAL Financials'!J108-J43,0)</f>
        <v>0</v>
      </c>
      <c r="K48" s="284">
        <f>ROUND('DAL Financials'!K108-K43,0)</f>
        <v>0</v>
      </c>
      <c r="L48" s="284">
        <f>ROUND('DAL Financials'!L108-L43,0)</f>
        <v>0</v>
      </c>
      <c r="M48" s="284">
        <f>ROUND('DAL Financials'!M108-M43,0)</f>
        <v>0</v>
      </c>
      <c r="N48" s="284">
        <f>ROUND('DAL Financials'!N108-N43,0)</f>
        <v>0</v>
      </c>
      <c r="O48" s="284">
        <f>ROUND('DAL Financials'!O108-O43,0)</f>
        <v>0</v>
      </c>
      <c r="P48" s="284">
        <f>ROUND('DAL Financials'!P108-P43,0)</f>
        <v>0</v>
      </c>
      <c r="Q48" s="284">
        <f>ROUND('DAL Financials'!Q108-Q43,0)</f>
        <v>0</v>
      </c>
      <c r="R48" s="284">
        <f ca="1">ROUND('DAL Financials'!R108-R43,0)</f>
        <v>0</v>
      </c>
      <c r="S48" s="284">
        <f ca="1">ROUND('DAL Financials'!S108-S43,0)</f>
        <v>0</v>
      </c>
      <c r="T48" s="284">
        <f ca="1">ROUND('DAL Financials'!T108-T43,0)</f>
        <v>0</v>
      </c>
      <c r="U48" s="284"/>
      <c r="V48" s="284">
        <f>ROUND('DAL Financials'!V108-V43,0)</f>
        <v>0</v>
      </c>
      <c r="W48" s="284">
        <f>ROUND('DAL Financials'!W108-W43,0)</f>
        <v>0</v>
      </c>
      <c r="X48" s="284">
        <f>ROUND('DAL Financials'!X108-X43,0)</f>
        <v>0</v>
      </c>
      <c r="Y48" s="284">
        <f>ROUND('DAL Financials'!Y108-Y43,0)</f>
        <v>0</v>
      </c>
      <c r="Z48" s="284">
        <f>ROUND('DAL Financials'!Z108-Z43,0)</f>
        <v>0</v>
      </c>
      <c r="AA48" s="284">
        <f ca="1">ROUND('DAL Financials'!AA108-AA43,0)</f>
        <v>0</v>
      </c>
      <c r="AB48" s="284">
        <f ca="1">ROUND('DAL Financials'!AB108-AB43,0)</f>
        <v>0</v>
      </c>
      <c r="AC48" s="284">
        <f ca="1">ROUND('DAL Financials'!AC108-AC43,0)</f>
        <v>0</v>
      </c>
      <c r="AD48" s="284">
        <f ca="1">ROUND('DAL Financials'!AD108-AD43,0)</f>
        <v>0</v>
      </c>
    </row>
    <row r="49" spans="2:30" s="255" customFormat="1" ht="11.25" customHeight="1" outlineLevel="1">
      <c r="C49" s="693"/>
      <c r="E49" s="284"/>
      <c r="F49" s="284"/>
      <c r="G49" s="284"/>
      <c r="H49" s="284"/>
      <c r="I49" s="284"/>
      <c r="J49" s="284"/>
      <c r="K49" s="284"/>
      <c r="L49" s="284"/>
      <c r="M49" s="284"/>
      <c r="N49" s="284"/>
      <c r="O49" s="284"/>
      <c r="P49" s="284"/>
      <c r="V49" s="284"/>
      <c r="W49" s="284"/>
      <c r="X49" s="284"/>
      <c r="Y49" s="284"/>
      <c r="Z49" s="284"/>
      <c r="AA49" s="284"/>
      <c r="AB49" s="284"/>
      <c r="AC49" s="284"/>
      <c r="AD49" s="284"/>
    </row>
    <row r="50" spans="2:30" s="255" customFormat="1" ht="11.25" customHeight="1">
      <c r="B50" s="258" t="s">
        <v>133</v>
      </c>
      <c r="C50" s="259" t="s">
        <v>1162</v>
      </c>
      <c r="D50" s="259"/>
      <c r="E50" s="258"/>
      <c r="F50" s="258"/>
      <c r="G50" s="258"/>
      <c r="H50" s="258"/>
      <c r="I50" s="258"/>
      <c r="J50" s="258"/>
      <c r="K50" s="258"/>
      <c r="L50" s="258"/>
      <c r="M50" s="258"/>
      <c r="N50" s="258"/>
      <c r="O50" s="258"/>
      <c r="P50" s="258"/>
      <c r="Q50" s="258"/>
      <c r="R50" s="258"/>
      <c r="S50" s="258"/>
      <c r="T50" s="258"/>
      <c r="V50" s="258"/>
      <c r="W50" s="258"/>
      <c r="X50" s="258"/>
      <c r="Y50" s="258"/>
      <c r="Z50" s="258"/>
      <c r="AA50" s="258"/>
      <c r="AB50" s="258"/>
      <c r="AC50" s="258"/>
      <c r="AD50" s="258"/>
    </row>
    <row r="51" spans="2:30" s="380" customFormat="1" ht="11.25" customHeight="1">
      <c r="C51" s="398"/>
      <c r="E51" s="660"/>
      <c r="F51" s="660"/>
      <c r="G51" s="660"/>
      <c r="H51" s="660"/>
      <c r="I51" s="660"/>
      <c r="J51" s="660"/>
      <c r="K51" s="660"/>
      <c r="L51" s="660"/>
      <c r="M51" s="660"/>
      <c r="N51" s="660"/>
      <c r="O51" s="660"/>
      <c r="P51" s="660"/>
      <c r="Q51" s="660"/>
      <c r="R51" s="660"/>
      <c r="S51" s="660"/>
      <c r="T51" s="660"/>
      <c r="U51" s="255"/>
      <c r="V51" s="660"/>
      <c r="W51" s="660"/>
      <c r="X51" s="660"/>
      <c r="Y51" s="660"/>
      <c r="Z51" s="660"/>
      <c r="AA51" s="660"/>
      <c r="AB51" s="660"/>
      <c r="AC51" s="660"/>
      <c r="AD51" s="660"/>
    </row>
    <row r="52" spans="2:30" s="661" customFormat="1" ht="11.25" customHeight="1">
      <c r="B52" s="763"/>
      <c r="C52" s="764" t="str">
        <f>C10</f>
        <v>Total passenger revenue</v>
      </c>
      <c r="D52" s="763"/>
      <c r="E52" s="487">
        <f t="shared" ref="E52:T52" si="46">E10/E$13</f>
        <v>0.89143627781523938</v>
      </c>
      <c r="F52" s="487">
        <f t="shared" si="46"/>
        <v>0.91331244476580697</v>
      </c>
      <c r="G52" s="487">
        <f t="shared" si="46"/>
        <v>0.91228911809386748</v>
      </c>
      <c r="H52" s="487">
        <f t="shared" si="46"/>
        <v>0.89994729444834853</v>
      </c>
      <c r="I52" s="487">
        <f t="shared" si="46"/>
        <v>0.88093575418994419</v>
      </c>
      <c r="J52" s="487">
        <f t="shared" si="46"/>
        <v>0.57653061224489799</v>
      </c>
      <c r="K52" s="487">
        <f t="shared" si="46"/>
        <v>0.73270321361058599</v>
      </c>
      <c r="L52" s="487">
        <f t="shared" si="46"/>
        <v>0.76387315968289926</v>
      </c>
      <c r="M52" s="487">
        <f t="shared" si="46"/>
        <v>0.76121883656509692</v>
      </c>
      <c r="N52" s="487">
        <f t="shared" si="46"/>
        <v>0.84091982989447156</v>
      </c>
      <c r="O52" s="487">
        <f t="shared" si="46"/>
        <v>0.86826853417049021</v>
      </c>
      <c r="P52" s="487">
        <f t="shared" si="46"/>
        <v>0.85895610913404508</v>
      </c>
      <c r="Q52" s="487">
        <f t="shared" si="46"/>
        <v>0.84634236000490137</v>
      </c>
      <c r="R52" s="487">
        <f t="shared" si="46"/>
        <v>0.89017059301380996</v>
      </c>
      <c r="S52" s="487">
        <f t="shared" si="46"/>
        <v>0.8819903888904802</v>
      </c>
      <c r="T52" s="487">
        <f t="shared" si="46"/>
        <v>0.88280122466935351</v>
      </c>
      <c r="U52" s="255"/>
      <c r="V52" s="487">
        <f t="shared" ref="V52:AD52" si="47">V10/V$13</f>
        <v>0.89812338956682392</v>
      </c>
      <c r="W52" s="487">
        <f t="shared" si="47"/>
        <v>0.89461721949682704</v>
      </c>
      <c r="X52" s="487">
        <f t="shared" si="47"/>
        <v>0.90492091012222009</v>
      </c>
      <c r="Y52" s="487">
        <f t="shared" si="47"/>
        <v>0.80796487927249927</v>
      </c>
      <c r="Z52" s="487">
        <f t="shared" si="47"/>
        <v>0.84432529713921489</v>
      </c>
      <c r="AA52" s="487">
        <f t="shared" si="47"/>
        <v>0.87800256442043556</v>
      </c>
      <c r="AB52" s="487">
        <f t="shared" si="47"/>
        <v>0.87432664806339533</v>
      </c>
      <c r="AC52" s="487">
        <f t="shared" si="47"/>
        <v>0.87604708029636691</v>
      </c>
      <c r="AD52" s="487">
        <f t="shared" si="47"/>
        <v>0.87963211951018594</v>
      </c>
    </row>
    <row r="53" spans="2:30" s="661" customFormat="1" ht="11.25" customHeight="1">
      <c r="B53" s="763"/>
      <c r="C53" s="764" t="str">
        <f>C11</f>
        <v>Cargo</v>
      </c>
      <c r="D53" s="763"/>
      <c r="E53" s="487">
        <f t="shared" ref="E53:T53" si="48">E11/E$13</f>
        <v>1.8495328003082553E-2</v>
      </c>
      <c r="F53" s="487">
        <f t="shared" si="48"/>
        <v>1.4943359845745963E-2</v>
      </c>
      <c r="G53" s="487">
        <f t="shared" si="48"/>
        <v>1.5111537538978172E-2</v>
      </c>
      <c r="H53" s="487">
        <f t="shared" si="48"/>
        <v>1.6426563598032327E-2</v>
      </c>
      <c r="I53" s="487">
        <f t="shared" si="48"/>
        <v>1.7690875232774673E-2</v>
      </c>
      <c r="J53" s="487">
        <f t="shared" si="48"/>
        <v>9.1836734693877556E-2</v>
      </c>
      <c r="K53" s="487">
        <f t="shared" si="48"/>
        <v>5.3686200378071834E-2</v>
      </c>
      <c r="L53" s="487">
        <f t="shared" si="48"/>
        <v>5.7757644394110984E-2</v>
      </c>
      <c r="M53" s="487">
        <f t="shared" si="48"/>
        <v>5.9556786703601108E-2</v>
      </c>
      <c r="N53" s="487">
        <f t="shared" si="48"/>
        <v>3.9533784848007562E-2</v>
      </c>
      <c r="O53" s="487">
        <f t="shared" si="48"/>
        <v>3.1634870804153586E-2</v>
      </c>
      <c r="P53" s="487">
        <f t="shared" si="48"/>
        <v>3.6061684460260972E-2</v>
      </c>
      <c r="Q53" s="487">
        <f t="shared" si="48"/>
        <v>3.5412326920720501E-2</v>
      </c>
      <c r="R53" s="487">
        <f t="shared" si="48"/>
        <v>2.2095857026807473E-2</v>
      </c>
      <c r="S53" s="487">
        <f t="shared" si="48"/>
        <v>2.2597585106078268E-2</v>
      </c>
      <c r="T53" s="487">
        <f t="shared" si="48"/>
        <v>2.6044172295699219E-2</v>
      </c>
      <c r="U53" s="255"/>
      <c r="V53" s="487">
        <f t="shared" ref="V53:AD53" si="49">V11/V$13</f>
        <v>1.8085468423355535E-2</v>
      </c>
      <c r="W53" s="487">
        <f t="shared" si="49"/>
        <v>1.9465322471758403E-2</v>
      </c>
      <c r="X53" s="487">
        <f t="shared" si="49"/>
        <v>1.6139044072004966E-2</v>
      </c>
      <c r="Y53" s="487">
        <f t="shared" si="49"/>
        <v>3.8005644402634056E-2</v>
      </c>
      <c r="Z53" s="487">
        <f t="shared" si="49"/>
        <v>3.8693712271755838E-2</v>
      </c>
      <c r="AA53" s="487">
        <f t="shared" si="49"/>
        <v>2.5674594513219934E-2</v>
      </c>
      <c r="AB53" s="487">
        <f t="shared" si="49"/>
        <v>2.4588264509335721E-2</v>
      </c>
      <c r="AC53" s="487">
        <f t="shared" si="49"/>
        <v>2.1557029513675319E-2</v>
      </c>
      <c r="AD53" s="487">
        <f t="shared" si="49"/>
        <v>1.8723892520637754E-2</v>
      </c>
    </row>
    <row r="54" spans="2:30" s="661" customFormat="1" ht="11.25" customHeight="1">
      <c r="B54" s="763"/>
      <c r="C54" s="764" t="str">
        <f>C12</f>
        <v>Adj. Other revenue</v>
      </c>
      <c r="D54" s="763"/>
      <c r="E54" s="487">
        <f t="shared" ref="E54:T54" si="50">E12/E$13</f>
        <v>9.0068394181678071E-2</v>
      </c>
      <c r="F54" s="487">
        <f t="shared" si="50"/>
        <v>7.1744195388447021E-2</v>
      </c>
      <c r="G54" s="487">
        <f t="shared" si="50"/>
        <v>7.25993443671544E-2</v>
      </c>
      <c r="H54" s="487">
        <f t="shared" si="50"/>
        <v>8.3626141953619115E-2</v>
      </c>
      <c r="I54" s="487">
        <f t="shared" si="50"/>
        <v>0.10137337057728119</v>
      </c>
      <c r="J54" s="487">
        <f t="shared" si="50"/>
        <v>0.33163265306122447</v>
      </c>
      <c r="K54" s="487">
        <f t="shared" si="50"/>
        <v>0.21361058601134217</v>
      </c>
      <c r="L54" s="487">
        <f t="shared" si="50"/>
        <v>0.1783691959229898</v>
      </c>
      <c r="M54" s="487">
        <f t="shared" si="50"/>
        <v>0.17922437673130193</v>
      </c>
      <c r="N54" s="487">
        <f t="shared" si="50"/>
        <v>0.11954638525752087</v>
      </c>
      <c r="O54" s="487">
        <f t="shared" si="50"/>
        <v>0.1000965950253562</v>
      </c>
      <c r="P54" s="487">
        <f t="shared" si="50"/>
        <v>0.10498220640569395</v>
      </c>
      <c r="Q54" s="487">
        <f t="shared" si="50"/>
        <v>0.11824531307437813</v>
      </c>
      <c r="R54" s="487">
        <f t="shared" si="50"/>
        <v>8.7733549959382609E-2</v>
      </c>
      <c r="S54" s="487">
        <f t="shared" si="50"/>
        <v>9.5412026003441591E-2</v>
      </c>
      <c r="T54" s="487">
        <f t="shared" si="50"/>
        <v>9.1154603034947296E-2</v>
      </c>
      <c r="U54" s="255"/>
      <c r="V54" s="487">
        <f t="shared" ref="V54:AD54" si="51">V12/V$13</f>
        <v>8.3791142009820602E-2</v>
      </c>
      <c r="W54" s="487">
        <f t="shared" si="51"/>
        <v>8.5917458031414554E-2</v>
      </c>
      <c r="X54" s="487">
        <f t="shared" si="51"/>
        <v>7.8940045805774947E-2</v>
      </c>
      <c r="Y54" s="487">
        <f t="shared" si="51"/>
        <v>0.15402947632486674</v>
      </c>
      <c r="Z54" s="487">
        <f t="shared" si="51"/>
        <v>0.11698099058902928</v>
      </c>
      <c r="AA54" s="487">
        <f t="shared" si="51"/>
        <v>9.6322841066344506E-2</v>
      </c>
      <c r="AB54" s="487">
        <f t="shared" si="51"/>
        <v>0.10108508742726906</v>
      </c>
      <c r="AC54" s="487">
        <f t="shared" si="51"/>
        <v>0.10239589018995779</v>
      </c>
      <c r="AD54" s="487">
        <f t="shared" si="51"/>
        <v>0.10164398796917636</v>
      </c>
    </row>
    <row r="55" spans="2:30" s="661" customFormat="1" ht="11.25" customHeight="1">
      <c r="B55" s="763"/>
      <c r="C55" s="898" t="str">
        <f>C13</f>
        <v>Adj. Airline revenue</v>
      </c>
      <c r="D55" s="763"/>
      <c r="E55" s="487">
        <f t="shared" ref="E55:T55" si="52">E13/E$13</f>
        <v>1</v>
      </c>
      <c r="F55" s="487">
        <f t="shared" si="52"/>
        <v>1</v>
      </c>
      <c r="G55" s="487">
        <f t="shared" si="52"/>
        <v>1</v>
      </c>
      <c r="H55" s="487">
        <f t="shared" si="52"/>
        <v>1</v>
      </c>
      <c r="I55" s="487">
        <f t="shared" si="52"/>
        <v>1</v>
      </c>
      <c r="J55" s="487">
        <f t="shared" si="52"/>
        <v>1</v>
      </c>
      <c r="K55" s="487">
        <f t="shared" si="52"/>
        <v>1</v>
      </c>
      <c r="L55" s="487">
        <f t="shared" si="52"/>
        <v>1</v>
      </c>
      <c r="M55" s="487">
        <f t="shared" si="52"/>
        <v>1</v>
      </c>
      <c r="N55" s="487">
        <f t="shared" si="52"/>
        <v>1</v>
      </c>
      <c r="O55" s="487">
        <f t="shared" si="52"/>
        <v>1</v>
      </c>
      <c r="P55" s="487">
        <f t="shared" si="52"/>
        <v>1</v>
      </c>
      <c r="Q55" s="487">
        <f t="shared" si="52"/>
        <v>1</v>
      </c>
      <c r="R55" s="487">
        <f t="shared" si="52"/>
        <v>1</v>
      </c>
      <c r="S55" s="487">
        <f t="shared" si="52"/>
        <v>1</v>
      </c>
      <c r="T55" s="487">
        <f t="shared" si="52"/>
        <v>1</v>
      </c>
      <c r="U55" s="255"/>
      <c r="V55" s="487">
        <f t="shared" ref="V55:AD55" si="53">V13/V$13</f>
        <v>1</v>
      </c>
      <c r="W55" s="487">
        <f t="shared" si="53"/>
        <v>1</v>
      </c>
      <c r="X55" s="487">
        <f t="shared" si="53"/>
        <v>1</v>
      </c>
      <c r="Y55" s="487">
        <f t="shared" si="53"/>
        <v>1</v>
      </c>
      <c r="Z55" s="487">
        <f t="shared" si="53"/>
        <v>1</v>
      </c>
      <c r="AA55" s="487">
        <f t="shared" si="53"/>
        <v>1</v>
      </c>
      <c r="AB55" s="487">
        <f t="shared" si="53"/>
        <v>1</v>
      </c>
      <c r="AC55" s="487">
        <f t="shared" si="53"/>
        <v>1</v>
      </c>
      <c r="AD55" s="487">
        <f t="shared" si="53"/>
        <v>1</v>
      </c>
    </row>
    <row r="56" spans="2:30" s="661" customFormat="1" ht="11.25" customHeight="1">
      <c r="B56" s="763"/>
      <c r="C56" s="764"/>
      <c r="D56" s="763"/>
      <c r="E56" s="487"/>
      <c r="F56" s="487"/>
      <c r="G56" s="487"/>
      <c r="H56" s="487"/>
      <c r="I56" s="487"/>
      <c r="J56" s="487"/>
      <c r="K56" s="487"/>
      <c r="L56" s="487"/>
      <c r="M56" s="487"/>
      <c r="N56" s="487"/>
      <c r="O56" s="487"/>
      <c r="P56" s="487"/>
      <c r="Q56" s="487"/>
      <c r="R56" s="487"/>
      <c r="S56" s="487"/>
      <c r="T56" s="487"/>
      <c r="U56" s="255"/>
      <c r="V56" s="487"/>
      <c r="W56" s="487"/>
      <c r="X56" s="487"/>
      <c r="Y56" s="487"/>
      <c r="Z56" s="487"/>
      <c r="AA56" s="487"/>
      <c r="AB56" s="487"/>
      <c r="AC56" s="487"/>
      <c r="AD56" s="487"/>
    </row>
    <row r="57" spans="2:30" s="661" customFormat="1" ht="11.25" customHeight="1">
      <c r="B57" s="763"/>
      <c r="C57" s="764" t="s">
        <v>865</v>
      </c>
      <c r="D57" s="763"/>
      <c r="E57" s="487">
        <f t="shared" ref="E57:T57" si="54">E15/E$13</f>
        <v>0.18909546286484924</v>
      </c>
      <c r="F57" s="487">
        <f t="shared" si="54"/>
        <v>0.18261428456656223</v>
      </c>
      <c r="G57" s="487">
        <f t="shared" si="54"/>
        <v>0.18045894299192453</v>
      </c>
      <c r="H57" s="487">
        <f t="shared" si="54"/>
        <v>0.17427969079409697</v>
      </c>
      <c r="I57" s="487">
        <f t="shared" si="54"/>
        <v>0.18645251396648044</v>
      </c>
      <c r="J57" s="487">
        <f t="shared" si="54"/>
        <v>0.304421768707483</v>
      </c>
      <c r="K57" s="487">
        <f t="shared" si="54"/>
        <v>0.18487712665406428</v>
      </c>
      <c r="L57" s="487">
        <f t="shared" si="54"/>
        <v>0.20300113250283125</v>
      </c>
      <c r="M57" s="487">
        <f t="shared" si="54"/>
        <v>0.2880886426592798</v>
      </c>
      <c r="N57" s="487">
        <f t="shared" si="54"/>
        <v>0.23042998897464168</v>
      </c>
      <c r="O57" s="487">
        <f t="shared" si="54"/>
        <v>0.18510021733880705</v>
      </c>
      <c r="P57" s="487">
        <f t="shared" si="54"/>
        <v>0.18837485172004745</v>
      </c>
      <c r="Q57" s="487">
        <f t="shared" si="54"/>
        <v>0.25683127067761302</v>
      </c>
      <c r="R57" s="487">
        <f t="shared" ca="1" si="54"/>
        <v>0.26774979691307882</v>
      </c>
      <c r="S57" s="487">
        <f t="shared" ca="1" si="54"/>
        <v>0.2561758496717485</v>
      </c>
      <c r="T57" s="487">
        <f t="shared" ca="1" si="54"/>
        <v>0.25991753113816257</v>
      </c>
      <c r="U57" s="255"/>
      <c r="V57" s="487">
        <f t="shared" ref="V57:AD57" si="55">V15/V$13</f>
        <v>0.17052360348096651</v>
      </c>
      <c r="W57" s="487">
        <f t="shared" si="55"/>
        <v>0.20417210495521851</v>
      </c>
      <c r="X57" s="487">
        <f t="shared" si="55"/>
        <v>0.18144652068751471</v>
      </c>
      <c r="Y57" s="487">
        <f t="shared" si="55"/>
        <v>0.19855754154907496</v>
      </c>
      <c r="Z57" s="487">
        <f t="shared" si="55"/>
        <v>0.21086573431817329</v>
      </c>
      <c r="AA57" s="487">
        <f t="shared" ca="1" si="55"/>
        <v>0.26042153043792171</v>
      </c>
      <c r="AB57" s="487">
        <f t="shared" si="55"/>
        <v>0.24931798993614968</v>
      </c>
      <c r="AC57" s="487">
        <f t="shared" si="55"/>
        <v>0.21710781383457187</v>
      </c>
      <c r="AD57" s="487">
        <f t="shared" si="55"/>
        <v>0.21547277223339212</v>
      </c>
    </row>
    <row r="58" spans="2:30" s="661" customFormat="1" ht="11.25" customHeight="1">
      <c r="B58" s="763"/>
      <c r="C58" s="764" t="s">
        <v>288</v>
      </c>
      <c r="D58" s="763"/>
      <c r="E58" s="487">
        <f t="shared" ref="E58:T58" si="56">E16/E$13</f>
        <v>0.26317310471052885</v>
      </c>
      <c r="F58" s="487">
        <f t="shared" si="56"/>
        <v>0.2287298144131116</v>
      </c>
      <c r="G58" s="487">
        <f t="shared" si="56"/>
        <v>0.23794674982010075</v>
      </c>
      <c r="H58" s="487">
        <f t="shared" si="56"/>
        <v>0.26756851721714686</v>
      </c>
      <c r="I58" s="487">
        <f t="shared" si="56"/>
        <v>0.33310055865921789</v>
      </c>
      <c r="J58" s="487">
        <f t="shared" si="56"/>
        <v>1.8086734693877551</v>
      </c>
      <c r="K58" s="487">
        <f t="shared" si="56"/>
        <v>0.76068052930056707</v>
      </c>
      <c r="L58" s="487">
        <f t="shared" si="56"/>
        <v>0.54926387315968295</v>
      </c>
      <c r="M58" s="487">
        <f t="shared" si="56"/>
        <v>0.60997229916897511</v>
      </c>
      <c r="N58" s="487">
        <f t="shared" si="56"/>
        <v>0.36667191683729722</v>
      </c>
      <c r="O58" s="487">
        <f t="shared" si="56"/>
        <v>0.30982854382999275</v>
      </c>
      <c r="P58" s="487">
        <f t="shared" si="56"/>
        <v>0.31221826809015424</v>
      </c>
      <c r="Q58" s="487">
        <f t="shared" si="56"/>
        <v>0.34628109300330839</v>
      </c>
      <c r="R58" s="487">
        <f t="shared" si="56"/>
        <v>0.24004874086108854</v>
      </c>
      <c r="S58" s="487">
        <f t="shared" si="56"/>
        <v>0.25650097922595594</v>
      </c>
      <c r="T58" s="487">
        <f t="shared" si="56"/>
        <v>0.2787014453919619</v>
      </c>
      <c r="U58" s="255"/>
      <c r="V58" s="487">
        <f t="shared" ref="V58:AD58" si="57">V16/V$13</f>
        <v>0.24449414166950265</v>
      </c>
      <c r="W58" s="487">
        <f t="shared" si="57"/>
        <v>0.24175255412034746</v>
      </c>
      <c r="X58" s="487">
        <f t="shared" si="57"/>
        <v>0.24831439029088809</v>
      </c>
      <c r="Y58" s="487">
        <f t="shared" si="57"/>
        <v>0.56074004390090937</v>
      </c>
      <c r="Z58" s="487">
        <f t="shared" si="57"/>
        <v>0.36474072963143489</v>
      </c>
      <c r="AA58" s="487">
        <f t="shared" si="57"/>
        <v>0.27403132642050343</v>
      </c>
      <c r="AB58" s="487">
        <f t="shared" si="57"/>
        <v>0.27852473144430118</v>
      </c>
      <c r="AC58" s="487">
        <f t="shared" si="57"/>
        <v>0.29514491720948466</v>
      </c>
      <c r="AD58" s="487">
        <f t="shared" si="57"/>
        <v>0.28847029323517198</v>
      </c>
    </row>
    <row r="59" spans="2:30" s="661" customFormat="1" ht="11.25" customHeight="1">
      <c r="B59" s="763"/>
      <c r="C59" s="764" t="s">
        <v>1051</v>
      </c>
      <c r="D59" s="763"/>
      <c r="E59" s="487">
        <f t="shared" ref="E59:T59" si="58">E17/E$13</f>
        <v>5.1825450341970905E-2</v>
      </c>
      <c r="F59" s="487">
        <f t="shared" si="58"/>
        <v>4.3544629227926408E-2</v>
      </c>
      <c r="G59" s="487">
        <f t="shared" si="58"/>
        <v>4.341568721515951E-2</v>
      </c>
      <c r="H59" s="487">
        <f t="shared" si="58"/>
        <v>4.7083626141953619E-2</v>
      </c>
      <c r="I59" s="487">
        <f t="shared" si="58"/>
        <v>6.715549348230912E-2</v>
      </c>
      <c r="J59" s="487">
        <f t="shared" si="58"/>
        <v>0.28741496598639454</v>
      </c>
      <c r="K59" s="487">
        <f t="shared" si="58"/>
        <v>0.10964083175803403</v>
      </c>
      <c r="L59" s="487">
        <f t="shared" si="58"/>
        <v>0.16732729331823329</v>
      </c>
      <c r="M59" s="487">
        <f t="shared" si="58"/>
        <v>0.1110803324099723</v>
      </c>
      <c r="N59" s="487">
        <f t="shared" si="58"/>
        <v>6.3474562923295008E-2</v>
      </c>
      <c r="O59" s="487">
        <f t="shared" si="58"/>
        <v>5.4696933107944941E-2</v>
      </c>
      <c r="P59" s="487">
        <f t="shared" si="58"/>
        <v>5.6702253855278766E-2</v>
      </c>
      <c r="Q59" s="487">
        <f t="shared" si="58"/>
        <v>6.0164195564269086E-2</v>
      </c>
      <c r="R59" s="487">
        <f t="shared" si="58"/>
        <v>4.2891957757920388E-2</v>
      </c>
      <c r="S59" s="487">
        <f t="shared" si="58"/>
        <v>4.140096062801079E-2</v>
      </c>
      <c r="T59" s="487">
        <f t="shared" si="58"/>
        <v>4.5631006583458839E-2</v>
      </c>
      <c r="U59" s="255"/>
      <c r="V59" s="487">
        <f t="shared" ref="V59:AD59" si="59">V17/V$13</f>
        <v>8.4253002090524581E-2</v>
      </c>
      <c r="W59" s="487">
        <f t="shared" si="59"/>
        <v>7.7366218101624737E-2</v>
      </c>
      <c r="X59" s="487">
        <f t="shared" si="59"/>
        <v>4.6212461739335173E-2</v>
      </c>
      <c r="Y59" s="487">
        <f t="shared" si="59"/>
        <v>0.11263719034179993</v>
      </c>
      <c r="Z59" s="487">
        <f t="shared" si="59"/>
        <v>6.50519290615275E-2</v>
      </c>
      <c r="AA59" s="487">
        <f t="shared" si="59"/>
        <v>4.6297124767670131E-2</v>
      </c>
      <c r="AB59" s="487">
        <f t="shared" si="59"/>
        <v>4.4980565222551963E-2</v>
      </c>
      <c r="AC59" s="487">
        <f t="shared" si="59"/>
        <v>4.478731600263864E-2</v>
      </c>
      <c r="AD59" s="487">
        <f t="shared" si="59"/>
        <v>4.4458438717595763E-2</v>
      </c>
    </row>
    <row r="60" spans="2:30" s="661" customFormat="1" ht="11.25" customHeight="1">
      <c r="B60" s="763"/>
      <c r="C60" s="764" t="s">
        <v>1052</v>
      </c>
      <c r="D60" s="763"/>
      <c r="E60" s="487">
        <f t="shared" ref="E60:T60" si="60">E18/E$13</f>
        <v>6.8297851844716304E-2</v>
      </c>
      <c r="F60" s="487">
        <f t="shared" si="60"/>
        <v>5.8729011006668275E-2</v>
      </c>
      <c r="G60" s="487">
        <f t="shared" si="60"/>
        <v>6.0765971056208526E-2</v>
      </c>
      <c r="H60" s="487">
        <f t="shared" si="60"/>
        <v>6.5179198875614894E-2</v>
      </c>
      <c r="I60" s="487">
        <f t="shared" si="60"/>
        <v>8.7057728119180638E-2</v>
      </c>
      <c r="J60" s="487">
        <f t="shared" si="60"/>
        <v>0.31377551020408162</v>
      </c>
      <c r="K60" s="487">
        <f t="shared" si="60"/>
        <v>0.15841209829867675</v>
      </c>
      <c r="L60" s="487">
        <f t="shared" si="60"/>
        <v>0.10787089467723669</v>
      </c>
      <c r="M60" s="487">
        <f t="shared" si="60"/>
        <v>0.14376731301939058</v>
      </c>
      <c r="N60" s="487">
        <f t="shared" si="60"/>
        <v>8.9777917782327923E-2</v>
      </c>
      <c r="O60" s="487">
        <f t="shared" si="60"/>
        <v>7.6551557594783867E-2</v>
      </c>
      <c r="P60" s="487">
        <f t="shared" si="60"/>
        <v>8.268090154211151E-2</v>
      </c>
      <c r="Q60" s="487">
        <f t="shared" si="60"/>
        <v>9.2268104398970721E-2</v>
      </c>
      <c r="R60" s="487">
        <f t="shared" si="60"/>
        <v>6.4256701868399671E-2</v>
      </c>
      <c r="S60" s="487">
        <f t="shared" si="60"/>
        <v>6.5504282329209185E-2</v>
      </c>
      <c r="T60" s="487">
        <f t="shared" si="60"/>
        <v>6.4939370158702603E-2</v>
      </c>
      <c r="U60" s="255"/>
      <c r="V60" s="487">
        <f t="shared" ref="V60:AD60" si="61">V18/V$13</f>
        <v>5.1242160532840683E-2</v>
      </c>
      <c r="W60" s="487">
        <f t="shared" si="61"/>
        <v>4.8944596966560151E-2</v>
      </c>
      <c r="X60" s="487">
        <f t="shared" si="61"/>
        <v>6.2972238275648018E-2</v>
      </c>
      <c r="Y60" s="487">
        <f t="shared" si="61"/>
        <v>0.12022577610536218</v>
      </c>
      <c r="Z60" s="487">
        <f t="shared" si="61"/>
        <v>9.0735255520977845E-2</v>
      </c>
      <c r="AA60" s="487">
        <f t="shared" si="61"/>
        <v>6.9840068287434318E-2</v>
      </c>
      <c r="AB60" s="487">
        <f t="shared" si="61"/>
        <v>6.4212313978350935E-2</v>
      </c>
      <c r="AC60" s="487">
        <f t="shared" si="61"/>
        <v>6.3333265771076397E-2</v>
      </c>
      <c r="AD60" s="487">
        <f t="shared" si="61"/>
        <v>6.2868203910739356E-2</v>
      </c>
    </row>
    <row r="61" spans="2:30" s="661" customFormat="1" ht="11.25" customHeight="1">
      <c r="B61" s="763"/>
      <c r="C61" s="764" t="s">
        <v>1053</v>
      </c>
      <c r="D61" s="763"/>
      <c r="E61" s="487">
        <f t="shared" ref="E61:T61" si="62">E19/E$13</f>
        <v>5.0476832675079471E-2</v>
      </c>
      <c r="F61" s="487">
        <f t="shared" si="62"/>
        <v>4.4026673093918216E-2</v>
      </c>
      <c r="G61" s="487">
        <f t="shared" si="62"/>
        <v>4.5254657391860555E-2</v>
      </c>
      <c r="H61" s="487">
        <f t="shared" si="62"/>
        <v>4.7259311314125085E-2</v>
      </c>
      <c r="I61" s="487">
        <f t="shared" si="62"/>
        <v>7.8910614525139658E-2</v>
      </c>
      <c r="J61" s="487">
        <f t="shared" si="62"/>
        <v>0.358843537414966</v>
      </c>
      <c r="K61" s="487">
        <f t="shared" si="62"/>
        <v>0.17315689981096408</v>
      </c>
      <c r="L61" s="487">
        <f t="shared" si="62"/>
        <v>9.1449603624009057E-2</v>
      </c>
      <c r="M61" s="487">
        <f t="shared" si="62"/>
        <v>0.13628808864265929</v>
      </c>
      <c r="N61" s="487">
        <f t="shared" si="62"/>
        <v>7.2452354701527805E-2</v>
      </c>
      <c r="O61" s="487">
        <f t="shared" si="62"/>
        <v>6.3269741608307173E-2</v>
      </c>
      <c r="P61" s="487">
        <f t="shared" si="62"/>
        <v>6.429418742586003E-2</v>
      </c>
      <c r="Q61" s="487">
        <f t="shared" si="62"/>
        <v>6.1757137605685575E-2</v>
      </c>
      <c r="R61" s="487">
        <f t="shared" si="62"/>
        <v>4.4354183590576766E-2</v>
      </c>
      <c r="S61" s="487">
        <f t="shared" si="62"/>
        <v>4.5030879107286308E-2</v>
      </c>
      <c r="T61" s="487">
        <f t="shared" si="62"/>
        <v>4.7085419333398916E-2</v>
      </c>
      <c r="U61" s="255"/>
      <c r="V61" s="487">
        <f t="shared" ref="V61:AD61" si="63">V19/V$13</f>
        <v>4.4411493023481942E-2</v>
      </c>
      <c r="W61" s="487">
        <f t="shared" si="63"/>
        <v>4.3678833430847476E-2</v>
      </c>
      <c r="X61" s="487">
        <f t="shared" si="63"/>
        <v>4.6576339390826005E-2</v>
      </c>
      <c r="Y61" s="487">
        <f t="shared" si="63"/>
        <v>0.11796801505174036</v>
      </c>
      <c r="Z61" s="487">
        <f t="shared" si="63"/>
        <v>7.5662704810468301E-2</v>
      </c>
      <c r="AA61" s="487">
        <f t="shared" si="63"/>
        <v>4.8400078972536884E-2</v>
      </c>
      <c r="AB61" s="487">
        <f t="shared" si="63"/>
        <v>4.5334742901469688E-2</v>
      </c>
      <c r="AC61" s="487">
        <f t="shared" si="63"/>
        <v>4.4714123241380438E-2</v>
      </c>
      <c r="AD61" s="487">
        <f t="shared" si="63"/>
        <v>4.4385783417359014E-2</v>
      </c>
    </row>
    <row r="62" spans="2:30" s="661" customFormat="1" ht="11.25" customHeight="1">
      <c r="B62" s="763"/>
      <c r="C62" s="764" t="s">
        <v>305</v>
      </c>
      <c r="D62" s="763"/>
      <c r="E62" s="487">
        <f t="shared" ref="E62:T62" si="64">E20/E$13</f>
        <v>4.5853000674308836E-2</v>
      </c>
      <c r="F62" s="487">
        <f t="shared" si="64"/>
        <v>3.4867839640073915E-2</v>
      </c>
      <c r="G62" s="487">
        <f t="shared" si="64"/>
        <v>3.3901015431358442E-2</v>
      </c>
      <c r="H62" s="487">
        <f t="shared" si="64"/>
        <v>3.663035839775123E-2</v>
      </c>
      <c r="I62" s="487">
        <f t="shared" si="64"/>
        <v>5.4585661080074489E-2</v>
      </c>
      <c r="J62" s="487">
        <f t="shared" si="64"/>
        <v>3.6564625850340135E-2</v>
      </c>
      <c r="K62" s="487">
        <f t="shared" si="64"/>
        <v>4.0075614366729677E-2</v>
      </c>
      <c r="L62" s="487">
        <f t="shared" si="64"/>
        <v>5.7757644394110984E-2</v>
      </c>
      <c r="M62" s="487">
        <f t="shared" si="64"/>
        <v>8.1440443213296396E-2</v>
      </c>
      <c r="N62" s="487">
        <f t="shared" si="64"/>
        <v>4.5203969128996692E-2</v>
      </c>
      <c r="O62" s="487">
        <f t="shared" si="64"/>
        <v>5.2282057474040085E-2</v>
      </c>
      <c r="P62" s="487">
        <f t="shared" si="64"/>
        <v>4.578884934756821E-2</v>
      </c>
      <c r="Q62" s="487">
        <f t="shared" si="64"/>
        <v>5.6978311481436096E-2</v>
      </c>
      <c r="R62" s="487">
        <f t="shared" si="64"/>
        <v>4.2404549147034933E-2</v>
      </c>
      <c r="S62" s="487">
        <f t="shared" si="64"/>
        <v>3.7950051827165314E-2</v>
      </c>
      <c r="T62" s="487">
        <f t="shared" si="64"/>
        <v>3.8154465767711122E-2</v>
      </c>
      <c r="U62" s="255"/>
      <c r="V62" s="487">
        <f t="shared" ref="V62:AD62" si="65">V20/V$13</f>
        <v>3.8674704652632605E-2</v>
      </c>
      <c r="W62" s="487">
        <f t="shared" si="65"/>
        <v>3.5442639182681486E-2</v>
      </c>
      <c r="X62" s="487">
        <f t="shared" si="65"/>
        <v>3.74793981035553E-2</v>
      </c>
      <c r="Y62" s="487">
        <f t="shared" si="65"/>
        <v>5.1552210724365007E-2</v>
      </c>
      <c r="Z62" s="487">
        <f t="shared" si="65"/>
        <v>5.2491470136102884E-2</v>
      </c>
      <c r="AA62" s="487">
        <f t="shared" si="65"/>
        <v>4.2643591584817307E-2</v>
      </c>
      <c r="AB62" s="487">
        <f t="shared" si="65"/>
        <v>3.8217458115599075E-2</v>
      </c>
      <c r="AC62" s="487">
        <f t="shared" si="65"/>
        <v>3.7694272047979191E-2</v>
      </c>
      <c r="AD62" s="487">
        <f t="shared" si="65"/>
        <v>3.7417479621925417E-2</v>
      </c>
    </row>
    <row r="63" spans="2:30" s="661" customFormat="1" ht="11.25" customHeight="1">
      <c r="B63" s="763"/>
      <c r="C63" s="764" t="s">
        <v>1054</v>
      </c>
      <c r="D63" s="763"/>
      <c r="E63" s="487">
        <f t="shared" ref="E63:T63" si="66">E21/E$13</f>
        <v>2.7742992004623834E-2</v>
      </c>
      <c r="F63" s="487">
        <f t="shared" si="66"/>
        <v>2.7315819072868966E-2</v>
      </c>
      <c r="G63" s="487">
        <f t="shared" si="66"/>
        <v>2.8783881026625088E-2</v>
      </c>
      <c r="H63" s="487">
        <f t="shared" si="66"/>
        <v>2.8548840477863668E-2</v>
      </c>
      <c r="I63" s="487">
        <f t="shared" si="66"/>
        <v>3.1773743016759774E-2</v>
      </c>
      <c r="J63" s="487">
        <f t="shared" si="66"/>
        <v>7.7380952380952384E-2</v>
      </c>
      <c r="K63" s="487">
        <f t="shared" si="66"/>
        <v>3.4782608695652174E-2</v>
      </c>
      <c r="L63" s="487">
        <f t="shared" si="66"/>
        <v>2.5481313703284259E-2</v>
      </c>
      <c r="M63" s="487">
        <f t="shared" si="66"/>
        <v>3.2686980609418284E-2</v>
      </c>
      <c r="N63" s="487">
        <f t="shared" si="66"/>
        <v>2.7563395810363836E-2</v>
      </c>
      <c r="O63" s="487">
        <f t="shared" si="66"/>
        <v>2.7288094663124849E-2</v>
      </c>
      <c r="P63" s="487">
        <f t="shared" si="66"/>
        <v>2.7995255041518386E-2</v>
      </c>
      <c r="Q63" s="487">
        <f t="shared" si="66"/>
        <v>3.3696850876118123E-2</v>
      </c>
      <c r="R63" s="487">
        <f t="shared" si="66"/>
        <v>2.9975629569455726E-2</v>
      </c>
      <c r="S63" s="487">
        <f t="shared" si="66"/>
        <v>2.7448150692603843E-2</v>
      </c>
      <c r="T63" s="487">
        <f t="shared" si="66"/>
        <v>2.844379420697889E-2</v>
      </c>
      <c r="U63" s="255"/>
      <c r="V63" s="487">
        <f t="shared" ref="V63:AD63" si="67">V21/V$13</f>
        <v>2.7298361612134767E-2</v>
      </c>
      <c r="W63" s="487">
        <f t="shared" si="67"/>
        <v>2.650884378234844E-2</v>
      </c>
      <c r="X63" s="487">
        <f t="shared" si="67"/>
        <v>2.8104197435732784E-2</v>
      </c>
      <c r="Y63" s="487">
        <f t="shared" si="67"/>
        <v>3.4242709313264348E-2</v>
      </c>
      <c r="Z63" s="487">
        <f t="shared" si="67"/>
        <v>2.8307899966255483E-2</v>
      </c>
      <c r="AA63" s="487">
        <f t="shared" si="67"/>
        <v>2.952242289197184E-2</v>
      </c>
      <c r="AB63" s="487">
        <f t="shared" si="67"/>
        <v>2.8006327134476507E-2</v>
      </c>
      <c r="AC63" s="487">
        <f t="shared" si="67"/>
        <v>2.8265322215303642E-2</v>
      </c>
      <c r="AD63" s="487">
        <f t="shared" si="67"/>
        <v>2.8057767414956067E-2</v>
      </c>
    </row>
    <row r="64" spans="2:30" s="661" customFormat="1" ht="11.25" customHeight="1">
      <c r="B64" s="763"/>
      <c r="C64" s="764" t="s">
        <v>294</v>
      </c>
      <c r="D64" s="763"/>
      <c r="E64" s="487">
        <f t="shared" ref="E64:T64" si="68">E22/E$13</f>
        <v>9.8256430016376069E-3</v>
      </c>
      <c r="F64" s="487">
        <f t="shared" si="68"/>
        <v>8.5964489435205269E-3</v>
      </c>
      <c r="G64" s="487">
        <f t="shared" si="68"/>
        <v>8.795074758135445E-3</v>
      </c>
      <c r="H64" s="487">
        <f t="shared" si="68"/>
        <v>9.223471539002109E-3</v>
      </c>
      <c r="I64" s="487">
        <f t="shared" si="68"/>
        <v>1.1638733705772812E-2</v>
      </c>
      <c r="J64" s="487">
        <f t="shared" si="68"/>
        <v>8.1632653061224483E-2</v>
      </c>
      <c r="K64" s="487">
        <f t="shared" si="68"/>
        <v>3.7429111531190926E-2</v>
      </c>
      <c r="L64" s="487">
        <f t="shared" si="68"/>
        <v>2.9445073612684031E-2</v>
      </c>
      <c r="M64" s="487">
        <f t="shared" si="68"/>
        <v>2.8808864265927978E-2</v>
      </c>
      <c r="N64" s="487">
        <f t="shared" si="68"/>
        <v>1.6380532367301939E-2</v>
      </c>
      <c r="O64" s="487">
        <f t="shared" si="68"/>
        <v>1.2678097078000484E-2</v>
      </c>
      <c r="P64" s="487">
        <f t="shared" si="68"/>
        <v>1.3997627520759193E-2</v>
      </c>
      <c r="Q64" s="487">
        <f t="shared" si="68"/>
        <v>1.4949148388677858E-2</v>
      </c>
      <c r="R64" s="487">
        <f t="shared" si="68"/>
        <v>1.0316815597075549E-2</v>
      </c>
      <c r="S64" s="487">
        <f t="shared" si="68"/>
        <v>1.057483100355148E-2</v>
      </c>
      <c r="T64" s="487">
        <f t="shared" si="68"/>
        <v>1.0860357788119215E-2</v>
      </c>
      <c r="U64" s="255"/>
      <c r="V64" s="487">
        <f t="shared" ref="V64:AD64" si="69">V22/V$13</f>
        <v>8.532257280373377E-3</v>
      </c>
      <c r="W64" s="487">
        <f t="shared" si="69"/>
        <v>8.8662856114136556E-3</v>
      </c>
      <c r="X64" s="487">
        <f t="shared" si="69"/>
        <v>9.0755367195359486E-3</v>
      </c>
      <c r="Y64" s="487">
        <f t="shared" si="69"/>
        <v>2.5023518344308562E-2</v>
      </c>
      <c r="Z64" s="487">
        <f t="shared" si="69"/>
        <v>1.6159874020471674E-2</v>
      </c>
      <c r="AA64" s="487">
        <f t="shared" si="69"/>
        <v>1.1367883436054443E-2</v>
      </c>
      <c r="AB64" s="487">
        <f t="shared" si="69"/>
        <v>9.6749039910524418E-3</v>
      </c>
      <c r="AC64" s="487">
        <f t="shared" si="69"/>
        <v>9.5424573233968395E-3</v>
      </c>
      <c r="AD64" s="487">
        <f t="shared" si="69"/>
        <v>9.4723862019889058E-3</v>
      </c>
    </row>
    <row r="65" spans="2:30" s="661" customFormat="1" ht="11.25" customHeight="1">
      <c r="B65" s="763"/>
      <c r="C65" s="764" t="s">
        <v>1156</v>
      </c>
      <c r="D65" s="763"/>
      <c r="E65" s="487">
        <f t="shared" ref="E65:T65" si="70">E23/E$13</f>
        <v>2.5816395337636067E-2</v>
      </c>
      <c r="F65" s="487">
        <f t="shared" si="70"/>
        <v>1.8799710773680405E-2</v>
      </c>
      <c r="G65" s="487">
        <f t="shared" si="70"/>
        <v>1.8469656992084433E-2</v>
      </c>
      <c r="H65" s="487">
        <f t="shared" si="70"/>
        <v>2.1784961349262121E-2</v>
      </c>
      <c r="I65" s="487">
        <f t="shared" si="70"/>
        <v>2.5488826815642459E-2</v>
      </c>
      <c r="J65" s="487">
        <f t="shared" si="70"/>
        <v>9.2687074829931979E-2</v>
      </c>
      <c r="K65" s="487">
        <f t="shared" si="70"/>
        <v>5.4442344045368622E-2</v>
      </c>
      <c r="L65" s="487">
        <f t="shared" si="70"/>
        <v>4.6149490373725933E-2</v>
      </c>
      <c r="M65" s="487">
        <f t="shared" si="70"/>
        <v>4.5983379501385042E-2</v>
      </c>
      <c r="N65" s="487">
        <f t="shared" si="70"/>
        <v>2.5515829264451093E-2</v>
      </c>
      <c r="O65" s="487">
        <f t="shared" si="70"/>
        <v>2.4993962810915239E-2</v>
      </c>
      <c r="P65" s="487">
        <f t="shared" si="70"/>
        <v>2.2894424673784105E-2</v>
      </c>
      <c r="Q65" s="487">
        <f t="shared" si="70"/>
        <v>2.3894130621247397E-2</v>
      </c>
      <c r="R65" s="487">
        <f t="shared" ca="1" si="70"/>
        <v>1.6571892770105606E-2</v>
      </c>
      <c r="S65" s="487">
        <f t="shared" si="70"/>
        <v>1.6081036112297251E-2</v>
      </c>
      <c r="T65" s="487">
        <f t="shared" si="70"/>
        <v>1.6771893199527696E-2</v>
      </c>
      <c r="U65" s="255"/>
      <c r="V65" s="487">
        <f t="shared" ref="V65:AD65" si="71">V23/V$13</f>
        <v>3.6341095823812536E-2</v>
      </c>
      <c r="W65" s="487">
        <f t="shared" si="71"/>
        <v>3.8143030739457219E-2</v>
      </c>
      <c r="X65" s="487">
        <f t="shared" si="71"/>
        <v>2.099788094779426E-2</v>
      </c>
      <c r="Y65" s="487">
        <f t="shared" si="71"/>
        <v>3.982439636249608E-2</v>
      </c>
      <c r="Z65" s="487">
        <f t="shared" si="71"/>
        <v>2.7295564470773498E-2</v>
      </c>
      <c r="AA65" s="487">
        <f t="shared" ca="1" si="71"/>
        <v>1.7803671728504784E-2</v>
      </c>
      <c r="AB65" s="487">
        <f t="shared" si="71"/>
        <v>1.6545157286585482E-2</v>
      </c>
      <c r="AC65" s="487">
        <f t="shared" si="71"/>
        <v>1.6318658816887727E-2</v>
      </c>
      <c r="AD65" s="487">
        <f t="shared" si="71"/>
        <v>1.6198829439147768E-2</v>
      </c>
    </row>
    <row r="66" spans="2:30" s="661" customFormat="1" ht="11.25" customHeight="1">
      <c r="B66" s="763"/>
      <c r="C66" s="765" t="s">
        <v>1157</v>
      </c>
      <c r="D66" s="763"/>
      <c r="E66" s="720">
        <f t="shared" ref="E66:T66" si="72">E24/E$13</f>
        <v>0.2678932665446489</v>
      </c>
      <c r="F66" s="720">
        <f t="shared" si="72"/>
        <v>0.35277576926166948</v>
      </c>
      <c r="G66" s="720">
        <f t="shared" si="72"/>
        <v>0.34220836331654275</v>
      </c>
      <c r="H66" s="720">
        <f t="shared" si="72"/>
        <v>0.30244202389318342</v>
      </c>
      <c r="I66" s="720">
        <f t="shared" si="72"/>
        <v>0.12383612662942271</v>
      </c>
      <c r="J66" s="720">
        <f t="shared" si="72"/>
        <v>-2.3613945578231292</v>
      </c>
      <c r="K66" s="720">
        <f t="shared" si="72"/>
        <v>-0.55349716446124764</v>
      </c>
      <c r="L66" s="720">
        <f t="shared" si="72"/>
        <v>-0.27774631936579841</v>
      </c>
      <c r="M66" s="720">
        <f t="shared" si="72"/>
        <v>-0.47811634349030468</v>
      </c>
      <c r="N66" s="720">
        <f t="shared" si="72"/>
        <v>6.2529532209796818E-2</v>
      </c>
      <c r="O66" s="720">
        <f t="shared" si="72"/>
        <v>0.19331079449408356</v>
      </c>
      <c r="P66" s="720">
        <f t="shared" si="72"/>
        <v>0.18505338078291814</v>
      </c>
      <c r="Q66" s="720">
        <f t="shared" si="72"/>
        <v>5.3179757382673692E-2</v>
      </c>
      <c r="R66" s="720">
        <f t="shared" ca="1" si="72"/>
        <v>0.24142973192526401</v>
      </c>
      <c r="S66" s="720">
        <f t="shared" ca="1" si="72"/>
        <v>0.24333297940217144</v>
      </c>
      <c r="T66" s="720">
        <f t="shared" ca="1" si="72"/>
        <v>0.20949471643197828</v>
      </c>
      <c r="U66" s="255"/>
      <c r="V66" s="720">
        <f t="shared" ref="V66:AD66" si="73">V24/V$13</f>
        <v>0.29422917983373037</v>
      </c>
      <c r="W66" s="720">
        <f t="shared" si="73"/>
        <v>0.27512489310950089</v>
      </c>
      <c r="X66" s="720">
        <f t="shared" si="73"/>
        <v>0.3188210364091697</v>
      </c>
      <c r="Y66" s="720">
        <f t="shared" si="73"/>
        <v>-0.2607714016933208</v>
      </c>
      <c r="Z66" s="720">
        <f t="shared" si="73"/>
        <v>6.8688838063814636E-2</v>
      </c>
      <c r="AA66" s="720">
        <f t="shared" ca="1" si="73"/>
        <v>0.19967230147258511</v>
      </c>
      <c r="AB66" s="720">
        <f t="shared" si="73"/>
        <v>0.22518580998946297</v>
      </c>
      <c r="AC66" s="720">
        <f t="shared" si="73"/>
        <v>0.24309185353728052</v>
      </c>
      <c r="AD66" s="720">
        <f t="shared" si="73"/>
        <v>0.25319804580772354</v>
      </c>
    </row>
    <row r="67" spans="2:30" s="661" customFormat="1" ht="11.25" customHeight="1">
      <c r="B67" s="763"/>
      <c r="C67" s="764"/>
      <c r="D67" s="763"/>
      <c r="E67" s="487"/>
      <c r="F67" s="487"/>
      <c r="G67" s="487"/>
      <c r="H67" s="487"/>
      <c r="I67" s="487"/>
      <c r="J67" s="487"/>
      <c r="K67" s="487"/>
      <c r="L67" s="487"/>
      <c r="M67" s="487"/>
      <c r="N67" s="487"/>
      <c r="O67" s="487"/>
      <c r="P67" s="487"/>
      <c r="Q67" s="487"/>
      <c r="R67" s="487"/>
      <c r="S67" s="487"/>
      <c r="T67" s="487"/>
      <c r="U67" s="255"/>
      <c r="V67" s="487"/>
      <c r="W67" s="487"/>
      <c r="X67" s="487"/>
      <c r="Y67" s="487"/>
      <c r="Z67" s="487"/>
      <c r="AA67" s="487"/>
      <c r="AB67" s="487"/>
      <c r="AC67" s="487"/>
      <c r="AD67" s="487"/>
    </row>
    <row r="68" spans="2:30" s="661" customFormat="1" ht="11.25" customHeight="1">
      <c r="B68" s="763"/>
      <c r="C68" s="764" t="s">
        <v>1056</v>
      </c>
      <c r="D68" s="763"/>
      <c r="E68" s="487">
        <f t="shared" ref="E68:T68" si="74">E26/E$13</f>
        <v>4.5660341007610059E-2</v>
      </c>
      <c r="F68" s="487">
        <f t="shared" si="74"/>
        <v>4.7963364666184623E-2</v>
      </c>
      <c r="G68" s="487">
        <f t="shared" si="74"/>
        <v>4.7733269369153272E-2</v>
      </c>
      <c r="H68" s="487">
        <f t="shared" si="74"/>
        <v>4.7610681658468025E-2</v>
      </c>
      <c r="I68" s="487">
        <f t="shared" si="74"/>
        <v>4.6322160148975791E-2</v>
      </c>
      <c r="J68" s="487">
        <f t="shared" si="74"/>
        <v>4.2517006802721087E-2</v>
      </c>
      <c r="K68" s="487">
        <f t="shared" si="74"/>
        <v>3.780718336483932E-2</v>
      </c>
      <c r="L68" s="487">
        <f t="shared" si="74"/>
        <v>2.3782559456398639E-2</v>
      </c>
      <c r="M68" s="487">
        <f t="shared" si="74"/>
        <v>3.0470914127423823E-2</v>
      </c>
      <c r="N68" s="487">
        <f t="shared" si="74"/>
        <v>3.4966136399432982E-2</v>
      </c>
      <c r="O68" s="487">
        <f t="shared" si="74"/>
        <v>3.7189084762134748E-2</v>
      </c>
      <c r="P68" s="487">
        <f t="shared" si="74"/>
        <v>3.7129300118623962E-2</v>
      </c>
      <c r="Q68" s="487">
        <f t="shared" si="74"/>
        <v>3.8230608993995836E-2</v>
      </c>
      <c r="R68" s="487">
        <f t="shared" si="74"/>
        <v>4.2729488220958567E-2</v>
      </c>
      <c r="S68" s="487">
        <f t="shared" si="74"/>
        <v>4.1560080342170819E-2</v>
      </c>
      <c r="T68" s="487">
        <f t="shared" si="74"/>
        <v>3.4498543127681261E-2</v>
      </c>
      <c r="U68" s="255"/>
      <c r="V68" s="487">
        <f t="shared" ref="V68:AD68" si="75">V26/V$13</f>
        <v>3.6486946375613789E-2</v>
      </c>
      <c r="W68" s="487">
        <f t="shared" si="75"/>
        <v>3.7400423061343897E-2</v>
      </c>
      <c r="X68" s="487">
        <f t="shared" si="75"/>
        <v>4.7304094693807662E-2</v>
      </c>
      <c r="Y68" s="487">
        <f t="shared" si="75"/>
        <v>3.9636249608027592E-2</v>
      </c>
      <c r="Z68" s="487">
        <f t="shared" si="75"/>
        <v>3.5731693599790032E-2</v>
      </c>
      <c r="AA68" s="487">
        <f t="shared" si="75"/>
        <v>3.942567972134884E-2</v>
      </c>
      <c r="AB68" s="487">
        <f t="shared" si="75"/>
        <v>3.5080455816613447E-2</v>
      </c>
      <c r="AC68" s="487">
        <f t="shared" si="75"/>
        <v>3.4600214412972952E-2</v>
      </c>
      <c r="AD68" s="487">
        <f t="shared" si="75"/>
        <v>3.4346141930099237E-2</v>
      </c>
    </row>
    <row r="69" spans="2:30" s="661" customFormat="1" ht="11.25" customHeight="1">
      <c r="B69" s="763"/>
      <c r="C69" s="764" t="s">
        <v>321</v>
      </c>
      <c r="D69" s="763"/>
      <c r="E69" s="487">
        <f t="shared" ref="E69:T69" si="76">E27/E$13</f>
        <v>4.2866775840477794E-2</v>
      </c>
      <c r="F69" s="487">
        <f t="shared" si="76"/>
        <v>3.4064433196754236E-2</v>
      </c>
      <c r="G69" s="487">
        <f t="shared" si="76"/>
        <v>3.8938194611017829E-2</v>
      </c>
      <c r="H69" s="487">
        <f t="shared" si="76"/>
        <v>4.1198172874209418E-2</v>
      </c>
      <c r="I69" s="487">
        <f t="shared" si="76"/>
        <v>6.2034450651769088E-2</v>
      </c>
      <c r="J69" s="487">
        <f t="shared" si="76"/>
        <v>0.17772108843537415</v>
      </c>
      <c r="K69" s="487">
        <f t="shared" si="76"/>
        <v>9.4517958412098299E-2</v>
      </c>
      <c r="L69" s="487">
        <f t="shared" si="76"/>
        <v>6.1721404303510759E-2</v>
      </c>
      <c r="M69" s="487">
        <f t="shared" si="76"/>
        <v>8.9196675900277009E-2</v>
      </c>
      <c r="N69" s="487">
        <f t="shared" si="76"/>
        <v>5.1976689242400377E-2</v>
      </c>
      <c r="O69" s="487">
        <f t="shared" si="76"/>
        <v>4.3105530065201639E-2</v>
      </c>
      <c r="P69" s="487">
        <f t="shared" si="76"/>
        <v>4.7330960854092524E-2</v>
      </c>
      <c r="Q69" s="487">
        <f t="shared" si="76"/>
        <v>4.9993873299840709E-2</v>
      </c>
      <c r="R69" s="487">
        <f t="shared" si="76"/>
        <v>3.5499593826157597E-2</v>
      </c>
      <c r="S69" s="487">
        <f t="shared" si="76"/>
        <v>3.616260703810107E-2</v>
      </c>
      <c r="T69" s="487">
        <f t="shared" si="76"/>
        <v>4.0673432270069039E-2</v>
      </c>
      <c r="U69" s="255"/>
      <c r="V69" s="487">
        <f t="shared" ref="V69:AD69" si="77">V27/V$13</f>
        <v>3.9112256308036365E-2</v>
      </c>
      <c r="W69" s="487">
        <f t="shared" si="77"/>
        <v>3.8773122102704893E-2</v>
      </c>
      <c r="X69" s="487">
        <f t="shared" si="77"/>
        <v>3.906333611592714E-2</v>
      </c>
      <c r="Y69" s="487">
        <f t="shared" si="77"/>
        <v>7.5885857635622458E-2</v>
      </c>
      <c r="Z69" s="487">
        <f t="shared" si="77"/>
        <v>5.2791421394023472E-2</v>
      </c>
      <c r="AA69" s="487">
        <f t="shared" si="77"/>
        <v>3.965811677930163E-2</v>
      </c>
      <c r="AB69" s="487">
        <f t="shared" si="77"/>
        <v>3.6211443362737301E-2</v>
      </c>
      <c r="AC69" s="487">
        <f t="shared" si="77"/>
        <v>3.5715719063164952E-2</v>
      </c>
      <c r="AD69" s="487">
        <f t="shared" si="77"/>
        <v>3.5453455329429361E-2</v>
      </c>
    </row>
    <row r="70" spans="2:30" s="661" customFormat="1" ht="11.25" customHeight="1">
      <c r="B70" s="763"/>
      <c r="C70" s="765" t="s">
        <v>421</v>
      </c>
      <c r="D70" s="763"/>
      <c r="E70" s="720">
        <f t="shared" ref="E70:T70" si="78">E28/E$13</f>
        <v>0.17936614969656103</v>
      </c>
      <c r="F70" s="720">
        <f t="shared" si="78"/>
        <v>0.27074797139873064</v>
      </c>
      <c r="G70" s="720">
        <f t="shared" si="78"/>
        <v>0.25553689933637164</v>
      </c>
      <c r="H70" s="720">
        <f t="shared" si="78"/>
        <v>0.21363316936050597</v>
      </c>
      <c r="I70" s="720">
        <f t="shared" si="78"/>
        <v>1.5479515828677839E-2</v>
      </c>
      <c r="J70" s="720">
        <f t="shared" si="78"/>
        <v>-2.5816326530612246</v>
      </c>
      <c r="K70" s="720">
        <f t="shared" si="78"/>
        <v>-0.6858223062381853</v>
      </c>
      <c r="L70" s="720">
        <f t="shared" si="78"/>
        <v>-0.36325028312570784</v>
      </c>
      <c r="M70" s="720">
        <f t="shared" si="78"/>
        <v>-0.59778393351800552</v>
      </c>
      <c r="N70" s="720">
        <f t="shared" si="78"/>
        <v>-2.4413293432036541E-2</v>
      </c>
      <c r="O70" s="720">
        <f t="shared" si="78"/>
        <v>0.11301617966674717</v>
      </c>
      <c r="P70" s="720">
        <f t="shared" si="78"/>
        <v>0.10059311981020166</v>
      </c>
      <c r="Q70" s="720">
        <f t="shared" si="78"/>
        <v>-3.5044724911162846E-2</v>
      </c>
      <c r="R70" s="720">
        <f t="shared" ca="1" si="78"/>
        <v>0.16320064987814784</v>
      </c>
      <c r="S70" s="720">
        <f t="shared" ca="1" si="78"/>
        <v>0.16561029202189956</v>
      </c>
      <c r="T70" s="720">
        <f t="shared" ca="1" si="78"/>
        <v>0.13432274103422798</v>
      </c>
      <c r="U70" s="255"/>
      <c r="V70" s="720">
        <f t="shared" ref="V70:AD70" si="79">V28/V$13</f>
        <v>0.21862997715008023</v>
      </c>
      <c r="W70" s="720">
        <f t="shared" si="79"/>
        <v>0.19895134794545208</v>
      </c>
      <c r="X70" s="720">
        <f t="shared" si="79"/>
        <v>0.23245360559943493</v>
      </c>
      <c r="Y70" s="720">
        <f t="shared" si="79"/>
        <v>-0.37629350893697083</v>
      </c>
      <c r="Z70" s="720">
        <f t="shared" si="79"/>
        <v>-1.9834276929998874E-2</v>
      </c>
      <c r="AA70" s="720">
        <f t="shared" ca="1" si="79"/>
        <v>0.12058850497193462</v>
      </c>
      <c r="AB70" s="720">
        <f t="shared" si="79"/>
        <v>0.15389391081011222</v>
      </c>
      <c r="AC70" s="720">
        <f t="shared" si="79"/>
        <v>0.17277592006114259</v>
      </c>
      <c r="AD70" s="720">
        <f t="shared" si="79"/>
        <v>0.18339844854819495</v>
      </c>
    </row>
    <row r="71" spans="2:30" s="661" customFormat="1" ht="11.25" customHeight="1">
      <c r="B71" s="763"/>
      <c r="C71" s="764"/>
      <c r="D71" s="763"/>
      <c r="E71" s="487"/>
      <c r="F71" s="487"/>
      <c r="G71" s="487"/>
      <c r="H71" s="487"/>
      <c r="I71" s="487"/>
      <c r="J71" s="487"/>
      <c r="K71" s="487"/>
      <c r="L71" s="487"/>
      <c r="M71" s="487"/>
      <c r="N71" s="487"/>
      <c r="O71" s="487"/>
      <c r="P71" s="487"/>
      <c r="Q71" s="487"/>
      <c r="R71" s="487"/>
      <c r="S71" s="487"/>
      <c r="T71" s="487"/>
      <c r="U71" s="255"/>
      <c r="V71" s="487"/>
      <c r="W71" s="487"/>
      <c r="X71" s="487"/>
      <c r="Y71" s="487"/>
      <c r="Z71" s="487"/>
      <c r="AA71" s="487"/>
      <c r="AB71" s="487"/>
      <c r="AC71" s="487"/>
      <c r="AD71" s="487"/>
    </row>
    <row r="72" spans="2:30" s="661" customFormat="1" ht="11.25" customHeight="1">
      <c r="B72" s="763"/>
      <c r="C72" s="764" t="s">
        <v>291</v>
      </c>
      <c r="D72" s="763"/>
      <c r="E72" s="487">
        <f t="shared" ref="E72:T72" si="80">E30/E$13</f>
        <v>5.9242847509873811E-2</v>
      </c>
      <c r="F72" s="487">
        <f t="shared" si="80"/>
        <v>5.7282879408692859E-2</v>
      </c>
      <c r="G72" s="487">
        <f t="shared" si="80"/>
        <v>5.0451747021667867E-2</v>
      </c>
      <c r="H72" s="487">
        <f t="shared" si="80"/>
        <v>5.4638088545326771E-2</v>
      </c>
      <c r="I72" s="487">
        <f t="shared" si="80"/>
        <v>6.401303538175046E-2</v>
      </c>
      <c r="J72" s="487">
        <f t="shared" si="80"/>
        <v>0.50255102040816324</v>
      </c>
      <c r="K72" s="487">
        <f t="shared" si="80"/>
        <v>0.20604914933837429</v>
      </c>
      <c r="L72" s="487">
        <f t="shared" si="80"/>
        <v>0.1412797281993205</v>
      </c>
      <c r="M72" s="487">
        <f t="shared" si="80"/>
        <v>0.13656509695290858</v>
      </c>
      <c r="N72" s="487">
        <f t="shared" si="80"/>
        <v>7.891006457709876E-2</v>
      </c>
      <c r="O72" s="487">
        <f t="shared" si="80"/>
        <v>6.0492634629316588E-2</v>
      </c>
      <c r="P72" s="487">
        <f t="shared" si="80"/>
        <v>5.9786476868327401E-2</v>
      </c>
      <c r="Q72" s="487">
        <f t="shared" si="80"/>
        <v>6.2002205612057347E-2</v>
      </c>
      <c r="R72" s="487">
        <f t="shared" si="80"/>
        <v>4.1429731925264016E-2</v>
      </c>
      <c r="S72" s="487">
        <f t="shared" si="80"/>
        <v>3.5985599599646687E-2</v>
      </c>
      <c r="T72" s="487">
        <f t="shared" si="80"/>
        <v>4.0523162570089519E-2</v>
      </c>
      <c r="U72" s="255"/>
      <c r="V72" s="487">
        <f t="shared" ref="V72:AD72" si="81">V30/V$13</f>
        <v>5.4013321017064513E-2</v>
      </c>
      <c r="W72" s="487">
        <f t="shared" si="81"/>
        <v>5.2410099464422343E-2</v>
      </c>
      <c r="X72" s="487">
        <f t="shared" si="81"/>
        <v>5.5245189323401611E-2</v>
      </c>
      <c r="Y72" s="487">
        <f t="shared" si="81"/>
        <v>0.13703355283788021</v>
      </c>
      <c r="Z72" s="487">
        <f t="shared" si="81"/>
        <v>7.4950320572906903E-2</v>
      </c>
      <c r="AA72" s="487">
        <f t="shared" si="81"/>
        <v>4.3344119470272953E-2</v>
      </c>
      <c r="AB72" s="487">
        <f t="shared" si="81"/>
        <v>4.7794998017162249E-2</v>
      </c>
      <c r="AC72" s="487">
        <f t="shared" si="81"/>
        <v>3.8350469206269687E-2</v>
      </c>
      <c r="AD72" s="487">
        <f t="shared" si="81"/>
        <v>4.0851598862743657E-2</v>
      </c>
    </row>
    <row r="73" spans="2:30" s="661" customFormat="1" ht="11.25" customHeight="1">
      <c r="B73" s="763"/>
      <c r="C73" s="765" t="s">
        <v>1158</v>
      </c>
      <c r="D73" s="763"/>
      <c r="E73" s="720">
        <f t="shared" ref="E73:T73" si="82">E31/E$13</f>
        <v>0.12012330218668722</v>
      </c>
      <c r="F73" s="720">
        <f t="shared" si="82"/>
        <v>0.21346509199003777</v>
      </c>
      <c r="G73" s="720">
        <f t="shared" si="82"/>
        <v>0.20508515231470376</v>
      </c>
      <c r="H73" s="720">
        <f t="shared" si="82"/>
        <v>0.15899508081517919</v>
      </c>
      <c r="I73" s="720">
        <f t="shared" si="82"/>
        <v>-4.8533519553072627E-2</v>
      </c>
      <c r="J73" s="720">
        <f t="shared" si="82"/>
        <v>-3.0841836734693877</v>
      </c>
      <c r="K73" s="720">
        <f t="shared" si="82"/>
        <v>-0.89187145557655956</v>
      </c>
      <c r="L73" s="720">
        <f t="shared" si="82"/>
        <v>-0.50453001132502828</v>
      </c>
      <c r="M73" s="720">
        <f t="shared" si="82"/>
        <v>-0.73434903047091415</v>
      </c>
      <c r="N73" s="720">
        <f t="shared" si="82"/>
        <v>-0.10332335800913529</v>
      </c>
      <c r="O73" s="720">
        <f t="shared" si="82"/>
        <v>5.252354503743057E-2</v>
      </c>
      <c r="P73" s="720">
        <f t="shared" si="82"/>
        <v>4.0806642941874256E-2</v>
      </c>
      <c r="Q73" s="720">
        <f t="shared" si="82"/>
        <v>-9.7046930523220193E-2</v>
      </c>
      <c r="R73" s="720">
        <f t="shared" ca="1" si="82"/>
        <v>0.12177091795288383</v>
      </c>
      <c r="S73" s="720">
        <f t="shared" ca="1" si="82"/>
        <v>0.12962469242225289</v>
      </c>
      <c r="T73" s="720">
        <f t="shared" ca="1" si="82"/>
        <v>9.3799578464138458E-2</v>
      </c>
      <c r="U73" s="255"/>
      <c r="V73" s="720">
        <f t="shared" ref="V73:AD73" si="83">V31/V$13</f>
        <v>0.16461665613301571</v>
      </c>
      <c r="W73" s="720">
        <f t="shared" si="83"/>
        <v>0.14654124848102976</v>
      </c>
      <c r="X73" s="720">
        <f t="shared" si="83"/>
        <v>0.17720841627603331</v>
      </c>
      <c r="Y73" s="720">
        <f t="shared" si="83"/>
        <v>-0.5133270617748511</v>
      </c>
      <c r="Z73" s="720">
        <f t="shared" si="83"/>
        <v>-9.4784597502905785E-2</v>
      </c>
      <c r="AA73" s="720">
        <f t="shared" ca="1" si="83"/>
        <v>7.7244385501661655E-2</v>
      </c>
      <c r="AB73" s="720">
        <f t="shared" si="83"/>
        <v>0.10609891279294997</v>
      </c>
      <c r="AC73" s="720">
        <f t="shared" si="83"/>
        <v>0.13442545085487292</v>
      </c>
      <c r="AD73" s="720">
        <f t="shared" si="83"/>
        <v>0.14254684968545131</v>
      </c>
    </row>
    <row r="74" spans="2:30" s="661" customFormat="1" ht="11.25" customHeight="1">
      <c r="B74" s="763"/>
      <c r="C74" s="766"/>
      <c r="D74" s="763"/>
      <c r="E74" s="487"/>
      <c r="F74" s="487"/>
      <c r="G74" s="487"/>
      <c r="H74" s="487"/>
      <c r="I74" s="487"/>
      <c r="J74" s="487"/>
      <c r="K74" s="487"/>
      <c r="L74" s="487"/>
      <c r="M74" s="487"/>
      <c r="N74" s="487"/>
      <c r="O74" s="487"/>
      <c r="P74" s="487"/>
      <c r="Q74" s="487"/>
      <c r="R74" s="487"/>
      <c r="S74" s="487"/>
      <c r="T74" s="487"/>
      <c r="U74" s="255"/>
      <c r="V74" s="487"/>
      <c r="W74" s="487"/>
      <c r="X74" s="487"/>
      <c r="Y74" s="487"/>
      <c r="Z74" s="487"/>
      <c r="AA74" s="487"/>
      <c r="AB74" s="487"/>
      <c r="AC74" s="487"/>
      <c r="AD74" s="487"/>
    </row>
    <row r="75" spans="2:30" s="661" customFormat="1" ht="11.25" customHeight="1">
      <c r="B75" s="763"/>
      <c r="C75" s="764" t="s">
        <v>525</v>
      </c>
      <c r="D75" s="763"/>
      <c r="E75" s="487">
        <f t="shared" ref="E75:T75" si="84">E33/E$13</f>
        <v>2.1192563336865426E-2</v>
      </c>
      <c r="F75" s="487">
        <f t="shared" si="84"/>
        <v>4.1616453763959185E-2</v>
      </c>
      <c r="G75" s="487">
        <f t="shared" si="84"/>
        <v>4.1336851363236587E-2</v>
      </c>
      <c r="H75" s="487">
        <f t="shared" si="84"/>
        <v>3.3995080815179199E-2</v>
      </c>
      <c r="I75" s="487">
        <f t="shared" si="84"/>
        <v>0</v>
      </c>
      <c r="J75" s="487">
        <f t="shared" si="84"/>
        <v>0</v>
      </c>
      <c r="K75" s="487">
        <f t="shared" si="84"/>
        <v>0</v>
      </c>
      <c r="L75" s="487">
        <f t="shared" si="84"/>
        <v>0</v>
      </c>
      <c r="M75" s="487">
        <f t="shared" si="84"/>
        <v>0</v>
      </c>
      <c r="N75" s="487">
        <f t="shared" si="84"/>
        <v>0</v>
      </c>
      <c r="O75" s="487">
        <f t="shared" si="84"/>
        <v>0</v>
      </c>
      <c r="P75" s="487">
        <f t="shared" si="84"/>
        <v>0</v>
      </c>
      <c r="Q75" s="487">
        <f t="shared" si="84"/>
        <v>0</v>
      </c>
      <c r="R75" s="487">
        <f t="shared" si="84"/>
        <v>4.3866774979691306E-3</v>
      </c>
      <c r="S75" s="487">
        <f t="shared" ca="1" si="84"/>
        <v>2.0881332139284368E-2</v>
      </c>
      <c r="T75" s="487">
        <f t="shared" ca="1" si="84"/>
        <v>1.5110239537187854E-2</v>
      </c>
      <c r="U75" s="255"/>
      <c r="V75" s="487">
        <f t="shared" ref="V75:AD75" si="85">V33/V$13</f>
        <v>2.588847294472264E-2</v>
      </c>
      <c r="W75" s="487">
        <f t="shared" si="85"/>
        <v>2.9276745128043565E-2</v>
      </c>
      <c r="X75" s="487">
        <f t="shared" si="85"/>
        <v>3.5146300220467046E-2</v>
      </c>
      <c r="Y75" s="487">
        <f t="shared" si="85"/>
        <v>0</v>
      </c>
      <c r="Z75" s="487">
        <f t="shared" si="85"/>
        <v>0</v>
      </c>
      <c r="AA75" s="487">
        <f t="shared" ca="1" si="85"/>
        <v>1.1120849839526527E-2</v>
      </c>
      <c r="AB75" s="487">
        <f t="shared" ca="1" si="85"/>
        <v>2.8880317499432054E-4</v>
      </c>
      <c r="AC75" s="487">
        <f t="shared" ca="1" si="85"/>
        <v>3.1848315904115321E-3</v>
      </c>
      <c r="AD75" s="487">
        <f t="shared" ca="1" si="85"/>
        <v>3.9138789055970253E-3</v>
      </c>
    </row>
    <row r="76" spans="2:30" s="661" customFormat="1" ht="11.25" customHeight="1">
      <c r="B76" s="763"/>
      <c r="C76" s="765" t="s">
        <v>423</v>
      </c>
      <c r="D76" s="763"/>
      <c r="E76" s="720">
        <f t="shared" ref="E76:T76" si="86">E34/E$13</f>
        <v>9.8930738849821787E-2</v>
      </c>
      <c r="F76" s="720">
        <f t="shared" si="86"/>
        <v>0.17184863822607857</v>
      </c>
      <c r="G76" s="720">
        <f t="shared" si="86"/>
        <v>0.16374830095146717</v>
      </c>
      <c r="H76" s="720">
        <f t="shared" si="86"/>
        <v>0.125</v>
      </c>
      <c r="I76" s="720">
        <f t="shared" si="86"/>
        <v>-4.8533519553072627E-2</v>
      </c>
      <c r="J76" s="720">
        <f t="shared" si="86"/>
        <v>-3.0841836734693877</v>
      </c>
      <c r="K76" s="720">
        <f t="shared" si="86"/>
        <v>-0.89187145557655956</v>
      </c>
      <c r="L76" s="720">
        <f t="shared" si="86"/>
        <v>-0.50453001132502828</v>
      </c>
      <c r="M76" s="720">
        <f t="shared" si="86"/>
        <v>-0.73434903047091415</v>
      </c>
      <c r="N76" s="720">
        <f t="shared" si="86"/>
        <v>-0.10332335800913529</v>
      </c>
      <c r="O76" s="720">
        <f t="shared" si="86"/>
        <v>5.252354503743057E-2</v>
      </c>
      <c r="P76" s="720">
        <f t="shared" si="86"/>
        <v>4.0806642941874256E-2</v>
      </c>
      <c r="Q76" s="720">
        <f t="shared" si="86"/>
        <v>-9.7046930523220193E-2</v>
      </c>
      <c r="R76" s="720">
        <f t="shared" ca="1" si="86"/>
        <v>0.1173842404549147</v>
      </c>
      <c r="S76" s="720">
        <f t="shared" ca="1" si="86"/>
        <v>0.10874336028296852</v>
      </c>
      <c r="T76" s="720">
        <f t="shared" ca="1" si="86"/>
        <v>7.8689338926950611E-2</v>
      </c>
      <c r="U76" s="255"/>
      <c r="V76" s="720">
        <f t="shared" ref="V76:AD76" si="87">V34/V$13</f>
        <v>0.13872818318829305</v>
      </c>
      <c r="W76" s="720">
        <f t="shared" si="87"/>
        <v>0.11726450335298619</v>
      </c>
      <c r="X76" s="720">
        <f t="shared" si="87"/>
        <v>0.14206211605556626</v>
      </c>
      <c r="Y76" s="720">
        <f t="shared" si="87"/>
        <v>-0.5133270617748511</v>
      </c>
      <c r="Z76" s="720">
        <f t="shared" si="87"/>
        <v>-9.4784597502905785E-2</v>
      </c>
      <c r="AA76" s="720">
        <f t="shared" ca="1" si="87"/>
        <v>6.6123535662135136E-2</v>
      </c>
      <c r="AB76" s="720">
        <f t="shared" ca="1" si="87"/>
        <v>0.10581010961795564</v>
      </c>
      <c r="AC76" s="720">
        <f t="shared" ca="1" si="87"/>
        <v>0.1312406192644614</v>
      </c>
      <c r="AD76" s="720">
        <f t="shared" ca="1" si="87"/>
        <v>0.13863297077985429</v>
      </c>
    </row>
    <row r="77" spans="2:30" s="661" customFormat="1" ht="11.25" customHeight="1">
      <c r="B77" s="763"/>
      <c r="C77" s="766"/>
      <c r="D77" s="763"/>
      <c r="E77" s="487"/>
      <c r="F77" s="487"/>
      <c r="G77" s="487"/>
      <c r="H77" s="487"/>
      <c r="I77" s="487"/>
      <c r="J77" s="487"/>
      <c r="K77" s="487"/>
      <c r="L77" s="487"/>
      <c r="M77" s="487"/>
      <c r="N77" s="487"/>
      <c r="O77" s="487"/>
      <c r="P77" s="487"/>
      <c r="Q77" s="487"/>
      <c r="R77" s="487"/>
      <c r="S77" s="487"/>
      <c r="T77" s="487"/>
      <c r="U77" s="255"/>
      <c r="V77" s="487"/>
      <c r="W77" s="487"/>
      <c r="X77" s="487"/>
      <c r="Y77" s="487"/>
      <c r="Z77" s="487"/>
      <c r="AA77" s="487"/>
      <c r="AB77" s="487"/>
      <c r="AC77" s="487"/>
      <c r="AD77" s="487"/>
    </row>
    <row r="78" spans="2:30" s="661" customFormat="1" ht="11.25" customHeight="1">
      <c r="B78" s="763"/>
      <c r="C78" s="764" t="s">
        <v>872</v>
      </c>
      <c r="D78" s="763"/>
      <c r="E78" s="487">
        <f t="shared" ref="E78:T78" si="88">E36/E$13</f>
        <v>7.9953761679992293E-3</v>
      </c>
      <c r="F78" s="487">
        <f t="shared" si="88"/>
        <v>6.0255483248975658E-3</v>
      </c>
      <c r="G78" s="487">
        <f t="shared" si="88"/>
        <v>5.5968657551771009E-3</v>
      </c>
      <c r="H78" s="487">
        <f t="shared" si="88"/>
        <v>6.3246661981728744E-3</v>
      </c>
      <c r="I78" s="487">
        <f t="shared" si="88"/>
        <v>9.1945996275605221E-3</v>
      </c>
      <c r="J78" s="487">
        <f t="shared" si="88"/>
        <v>0.16496598639455781</v>
      </c>
      <c r="K78" s="487">
        <f t="shared" si="88"/>
        <v>0.11001890359168243</v>
      </c>
      <c r="L78" s="487">
        <f t="shared" si="88"/>
        <v>0.10334088335220838</v>
      </c>
      <c r="M78" s="487">
        <f t="shared" si="88"/>
        <v>0.1</v>
      </c>
      <c r="N78" s="487">
        <f t="shared" si="88"/>
        <v>5.3236730193731298E-2</v>
      </c>
      <c r="O78" s="487">
        <f t="shared" si="88"/>
        <v>3.7913547452306205E-2</v>
      </c>
      <c r="P78" s="487">
        <f t="shared" si="88"/>
        <v>3.1435349940688022E-2</v>
      </c>
      <c r="Q78" s="487">
        <f t="shared" si="88"/>
        <v>3.357431687293224E-2</v>
      </c>
      <c r="R78" s="487">
        <f t="shared" si="88"/>
        <v>2.1852152721364745E-2</v>
      </c>
      <c r="S78" s="487">
        <f t="shared" ca="1" si="88"/>
        <v>5.7278121261874274E-2</v>
      </c>
      <c r="T78" s="487">
        <f t="shared" ca="1" si="88"/>
        <v>0.10522890941520037</v>
      </c>
      <c r="U78" s="255"/>
      <c r="V78" s="487">
        <f t="shared" ref="V78:AD78" si="89">V36/V$13</f>
        <v>9.6261364188827848E-3</v>
      </c>
      <c r="W78" s="487">
        <f t="shared" si="89"/>
        <v>6.9985147846437735E-3</v>
      </c>
      <c r="X78" s="487">
        <f t="shared" si="89"/>
        <v>6.421370320426379E-3</v>
      </c>
      <c r="Y78" s="487">
        <f t="shared" si="89"/>
        <v>5.8262778300407651E-2</v>
      </c>
      <c r="Z78" s="487">
        <f t="shared" si="89"/>
        <v>4.7917213452813918E-2</v>
      </c>
      <c r="AA78" s="487">
        <f t="shared" ca="1" si="89"/>
        <v>5.5954474359962619E-2</v>
      </c>
      <c r="AB78" s="487">
        <f t="shared" ca="1" si="89"/>
        <v>0.10264521433163261</v>
      </c>
      <c r="AC78" s="487">
        <f t="shared" ca="1" si="89"/>
        <v>9.9120494235111656E-2</v>
      </c>
      <c r="AD78" s="487">
        <f t="shared" ca="1" si="89"/>
        <v>9.9224368517891001E-2</v>
      </c>
    </row>
    <row r="79" spans="2:30" s="661" customFormat="1" ht="11.25" customHeight="1">
      <c r="B79" s="763"/>
      <c r="C79" s="764" t="s">
        <v>1060</v>
      </c>
      <c r="D79" s="763"/>
      <c r="E79" s="487">
        <f t="shared" ref="E79:T79" si="90">E37/E$13</f>
        <v>0</v>
      </c>
      <c r="F79" s="487">
        <f t="shared" si="90"/>
        <v>0</v>
      </c>
      <c r="G79" s="487">
        <f t="shared" si="90"/>
        <v>0</v>
      </c>
      <c r="H79" s="487">
        <f t="shared" si="90"/>
        <v>0</v>
      </c>
      <c r="I79" s="487">
        <f t="shared" si="90"/>
        <v>-1.2802607076350093E-3</v>
      </c>
      <c r="J79" s="487">
        <f t="shared" si="90"/>
        <v>8.5034013605442174E-4</v>
      </c>
      <c r="K79" s="487">
        <f t="shared" si="90"/>
        <v>-1.5122873345935729E-3</v>
      </c>
      <c r="L79" s="487">
        <f t="shared" si="90"/>
        <v>0</v>
      </c>
      <c r="M79" s="487">
        <f t="shared" si="90"/>
        <v>0</v>
      </c>
      <c r="N79" s="487">
        <f t="shared" si="90"/>
        <v>0</v>
      </c>
      <c r="O79" s="487">
        <f t="shared" si="90"/>
        <v>0</v>
      </c>
      <c r="P79" s="487">
        <f t="shared" si="90"/>
        <v>0</v>
      </c>
      <c r="Q79" s="487">
        <f t="shared" si="90"/>
        <v>0</v>
      </c>
      <c r="R79" s="487">
        <f t="shared" si="90"/>
        <v>0</v>
      </c>
      <c r="S79" s="487">
        <f t="shared" si="90"/>
        <v>0</v>
      </c>
      <c r="T79" s="487">
        <f t="shared" si="90"/>
        <v>0</v>
      </c>
      <c r="U79" s="255"/>
      <c r="V79" s="487">
        <f t="shared" ref="V79:AD79" si="91">V37/V$13</f>
        <v>0</v>
      </c>
      <c r="W79" s="487">
        <f t="shared" si="91"/>
        <v>0</v>
      </c>
      <c r="X79" s="487">
        <f t="shared" si="91"/>
        <v>0</v>
      </c>
      <c r="Y79" s="487">
        <f t="shared" si="91"/>
        <v>-8.7801818751959864E-4</v>
      </c>
      <c r="Z79" s="487">
        <f t="shared" si="91"/>
        <v>0</v>
      </c>
      <c r="AA79" s="487">
        <f t="shared" si="91"/>
        <v>0</v>
      </c>
      <c r="AB79" s="487">
        <f t="shared" si="91"/>
        <v>0</v>
      </c>
      <c r="AC79" s="487">
        <f t="shared" si="91"/>
        <v>0</v>
      </c>
      <c r="AD79" s="487">
        <f t="shared" si="91"/>
        <v>0</v>
      </c>
    </row>
    <row r="80" spans="2:30" s="661" customFormat="1" ht="11.25" customHeight="1">
      <c r="B80" s="763"/>
      <c r="C80" s="764" t="s">
        <v>419</v>
      </c>
      <c r="D80" s="763"/>
      <c r="E80" s="487">
        <f t="shared" ref="E80:T80" si="92">E38/E$13</f>
        <v>1.078894133513149E-2</v>
      </c>
      <c r="F80" s="487">
        <f t="shared" si="92"/>
        <v>5.3024825259098581E-3</v>
      </c>
      <c r="G80" s="487">
        <f t="shared" si="92"/>
        <v>7.9955225073958581E-4</v>
      </c>
      <c r="H80" s="487">
        <f t="shared" si="92"/>
        <v>-5.7097680955727334E-3</v>
      </c>
      <c r="I80" s="487">
        <f t="shared" si="92"/>
        <v>-7.3324022346368716E-3</v>
      </c>
      <c r="J80" s="487">
        <f t="shared" si="92"/>
        <v>3.5714285714285712E-2</v>
      </c>
      <c r="K80" s="487">
        <f t="shared" si="92"/>
        <v>-2.1550094517958411E-2</v>
      </c>
      <c r="L80" s="487">
        <f t="shared" si="92"/>
        <v>-7.3612684031710077E-3</v>
      </c>
      <c r="M80" s="487">
        <f t="shared" si="92"/>
        <v>-2.548476454293629E-2</v>
      </c>
      <c r="N80" s="487">
        <f t="shared" si="92"/>
        <v>-1.7798078437549221E-2</v>
      </c>
      <c r="O80" s="487">
        <f t="shared" si="92"/>
        <v>-1.1591403042743299E-2</v>
      </c>
      <c r="P80" s="487">
        <f t="shared" si="92"/>
        <v>-1.0676156583629894E-2</v>
      </c>
      <c r="Q80" s="487">
        <f t="shared" si="92"/>
        <v>-3.5534860923906383E-3</v>
      </c>
      <c r="R80" s="487">
        <f t="shared" si="92"/>
        <v>-3.6555645816409425E-3</v>
      </c>
      <c r="S80" s="487">
        <f t="shared" si="92"/>
        <v>0</v>
      </c>
      <c r="T80" s="487">
        <f t="shared" si="92"/>
        <v>0</v>
      </c>
      <c r="U80" s="255"/>
      <c r="V80" s="487">
        <f t="shared" ref="V80:AD80" si="93">V38/V$13</f>
        <v>1.5071223686129612E-3</v>
      </c>
      <c r="W80" s="487">
        <f t="shared" si="93"/>
        <v>-4.2531167019217789E-3</v>
      </c>
      <c r="X80" s="487">
        <f t="shared" si="93"/>
        <v>2.6327618313748153E-3</v>
      </c>
      <c r="Y80" s="487">
        <f t="shared" si="93"/>
        <v>-6.5224208215741613E-3</v>
      </c>
      <c r="Z80" s="487">
        <f t="shared" si="93"/>
        <v>-1.4660117730868734E-2</v>
      </c>
      <c r="AA80" s="487">
        <f t="shared" si="93"/>
        <v>-1.6340511086715803E-3</v>
      </c>
      <c r="AB80" s="487">
        <f t="shared" si="93"/>
        <v>0</v>
      </c>
      <c r="AC80" s="487">
        <f t="shared" si="93"/>
        <v>0</v>
      </c>
      <c r="AD80" s="487">
        <f t="shared" si="93"/>
        <v>0</v>
      </c>
    </row>
    <row r="81" spans="2:30" s="661" customFormat="1" ht="11.25" customHeight="1">
      <c r="B81" s="763"/>
      <c r="C81" s="765" t="s">
        <v>426</v>
      </c>
      <c r="D81" s="763"/>
      <c r="E81" s="720">
        <f t="shared" ref="E81:T81" si="94">E39/E$13</f>
        <v>8.0146421346691074E-2</v>
      </c>
      <c r="F81" s="720">
        <f t="shared" si="94"/>
        <v>0.16052060737527116</v>
      </c>
      <c r="G81" s="720">
        <f t="shared" si="94"/>
        <v>0.1573518829455505</v>
      </c>
      <c r="H81" s="720">
        <f t="shared" si="94"/>
        <v>0.12438510189739986</v>
      </c>
      <c r="I81" s="720">
        <f t="shared" si="94"/>
        <v>-4.9115456238361263E-2</v>
      </c>
      <c r="J81" s="720">
        <f t="shared" si="94"/>
        <v>-3.2857142857142856</v>
      </c>
      <c r="K81" s="720">
        <f t="shared" si="94"/>
        <v>-0.97882797731568993</v>
      </c>
      <c r="L81" s="720">
        <f t="shared" si="94"/>
        <v>-0.60050962627406568</v>
      </c>
      <c r="M81" s="720">
        <f t="shared" si="94"/>
        <v>-0.80886426592797789</v>
      </c>
      <c r="N81" s="720">
        <f t="shared" si="94"/>
        <v>-0.13876200976531738</v>
      </c>
      <c r="O81" s="720">
        <f t="shared" si="94"/>
        <v>2.6201400627867664E-2</v>
      </c>
      <c r="P81" s="720">
        <f t="shared" si="94"/>
        <v>2.0047449584816131E-2</v>
      </c>
      <c r="Q81" s="720">
        <f t="shared" si="94"/>
        <v>-0.12706776130376179</v>
      </c>
      <c r="R81" s="720">
        <f t="shared" ca="1" si="94"/>
        <v>9.9187652315190902E-2</v>
      </c>
      <c r="S81" s="720">
        <f t="shared" ca="1" si="94"/>
        <v>5.1465239021094247E-2</v>
      </c>
      <c r="T81" s="720">
        <f t="shared" ca="1" si="94"/>
        <v>-2.6539570488249769E-2</v>
      </c>
      <c r="U81" s="255"/>
      <c r="V81" s="720">
        <f t="shared" ref="V81:AD81" si="95">V39/V$13</f>
        <v>0.12759492440079731</v>
      </c>
      <c r="W81" s="720">
        <f t="shared" si="95"/>
        <v>0.11451910527026418</v>
      </c>
      <c r="X81" s="720">
        <f t="shared" si="95"/>
        <v>0.13300798390376506</v>
      </c>
      <c r="Y81" s="720">
        <f t="shared" si="95"/>
        <v>-0.564189401066165</v>
      </c>
      <c r="Z81" s="720">
        <f t="shared" si="95"/>
        <v>-0.12804169322485096</v>
      </c>
      <c r="AA81" s="720">
        <f t="shared" ca="1" si="95"/>
        <v>1.1803112410844096E-2</v>
      </c>
      <c r="AB81" s="720">
        <f t="shared" ca="1" si="95"/>
        <v>3.1648952863230378E-3</v>
      </c>
      <c r="AC81" s="720">
        <f t="shared" ca="1" si="95"/>
        <v>3.2120125029349737E-2</v>
      </c>
      <c r="AD81" s="720">
        <f t="shared" ca="1" si="95"/>
        <v>3.9408602261963278E-2</v>
      </c>
    </row>
    <row r="82" spans="2:30" s="661" customFormat="1" ht="11.25" customHeight="1">
      <c r="B82" s="763"/>
      <c r="C82" s="764"/>
      <c r="D82" s="763"/>
      <c r="E82" s="487"/>
      <c r="F82" s="487"/>
      <c r="G82" s="487"/>
      <c r="H82" s="487"/>
      <c r="I82" s="487"/>
      <c r="J82" s="487"/>
      <c r="K82" s="487"/>
      <c r="L82" s="487"/>
      <c r="M82" s="487"/>
      <c r="N82" s="487"/>
      <c r="O82" s="487"/>
      <c r="P82" s="487"/>
      <c r="Q82" s="487"/>
      <c r="R82" s="487"/>
      <c r="S82" s="487"/>
      <c r="T82" s="487"/>
      <c r="U82" s="255"/>
      <c r="V82" s="487"/>
      <c r="W82" s="487"/>
      <c r="X82" s="487"/>
      <c r="Y82" s="487"/>
      <c r="Z82" s="487"/>
      <c r="AA82" s="487"/>
      <c r="AB82" s="487"/>
      <c r="AC82" s="487"/>
      <c r="AD82" s="487"/>
    </row>
    <row r="83" spans="2:30" s="661" customFormat="1" ht="11.25" customHeight="1">
      <c r="B83" s="763"/>
      <c r="C83" s="767" t="s">
        <v>1159</v>
      </c>
      <c r="D83" s="763"/>
      <c r="E83" s="487">
        <f t="shared" ref="E83:T83" si="96">E41/E$13</f>
        <v>1.8591657836431942E-2</v>
      </c>
      <c r="F83" s="487">
        <f t="shared" si="96"/>
        <v>3.7358399614364907E-2</v>
      </c>
      <c r="G83" s="487">
        <f t="shared" si="96"/>
        <v>3.6859358759094907E-2</v>
      </c>
      <c r="H83" s="487">
        <f t="shared" si="96"/>
        <v>2.8021784961349262E-2</v>
      </c>
      <c r="I83" s="487">
        <f t="shared" si="96"/>
        <v>-1.11731843575419E-2</v>
      </c>
      <c r="J83" s="487">
        <f t="shared" si="96"/>
        <v>-0.89370748299319724</v>
      </c>
      <c r="K83" s="487">
        <f t="shared" si="96"/>
        <v>-0.18638941398865785</v>
      </c>
      <c r="L83" s="487">
        <f t="shared" si="96"/>
        <v>-0.14637599093997736</v>
      </c>
      <c r="M83" s="487">
        <f t="shared" si="96"/>
        <v>-0.18393351800554017</v>
      </c>
      <c r="N83" s="487">
        <f t="shared" si="96"/>
        <v>-3.1973539140022052E-2</v>
      </c>
      <c r="O83" s="487">
        <f t="shared" si="96"/>
        <v>2.7771069789905818E-3</v>
      </c>
      <c r="P83" s="487">
        <f t="shared" si="96"/>
        <v>3.202846975088968E-3</v>
      </c>
      <c r="Q83" s="487">
        <f t="shared" si="96"/>
        <v>-3.1001102806028673E-2</v>
      </c>
      <c r="R83" s="487">
        <f t="shared" si="96"/>
        <v>2.4370430544272948E-2</v>
      </c>
      <c r="S83" s="487">
        <f t="shared" ca="1" si="96"/>
        <v>0</v>
      </c>
      <c r="T83" s="487">
        <f t="shared" ca="1" si="96"/>
        <v>0</v>
      </c>
      <c r="U83" s="255"/>
      <c r="V83" s="487">
        <f t="shared" ref="V83:AD83" si="97">V41/V$13</f>
        <v>4.9686421313627306E-2</v>
      </c>
      <c r="W83" s="487">
        <f t="shared" si="97"/>
        <v>2.6913902515864799E-2</v>
      </c>
      <c r="X83" s="487">
        <f t="shared" si="97"/>
        <v>3.077976840257711E-2</v>
      </c>
      <c r="Y83" s="487">
        <f t="shared" si="97"/>
        <v>-0.13527751646284103</v>
      </c>
      <c r="Z83" s="487">
        <f t="shared" si="97"/>
        <v>-3.063252221514004E-2</v>
      </c>
      <c r="AA83" s="487">
        <f t="shared" ca="1" si="97"/>
        <v>1.0378432717238414E-3</v>
      </c>
      <c r="AB83" s="487">
        <f t="shared" ca="1" si="97"/>
        <v>0</v>
      </c>
      <c r="AC83" s="487">
        <f t="shared" ca="1" si="97"/>
        <v>0</v>
      </c>
      <c r="AD83" s="487">
        <f t="shared" ca="1" si="97"/>
        <v>0</v>
      </c>
    </row>
    <row r="84" spans="2:30" s="661" customFormat="1" ht="11.25" customHeight="1">
      <c r="B84" s="763"/>
      <c r="C84" s="768" t="s">
        <v>1160</v>
      </c>
      <c r="D84" s="763"/>
      <c r="E84" s="720">
        <f t="shared" ref="E84:T84" si="98">E43/E$13</f>
        <v>6.1554763510259125E-2</v>
      </c>
      <c r="F84" s="720">
        <f t="shared" si="98"/>
        <v>0.12316220776090624</v>
      </c>
      <c r="G84" s="720">
        <f t="shared" si="98"/>
        <v>0.12049252418645559</v>
      </c>
      <c r="H84" s="720">
        <f t="shared" si="98"/>
        <v>9.6363316936050603E-2</v>
      </c>
      <c r="I84" s="720">
        <f t="shared" si="98"/>
        <v>-3.7942271880819368E-2</v>
      </c>
      <c r="J84" s="720">
        <f t="shared" si="98"/>
        <v>-2.3920068027210886</v>
      </c>
      <c r="K84" s="720">
        <f t="shared" si="98"/>
        <v>-0.79243856332703211</v>
      </c>
      <c r="L84" s="720">
        <f t="shared" si="98"/>
        <v>-0.45413363533408835</v>
      </c>
      <c r="M84" s="720">
        <f t="shared" si="98"/>
        <v>-0.62493074792243763</v>
      </c>
      <c r="N84" s="720">
        <f t="shared" si="98"/>
        <v>-0.10678847062529533</v>
      </c>
      <c r="O84" s="720">
        <f t="shared" si="98"/>
        <v>2.3424293648877083E-2</v>
      </c>
      <c r="P84" s="720">
        <f t="shared" si="98"/>
        <v>1.6844602609727165E-2</v>
      </c>
      <c r="Q84" s="720">
        <f t="shared" si="98"/>
        <v>-9.6066658497733118E-2</v>
      </c>
      <c r="R84" s="720">
        <f t="shared" ca="1" si="98"/>
        <v>7.4817221770917958E-2</v>
      </c>
      <c r="S84" s="720">
        <f t="shared" ca="1" si="98"/>
        <v>5.1465239021094247E-2</v>
      </c>
      <c r="T84" s="720">
        <f t="shared" ca="1" si="98"/>
        <v>-2.6539570488249769E-2</v>
      </c>
      <c r="U84" s="255"/>
      <c r="V84" s="720">
        <f t="shared" ref="V84:AD84" si="99">V43/V$13</f>
        <v>7.7908503087170011E-2</v>
      </c>
      <c r="W84" s="720">
        <f t="shared" si="99"/>
        <v>8.7605202754399383E-2</v>
      </c>
      <c r="X84" s="720">
        <f t="shared" si="99"/>
        <v>0.10222821550118795</v>
      </c>
      <c r="Y84" s="720">
        <f t="shared" si="99"/>
        <v>-0.42891188460332391</v>
      </c>
      <c r="Z84" s="720">
        <f t="shared" si="99"/>
        <v>-9.7409171009710915E-2</v>
      </c>
      <c r="AA84" s="720">
        <f t="shared" ca="1" si="99"/>
        <v>1.0765269139120254E-2</v>
      </c>
      <c r="AB84" s="720">
        <f t="shared" ca="1" si="99"/>
        <v>3.1648952863230378E-3</v>
      </c>
      <c r="AC84" s="720">
        <f t="shared" ca="1" si="99"/>
        <v>3.2120125029349737E-2</v>
      </c>
      <c r="AD84" s="720">
        <f t="shared" ca="1" si="99"/>
        <v>3.9408602261963278E-2</v>
      </c>
    </row>
    <row r="85" spans="2:30" s="380" customFormat="1" ht="11.25" customHeight="1">
      <c r="U85" s="255"/>
    </row>
    <row r="86" spans="2:30" s="255" customFormat="1" ht="11.25" customHeight="1">
      <c r="B86" s="258" t="s">
        <v>133</v>
      </c>
      <c r="C86" s="259" t="s">
        <v>1163</v>
      </c>
      <c r="D86" s="259"/>
      <c r="E86" s="258"/>
      <c r="F86" s="258"/>
      <c r="G86" s="258"/>
      <c r="H86" s="258"/>
      <c r="I86" s="258"/>
      <c r="J86" s="258"/>
      <c r="K86" s="258"/>
      <c r="L86" s="258"/>
      <c r="M86" s="258"/>
      <c r="N86" s="258"/>
      <c r="O86" s="258"/>
      <c r="P86" s="697"/>
      <c r="Q86" s="258"/>
      <c r="R86" s="258"/>
      <c r="S86" s="258"/>
      <c r="T86" s="258"/>
      <c r="V86" s="258"/>
      <c r="W86" s="258"/>
      <c r="X86" s="258"/>
      <c r="Y86" s="258"/>
      <c r="Z86" s="258"/>
      <c r="AA86" s="258"/>
      <c r="AB86" s="258"/>
      <c r="AC86" s="258"/>
      <c r="AD86" s="258"/>
    </row>
    <row r="87" spans="2:30" ht="11.25" customHeight="1">
      <c r="P87" s="255"/>
      <c r="U87" s="255"/>
    </row>
    <row r="88" spans="2:30" ht="11.25" customHeight="1">
      <c r="C88" s="253" t="s">
        <v>1164</v>
      </c>
      <c r="E88" s="277">
        <v>4721</v>
      </c>
      <c r="F88" s="277">
        <v>5938</v>
      </c>
      <c r="G88" s="277">
        <v>6021</v>
      </c>
      <c r="H88" s="277">
        <v>5238</v>
      </c>
      <c r="I88" s="277">
        <v>3798</v>
      </c>
      <c r="J88" s="277">
        <v>378</v>
      </c>
      <c r="K88" s="277">
        <v>1057</v>
      </c>
      <c r="L88" s="277">
        <v>1447</v>
      </c>
      <c r="M88" s="277">
        <v>1399</v>
      </c>
      <c r="N88" s="277">
        <v>2797</v>
      </c>
      <c r="O88" s="277">
        <v>3742</v>
      </c>
      <c r="P88" s="277">
        <v>3687</v>
      </c>
      <c r="Q88" s="277">
        <v>3448</v>
      </c>
      <c r="R88" s="277">
        <v>5664</v>
      </c>
      <c r="S88" s="385"/>
      <c r="T88" s="385"/>
      <c r="U88" s="255"/>
      <c r="V88" s="277">
        <v>32467</v>
      </c>
      <c r="W88" s="277">
        <v>21196</v>
      </c>
      <c r="X88" s="254">
        <f t="shared" ref="X88:Z91" si="100">SUMIF($E$5:$T$5,X$5,$E88:$T88)</f>
        <v>21918</v>
      </c>
      <c r="Y88" s="254">
        <f t="shared" si="100"/>
        <v>6680</v>
      </c>
      <c r="Z88" s="254">
        <f t="shared" si="100"/>
        <v>11625</v>
      </c>
      <c r="AA88" s="1226"/>
      <c r="AB88" s="1226"/>
      <c r="AC88" s="1226"/>
      <c r="AD88" s="1226"/>
    </row>
    <row r="89" spans="2:30" ht="11.25" customHeight="1">
      <c r="C89" s="253" t="s">
        <v>1165</v>
      </c>
      <c r="E89" s="277">
        <v>3267</v>
      </c>
      <c r="F89" s="277">
        <v>4031</v>
      </c>
      <c r="G89" s="277">
        <v>4008</v>
      </c>
      <c r="H89" s="277">
        <v>3684</v>
      </c>
      <c r="I89" s="277">
        <v>2713</v>
      </c>
      <c r="J89" s="277">
        <v>190</v>
      </c>
      <c r="K89" s="277">
        <v>577</v>
      </c>
      <c r="L89" s="277">
        <v>810</v>
      </c>
      <c r="M89" s="277">
        <v>878</v>
      </c>
      <c r="N89" s="277">
        <v>1756</v>
      </c>
      <c r="O89" s="277">
        <v>2495</v>
      </c>
      <c r="P89" s="277">
        <v>2585</v>
      </c>
      <c r="Q89" s="277">
        <v>2538</v>
      </c>
      <c r="R89" s="277">
        <v>4109</v>
      </c>
      <c r="S89" s="385"/>
      <c r="T89" s="385"/>
      <c r="U89" s="255"/>
      <c r="V89" s="385"/>
      <c r="W89" s="277">
        <v>13754</v>
      </c>
      <c r="X89" s="254">
        <f t="shared" si="100"/>
        <v>14990</v>
      </c>
      <c r="Y89" s="254">
        <f t="shared" si="100"/>
        <v>4290</v>
      </c>
      <c r="Z89" s="254">
        <f t="shared" si="100"/>
        <v>7714</v>
      </c>
      <c r="AA89" s="1226"/>
      <c r="AB89" s="1226"/>
      <c r="AC89" s="1226"/>
      <c r="AD89" s="1226"/>
    </row>
    <row r="90" spans="2:30" ht="11.25" customHeight="1">
      <c r="C90" s="253" t="s">
        <v>1166</v>
      </c>
      <c r="E90" s="277">
        <v>692</v>
      </c>
      <c r="F90" s="277">
        <v>751</v>
      </c>
      <c r="G90" s="277">
        <v>732</v>
      </c>
      <c r="H90" s="277">
        <v>726</v>
      </c>
      <c r="I90" s="277">
        <v>543</v>
      </c>
      <c r="J90" s="277">
        <v>45</v>
      </c>
      <c r="K90" s="277">
        <v>143</v>
      </c>
      <c r="L90" s="277">
        <v>204</v>
      </c>
      <c r="M90" s="277">
        <v>241</v>
      </c>
      <c r="N90" s="277">
        <v>428</v>
      </c>
      <c r="O90" s="277">
        <v>544</v>
      </c>
      <c r="P90" s="277">
        <v>573</v>
      </c>
      <c r="Q90" s="277">
        <v>543</v>
      </c>
      <c r="R90" s="277">
        <v>744</v>
      </c>
      <c r="S90" s="385"/>
      <c r="T90" s="385"/>
      <c r="U90" s="255"/>
      <c r="V90" s="277">
        <v>2403</v>
      </c>
      <c r="W90" s="277">
        <v>2651</v>
      </c>
      <c r="X90" s="254">
        <f t="shared" si="100"/>
        <v>2901</v>
      </c>
      <c r="Y90" s="254">
        <f t="shared" si="100"/>
        <v>935</v>
      </c>
      <c r="Z90" s="254">
        <f t="shared" si="100"/>
        <v>1786</v>
      </c>
      <c r="AA90" s="385"/>
      <c r="AB90" s="385"/>
      <c r="AC90" s="385"/>
      <c r="AD90" s="385"/>
    </row>
    <row r="91" spans="2:30" ht="11.25" customHeight="1">
      <c r="C91" s="253" t="s">
        <v>1167</v>
      </c>
      <c r="E91" s="277">
        <v>574</v>
      </c>
      <c r="F91" s="277">
        <v>648</v>
      </c>
      <c r="G91" s="277">
        <v>649</v>
      </c>
      <c r="H91" s="277">
        <v>597</v>
      </c>
      <c r="I91" s="277">
        <v>515</v>
      </c>
      <c r="J91" s="277">
        <v>65</v>
      </c>
      <c r="K91" s="277">
        <v>161</v>
      </c>
      <c r="L91" s="277">
        <v>237</v>
      </c>
      <c r="M91" s="277">
        <v>230</v>
      </c>
      <c r="N91" s="277">
        <v>358</v>
      </c>
      <c r="O91" s="277">
        <v>410</v>
      </c>
      <c r="P91" s="277">
        <v>396</v>
      </c>
      <c r="Q91" s="277">
        <v>378</v>
      </c>
      <c r="R91" s="277">
        <v>441</v>
      </c>
      <c r="S91" s="385"/>
      <c r="T91" s="385"/>
      <c r="U91" s="255"/>
      <c r="V91" s="277">
        <v>2077</v>
      </c>
      <c r="W91" s="277">
        <v>2154</v>
      </c>
      <c r="X91" s="254">
        <f t="shared" si="100"/>
        <v>2468</v>
      </c>
      <c r="Y91" s="254">
        <f t="shared" si="100"/>
        <v>978</v>
      </c>
      <c r="Z91" s="254">
        <f t="shared" si="100"/>
        <v>1394</v>
      </c>
      <c r="AA91" s="385"/>
      <c r="AB91" s="385"/>
      <c r="AC91" s="385"/>
      <c r="AD91" s="385"/>
    </row>
    <row r="92" spans="2:30" s="279" customFormat="1" ht="11.25" customHeight="1">
      <c r="C92" s="289" t="s">
        <v>997</v>
      </c>
      <c r="E92" s="358">
        <f t="shared" ref="E92:R92" si="101">SUM(E88:E91)</f>
        <v>9254</v>
      </c>
      <c r="F92" s="358">
        <f t="shared" si="101"/>
        <v>11368</v>
      </c>
      <c r="G92" s="358">
        <f t="shared" si="101"/>
        <v>11410</v>
      </c>
      <c r="H92" s="358">
        <f t="shared" si="101"/>
        <v>10245</v>
      </c>
      <c r="I92" s="358">
        <f t="shared" si="101"/>
        <v>7569</v>
      </c>
      <c r="J92" s="358">
        <f t="shared" si="101"/>
        <v>678</v>
      </c>
      <c r="K92" s="358">
        <f t="shared" si="101"/>
        <v>1938</v>
      </c>
      <c r="L92" s="358">
        <f t="shared" si="101"/>
        <v>2698</v>
      </c>
      <c r="M92" s="358">
        <f t="shared" si="101"/>
        <v>2748</v>
      </c>
      <c r="N92" s="358">
        <f t="shared" si="101"/>
        <v>5339</v>
      </c>
      <c r="O92" s="358">
        <f t="shared" si="101"/>
        <v>7191</v>
      </c>
      <c r="P92" s="358">
        <f t="shared" si="101"/>
        <v>7241</v>
      </c>
      <c r="Q92" s="358">
        <f t="shared" si="101"/>
        <v>6907</v>
      </c>
      <c r="R92" s="358">
        <f t="shared" si="101"/>
        <v>10958</v>
      </c>
      <c r="S92" s="358">
        <f>S130</f>
        <v>11409.805962942415</v>
      </c>
      <c r="T92" s="358">
        <f>T130</f>
        <v>10486.61240538028</v>
      </c>
      <c r="U92" s="255"/>
      <c r="V92" s="358">
        <f>SUM(V88:V91)</f>
        <v>36947</v>
      </c>
      <c r="W92" s="358">
        <f>SUM(W88:W91)</f>
        <v>39755</v>
      </c>
      <c r="X92" s="358">
        <f>SUM(X88:X91)</f>
        <v>42277</v>
      </c>
      <c r="Y92" s="358">
        <f>SUM(Y88:Y91)</f>
        <v>12883</v>
      </c>
      <c r="Z92" s="358">
        <f>SUM(Z88:Z91)</f>
        <v>22519</v>
      </c>
      <c r="AA92" s="358">
        <f>SUMIF($E$5:$T$5,AA$5,$E92:$T92)</f>
        <v>39761.418368322695</v>
      </c>
      <c r="AB92" s="358">
        <f>AB130</f>
        <v>44582.036686942083</v>
      </c>
      <c r="AC92" s="358">
        <f>AC130</f>
        <v>48258.562758525135</v>
      </c>
      <c r="AD92" s="358">
        <f>AD130</f>
        <v>49616.92340903735</v>
      </c>
    </row>
    <row r="93" spans="2:30" ht="11.25" customHeight="1">
      <c r="E93" s="257"/>
      <c r="F93" s="257"/>
      <c r="G93" s="257"/>
      <c r="H93" s="257"/>
      <c r="I93" s="257"/>
      <c r="J93" s="257"/>
      <c r="K93" s="257"/>
      <c r="L93" s="257"/>
      <c r="M93" s="257"/>
      <c r="N93" s="257"/>
      <c r="O93" s="257"/>
      <c r="P93" s="257"/>
      <c r="Q93" s="257"/>
      <c r="R93" s="257"/>
      <c r="S93" s="257"/>
      <c r="T93" s="257"/>
      <c r="U93" s="257"/>
      <c r="V93" s="257"/>
      <c r="W93" s="257"/>
      <c r="X93" s="257"/>
      <c r="Y93" s="257"/>
      <c r="Z93" s="257"/>
      <c r="AA93" s="255"/>
      <c r="AB93" s="255"/>
      <c r="AC93" s="255"/>
      <c r="AD93" s="255"/>
    </row>
    <row r="94" spans="2:30" ht="11.25" customHeight="1">
      <c r="C94" s="253" t="s">
        <v>1168</v>
      </c>
      <c r="E94" s="277">
        <v>48</v>
      </c>
      <c r="F94" s="277">
        <v>40</v>
      </c>
      <c r="G94" s="277">
        <v>6</v>
      </c>
      <c r="H94" s="277">
        <v>2</v>
      </c>
      <c r="I94" s="277">
        <v>0</v>
      </c>
      <c r="J94" s="277">
        <v>292</v>
      </c>
      <c r="K94" s="277">
        <v>417</v>
      </c>
      <c r="L94" s="277">
        <v>441</v>
      </c>
      <c r="M94" s="277">
        <v>540</v>
      </c>
      <c r="N94" s="277">
        <v>777</v>
      </c>
      <c r="O94" s="277">
        <v>872</v>
      </c>
      <c r="P94" s="277">
        <v>1040</v>
      </c>
      <c r="Q94" s="277">
        <v>1187</v>
      </c>
      <c r="R94" s="277">
        <v>1514</v>
      </c>
      <c r="S94" s="333">
        <v>1400</v>
      </c>
      <c r="T94" s="333">
        <v>1300</v>
      </c>
      <c r="U94" s="255"/>
      <c r="V94" s="277">
        <v>0</v>
      </c>
      <c r="W94" s="277">
        <v>0</v>
      </c>
      <c r="X94" s="254">
        <f t="shared" ref="X94:AA97" si="102">SUMIF($E$5:$T$5,X$5,$E94:$T94)</f>
        <v>96</v>
      </c>
      <c r="Y94" s="254">
        <f t="shared" si="102"/>
        <v>1150</v>
      </c>
      <c r="Z94" s="254">
        <f t="shared" si="102"/>
        <v>3229</v>
      </c>
      <c r="AA94" s="254">
        <f t="shared" si="102"/>
        <v>5401</v>
      </c>
      <c r="AB94" s="650">
        <f>AA94</f>
        <v>5401</v>
      </c>
      <c r="AC94" s="650">
        <f>AB94+100</f>
        <v>5501</v>
      </c>
      <c r="AD94" s="650">
        <f>AC94+100</f>
        <v>5601</v>
      </c>
    </row>
    <row r="95" spans="2:30" ht="11.25" customHeight="1">
      <c r="C95" s="253" t="s">
        <v>1169</v>
      </c>
      <c r="E95" s="277">
        <v>474</v>
      </c>
      <c r="F95" s="277">
        <v>484</v>
      </c>
      <c r="G95" s="277">
        <v>485</v>
      </c>
      <c r="H95" s="277">
        <v>519</v>
      </c>
      <c r="I95" s="277">
        <v>474</v>
      </c>
      <c r="J95" s="277">
        <v>269</v>
      </c>
      <c r="K95" s="277">
        <v>343</v>
      </c>
      <c r="L95" s="277">
        <v>372</v>
      </c>
      <c r="M95" s="277">
        <v>368</v>
      </c>
      <c r="N95" s="277">
        <v>439</v>
      </c>
      <c r="O95" s="277">
        <v>453</v>
      </c>
      <c r="P95" s="277">
        <v>510</v>
      </c>
      <c r="Q95" s="277">
        <v>571</v>
      </c>
      <c r="R95" s="277">
        <v>650</v>
      </c>
      <c r="S95" s="254">
        <f t="shared" ref="S95:T97" si="103">S110*S$164*10</f>
        <v>682.10812414500015</v>
      </c>
      <c r="T95" s="254">
        <f t="shared" si="103"/>
        <v>587.80929617972004</v>
      </c>
      <c r="U95" s="255"/>
      <c r="V95" s="277">
        <v>1269</v>
      </c>
      <c r="W95" s="277">
        <v>1459</v>
      </c>
      <c r="X95" s="254">
        <f t="shared" si="102"/>
        <v>1962</v>
      </c>
      <c r="Y95" s="254">
        <f t="shared" si="102"/>
        <v>1458</v>
      </c>
      <c r="Z95" s="254">
        <f t="shared" si="102"/>
        <v>1770</v>
      </c>
      <c r="AA95" s="254">
        <f t="shared" si="102"/>
        <v>2490.9174203247203</v>
      </c>
      <c r="AB95" s="254">
        <f t="shared" ref="AB95:AD97" si="104">AB110*AB$164*10</f>
        <v>3064.7442403226</v>
      </c>
      <c r="AC95" s="254">
        <f t="shared" si="104"/>
        <v>3414.0800701011203</v>
      </c>
      <c r="AD95" s="254">
        <f t="shared" si="104"/>
        <v>3470.2014580425603</v>
      </c>
    </row>
    <row r="96" spans="2:30" ht="11.25" customHeight="1">
      <c r="C96" s="253" t="s">
        <v>1170</v>
      </c>
      <c r="E96" s="277">
        <f>369-E94</f>
        <v>321</v>
      </c>
      <c r="F96" s="277">
        <f>330-F94</f>
        <v>290</v>
      </c>
      <c r="G96" s="277">
        <f>291-G94</f>
        <v>285</v>
      </c>
      <c r="H96" s="277">
        <f>307-H94</f>
        <v>305</v>
      </c>
      <c r="I96" s="277">
        <f>223-I94</f>
        <v>223</v>
      </c>
      <c r="J96" s="277">
        <f>390-J94</f>
        <v>98</v>
      </c>
      <c r="K96" s="277">
        <f>572-K94</f>
        <v>155</v>
      </c>
      <c r="L96" s="277">
        <f>614-L94</f>
        <v>173</v>
      </c>
      <c r="M96" s="277">
        <f>726-M94</f>
        <v>186</v>
      </c>
      <c r="N96" s="277">
        <f>962-N94</f>
        <v>185</v>
      </c>
      <c r="O96" s="277">
        <v>215</v>
      </c>
      <c r="P96" s="277">
        <v>207</v>
      </c>
      <c r="Q96" s="277">
        <v>209</v>
      </c>
      <c r="R96" s="277">
        <v>206</v>
      </c>
      <c r="S96" s="254">
        <f t="shared" si="103"/>
        <v>292.33205320500002</v>
      </c>
      <c r="T96" s="254">
        <f t="shared" si="103"/>
        <v>247.49865102304003</v>
      </c>
      <c r="U96" s="255"/>
      <c r="V96" s="277">
        <v>1591</v>
      </c>
      <c r="W96" s="277">
        <v>1801</v>
      </c>
      <c r="X96" s="254">
        <f t="shared" si="102"/>
        <v>1201</v>
      </c>
      <c r="Y96" s="254">
        <f t="shared" si="102"/>
        <v>649</v>
      </c>
      <c r="Z96" s="254">
        <f t="shared" si="102"/>
        <v>793</v>
      </c>
      <c r="AA96" s="254">
        <f t="shared" si="102"/>
        <v>954.83070422803996</v>
      </c>
      <c r="AB96" s="254">
        <f t="shared" si="104"/>
        <v>1114.4524510264</v>
      </c>
      <c r="AC96" s="254">
        <f t="shared" si="104"/>
        <v>1187.5061113395202</v>
      </c>
      <c r="AD96" s="254">
        <f t="shared" si="104"/>
        <v>1207.0265941017601</v>
      </c>
    </row>
    <row r="97" spans="3:30" ht="11.25" customHeight="1">
      <c r="C97" s="253" t="s">
        <v>1171</v>
      </c>
      <c r="E97" s="277">
        <v>183</v>
      </c>
      <c r="F97" s="277">
        <v>168</v>
      </c>
      <c r="G97" s="277">
        <v>185</v>
      </c>
      <c r="H97" s="277">
        <v>181</v>
      </c>
      <c r="I97" s="277">
        <v>174</v>
      </c>
      <c r="J97" s="277">
        <v>23</v>
      </c>
      <c r="K97" s="277">
        <v>67</v>
      </c>
      <c r="L97" s="277">
        <v>85</v>
      </c>
      <c r="M97" s="277">
        <v>93</v>
      </c>
      <c r="N97" s="277">
        <v>135</v>
      </c>
      <c r="O97" s="277">
        <v>161</v>
      </c>
      <c r="P97" s="277">
        <v>168</v>
      </c>
      <c r="Q97" s="277">
        <v>185</v>
      </c>
      <c r="R97" s="277">
        <v>224</v>
      </c>
      <c r="S97" s="254">
        <f t="shared" si="103"/>
        <v>259.85071396000001</v>
      </c>
      <c r="T97" s="254">
        <f t="shared" si="103"/>
        <v>247.49865102304003</v>
      </c>
      <c r="U97" s="255"/>
      <c r="V97" s="277">
        <v>587</v>
      </c>
      <c r="W97" s="277">
        <v>558</v>
      </c>
      <c r="X97" s="254">
        <f t="shared" si="102"/>
        <v>717</v>
      </c>
      <c r="Y97" s="254">
        <f t="shared" si="102"/>
        <v>349</v>
      </c>
      <c r="Z97" s="254">
        <f t="shared" si="102"/>
        <v>557</v>
      </c>
      <c r="AA97" s="254">
        <f t="shared" si="102"/>
        <v>916.34936498304</v>
      </c>
      <c r="AB97" s="254">
        <f t="shared" si="104"/>
        <v>975.14589464810001</v>
      </c>
      <c r="AC97" s="254">
        <f t="shared" si="104"/>
        <v>1039.0678474220801</v>
      </c>
      <c r="AD97" s="254">
        <f t="shared" si="104"/>
        <v>1056.14826983904</v>
      </c>
    </row>
    <row r="98" spans="3:30" s="279" customFormat="1" ht="11.25" customHeight="1">
      <c r="C98" s="289" t="s">
        <v>1172</v>
      </c>
      <c r="E98" s="358">
        <f t="shared" ref="E98:T98" si="105">SUM(E94:E97)</f>
        <v>1026</v>
      </c>
      <c r="F98" s="358">
        <f t="shared" si="105"/>
        <v>982</v>
      </c>
      <c r="G98" s="358">
        <f t="shared" si="105"/>
        <v>961</v>
      </c>
      <c r="H98" s="358">
        <f t="shared" si="105"/>
        <v>1007</v>
      </c>
      <c r="I98" s="358">
        <f t="shared" si="105"/>
        <v>871</v>
      </c>
      <c r="J98" s="358">
        <f t="shared" si="105"/>
        <v>682</v>
      </c>
      <c r="K98" s="358">
        <f t="shared" si="105"/>
        <v>982</v>
      </c>
      <c r="L98" s="358">
        <f t="shared" si="105"/>
        <v>1071</v>
      </c>
      <c r="M98" s="358">
        <f t="shared" si="105"/>
        <v>1187</v>
      </c>
      <c r="N98" s="358">
        <f t="shared" si="105"/>
        <v>1536</v>
      </c>
      <c r="O98" s="358">
        <f t="shared" si="105"/>
        <v>1701</v>
      </c>
      <c r="P98" s="358">
        <f t="shared" si="105"/>
        <v>1925</v>
      </c>
      <c r="Q98" s="358">
        <f t="shared" si="105"/>
        <v>2152</v>
      </c>
      <c r="R98" s="358">
        <f t="shared" si="105"/>
        <v>2594</v>
      </c>
      <c r="S98" s="358">
        <f t="shared" si="105"/>
        <v>2634.2908913100005</v>
      </c>
      <c r="T98" s="358">
        <f t="shared" si="105"/>
        <v>2382.8065982258004</v>
      </c>
      <c r="U98" s="255"/>
      <c r="V98" s="358">
        <f t="shared" ref="V98:AD98" si="106">SUM(V94:V97)</f>
        <v>3447</v>
      </c>
      <c r="W98" s="358">
        <f t="shared" si="106"/>
        <v>3818</v>
      </c>
      <c r="X98" s="358">
        <f t="shared" si="106"/>
        <v>3976</v>
      </c>
      <c r="Y98" s="358">
        <f t="shared" si="106"/>
        <v>3606</v>
      </c>
      <c r="Z98" s="358">
        <f t="shared" si="106"/>
        <v>6349</v>
      </c>
      <c r="AA98" s="358">
        <f t="shared" si="106"/>
        <v>9763.0974895357995</v>
      </c>
      <c r="AB98" s="358">
        <f t="shared" si="106"/>
        <v>10555.342585997099</v>
      </c>
      <c r="AC98" s="358">
        <f t="shared" si="106"/>
        <v>11141.654028862722</v>
      </c>
      <c r="AD98" s="358">
        <f t="shared" si="106"/>
        <v>11334.37632198336</v>
      </c>
    </row>
    <row r="99" spans="3:30" ht="11.25" customHeight="1">
      <c r="E99" s="257"/>
      <c r="F99" s="257"/>
      <c r="G99" s="257"/>
      <c r="H99" s="257"/>
      <c r="I99" s="257"/>
      <c r="J99" s="257"/>
      <c r="K99" s="257"/>
      <c r="L99" s="257"/>
      <c r="M99" s="257"/>
      <c r="N99" s="257"/>
      <c r="O99" s="257"/>
      <c r="P99" s="257"/>
      <c r="U99" s="255"/>
      <c r="X99" s="383"/>
    </row>
    <row r="100" spans="3:30" ht="11.25" customHeight="1">
      <c r="C100" s="253" t="s">
        <v>285</v>
      </c>
      <c r="E100" s="287">
        <f>'DAL Financials'!E12</f>
        <v>192</v>
      </c>
      <c r="F100" s="287">
        <f>'DAL Financials'!F12</f>
        <v>186</v>
      </c>
      <c r="G100" s="287">
        <f>'DAL Financials'!G12</f>
        <v>189</v>
      </c>
      <c r="H100" s="287">
        <f>'DAL Financials'!H12</f>
        <v>187</v>
      </c>
      <c r="I100" s="287">
        <f>'DAL Financials'!I12</f>
        <v>152</v>
      </c>
      <c r="J100" s="287">
        <f>'DAL Financials'!J12</f>
        <v>108</v>
      </c>
      <c r="K100" s="287">
        <f>'DAL Financials'!K12</f>
        <v>142</v>
      </c>
      <c r="L100" s="287">
        <f>'DAL Financials'!L12</f>
        <v>204</v>
      </c>
      <c r="M100" s="287">
        <f>'DAL Financials'!M12</f>
        <v>215</v>
      </c>
      <c r="N100" s="287">
        <f>'DAL Financials'!N12</f>
        <v>251</v>
      </c>
      <c r="O100" s="287">
        <f>'DAL Financials'!O12</f>
        <v>262</v>
      </c>
      <c r="P100" s="287">
        <f>'DAL Financials'!P12</f>
        <v>304</v>
      </c>
      <c r="Q100" s="287">
        <f>'DAL Financials'!Q12</f>
        <v>289</v>
      </c>
      <c r="R100" s="287">
        <f>'DAL Financials'!R12</f>
        <v>272</v>
      </c>
      <c r="S100" s="254">
        <f>S114*S$164*10</f>
        <v>292.33205320500002</v>
      </c>
      <c r="T100" s="254">
        <f>T114*T$164*10</f>
        <v>309.37331377880002</v>
      </c>
      <c r="U100" s="255"/>
      <c r="V100" s="287">
        <f>'DAL Financials'!V12</f>
        <v>744</v>
      </c>
      <c r="W100" s="287">
        <f>'DAL Financials'!W12</f>
        <v>865</v>
      </c>
      <c r="X100" s="254">
        <f>SUMIF($E$5:$T$5,X$5,$E100:$T100)</f>
        <v>754</v>
      </c>
      <c r="Y100" s="254">
        <f>SUMIF($E$5:$T$5,Y$5,$E100:$T100)</f>
        <v>606</v>
      </c>
      <c r="Z100" s="254">
        <f>SUMIF($E$5:$T$5,Z$5,$E100:$T100)</f>
        <v>1032</v>
      </c>
      <c r="AA100" s="254">
        <f>SUMIF($E$5:$T$5,AA$5,$E100:$T100)</f>
        <v>1162.7053669838001</v>
      </c>
      <c r="AB100" s="254">
        <f>AB114*AB$164*10</f>
        <v>1253.7590074047</v>
      </c>
      <c r="AC100" s="254">
        <f>AC114*AC$164*10</f>
        <v>1187.5061113395202</v>
      </c>
      <c r="AD100" s="254">
        <f>AD114*AD$164*10</f>
        <v>1056.1482698390403</v>
      </c>
    </row>
    <row r="101" spans="3:30" s="283" customFormat="1" ht="11.25" customHeight="1">
      <c r="C101" s="286" t="s">
        <v>1173</v>
      </c>
      <c r="E101" s="358">
        <f t="shared" ref="E101:T101" si="107">E92+E98+E100</f>
        <v>10472</v>
      </c>
      <c r="F101" s="358">
        <f t="shared" si="107"/>
        <v>12536</v>
      </c>
      <c r="G101" s="358">
        <f t="shared" si="107"/>
        <v>12560</v>
      </c>
      <c r="H101" s="358">
        <f t="shared" si="107"/>
        <v>11439</v>
      </c>
      <c r="I101" s="358">
        <f t="shared" si="107"/>
        <v>8592</v>
      </c>
      <c r="J101" s="358">
        <f t="shared" si="107"/>
        <v>1468</v>
      </c>
      <c r="K101" s="358">
        <f t="shared" si="107"/>
        <v>3062</v>
      </c>
      <c r="L101" s="358">
        <f t="shared" si="107"/>
        <v>3973</v>
      </c>
      <c r="M101" s="358">
        <f t="shared" si="107"/>
        <v>4150</v>
      </c>
      <c r="N101" s="358">
        <f t="shared" si="107"/>
        <v>7126</v>
      </c>
      <c r="O101" s="358">
        <f t="shared" si="107"/>
        <v>9154</v>
      </c>
      <c r="P101" s="358">
        <f t="shared" si="107"/>
        <v>9470</v>
      </c>
      <c r="Q101" s="358">
        <f t="shared" si="107"/>
        <v>9348</v>
      </c>
      <c r="R101" s="358">
        <f t="shared" si="107"/>
        <v>13824</v>
      </c>
      <c r="S101" s="358">
        <f t="shared" si="107"/>
        <v>14336.428907457415</v>
      </c>
      <c r="T101" s="358">
        <f t="shared" si="107"/>
        <v>13178.792317384879</v>
      </c>
      <c r="U101" s="255"/>
      <c r="V101" s="358">
        <f t="shared" ref="V101:AD101" si="108">V92+V98+V100</f>
        <v>41138</v>
      </c>
      <c r="W101" s="358">
        <f t="shared" si="108"/>
        <v>44438</v>
      </c>
      <c r="X101" s="358">
        <f t="shared" si="108"/>
        <v>47007</v>
      </c>
      <c r="Y101" s="358">
        <f t="shared" si="108"/>
        <v>17095</v>
      </c>
      <c r="Z101" s="358">
        <f t="shared" si="108"/>
        <v>29900</v>
      </c>
      <c r="AA101" s="358">
        <f t="shared" si="108"/>
        <v>50687.221224842295</v>
      </c>
      <c r="AB101" s="358">
        <f t="shared" si="108"/>
        <v>56391.138280343883</v>
      </c>
      <c r="AC101" s="358">
        <f t="shared" si="108"/>
        <v>60587.722898727377</v>
      </c>
      <c r="AD101" s="358">
        <f t="shared" si="108"/>
        <v>62007.448000859753</v>
      </c>
    </row>
    <row r="102" spans="3:30" s="279" customFormat="1" ht="11.25" customHeight="1">
      <c r="U102" s="255"/>
    </row>
    <row r="103" spans="3:30" ht="11.25" customHeight="1">
      <c r="C103" s="384" t="s">
        <v>1174</v>
      </c>
      <c r="E103" s="255">
        <f t="shared" ref="E103:T103" si="109">E94</f>
        <v>48</v>
      </c>
      <c r="F103" s="255">
        <f t="shared" si="109"/>
        <v>40</v>
      </c>
      <c r="G103" s="255">
        <f t="shared" si="109"/>
        <v>6</v>
      </c>
      <c r="H103" s="255">
        <f t="shared" si="109"/>
        <v>2</v>
      </c>
      <c r="I103" s="255">
        <f t="shared" si="109"/>
        <v>0</v>
      </c>
      <c r="J103" s="255">
        <f t="shared" si="109"/>
        <v>292</v>
      </c>
      <c r="K103" s="255">
        <f t="shared" si="109"/>
        <v>417</v>
      </c>
      <c r="L103" s="255">
        <f t="shared" si="109"/>
        <v>441</v>
      </c>
      <c r="M103" s="255">
        <f t="shared" si="109"/>
        <v>540</v>
      </c>
      <c r="N103" s="255">
        <f t="shared" si="109"/>
        <v>777</v>
      </c>
      <c r="O103" s="255">
        <f t="shared" si="109"/>
        <v>872</v>
      </c>
      <c r="P103" s="255">
        <f t="shared" si="109"/>
        <v>1040</v>
      </c>
      <c r="Q103" s="255">
        <f t="shared" si="109"/>
        <v>1187</v>
      </c>
      <c r="R103" s="255">
        <f t="shared" si="109"/>
        <v>1514</v>
      </c>
      <c r="S103" s="255">
        <f t="shared" si="109"/>
        <v>1400</v>
      </c>
      <c r="T103" s="255">
        <f t="shared" si="109"/>
        <v>1300</v>
      </c>
      <c r="U103" s="255"/>
      <c r="V103" s="255">
        <f>-V94</f>
        <v>0</v>
      </c>
      <c r="W103" s="255">
        <f>-W94</f>
        <v>0</v>
      </c>
      <c r="X103" s="254">
        <f t="shared" ref="X103:AA104" si="110">SUMIF($E$5:$T$5,X$5,$E103:$T103)</f>
        <v>96</v>
      </c>
      <c r="Y103" s="254">
        <f t="shared" si="110"/>
        <v>1150</v>
      </c>
      <c r="Z103" s="254">
        <f t="shared" si="110"/>
        <v>3229</v>
      </c>
      <c r="AA103" s="254">
        <f t="shared" si="110"/>
        <v>5401</v>
      </c>
      <c r="AB103" s="255">
        <f>AB94</f>
        <v>5401</v>
      </c>
      <c r="AC103" s="255">
        <f>AC94</f>
        <v>5501</v>
      </c>
      <c r="AD103" s="255">
        <f>AD94</f>
        <v>5601</v>
      </c>
    </row>
    <row r="104" spans="3:30" ht="11.25" customHeight="1">
      <c r="C104" s="384" t="s">
        <v>1076</v>
      </c>
      <c r="E104" s="277">
        <v>43</v>
      </c>
      <c r="F104" s="277">
        <v>49</v>
      </c>
      <c r="G104" s="277">
        <v>47</v>
      </c>
      <c r="H104" s="277">
        <v>53</v>
      </c>
      <c r="I104" s="277">
        <v>0</v>
      </c>
      <c r="J104" s="277">
        <v>0</v>
      </c>
      <c r="K104" s="277">
        <v>0</v>
      </c>
      <c r="L104" s="277">
        <v>0</v>
      </c>
      <c r="M104" s="277">
        <v>0</v>
      </c>
      <c r="N104" s="277">
        <v>0</v>
      </c>
      <c r="O104" s="277">
        <v>0</v>
      </c>
      <c r="P104" s="277">
        <v>0</v>
      </c>
      <c r="Q104" s="277">
        <v>0</v>
      </c>
      <c r="R104" s="277">
        <v>0</v>
      </c>
      <c r="S104" s="277">
        <v>0</v>
      </c>
      <c r="T104" s="277">
        <v>0</v>
      </c>
      <c r="U104" s="255"/>
      <c r="V104" s="277">
        <v>0</v>
      </c>
      <c r="W104" s="277">
        <v>0</v>
      </c>
      <c r="X104" s="254">
        <f t="shared" si="110"/>
        <v>192</v>
      </c>
      <c r="Y104" s="254">
        <f t="shared" si="110"/>
        <v>0</v>
      </c>
      <c r="Z104" s="254">
        <f t="shared" si="110"/>
        <v>0</v>
      </c>
      <c r="AA104" s="254">
        <f t="shared" si="110"/>
        <v>0</v>
      </c>
      <c r="AB104" s="277">
        <v>0</v>
      </c>
      <c r="AC104" s="277">
        <v>0</v>
      </c>
      <c r="AD104" s="277">
        <v>0</v>
      </c>
    </row>
    <row r="105" spans="3:30" s="283" customFormat="1" ht="11.25" customHeight="1">
      <c r="C105" s="286" t="s">
        <v>1175</v>
      </c>
      <c r="E105" s="358">
        <f t="shared" ref="E105:T105" si="111">E101-SUM(E103:E104)</f>
        <v>10381</v>
      </c>
      <c r="F105" s="358">
        <f t="shared" si="111"/>
        <v>12447</v>
      </c>
      <c r="G105" s="358">
        <f t="shared" si="111"/>
        <v>12507</v>
      </c>
      <c r="H105" s="358">
        <f t="shared" si="111"/>
        <v>11384</v>
      </c>
      <c r="I105" s="358">
        <f t="shared" si="111"/>
        <v>8592</v>
      </c>
      <c r="J105" s="358">
        <f t="shared" si="111"/>
        <v>1176</v>
      </c>
      <c r="K105" s="358">
        <f t="shared" si="111"/>
        <v>2645</v>
      </c>
      <c r="L105" s="358">
        <f t="shared" si="111"/>
        <v>3532</v>
      </c>
      <c r="M105" s="358">
        <f t="shared" si="111"/>
        <v>3610</v>
      </c>
      <c r="N105" s="358">
        <f t="shared" si="111"/>
        <v>6349</v>
      </c>
      <c r="O105" s="358">
        <f t="shared" si="111"/>
        <v>8282</v>
      </c>
      <c r="P105" s="358">
        <f t="shared" si="111"/>
        <v>8430</v>
      </c>
      <c r="Q105" s="358">
        <f t="shared" si="111"/>
        <v>8161</v>
      </c>
      <c r="R105" s="358">
        <f t="shared" si="111"/>
        <v>12310</v>
      </c>
      <c r="S105" s="358">
        <f t="shared" si="111"/>
        <v>12936.428907457415</v>
      </c>
      <c r="T105" s="358">
        <f t="shared" si="111"/>
        <v>11878.792317384879</v>
      </c>
      <c r="U105" s="255"/>
      <c r="V105" s="358">
        <f t="shared" ref="V105:AD105" si="112">V101-SUM(V103:V104)</f>
        <v>41138</v>
      </c>
      <c r="W105" s="358">
        <f t="shared" si="112"/>
        <v>44438</v>
      </c>
      <c r="X105" s="358">
        <f t="shared" si="112"/>
        <v>46719</v>
      </c>
      <c r="Y105" s="358">
        <f t="shared" si="112"/>
        <v>15945</v>
      </c>
      <c r="Z105" s="358">
        <f t="shared" si="112"/>
        <v>26671</v>
      </c>
      <c r="AA105" s="358">
        <f t="shared" si="112"/>
        <v>45286.221224842295</v>
      </c>
      <c r="AB105" s="358">
        <f t="shared" si="112"/>
        <v>50990.138280343883</v>
      </c>
      <c r="AC105" s="358">
        <f t="shared" si="112"/>
        <v>55086.722898727377</v>
      </c>
      <c r="AD105" s="358">
        <f t="shared" si="112"/>
        <v>56406.448000859753</v>
      </c>
    </row>
    <row r="106" spans="3:30" ht="11.25" customHeight="1">
      <c r="U106" s="255"/>
    </row>
    <row r="107" spans="3:30" ht="11.25" customHeight="1">
      <c r="C107" s="1233" t="s">
        <v>1864</v>
      </c>
      <c r="D107" s="1233"/>
      <c r="E107" s="1233"/>
      <c r="F107" s="1233"/>
      <c r="G107" s="1233"/>
      <c r="H107" s="1233"/>
      <c r="I107" s="1233"/>
      <c r="J107" s="1233"/>
      <c r="K107" s="1233"/>
      <c r="L107" s="1233"/>
      <c r="M107" s="1234">
        <f>M105/E105-1</f>
        <v>-0.6522493016087082</v>
      </c>
      <c r="N107" s="1234">
        <f t="shared" ref="N107:P107" si="113">N105/F105-1</f>
        <v>-0.48991724913633805</v>
      </c>
      <c r="O107" s="1234">
        <f t="shared" si="113"/>
        <v>-0.33781082593747502</v>
      </c>
      <c r="P107" s="1234">
        <f t="shared" si="113"/>
        <v>-0.25948699929725927</v>
      </c>
      <c r="Q107" s="1234">
        <f>Q105/E105-1</f>
        <v>-0.21385223003564202</v>
      </c>
      <c r="R107" s="1234">
        <f>R105/F105-1</f>
        <v>-1.1006668273479514E-2</v>
      </c>
      <c r="S107" s="1234">
        <f>S105/G105-1</f>
        <v>3.4335084949021821E-2</v>
      </c>
      <c r="T107" s="1234">
        <f>T105/H105-1</f>
        <v>4.3463836734441319E-2</v>
      </c>
      <c r="U107" s="1235"/>
      <c r="V107" s="1233"/>
      <c r="W107" s="1233"/>
      <c r="X107" s="1233"/>
      <c r="Y107" s="1233"/>
      <c r="Z107" s="1234">
        <f>Z105/$X105-1</f>
        <v>-0.42911877394636011</v>
      </c>
      <c r="AA107" s="1234">
        <f t="shared" ref="AA107:AD107" si="114">AA105/$X105-1</f>
        <v>-3.0668010341781793E-2</v>
      </c>
      <c r="AB107" s="1234">
        <f t="shared" si="114"/>
        <v>9.1421868626123892E-2</v>
      </c>
      <c r="AC107" s="1234">
        <f t="shared" si="114"/>
        <v>0.17910749157146721</v>
      </c>
      <c r="AD107" s="1234">
        <f t="shared" si="114"/>
        <v>0.20735563691131564</v>
      </c>
    </row>
    <row r="108" spans="3:30" ht="11.25" customHeight="1">
      <c r="R108" s="257"/>
      <c r="S108" s="257"/>
      <c r="U108" s="255"/>
    </row>
    <row r="109" spans="3:30" s="278" customFormat="1" ht="11.25" customHeight="1">
      <c r="C109" s="278" t="s">
        <v>1176</v>
      </c>
      <c r="U109" s="255"/>
    </row>
    <row r="110" spans="3:30" s="278" customFormat="1" ht="11.25" customHeight="1">
      <c r="C110" s="278" t="s">
        <v>1177</v>
      </c>
      <c r="E110" s="667">
        <f t="shared" ref="E110:Q110" si="115">E95/E$164/10</f>
        <v>0.75942066136887987</v>
      </c>
      <c r="F110" s="667">
        <f t="shared" si="115"/>
        <v>0.67452685564567827</v>
      </c>
      <c r="G110" s="667">
        <f t="shared" si="115"/>
        <v>0.64033165218768973</v>
      </c>
      <c r="H110" s="667">
        <f t="shared" si="115"/>
        <v>0.7927537117370318</v>
      </c>
      <c r="I110" s="667">
        <f t="shared" si="115"/>
        <v>0.80495881803515323</v>
      </c>
      <c r="J110" s="667">
        <f t="shared" si="115"/>
        <v>2.538693846734617</v>
      </c>
      <c r="K110" s="667">
        <f t="shared" si="115"/>
        <v>1.2124425592082009</v>
      </c>
      <c r="L110" s="667">
        <f t="shared" si="115"/>
        <v>1.017255052093303</v>
      </c>
      <c r="M110" s="667">
        <f t="shared" si="115"/>
        <v>0.91729398275088481</v>
      </c>
      <c r="N110" s="667">
        <f t="shared" si="115"/>
        <v>0.90461373611654883</v>
      </c>
      <c r="O110" s="667">
        <f t="shared" si="115"/>
        <v>0.8376014644158053</v>
      </c>
      <c r="P110" s="667">
        <f t="shared" si="115"/>
        <v>0.98562152133580716</v>
      </c>
      <c r="Q110" s="667">
        <f t="shared" si="115"/>
        <v>1.102103840957344</v>
      </c>
      <c r="R110" s="667">
        <f t="shared" ref="R110" si="116">R95/R$164/10</f>
        <v>1.1035091591260209</v>
      </c>
      <c r="S110" s="1222">
        <v>1.05</v>
      </c>
      <c r="T110" s="1222">
        <v>0.95</v>
      </c>
      <c r="U110" s="441"/>
      <c r="V110" s="667">
        <f t="shared" ref="V110:AA112" si="117">V95/V$164/10</f>
        <v>0.49896763242972531</v>
      </c>
      <c r="W110" s="667">
        <f t="shared" si="117"/>
        <v>0.55398311218743901</v>
      </c>
      <c r="X110" s="667">
        <f t="shared" si="117"/>
        <v>0.71247004139734194</v>
      </c>
      <c r="Y110" s="667">
        <f t="shared" si="117"/>
        <v>1.0853059401518534</v>
      </c>
      <c r="Z110" s="667">
        <f t="shared" si="117"/>
        <v>0.91014737188518779</v>
      </c>
      <c r="AA110" s="667">
        <f t="shared" si="117"/>
        <v>1.0485850734887885</v>
      </c>
      <c r="AB110" s="698">
        <v>1.1000000000000001</v>
      </c>
      <c r="AC110" s="698">
        <v>1.1499999999999999</v>
      </c>
      <c r="AD110" s="698">
        <f t="shared" ref="AC110:AD112" si="118">AC110</f>
        <v>1.1499999999999999</v>
      </c>
    </row>
    <row r="111" spans="3:30" s="278" customFormat="1" ht="11.25" customHeight="1">
      <c r="C111" s="278" t="s">
        <v>1178</v>
      </c>
      <c r="E111" s="667">
        <f t="shared" ref="E111:Q111" si="119">E96/E$164/10</f>
        <v>0.51429120738272238</v>
      </c>
      <c r="F111" s="667">
        <f t="shared" si="119"/>
        <v>0.40415865317612953</v>
      </c>
      <c r="G111" s="667">
        <f t="shared" si="119"/>
        <v>0.37627736262575584</v>
      </c>
      <c r="H111" s="667">
        <f t="shared" si="119"/>
        <v>0.4658764587279281</v>
      </c>
      <c r="I111" s="667">
        <f t="shared" si="119"/>
        <v>0.37870425405451302</v>
      </c>
      <c r="J111" s="667">
        <f t="shared" si="119"/>
        <v>0.92487731219328051</v>
      </c>
      <c r="K111" s="667">
        <f t="shared" si="119"/>
        <v>0.54789678331565927</v>
      </c>
      <c r="L111" s="667">
        <f t="shared" si="119"/>
        <v>0.47307829035521892</v>
      </c>
      <c r="M111" s="667">
        <f t="shared" si="119"/>
        <v>0.46363228475995805</v>
      </c>
      <c r="N111" s="667">
        <f t="shared" si="119"/>
        <v>0.381215355766655</v>
      </c>
      <c r="O111" s="667">
        <f t="shared" si="119"/>
        <v>0.3975371188728436</v>
      </c>
      <c r="P111" s="667">
        <f t="shared" si="119"/>
        <v>0.40004638218923932</v>
      </c>
      <c r="Q111" s="667">
        <f t="shared" si="119"/>
        <v>0.40339702760084928</v>
      </c>
      <c r="R111" s="667">
        <f t="shared" ref="R111" si="120">R96/R$164/10</f>
        <v>0.34972751812301583</v>
      </c>
      <c r="S111" s="1222">
        <v>0.45</v>
      </c>
      <c r="T111" s="1222">
        <v>0.4</v>
      </c>
      <c r="U111" s="441"/>
      <c r="V111" s="667">
        <f t="shared" si="117"/>
        <v>0.62557722868060917</v>
      </c>
      <c r="W111" s="667">
        <f t="shared" si="117"/>
        <v>0.6838407025699641</v>
      </c>
      <c r="X111" s="667">
        <f t="shared" si="117"/>
        <v>0.43612462778705785</v>
      </c>
      <c r="Y111" s="667">
        <f t="shared" si="117"/>
        <v>0.48310257555456299</v>
      </c>
      <c r="Z111" s="667">
        <f t="shared" si="117"/>
        <v>0.40776659090675366</v>
      </c>
      <c r="AA111" s="667">
        <f t="shared" si="117"/>
        <v>0.40194878240154186</v>
      </c>
      <c r="AB111" s="698">
        <v>0.4</v>
      </c>
      <c r="AC111" s="698">
        <f t="shared" si="118"/>
        <v>0.4</v>
      </c>
      <c r="AD111" s="698">
        <f t="shared" si="118"/>
        <v>0.4</v>
      </c>
    </row>
    <row r="112" spans="3:30" s="278" customFormat="1" ht="11.25" customHeight="1">
      <c r="C112" s="278" t="s">
        <v>1179</v>
      </c>
      <c r="E112" s="667">
        <f t="shared" ref="E112:Q112" si="121">E97/E$164/10</f>
        <v>0.29319405280697258</v>
      </c>
      <c r="F112" s="667">
        <f t="shared" si="121"/>
        <v>0.2341332887365164</v>
      </c>
      <c r="G112" s="667">
        <f t="shared" si="121"/>
        <v>0.24425021784478887</v>
      </c>
      <c r="H112" s="667">
        <f t="shared" si="121"/>
        <v>0.27647094763854096</v>
      </c>
      <c r="I112" s="667">
        <f t="shared" si="121"/>
        <v>0.29549121168379044</v>
      </c>
      <c r="J112" s="667">
        <f t="shared" si="121"/>
        <v>0.21706304265760665</v>
      </c>
      <c r="K112" s="667">
        <f t="shared" si="121"/>
        <v>0.23683280311063978</v>
      </c>
      <c r="L112" s="667">
        <f t="shared" si="121"/>
        <v>0.23243731029013642</v>
      </c>
      <c r="M112" s="667">
        <f t="shared" si="121"/>
        <v>0.23181614237997902</v>
      </c>
      <c r="N112" s="667">
        <f t="shared" si="121"/>
        <v>0.27818417853242389</v>
      </c>
      <c r="O112" s="667">
        <f t="shared" si="121"/>
        <v>0.2976905866908271</v>
      </c>
      <c r="P112" s="667">
        <f t="shared" si="121"/>
        <v>0.32467532467532467</v>
      </c>
      <c r="Q112" s="667">
        <f t="shared" si="121"/>
        <v>0.35707392395290483</v>
      </c>
      <c r="R112" s="667">
        <f t="shared" ref="R112" si="122">R97/R$164/10</f>
        <v>0.38028623329881334</v>
      </c>
      <c r="S112" s="1222">
        <v>0.4</v>
      </c>
      <c r="T112" s="1222">
        <f>S112</f>
        <v>0.4</v>
      </c>
      <c r="U112" s="441"/>
      <c r="V112" s="667">
        <f t="shared" si="117"/>
        <v>0.23080693478033787</v>
      </c>
      <c r="W112" s="667">
        <f t="shared" si="117"/>
        <v>0.21187291062411989</v>
      </c>
      <c r="X112" s="667">
        <f t="shared" si="117"/>
        <v>0.26036749219260658</v>
      </c>
      <c r="Y112" s="667">
        <f t="shared" si="117"/>
        <v>0.25978859609944915</v>
      </c>
      <c r="Z112" s="667">
        <f t="shared" si="117"/>
        <v>0.28641360798872861</v>
      </c>
      <c r="AA112" s="667">
        <f t="shared" si="117"/>
        <v>0.38574954688657842</v>
      </c>
      <c r="AB112" s="698">
        <v>0.35</v>
      </c>
      <c r="AC112" s="698">
        <f t="shared" si="118"/>
        <v>0.35</v>
      </c>
      <c r="AD112" s="698">
        <f t="shared" si="118"/>
        <v>0.35</v>
      </c>
    </row>
    <row r="113" spans="2:30" s="278" customFormat="1" ht="3" customHeight="1">
      <c r="S113" s="332"/>
      <c r="T113" s="332"/>
    </row>
    <row r="114" spans="2:30" s="278" customFormat="1" ht="11.25" customHeight="1">
      <c r="C114" s="278" t="s">
        <v>1180</v>
      </c>
      <c r="E114" s="667">
        <f t="shared" ref="E114:Q114" si="123">E100/E$164/10</f>
        <v>0.30761343245321715</v>
      </c>
      <c r="F114" s="667">
        <f t="shared" si="123"/>
        <v>0.2592189982440003</v>
      </c>
      <c r="G114" s="667">
        <f t="shared" si="123"/>
        <v>0.24953130363602755</v>
      </c>
      <c r="H114" s="667">
        <f t="shared" si="123"/>
        <v>0.28563573043318874</v>
      </c>
      <c r="I114" s="667">
        <f t="shared" si="123"/>
        <v>0.25813025388469046</v>
      </c>
      <c r="J114" s="667">
        <f t="shared" si="123"/>
        <v>1.0192525481313703</v>
      </c>
      <c r="K114" s="667">
        <f t="shared" si="123"/>
        <v>0.50194414987628133</v>
      </c>
      <c r="L114" s="667">
        <f t="shared" si="123"/>
        <v>0.55784954469632742</v>
      </c>
      <c r="M114" s="667">
        <f t="shared" si="123"/>
        <v>0.53591903883543546</v>
      </c>
      <c r="N114" s="667">
        <f t="shared" si="123"/>
        <v>0.51721650971583999</v>
      </c>
      <c r="O114" s="667">
        <f t="shared" si="123"/>
        <v>0.48444058206830248</v>
      </c>
      <c r="P114" s="667">
        <f t="shared" si="123"/>
        <v>0.58750773036487325</v>
      </c>
      <c r="Q114" s="667">
        <f t="shared" si="123"/>
        <v>0.55780737309399719</v>
      </c>
      <c r="R114" s="667">
        <f t="shared" ref="R114" si="124">R100/R$164/10</f>
        <v>0.46177614043427334</v>
      </c>
      <c r="S114" s="1222">
        <v>0.45</v>
      </c>
      <c r="T114" s="1222">
        <v>0.5</v>
      </c>
      <c r="U114" s="441"/>
      <c r="V114" s="667">
        <f t="shared" ref="V114:AA114" si="125">V100/V$164/10</f>
        <v>0.29253894289024085</v>
      </c>
      <c r="W114" s="667">
        <f t="shared" si="125"/>
        <v>0.32844098152305323</v>
      </c>
      <c r="X114" s="667">
        <f t="shared" si="125"/>
        <v>0.2738034715665626</v>
      </c>
      <c r="Y114" s="667">
        <f t="shared" si="125"/>
        <v>0.45109423849933006</v>
      </c>
      <c r="Z114" s="667">
        <f t="shared" si="125"/>
        <v>0.53066219648899082</v>
      </c>
      <c r="AA114" s="667">
        <f t="shared" si="125"/>
        <v>0.48945640780238325</v>
      </c>
      <c r="AB114" s="698">
        <v>0.45</v>
      </c>
      <c r="AC114" s="698">
        <f>AB114-0.05</f>
        <v>0.4</v>
      </c>
      <c r="AD114" s="698">
        <f>AC114-0.05</f>
        <v>0.35000000000000003</v>
      </c>
    </row>
    <row r="115" spans="2:30" ht="11.25" customHeight="1" thickBot="1">
      <c r="C115" s="430"/>
      <c r="D115" s="430"/>
      <c r="E115" s="430"/>
      <c r="F115" s="430"/>
      <c r="G115" s="430"/>
      <c r="H115" s="430"/>
      <c r="I115" s="430"/>
      <c r="J115" s="430"/>
      <c r="K115" s="430"/>
      <c r="L115" s="430"/>
      <c r="M115" s="430"/>
      <c r="N115" s="430"/>
      <c r="O115" s="430"/>
      <c r="P115" s="430"/>
      <c r="Q115" s="430"/>
      <c r="R115" s="430"/>
      <c r="S115" s="430"/>
      <c r="T115" s="430"/>
      <c r="U115" s="255"/>
      <c r="V115" s="430"/>
      <c r="W115" s="430"/>
      <c r="X115" s="430"/>
      <c r="Y115" s="430"/>
      <c r="Z115" s="430"/>
      <c r="AA115" s="503"/>
      <c r="AB115" s="503"/>
      <c r="AC115" s="503"/>
      <c r="AD115" s="503"/>
    </row>
    <row r="116" spans="2:30" ht="11.25" customHeight="1">
      <c r="U116" s="255"/>
    </row>
    <row r="117" spans="2:30" ht="11.25" customHeight="1">
      <c r="C117" s="253" t="s">
        <v>1055</v>
      </c>
      <c r="E117" s="287">
        <f>+'DAL Financials'!E23</f>
        <v>351</v>
      </c>
      <c r="F117" s="287">
        <f>+'DAL Financials'!F23</f>
        <v>316</v>
      </c>
      <c r="G117" s="287">
        <f>+'DAL Financials'!G23</f>
        <v>279</v>
      </c>
      <c r="H117" s="287">
        <f>+'DAL Financials'!H23</f>
        <v>299</v>
      </c>
      <c r="I117" s="287">
        <f>+'DAL Financials'!I23</f>
        <v>219</v>
      </c>
      <c r="J117" s="287">
        <f>+'DAL Financials'!J23</f>
        <v>401</v>
      </c>
      <c r="K117" s="287">
        <f>+'DAL Financials'!K23</f>
        <v>561</v>
      </c>
      <c r="L117" s="287">
        <f>+'DAL Financials'!L23</f>
        <v>604</v>
      </c>
      <c r="M117" s="287">
        <f>+'DAL Financials'!M23</f>
        <v>706</v>
      </c>
      <c r="N117" s="287">
        <f>+'DAL Financials'!N23</f>
        <v>939</v>
      </c>
      <c r="O117" s="287">
        <f>+'DAL Financials'!O23</f>
        <v>1079</v>
      </c>
      <c r="P117" s="287">
        <f>+'DAL Financials'!P23</f>
        <v>1233</v>
      </c>
      <c r="Q117" s="287">
        <f>+'DAL Financials'!Q23</f>
        <v>1382</v>
      </c>
      <c r="R117" s="287">
        <f>+'DAL Financials'!R23</f>
        <v>1718</v>
      </c>
      <c r="S117" s="255">
        <f ca="1">+SUM(S118:S120)</f>
        <v>1608.0311804249889</v>
      </c>
      <c r="T117" s="255">
        <f ca="1">+SUM(T118:T120)</f>
        <v>1499.2298360865493</v>
      </c>
      <c r="U117" s="255"/>
      <c r="V117" s="287">
        <f>+'DAL Financials'!V23</f>
        <v>1495</v>
      </c>
      <c r="W117" s="287">
        <f>+'DAL Financials'!W23</f>
        <v>1695</v>
      </c>
      <c r="X117" s="254">
        <f t="shared" ref="X117:AA119" si="126">SUMIF($E$5:$T$5,X$5,$E117:$T117)</f>
        <v>1245</v>
      </c>
      <c r="Y117" s="254">
        <f t="shared" si="126"/>
        <v>1785</v>
      </c>
      <c r="Z117" s="254">
        <f t="shared" si="126"/>
        <v>3957</v>
      </c>
      <c r="AA117" s="254">
        <f t="shared" ca="1" si="126"/>
        <v>6207.2610165115384</v>
      </c>
      <c r="AB117" s="255">
        <f>+SUM(AB118:AB120)</f>
        <v>6244.6398579130328</v>
      </c>
      <c r="AC117" s="255">
        <f>+SUM(AC118:AC120)</f>
        <v>6399.9414363247688</v>
      </c>
      <c r="AD117" s="255">
        <f>+SUM(AD118:AD120)</f>
        <v>6514.7184304340844</v>
      </c>
    </row>
    <row r="118" spans="2:30" ht="11.25" customHeight="1">
      <c r="C118" s="384" t="s">
        <v>1181</v>
      </c>
      <c r="E118" s="254">
        <f t="shared" ref="E118:T118" si="127">+E94</f>
        <v>48</v>
      </c>
      <c r="F118" s="254">
        <f t="shared" si="127"/>
        <v>40</v>
      </c>
      <c r="G118" s="254">
        <f t="shared" si="127"/>
        <v>6</v>
      </c>
      <c r="H118" s="254">
        <f t="shared" si="127"/>
        <v>2</v>
      </c>
      <c r="I118" s="254">
        <f t="shared" si="127"/>
        <v>0</v>
      </c>
      <c r="J118" s="254">
        <f t="shared" si="127"/>
        <v>292</v>
      </c>
      <c r="K118" s="254">
        <f t="shared" si="127"/>
        <v>417</v>
      </c>
      <c r="L118" s="254">
        <f t="shared" si="127"/>
        <v>441</v>
      </c>
      <c r="M118" s="254">
        <f t="shared" si="127"/>
        <v>540</v>
      </c>
      <c r="N118" s="254">
        <f t="shared" si="127"/>
        <v>777</v>
      </c>
      <c r="O118" s="254">
        <f t="shared" si="127"/>
        <v>872</v>
      </c>
      <c r="P118" s="254">
        <f t="shared" si="127"/>
        <v>1040</v>
      </c>
      <c r="Q118" s="254">
        <f t="shared" si="127"/>
        <v>1187</v>
      </c>
      <c r="R118" s="254">
        <f t="shared" ref="R118" si="128">+R94</f>
        <v>1514</v>
      </c>
      <c r="S118" s="287">
        <f t="shared" si="127"/>
        <v>1400</v>
      </c>
      <c r="T118" s="287">
        <f t="shared" si="127"/>
        <v>1300</v>
      </c>
      <c r="U118" s="255"/>
      <c r="V118" s="254">
        <f>+V94</f>
        <v>0</v>
      </c>
      <c r="W118" s="254">
        <f>+W94</f>
        <v>0</v>
      </c>
      <c r="X118" s="254">
        <f t="shared" si="126"/>
        <v>96</v>
      </c>
      <c r="Y118" s="254">
        <f t="shared" si="126"/>
        <v>1150</v>
      </c>
      <c r="Z118" s="254">
        <f t="shared" si="126"/>
        <v>3229</v>
      </c>
      <c r="AA118" s="254">
        <f t="shared" si="126"/>
        <v>5401</v>
      </c>
      <c r="AB118" s="287">
        <f>+AB94</f>
        <v>5401</v>
      </c>
      <c r="AC118" s="287">
        <f>+AC94</f>
        <v>5501</v>
      </c>
      <c r="AD118" s="287">
        <f>+AD94</f>
        <v>5601</v>
      </c>
    </row>
    <row r="119" spans="2:30" ht="11.25" customHeight="1">
      <c r="C119" s="639" t="s">
        <v>1076</v>
      </c>
      <c r="E119" s="287">
        <f>+'DAL Financials'!E59-E284</f>
        <v>35</v>
      </c>
      <c r="F119" s="287">
        <f>+'DAL Financials'!F59-F284</f>
        <v>42</v>
      </c>
      <c r="G119" s="287">
        <f>+'DAL Financials'!G59-G284</f>
        <v>42</v>
      </c>
      <c r="H119" s="287">
        <f>+'DAL Financials'!H59-H284</f>
        <v>49</v>
      </c>
      <c r="I119" s="287">
        <f>+'DAL Financials'!I59-I284</f>
        <v>0</v>
      </c>
      <c r="J119" s="287">
        <f>+'DAL Financials'!J59-J284</f>
        <v>0</v>
      </c>
      <c r="K119" s="287">
        <f>+'DAL Financials'!K59-K284</f>
        <v>0</v>
      </c>
      <c r="L119" s="287">
        <f>+'DAL Financials'!L59-L284</f>
        <v>0</v>
      </c>
      <c r="M119" s="287">
        <f>+'DAL Financials'!M59-M284</f>
        <v>0</v>
      </c>
      <c r="N119" s="287">
        <f>+'DAL Financials'!N59-N284</f>
        <v>0</v>
      </c>
      <c r="O119" s="287">
        <f>+'DAL Financials'!O59-O284</f>
        <v>0</v>
      </c>
      <c r="P119" s="287">
        <f>+'DAL Financials'!P59-P284</f>
        <v>0</v>
      </c>
      <c r="Q119" s="287">
        <f>+'DAL Financials'!Q59-Q284</f>
        <v>0</v>
      </c>
      <c r="R119" s="287">
        <f ca="1">+'DAL Financials'!R59-R284</f>
        <v>0</v>
      </c>
      <c r="S119" s="287">
        <f ca="1">+'DAL Financials'!S59-S284</f>
        <v>0</v>
      </c>
      <c r="T119" s="287">
        <f ca="1">+'DAL Financials'!T59-T284</f>
        <v>0</v>
      </c>
      <c r="U119" s="255"/>
      <c r="V119" s="287">
        <f>+'DAL Financials'!V59-V284</f>
        <v>0</v>
      </c>
      <c r="W119" s="287">
        <f>+'DAL Financials'!W59-W284</f>
        <v>0</v>
      </c>
      <c r="X119" s="254">
        <f t="shared" si="126"/>
        <v>168</v>
      </c>
      <c r="Y119" s="254">
        <f t="shared" si="126"/>
        <v>0</v>
      </c>
      <c r="Z119" s="254">
        <f t="shared" si="126"/>
        <v>0</v>
      </c>
      <c r="AA119" s="254">
        <f t="shared" ca="1" si="126"/>
        <v>0</v>
      </c>
      <c r="AB119" s="287">
        <f>+'DAL Financials'!AB59-AB284</f>
        <v>0</v>
      </c>
      <c r="AC119" s="287">
        <f>+'DAL Financials'!AC59-AC284</f>
        <v>0</v>
      </c>
      <c r="AD119" s="287">
        <f>+'DAL Financials'!AD59-AD284</f>
        <v>0</v>
      </c>
    </row>
    <row r="120" spans="2:30" s="279" customFormat="1" ht="11.25" customHeight="1">
      <c r="C120" s="289" t="s">
        <v>1182</v>
      </c>
      <c r="E120" s="358">
        <f t="shared" ref="E120:Q120" si="129">E117-SUM(E118:E119)</f>
        <v>268</v>
      </c>
      <c r="F120" s="358">
        <f t="shared" si="129"/>
        <v>234</v>
      </c>
      <c r="G120" s="358">
        <f t="shared" si="129"/>
        <v>231</v>
      </c>
      <c r="H120" s="358">
        <f t="shared" si="129"/>
        <v>248</v>
      </c>
      <c r="I120" s="358">
        <f t="shared" si="129"/>
        <v>219</v>
      </c>
      <c r="J120" s="358">
        <f t="shared" si="129"/>
        <v>109</v>
      </c>
      <c r="K120" s="358">
        <f t="shared" si="129"/>
        <v>144</v>
      </c>
      <c r="L120" s="358">
        <f t="shared" si="129"/>
        <v>163</v>
      </c>
      <c r="M120" s="358">
        <f t="shared" si="129"/>
        <v>166</v>
      </c>
      <c r="N120" s="358">
        <f t="shared" si="129"/>
        <v>162</v>
      </c>
      <c r="O120" s="358">
        <f t="shared" si="129"/>
        <v>207</v>
      </c>
      <c r="P120" s="358">
        <f t="shared" si="129"/>
        <v>193</v>
      </c>
      <c r="Q120" s="358">
        <f t="shared" si="129"/>
        <v>195</v>
      </c>
      <c r="R120" s="358">
        <f t="shared" ref="R120" ca="1" si="130">R117-SUM(R118:R119)</f>
        <v>204</v>
      </c>
      <c r="S120" s="357">
        <f>+S238</f>
        <v>208.03118042498878</v>
      </c>
      <c r="T120" s="357">
        <f>+T238</f>
        <v>199.22983608654928</v>
      </c>
      <c r="U120" s="283"/>
      <c r="V120" s="358">
        <f>V117-SUM(V118:V119)</f>
        <v>1495</v>
      </c>
      <c r="W120" s="358">
        <f>W117-SUM(W118:W119)</f>
        <v>1695</v>
      </c>
      <c r="X120" s="358">
        <f>+X117-SUM(X118:X119)</f>
        <v>981</v>
      </c>
      <c r="Y120" s="358">
        <f>+Y117-SUM(Y118:Y119)</f>
        <v>635</v>
      </c>
      <c r="Z120" s="358">
        <f>+Z117-SUM(Z118:Z119)</f>
        <v>728</v>
      </c>
      <c r="AA120" s="358">
        <f ca="1">+AA117-SUM(AA118:AA119)</f>
        <v>806.2610165115384</v>
      </c>
      <c r="AB120" s="357">
        <f>+AB238</f>
        <v>843.63985791303276</v>
      </c>
      <c r="AC120" s="357">
        <f>+AC238</f>
        <v>898.94143632476857</v>
      </c>
      <c r="AD120" s="357">
        <f>+AD238</f>
        <v>913.71843043408467</v>
      </c>
    </row>
    <row r="121" spans="2:30" ht="11.25" customHeight="1">
      <c r="O121" s="255"/>
      <c r="U121" s="255"/>
      <c r="Z121" s="383"/>
    </row>
    <row r="123" spans="2:30" s="255" customFormat="1" ht="11.25" customHeight="1">
      <c r="B123" s="258" t="s">
        <v>133</v>
      </c>
      <c r="C123" s="259" t="s">
        <v>996</v>
      </c>
      <c r="D123" s="259"/>
      <c r="E123" s="258"/>
      <c r="F123" s="258"/>
      <c r="G123" s="258"/>
      <c r="H123" s="258"/>
      <c r="I123" s="258"/>
      <c r="J123" s="258"/>
      <c r="K123" s="258"/>
      <c r="L123" s="258"/>
      <c r="M123" s="258"/>
      <c r="N123" s="258"/>
      <c r="O123" s="258"/>
      <c r="P123" s="258"/>
      <c r="Q123" s="258"/>
      <c r="R123" s="258"/>
      <c r="S123" s="258"/>
      <c r="T123" s="258"/>
      <c r="V123" s="258"/>
      <c r="W123" s="258"/>
      <c r="X123" s="258"/>
      <c r="Y123" s="258"/>
      <c r="Z123" s="258"/>
      <c r="AA123" s="258"/>
      <c r="AB123" s="258"/>
      <c r="AC123" s="258"/>
      <c r="AD123" s="258"/>
    </row>
    <row r="124" spans="2:30" ht="11.25" customHeight="1" thickBot="1">
      <c r="E124" s="257"/>
      <c r="U124" s="255"/>
    </row>
    <row r="125" spans="2:30" ht="11.25" customHeight="1">
      <c r="B125" s="508"/>
      <c r="C125" s="581" t="s">
        <v>268</v>
      </c>
      <c r="D125" s="473"/>
      <c r="E125" s="473"/>
      <c r="F125" s="473"/>
      <c r="G125" s="473"/>
      <c r="H125" s="473"/>
      <c r="I125" s="473"/>
      <c r="J125" s="473"/>
      <c r="K125" s="473"/>
      <c r="L125" s="473"/>
      <c r="M125" s="473"/>
      <c r="N125" s="473"/>
      <c r="O125" s="473"/>
      <c r="P125" s="473"/>
      <c r="Q125" s="473"/>
      <c r="R125" s="473"/>
      <c r="S125" s="473"/>
      <c r="T125" s="473"/>
      <c r="U125" s="562"/>
      <c r="V125" s="473"/>
      <c r="W125" s="473"/>
      <c r="X125" s="473"/>
      <c r="Y125" s="473"/>
      <c r="Z125" s="473"/>
      <c r="AA125" s="473"/>
      <c r="AB125" s="473"/>
      <c r="AC125" s="473"/>
      <c r="AD125" s="474"/>
    </row>
    <row r="126" spans="2:30" ht="11.25" customHeight="1">
      <c r="B126" s="425"/>
      <c r="C126" s="253" t="s">
        <v>396</v>
      </c>
      <c r="E126" s="277">
        <v>6713</v>
      </c>
      <c r="F126" s="277">
        <v>8071</v>
      </c>
      <c r="G126" s="277">
        <v>7971</v>
      </c>
      <c r="H126" s="277">
        <v>7612</v>
      </c>
      <c r="I126" s="277">
        <v>5601</v>
      </c>
      <c r="J126" s="277">
        <v>564</v>
      </c>
      <c r="K126" s="277">
        <v>1647</v>
      </c>
      <c r="L126" s="277">
        <v>2229</v>
      </c>
      <c r="M126" s="277">
        <v>2280</v>
      </c>
      <c r="N126" s="277">
        <v>4478</v>
      </c>
      <c r="O126" s="277">
        <v>5759</v>
      </c>
      <c r="P126" s="277">
        <v>5951</v>
      </c>
      <c r="Q126" s="277">
        <v>5563</v>
      </c>
      <c r="R126" s="277">
        <v>8318</v>
      </c>
      <c r="S126" s="255">
        <f>S187*S201*10</f>
        <v>8475.7434613426904</v>
      </c>
      <c r="T126" s="255">
        <f t="shared" ref="S126:T129" si="131">T187*T201*10</f>
        <v>8108.2894276845445</v>
      </c>
      <c r="U126" s="255"/>
      <c r="V126" s="277">
        <v>26079</v>
      </c>
      <c r="W126" s="277">
        <v>28159</v>
      </c>
      <c r="X126" s="254">
        <f t="shared" ref="X126:AA129" si="132">SUMIF($E$5:$T$5,X$5,$E126:$T126)</f>
        <v>30367</v>
      </c>
      <c r="Y126" s="254">
        <f t="shared" si="132"/>
        <v>10041</v>
      </c>
      <c r="Z126" s="254">
        <f t="shared" si="132"/>
        <v>18468</v>
      </c>
      <c r="AA126" s="254">
        <f t="shared" si="132"/>
        <v>30465.032889027232</v>
      </c>
      <c r="AB126" s="255">
        <f t="shared" ref="AB126:AD129" si="133">AB187*AB201*10</f>
        <v>32880.174076945834</v>
      </c>
      <c r="AC126" s="255">
        <f t="shared" si="133"/>
        <v>34780.322833126251</v>
      </c>
      <c r="AD126" s="504">
        <f t="shared" si="133"/>
        <v>35819.734779863356</v>
      </c>
    </row>
    <row r="127" spans="2:30" ht="11.25" customHeight="1">
      <c r="B127" s="425"/>
      <c r="C127" s="253" t="s">
        <v>397</v>
      </c>
      <c r="E127" s="277">
        <v>855</v>
      </c>
      <c r="F127" s="277">
        <v>760</v>
      </c>
      <c r="G127" s="277">
        <v>683</v>
      </c>
      <c r="H127" s="277">
        <v>703</v>
      </c>
      <c r="I127" s="277">
        <v>765</v>
      </c>
      <c r="J127" s="277">
        <v>18</v>
      </c>
      <c r="K127" s="277">
        <v>97</v>
      </c>
      <c r="L127" s="277">
        <v>234</v>
      </c>
      <c r="M127" s="277">
        <v>264</v>
      </c>
      <c r="N127" s="277">
        <v>485</v>
      </c>
      <c r="O127" s="277">
        <v>564</v>
      </c>
      <c r="P127" s="277">
        <v>560</v>
      </c>
      <c r="Q127" s="277">
        <v>680</v>
      </c>
      <c r="R127" s="277">
        <v>745</v>
      </c>
      <c r="S127" s="255">
        <f>S188*S202*10</f>
        <v>703.48605177234379</v>
      </c>
      <c r="T127" s="255">
        <f t="shared" si="131"/>
        <v>718.33184529651646</v>
      </c>
      <c r="U127" s="255"/>
      <c r="V127" s="277">
        <v>5537</v>
      </c>
      <c r="W127" s="277">
        <v>6165</v>
      </c>
      <c r="X127" s="254">
        <f t="shared" ref="X127:AA128" si="134">SUMIF($E$5:$T$5,X$5,$E127:$T127)</f>
        <v>3001</v>
      </c>
      <c r="Y127" s="254">
        <f t="shared" si="134"/>
        <v>1114</v>
      </c>
      <c r="Z127" s="254">
        <f t="shared" si="134"/>
        <v>1873</v>
      </c>
      <c r="AA127" s="254">
        <f t="shared" si="134"/>
        <v>2846.81789706886</v>
      </c>
      <c r="AB127" s="255">
        <f t="shared" si="133"/>
        <v>3170.9795434197617</v>
      </c>
      <c r="AC127" s="255">
        <f t="shared" si="133"/>
        <v>3333.3527990195312</v>
      </c>
      <c r="AD127" s="504">
        <f t="shared" si="133"/>
        <v>3523.8301018206471</v>
      </c>
    </row>
    <row r="128" spans="2:30" ht="11.25" customHeight="1">
      <c r="B128" s="425"/>
      <c r="C128" s="253" t="s">
        <v>398</v>
      </c>
      <c r="E128" s="277">
        <v>1103</v>
      </c>
      <c r="F128" s="277">
        <v>1880</v>
      </c>
      <c r="G128" s="277">
        <v>2060</v>
      </c>
      <c r="H128" s="277">
        <v>1338</v>
      </c>
      <c r="I128" s="277">
        <v>818</v>
      </c>
      <c r="J128" s="277">
        <v>64</v>
      </c>
      <c r="K128" s="277">
        <v>132</v>
      </c>
      <c r="L128" s="277">
        <v>157</v>
      </c>
      <c r="M128" s="277">
        <v>142</v>
      </c>
      <c r="N128" s="277">
        <v>288</v>
      </c>
      <c r="O128" s="277">
        <v>730</v>
      </c>
      <c r="P128" s="277">
        <v>617</v>
      </c>
      <c r="Q128" s="277">
        <v>539</v>
      </c>
      <c r="R128" s="277">
        <v>1701</v>
      </c>
      <c r="S128" s="255">
        <f>S189*S203*10</f>
        <v>1998.5855243120523</v>
      </c>
      <c r="T128" s="255">
        <f t="shared" si="131"/>
        <v>1385.2790276789312</v>
      </c>
      <c r="U128" s="255"/>
      <c r="V128" s="277">
        <v>2862</v>
      </c>
      <c r="W128" s="277">
        <v>2888</v>
      </c>
      <c r="X128" s="254">
        <f t="shared" si="134"/>
        <v>6381</v>
      </c>
      <c r="Y128" s="254">
        <f t="shared" si="134"/>
        <v>1171</v>
      </c>
      <c r="Z128" s="254">
        <f t="shared" si="134"/>
        <v>1777</v>
      </c>
      <c r="AA128" s="254">
        <f t="shared" si="134"/>
        <v>5623.8645519909833</v>
      </c>
      <c r="AB128" s="255">
        <f t="shared" si="133"/>
        <v>6907.2530219838145</v>
      </c>
      <c r="AC128" s="255">
        <f t="shared" si="133"/>
        <v>6826.9361263793517</v>
      </c>
      <c r="AD128" s="504">
        <f t="shared" si="133"/>
        <v>6826.9361263793517</v>
      </c>
    </row>
    <row r="129" spans="2:30" ht="11.25" customHeight="1">
      <c r="B129" s="425"/>
      <c r="C129" s="253" t="s">
        <v>399</v>
      </c>
      <c r="E129" s="277">
        <v>583</v>
      </c>
      <c r="F129" s="277">
        <v>657</v>
      </c>
      <c r="G129" s="277">
        <v>696</v>
      </c>
      <c r="H129" s="277">
        <v>591</v>
      </c>
      <c r="I129" s="277">
        <v>385</v>
      </c>
      <c r="J129" s="277">
        <v>32</v>
      </c>
      <c r="K129" s="277">
        <v>62</v>
      </c>
      <c r="L129" s="277">
        <v>78</v>
      </c>
      <c r="M129" s="277">
        <v>62</v>
      </c>
      <c r="N129" s="277">
        <v>88</v>
      </c>
      <c r="O129" s="277">
        <v>138</v>
      </c>
      <c r="P129" s="277">
        <v>113</v>
      </c>
      <c r="Q129" s="277">
        <v>125</v>
      </c>
      <c r="R129" s="277">
        <v>194</v>
      </c>
      <c r="S129" s="255">
        <f t="shared" si="131"/>
        <v>231.99092551532726</v>
      </c>
      <c r="T129" s="255">
        <f t="shared" si="131"/>
        <v>274.71210472028793</v>
      </c>
      <c r="U129" s="255"/>
      <c r="V129" s="277">
        <v>2469</v>
      </c>
      <c r="W129" s="277">
        <v>2543</v>
      </c>
      <c r="X129" s="254">
        <f t="shared" si="132"/>
        <v>2527</v>
      </c>
      <c r="Y129" s="254">
        <f t="shared" si="132"/>
        <v>557</v>
      </c>
      <c r="Z129" s="254">
        <f t="shared" si="132"/>
        <v>401</v>
      </c>
      <c r="AA129" s="254">
        <f t="shared" si="132"/>
        <v>825.70303023561519</v>
      </c>
      <c r="AB129" s="255">
        <f t="shared" si="133"/>
        <v>1623.6300445926786</v>
      </c>
      <c r="AC129" s="255">
        <f>AC190*AC204*10</f>
        <v>3317.951</v>
      </c>
      <c r="AD129" s="504">
        <f t="shared" si="133"/>
        <v>3446.4224009739924</v>
      </c>
    </row>
    <row r="130" spans="2:30" s="279" customFormat="1" ht="11.25" customHeight="1">
      <c r="B130" s="576"/>
      <c r="C130" s="289" t="s">
        <v>392</v>
      </c>
      <c r="E130" s="358">
        <f t="shared" ref="E130:T130" si="135">SUM(E126:E129)</f>
        <v>9254</v>
      </c>
      <c r="F130" s="358">
        <f t="shared" si="135"/>
        <v>11368</v>
      </c>
      <c r="G130" s="358">
        <f t="shared" si="135"/>
        <v>11410</v>
      </c>
      <c r="H130" s="358">
        <f t="shared" si="135"/>
        <v>10244</v>
      </c>
      <c r="I130" s="358">
        <f t="shared" si="135"/>
        <v>7569</v>
      </c>
      <c r="J130" s="358">
        <f t="shared" si="135"/>
        <v>678</v>
      </c>
      <c r="K130" s="358">
        <f t="shared" si="135"/>
        <v>1938</v>
      </c>
      <c r="L130" s="358">
        <f t="shared" si="135"/>
        <v>2698</v>
      </c>
      <c r="M130" s="358">
        <f t="shared" si="135"/>
        <v>2748</v>
      </c>
      <c r="N130" s="358">
        <f t="shared" si="135"/>
        <v>5339</v>
      </c>
      <c r="O130" s="358">
        <f t="shared" si="135"/>
        <v>7191</v>
      </c>
      <c r="P130" s="358">
        <f t="shared" si="135"/>
        <v>7241</v>
      </c>
      <c r="Q130" s="358">
        <f t="shared" si="135"/>
        <v>6907</v>
      </c>
      <c r="R130" s="358">
        <f t="shared" si="135"/>
        <v>10958</v>
      </c>
      <c r="S130" s="358">
        <f t="shared" si="135"/>
        <v>11409.805962942415</v>
      </c>
      <c r="T130" s="358">
        <f t="shared" si="135"/>
        <v>10486.61240538028</v>
      </c>
      <c r="U130" s="255"/>
      <c r="V130" s="358">
        <f t="shared" ref="V130:AD130" si="136">SUM(V126:V129)</f>
        <v>36947</v>
      </c>
      <c r="W130" s="358">
        <f t="shared" si="136"/>
        <v>39755</v>
      </c>
      <c r="X130" s="358">
        <f t="shared" si="136"/>
        <v>42276</v>
      </c>
      <c r="Y130" s="358">
        <f t="shared" si="136"/>
        <v>12883</v>
      </c>
      <c r="Z130" s="358">
        <f t="shared" si="136"/>
        <v>22519</v>
      </c>
      <c r="AA130" s="358">
        <f t="shared" si="136"/>
        <v>39761.418368322687</v>
      </c>
      <c r="AB130" s="358">
        <f t="shared" si="136"/>
        <v>44582.036686942083</v>
      </c>
      <c r="AC130" s="358">
        <f t="shared" si="136"/>
        <v>48258.562758525135</v>
      </c>
      <c r="AD130" s="518">
        <f t="shared" si="136"/>
        <v>49616.92340903735</v>
      </c>
    </row>
    <row r="131" spans="2:30" ht="11.25" customHeight="1">
      <c r="B131" s="425"/>
      <c r="U131" s="255"/>
      <c r="AD131" s="426"/>
    </row>
    <row r="132" spans="2:30" ht="11.25" customHeight="1">
      <c r="B132" s="425"/>
      <c r="C132" s="1227" t="s">
        <v>1863</v>
      </c>
      <c r="D132" s="864"/>
      <c r="E132" s="864"/>
      <c r="F132" s="864"/>
      <c r="G132" s="864"/>
      <c r="H132" s="864"/>
      <c r="I132" s="864"/>
      <c r="J132" s="864"/>
      <c r="K132" s="864"/>
      <c r="L132" s="864"/>
      <c r="M132" s="864"/>
      <c r="N132" s="864"/>
      <c r="O132" s="864"/>
      <c r="P132" s="864"/>
      <c r="Q132" s="864"/>
      <c r="R132" s="864"/>
      <c r="S132" s="864"/>
      <c r="T132" s="864"/>
      <c r="U132" s="255"/>
      <c r="V132" s="864"/>
      <c r="W132" s="864"/>
      <c r="X132" s="864"/>
      <c r="Y132" s="864"/>
      <c r="Z132" s="864"/>
      <c r="AA132" s="864"/>
      <c r="AB132" s="864"/>
      <c r="AC132" s="864"/>
      <c r="AD132" s="1110"/>
    </row>
    <row r="133" spans="2:30" ht="11.25" customHeight="1">
      <c r="B133" s="425"/>
      <c r="C133" s="864" t="s">
        <v>396</v>
      </c>
      <c r="D133" s="864"/>
      <c r="E133" s="864"/>
      <c r="F133" s="864"/>
      <c r="G133" s="864"/>
      <c r="H133" s="864"/>
      <c r="I133" s="864"/>
      <c r="J133" s="864"/>
      <c r="K133" s="864"/>
      <c r="L133" s="864"/>
      <c r="M133" s="1228">
        <f>M126/E126</f>
        <v>0.33963950543721139</v>
      </c>
      <c r="N133" s="1228">
        <f t="shared" ref="N133:P133" si="137">N126/F126</f>
        <v>0.55482591996035191</v>
      </c>
      <c r="O133" s="1228">
        <f t="shared" si="137"/>
        <v>0.7224940408982562</v>
      </c>
      <c r="P133" s="1228">
        <f t="shared" si="137"/>
        <v>0.78179190751445082</v>
      </c>
      <c r="Q133" s="1228">
        <f>Q126/E126</f>
        <v>0.82869060032772235</v>
      </c>
      <c r="R133" s="1228">
        <f t="shared" ref="R133:T133" si="138">R126/F126</f>
        <v>1.030603394870524</v>
      </c>
      <c r="S133" s="1228">
        <f t="shared" si="138"/>
        <v>1.0633224766456768</v>
      </c>
      <c r="T133" s="1228">
        <f t="shared" si="138"/>
        <v>1.0651982958072181</v>
      </c>
      <c r="U133" s="255"/>
      <c r="V133" s="864"/>
      <c r="W133" s="864"/>
      <c r="X133" s="864"/>
      <c r="Y133" s="864"/>
      <c r="Z133" s="1228">
        <f>Z126/$X126</f>
        <v>0.60816017387295418</v>
      </c>
      <c r="AA133" s="1228">
        <f t="shared" ref="AA133:AD133" si="139">AA126/$X126</f>
        <v>1.0032282704589599</v>
      </c>
      <c r="AB133" s="1228">
        <f t="shared" si="139"/>
        <v>1.0827600380987861</v>
      </c>
      <c r="AC133" s="1228">
        <f t="shared" si="139"/>
        <v>1.1453328558344997</v>
      </c>
      <c r="AD133" s="1229">
        <f t="shared" si="139"/>
        <v>1.1795611940548409</v>
      </c>
    </row>
    <row r="134" spans="2:30" ht="11.25" customHeight="1">
      <c r="B134" s="425"/>
      <c r="C134" s="864" t="s">
        <v>397</v>
      </c>
      <c r="D134" s="864"/>
      <c r="E134" s="864"/>
      <c r="F134" s="864"/>
      <c r="G134" s="864"/>
      <c r="H134" s="864"/>
      <c r="I134" s="864"/>
      <c r="J134" s="864"/>
      <c r="K134" s="864"/>
      <c r="L134" s="864"/>
      <c r="M134" s="1228">
        <f t="shared" ref="M134:M136" si="140">M127/E127</f>
        <v>0.30877192982456142</v>
      </c>
      <c r="N134" s="1228">
        <f t="shared" ref="N134:N136" si="141">N127/F127</f>
        <v>0.63815789473684215</v>
      </c>
      <c r="O134" s="1228">
        <f t="shared" ref="O134:O136" si="142">O127/G127</f>
        <v>0.82576866764275259</v>
      </c>
      <c r="P134" s="1228">
        <f t="shared" ref="P134:P136" si="143">P127/H127</f>
        <v>0.79658605974395447</v>
      </c>
      <c r="Q134" s="1228">
        <f t="shared" ref="Q134:Q136" si="144">Q127/E127</f>
        <v>0.79532163742690054</v>
      </c>
      <c r="R134" s="1228">
        <f t="shared" ref="R134:R136" si="145">R127/F127</f>
        <v>0.98026315789473684</v>
      </c>
      <c r="S134" s="1228">
        <f t="shared" ref="S134:S136" si="146">S127/G127</f>
        <v>1.0299942192860085</v>
      </c>
      <c r="T134" s="1228">
        <f t="shared" ref="T134:T136" si="147">T127/H127</f>
        <v>1.0218091682738499</v>
      </c>
      <c r="U134" s="255"/>
      <c r="V134" s="864"/>
      <c r="W134" s="864"/>
      <c r="X134" s="864"/>
      <c r="Y134" s="864"/>
      <c r="Z134" s="1228">
        <f t="shared" ref="Z134:AD137" si="148">Z127/$X127</f>
        <v>0.62412529156947683</v>
      </c>
      <c r="AA134" s="1228">
        <f t="shared" si="148"/>
        <v>0.94862309132584477</v>
      </c>
      <c r="AB134" s="1228">
        <f t="shared" si="148"/>
        <v>1.0566409674840926</v>
      </c>
      <c r="AC134" s="1228">
        <f t="shared" si="148"/>
        <v>1.110747350556325</v>
      </c>
      <c r="AD134" s="1229">
        <f t="shared" si="148"/>
        <v>1.1742186277309721</v>
      </c>
    </row>
    <row r="135" spans="2:30" ht="11.25" customHeight="1">
      <c r="B135" s="425"/>
      <c r="C135" s="864" t="s">
        <v>398</v>
      </c>
      <c r="D135" s="864"/>
      <c r="E135" s="864"/>
      <c r="F135" s="864"/>
      <c r="G135" s="864"/>
      <c r="H135" s="864"/>
      <c r="I135" s="864"/>
      <c r="J135" s="864"/>
      <c r="K135" s="864"/>
      <c r="L135" s="864"/>
      <c r="M135" s="1228">
        <f t="shared" si="140"/>
        <v>0.12873980054397099</v>
      </c>
      <c r="N135" s="1228">
        <f t="shared" si="141"/>
        <v>0.15319148936170213</v>
      </c>
      <c r="O135" s="1228">
        <f t="shared" si="142"/>
        <v>0.35436893203883496</v>
      </c>
      <c r="P135" s="1228">
        <f t="shared" si="143"/>
        <v>0.46113602391629299</v>
      </c>
      <c r="Q135" s="1228">
        <f t="shared" si="144"/>
        <v>0.48866727107887581</v>
      </c>
      <c r="R135" s="1228">
        <f t="shared" si="145"/>
        <v>0.90478723404255323</v>
      </c>
      <c r="S135" s="1228">
        <f t="shared" si="146"/>
        <v>0.97018714772429726</v>
      </c>
      <c r="T135" s="1228">
        <f t="shared" si="147"/>
        <v>1.0353355961725943</v>
      </c>
      <c r="U135" s="255"/>
      <c r="V135" s="864"/>
      <c r="W135" s="864"/>
      <c r="X135" s="864"/>
      <c r="Y135" s="864"/>
      <c r="Z135" s="1228">
        <f t="shared" si="148"/>
        <v>0.2784829963955493</v>
      </c>
      <c r="AA135" s="1228">
        <f t="shared" si="148"/>
        <v>0.8813453301976153</v>
      </c>
      <c r="AB135" s="1228">
        <f t="shared" si="148"/>
        <v>1.0824718730581122</v>
      </c>
      <c r="AC135" s="1228">
        <f t="shared" si="148"/>
        <v>1.0698849908132506</v>
      </c>
      <c r="AD135" s="1229">
        <f t="shared" si="148"/>
        <v>1.0698849908132506</v>
      </c>
    </row>
    <row r="136" spans="2:30" ht="11.25" customHeight="1">
      <c r="B136" s="425"/>
      <c r="C136" s="864" t="s">
        <v>399</v>
      </c>
      <c r="D136" s="864"/>
      <c r="E136" s="864"/>
      <c r="F136" s="864"/>
      <c r="G136" s="864"/>
      <c r="H136" s="864"/>
      <c r="I136" s="864"/>
      <c r="J136" s="864"/>
      <c r="K136" s="864"/>
      <c r="L136" s="864"/>
      <c r="M136" s="1228">
        <f t="shared" si="140"/>
        <v>0.10634648370497427</v>
      </c>
      <c r="N136" s="1228">
        <f t="shared" si="141"/>
        <v>0.13394216133942161</v>
      </c>
      <c r="O136" s="1228">
        <f t="shared" si="142"/>
        <v>0.19827586206896552</v>
      </c>
      <c r="P136" s="1228">
        <f t="shared" si="143"/>
        <v>0.19120135363790186</v>
      </c>
      <c r="Q136" s="1228">
        <f t="shared" si="144"/>
        <v>0.21440823327615779</v>
      </c>
      <c r="R136" s="1228">
        <f t="shared" si="145"/>
        <v>0.29528158295281581</v>
      </c>
      <c r="S136" s="1228">
        <f t="shared" si="146"/>
        <v>0.33332029528064261</v>
      </c>
      <c r="T136" s="1228">
        <f t="shared" si="147"/>
        <v>0.46482589631182392</v>
      </c>
      <c r="U136" s="255"/>
      <c r="V136" s="864"/>
      <c r="W136" s="864"/>
      <c r="X136" s="864"/>
      <c r="Y136" s="864"/>
      <c r="Z136" s="1228">
        <f t="shared" si="148"/>
        <v>0.15868618915710328</v>
      </c>
      <c r="AA136" s="1228">
        <f t="shared" si="148"/>
        <v>0.32675228739042944</v>
      </c>
      <c r="AB136" s="1228">
        <f t="shared" si="148"/>
        <v>0.64251287874660812</v>
      </c>
      <c r="AC136" s="1228">
        <f t="shared" si="148"/>
        <v>1.3129999999999999</v>
      </c>
      <c r="AD136" s="1229">
        <f t="shared" si="148"/>
        <v>1.3638394938559526</v>
      </c>
    </row>
    <row r="137" spans="2:30" s="279" customFormat="1" ht="11.25" customHeight="1">
      <c r="B137" s="576"/>
      <c r="C137" s="1230" t="s">
        <v>47</v>
      </c>
      <c r="D137" s="1109"/>
      <c r="E137" s="1109"/>
      <c r="F137" s="1109"/>
      <c r="G137" s="1109"/>
      <c r="H137" s="1109"/>
      <c r="I137" s="1109"/>
      <c r="J137" s="1109"/>
      <c r="K137" s="1109"/>
      <c r="L137" s="1109"/>
      <c r="M137" s="1231">
        <f t="shared" ref="M137" si="149">M130/E130</f>
        <v>0.29695266911605794</v>
      </c>
      <c r="N137" s="1231">
        <f t="shared" ref="N137" si="150">N130/F130</f>
        <v>0.46965165376495427</v>
      </c>
      <c r="O137" s="1231">
        <f t="shared" ref="O137" si="151">O130/G130</f>
        <v>0.630236634531113</v>
      </c>
      <c r="P137" s="1231">
        <f t="shared" ref="P137" si="152">P130/H130</f>
        <v>0.70685279187817263</v>
      </c>
      <c r="Q137" s="1231">
        <f t="shared" ref="Q137" si="153">Q130/E130</f>
        <v>0.74637994380808304</v>
      </c>
      <c r="R137" s="1231">
        <f t="shared" ref="R137" si="154">R130/F130</f>
        <v>0.96393384940182969</v>
      </c>
      <c r="S137" s="1231">
        <f t="shared" ref="S137" si="155">S130/G130</f>
        <v>0.99998299412291103</v>
      </c>
      <c r="T137" s="1231">
        <f t="shared" ref="T137" si="156">T130/H130</f>
        <v>1.0236833663979188</v>
      </c>
      <c r="U137" s="283"/>
      <c r="V137" s="1109"/>
      <c r="W137" s="1109"/>
      <c r="X137" s="1109"/>
      <c r="Y137" s="1109"/>
      <c r="Z137" s="1231">
        <f t="shared" si="148"/>
        <v>0.53266628820134354</v>
      </c>
      <c r="AA137" s="1231">
        <f t="shared" si="148"/>
        <v>0.94051987814179883</v>
      </c>
      <c r="AB137" s="1231">
        <f t="shared" si="148"/>
        <v>1.054547182489878</v>
      </c>
      <c r="AC137" s="1231">
        <f t="shared" si="148"/>
        <v>1.1415120342162253</v>
      </c>
      <c r="AD137" s="1232">
        <f t="shared" si="148"/>
        <v>1.173642809372631</v>
      </c>
    </row>
    <row r="138" spans="2:30" ht="11.25" customHeight="1">
      <c r="B138" s="425"/>
      <c r="U138" s="255"/>
      <c r="AD138" s="426"/>
    </row>
    <row r="139" spans="2:30" s="278" customFormat="1" ht="11.25" customHeight="1">
      <c r="B139" s="573"/>
      <c r="C139" s="587" t="s">
        <v>588</v>
      </c>
      <c r="D139" s="486"/>
      <c r="E139" s="486"/>
      <c r="F139" s="486"/>
      <c r="G139" s="486"/>
      <c r="H139" s="486"/>
      <c r="I139" s="519"/>
      <c r="J139" s="519"/>
      <c r="K139" s="519"/>
      <c r="L139" s="519"/>
      <c r="M139" s="519"/>
      <c r="N139" s="519"/>
      <c r="O139" s="519"/>
      <c r="P139" s="519"/>
      <c r="Q139" s="519"/>
      <c r="R139" s="519"/>
      <c r="S139" s="519"/>
      <c r="T139" s="519"/>
      <c r="U139" s="255"/>
      <c r="V139" s="486"/>
      <c r="W139" s="486"/>
      <c r="X139" s="486"/>
      <c r="Y139" s="486"/>
      <c r="Z139" s="486"/>
      <c r="AA139" s="486"/>
      <c r="AB139" s="486"/>
      <c r="AC139" s="486"/>
      <c r="AD139" s="520"/>
    </row>
    <row r="140" spans="2:30" s="278" customFormat="1" ht="11.25" customHeight="1">
      <c r="B140" s="573"/>
      <c r="C140" s="487" t="s">
        <v>592</v>
      </c>
      <c r="D140" s="486"/>
      <c r="E140" s="486"/>
      <c r="F140" s="486"/>
      <c r="G140" s="486"/>
      <c r="H140" s="486"/>
      <c r="I140" s="487">
        <f>I177</f>
        <v>-5.6572032812099438E-2</v>
      </c>
      <c r="J140" s="487">
        <f t="shared" ref="J140:T140" si="157">J177</f>
        <v>-0.85232879003261142</v>
      </c>
      <c r="K140" s="487">
        <f t="shared" si="157"/>
        <v>-0.62649520741464448</v>
      </c>
      <c r="L140" s="487">
        <f t="shared" si="157"/>
        <v>-0.44142176330420968</v>
      </c>
      <c r="M140" s="487">
        <f t="shared" si="157"/>
        <v>-0.35724814150217887</v>
      </c>
      <c r="N140" s="487">
        <f t="shared" si="157"/>
        <v>-0.32367533517295199</v>
      </c>
      <c r="O140" s="487">
        <f t="shared" si="157"/>
        <v>-0.28595759288109646</v>
      </c>
      <c r="P140" s="487">
        <f t="shared" si="157"/>
        <v>-0.20962913178957665</v>
      </c>
      <c r="Q140" s="487">
        <f t="shared" si="157"/>
        <v>-0.16992437836452179</v>
      </c>
      <c r="R140" s="487">
        <f t="shared" si="157"/>
        <v>-0.17909802937815322</v>
      </c>
      <c r="S140" s="487">
        <f t="shared" si="157"/>
        <v>-0.14231630416413621</v>
      </c>
      <c r="T140" s="487">
        <f t="shared" si="157"/>
        <v>-5.4886925585629576E-2</v>
      </c>
      <c r="U140" s="255"/>
      <c r="V140" s="486"/>
      <c r="W140" s="486"/>
      <c r="X140" s="486"/>
      <c r="Y140" s="487">
        <f t="shared" ref="Y140:AD140" si="158">Y177</f>
        <v>-0.51216500835209522</v>
      </c>
      <c r="Z140" s="487">
        <f t="shared" si="158"/>
        <v>-0.29379766141331976</v>
      </c>
      <c r="AA140" s="487">
        <f t="shared" si="158"/>
        <v>-0.13737257155290872</v>
      </c>
      <c r="AB140" s="487">
        <f t="shared" si="158"/>
        <v>1.1740550354419454E-2</v>
      </c>
      <c r="AC140" s="487">
        <f t="shared" si="158"/>
        <v>7.8061325567870155E-2</v>
      </c>
      <c r="AD140" s="521">
        <f t="shared" si="158"/>
        <v>9.578273122754033E-2</v>
      </c>
    </row>
    <row r="141" spans="2:30" s="278" customFormat="1" ht="11.25" customHeight="1">
      <c r="B141" s="573"/>
      <c r="C141" s="487" t="s">
        <v>602</v>
      </c>
      <c r="D141" s="486"/>
      <c r="E141" s="486"/>
      <c r="F141" s="486"/>
      <c r="G141" s="486"/>
      <c r="H141" s="486"/>
      <c r="I141" s="487">
        <f>(I184/E184)-1</f>
        <v>-0.1157141195455863</v>
      </c>
      <c r="J141" s="487">
        <f>(J184/F184)-1</f>
        <v>-0.61184857042604202</v>
      </c>
      <c r="K141" s="487">
        <f>(K184/G184)-1</f>
        <v>-0.53770585271051885</v>
      </c>
      <c r="L141" s="487">
        <f>(L184/H184)-1</f>
        <v>-0.51485846127771517</v>
      </c>
      <c r="M141" s="487">
        <f>(M184/E184)-1</f>
        <v>-0.45902155624652941</v>
      </c>
      <c r="N141" s="487">
        <f>(N184/F184)-1</f>
        <v>-0.22095627482387714</v>
      </c>
      <c r="O141" s="487">
        <f>(O184/G184)-1</f>
        <v>-9.813735594399231E-2</v>
      </c>
      <c r="P141" s="487">
        <f>(P184/H184)-1</f>
        <v>-8.7638774591854096E-2</v>
      </c>
      <c r="Q141" s="487">
        <f>(Q184/E184)-1</f>
        <v>-9.6765440624157928E-2</v>
      </c>
      <c r="R141" s="487">
        <f>(R184/F184)-1</f>
        <v>-6.5531776038224576E-3</v>
      </c>
      <c r="S141" s="487">
        <f>(S184/G184)-1</f>
        <v>-1.6084091979039039E-2</v>
      </c>
      <c r="T141" s="487">
        <f>(T184/H184)-1</f>
        <v>1.647251847028075E-3</v>
      </c>
      <c r="V141" s="486"/>
      <c r="W141" s="486"/>
      <c r="X141" s="486"/>
      <c r="Y141" s="487">
        <f t="shared" ref="Y141:AD141" si="159">(Y184/$X184)-1</f>
        <v>-0.36686612152800402</v>
      </c>
      <c r="Z141" s="487">
        <f t="shared" si="159"/>
        <v>-0.19754624897150264</v>
      </c>
      <c r="AA141" s="487">
        <f t="shared" si="159"/>
        <v>-2.6075218837676495E-2</v>
      </c>
      <c r="AB141" s="487">
        <f t="shared" si="159"/>
        <v>-1.0614906803887991E-2</v>
      </c>
      <c r="AC141" s="487">
        <f t="shared" si="159"/>
        <v>1.6787026887601364E-3</v>
      </c>
      <c r="AD141" s="521">
        <f t="shared" si="159"/>
        <v>9.3008978626960559E-3</v>
      </c>
    </row>
    <row r="142" spans="2:30" s="278" customFormat="1" ht="11.25" customHeight="1">
      <c r="B142" s="573"/>
      <c r="C142" s="486" t="s">
        <v>601</v>
      </c>
      <c r="D142" s="486"/>
      <c r="E142" s="486"/>
      <c r="F142" s="486"/>
      <c r="G142" s="486"/>
      <c r="H142" s="486"/>
      <c r="I142" s="487">
        <f>I212</f>
        <v>-1.9590359594000017E-2</v>
      </c>
      <c r="J142" s="487">
        <f t="shared" ref="J142:T142" si="160">J212</f>
        <v>4.0515623442189064E-2</v>
      </c>
      <c r="K142" s="487">
        <f t="shared" si="160"/>
        <v>-1.6320650550431637E-2</v>
      </c>
      <c r="L142" s="487">
        <f t="shared" si="160"/>
        <v>-2.8103756582809503E-2</v>
      </c>
      <c r="M142" s="487">
        <f t="shared" si="160"/>
        <v>-0.14598808102498551</v>
      </c>
      <c r="N142" s="487">
        <f t="shared" si="160"/>
        <v>-0.10862839347173014</v>
      </c>
      <c r="O142" s="487">
        <f t="shared" si="160"/>
        <v>-2.1323318902402022E-2</v>
      </c>
      <c r="P142" s="487">
        <f t="shared" si="160"/>
        <v>-1.9762679487395296E-2</v>
      </c>
      <c r="Q142" s="487">
        <f t="shared" si="160"/>
        <v>-4.4988744304440553E-3</v>
      </c>
      <c r="R142" s="487">
        <f t="shared" si="160"/>
        <v>0.18198321140281815</v>
      </c>
      <c r="S142" s="487">
        <f t="shared" si="160"/>
        <v>0.18497033346567004</v>
      </c>
      <c r="T142" s="487">
        <f t="shared" si="160"/>
        <v>8.1351959763204862E-2</v>
      </c>
      <c r="V142" s="486"/>
      <c r="W142" s="486"/>
      <c r="X142" s="486"/>
      <c r="Y142" s="487">
        <f t="shared" ref="Y142:AD142" si="161">Y212</f>
        <v>-1.3369319373813582E-2</v>
      </c>
      <c r="Z142" s="487">
        <f t="shared" si="161"/>
        <v>-6.0047193747992944E-2</v>
      </c>
      <c r="AA142" s="487">
        <f t="shared" si="161"/>
        <v>0.11948763083916303</v>
      </c>
      <c r="AB142" s="487">
        <f t="shared" si="161"/>
        <v>5.349261667743499E-2</v>
      </c>
      <c r="AC142" s="487">
        <f t="shared" si="161"/>
        <v>5.7081781255322372E-2</v>
      </c>
      <c r="AD142" s="521">
        <f t="shared" si="161"/>
        <v>6.1184335822696445E-2</v>
      </c>
    </row>
    <row r="143" spans="2:30" s="392" customFormat="1" ht="11.25" customHeight="1">
      <c r="B143" s="585"/>
      <c r="C143" s="489" t="s">
        <v>585</v>
      </c>
      <c r="D143" s="488"/>
      <c r="E143" s="522"/>
      <c r="F143" s="522"/>
      <c r="G143" s="522"/>
      <c r="H143" s="522"/>
      <c r="I143" s="490">
        <f t="shared" ref="I143:T143" si="162">(1+I142)*(1+I141)*(1+I140)-1</f>
        <v>-0.18208342338448236</v>
      </c>
      <c r="J143" s="490">
        <f t="shared" si="162"/>
        <v>-0.94035890218156226</v>
      </c>
      <c r="K143" s="490">
        <f t="shared" si="162"/>
        <v>-0.83014899211218229</v>
      </c>
      <c r="L143" s="490">
        <f t="shared" si="162"/>
        <v>-0.73662631784459187</v>
      </c>
      <c r="M143" s="490">
        <f t="shared" si="162"/>
        <v>-0.70304733088394211</v>
      </c>
      <c r="N143" s="490">
        <f t="shared" si="162"/>
        <v>-0.53034834623504579</v>
      </c>
      <c r="O143" s="490">
        <f t="shared" si="162"/>
        <v>-0.36976336546888688</v>
      </c>
      <c r="P143" s="490">
        <f t="shared" si="162"/>
        <v>-0.29314720812182737</v>
      </c>
      <c r="Q143" s="490">
        <f t="shared" si="162"/>
        <v>-0.25362005619191685</v>
      </c>
      <c r="R143" s="490">
        <f t="shared" si="162"/>
        <v>-3.6066150598170421E-2</v>
      </c>
      <c r="S143" s="490">
        <f t="shared" si="162"/>
        <v>-1.7005877088860366E-5</v>
      </c>
      <c r="T143" s="490">
        <f t="shared" si="162"/>
        <v>2.3683366397918793E-2</v>
      </c>
      <c r="V143" s="522"/>
      <c r="W143" s="522"/>
      <c r="X143" s="522"/>
      <c r="Y143" s="490">
        <f t="shared" ref="Y143:AD143" si="163">(1+Y142)*(1+Y141)*(1+Y140)-1</f>
        <v>-0.69526445264452641</v>
      </c>
      <c r="Z143" s="490">
        <f t="shared" si="163"/>
        <v>-0.46733371179865635</v>
      </c>
      <c r="AA143" s="490">
        <f t="shared" si="163"/>
        <v>-5.9480121858201063E-2</v>
      </c>
      <c r="AB143" s="490">
        <f t="shared" si="163"/>
        <v>5.4547182489877999E-2</v>
      </c>
      <c r="AC143" s="490">
        <f t="shared" si="163"/>
        <v>0.14151203421622505</v>
      </c>
      <c r="AD143" s="524">
        <f t="shared" si="163"/>
        <v>0.17364280937263099</v>
      </c>
    </row>
    <row r="144" spans="2:30" s="499" customFormat="1" ht="11.25" customHeight="1">
      <c r="B144" s="584"/>
      <c r="C144" s="588"/>
      <c r="E144" s="534"/>
      <c r="F144" s="534"/>
      <c r="G144" s="534"/>
      <c r="H144" s="534"/>
      <c r="I144" s="525"/>
      <c r="J144" s="525"/>
      <c r="K144" s="525"/>
      <c r="L144" s="525"/>
      <c r="M144" s="525"/>
      <c r="N144" s="525"/>
      <c r="O144" s="525"/>
      <c r="P144" s="525"/>
      <c r="Q144" s="525"/>
      <c r="R144" s="526"/>
      <c r="S144" s="525"/>
      <c r="T144" s="525"/>
      <c r="V144" s="534"/>
      <c r="W144" s="534"/>
      <c r="X144" s="534"/>
      <c r="Y144" s="525"/>
      <c r="Z144" s="525"/>
      <c r="AA144" s="525"/>
      <c r="AB144" s="525"/>
      <c r="AC144" s="525"/>
      <c r="AD144" s="673"/>
    </row>
    <row r="145" spans="2:30" ht="11.25" customHeight="1">
      <c r="B145" s="425"/>
      <c r="C145" s="589" t="s">
        <v>603</v>
      </c>
      <c r="D145" s="527"/>
      <c r="E145" s="527"/>
      <c r="F145" s="527"/>
      <c r="G145" s="527"/>
      <c r="H145" s="527"/>
      <c r="I145" s="527"/>
      <c r="J145" s="527"/>
      <c r="K145" s="527"/>
      <c r="L145" s="527"/>
      <c r="M145" s="527"/>
      <c r="N145" s="527"/>
      <c r="O145" s="527"/>
      <c r="P145" s="527"/>
      <c r="Q145" s="527"/>
      <c r="R145" s="527"/>
      <c r="S145" s="527"/>
      <c r="T145" s="527"/>
      <c r="V145" s="527"/>
      <c r="W145" s="527"/>
      <c r="X145" s="527"/>
      <c r="Y145" s="527"/>
      <c r="Z145" s="527"/>
      <c r="AA145" s="527"/>
      <c r="AB145" s="527"/>
      <c r="AC145" s="527"/>
      <c r="AD145" s="412"/>
    </row>
    <row r="146" spans="2:30" ht="11.25" customHeight="1">
      <c r="B146" s="425"/>
      <c r="C146" s="590" t="s">
        <v>592</v>
      </c>
      <c r="D146" s="527"/>
      <c r="E146" s="527"/>
      <c r="F146" s="527"/>
      <c r="G146" s="527"/>
      <c r="H146" s="527"/>
      <c r="I146" s="529">
        <f>I140*E$130</f>
        <v>-523.5175916431682</v>
      </c>
      <c r="J146" s="529">
        <f t="shared" ref="J146:L148" si="164">J140*F$130</f>
        <v>-9689.2736850907258</v>
      </c>
      <c r="K146" s="529">
        <f t="shared" si="164"/>
        <v>-7148.3103166010933</v>
      </c>
      <c r="L146" s="529">
        <f t="shared" si="164"/>
        <v>-4521.9245432883235</v>
      </c>
      <c r="M146" s="529">
        <f>M140*E$130</f>
        <v>-3305.9743014611631</v>
      </c>
      <c r="N146" s="529">
        <f t="shared" ref="N146:P148" si="165">N140*F$130</f>
        <v>-3679.5412102461182</v>
      </c>
      <c r="O146" s="529">
        <f t="shared" si="165"/>
        <v>-3262.7761347733108</v>
      </c>
      <c r="P146" s="529">
        <f t="shared" si="165"/>
        <v>-2147.4408260524233</v>
      </c>
      <c r="Q146" s="529">
        <f>Q140*E$130</f>
        <v>-1572.4801973852846</v>
      </c>
      <c r="R146" s="529">
        <f t="shared" ref="R146:T148" si="166">R140*F$130</f>
        <v>-2035.9863979708459</v>
      </c>
      <c r="S146" s="529">
        <f t="shared" si="166"/>
        <v>-1623.8290305127941</v>
      </c>
      <c r="T146" s="529">
        <f t="shared" si="166"/>
        <v>-562.26166569918939</v>
      </c>
      <c r="V146" s="527"/>
      <c r="W146" s="527"/>
      <c r="X146" s="527"/>
      <c r="Y146" s="529">
        <f>Y140*$X$130</f>
        <v>-21652.287893093177</v>
      </c>
      <c r="Z146" s="529">
        <f t="shared" ref="Z146:AD148" si="167">Z140*$X$130</f>
        <v>-12420.589933909507</v>
      </c>
      <c r="AA146" s="529">
        <f t="shared" si="167"/>
        <v>-5807.5628349707686</v>
      </c>
      <c r="AB146" s="529">
        <f t="shared" si="167"/>
        <v>496.34350678343685</v>
      </c>
      <c r="AC146" s="529">
        <f t="shared" si="167"/>
        <v>3300.1205997072789</v>
      </c>
      <c r="AD146" s="530">
        <f t="shared" si="167"/>
        <v>4049.3107453754951</v>
      </c>
    </row>
    <row r="147" spans="2:30" ht="11.25" customHeight="1">
      <c r="B147" s="425"/>
      <c r="C147" s="590" t="s">
        <v>602</v>
      </c>
      <c r="D147" s="527"/>
      <c r="E147" s="527"/>
      <c r="F147" s="527"/>
      <c r="G147" s="527"/>
      <c r="H147" s="527"/>
      <c r="I147" s="529">
        <f>I141*E$130</f>
        <v>-1070.8184622748556</v>
      </c>
      <c r="J147" s="529">
        <f t="shared" si="164"/>
        <v>-6955.4945486032457</v>
      </c>
      <c r="K147" s="529">
        <f t="shared" si="164"/>
        <v>-6135.2237794270204</v>
      </c>
      <c r="L147" s="529">
        <f t="shared" si="164"/>
        <v>-5274.2100773289139</v>
      </c>
      <c r="M147" s="529">
        <f>M141*E$130</f>
        <v>-4247.7854815053834</v>
      </c>
      <c r="N147" s="529">
        <f t="shared" si="165"/>
        <v>-2511.8309321978354</v>
      </c>
      <c r="O147" s="529">
        <f t="shared" si="165"/>
        <v>-1119.7472313209523</v>
      </c>
      <c r="P147" s="529">
        <f t="shared" si="165"/>
        <v>-897.77160691895335</v>
      </c>
      <c r="Q147" s="529">
        <f>Q141*E$130</f>
        <v>-895.46738753595741</v>
      </c>
      <c r="R147" s="529">
        <f t="shared" si="166"/>
        <v>-74.496523000253703</v>
      </c>
      <c r="S147" s="529">
        <f t="shared" si="166"/>
        <v>-183.51948948083543</v>
      </c>
      <c r="T147" s="529">
        <f t="shared" si="166"/>
        <v>16.8744479209556</v>
      </c>
      <c r="V147" s="527"/>
      <c r="W147" s="527"/>
      <c r="X147" s="527"/>
      <c r="Y147" s="529">
        <f>Y141*$X$130</f>
        <v>-15509.632153717897</v>
      </c>
      <c r="Z147" s="529">
        <f t="shared" si="167"/>
        <v>-8351.4652215192455</v>
      </c>
      <c r="AA147" s="529">
        <f t="shared" si="167"/>
        <v>-1102.3559515816114</v>
      </c>
      <c r="AB147" s="529">
        <f t="shared" si="167"/>
        <v>-448.7558000411687</v>
      </c>
      <c r="AC147" s="529">
        <f t="shared" si="167"/>
        <v>70.968834870023528</v>
      </c>
      <c r="AD147" s="530">
        <f t="shared" si="167"/>
        <v>393.20475804333847</v>
      </c>
    </row>
    <row r="148" spans="2:30" ht="11.25" customHeight="1">
      <c r="B148" s="425"/>
      <c r="C148" s="527" t="s">
        <v>601</v>
      </c>
      <c r="D148" s="527"/>
      <c r="E148" s="527"/>
      <c r="F148" s="527"/>
      <c r="G148" s="527"/>
      <c r="H148" s="527"/>
      <c r="I148" s="529">
        <f>I142*E$130</f>
        <v>-181.28918768287616</v>
      </c>
      <c r="J148" s="529">
        <f t="shared" si="164"/>
        <v>460.58160729080527</v>
      </c>
      <c r="K148" s="529">
        <f t="shared" si="164"/>
        <v>-186.21862278042497</v>
      </c>
      <c r="L148" s="529">
        <f t="shared" si="164"/>
        <v>-287.89488243430054</v>
      </c>
      <c r="M148" s="529">
        <f>M142*E$130</f>
        <v>-1350.9737018052158</v>
      </c>
      <c r="N148" s="529">
        <f t="shared" si="165"/>
        <v>-1234.8875769866283</v>
      </c>
      <c r="O148" s="529">
        <f t="shared" si="165"/>
        <v>-243.29906867640707</v>
      </c>
      <c r="P148" s="529">
        <f t="shared" si="165"/>
        <v>-202.4488886688774</v>
      </c>
      <c r="Q148" s="529">
        <f>Q142*E$130</f>
        <v>-41.63258397932929</v>
      </c>
      <c r="R148" s="529">
        <f t="shared" si="166"/>
        <v>2068.7851472272368</v>
      </c>
      <c r="S148" s="529">
        <f t="shared" si="166"/>
        <v>2110.5115048432954</v>
      </c>
      <c r="T148" s="529">
        <f t="shared" si="166"/>
        <v>833.36947581427057</v>
      </c>
      <c r="V148" s="527"/>
      <c r="W148" s="527"/>
      <c r="X148" s="527"/>
      <c r="Y148" s="529">
        <f>Y142*$X$130</f>
        <v>-565.20134584734296</v>
      </c>
      <c r="Z148" s="529">
        <f t="shared" si="167"/>
        <v>-2538.5551628901499</v>
      </c>
      <c r="AA148" s="529">
        <f t="shared" si="167"/>
        <v>5051.4590813564564</v>
      </c>
      <c r="AB148" s="529">
        <f t="shared" si="167"/>
        <v>2261.4538626552417</v>
      </c>
      <c r="AC148" s="529">
        <f t="shared" si="167"/>
        <v>2413.1893843500088</v>
      </c>
      <c r="AD148" s="530">
        <f t="shared" si="167"/>
        <v>2586.6289812403147</v>
      </c>
    </row>
    <row r="149" spans="2:30" ht="11.25" customHeight="1">
      <c r="B149" s="425"/>
      <c r="C149" s="527" t="s">
        <v>587</v>
      </c>
      <c r="D149" s="527"/>
      <c r="E149" s="527"/>
      <c r="F149" s="527"/>
      <c r="G149" s="527"/>
      <c r="H149" s="527"/>
      <c r="I149" s="529">
        <f>(I142*I141*E130+I142*I140*E130+I141*I140*E130)+I142*I141*I140*E130</f>
        <v>90.625241600900097</v>
      </c>
      <c r="J149" s="529">
        <f>(J142*J141*F130+J142*J140*F130+J141*J140*F130)+J142*J141*J140*F130</f>
        <v>5494.1866264031669</v>
      </c>
      <c r="K149" s="529">
        <f>(K142*K141*G130+K142*K140*G130+K141*K140*G130)+K142*K141*K140*G130</f>
        <v>3997.7527188085392</v>
      </c>
      <c r="L149" s="529">
        <f>(L142*L141*H130+L142*L140*H130+L141*L140*H130)+L142*L141*L140*H130</f>
        <v>2538.029503051539</v>
      </c>
      <c r="M149" s="529">
        <f>(M142*M141*E130+M142*M140*E130+M141*M140*E130)+M142*M141*M140*E130</f>
        <v>2398.7334847717625</v>
      </c>
      <c r="N149" s="529">
        <f>(N142*N141*F130+N142*N140*F130+N141*N140*F130)+N142*N141*N140*F130</f>
        <v>1397.2597194305827</v>
      </c>
      <c r="O149" s="529">
        <f>(O142*O141*G130+O142*O140*G130+O141*O140*G130)+O142*O141*O140*G130</f>
        <v>406.82243477066993</v>
      </c>
      <c r="P149" s="529">
        <f>(P142*P141*H130+P142*P140*H130+P141*P140*H130)+P142*P141*P140*H130</f>
        <v>244.6613216402543</v>
      </c>
      <c r="Q149" s="529">
        <f>(Q142*Q141*E130+Q142*Q140*E130+Q141*Q140*E130)+Q142*Q141*Q140*E130</f>
        <v>162.58016890057203</v>
      </c>
      <c r="R149" s="529">
        <f>(R142*R141*F130+R142*R140*F130+R141*R140*F130)+R142*R141*R140*F130</f>
        <v>-368.30222625613811</v>
      </c>
      <c r="S149" s="529">
        <f>(S142*S141*G130+S142*S140*G130+S141*S140*G130)+S142*S141*S140*G130</f>
        <v>-303.3570219072497</v>
      </c>
      <c r="T149" s="529">
        <f>(T142*T141*H130+T142*T140*H130+T141*T140*H130)+T142*T141*T140*H130</f>
        <v>-45.369852655756347</v>
      </c>
      <c r="V149" s="527"/>
      <c r="W149" s="527"/>
      <c r="X149" s="527"/>
      <c r="Y149" s="529">
        <f t="shared" ref="Y149:AD149" si="168">(Y142*Y141*$X$130+Y142*Y140*$X$130+Y141*Y140*$X$130)+Y142*Y141*Y140*$X$130</f>
        <v>8334.1213926584187</v>
      </c>
      <c r="Z149" s="529">
        <f t="shared" si="168"/>
        <v>3553.6103183189025</v>
      </c>
      <c r="AA149" s="529">
        <f t="shared" si="168"/>
        <v>-656.121926481385</v>
      </c>
      <c r="AB149" s="529">
        <f t="shared" si="168"/>
        <v>-3.0048824554260292</v>
      </c>
      <c r="AC149" s="529">
        <f t="shared" si="168"/>
        <v>198.28393959781729</v>
      </c>
      <c r="AD149" s="530">
        <f t="shared" si="168"/>
        <v>311.7789243781998</v>
      </c>
    </row>
    <row r="150" spans="2:30" s="392" customFormat="1" ht="11.25" customHeight="1">
      <c r="B150" s="585"/>
      <c r="C150" s="614" t="s">
        <v>585</v>
      </c>
      <c r="D150" s="612"/>
      <c r="E150" s="612"/>
      <c r="F150" s="612"/>
      <c r="G150" s="612"/>
      <c r="H150" s="612"/>
      <c r="I150" s="515">
        <f>SUM(I146:I149)</f>
        <v>-1685</v>
      </c>
      <c r="J150" s="515">
        <f t="shared" ref="J150:T150" si="169">SUM(J146:J149)</f>
        <v>-10690</v>
      </c>
      <c r="K150" s="515">
        <f t="shared" si="169"/>
        <v>-9472</v>
      </c>
      <c r="L150" s="515">
        <f t="shared" si="169"/>
        <v>-7546</v>
      </c>
      <c r="M150" s="515">
        <f t="shared" si="169"/>
        <v>-6506</v>
      </c>
      <c r="N150" s="515">
        <f t="shared" si="169"/>
        <v>-6028.9999999999991</v>
      </c>
      <c r="O150" s="515">
        <f t="shared" si="169"/>
        <v>-4219</v>
      </c>
      <c r="P150" s="515">
        <f t="shared" si="169"/>
        <v>-3002.9999999999995</v>
      </c>
      <c r="Q150" s="515">
        <f t="shared" si="169"/>
        <v>-2346.9999999999995</v>
      </c>
      <c r="R150" s="515">
        <f t="shared" si="169"/>
        <v>-410.00000000000097</v>
      </c>
      <c r="S150" s="515">
        <f t="shared" si="169"/>
        <v>-0.19403705758378464</v>
      </c>
      <c r="T150" s="515">
        <f t="shared" si="169"/>
        <v>242.61240538028045</v>
      </c>
      <c r="V150" s="612"/>
      <c r="W150" s="612"/>
      <c r="X150" s="612"/>
      <c r="Y150" s="515">
        <f t="shared" ref="Y150:AD150" si="170">SUM(Y146:Y149)</f>
        <v>-29393</v>
      </c>
      <c r="Z150" s="515">
        <f t="shared" si="170"/>
        <v>-19757</v>
      </c>
      <c r="AA150" s="515">
        <f t="shared" si="170"/>
        <v>-2514.5816316773085</v>
      </c>
      <c r="AB150" s="515">
        <f t="shared" si="170"/>
        <v>2306.0366869420836</v>
      </c>
      <c r="AC150" s="515">
        <f t="shared" si="170"/>
        <v>5982.5627585251277</v>
      </c>
      <c r="AD150" s="533">
        <f t="shared" si="170"/>
        <v>7340.9234090373484</v>
      </c>
    </row>
    <row r="151" spans="2:30" s="293" customFormat="1" ht="11.25" customHeight="1" outlineLevel="1">
      <c r="B151" s="618"/>
      <c r="C151" s="615" t="s">
        <v>233</v>
      </c>
      <c r="D151" s="536"/>
      <c r="E151" s="536"/>
      <c r="F151" s="536"/>
      <c r="G151" s="536"/>
      <c r="H151" s="536"/>
      <c r="I151" s="537">
        <f>SUM(I146:I149)-(I130-E130)</f>
        <v>0</v>
      </c>
      <c r="J151" s="537">
        <f>SUM(J146:J149)-(J130-F130)</f>
        <v>0</v>
      </c>
      <c r="K151" s="537">
        <f>SUM(K146:K149)-(K130-G130)</f>
        <v>0</v>
      </c>
      <c r="L151" s="537">
        <f>SUM(L146:L149)-(L130-H130)</f>
        <v>0</v>
      </c>
      <c r="M151" s="537">
        <f>SUM(M146:M149)-(M130-E130)</f>
        <v>0</v>
      </c>
      <c r="N151" s="537">
        <f>SUM(N146:N149)-(N130-F130)</f>
        <v>0</v>
      </c>
      <c r="O151" s="537">
        <f>SUM(O146:O149)-(O130-G130)</f>
        <v>0</v>
      </c>
      <c r="P151" s="537">
        <f>SUM(P146:P149)-(P130-H130)</f>
        <v>0</v>
      </c>
      <c r="Q151" s="537">
        <f>SUM(Q146:Q149)-(Q130-E130)</f>
        <v>0</v>
      </c>
      <c r="R151" s="537">
        <f>SUM(R146:R149)-(R130-F130)</f>
        <v>-9.6633812063373625E-13</v>
      </c>
      <c r="S151" s="537">
        <f>SUM(S146:S149)-(S130-G130)</f>
        <v>1.0800249583553523E-12</v>
      </c>
      <c r="T151" s="537">
        <f>SUM(T146:T149)-(T130-H130)</f>
        <v>8.5265128291212022E-13</v>
      </c>
      <c r="V151" s="536"/>
      <c r="W151" s="536"/>
      <c r="X151" s="536"/>
      <c r="Y151" s="537">
        <f t="shared" ref="Y151:AD151" si="171">SUM(Y146:Y149)-(Y130-$X130)</f>
        <v>0</v>
      </c>
      <c r="Z151" s="537">
        <f t="shared" si="171"/>
        <v>0</v>
      </c>
      <c r="AA151" s="537">
        <f t="shared" si="171"/>
        <v>4.0927261579781771E-12</v>
      </c>
      <c r="AB151" s="537">
        <f t="shared" si="171"/>
        <v>0</v>
      </c>
      <c r="AC151" s="537">
        <f t="shared" si="171"/>
        <v>-7.2759576141834259E-12</v>
      </c>
      <c r="AD151" s="538">
        <f t="shared" si="171"/>
        <v>0</v>
      </c>
    </row>
    <row r="152" spans="2:30" s="293" customFormat="1" ht="11.25" customHeight="1">
      <c r="B152" s="618"/>
      <c r="C152" s="616"/>
      <c r="I152" s="284"/>
      <c r="J152" s="284"/>
      <c r="K152" s="284"/>
      <c r="L152" s="284"/>
      <c r="M152" s="284"/>
      <c r="N152" s="284"/>
      <c r="O152" s="284"/>
      <c r="P152" s="284"/>
      <c r="Q152" s="284"/>
      <c r="R152" s="284"/>
      <c r="S152" s="284"/>
      <c r="T152" s="284"/>
      <c r="W152" s="284"/>
      <c r="X152" s="284"/>
      <c r="Y152" s="284"/>
      <c r="Z152" s="284"/>
      <c r="AA152" s="284"/>
      <c r="AB152" s="284"/>
      <c r="AC152" s="284"/>
      <c r="AD152" s="539"/>
    </row>
    <row r="153" spans="2:30" s="278" customFormat="1" ht="11.25" customHeight="1">
      <c r="B153" s="573"/>
      <c r="C153" s="617" t="s">
        <v>590</v>
      </c>
      <c r="D153" s="540"/>
      <c r="E153" s="540"/>
      <c r="F153" s="540"/>
      <c r="G153" s="540"/>
      <c r="H153" s="540"/>
      <c r="I153" s="540"/>
      <c r="J153" s="540"/>
      <c r="K153" s="540"/>
      <c r="L153" s="540"/>
      <c r="M153" s="540"/>
      <c r="N153" s="540"/>
      <c r="O153" s="541"/>
      <c r="P153" s="540"/>
      <c r="Q153" s="540"/>
      <c r="R153" s="540"/>
      <c r="S153" s="540"/>
      <c r="T153" s="540"/>
      <c r="U153" s="253"/>
      <c r="V153" s="540"/>
      <c r="W153" s="540"/>
      <c r="X153" s="540"/>
      <c r="Y153" s="540"/>
      <c r="Z153" s="540"/>
      <c r="AA153" s="540"/>
      <c r="AB153" s="540"/>
      <c r="AC153" s="540"/>
      <c r="AD153" s="542"/>
    </row>
    <row r="154" spans="2:30" s="278" customFormat="1" ht="11.25" customHeight="1">
      <c r="B154" s="573"/>
      <c r="C154" s="540" t="str">
        <f>C126</f>
        <v xml:space="preserve">  Domestic</v>
      </c>
      <c r="D154" s="540"/>
      <c r="E154" s="541">
        <f t="shared" ref="E154:T154" si="172">E126/E$130</f>
        <v>0.72541603630862328</v>
      </c>
      <c r="F154" s="541">
        <f t="shared" si="172"/>
        <v>0.70997536945812811</v>
      </c>
      <c r="G154" s="541">
        <f t="shared" si="172"/>
        <v>0.69859772129710784</v>
      </c>
      <c r="H154" s="541">
        <f t="shared" si="172"/>
        <v>0.74306911362748929</v>
      </c>
      <c r="I154" s="541">
        <f t="shared" si="172"/>
        <v>0.73999207292905267</v>
      </c>
      <c r="J154" s="541">
        <f t="shared" si="172"/>
        <v>0.83185840707964598</v>
      </c>
      <c r="K154" s="541">
        <f t="shared" si="172"/>
        <v>0.84984520123839014</v>
      </c>
      <c r="L154" s="541">
        <f t="shared" si="172"/>
        <v>0.82616753150481836</v>
      </c>
      <c r="M154" s="541">
        <f t="shared" si="172"/>
        <v>0.82969432314410485</v>
      </c>
      <c r="N154" s="541">
        <f t="shared" si="172"/>
        <v>0.83873384528938</v>
      </c>
      <c r="O154" s="541">
        <f t="shared" si="172"/>
        <v>0.80086218884717009</v>
      </c>
      <c r="P154" s="541">
        <f t="shared" si="172"/>
        <v>0.82184781107581828</v>
      </c>
      <c r="Q154" s="541">
        <f t="shared" si="172"/>
        <v>0.8054147965831765</v>
      </c>
      <c r="R154" s="541">
        <f t="shared" si="172"/>
        <v>0.75908012411023906</v>
      </c>
      <c r="S154" s="541">
        <f t="shared" si="172"/>
        <v>0.74284729195840993</v>
      </c>
      <c r="T154" s="541">
        <f t="shared" si="172"/>
        <v>0.77320388264989093</v>
      </c>
      <c r="U154" s="253"/>
      <c r="V154" s="541">
        <f t="shared" ref="V154:AD154" si="173">V126/V$130</f>
        <v>0.70584891872141176</v>
      </c>
      <c r="W154" s="541">
        <f t="shared" si="173"/>
        <v>0.70831341969563577</v>
      </c>
      <c r="X154" s="541">
        <f t="shared" si="173"/>
        <v>0.71830352918913809</v>
      </c>
      <c r="Y154" s="541">
        <f t="shared" si="173"/>
        <v>0.77939920825894593</v>
      </c>
      <c r="Z154" s="541">
        <f t="shared" si="173"/>
        <v>0.82010746480749586</v>
      </c>
      <c r="AA154" s="541">
        <f t="shared" si="173"/>
        <v>0.76619582849937407</v>
      </c>
      <c r="AB154" s="541">
        <f t="shared" si="173"/>
        <v>0.73752068143123473</v>
      </c>
      <c r="AC154" s="541">
        <f t="shared" si="173"/>
        <v>0.72070780489587039</v>
      </c>
      <c r="AD154" s="543">
        <f t="shared" si="173"/>
        <v>0.72192575272289172</v>
      </c>
    </row>
    <row r="155" spans="2:30" s="278" customFormat="1" ht="11.25" customHeight="1">
      <c r="B155" s="573"/>
      <c r="C155" s="540" t="str">
        <f>C127</f>
        <v xml:space="preserve">  Latin America</v>
      </c>
      <c r="D155" s="540"/>
      <c r="E155" s="541">
        <f t="shared" ref="E155:T155" si="174">E127/E$130</f>
        <v>9.2392478928031124E-2</v>
      </c>
      <c r="F155" s="541">
        <f t="shared" si="174"/>
        <v>6.6854327938071778E-2</v>
      </c>
      <c r="G155" s="541">
        <f t="shared" si="174"/>
        <v>5.9859772129710782E-2</v>
      </c>
      <c r="H155" s="541">
        <f t="shared" si="174"/>
        <v>6.8625536899648579E-2</v>
      </c>
      <c r="I155" s="541">
        <f t="shared" si="174"/>
        <v>0.10107015457788347</v>
      </c>
      <c r="J155" s="541">
        <f t="shared" si="174"/>
        <v>2.6548672566371681E-2</v>
      </c>
      <c r="K155" s="541">
        <f t="shared" si="174"/>
        <v>5.0051599587203302E-2</v>
      </c>
      <c r="L155" s="541">
        <f t="shared" si="174"/>
        <v>8.6730911786508519E-2</v>
      </c>
      <c r="M155" s="541">
        <f t="shared" si="174"/>
        <v>9.606986899563319E-2</v>
      </c>
      <c r="N155" s="541">
        <f t="shared" si="174"/>
        <v>9.0840981457201722E-2</v>
      </c>
      <c r="O155" s="541">
        <f t="shared" si="174"/>
        <v>7.8431372549019607E-2</v>
      </c>
      <c r="P155" s="541">
        <f t="shared" si="174"/>
        <v>7.7337384339179666E-2</v>
      </c>
      <c r="Q155" s="541">
        <f t="shared" si="174"/>
        <v>9.8450846966845224E-2</v>
      </c>
      <c r="R155" s="541">
        <f t="shared" si="174"/>
        <v>6.7986858915860565E-2</v>
      </c>
      <c r="S155" s="541">
        <f t="shared" si="174"/>
        <v>6.1656267780291457E-2</v>
      </c>
      <c r="T155" s="541">
        <f t="shared" si="174"/>
        <v>6.8499894677900741E-2</v>
      </c>
      <c r="U155" s="253"/>
      <c r="V155" s="541">
        <f t="shared" ref="V155:AD155" si="175">V127/V$130</f>
        <v>0.14986331772539041</v>
      </c>
      <c r="W155" s="541">
        <f t="shared" si="175"/>
        <v>0.15507483335429506</v>
      </c>
      <c r="X155" s="541">
        <f t="shared" si="175"/>
        <v>7.0985902166713979E-2</v>
      </c>
      <c r="Y155" s="541">
        <f t="shared" si="175"/>
        <v>8.6470542575487072E-2</v>
      </c>
      <c r="Z155" s="541">
        <f t="shared" si="175"/>
        <v>8.3174208446200992E-2</v>
      </c>
      <c r="AA155" s="541">
        <f t="shared" si="175"/>
        <v>7.1597493597886239E-2</v>
      </c>
      <c r="AB155" s="541">
        <f t="shared" si="175"/>
        <v>7.1126843434421425E-2</v>
      </c>
      <c r="AC155" s="541">
        <f t="shared" si="175"/>
        <v>6.9072774000727491E-2</v>
      </c>
      <c r="AD155" s="543">
        <f t="shared" si="175"/>
        <v>7.1020729616193976E-2</v>
      </c>
    </row>
    <row r="156" spans="2:30" s="278" customFormat="1" ht="11.25" customHeight="1">
      <c r="B156" s="573"/>
      <c r="C156" s="540" t="str">
        <f>C128</f>
        <v xml:space="preserve">  Atlantic</v>
      </c>
      <c r="D156" s="540"/>
      <c r="E156" s="541">
        <f t="shared" ref="E156:T156" si="176">E128/E$130</f>
        <v>0.11919170088610331</v>
      </c>
      <c r="F156" s="541">
        <f t="shared" si="176"/>
        <v>0.1653764954257565</v>
      </c>
      <c r="G156" s="541">
        <f t="shared" si="176"/>
        <v>0.18054338299737072</v>
      </c>
      <c r="H156" s="541">
        <f t="shared" si="176"/>
        <v>0.13061304178055447</v>
      </c>
      <c r="I156" s="541">
        <f t="shared" si="176"/>
        <v>0.10807240058131853</v>
      </c>
      <c r="J156" s="541">
        <f t="shared" si="176"/>
        <v>9.4395280235988199E-2</v>
      </c>
      <c r="K156" s="541">
        <f t="shared" si="176"/>
        <v>6.8111455108359129E-2</v>
      </c>
      <c r="L156" s="541">
        <f t="shared" si="176"/>
        <v>5.8191252779836916E-2</v>
      </c>
      <c r="M156" s="541">
        <f t="shared" si="176"/>
        <v>5.1673944687045122E-2</v>
      </c>
      <c r="N156" s="541">
        <f t="shared" si="176"/>
        <v>5.394268589623525E-2</v>
      </c>
      <c r="O156" s="541">
        <f t="shared" si="176"/>
        <v>0.1015157836184119</v>
      </c>
      <c r="P156" s="541">
        <f t="shared" si="176"/>
        <v>8.5209225245131887E-2</v>
      </c>
      <c r="Q156" s="541">
        <f t="shared" si="176"/>
        <v>7.8036774286955268E-2</v>
      </c>
      <c r="R156" s="541">
        <f t="shared" si="176"/>
        <v>0.15522905639715276</v>
      </c>
      <c r="S156" s="541">
        <f t="shared" si="176"/>
        <v>0.17516384860559431</v>
      </c>
      <c r="T156" s="541">
        <f t="shared" si="176"/>
        <v>0.13209976435938431</v>
      </c>
      <c r="U156" s="253"/>
      <c r="V156" s="541">
        <f t="shared" ref="V156:AD156" si="177">V128/V$130</f>
        <v>7.7462310877743801E-2</v>
      </c>
      <c r="W156" s="541">
        <f t="shared" si="177"/>
        <v>7.2644950320714372E-2</v>
      </c>
      <c r="X156" s="541">
        <f t="shared" si="177"/>
        <v>0.15093670167470905</v>
      </c>
      <c r="Y156" s="541">
        <f t="shared" si="177"/>
        <v>9.0894977877823482E-2</v>
      </c>
      <c r="Z156" s="541">
        <f t="shared" si="177"/>
        <v>7.8911141702562276E-2</v>
      </c>
      <c r="AA156" s="541">
        <f t="shared" si="177"/>
        <v>0.14144023988016055</v>
      </c>
      <c r="AB156" s="541">
        <f t="shared" si="177"/>
        <v>0.15493354577959251</v>
      </c>
      <c r="AC156" s="541">
        <f t="shared" si="177"/>
        <v>0.14146579873378712</v>
      </c>
      <c r="AD156" s="543">
        <f t="shared" si="177"/>
        <v>0.13759289486973464</v>
      </c>
    </row>
    <row r="157" spans="2:30" s="278" customFormat="1" ht="11.25" customHeight="1" thickBot="1">
      <c r="B157" s="619"/>
      <c r="C157" s="544" t="str">
        <f>C129</f>
        <v xml:space="preserve">  Pacific</v>
      </c>
      <c r="D157" s="544"/>
      <c r="E157" s="545">
        <f t="shared" ref="E157:T157" si="178">E129/E$130</f>
        <v>6.2999783877242269E-2</v>
      </c>
      <c r="F157" s="545">
        <f t="shared" si="178"/>
        <v>5.7793807178043631E-2</v>
      </c>
      <c r="G157" s="545">
        <f t="shared" si="178"/>
        <v>6.0999123575810693E-2</v>
      </c>
      <c r="H157" s="545">
        <f t="shared" si="178"/>
        <v>5.7692307692307696E-2</v>
      </c>
      <c r="I157" s="545">
        <f t="shared" si="178"/>
        <v>5.0865371911745276E-2</v>
      </c>
      <c r="J157" s="545">
        <f t="shared" si="178"/>
        <v>4.71976401179941E-2</v>
      </c>
      <c r="K157" s="545">
        <f t="shared" si="178"/>
        <v>3.1991744066047469E-2</v>
      </c>
      <c r="L157" s="545">
        <f t="shared" si="178"/>
        <v>2.8910303928836176E-2</v>
      </c>
      <c r="M157" s="545">
        <f t="shared" si="178"/>
        <v>2.2561863173216887E-2</v>
      </c>
      <c r="N157" s="545">
        <f t="shared" si="178"/>
        <v>1.6482487357182992E-2</v>
      </c>
      <c r="O157" s="545">
        <f t="shared" si="178"/>
        <v>1.9190654985398414E-2</v>
      </c>
      <c r="P157" s="545">
        <f t="shared" si="178"/>
        <v>1.5605579339870184E-2</v>
      </c>
      <c r="Q157" s="545">
        <f t="shared" si="178"/>
        <v>1.809758216302302E-2</v>
      </c>
      <c r="R157" s="545">
        <f t="shared" si="178"/>
        <v>1.7703960576747581E-2</v>
      </c>
      <c r="S157" s="545">
        <f t="shared" si="178"/>
        <v>2.0332591655704224E-2</v>
      </c>
      <c r="T157" s="545">
        <f t="shared" si="178"/>
        <v>2.619645831282404E-2</v>
      </c>
      <c r="U157" s="430"/>
      <c r="V157" s="545">
        <f t="shared" ref="V157:AD157" si="179">V129/V$130</f>
        <v>6.6825452675454033E-2</v>
      </c>
      <c r="W157" s="545">
        <f t="shared" si="179"/>
        <v>6.3966796629354797E-2</v>
      </c>
      <c r="X157" s="545">
        <f t="shared" si="179"/>
        <v>5.9773866969438927E-2</v>
      </c>
      <c r="Y157" s="545">
        <f t="shared" si="179"/>
        <v>4.3235271287743536E-2</v>
      </c>
      <c r="Z157" s="545">
        <f t="shared" si="179"/>
        <v>1.780718504374084E-2</v>
      </c>
      <c r="AA157" s="545">
        <f t="shared" si="179"/>
        <v>2.0766438022579197E-2</v>
      </c>
      <c r="AB157" s="545">
        <f t="shared" si="179"/>
        <v>3.6418929354751391E-2</v>
      </c>
      <c r="AC157" s="545">
        <f t="shared" si="179"/>
        <v>6.8753622369614936E-2</v>
      </c>
      <c r="AD157" s="546">
        <f t="shared" si="179"/>
        <v>6.9460622791179594E-2</v>
      </c>
    </row>
    <row r="158" spans="2:30" s="278" customFormat="1" ht="11.25" customHeight="1">
      <c r="U158" s="253"/>
    </row>
    <row r="159" spans="2:30" ht="11.25" customHeight="1">
      <c r="B159" s="253" t="s">
        <v>133</v>
      </c>
      <c r="C159" s="397" t="s">
        <v>390</v>
      </c>
      <c r="Q159" s="255"/>
      <c r="U159" s="255"/>
    </row>
    <row r="160" spans="2:30" ht="11.25" customHeight="1">
      <c r="C160" s="253" t="s">
        <v>396</v>
      </c>
      <c r="E160" s="255">
        <f>E164-SUM(E161:E163)</f>
        <v>40.225268999999997</v>
      </c>
      <c r="F160" s="255">
        <f t="shared" ref="F160:R160" si="180">F164-SUM(F161:F163)</f>
        <v>44.629187000000002</v>
      </c>
      <c r="G160" s="255">
        <f t="shared" si="180"/>
        <v>46.676891000000005</v>
      </c>
      <c r="H160" s="255">
        <f t="shared" si="180"/>
        <v>42.866437288000014</v>
      </c>
      <c r="I160" s="255">
        <f t="shared" si="180"/>
        <v>39.773880618999996</v>
      </c>
      <c r="J160" s="255">
        <f t="shared" si="180"/>
        <v>9.0322677200000001</v>
      </c>
      <c r="K160" s="255">
        <f t="shared" si="180"/>
        <v>22.54760666</v>
      </c>
      <c r="L160" s="255">
        <f t="shared" si="180"/>
        <v>27.609031883760004</v>
      </c>
      <c r="M160" s="255">
        <f t="shared" si="180"/>
        <v>29.14962585</v>
      </c>
      <c r="N160" s="255">
        <f t="shared" si="180"/>
        <v>36.257893210000006</v>
      </c>
      <c r="O160" s="255">
        <f t="shared" si="180"/>
        <v>39.435672034</v>
      </c>
      <c r="P160" s="255">
        <f t="shared" si="180"/>
        <v>38.460914541600005</v>
      </c>
      <c r="Q160" s="255">
        <f t="shared" si="180"/>
        <v>37.492833380000008</v>
      </c>
      <c r="R160" s="255">
        <f t="shared" si="180"/>
        <v>39.701502073299999</v>
      </c>
      <c r="S160" s="255">
        <f t="shared" ref="S160:T163" si="181">(S173+1)*G160</f>
        <v>43.409508630000005</v>
      </c>
      <c r="T160" s="255">
        <f t="shared" si="181"/>
        <v>43.295101660880015</v>
      </c>
      <c r="U160" s="255"/>
      <c r="V160" s="277">
        <v>157.41561400000001</v>
      </c>
      <c r="W160" s="277">
        <v>165.59021899999999</v>
      </c>
      <c r="X160" s="254">
        <f t="shared" ref="X160:AA163" si="182">SUMIF($E$5:$T$5,X$5,$E160:$T160)</f>
        <v>174.39778428800003</v>
      </c>
      <c r="Y160" s="254">
        <f t="shared" si="182"/>
        <v>98.962786882759985</v>
      </c>
      <c r="Z160" s="254">
        <f t="shared" si="182"/>
        <v>143.3041056356</v>
      </c>
      <c r="AA160" s="254">
        <f t="shared" si="182"/>
        <v>163.89894574418003</v>
      </c>
      <c r="AB160" s="255">
        <f t="shared" ref="AB160:AD163" si="183">(AB173+1)*$X160</f>
        <v>183.11767350240004</v>
      </c>
      <c r="AC160" s="255">
        <f t="shared" si="183"/>
        <v>191.83756271680005</v>
      </c>
      <c r="AD160" s="255">
        <f t="shared" si="183"/>
        <v>195.32551840256005</v>
      </c>
    </row>
    <row r="161" spans="3:30" ht="11.25" customHeight="1">
      <c r="C161" s="253" t="s">
        <v>397</v>
      </c>
      <c r="E161" s="277">
        <v>6.8848799999999999</v>
      </c>
      <c r="F161" s="277">
        <v>5.6885710000000005</v>
      </c>
      <c r="G161" s="277">
        <v>5.329915999999999</v>
      </c>
      <c r="H161" s="277">
        <v>5.2993830799999992</v>
      </c>
      <c r="I161" s="255">
        <f t="shared" ref="I161:L163" si="184">(I174+1)*E161</f>
        <v>6.4786720799999999</v>
      </c>
      <c r="J161" s="255">
        <f t="shared" si="184"/>
        <v>0.17065713000000016</v>
      </c>
      <c r="K161" s="255">
        <f t="shared" si="184"/>
        <v>1.5456756399999998</v>
      </c>
      <c r="L161" s="255">
        <f t="shared" si="184"/>
        <v>3.6565743251999994</v>
      </c>
      <c r="M161" s="255">
        <f t="shared" ref="M161:P163" si="185">(M174+1)*E161</f>
        <v>6.1275431999999999</v>
      </c>
      <c r="N161" s="255">
        <f t="shared" si="185"/>
        <v>5.3472567399999997</v>
      </c>
      <c r="O161" s="255">
        <f t="shared" si="185"/>
        <v>4.9355022159999997</v>
      </c>
      <c r="P161" s="255">
        <f t="shared" si="185"/>
        <v>4.8754324335999994</v>
      </c>
      <c r="Q161" s="255">
        <f t="shared" ref="Q161:R163" si="186">(Q174+1)*E161</f>
        <v>6.0586944000000003</v>
      </c>
      <c r="R161" s="255">
        <f t="shared" si="186"/>
        <v>5.1333664704000004</v>
      </c>
      <c r="S161" s="255">
        <f t="shared" si="181"/>
        <v>4.9035227199999989</v>
      </c>
      <c r="T161" s="255">
        <f t="shared" si="181"/>
        <v>5.1933954183999989</v>
      </c>
      <c r="U161" s="255"/>
      <c r="V161" s="277">
        <v>23.535459999999997</v>
      </c>
      <c r="W161" s="277">
        <v>23.4102</v>
      </c>
      <c r="X161" s="254">
        <f t="shared" ref="X161:AA162" si="187">SUMIF($E$5:$T$5,X$5,$E161:$T161)</f>
        <v>23.202750079999998</v>
      </c>
      <c r="Y161" s="254">
        <f t="shared" si="187"/>
        <v>11.851579175199999</v>
      </c>
      <c r="Z161" s="254">
        <f t="shared" si="187"/>
        <v>21.285734589600001</v>
      </c>
      <c r="AA161" s="254">
        <f t="shared" si="187"/>
        <v>21.288979008799998</v>
      </c>
      <c r="AB161" s="255">
        <f t="shared" si="183"/>
        <v>23.6668050816</v>
      </c>
      <c r="AC161" s="255">
        <f t="shared" si="183"/>
        <v>24.362887583999999</v>
      </c>
      <c r="AD161" s="255">
        <f t="shared" si="183"/>
        <v>25.755052588799998</v>
      </c>
    </row>
    <row r="162" spans="3:30" ht="11.25" customHeight="1">
      <c r="C162" s="253" t="s">
        <v>398</v>
      </c>
      <c r="E162" s="277">
        <v>9.6017139999999994</v>
      </c>
      <c r="F162" s="277">
        <v>15.010980999999999</v>
      </c>
      <c r="G162" s="277">
        <v>17.083746000000001</v>
      </c>
      <c r="H162" s="277">
        <v>11.273990143999995</v>
      </c>
      <c r="I162" s="255">
        <f t="shared" si="184"/>
        <v>8.4399066059999992</v>
      </c>
      <c r="J162" s="255">
        <f t="shared" si="184"/>
        <v>0.75054905000000061</v>
      </c>
      <c r="K162" s="255">
        <f t="shared" si="184"/>
        <v>2.7333993600000008</v>
      </c>
      <c r="L162" s="255">
        <f t="shared" si="184"/>
        <v>3.4949369446399992</v>
      </c>
      <c r="M162" s="255">
        <f t="shared" si="185"/>
        <v>3.0725484799999991</v>
      </c>
      <c r="N162" s="255">
        <f t="shared" si="185"/>
        <v>4.8035139199999994</v>
      </c>
      <c r="O162" s="255">
        <f t="shared" si="185"/>
        <v>7.5168482399999998</v>
      </c>
      <c r="P162" s="255">
        <f t="shared" si="185"/>
        <v>6.5389142835199978</v>
      </c>
      <c r="Q162" s="255">
        <f t="shared" si="186"/>
        <v>6.4331483799999987</v>
      </c>
      <c r="R162" s="255">
        <f t="shared" si="186"/>
        <v>12.393065913599999</v>
      </c>
      <c r="S162" s="255">
        <f t="shared" si="181"/>
        <v>14.521184100000001</v>
      </c>
      <c r="T162" s="255">
        <f t="shared" si="181"/>
        <v>10.372070932479996</v>
      </c>
      <c r="U162" s="255"/>
      <c r="V162" s="277">
        <v>49.398454999999998</v>
      </c>
      <c r="W162" s="277">
        <v>50.739033999999997</v>
      </c>
      <c r="X162" s="254">
        <f t="shared" si="187"/>
        <v>52.970431143999996</v>
      </c>
      <c r="Y162" s="254">
        <f t="shared" si="187"/>
        <v>15.41879196064</v>
      </c>
      <c r="Z162" s="254">
        <f t="shared" si="187"/>
        <v>21.931824923519997</v>
      </c>
      <c r="AA162" s="254">
        <f t="shared" si="187"/>
        <v>43.719469326079988</v>
      </c>
      <c r="AB162" s="255">
        <f t="shared" si="183"/>
        <v>56.943213479799994</v>
      </c>
      <c r="AC162" s="255">
        <f t="shared" si="183"/>
        <v>55.618952701199994</v>
      </c>
      <c r="AD162" s="255">
        <f t="shared" si="183"/>
        <v>55.618952701199994</v>
      </c>
    </row>
    <row r="163" spans="3:30" ht="11.25" customHeight="1">
      <c r="C163" s="253" t="s">
        <v>399</v>
      </c>
      <c r="E163" s="277">
        <v>5.7041370000000002</v>
      </c>
      <c r="F163" s="277">
        <v>6.4252609999999999</v>
      </c>
      <c r="G163" s="277">
        <v>6.6514469999999992</v>
      </c>
      <c r="H163" s="277">
        <v>6.0281894879999998</v>
      </c>
      <c r="I163" s="255">
        <f t="shared" si="184"/>
        <v>4.1925406949999999</v>
      </c>
      <c r="J163" s="255">
        <f t="shared" si="184"/>
        <v>0.64252609999999988</v>
      </c>
      <c r="K163" s="255">
        <f t="shared" si="184"/>
        <v>1.4633183399999996</v>
      </c>
      <c r="L163" s="255">
        <f t="shared" si="184"/>
        <v>1.8084568464000002</v>
      </c>
      <c r="M163" s="255">
        <f t="shared" si="185"/>
        <v>1.7682824700000004</v>
      </c>
      <c r="N163" s="255">
        <f t="shared" si="185"/>
        <v>2.1203361299999997</v>
      </c>
      <c r="O163" s="255">
        <f t="shared" si="185"/>
        <v>2.1949775099999993</v>
      </c>
      <c r="P163" s="255">
        <f t="shared" si="185"/>
        <v>1.8687387412800003</v>
      </c>
      <c r="Q163" s="255">
        <f t="shared" si="186"/>
        <v>1.8253238399999998</v>
      </c>
      <c r="R163" s="255">
        <f t="shared" si="186"/>
        <v>1.6750655426999996</v>
      </c>
      <c r="S163" s="255">
        <f t="shared" si="181"/>
        <v>2.1284630399999993</v>
      </c>
      <c r="T163" s="255">
        <f t="shared" si="181"/>
        <v>3.0140947439999999</v>
      </c>
      <c r="U163" s="255"/>
      <c r="V163" s="277">
        <v>23.975584999999999</v>
      </c>
      <c r="W163" s="277">
        <v>23.625976000000001</v>
      </c>
      <c r="X163" s="254">
        <f t="shared" si="182"/>
        <v>24.809034487999998</v>
      </c>
      <c r="Y163" s="254">
        <f t="shared" si="182"/>
        <v>8.1068419813999988</v>
      </c>
      <c r="Z163" s="254">
        <f t="shared" si="182"/>
        <v>7.9523348512799998</v>
      </c>
      <c r="AA163" s="254">
        <f t="shared" si="182"/>
        <v>8.6429471666999991</v>
      </c>
      <c r="AB163" s="255">
        <f t="shared" si="183"/>
        <v>14.885420692799999</v>
      </c>
      <c r="AC163" s="255">
        <f t="shared" si="183"/>
        <v>25.05712483288</v>
      </c>
      <c r="AD163" s="255">
        <f t="shared" si="183"/>
        <v>25.05712483288</v>
      </c>
    </row>
    <row r="164" spans="3:30" s="255" customFormat="1" ht="11.25" customHeight="1">
      <c r="C164" s="286" t="s">
        <v>393</v>
      </c>
      <c r="E164" s="382">
        <v>62.415999999999997</v>
      </c>
      <c r="F164" s="382">
        <v>71.754000000000005</v>
      </c>
      <c r="G164" s="382">
        <v>75.742000000000004</v>
      </c>
      <c r="H164" s="382">
        <v>65.468000000000004</v>
      </c>
      <c r="I164" s="382">
        <v>58.884999999999998</v>
      </c>
      <c r="J164" s="382">
        <v>10.596</v>
      </c>
      <c r="K164" s="382">
        <v>28.29</v>
      </c>
      <c r="L164" s="382">
        <v>36.569000000000003</v>
      </c>
      <c r="M164" s="382">
        <v>40.118000000000002</v>
      </c>
      <c r="N164" s="382">
        <v>48.529000000000003</v>
      </c>
      <c r="O164" s="382">
        <v>54.082999999999998</v>
      </c>
      <c r="P164" s="382">
        <v>51.744</v>
      </c>
      <c r="Q164" s="382">
        <v>51.81</v>
      </c>
      <c r="R164" s="382">
        <v>58.902999999999999</v>
      </c>
      <c r="S164" s="358">
        <f>SUM(S160:S163)</f>
        <v>64.962678490000002</v>
      </c>
      <c r="T164" s="358">
        <f>SUM(T160:T163)</f>
        <v>61.874662755760006</v>
      </c>
      <c r="V164" s="358">
        <f t="shared" ref="V164:AD164" si="188">SUM(V160:V163)</f>
        <v>254.32511400000001</v>
      </c>
      <c r="W164" s="358">
        <f t="shared" si="188"/>
        <v>263.36542900000001</v>
      </c>
      <c r="X164" s="358">
        <f t="shared" si="188"/>
        <v>275.38</v>
      </c>
      <c r="Y164" s="358">
        <f t="shared" si="188"/>
        <v>134.34</v>
      </c>
      <c r="Z164" s="358">
        <f t="shared" si="188"/>
        <v>194.47399999999999</v>
      </c>
      <c r="AA164" s="358">
        <f t="shared" si="188"/>
        <v>237.55034124575999</v>
      </c>
      <c r="AB164" s="358">
        <f t="shared" si="188"/>
        <v>278.6131127566</v>
      </c>
      <c r="AC164" s="358">
        <f t="shared" si="188"/>
        <v>296.87652783488005</v>
      </c>
      <c r="AD164" s="358">
        <f t="shared" si="188"/>
        <v>301.75664852544003</v>
      </c>
    </row>
    <row r="165" spans="3:30" s="255" customFormat="1" ht="11.25" customHeight="1">
      <c r="C165" s="286"/>
      <c r="E165" s="285"/>
      <c r="F165" s="285"/>
      <c r="G165" s="285"/>
      <c r="H165" s="285"/>
      <c r="I165" s="285"/>
      <c r="J165" s="285"/>
      <c r="K165" s="285"/>
      <c r="L165" s="285"/>
      <c r="M165" s="285"/>
      <c r="N165" s="285"/>
      <c r="O165" s="285"/>
      <c r="P165" s="285"/>
      <c r="Q165" s="285"/>
      <c r="R165" s="283"/>
      <c r="S165" s="283"/>
      <c r="T165" s="283"/>
      <c r="V165" s="283"/>
      <c r="W165" s="283"/>
      <c r="X165" s="283"/>
      <c r="Y165" s="283"/>
      <c r="Z165" s="283"/>
      <c r="AA165" s="283"/>
      <c r="AB165" s="283"/>
      <c r="AC165" s="283"/>
      <c r="AD165" s="283"/>
    </row>
    <row r="166" spans="3:30" s="278" customFormat="1" ht="11.25" customHeight="1">
      <c r="C166" s="617" t="s">
        <v>1762</v>
      </c>
      <c r="D166" s="540"/>
      <c r="E166" s="540"/>
      <c r="F166" s="540"/>
      <c r="G166" s="540"/>
      <c r="H166" s="540"/>
      <c r="I166" s="540"/>
      <c r="J166" s="540"/>
      <c r="K166" s="540"/>
      <c r="L166" s="540"/>
      <c r="M166" s="540"/>
      <c r="N166" s="540"/>
      <c r="O166" s="541"/>
      <c r="P166" s="540"/>
      <c r="Q166" s="540"/>
      <c r="R166" s="540"/>
      <c r="S166" s="540"/>
      <c r="T166" s="540"/>
      <c r="U166" s="253"/>
      <c r="V166" s="540"/>
      <c r="W166" s="540"/>
      <c r="X166" s="540"/>
      <c r="Y166" s="540"/>
      <c r="Z166" s="540"/>
      <c r="AA166" s="540"/>
      <c r="AB166" s="540"/>
      <c r="AC166" s="540"/>
      <c r="AD166" s="540"/>
    </row>
    <row r="167" spans="3:30" s="278" customFormat="1" ht="11.25" customHeight="1">
      <c r="C167" s="540" t="s">
        <v>396</v>
      </c>
      <c r="D167" s="540"/>
      <c r="E167" s="541">
        <f t="shared" ref="E167:T167" si="189">E160/E$164</f>
        <v>0.64447047231479104</v>
      </c>
      <c r="F167" s="541">
        <f t="shared" si="189"/>
        <v>0.62197490035398717</v>
      </c>
      <c r="G167" s="541">
        <f t="shared" si="189"/>
        <v>0.61626166459824139</v>
      </c>
      <c r="H167" s="541">
        <f t="shared" si="189"/>
        <v>0.65476931154151663</v>
      </c>
      <c r="I167" s="541">
        <f t="shared" si="189"/>
        <v>0.67545012514222635</v>
      </c>
      <c r="J167" s="541">
        <f t="shared" si="189"/>
        <v>0.85242239713099288</v>
      </c>
      <c r="K167" s="541">
        <f t="shared" si="189"/>
        <v>0.7970168490632733</v>
      </c>
      <c r="L167" s="541">
        <f t="shared" si="189"/>
        <v>0.75498460126774047</v>
      </c>
      <c r="M167" s="541">
        <f t="shared" si="189"/>
        <v>0.72659718455556099</v>
      </c>
      <c r="N167" s="541">
        <f t="shared" si="189"/>
        <v>0.74713868429186681</v>
      </c>
      <c r="O167" s="541">
        <f t="shared" si="189"/>
        <v>0.72916946238189451</v>
      </c>
      <c r="P167" s="541">
        <f t="shared" si="189"/>
        <v>0.74329225691094625</v>
      </c>
      <c r="Q167" s="541">
        <f t="shared" si="189"/>
        <v>0.72366016946535427</v>
      </c>
      <c r="R167" s="541">
        <f t="shared" si="189"/>
        <v>0.6740149410607269</v>
      </c>
      <c r="S167" s="541">
        <f t="shared" si="189"/>
        <v>0.66822227221868979</v>
      </c>
      <c r="T167" s="541">
        <f t="shared" si="189"/>
        <v>0.69972262849787581</v>
      </c>
      <c r="U167" s="699"/>
      <c r="V167" s="541">
        <f t="shared" ref="V167:AD167" si="190">V160/V$164</f>
        <v>0.61895426497282524</v>
      </c>
      <c r="W167" s="541">
        <f t="shared" si="190"/>
        <v>0.6287469833407785</v>
      </c>
      <c r="X167" s="541">
        <f t="shared" si="190"/>
        <v>0.63329865744789027</v>
      </c>
      <c r="Y167" s="541">
        <f t="shared" si="190"/>
        <v>0.73665912522524923</v>
      </c>
      <c r="Z167" s="541">
        <f t="shared" si="190"/>
        <v>0.73688053742711113</v>
      </c>
      <c r="AA167" s="541">
        <f t="shared" si="190"/>
        <v>0.68995457924691761</v>
      </c>
      <c r="AB167" s="541">
        <f t="shared" si="190"/>
        <v>0.65724714709452314</v>
      </c>
      <c r="AC167" s="541">
        <f t="shared" si="190"/>
        <v>0.64618635941302272</v>
      </c>
      <c r="AD167" s="541">
        <f t="shared" si="190"/>
        <v>0.64729482964844387</v>
      </c>
    </row>
    <row r="168" spans="3:30" s="278" customFormat="1" ht="11.25" customHeight="1">
      <c r="C168" s="540" t="s">
        <v>397</v>
      </c>
      <c r="D168" s="540"/>
      <c r="E168" s="541">
        <f t="shared" ref="E168:T168" si="191">E161/E$164</f>
        <v>0.110306331709818</v>
      </c>
      <c r="F168" s="541">
        <f t="shared" si="191"/>
        <v>7.9278799788165127E-2</v>
      </c>
      <c r="G168" s="541">
        <f t="shared" si="191"/>
        <v>7.0369359140239215E-2</v>
      </c>
      <c r="H168" s="541">
        <f t="shared" si="191"/>
        <v>8.0946158123052461E-2</v>
      </c>
      <c r="I168" s="541">
        <f t="shared" si="191"/>
        <v>0.11002245189776684</v>
      </c>
      <c r="J168" s="541">
        <f t="shared" si="191"/>
        <v>1.6105806908267285E-2</v>
      </c>
      <c r="K168" s="541">
        <f t="shared" si="191"/>
        <v>5.4636820077765991E-2</v>
      </c>
      <c r="L168" s="541">
        <f t="shared" si="191"/>
        <v>9.9991094238289238E-2</v>
      </c>
      <c r="M168" s="541">
        <f t="shared" si="191"/>
        <v>0.15273800289147016</v>
      </c>
      <c r="N168" s="541">
        <f t="shared" si="191"/>
        <v>0.11018683137917533</v>
      </c>
      <c r="O168" s="541">
        <f t="shared" si="191"/>
        <v>9.1257922378566281E-2</v>
      </c>
      <c r="P168" s="541">
        <f t="shared" si="191"/>
        <v>9.4222179066171918E-2</v>
      </c>
      <c r="Q168" s="541">
        <f t="shared" si="191"/>
        <v>0.11694063694267516</v>
      </c>
      <c r="R168" s="541">
        <f t="shared" si="191"/>
        <v>8.7149491034412524E-2</v>
      </c>
      <c r="S168" s="541">
        <f t="shared" si="191"/>
        <v>7.5482151197857714E-2</v>
      </c>
      <c r="T168" s="541">
        <f t="shared" si="191"/>
        <v>8.3934120803212581E-2</v>
      </c>
      <c r="U168" s="699"/>
      <c r="V168" s="541">
        <f t="shared" ref="V168:AD168" si="192">V161/V$164</f>
        <v>9.2540841247789607E-2</v>
      </c>
      <c r="W168" s="541">
        <f t="shared" si="192"/>
        <v>8.8888659718508456E-2</v>
      </c>
      <c r="X168" s="541">
        <f t="shared" si="192"/>
        <v>8.4257208511874487E-2</v>
      </c>
      <c r="Y168" s="541">
        <f t="shared" si="192"/>
        <v>8.822077694804227E-2</v>
      </c>
      <c r="Z168" s="541">
        <f t="shared" si="192"/>
        <v>0.10945285534107388</v>
      </c>
      <c r="AA168" s="541">
        <f t="shared" si="192"/>
        <v>8.9618810468368393E-2</v>
      </c>
      <c r="AB168" s="541">
        <f t="shared" si="192"/>
        <v>8.494505103309917E-2</v>
      </c>
      <c r="AC168" s="541">
        <f t="shared" si="192"/>
        <v>8.2064041107185168E-2</v>
      </c>
      <c r="AD168" s="541">
        <f t="shared" si="192"/>
        <v>8.5350406410776E-2</v>
      </c>
    </row>
    <row r="169" spans="3:30" s="278" customFormat="1" ht="11.25" customHeight="1">
      <c r="C169" s="540" t="s">
        <v>398</v>
      </c>
      <c r="D169" s="540"/>
      <c r="E169" s="541">
        <f t="shared" ref="E169:T169" si="193">E162/E$164</f>
        <v>0.15383417713406819</v>
      </c>
      <c r="F169" s="541">
        <f t="shared" si="193"/>
        <v>0.20920061599353343</v>
      </c>
      <c r="G169" s="541">
        <f t="shared" si="193"/>
        <v>0.22555182065432652</v>
      </c>
      <c r="H169" s="541">
        <f t="shared" si="193"/>
        <v>0.17220611816459941</v>
      </c>
      <c r="I169" s="541">
        <f t="shared" si="193"/>
        <v>0.14332863387959582</v>
      </c>
      <c r="J169" s="541">
        <f t="shared" si="193"/>
        <v>7.0833243676859253E-2</v>
      </c>
      <c r="K169" s="541">
        <f t="shared" si="193"/>
        <v>9.6620691410392395E-2</v>
      </c>
      <c r="L169" s="541">
        <f t="shared" si="193"/>
        <v>9.5571028593617519E-2</v>
      </c>
      <c r="M169" s="541">
        <f t="shared" si="193"/>
        <v>7.6587778054738501E-2</v>
      </c>
      <c r="N169" s="541">
        <f t="shared" si="193"/>
        <v>9.8982338807723197E-2</v>
      </c>
      <c r="O169" s="541">
        <f t="shared" si="193"/>
        <v>0.13898726475972117</v>
      </c>
      <c r="P169" s="541">
        <f t="shared" si="193"/>
        <v>0.12637048321583175</v>
      </c>
      <c r="Q169" s="541">
        <f t="shared" si="193"/>
        <v>0.12416808299556067</v>
      </c>
      <c r="R169" s="541">
        <f t="shared" si="193"/>
        <v>0.21039787300477056</v>
      </c>
      <c r="S169" s="541">
        <f t="shared" si="193"/>
        <v>0.22353117878652914</v>
      </c>
      <c r="T169" s="541">
        <f t="shared" si="193"/>
        <v>0.16763034286622344</v>
      </c>
      <c r="U169" s="699"/>
      <c r="V169" s="541">
        <f t="shared" ref="V169:AD169" si="194">V162/V$164</f>
        <v>0.19423349201762274</v>
      </c>
      <c r="W169" s="541">
        <f t="shared" si="194"/>
        <v>0.19265639454903549</v>
      </c>
      <c r="X169" s="541">
        <f t="shared" si="194"/>
        <v>0.19235395142711889</v>
      </c>
      <c r="Y169" s="541">
        <f t="shared" si="194"/>
        <v>0.11477439303736788</v>
      </c>
      <c r="Z169" s="541">
        <f t="shared" si="194"/>
        <v>0.11277510064851856</v>
      </c>
      <c r="AA169" s="541">
        <f t="shared" si="194"/>
        <v>0.18404296578488005</v>
      </c>
      <c r="AB169" s="541">
        <f t="shared" si="194"/>
        <v>0.20438095291497035</v>
      </c>
      <c r="AC169" s="541">
        <f t="shared" si="194"/>
        <v>0.18734708704264669</v>
      </c>
      <c r="AD169" s="541">
        <f t="shared" si="194"/>
        <v>0.18431724030932481</v>
      </c>
    </row>
    <row r="170" spans="3:30" s="278" customFormat="1" ht="11.25" customHeight="1">
      <c r="C170" s="540" t="s">
        <v>399</v>
      </c>
      <c r="D170" s="540"/>
      <c r="E170" s="541">
        <f t="shared" ref="E170:T170" si="195">E163/E$164</f>
        <v>9.138901884132275E-2</v>
      </c>
      <c r="F170" s="541">
        <f t="shared" si="195"/>
        <v>8.9545683864314177E-2</v>
      </c>
      <c r="G170" s="541">
        <f t="shared" si="195"/>
        <v>8.7817155607192818E-2</v>
      </c>
      <c r="H170" s="541">
        <f t="shared" si="195"/>
        <v>9.2078412170831542E-2</v>
      </c>
      <c r="I170" s="541">
        <f t="shared" si="195"/>
        <v>7.1198789080410968E-2</v>
      </c>
      <c r="J170" s="541">
        <f t="shared" si="195"/>
        <v>6.0638552283880695E-2</v>
      </c>
      <c r="K170" s="541">
        <f t="shared" si="195"/>
        <v>5.1725639448568388E-2</v>
      </c>
      <c r="L170" s="541">
        <f t="shared" si="195"/>
        <v>4.9453275900352756E-2</v>
      </c>
      <c r="M170" s="541">
        <f t="shared" si="195"/>
        <v>4.4077034498230229E-2</v>
      </c>
      <c r="N170" s="541">
        <f t="shared" si="195"/>
        <v>4.3692145521234717E-2</v>
      </c>
      <c r="O170" s="541">
        <f t="shared" si="195"/>
        <v>4.0585350479818046E-2</v>
      </c>
      <c r="P170" s="541">
        <f t="shared" si="195"/>
        <v>3.6115080807050101E-2</v>
      </c>
      <c r="Q170" s="541">
        <f t="shared" si="195"/>
        <v>3.5231110596409952E-2</v>
      </c>
      <c r="R170" s="541">
        <f t="shared" si="195"/>
        <v>2.8437694900089974E-2</v>
      </c>
      <c r="S170" s="541">
        <f t="shared" si="195"/>
        <v>3.2764397796923403E-2</v>
      </c>
      <c r="T170" s="541">
        <f t="shared" si="195"/>
        <v>4.8712907832688161E-2</v>
      </c>
      <c r="U170" s="699"/>
      <c r="V170" s="541">
        <f t="shared" ref="V170:AD170" si="196">V163/V$164</f>
        <v>9.4271401761762297E-2</v>
      </c>
      <c r="W170" s="541">
        <f t="shared" si="196"/>
        <v>8.9707962391677457E-2</v>
      </c>
      <c r="X170" s="541">
        <f t="shared" si="196"/>
        <v>9.009018261311641E-2</v>
      </c>
      <c r="Y170" s="541">
        <f t="shared" si="196"/>
        <v>6.0345704789340468E-2</v>
      </c>
      <c r="Z170" s="541">
        <f t="shared" si="196"/>
        <v>4.0891506583296482E-2</v>
      </c>
      <c r="AA170" s="541">
        <f t="shared" si="196"/>
        <v>3.6383644499834056E-2</v>
      </c>
      <c r="AB170" s="541">
        <f t="shared" si="196"/>
        <v>5.3426848957407451E-2</v>
      </c>
      <c r="AC170" s="541">
        <f t="shared" si="196"/>
        <v>8.4402512437145374E-2</v>
      </c>
      <c r="AD170" s="541">
        <f t="shared" si="196"/>
        <v>8.3037523631455376E-2</v>
      </c>
    </row>
    <row r="171" spans="3:30" ht="11.25" customHeight="1">
      <c r="E171" s="255"/>
      <c r="F171" s="255"/>
      <c r="G171" s="255"/>
      <c r="H171" s="255"/>
      <c r="I171" s="634"/>
      <c r="J171" s="255"/>
      <c r="K171" s="255"/>
      <c r="L171" s="255"/>
      <c r="M171" s="255"/>
      <c r="N171" s="255"/>
      <c r="O171" s="255"/>
      <c r="P171" s="255"/>
      <c r="U171" s="699"/>
    </row>
    <row r="172" spans="3:30" ht="11.25" customHeight="1">
      <c r="C172" s="279" t="s">
        <v>394</v>
      </c>
      <c r="U172" s="255"/>
    </row>
    <row r="173" spans="3:30" s="257" customFormat="1" ht="11.25" customHeight="1">
      <c r="C173" s="257" t="s">
        <v>396</v>
      </c>
      <c r="I173" s="695">
        <f>I160/E160-1</f>
        <v>-1.1221513049421761E-2</v>
      </c>
      <c r="J173" s="695">
        <f>J160/F160-1</f>
        <v>-0.79761523058889694</v>
      </c>
      <c r="K173" s="695">
        <f>K160/G160-1</f>
        <v>-0.51694283451740608</v>
      </c>
      <c r="L173" s="695">
        <f>L160/H160-1</f>
        <v>-0.35592893577164975</v>
      </c>
      <c r="M173" s="695">
        <f>M160/E160-1</f>
        <v>-0.27534043712672251</v>
      </c>
      <c r="N173" s="695">
        <f>N160/F160-1</f>
        <v>-0.18757441828371191</v>
      </c>
      <c r="O173" s="695">
        <f>O160/G160-1</f>
        <v>-0.15513498887490185</v>
      </c>
      <c r="P173" s="695">
        <f>P160/H160-1</f>
        <v>-0.10277324231079232</v>
      </c>
      <c r="Q173" s="695">
        <f>Q160/E160-1</f>
        <v>-6.7928336787505095E-2</v>
      </c>
      <c r="R173" s="695">
        <f>R160/F160-1</f>
        <v>-0.11041395234692497</v>
      </c>
      <c r="S173" s="393">
        <v>-7.0000000000000007E-2</v>
      </c>
      <c r="T173" s="393">
        <v>0.01</v>
      </c>
      <c r="U173" s="699"/>
      <c r="W173" s="257">
        <f t="shared" ref="W173:Y177" si="197">W160/V160-1</f>
        <v>5.1930077279373155E-2</v>
      </c>
      <c r="X173" s="257">
        <f t="shared" si="197"/>
        <v>5.3188922275657191E-2</v>
      </c>
      <c r="Y173" s="257">
        <f t="shared" si="197"/>
        <v>-0.43254561812933867</v>
      </c>
      <c r="Z173" s="257">
        <f>Z160/X160-1</f>
        <v>-0.17829170696946484</v>
      </c>
      <c r="AA173" s="257">
        <f>AA160/X160-1</f>
        <v>-6.0200527126435532E-2</v>
      </c>
      <c r="AB173" s="393">
        <v>0.05</v>
      </c>
      <c r="AC173" s="393">
        <v>0.1</v>
      </c>
      <c r="AD173" s="393">
        <v>0.12</v>
      </c>
    </row>
    <row r="174" spans="3:30" s="257" customFormat="1" ht="11.25" customHeight="1">
      <c r="C174" s="257" t="s">
        <v>397</v>
      </c>
      <c r="I174" s="699">
        <v>-5.8999999999999997E-2</v>
      </c>
      <c r="J174" s="699">
        <v>-0.97</v>
      </c>
      <c r="K174" s="699">
        <v>-0.71</v>
      </c>
      <c r="L174" s="699">
        <v>-0.31</v>
      </c>
      <c r="M174" s="699">
        <v>-0.11</v>
      </c>
      <c r="N174" s="699">
        <v>-0.06</v>
      </c>
      <c r="O174" s="699">
        <v>-7.3999999999999996E-2</v>
      </c>
      <c r="P174" s="699">
        <v>-0.08</v>
      </c>
      <c r="Q174" s="699">
        <v>-0.12</v>
      </c>
      <c r="R174" s="699">
        <v>-9.7600000000000006E-2</v>
      </c>
      <c r="S174" s="393">
        <v>-0.08</v>
      </c>
      <c r="T174" s="393">
        <v>-0.02</v>
      </c>
      <c r="U174" s="699"/>
      <c r="W174" s="257">
        <f t="shared" si="197"/>
        <v>-5.3221819331339404E-3</v>
      </c>
      <c r="X174" s="257">
        <f t="shared" si="197"/>
        <v>-8.8615184833962246E-3</v>
      </c>
      <c r="Y174" s="257">
        <f t="shared" si="197"/>
        <v>-0.48921661723988186</v>
      </c>
      <c r="Z174" s="257">
        <f>Z161/X161-1</f>
        <v>-8.2620184408761177E-2</v>
      </c>
      <c r="AA174" s="257">
        <f>AA161/X161-1</f>
        <v>-8.2480355328638733E-2</v>
      </c>
      <c r="AB174" s="393">
        <v>0.02</v>
      </c>
      <c r="AC174" s="393">
        <v>0.05</v>
      </c>
      <c r="AD174" s="393">
        <v>0.11</v>
      </c>
    </row>
    <row r="175" spans="3:30" s="257" customFormat="1" ht="11.25" customHeight="1">
      <c r="C175" s="257" t="s">
        <v>398</v>
      </c>
      <c r="I175" s="699">
        <v>-0.121</v>
      </c>
      <c r="J175" s="699">
        <v>-0.95</v>
      </c>
      <c r="K175" s="699">
        <v>-0.84</v>
      </c>
      <c r="L175" s="699">
        <v>-0.69</v>
      </c>
      <c r="M175" s="699">
        <v>-0.68</v>
      </c>
      <c r="N175" s="699">
        <v>-0.68</v>
      </c>
      <c r="O175" s="699">
        <v>-0.56000000000000005</v>
      </c>
      <c r="P175" s="699">
        <v>-0.42</v>
      </c>
      <c r="Q175" s="699">
        <v>-0.33</v>
      </c>
      <c r="R175" s="699">
        <v>-0.1744</v>
      </c>
      <c r="S175" s="393">
        <v>-0.15</v>
      </c>
      <c r="T175" s="393">
        <v>-0.08</v>
      </c>
      <c r="U175" s="699"/>
      <c r="W175" s="257">
        <f t="shared" si="197"/>
        <v>2.7138075472198375E-2</v>
      </c>
      <c r="X175" s="257">
        <f t="shared" si="197"/>
        <v>4.3977919327356618E-2</v>
      </c>
      <c r="Y175" s="257">
        <f t="shared" si="197"/>
        <v>-0.70891700090708998</v>
      </c>
      <c r="Z175" s="257">
        <f>Z162/X162-1</f>
        <v>-0.58596098899217219</v>
      </c>
      <c r="AA175" s="257">
        <f>AA162/X162-1</f>
        <v>-0.17464388373149708</v>
      </c>
      <c r="AB175" s="393">
        <v>7.4999999999999997E-2</v>
      </c>
      <c r="AC175" s="393">
        <v>0.05</v>
      </c>
      <c r="AD175" s="393">
        <v>0.05</v>
      </c>
    </row>
    <row r="176" spans="3:30" s="257" customFormat="1" ht="11.25" customHeight="1">
      <c r="C176" s="257" t="s">
        <v>399</v>
      </c>
      <c r="I176" s="699">
        <v>-0.26500000000000001</v>
      </c>
      <c r="J176" s="699">
        <v>-0.9</v>
      </c>
      <c r="K176" s="699">
        <v>-0.78</v>
      </c>
      <c r="L176" s="699">
        <v>-0.7</v>
      </c>
      <c r="M176" s="699">
        <v>-0.69</v>
      </c>
      <c r="N176" s="699">
        <v>-0.67</v>
      </c>
      <c r="O176" s="699">
        <v>-0.67</v>
      </c>
      <c r="P176" s="699">
        <v>-0.69</v>
      </c>
      <c r="Q176" s="699">
        <v>-0.68</v>
      </c>
      <c r="R176" s="699">
        <v>-0.73930000000000007</v>
      </c>
      <c r="S176" s="393">
        <v>-0.68</v>
      </c>
      <c r="T176" s="393">
        <v>-0.5</v>
      </c>
      <c r="U176" s="699"/>
      <c r="W176" s="257">
        <f t="shared" si="197"/>
        <v>-1.4581875687287638E-2</v>
      </c>
      <c r="X176" s="257">
        <f t="shared" si="197"/>
        <v>5.0074481071173294E-2</v>
      </c>
      <c r="Y176" s="257">
        <f t="shared" si="197"/>
        <v>-0.67323025064432729</v>
      </c>
      <c r="Z176" s="257">
        <f>Z163/X163-1</f>
        <v>-0.67945810808854723</v>
      </c>
      <c r="AA176" s="257">
        <f>AA163/X163-1</f>
        <v>-0.65162097820128606</v>
      </c>
      <c r="AB176" s="393">
        <v>-0.4</v>
      </c>
      <c r="AC176" s="393">
        <v>0.01</v>
      </c>
      <c r="AD176" s="393">
        <v>0.01</v>
      </c>
    </row>
    <row r="177" spans="1:31" s="403" customFormat="1" ht="11.25" customHeight="1">
      <c r="C177" s="700" t="s">
        <v>393</v>
      </c>
      <c r="E177" s="257"/>
      <c r="F177" s="257"/>
      <c r="G177" s="257"/>
      <c r="H177" s="257"/>
      <c r="I177" s="659">
        <f>I164/E164-1</f>
        <v>-5.6572032812099438E-2</v>
      </c>
      <c r="J177" s="659">
        <f>J164/F164-1</f>
        <v>-0.85232879003261142</v>
      </c>
      <c r="K177" s="659">
        <f>K164/G164-1</f>
        <v>-0.62649520741464448</v>
      </c>
      <c r="L177" s="659">
        <f>L164/H164-1</f>
        <v>-0.44142176330420968</v>
      </c>
      <c r="M177" s="659">
        <f>M164/E164-1</f>
        <v>-0.35724814150217887</v>
      </c>
      <c r="N177" s="659">
        <f>N164/F164-1</f>
        <v>-0.32367533517295199</v>
      </c>
      <c r="O177" s="659">
        <f>O164/G164-1</f>
        <v>-0.28595759288109646</v>
      </c>
      <c r="P177" s="659">
        <f>P164/H164-1</f>
        <v>-0.20962913178957665</v>
      </c>
      <c r="Q177" s="659">
        <f>Q164/E164-1</f>
        <v>-0.16992437836452179</v>
      </c>
      <c r="R177" s="659">
        <f>R164/F164-1</f>
        <v>-0.17909802937815322</v>
      </c>
      <c r="S177" s="659">
        <f>S164/G164-1</f>
        <v>-0.14231630416413621</v>
      </c>
      <c r="T177" s="659">
        <f>T164/H164-1</f>
        <v>-5.4886925585629576E-2</v>
      </c>
      <c r="U177" s="257"/>
      <c r="W177" s="659">
        <f t="shared" si="197"/>
        <v>3.5546292923317013E-2</v>
      </c>
      <c r="X177" s="659">
        <f t="shared" si="197"/>
        <v>4.5619392968998973E-2</v>
      </c>
      <c r="Y177" s="659">
        <f t="shared" si="197"/>
        <v>-0.51216500835209522</v>
      </c>
      <c r="Z177" s="659">
        <f>Z164/X164-1</f>
        <v>-0.29379766141331976</v>
      </c>
      <c r="AA177" s="659">
        <f>AA164/$X164-1</f>
        <v>-0.13737257155290872</v>
      </c>
      <c r="AB177" s="659">
        <f>AB164/$X164-1</f>
        <v>1.1740550354419454E-2</v>
      </c>
      <c r="AC177" s="659">
        <f>AC164/$X164-1</f>
        <v>7.8061325567870155E-2</v>
      </c>
      <c r="AD177" s="659">
        <f>AD164/$X164-1</f>
        <v>9.578273122754033E-2</v>
      </c>
      <c r="AE177" s="257"/>
    </row>
    <row r="178" spans="1:31" ht="11.25" customHeight="1">
      <c r="O178" s="257"/>
      <c r="S178" s="387"/>
      <c r="U178" s="255"/>
    </row>
    <row r="179" spans="1:31" ht="11.25" customHeight="1">
      <c r="A179" s="701"/>
      <c r="C179" s="397" t="s">
        <v>402</v>
      </c>
      <c r="R179" s="257"/>
      <c r="S179" s="257"/>
      <c r="T179" s="257"/>
      <c r="U179" s="255"/>
    </row>
    <row r="180" spans="1:31" ht="11.25" customHeight="1">
      <c r="A180" s="701"/>
      <c r="C180" s="253" t="s">
        <v>396</v>
      </c>
      <c r="E180" s="257">
        <f t="shared" ref="E180:Q180" si="198">E187/E160</f>
        <v>0.8286200895263125</v>
      </c>
      <c r="F180" s="257">
        <f t="shared" si="198"/>
        <v>0.88967193150975388</v>
      </c>
      <c r="G180" s="257">
        <f t="shared" si="198"/>
        <v>0.88511248531955544</v>
      </c>
      <c r="H180" s="257">
        <f t="shared" si="198"/>
        <v>0.86777457646936673</v>
      </c>
      <c r="I180" s="257">
        <f t="shared" si="198"/>
        <v>0.71966418510157593</v>
      </c>
      <c r="J180" s="257">
        <f t="shared" si="198"/>
        <v>0.33679718917809043</v>
      </c>
      <c r="K180" s="257">
        <f t="shared" si="198"/>
        <v>0.43218702308158852</v>
      </c>
      <c r="L180" s="257">
        <f t="shared" si="198"/>
        <v>0.43809221564593986</v>
      </c>
      <c r="M180" s="257">
        <f t="shared" si="198"/>
        <v>0.48959898056461676</v>
      </c>
      <c r="N180" s="257">
        <f t="shared" si="198"/>
        <v>0.74785598719016122</v>
      </c>
      <c r="O180" s="257">
        <f t="shared" si="198"/>
        <v>0.84251809811569545</v>
      </c>
      <c r="P180" s="257">
        <f t="shared" si="198"/>
        <v>0.82332052194573868</v>
      </c>
      <c r="Q180" s="257">
        <f t="shared" si="198"/>
        <v>0.78223802727176006</v>
      </c>
      <c r="R180" s="257">
        <f t="shared" ref="R180" si="199">R187/R160</f>
        <v>0.89750625840334175</v>
      </c>
      <c r="S180" s="393">
        <v>0.88</v>
      </c>
      <c r="T180" s="393">
        <v>0.88</v>
      </c>
      <c r="U180" s="643"/>
      <c r="V180" s="257">
        <f t="shared" ref="V180:AA184" si="200">V187/V160</f>
        <v>0.85710587134005656</v>
      </c>
      <c r="W180" s="257">
        <f t="shared" si="200"/>
        <v>0.85481326072767638</v>
      </c>
      <c r="X180" s="257">
        <f t="shared" si="200"/>
        <v>0.86898755670012673</v>
      </c>
      <c r="Y180" s="257">
        <f t="shared" si="200"/>
        <v>0.54066752159257281</v>
      </c>
      <c r="Z180" s="257">
        <f t="shared" si="200"/>
        <v>0.74162730218734674</v>
      </c>
      <c r="AA180" s="257">
        <f t="shared" si="200"/>
        <v>0.86187695115049601</v>
      </c>
      <c r="AB180" s="393">
        <v>0.87</v>
      </c>
      <c r="AC180" s="393">
        <v>0.87</v>
      </c>
      <c r="AD180" s="393">
        <v>0.88</v>
      </c>
    </row>
    <row r="181" spans="1:31" ht="11.25" customHeight="1">
      <c r="A181" s="701"/>
      <c r="C181" s="253" t="s">
        <v>397</v>
      </c>
      <c r="E181" s="257">
        <f t="shared" ref="E181:Q181" si="201">E188/E161</f>
        <v>0.85052143247231615</v>
      </c>
      <c r="F181" s="257">
        <f t="shared" si="201"/>
        <v>0.88129233158907583</v>
      </c>
      <c r="G181" s="257">
        <f t="shared" si="201"/>
        <v>0.87311169631941665</v>
      </c>
      <c r="H181" s="257">
        <f t="shared" si="201"/>
        <v>0.92378893173820154</v>
      </c>
      <c r="I181" s="257">
        <f t="shared" si="201"/>
        <v>0.79177128038868105</v>
      </c>
      <c r="J181" s="257">
        <f t="shared" si="201"/>
        <v>0.58752822105938396</v>
      </c>
      <c r="K181" s="257">
        <f t="shared" si="201"/>
        <v>0.45160949809625001</v>
      </c>
      <c r="L181" s="257">
        <f t="shared" si="201"/>
        <v>0.48971432020967887</v>
      </c>
      <c r="M181" s="257">
        <f t="shared" si="201"/>
        <v>0.39181324417264002</v>
      </c>
      <c r="N181" s="257">
        <f t="shared" si="201"/>
        <v>0.69378332486799599</v>
      </c>
      <c r="O181" s="257">
        <f t="shared" si="201"/>
        <v>0.80145242102754211</v>
      </c>
      <c r="P181" s="257">
        <f t="shared" si="201"/>
        <v>0.82460486908158992</v>
      </c>
      <c r="Q181" s="257">
        <f t="shared" si="201"/>
        <v>0.76353628596946566</v>
      </c>
      <c r="R181" s="257">
        <f t="shared" ref="R181" si="202">R188/R161</f>
        <v>0.86000224645095313</v>
      </c>
      <c r="S181" s="393">
        <v>0.85</v>
      </c>
      <c r="T181" s="393">
        <v>0.86</v>
      </c>
      <c r="U181" s="643"/>
      <c r="V181" s="257">
        <f t="shared" si="200"/>
        <v>0.86710975693697934</v>
      </c>
      <c r="W181" s="257">
        <f t="shared" si="200"/>
        <v>0.8569296264448828</v>
      </c>
      <c r="X181" s="257">
        <f t="shared" si="200"/>
        <v>0.87998859462544798</v>
      </c>
      <c r="Y181" s="257">
        <f t="shared" si="200"/>
        <v>0.65127278515871101</v>
      </c>
      <c r="Z181" s="257">
        <f t="shared" si="200"/>
        <v>0.66178433280415982</v>
      </c>
      <c r="AA181" s="257">
        <f t="shared" si="200"/>
        <v>0.83024432881059484</v>
      </c>
      <c r="AB181" s="393">
        <v>0.86</v>
      </c>
      <c r="AC181" s="393">
        <v>0.87</v>
      </c>
      <c r="AD181" s="393">
        <v>0.87</v>
      </c>
    </row>
    <row r="182" spans="1:31" ht="11.25" customHeight="1">
      <c r="A182" s="701"/>
      <c r="C182" s="253" t="s">
        <v>398</v>
      </c>
      <c r="E182" s="257">
        <f t="shared" ref="E182:Q182" si="203">E189/E162</f>
        <v>0.78815178206724346</v>
      </c>
      <c r="F182" s="257">
        <f t="shared" si="203"/>
        <v>0.86431093344265775</v>
      </c>
      <c r="G182" s="257">
        <f t="shared" si="203"/>
        <v>0.88663306045407142</v>
      </c>
      <c r="H182" s="257">
        <f t="shared" si="203"/>
        <v>0.79307618035680827</v>
      </c>
      <c r="I182" s="257">
        <f t="shared" si="203"/>
        <v>0.72269662838020277</v>
      </c>
      <c r="J182" s="257">
        <f t="shared" si="203"/>
        <v>0.34572437337706313</v>
      </c>
      <c r="K182" s="257">
        <f t="shared" si="203"/>
        <v>0.27707283139189753</v>
      </c>
      <c r="L182" s="257">
        <f t="shared" si="203"/>
        <v>0.27540400618260519</v>
      </c>
      <c r="M182" s="257">
        <f t="shared" si="203"/>
        <v>0.32018666146481772</v>
      </c>
      <c r="N182" s="257">
        <f t="shared" si="203"/>
        <v>0.43215546672132898</v>
      </c>
      <c r="O182" s="257">
        <f t="shared" si="203"/>
        <v>0.70527629808846592</v>
      </c>
      <c r="P182" s="257">
        <f t="shared" si="203"/>
        <v>0.6305448215042404</v>
      </c>
      <c r="Q182" s="257">
        <f t="shared" si="203"/>
        <v>0.64699026886117017</v>
      </c>
      <c r="R182" s="257">
        <f>R189/R162</f>
        <v>0.8408606367988648</v>
      </c>
      <c r="S182" s="393">
        <v>0.88</v>
      </c>
      <c r="T182" s="393">
        <v>0.85</v>
      </c>
      <c r="U182" s="643"/>
      <c r="V182" s="257">
        <f t="shared" si="200"/>
        <v>0.84296974470152963</v>
      </c>
      <c r="W182" s="257">
        <f t="shared" si="200"/>
        <v>0.85270479759232298</v>
      </c>
      <c r="X182" s="257">
        <f t="shared" si="200"/>
        <v>0.84254383203824623</v>
      </c>
      <c r="Y182" s="257">
        <f t="shared" si="200"/>
        <v>0.52396098893691245</v>
      </c>
      <c r="Z182" s="257">
        <f t="shared" si="200"/>
        <v>0.5692270170525312</v>
      </c>
      <c r="AA182" s="257">
        <f t="shared" si="200"/>
        <v>0.82750153545497773</v>
      </c>
      <c r="AB182" s="393">
        <v>0.84</v>
      </c>
      <c r="AC182" s="393">
        <v>0.85</v>
      </c>
      <c r="AD182" s="393">
        <v>0.85</v>
      </c>
    </row>
    <row r="183" spans="1:31" ht="11.25" customHeight="1">
      <c r="A183" s="701"/>
      <c r="C183" s="253" t="s">
        <v>399</v>
      </c>
      <c r="E183" s="257">
        <f t="shared" ref="E183:Q183" si="204">E190/E163</f>
        <v>0.85239677798762536</v>
      </c>
      <c r="F183" s="257">
        <f t="shared" si="204"/>
        <v>0.8529172589253573</v>
      </c>
      <c r="G183" s="257">
        <f t="shared" si="204"/>
        <v>0.86403379595447449</v>
      </c>
      <c r="H183" s="257">
        <f t="shared" si="204"/>
        <v>0.82826710614618282</v>
      </c>
      <c r="I183" s="257">
        <f t="shared" si="204"/>
        <v>0.76541751492766363</v>
      </c>
      <c r="J183" s="257">
        <f t="shared" si="204"/>
        <v>0.34116690357014329</v>
      </c>
      <c r="K183" s="257">
        <f t="shared" si="204"/>
        <v>0.23564558071485694</v>
      </c>
      <c r="L183" s="257">
        <f t="shared" si="204"/>
        <v>0.18496521219133663</v>
      </c>
      <c r="M183" s="257">
        <f t="shared" si="204"/>
        <v>0.16498002154599214</v>
      </c>
      <c r="N183" s="257">
        <f t="shared" si="204"/>
        <v>0.18092184280234844</v>
      </c>
      <c r="O183" s="257">
        <f t="shared" si="204"/>
        <v>0.26182842301650738</v>
      </c>
      <c r="P183" s="257">
        <f t="shared" si="204"/>
        <v>0.31730272864936465</v>
      </c>
      <c r="Q183" s="257">
        <f t="shared" si="204"/>
        <v>0.31964879174535954</v>
      </c>
      <c r="R183" s="257">
        <f t="shared" ref="R183" si="205">R190/R163</f>
        <v>0.62750107503599328</v>
      </c>
      <c r="S183" s="393">
        <v>0.6</v>
      </c>
      <c r="T183" s="393">
        <v>0.55000000000000004</v>
      </c>
      <c r="U183" s="643"/>
      <c r="V183" s="257">
        <f t="shared" si="200"/>
        <v>0.8651016023175242</v>
      </c>
      <c r="W183" s="257">
        <f t="shared" si="200"/>
        <v>0.86210082046980818</v>
      </c>
      <c r="X183" s="257">
        <f t="shared" si="200"/>
        <v>0.84978841368147817</v>
      </c>
      <c r="Y183" s="257">
        <f t="shared" si="200"/>
        <v>0.50668050934722908</v>
      </c>
      <c r="Z183" s="257">
        <f t="shared" si="200"/>
        <v>0.23175706710140281</v>
      </c>
      <c r="AA183" s="257">
        <f t="shared" si="200"/>
        <v>0.52868516188612313</v>
      </c>
      <c r="AB183" s="393">
        <v>0.7</v>
      </c>
      <c r="AC183" s="393">
        <f>$X183</f>
        <v>0.84978841368147817</v>
      </c>
      <c r="AD183" s="393">
        <v>0.85</v>
      </c>
    </row>
    <row r="184" spans="1:31" s="257" customFormat="1" ht="11.25" customHeight="1">
      <c r="A184" s="701"/>
      <c r="C184" s="700" t="s">
        <v>403</v>
      </c>
      <c r="E184" s="702">
        <f t="shared" ref="E184:Q184" si="206">E191/E164</f>
        <v>0.82698346577800563</v>
      </c>
      <c r="F184" s="702">
        <f t="shared" si="206"/>
        <v>0.88041084817571147</v>
      </c>
      <c r="G184" s="702">
        <f t="shared" si="206"/>
        <v>0.88275989543450117</v>
      </c>
      <c r="H184" s="702">
        <f t="shared" si="206"/>
        <v>0.8558074173642084</v>
      </c>
      <c r="I184" s="702">
        <f t="shared" si="206"/>
        <v>0.73128980215674622</v>
      </c>
      <c r="J184" s="702">
        <f t="shared" si="206"/>
        <v>0.3417327293318233</v>
      </c>
      <c r="K184" s="702">
        <f t="shared" si="206"/>
        <v>0.40809473312124428</v>
      </c>
      <c r="L184" s="702">
        <f t="shared" si="206"/>
        <v>0.41518772731001663</v>
      </c>
      <c r="M184" s="702">
        <f t="shared" si="206"/>
        <v>0.44738022832643698</v>
      </c>
      <c r="N184" s="702">
        <f t="shared" si="206"/>
        <v>0.6858785468482762</v>
      </c>
      <c r="O184" s="702">
        <f t="shared" si="206"/>
        <v>0.7961281733631641</v>
      </c>
      <c r="P184" s="702">
        <f t="shared" si="206"/>
        <v>0.78080550401978976</v>
      </c>
      <c r="Q184" s="702">
        <f t="shared" si="206"/>
        <v>0.74696004632310364</v>
      </c>
      <c r="R184" s="702">
        <f t="shared" ref="R184" si="207">R191/R164</f>
        <v>0.87464135952328403</v>
      </c>
      <c r="S184" s="702">
        <f>S191/S164</f>
        <v>0.86856150408092581</v>
      </c>
      <c r="T184" s="702">
        <f>T191/T164</f>
        <v>0.85721714771316193</v>
      </c>
      <c r="U184" s="255"/>
      <c r="V184" s="702">
        <f t="shared" si="200"/>
        <v>0.85603814965752845</v>
      </c>
      <c r="W184" s="702">
        <f t="shared" si="200"/>
        <v>0.85524892486933046</v>
      </c>
      <c r="X184" s="702">
        <f t="shared" si="200"/>
        <v>0.86309826421671876</v>
      </c>
      <c r="Y184" s="702">
        <f t="shared" si="200"/>
        <v>0.54645675152597872</v>
      </c>
      <c r="Z184" s="702">
        <f t="shared" si="200"/>
        <v>0.6925964396268911</v>
      </c>
      <c r="AA184" s="702">
        <f t="shared" si="200"/>
        <v>0.84059278809884908</v>
      </c>
      <c r="AB184" s="702">
        <f>AB191/AB164</f>
        <v>0.85393655657946077</v>
      </c>
      <c r="AC184" s="702">
        <f>AC191/AC164</f>
        <v>0.86454714959352363</v>
      </c>
      <c r="AD184" s="702">
        <f>AD191/AD164</f>
        <v>0.87112585301766876</v>
      </c>
    </row>
    <row r="185" spans="1:31" ht="11.25" customHeight="1">
      <c r="A185" s="701"/>
      <c r="E185" s="695"/>
      <c r="F185" s="695"/>
      <c r="G185" s="695"/>
      <c r="H185" s="695"/>
      <c r="I185" s="695"/>
      <c r="J185" s="695"/>
      <c r="K185" s="695"/>
      <c r="L185" s="695"/>
      <c r="M185" s="695"/>
      <c r="N185" s="695"/>
      <c r="O185" s="695"/>
      <c r="P185" s="695"/>
      <c r="Q185" s="699"/>
      <c r="R185" s="699"/>
      <c r="S185" s="699"/>
      <c r="T185" s="699"/>
      <c r="U185" s="255"/>
      <c r="V185" s="699"/>
      <c r="W185" s="699"/>
      <c r="X185" s="699"/>
      <c r="Y185" s="699"/>
      <c r="Z185" s="699"/>
      <c r="AA185" s="699"/>
      <c r="AB185" s="699"/>
      <c r="AC185" s="699"/>
      <c r="AD185" s="699"/>
    </row>
    <row r="186" spans="1:31" ht="11.25" customHeight="1">
      <c r="A186" s="701"/>
      <c r="C186" s="397" t="s">
        <v>1000</v>
      </c>
      <c r="E186" s="695"/>
      <c r="F186" s="695"/>
      <c r="G186" s="695"/>
      <c r="H186" s="695"/>
      <c r="I186" s="695"/>
      <c r="J186" s="695"/>
      <c r="K186" s="695"/>
      <c r="L186" s="695"/>
      <c r="M186" s="695"/>
      <c r="N186" s="695"/>
      <c r="O186" s="695"/>
      <c r="P186" s="695"/>
      <c r="Q186" s="699"/>
      <c r="R186" s="699"/>
      <c r="S186" s="699"/>
      <c r="T186" s="699"/>
      <c r="U186" s="255"/>
      <c r="V186" s="699"/>
      <c r="W186" s="699"/>
      <c r="X186" s="699"/>
      <c r="Y186" s="699"/>
      <c r="Z186" s="699"/>
      <c r="AA186" s="699"/>
      <c r="AB186" s="699"/>
      <c r="AC186" s="699"/>
      <c r="AD186" s="699"/>
    </row>
    <row r="187" spans="1:31" ht="11.25" customHeight="1">
      <c r="A187" s="701"/>
      <c r="C187" s="253" t="s">
        <v>396</v>
      </c>
      <c r="E187" s="254">
        <f>E191-SUM(E188:E190)</f>
        <v>33.331465999999999</v>
      </c>
      <c r="F187" s="254">
        <f t="shared" ref="F187:R187" si="208">F191-SUM(F188:F190)</f>
        <v>39.705334999999998</v>
      </c>
      <c r="G187" s="254">
        <f t="shared" si="208"/>
        <v>41.314298999999991</v>
      </c>
      <c r="H187" s="254">
        <f t="shared" si="208"/>
        <v>37.198404462344882</v>
      </c>
      <c r="I187" s="254">
        <f t="shared" si="208"/>
        <v>28.623837383999998</v>
      </c>
      <c r="J187" s="254">
        <f t="shared" si="208"/>
        <v>3.0420423799999994</v>
      </c>
      <c r="K187" s="254">
        <f t="shared" si="208"/>
        <v>9.7447829999999982</v>
      </c>
      <c r="L187" s="254">
        <f t="shared" si="208"/>
        <v>12.095301949795816</v>
      </c>
      <c r="M187" s="254">
        <f t="shared" si="208"/>
        <v>14.2716271</v>
      </c>
      <c r="N187" s="254">
        <f t="shared" si="208"/>
        <v>27.115682519999996</v>
      </c>
      <c r="O187" s="254">
        <f t="shared" si="208"/>
        <v>33.2252674</v>
      </c>
      <c r="P187" s="254">
        <f t="shared" si="208"/>
        <v>31.665660234900567</v>
      </c>
      <c r="Q187" s="254">
        <f t="shared" si="208"/>
        <v>29.328320020000003</v>
      </c>
      <c r="R187" s="254">
        <f t="shared" si="208"/>
        <v>35.632346578799996</v>
      </c>
      <c r="S187" s="254">
        <f t="shared" ref="S187:T190" si="209">S160*S180</f>
        <v>38.200367594400007</v>
      </c>
      <c r="T187" s="254">
        <f t="shared" si="209"/>
        <v>38.099689461574414</v>
      </c>
      <c r="U187" s="255"/>
      <c r="V187" s="277">
        <v>134.92184700000001</v>
      </c>
      <c r="W187" s="254">
        <f>W191-SUM(W188:W190)</f>
        <v>141.54871504800002</v>
      </c>
      <c r="X187" s="254">
        <f t="shared" ref="X187:AA190" si="210">SUMIF($E$5:$T$5,X$5,$E187:$T187)</f>
        <v>151.54950446234488</v>
      </c>
      <c r="Y187" s="254">
        <f t="shared" si="210"/>
        <v>53.505964713795812</v>
      </c>
      <c r="Z187" s="254">
        <f t="shared" si="210"/>
        <v>106.27823725490057</v>
      </c>
      <c r="AA187" s="254">
        <f t="shared" si="210"/>
        <v>141.26072365477444</v>
      </c>
      <c r="AB187" s="254">
        <f t="shared" ref="AB187:AD190" si="211">AB160*AB180</f>
        <v>159.31237594708804</v>
      </c>
      <c r="AC187" s="254">
        <f t="shared" si="211"/>
        <v>166.89867956361604</v>
      </c>
      <c r="AD187" s="254">
        <f t="shared" si="211"/>
        <v>171.88645619425284</v>
      </c>
    </row>
    <row r="188" spans="1:31" ht="11.25" customHeight="1">
      <c r="A188" s="701"/>
      <c r="C188" s="253" t="s">
        <v>397</v>
      </c>
      <c r="E188" s="277">
        <v>5.8557379999999997</v>
      </c>
      <c r="F188" s="277">
        <v>5.013294000000001</v>
      </c>
      <c r="G188" s="277">
        <v>4.653611999999999</v>
      </c>
      <c r="H188" s="277">
        <v>4.8955114343446997</v>
      </c>
      <c r="I188" s="255">
        <f t="shared" ref="I188:K190" si="212">(I195+1)*E188</f>
        <v>5.1296264879999995</v>
      </c>
      <c r="J188" s="255">
        <f t="shared" si="212"/>
        <v>0.10026588000000011</v>
      </c>
      <c r="K188" s="255">
        <f t="shared" si="212"/>
        <v>0.69804179999999993</v>
      </c>
      <c r="L188" s="254">
        <f>L127/L202/10</f>
        <v>1.7906768099614829</v>
      </c>
      <c r="M188" s="255">
        <f t="shared" ref="M188:O190" si="213">(M195+1)*E188</f>
        <v>2.40085258</v>
      </c>
      <c r="N188" s="255">
        <f t="shared" si="213"/>
        <v>3.7098375600000009</v>
      </c>
      <c r="O188" s="255">
        <f t="shared" si="213"/>
        <v>3.955570199999999</v>
      </c>
      <c r="P188" s="254">
        <f>P127/P202/10</f>
        <v>4.0203053236248651</v>
      </c>
      <c r="Q188" s="255">
        <f>(Q195+1)*E188</f>
        <v>4.6260330200000004</v>
      </c>
      <c r="R188" s="255">
        <f>(R195+1)*F188</f>
        <v>4.4147066964000006</v>
      </c>
      <c r="S188" s="254">
        <f t="shared" si="209"/>
        <v>4.1679943119999994</v>
      </c>
      <c r="T188" s="254">
        <f t="shared" si="209"/>
        <v>4.4663200598239987</v>
      </c>
      <c r="U188" s="255"/>
      <c r="V188" s="277">
        <v>20.407826999999997</v>
      </c>
      <c r="W188" s="255">
        <f>(W195+1)*V188</f>
        <v>20.060893940999996</v>
      </c>
      <c r="X188" s="254">
        <f>SUMIF($E$5:$T$5,X$5,$E188:$T188)</f>
        <v>20.418155434344698</v>
      </c>
      <c r="Y188" s="254">
        <f>SUMIF($E$5:$T$5,Y$5,$E188:$T188)</f>
        <v>7.7186109779614833</v>
      </c>
      <c r="Z188" s="254">
        <f>SUMIF($E$5:$T$5,Z$5,$E188:$T188)</f>
        <v>14.086565663624864</v>
      </c>
      <c r="AA188" s="254">
        <f>SUMIF($E$5:$T$5,AA$5,$E188:$T188)</f>
        <v>17.675054088223998</v>
      </c>
      <c r="AB188" s="254">
        <f t="shared" si="211"/>
        <v>20.353452370176001</v>
      </c>
      <c r="AC188" s="254">
        <f t="shared" si="211"/>
        <v>21.195712198079999</v>
      </c>
      <c r="AD188" s="254">
        <f t="shared" si="211"/>
        <v>22.406895752255998</v>
      </c>
    </row>
    <row r="189" spans="1:31" ht="11.25" customHeight="1">
      <c r="A189" s="701"/>
      <c r="C189" s="253" t="s">
        <v>398</v>
      </c>
      <c r="E189" s="277">
        <v>7.5676079999999999</v>
      </c>
      <c r="F189" s="277">
        <v>12.974155</v>
      </c>
      <c r="G189" s="277">
        <v>15.147014000000002</v>
      </c>
      <c r="H189" s="277">
        <v>8.9411330407838197</v>
      </c>
      <c r="I189" s="255">
        <f t="shared" si="212"/>
        <v>6.0994920480000001</v>
      </c>
      <c r="J189" s="255">
        <f t="shared" si="212"/>
        <v>0.25948310000000024</v>
      </c>
      <c r="K189" s="255">
        <f t="shared" si="212"/>
        <v>0.75735070000000082</v>
      </c>
      <c r="L189" s="254">
        <f>L128/L203/10</f>
        <v>0.96251963590944967</v>
      </c>
      <c r="M189" s="255">
        <f t="shared" si="213"/>
        <v>0.98378904</v>
      </c>
      <c r="N189" s="255">
        <f t="shared" si="213"/>
        <v>2.0758648000000002</v>
      </c>
      <c r="O189" s="255">
        <f t="shared" si="213"/>
        <v>5.3014549000000004</v>
      </c>
      <c r="P189" s="254">
        <f>P128/P203/10</f>
        <v>4.1230785397336449</v>
      </c>
      <c r="Q189" s="255">
        <f>(Q196+1)*E189</f>
        <v>4.1621844000000001</v>
      </c>
      <c r="R189" s="255">
        <f t="shared" ref="R189:R190" si="214">(R196+1)*F189</f>
        <v>10.420841296000001</v>
      </c>
      <c r="S189" s="254">
        <f t="shared" si="209"/>
        <v>12.778642008</v>
      </c>
      <c r="T189" s="254">
        <f t="shared" si="209"/>
        <v>8.8162602926079963</v>
      </c>
      <c r="U189" s="255"/>
      <c r="V189" s="277">
        <v>41.641402999999997</v>
      </c>
      <c r="W189" s="255">
        <f>(W196+1)*V189</f>
        <v>43.265417716999991</v>
      </c>
      <c r="X189" s="254">
        <f t="shared" si="210"/>
        <v>44.62991004078382</v>
      </c>
      <c r="Y189" s="254">
        <f t="shared" si="210"/>
        <v>8.0788454839094506</v>
      </c>
      <c r="Z189" s="254">
        <f t="shared" si="210"/>
        <v>12.484187279733646</v>
      </c>
      <c r="AA189" s="254">
        <f t="shared" si="210"/>
        <v>36.177927996607991</v>
      </c>
      <c r="AB189" s="254">
        <f t="shared" si="211"/>
        <v>47.83229932303199</v>
      </c>
      <c r="AC189" s="254">
        <f t="shared" si="211"/>
        <v>47.276109796019995</v>
      </c>
      <c r="AD189" s="254">
        <f t="shared" si="211"/>
        <v>47.276109796019995</v>
      </c>
    </row>
    <row r="190" spans="1:31" ht="11.25" customHeight="1">
      <c r="A190" s="701"/>
      <c r="C190" s="253" t="s">
        <v>399</v>
      </c>
      <c r="E190" s="277">
        <v>4.8621879999999997</v>
      </c>
      <c r="F190" s="277">
        <v>5.4802160000000004</v>
      </c>
      <c r="G190" s="277">
        <v>5.7470750000000006</v>
      </c>
      <c r="H190" s="277">
        <v>4.9929510625265996</v>
      </c>
      <c r="I190" s="255">
        <f t="shared" si="212"/>
        <v>3.2090440799999995</v>
      </c>
      <c r="J190" s="255">
        <f t="shared" si="212"/>
        <v>0.2192086400000002</v>
      </c>
      <c r="K190" s="255">
        <f t="shared" si="212"/>
        <v>0.34482450000000037</v>
      </c>
      <c r="L190" s="254">
        <f>L129/L204/10</f>
        <v>0.33450160433325149</v>
      </c>
      <c r="M190" s="255">
        <f t="shared" si="213"/>
        <v>0.29173128000000026</v>
      </c>
      <c r="N190" s="255">
        <f t="shared" si="213"/>
        <v>0.38361511999999975</v>
      </c>
      <c r="O190" s="255">
        <f t="shared" si="213"/>
        <v>0.57470749999999993</v>
      </c>
      <c r="P190" s="254">
        <f>P129/P204/10</f>
        <v>0.59295590174092316</v>
      </c>
      <c r="Q190" s="255">
        <f>(Q197+1)*E190</f>
        <v>0.58346255999999996</v>
      </c>
      <c r="R190" s="255">
        <f t="shared" si="214"/>
        <v>1.0511054287999992</v>
      </c>
      <c r="S190" s="254">
        <f t="shared" si="209"/>
        <v>1.2770778239999996</v>
      </c>
      <c r="T190" s="254">
        <f t="shared" si="209"/>
        <v>1.6577521092</v>
      </c>
      <c r="U190" s="255"/>
      <c r="V190" s="277">
        <v>20.741316999999999</v>
      </c>
      <c r="W190" s="255">
        <f>(W197+1)*V190</f>
        <v>20.367973293999999</v>
      </c>
      <c r="X190" s="254">
        <f t="shared" si="210"/>
        <v>21.082430062526601</v>
      </c>
      <c r="Y190" s="254">
        <f t="shared" si="210"/>
        <v>4.1075788243332516</v>
      </c>
      <c r="Z190" s="254">
        <f t="shared" si="210"/>
        <v>1.8430098017409231</v>
      </c>
      <c r="AA190" s="254">
        <f t="shared" si="210"/>
        <v>4.5693979219999985</v>
      </c>
      <c r="AB190" s="254">
        <f t="shared" si="211"/>
        <v>10.419794484959999</v>
      </c>
      <c r="AC190" s="254">
        <f t="shared" si="211"/>
        <v>21.293254363151867</v>
      </c>
      <c r="AD190" s="254">
        <f t="shared" si="211"/>
        <v>21.298556107947999</v>
      </c>
    </row>
    <row r="191" spans="1:31" s="255" customFormat="1" ht="11.25" customHeight="1">
      <c r="A191" s="701"/>
      <c r="C191" s="286" t="s">
        <v>1001</v>
      </c>
      <c r="E191" s="382">
        <v>51.616999999999997</v>
      </c>
      <c r="F191" s="382">
        <v>63.173000000000002</v>
      </c>
      <c r="G191" s="382">
        <v>66.861999999999995</v>
      </c>
      <c r="H191" s="382">
        <v>56.027999999999999</v>
      </c>
      <c r="I191" s="382">
        <v>43.061999999999998</v>
      </c>
      <c r="J191" s="382">
        <v>3.621</v>
      </c>
      <c r="K191" s="382">
        <v>11.545</v>
      </c>
      <c r="L191" s="382">
        <v>15.183</v>
      </c>
      <c r="M191" s="382">
        <v>17.948</v>
      </c>
      <c r="N191" s="382">
        <v>33.284999999999997</v>
      </c>
      <c r="O191" s="382">
        <v>43.057000000000002</v>
      </c>
      <c r="P191" s="382">
        <v>40.402000000000001</v>
      </c>
      <c r="Q191" s="382">
        <v>38.700000000000003</v>
      </c>
      <c r="R191" s="382">
        <v>51.518999999999998</v>
      </c>
      <c r="S191" s="357">
        <f>SUM(S187:S190)</f>
        <v>56.424081738400005</v>
      </c>
      <c r="T191" s="357">
        <f>SUM(T187:T190)</f>
        <v>53.040021923206403</v>
      </c>
      <c r="V191" s="382">
        <v>217.71199999999999</v>
      </c>
      <c r="W191" s="382">
        <v>225.24299999999999</v>
      </c>
      <c r="X191" s="357">
        <f t="shared" ref="X191:AD191" si="215">SUM(X187:X190)</f>
        <v>237.68</v>
      </c>
      <c r="Y191" s="357">
        <f t="shared" si="215"/>
        <v>73.410999999999987</v>
      </c>
      <c r="Z191" s="357">
        <f t="shared" si="215"/>
        <v>134.69200000000001</v>
      </c>
      <c r="AA191" s="357">
        <f t="shared" si="215"/>
        <v>199.68310366160642</v>
      </c>
      <c r="AB191" s="357">
        <f t="shared" si="215"/>
        <v>237.91792212525604</v>
      </c>
      <c r="AC191" s="357">
        <f t="shared" si="215"/>
        <v>256.66375592086791</v>
      </c>
      <c r="AD191" s="357">
        <f t="shared" si="215"/>
        <v>262.8680178504768</v>
      </c>
    </row>
    <row r="192" spans="1:31" ht="11.25" customHeight="1">
      <c r="A192" s="701"/>
      <c r="P192" s="280"/>
      <c r="Q192" s="280"/>
      <c r="U192" s="255"/>
    </row>
    <row r="193" spans="1:30" ht="11.25" customHeight="1">
      <c r="A193" s="701"/>
      <c r="C193" s="484" t="s">
        <v>1183</v>
      </c>
      <c r="Q193" s="280"/>
      <c r="U193" s="255"/>
    </row>
    <row r="194" spans="1:30" ht="11.25" customHeight="1">
      <c r="A194" s="701"/>
      <c r="C194" s="253" t="s">
        <v>396</v>
      </c>
      <c r="H194" s="699"/>
      <c r="I194" s="695">
        <f>I187/E187-1</f>
        <v>-0.14123677056388706</v>
      </c>
      <c r="J194" s="695">
        <f>J187/F187-1</f>
        <v>-0.92338454316025798</v>
      </c>
      <c r="K194" s="695">
        <f>K187/G187-1</f>
        <v>-0.76413050116135339</v>
      </c>
      <c r="L194" s="695">
        <f>L187/H187-1</f>
        <v>-0.67484352824757243</v>
      </c>
      <c r="M194" s="695">
        <f>M187/E187-1</f>
        <v>-0.57182720075978655</v>
      </c>
      <c r="N194" s="695">
        <f>N187/F187-1</f>
        <v>-0.3170771000924687</v>
      </c>
      <c r="O194" s="695">
        <f>O187/G187-1</f>
        <v>-0.19579254146367076</v>
      </c>
      <c r="P194" s="695">
        <f>P187/H187-1</f>
        <v>-0.14873606294175845</v>
      </c>
      <c r="Q194" s="695">
        <f>Q187/E187-1</f>
        <v>-0.12010110746404001</v>
      </c>
      <c r="R194" s="695">
        <f>R187/F187-1</f>
        <v>-0.10258038173459572</v>
      </c>
      <c r="S194" s="695">
        <f>S187/G187-1</f>
        <v>-7.5371759438541686E-2</v>
      </c>
      <c r="T194" s="695">
        <f>T187/H187-1</f>
        <v>2.4229130583863778E-2</v>
      </c>
      <c r="U194" s="699"/>
      <c r="W194" s="695">
        <f>W187/V187-1</f>
        <v>4.9116345464793376E-2</v>
      </c>
      <c r="X194" s="695">
        <f>X187/W187-1</f>
        <v>7.0652632988957409E-2</v>
      </c>
      <c r="Y194" s="695">
        <f t="shared" ref="Y194:AD198" si="216">Y187/$X187-1</f>
        <v>-0.64694068183449382</v>
      </c>
      <c r="Z194" s="695">
        <f t="shared" si="216"/>
        <v>-0.29872263435010271</v>
      </c>
      <c r="AA194" s="695">
        <f t="shared" si="216"/>
        <v>-6.7890560540413203E-2</v>
      </c>
      <c r="AB194" s="695">
        <f t="shared" si="216"/>
        <v>5.1223337959986459E-2</v>
      </c>
      <c r="AC194" s="695">
        <f t="shared" si="216"/>
        <v>0.10128159214855725</v>
      </c>
      <c r="AD194" s="695">
        <f t="shared" si="216"/>
        <v>0.1341934558219624</v>
      </c>
    </row>
    <row r="195" spans="1:30" ht="11.25" customHeight="1">
      <c r="A195" s="701"/>
      <c r="C195" s="253" t="s">
        <v>397</v>
      </c>
      <c r="I195" s="699">
        <v>-0.124</v>
      </c>
      <c r="J195" s="699">
        <v>-0.98</v>
      </c>
      <c r="K195" s="699">
        <v>-0.85</v>
      </c>
      <c r="L195" s="695">
        <f>L188/H188-1</f>
        <v>-0.63422068685226596</v>
      </c>
      <c r="M195" s="699">
        <v>-0.59</v>
      </c>
      <c r="N195" s="699">
        <v>-0.26</v>
      </c>
      <c r="O195" s="699">
        <v>-0.15</v>
      </c>
      <c r="P195" s="695">
        <f>P188/H188-1</f>
        <v>-0.17877725799592326</v>
      </c>
      <c r="Q195" s="699">
        <v>-0.21</v>
      </c>
      <c r="R195" s="699">
        <v>-0.11940000000000006</v>
      </c>
      <c r="S195" s="695">
        <f t="shared" ref="R195:T198" si="217">S188/G188-1</f>
        <v>-0.10435285279477524</v>
      </c>
      <c r="T195" s="695">
        <f t="shared" si="217"/>
        <v>-8.7670385469777012E-2</v>
      </c>
      <c r="U195" s="699"/>
      <c r="W195" s="699">
        <v>-1.7000000000000001E-2</v>
      </c>
      <c r="X195" s="695">
        <f>X188/W188-1</f>
        <v>1.7808852107758621E-2</v>
      </c>
      <c r="Y195" s="695">
        <f t="shared" si="216"/>
        <v>-0.62197315018092847</v>
      </c>
      <c r="Z195" s="695">
        <f t="shared" si="216"/>
        <v>-0.31009607067980671</v>
      </c>
      <c r="AA195" s="695">
        <f t="shared" si="216"/>
        <v>-0.13434618787878461</v>
      </c>
      <c r="AB195" s="695">
        <f t="shared" si="216"/>
        <v>-3.1688985999127617E-3</v>
      </c>
      <c r="AC195" s="695">
        <f t="shared" si="216"/>
        <v>3.8081636033948429E-2</v>
      </c>
      <c r="AD195" s="695">
        <f t="shared" si="216"/>
        <v>9.7400586664459832E-2</v>
      </c>
    </row>
    <row r="196" spans="1:30" ht="11.25" customHeight="1">
      <c r="A196" s="701"/>
      <c r="C196" s="253" t="s">
        <v>398</v>
      </c>
      <c r="I196" s="699">
        <v>-0.19400000000000001</v>
      </c>
      <c r="J196" s="699">
        <v>-0.98</v>
      </c>
      <c r="K196" s="699">
        <v>-0.95</v>
      </c>
      <c r="L196" s="695">
        <f>L189/H189-1</f>
        <v>-0.89234925467286519</v>
      </c>
      <c r="M196" s="699">
        <v>-0.87</v>
      </c>
      <c r="N196" s="699">
        <v>-0.84</v>
      </c>
      <c r="O196" s="699">
        <v>-0.65</v>
      </c>
      <c r="P196" s="695">
        <f>P189/H189-1</f>
        <v>-0.53886397608370706</v>
      </c>
      <c r="Q196" s="699">
        <v>-0.45</v>
      </c>
      <c r="R196" s="699">
        <v>-0.19679999999999997</v>
      </c>
      <c r="S196" s="695">
        <f t="shared" si="217"/>
        <v>-0.15635900197887198</v>
      </c>
      <c r="T196" s="695">
        <f t="shared" si="217"/>
        <v>-1.3966098883243627E-2</v>
      </c>
      <c r="U196" s="699"/>
      <c r="W196" s="699">
        <v>3.9E-2</v>
      </c>
      <c r="X196" s="695">
        <f>X189/W189-1</f>
        <v>3.1537712930659767E-2</v>
      </c>
      <c r="Y196" s="695">
        <f t="shared" si="216"/>
        <v>-0.8189813630247782</v>
      </c>
      <c r="Z196" s="695">
        <f t="shared" si="216"/>
        <v>-0.72027307990705536</v>
      </c>
      <c r="AA196" s="695">
        <f t="shared" si="216"/>
        <v>-0.18937932064958718</v>
      </c>
      <c r="AB196" s="695">
        <f t="shared" si="216"/>
        <v>7.1754329760507218E-2</v>
      </c>
      <c r="AC196" s="695">
        <f t="shared" si="216"/>
        <v>5.9292070112129336E-2</v>
      </c>
      <c r="AD196" s="695">
        <f t="shared" si="216"/>
        <v>5.9292070112129336E-2</v>
      </c>
    </row>
    <row r="197" spans="1:30" ht="11.25" customHeight="1">
      <c r="A197" s="701"/>
      <c r="C197" s="253" t="s">
        <v>399</v>
      </c>
      <c r="I197" s="699">
        <v>-0.34</v>
      </c>
      <c r="J197" s="699">
        <v>-0.96</v>
      </c>
      <c r="K197" s="699">
        <v>-0.94</v>
      </c>
      <c r="L197" s="695">
        <f>L190/H190-1</f>
        <v>-0.93300523074544561</v>
      </c>
      <c r="M197" s="699">
        <v>-0.94</v>
      </c>
      <c r="N197" s="699">
        <v>-0.93</v>
      </c>
      <c r="O197" s="699">
        <v>-0.9</v>
      </c>
      <c r="P197" s="695">
        <f>P190/H190-1</f>
        <v>-0.88124139525596157</v>
      </c>
      <c r="Q197" s="699">
        <v>-0.88</v>
      </c>
      <c r="R197" s="699">
        <v>-0.80820000000000014</v>
      </c>
      <c r="S197" s="695">
        <f t="shared" si="217"/>
        <v>-0.77778646981290489</v>
      </c>
      <c r="T197" s="695">
        <f t="shared" si="217"/>
        <v>-0.66798150263441158</v>
      </c>
      <c r="U197" s="699"/>
      <c r="W197" s="699">
        <v>-1.7999999999999999E-2</v>
      </c>
      <c r="X197" s="695">
        <f>X190/W190-1</f>
        <v>3.5077460001239569E-2</v>
      </c>
      <c r="Y197" s="695">
        <f t="shared" si="216"/>
        <v>-0.80516577964917091</v>
      </c>
      <c r="Z197" s="695">
        <f t="shared" si="216"/>
        <v>-0.91258077004050786</v>
      </c>
      <c r="AA197" s="695">
        <f t="shared" si="216"/>
        <v>-0.78326037802814918</v>
      </c>
      <c r="AB197" s="695">
        <f t="shared" si="216"/>
        <v>-0.50575932404107071</v>
      </c>
      <c r="AC197" s="695">
        <f t="shared" si="216"/>
        <v>1.0000000000000009E-2</v>
      </c>
      <c r="AD197" s="695">
        <f t="shared" si="216"/>
        <v>1.0251476930335235E-2</v>
      </c>
    </row>
    <row r="198" spans="1:30" s="279" customFormat="1" ht="11.25" customHeight="1">
      <c r="A198" s="703"/>
      <c r="C198" s="289" t="s">
        <v>1001</v>
      </c>
      <c r="I198" s="702">
        <f>I191/E191-1</f>
        <v>-0.16573996938992963</v>
      </c>
      <c r="J198" s="702">
        <f>J191/F191-1</f>
        <v>-0.94268120874424199</v>
      </c>
      <c r="K198" s="702">
        <f>K191/G191-1</f>
        <v>-0.82733092040321854</v>
      </c>
      <c r="L198" s="702">
        <f>L191/H191-1</f>
        <v>-0.72901049475262369</v>
      </c>
      <c r="M198" s="702">
        <f>M191/E191-1</f>
        <v>-0.65228509987019778</v>
      </c>
      <c r="N198" s="702">
        <f>N191/F191-1</f>
        <v>-0.47311351368464383</v>
      </c>
      <c r="O198" s="702">
        <f>O191/G191-1</f>
        <v>-0.35603182674762934</v>
      </c>
      <c r="P198" s="702">
        <f>P191/H191-1</f>
        <v>-0.27889626615263796</v>
      </c>
      <c r="Q198" s="702">
        <f>Q191/E191-1</f>
        <v>-0.25024701164345076</v>
      </c>
      <c r="R198" s="702">
        <f t="shared" si="217"/>
        <v>-0.18447754578696596</v>
      </c>
      <c r="S198" s="702">
        <f t="shared" si="217"/>
        <v>-0.15611136761688238</v>
      </c>
      <c r="T198" s="702">
        <f t="shared" si="217"/>
        <v>-5.3330086328150172E-2</v>
      </c>
      <c r="U198" s="699"/>
      <c r="W198" s="702">
        <f>W191/V191-1</f>
        <v>3.4591570515176029E-2</v>
      </c>
      <c r="X198" s="702">
        <f>X191/W191-1</f>
        <v>5.5215922359407532E-2</v>
      </c>
      <c r="Y198" s="702">
        <f t="shared" si="216"/>
        <v>-0.69113513968360829</v>
      </c>
      <c r="Z198" s="702">
        <f t="shared" si="216"/>
        <v>-0.43330528441602156</v>
      </c>
      <c r="AA198" s="702">
        <f t="shared" si="216"/>
        <v>-0.15986577052504869</v>
      </c>
      <c r="AB198" s="702">
        <f t="shared" si="216"/>
        <v>1.0010187026927575E-3</v>
      </c>
      <c r="AC198" s="702">
        <f t="shared" si="216"/>
        <v>7.9871070013749268E-2</v>
      </c>
      <c r="AD198" s="702">
        <f t="shared" si="216"/>
        <v>0.10597449449039376</v>
      </c>
    </row>
    <row r="199" spans="1:30" ht="11.25" customHeight="1">
      <c r="A199" s="701"/>
      <c r="P199" s="280"/>
      <c r="Q199" s="280"/>
      <c r="U199" s="255"/>
    </row>
    <row r="200" spans="1:30" ht="11.25" customHeight="1">
      <c r="A200" s="701"/>
      <c r="C200" s="397" t="s">
        <v>404</v>
      </c>
      <c r="D200" s="704" t="s">
        <v>1184</v>
      </c>
      <c r="U200" s="255"/>
    </row>
    <row r="201" spans="1:30" ht="11.25" customHeight="1">
      <c r="A201" s="701"/>
      <c r="C201" s="253" t="s">
        <v>396</v>
      </c>
      <c r="D201" s="705">
        <v>20.383366526738961</v>
      </c>
      <c r="E201" s="494">
        <f t="shared" ref="E201:K205" si="218">E126/E187/10</f>
        <v>20.140128249984564</v>
      </c>
      <c r="F201" s="494">
        <f t="shared" si="218"/>
        <v>20.327243177774474</v>
      </c>
      <c r="G201" s="494">
        <f t="shared" si="218"/>
        <v>19.293562260368986</v>
      </c>
      <c r="H201" s="494">
        <f t="shared" si="218"/>
        <v>20.463243276214865</v>
      </c>
      <c r="I201" s="494">
        <f t="shared" si="218"/>
        <v>19.56760697337813</v>
      </c>
      <c r="J201" s="494">
        <f t="shared" si="218"/>
        <v>18.540175630294804</v>
      </c>
      <c r="K201" s="494">
        <f t="shared" si="218"/>
        <v>16.901351215311827</v>
      </c>
      <c r="L201" s="677">
        <f>H201*(1+L208)</f>
        <v>18.212286515831231</v>
      </c>
      <c r="M201" s="494">
        <f t="shared" ref="M201:O205" si="219">M126/M187/10</f>
        <v>15.975753738688983</v>
      </c>
      <c r="N201" s="494">
        <f t="shared" si="219"/>
        <v>16.514428492430959</v>
      </c>
      <c r="O201" s="494">
        <f t="shared" si="219"/>
        <v>17.333193833076571</v>
      </c>
      <c r="P201" s="677">
        <f>H201*(1+P208)</f>
        <v>18.621551381355527</v>
      </c>
      <c r="Q201" s="494">
        <f t="shared" ref="Q201:R205" si="220">Q126/Q187/10</f>
        <v>18.968014520458031</v>
      </c>
      <c r="R201" s="494">
        <f t="shared" si="220"/>
        <v>23.343957944518088</v>
      </c>
      <c r="S201" s="494">
        <f t="shared" ref="S201:T204" si="221">(S208+1)*G201</f>
        <v>22.187596599424332</v>
      </c>
      <c r="T201" s="494">
        <f t="shared" si="221"/>
        <v>21.28177300726346</v>
      </c>
      <c r="U201" s="494"/>
      <c r="V201" s="494">
        <f t="shared" ref="V201:AA205" si="222">V126/V187/10</f>
        <v>19.328967531848271</v>
      </c>
      <c r="W201" s="494">
        <f t="shared" si="222"/>
        <v>19.893504501578214</v>
      </c>
      <c r="X201" s="494">
        <f t="shared" si="222"/>
        <v>20.037676868514744</v>
      </c>
      <c r="Y201" s="494">
        <f t="shared" si="222"/>
        <v>18.76613206342406</v>
      </c>
      <c r="Z201" s="494">
        <f t="shared" si="222"/>
        <v>17.377028897935006</v>
      </c>
      <c r="AA201" s="494">
        <f t="shared" si="222"/>
        <v>21.566527553320764</v>
      </c>
      <c r="AB201" s="494">
        <f t="shared" ref="AB201:AD204" si="223">(AB208+1)*$X201</f>
        <v>20.638807174570186</v>
      </c>
      <c r="AC201" s="494">
        <f t="shared" si="223"/>
        <v>20.839183943255335</v>
      </c>
      <c r="AD201" s="494">
        <f t="shared" si="223"/>
        <v>20.839183943255335</v>
      </c>
    </row>
    <row r="202" spans="1:30" ht="11.25" customHeight="1">
      <c r="A202" s="701"/>
      <c r="C202" s="253" t="s">
        <v>397</v>
      </c>
      <c r="D202" s="705">
        <v>14.880925498725531</v>
      </c>
      <c r="E202" s="494">
        <f t="shared" si="218"/>
        <v>14.60106309401138</v>
      </c>
      <c r="F202" s="494">
        <f t="shared" si="218"/>
        <v>15.159693407169016</v>
      </c>
      <c r="G202" s="494">
        <f t="shared" si="218"/>
        <v>14.676771505660554</v>
      </c>
      <c r="H202" s="494">
        <f t="shared" si="218"/>
        <v>14.360093106270147</v>
      </c>
      <c r="I202" s="494">
        <f t="shared" si="218"/>
        <v>14.91336653437836</v>
      </c>
      <c r="J202" s="494">
        <f t="shared" si="218"/>
        <v>17.952268508489606</v>
      </c>
      <c r="K202" s="494">
        <f t="shared" si="218"/>
        <v>13.89601596924425</v>
      </c>
      <c r="L202" s="677">
        <f>H202*(1+L209)</f>
        <v>13.067684726705835</v>
      </c>
      <c r="M202" s="494">
        <f t="shared" si="219"/>
        <v>10.996093729336767</v>
      </c>
      <c r="N202" s="494">
        <f t="shared" si="219"/>
        <v>13.073348688614818</v>
      </c>
      <c r="O202" s="494">
        <f t="shared" si="219"/>
        <v>14.258374178266388</v>
      </c>
      <c r="P202" s="677">
        <f>H202*(1+P209)</f>
        <v>13.929290313082042</v>
      </c>
      <c r="Q202" s="494">
        <f t="shared" si="220"/>
        <v>14.699419503927363</v>
      </c>
      <c r="R202" s="494">
        <f t="shared" si="220"/>
        <v>16.875413277342179</v>
      </c>
      <c r="S202" s="494">
        <f t="shared" si="221"/>
        <v>16.878287231509635</v>
      </c>
      <c r="T202" s="494">
        <f t="shared" si="221"/>
        <v>16.083304279022567</v>
      </c>
      <c r="U202" s="494"/>
      <c r="V202" s="494">
        <f t="shared" si="222"/>
        <v>27.131747049796143</v>
      </c>
      <c r="W202" s="494">
        <f t="shared" si="222"/>
        <v>30.731432099344858</v>
      </c>
      <c r="X202" s="494">
        <f t="shared" si="222"/>
        <v>14.697703764915602</v>
      </c>
      <c r="Y202" s="494">
        <f t="shared" si="222"/>
        <v>14.432648609714127</v>
      </c>
      <c r="Z202" s="494">
        <f t="shared" si="222"/>
        <v>13.296356576369552</v>
      </c>
      <c r="AA202" s="494">
        <f t="shared" si="222"/>
        <v>16.106416890489474</v>
      </c>
      <c r="AB202" s="494">
        <f t="shared" si="223"/>
        <v>15.579565990810538</v>
      </c>
      <c r="AC202" s="494">
        <f t="shared" si="223"/>
        <v>15.726543028459695</v>
      </c>
      <c r="AD202" s="494">
        <f t="shared" si="223"/>
        <v>15.726543028459695</v>
      </c>
    </row>
    <row r="203" spans="1:30" ht="11.25" customHeight="1">
      <c r="A203" s="701"/>
      <c r="C203" s="253" t="s">
        <v>398</v>
      </c>
      <c r="D203" s="705">
        <v>14.333856677407706</v>
      </c>
      <c r="E203" s="494">
        <f t="shared" si="218"/>
        <v>14.57527926922219</v>
      </c>
      <c r="F203" s="494">
        <f t="shared" si="218"/>
        <v>14.49034638479346</v>
      </c>
      <c r="G203" s="494">
        <f t="shared" si="218"/>
        <v>13.600040245555988</v>
      </c>
      <c r="H203" s="494">
        <f t="shared" si="218"/>
        <v>14.964546371213652</v>
      </c>
      <c r="I203" s="494">
        <f t="shared" si="218"/>
        <v>13.410952806606559</v>
      </c>
      <c r="J203" s="494">
        <f t="shared" si="218"/>
        <v>24.664419378371825</v>
      </c>
      <c r="K203" s="494">
        <f t="shared" si="218"/>
        <v>17.429177790421249</v>
      </c>
      <c r="L203" s="677">
        <f>H203*(1+L210)</f>
        <v>16.311355544622881</v>
      </c>
      <c r="M203" s="494">
        <f t="shared" si="219"/>
        <v>14.433988815325691</v>
      </c>
      <c r="N203" s="494">
        <f t="shared" si="219"/>
        <v>13.873735900334163</v>
      </c>
      <c r="O203" s="494">
        <f t="shared" si="219"/>
        <v>13.769804964293858</v>
      </c>
      <c r="P203" s="677">
        <f>H203*(1+P210)</f>
        <v>14.964546371213652</v>
      </c>
      <c r="Q203" s="494">
        <f t="shared" si="220"/>
        <v>12.94993081036967</v>
      </c>
      <c r="R203" s="494">
        <f t="shared" si="220"/>
        <v>16.323058299073438</v>
      </c>
      <c r="S203" s="494">
        <f t="shared" si="221"/>
        <v>15.640046282389385</v>
      </c>
      <c r="T203" s="494">
        <f t="shared" si="221"/>
        <v>15.712773689774336</v>
      </c>
      <c r="U203" s="494"/>
      <c r="V203" s="494">
        <f t="shared" si="222"/>
        <v>6.872967272500401</v>
      </c>
      <c r="W203" s="494">
        <f t="shared" si="222"/>
        <v>6.6750771225426941</v>
      </c>
      <c r="X203" s="494">
        <f t="shared" si="222"/>
        <v>14.297586515789295</v>
      </c>
      <c r="Y203" s="494">
        <f t="shared" si="222"/>
        <v>14.49464533431501</v>
      </c>
      <c r="Z203" s="494">
        <f t="shared" si="222"/>
        <v>14.234006268751784</v>
      </c>
      <c r="AA203" s="494">
        <f t="shared" si="222"/>
        <v>15.54501560321053</v>
      </c>
      <c r="AB203" s="494">
        <f t="shared" si="223"/>
        <v>14.440562380947188</v>
      </c>
      <c r="AC203" s="494">
        <f t="shared" si="223"/>
        <v>14.440562380947188</v>
      </c>
      <c r="AD203" s="494">
        <f t="shared" si="223"/>
        <v>14.440562380947188</v>
      </c>
    </row>
    <row r="204" spans="1:30" ht="11.25" customHeight="1">
      <c r="A204" s="701"/>
      <c r="C204" s="253" t="s">
        <v>399</v>
      </c>
      <c r="D204" s="705">
        <v>12.165146159930307</v>
      </c>
      <c r="E204" s="494">
        <f t="shared" si="218"/>
        <v>11.990486587519857</v>
      </c>
      <c r="F204" s="494">
        <f t="shared" si="218"/>
        <v>11.988578552378225</v>
      </c>
      <c r="G204" s="494">
        <f t="shared" si="218"/>
        <v>12.11050838905008</v>
      </c>
      <c r="H204" s="494">
        <f t="shared" si="218"/>
        <v>11.836687213612191</v>
      </c>
      <c r="I204" s="494">
        <f t="shared" si="218"/>
        <v>11.997342211640795</v>
      </c>
      <c r="J204" s="494">
        <f t="shared" si="218"/>
        <v>14.597964751754295</v>
      </c>
      <c r="K204" s="494">
        <f t="shared" si="218"/>
        <v>17.980160922440238</v>
      </c>
      <c r="L204" s="677">
        <f>H204*(1+L211)</f>
        <v>23.318273810816017</v>
      </c>
      <c r="M204" s="494">
        <f t="shared" si="219"/>
        <v>21.252434774906533</v>
      </c>
      <c r="N204" s="494">
        <f t="shared" si="219"/>
        <v>22.939658895613931</v>
      </c>
      <c r="O204" s="494">
        <f t="shared" si="219"/>
        <v>24.01221490932344</v>
      </c>
      <c r="P204" s="677">
        <f>H204*(1+P211)</f>
        <v>19.057066413915624</v>
      </c>
      <c r="Q204" s="494">
        <f t="shared" si="220"/>
        <v>21.423825377929994</v>
      </c>
      <c r="R204" s="494">
        <f t="shared" si="220"/>
        <v>18.456759396769669</v>
      </c>
      <c r="S204" s="494">
        <f t="shared" si="221"/>
        <v>18.16576258357512</v>
      </c>
      <c r="T204" s="494">
        <f t="shared" si="221"/>
        <v>16.571362099057065</v>
      </c>
      <c r="U204" s="494"/>
      <c r="V204" s="494">
        <f t="shared" si="222"/>
        <v>11.90377640918366</v>
      </c>
      <c r="W204" s="494">
        <f t="shared" si="222"/>
        <v>12.485287383743366</v>
      </c>
      <c r="X204" s="494">
        <f t="shared" si="222"/>
        <v>11.986284277976418</v>
      </c>
      <c r="Y204" s="494">
        <f t="shared" si="222"/>
        <v>13.560299724507734</v>
      </c>
      <c r="Z204" s="494">
        <f t="shared" si="222"/>
        <v>21.757887539242162</v>
      </c>
      <c r="AA204" s="494">
        <f t="shared" si="222"/>
        <v>18.070280687531145</v>
      </c>
      <c r="AB204" s="494">
        <f t="shared" si="223"/>
        <v>15.582169561369344</v>
      </c>
      <c r="AC204" s="494">
        <f t="shared" si="223"/>
        <v>15.582169561369344</v>
      </c>
      <c r="AD204" s="494">
        <f t="shared" si="223"/>
        <v>16.181483775268166</v>
      </c>
    </row>
    <row r="205" spans="1:30" s="387" customFormat="1" ht="11.25" customHeight="1">
      <c r="A205" s="701"/>
      <c r="C205" s="706" t="s">
        <v>405</v>
      </c>
      <c r="D205" s="780">
        <v>18.119294262973522</v>
      </c>
      <c r="E205" s="781">
        <f t="shared" si="218"/>
        <v>17.928201948970301</v>
      </c>
      <c r="F205" s="781">
        <f t="shared" si="218"/>
        <v>17.995029522105963</v>
      </c>
      <c r="G205" s="781">
        <f t="shared" si="218"/>
        <v>17.064999551314649</v>
      </c>
      <c r="H205" s="781">
        <f t="shared" si="218"/>
        <v>18.283715285214534</v>
      </c>
      <c r="I205" s="781">
        <f t="shared" si="218"/>
        <v>17.57698202591612</v>
      </c>
      <c r="J205" s="781">
        <f t="shared" si="218"/>
        <v>18.724109362054683</v>
      </c>
      <c r="K205" s="781">
        <f t="shared" si="218"/>
        <v>16.786487656994371</v>
      </c>
      <c r="L205" s="781">
        <f>L130/L191/10</f>
        <v>17.769874201409472</v>
      </c>
      <c r="M205" s="781">
        <f t="shared" si="219"/>
        <v>15.310898150211722</v>
      </c>
      <c r="N205" s="781">
        <f t="shared" si="219"/>
        <v>16.040258374643237</v>
      </c>
      <c r="O205" s="781">
        <f t="shared" si="219"/>
        <v>16.701117123812619</v>
      </c>
      <c r="P205" s="782">
        <f>P130/P191/10</f>
        <v>17.922380080194049</v>
      </c>
      <c r="Q205" s="781">
        <f t="shared" si="220"/>
        <v>17.847545219638242</v>
      </c>
      <c r="R205" s="781">
        <f t="shared" si="220"/>
        <v>21.269822783827326</v>
      </c>
      <c r="S205" s="781">
        <f>S130/S191/10</f>
        <v>20.22151820891283</v>
      </c>
      <c r="T205" s="781">
        <f>T130/T191/10</f>
        <v>19.7711313554192</v>
      </c>
      <c r="U205" s="494"/>
      <c r="V205" s="781">
        <f t="shared" si="222"/>
        <v>16.970584993018299</v>
      </c>
      <c r="W205" s="781">
        <f t="shared" si="222"/>
        <v>17.649827075647188</v>
      </c>
      <c r="X205" s="781">
        <f t="shared" si="222"/>
        <v>17.78694042409963</v>
      </c>
      <c r="Y205" s="781">
        <f t="shared" si="222"/>
        <v>17.549141136886846</v>
      </c>
      <c r="Z205" s="781">
        <f t="shared" si="222"/>
        <v>16.718884566269711</v>
      </c>
      <c r="AA205" s="781">
        <f t="shared" si="222"/>
        <v>19.912259795252631</v>
      </c>
      <c r="AB205" s="781">
        <f>AB130/AB191/10</f>
        <v>18.738410410070365</v>
      </c>
      <c r="AC205" s="781">
        <f>AC130/AC191/10</f>
        <v>18.802250666589536</v>
      </c>
      <c r="AD205" s="781">
        <f>AD130/AD191/10</f>
        <v>18.875222560266035</v>
      </c>
    </row>
    <row r="206" spans="1:30" ht="11.25" customHeight="1">
      <c r="A206" s="701"/>
      <c r="U206" s="494"/>
    </row>
    <row r="207" spans="1:30" ht="11.25" customHeight="1">
      <c r="A207" s="701"/>
      <c r="C207" s="253" t="s">
        <v>1185</v>
      </c>
      <c r="U207" s="255"/>
    </row>
    <row r="208" spans="1:30" ht="11.25" customHeight="1">
      <c r="A208" s="701"/>
      <c r="C208" s="253" t="s">
        <v>396</v>
      </c>
      <c r="H208" s="699">
        <v>1.4E-2</v>
      </c>
      <c r="I208" s="257">
        <f t="shared" ref="I208:K212" si="224">I201/E201-1</f>
        <v>-2.8426893289861366E-2</v>
      </c>
      <c r="J208" s="257">
        <f t="shared" si="224"/>
        <v>-8.7914899814531822E-2</v>
      </c>
      <c r="K208" s="257">
        <f t="shared" si="224"/>
        <v>-0.12399011715793995</v>
      </c>
      <c r="L208" s="699">
        <v>-0.11</v>
      </c>
      <c r="M208" s="257">
        <f t="shared" ref="M208:O212" si="225">M201/E201-1</f>
        <v>-0.20677000958515601</v>
      </c>
      <c r="N208" s="257">
        <f t="shared" si="225"/>
        <v>-0.18757165701212219</v>
      </c>
      <c r="O208" s="257">
        <f t="shared" si="225"/>
        <v>-0.10160738596828323</v>
      </c>
      <c r="P208" s="699">
        <v>-0.09</v>
      </c>
      <c r="Q208" s="695">
        <f t="shared" ref="Q208:R212" si="226">Q201/E201-1</f>
        <v>-5.8197927787646098E-2</v>
      </c>
      <c r="R208" s="695">
        <f t="shared" si="226"/>
        <v>0.14840747170487179</v>
      </c>
      <c r="S208" s="393">
        <v>0.15</v>
      </c>
      <c r="T208" s="393">
        <v>0.04</v>
      </c>
      <c r="U208" s="695"/>
      <c r="W208" s="257">
        <f t="shared" ref="W208:X212" si="227">W201/V201-1</f>
        <v>2.9206783486999788E-2</v>
      </c>
      <c r="X208" s="257">
        <f t="shared" si="227"/>
        <v>7.2472080987586729E-3</v>
      </c>
      <c r="Y208" s="257">
        <f t="shared" ref="Y208:AA212" si="228">Y201/$X201-1</f>
        <v>-6.345769589131689E-2</v>
      </c>
      <c r="Z208" s="257">
        <f t="shared" si="228"/>
        <v>-0.13278225754605422</v>
      </c>
      <c r="AA208" s="257">
        <f t="shared" si="228"/>
        <v>7.6298799248944338E-2</v>
      </c>
      <c r="AB208" s="393">
        <v>0.03</v>
      </c>
      <c r="AC208" s="393">
        <v>0.04</v>
      </c>
      <c r="AD208" s="393">
        <v>0.04</v>
      </c>
    </row>
    <row r="209" spans="1:30" ht="11.25" customHeight="1">
      <c r="A209" s="701"/>
      <c r="C209" s="253" t="s">
        <v>397</v>
      </c>
      <c r="H209" s="699">
        <v>-3.5000000000000003E-2</v>
      </c>
      <c r="I209" s="257">
        <f t="shared" si="224"/>
        <v>2.1389089161259145E-2</v>
      </c>
      <c r="J209" s="257">
        <f t="shared" si="224"/>
        <v>0.18421052631578827</v>
      </c>
      <c r="K209" s="257">
        <f t="shared" si="224"/>
        <v>-5.3196681307955296E-2</v>
      </c>
      <c r="L209" s="699">
        <v>-0.09</v>
      </c>
      <c r="M209" s="257">
        <f t="shared" si="225"/>
        <v>-0.24689773213521615</v>
      </c>
      <c r="N209" s="257">
        <f t="shared" si="225"/>
        <v>-0.13762446657183491</v>
      </c>
      <c r="O209" s="257">
        <f t="shared" si="225"/>
        <v>-2.8507449832055887E-2</v>
      </c>
      <c r="P209" s="699">
        <v>-0.03</v>
      </c>
      <c r="Q209" s="695">
        <f t="shared" si="226"/>
        <v>6.7362499074690163E-3</v>
      </c>
      <c r="R209" s="695">
        <f t="shared" si="226"/>
        <v>0.11317642277394602</v>
      </c>
      <c r="S209" s="393">
        <v>0.15</v>
      </c>
      <c r="T209" s="393">
        <v>0.12</v>
      </c>
      <c r="U209" s="695"/>
      <c r="W209" s="257">
        <f t="shared" si="227"/>
        <v>0.13267428164290518</v>
      </c>
      <c r="X209" s="257">
        <f t="shared" si="227"/>
        <v>-0.52173710234516113</v>
      </c>
      <c r="Y209" s="257">
        <f t="shared" si="228"/>
        <v>-1.8033779931949545E-2</v>
      </c>
      <c r="Z209" s="257">
        <f t="shared" si="228"/>
        <v>-9.5344634165995257E-2</v>
      </c>
      <c r="AA209" s="257">
        <f t="shared" si="228"/>
        <v>9.5845796602362032E-2</v>
      </c>
      <c r="AB209" s="393">
        <v>0.06</v>
      </c>
      <c r="AC209" s="393">
        <v>7.0000000000000007E-2</v>
      </c>
      <c r="AD209" s="393">
        <v>7.0000000000000007E-2</v>
      </c>
    </row>
    <row r="210" spans="1:30" ht="11.25" customHeight="1">
      <c r="A210" s="701"/>
      <c r="C210" s="253" t="s">
        <v>398</v>
      </c>
      <c r="H210" s="699">
        <v>4.3999999999999997E-2</v>
      </c>
      <c r="I210" s="257">
        <f t="shared" si="224"/>
        <v>-7.9883646900287819E-2</v>
      </c>
      <c r="J210" s="257">
        <f t="shared" si="224"/>
        <v>0.70212765957446654</v>
      </c>
      <c r="K210" s="257">
        <f t="shared" si="224"/>
        <v>0.28155339805825119</v>
      </c>
      <c r="L210" s="699">
        <v>0.09</v>
      </c>
      <c r="M210" s="257">
        <f t="shared" si="225"/>
        <v>-9.6938419694539979E-3</v>
      </c>
      <c r="N210" s="257">
        <f t="shared" si="225"/>
        <v>-4.2553191489361764E-2</v>
      </c>
      <c r="O210" s="257">
        <f t="shared" si="225"/>
        <v>1.2482662968099856E-2</v>
      </c>
      <c r="P210" s="699">
        <v>0</v>
      </c>
      <c r="Q210" s="695">
        <f t="shared" si="226"/>
        <v>-0.11151405258386216</v>
      </c>
      <c r="R210" s="695">
        <f t="shared" si="226"/>
        <v>0.1264781300330593</v>
      </c>
      <c r="S210" s="393">
        <v>0.15</v>
      </c>
      <c r="T210" s="393">
        <v>0.05</v>
      </c>
      <c r="U210" s="695"/>
      <c r="W210" s="257">
        <f t="shared" si="227"/>
        <v>-2.8792534885112908E-2</v>
      </c>
      <c r="X210" s="257">
        <f t="shared" si="227"/>
        <v>1.1419357789147173</v>
      </c>
      <c r="Y210" s="257">
        <f t="shared" si="228"/>
        <v>1.378266313045895E-2</v>
      </c>
      <c r="Z210" s="257">
        <f t="shared" si="228"/>
        <v>-4.446921651237945E-3</v>
      </c>
      <c r="AA210" s="257">
        <f t="shared" si="228"/>
        <v>8.724752852823503E-2</v>
      </c>
      <c r="AB210" s="393">
        <v>0.01</v>
      </c>
      <c r="AC210" s="393">
        <v>0.01</v>
      </c>
      <c r="AD210" s="393">
        <v>0.01</v>
      </c>
    </row>
    <row r="211" spans="1:30" ht="11.25" customHeight="1">
      <c r="A211" s="701"/>
      <c r="C211" s="253" t="s">
        <v>399</v>
      </c>
      <c r="H211" s="699">
        <v>-2.7E-2</v>
      </c>
      <c r="I211" s="257">
        <f t="shared" si="224"/>
        <v>5.717552887365418E-4</v>
      </c>
      <c r="J211" s="257">
        <f t="shared" si="224"/>
        <v>0.21765601217655917</v>
      </c>
      <c r="K211" s="257">
        <f t="shared" si="224"/>
        <v>0.48467432950191447</v>
      </c>
      <c r="L211" s="699">
        <v>0.97</v>
      </c>
      <c r="M211" s="257">
        <f t="shared" si="225"/>
        <v>0.77244139508290299</v>
      </c>
      <c r="N211" s="257">
        <f t="shared" si="225"/>
        <v>0.91345944770602472</v>
      </c>
      <c r="O211" s="257">
        <f t="shared" si="225"/>
        <v>0.98275862068965547</v>
      </c>
      <c r="P211" s="699">
        <v>0.61</v>
      </c>
      <c r="Q211" s="695">
        <f t="shared" si="226"/>
        <v>0.78673527730131521</v>
      </c>
      <c r="R211" s="695">
        <f t="shared" si="226"/>
        <v>0.53952858682385862</v>
      </c>
      <c r="S211" s="707">
        <v>0.5</v>
      </c>
      <c r="T211" s="707">
        <v>0.4</v>
      </c>
      <c r="U211" s="695"/>
      <c r="W211" s="257">
        <f t="shared" si="227"/>
        <v>4.8850965825523618E-2</v>
      </c>
      <c r="X211" s="257">
        <f t="shared" si="227"/>
        <v>-3.9967290333795646E-2</v>
      </c>
      <c r="Y211" s="257">
        <f t="shared" si="228"/>
        <v>0.13131804736380315</v>
      </c>
      <c r="Z211" s="257">
        <f t="shared" si="228"/>
        <v>0.81523206313570196</v>
      </c>
      <c r="AA211" s="257">
        <f t="shared" si="228"/>
        <v>0.50757985281005324</v>
      </c>
      <c r="AB211" s="707">
        <v>0.3</v>
      </c>
      <c r="AC211" s="707">
        <v>0.3</v>
      </c>
      <c r="AD211" s="707">
        <v>0.35</v>
      </c>
    </row>
    <row r="212" spans="1:30" s="279" customFormat="1" ht="11.25" customHeight="1">
      <c r="A212" s="703"/>
      <c r="C212" s="706" t="s">
        <v>405</v>
      </c>
      <c r="H212" s="708">
        <f>H205/D205-1</f>
        <v>9.0743612778012572E-3</v>
      </c>
      <c r="I212" s="708">
        <f t="shared" si="224"/>
        <v>-1.9590359594000017E-2</v>
      </c>
      <c r="J212" s="708">
        <f t="shared" si="224"/>
        <v>4.0515623442189064E-2</v>
      </c>
      <c r="K212" s="708">
        <f t="shared" si="224"/>
        <v>-1.6320650550431637E-2</v>
      </c>
      <c r="L212" s="708">
        <f>L205/H205-1</f>
        <v>-2.8103756582809503E-2</v>
      </c>
      <c r="M212" s="708">
        <f t="shared" si="225"/>
        <v>-0.14598808102498551</v>
      </c>
      <c r="N212" s="708">
        <f t="shared" si="225"/>
        <v>-0.10862839347173014</v>
      </c>
      <c r="O212" s="708">
        <f t="shared" si="225"/>
        <v>-2.1323318902402022E-2</v>
      </c>
      <c r="P212" s="708">
        <f>P205/H205-1</f>
        <v>-1.9762679487395296E-2</v>
      </c>
      <c r="Q212" s="709">
        <f t="shared" si="226"/>
        <v>-4.4988744304440553E-3</v>
      </c>
      <c r="R212" s="709">
        <f t="shared" si="226"/>
        <v>0.18198321140281815</v>
      </c>
      <c r="S212" s="709">
        <f>S205/G205-1</f>
        <v>0.18497033346567004</v>
      </c>
      <c r="T212" s="709">
        <f>T205/H205-1</f>
        <v>8.1351959763204862E-2</v>
      </c>
      <c r="U212" s="695"/>
      <c r="V212" s="253"/>
      <c r="W212" s="708">
        <f t="shared" si="227"/>
        <v>4.0024671094622155E-2</v>
      </c>
      <c r="X212" s="708">
        <f t="shared" si="227"/>
        <v>7.7685377802725331E-3</v>
      </c>
      <c r="Y212" s="708">
        <f t="shared" si="228"/>
        <v>-1.3369319373813582E-2</v>
      </c>
      <c r="Z212" s="708">
        <f t="shared" si="228"/>
        <v>-6.0047193747992944E-2</v>
      </c>
      <c r="AA212" s="708">
        <f t="shared" si="228"/>
        <v>0.11948763083916303</v>
      </c>
      <c r="AB212" s="708">
        <f>AB205/$X205-1</f>
        <v>5.349261667743499E-2</v>
      </c>
      <c r="AC212" s="708">
        <f>AC205/$X205-1</f>
        <v>5.7081781255322372E-2</v>
      </c>
      <c r="AD212" s="708">
        <f>AD205/$X205-1</f>
        <v>6.1184335822696445E-2</v>
      </c>
    </row>
    <row r="213" spans="1:30" ht="11.25" customHeight="1">
      <c r="A213" s="701"/>
      <c r="U213" s="255"/>
    </row>
    <row r="214" spans="1:30" ht="11.25" customHeight="1">
      <c r="C214" s="397" t="s">
        <v>395</v>
      </c>
      <c r="U214" s="255"/>
    </row>
    <row r="215" spans="1:30" s="387" customFormat="1" ht="11.25" customHeight="1">
      <c r="C215" s="387" t="s">
        <v>396</v>
      </c>
      <c r="E215" s="494">
        <f t="shared" ref="E215:T215" si="229">E126/E160/10</f>
        <v>16.688514873573624</v>
      </c>
      <c r="F215" s="494">
        <f t="shared" si="229"/>
        <v>18.084577700239084</v>
      </c>
      <c r="G215" s="494">
        <f t="shared" si="229"/>
        <v>17.076972842942773</v>
      </c>
      <c r="H215" s="494">
        <f t="shared" si="229"/>
        <v>17.757482267206974</v>
      </c>
      <c r="I215" s="494">
        <f t="shared" si="229"/>
        <v>14.082105926884088</v>
      </c>
      <c r="J215" s="494">
        <f t="shared" si="229"/>
        <v>6.2442790391514214</v>
      </c>
      <c r="K215" s="494">
        <f t="shared" si="229"/>
        <v>7.3045446678020056</v>
      </c>
      <c r="L215" s="494">
        <f t="shared" si="229"/>
        <v>8.0734449849041141</v>
      </c>
      <c r="M215" s="494">
        <f t="shared" si="229"/>
        <v>7.8217127442134906</v>
      </c>
      <c r="N215" s="494">
        <f t="shared" si="229"/>
        <v>12.350414223088279</v>
      </c>
      <c r="O215" s="494">
        <f t="shared" si="229"/>
        <v>14.603529502514373</v>
      </c>
      <c r="P215" s="494">
        <f t="shared" si="229"/>
        <v>15.472850999326326</v>
      </c>
      <c r="Q215" s="494">
        <f t="shared" si="229"/>
        <v>14.83750225974519</v>
      </c>
      <c r="R215" s="494">
        <f t="shared" ref="R215" si="230">R126/R160/10</f>
        <v>20.951348351109392</v>
      </c>
      <c r="S215" s="494">
        <f t="shared" si="229"/>
        <v>19.525085007493413</v>
      </c>
      <c r="T215" s="494">
        <f t="shared" si="229"/>
        <v>18.727960246391845</v>
      </c>
      <c r="U215" s="494"/>
      <c r="V215" s="494">
        <f t="shared" ref="V215:AD215" si="231">V126/V160/10</f>
        <v>16.566971558488472</v>
      </c>
      <c r="W215" s="494">
        <f t="shared" si="231"/>
        <v>17.005231450294779</v>
      </c>
      <c r="X215" s="494">
        <f t="shared" si="231"/>
        <v>17.412491863917275</v>
      </c>
      <c r="Y215" s="494">
        <f t="shared" si="231"/>
        <v>10.146238112610401</v>
      </c>
      <c r="Z215" s="494">
        <f t="shared" si="231"/>
        <v>12.887279061607099</v>
      </c>
      <c r="AA215" s="494">
        <f t="shared" si="231"/>
        <v>18.587693014559267</v>
      </c>
      <c r="AB215" s="494">
        <f t="shared" si="231"/>
        <v>17.955762241876062</v>
      </c>
      <c r="AC215" s="494">
        <f t="shared" si="231"/>
        <v>18.130090030632143</v>
      </c>
      <c r="AD215" s="494">
        <f t="shared" si="231"/>
        <v>18.338481870064697</v>
      </c>
    </row>
    <row r="216" spans="1:30" s="387" customFormat="1" ht="11.25" customHeight="1">
      <c r="C216" s="387" t="s">
        <v>397</v>
      </c>
      <c r="E216" s="494">
        <f t="shared" ref="E216:T216" si="232">E127/E161/10</f>
        <v>12.418517098337226</v>
      </c>
      <c r="F216" s="494">
        <f t="shared" si="232"/>
        <v>13.360121548979524</v>
      </c>
      <c r="G216" s="494">
        <f t="shared" si="232"/>
        <v>12.814460865799763</v>
      </c>
      <c r="H216" s="494">
        <f t="shared" si="232"/>
        <v>13.26569507030241</v>
      </c>
      <c r="I216" s="494">
        <f t="shared" si="232"/>
        <v>11.807975315830463</v>
      </c>
      <c r="J216" s="494">
        <f t="shared" si="232"/>
        <v>10.547464380773299</v>
      </c>
      <c r="K216" s="494">
        <f t="shared" si="232"/>
        <v>6.2755727974078708</v>
      </c>
      <c r="L216" s="494">
        <f t="shared" si="232"/>
        <v>6.3994323426531512</v>
      </c>
      <c r="M216" s="494">
        <f t="shared" si="232"/>
        <v>4.3084151573178628</v>
      </c>
      <c r="N216" s="494">
        <f t="shared" si="232"/>
        <v>9.0700713203458427</v>
      </c>
      <c r="O216" s="494">
        <f t="shared" si="232"/>
        <v>11.42740850508819</v>
      </c>
      <c r="P216" s="494">
        <f t="shared" si="232"/>
        <v>11.486160615018477</v>
      </c>
      <c r="Q216" s="494">
        <f t="shared" si="232"/>
        <v>11.223540173935822</v>
      </c>
      <c r="R216" s="494">
        <f t="shared" ref="R216" si="233">R127/R161/10</f>
        <v>14.512893328302516</v>
      </c>
      <c r="S216" s="494">
        <f t="shared" si="232"/>
        <v>14.346544146783192</v>
      </c>
      <c r="T216" s="494">
        <f t="shared" si="232"/>
        <v>13.831641679959407</v>
      </c>
      <c r="U216" s="494"/>
      <c r="V216" s="494">
        <f t="shared" ref="V216:AD216" si="234">V127/V161/10</f>
        <v>23.52620258962434</v>
      </c>
      <c r="W216" s="494">
        <f t="shared" si="234"/>
        <v>26.334674629007868</v>
      </c>
      <c r="X216" s="494">
        <f t="shared" si="234"/>
        <v>12.933811680309233</v>
      </c>
      <c r="Y216" s="494">
        <f t="shared" si="234"/>
        <v>9.3995912572655183</v>
      </c>
      <c r="Z216" s="494">
        <f t="shared" si="234"/>
        <v>8.7993204656189281</v>
      </c>
      <c r="AA216" s="494">
        <f t="shared" si="234"/>
        <v>13.372261280788061</v>
      </c>
      <c r="AB216" s="494">
        <f t="shared" si="234"/>
        <v>13.398426752097063</v>
      </c>
      <c r="AC216" s="494">
        <f t="shared" si="234"/>
        <v>13.682092434759934</v>
      </c>
      <c r="AD216" s="494">
        <f t="shared" si="234"/>
        <v>13.682092434759934</v>
      </c>
    </row>
    <row r="217" spans="1:30" s="387" customFormat="1" ht="11.25" customHeight="1">
      <c r="C217" s="387" t="s">
        <v>398</v>
      </c>
      <c r="E217" s="494">
        <f t="shared" ref="E217:T217" si="235">E128/E162/10</f>
        <v>11.487532330165219</v>
      </c>
      <c r="F217" s="494">
        <f t="shared" si="235"/>
        <v>12.524164809748278</v>
      </c>
      <c r="G217" s="494">
        <f t="shared" si="235"/>
        <v>12.058245305215845</v>
      </c>
      <c r="H217" s="494">
        <f t="shared" si="235"/>
        <v>11.868025276854461</v>
      </c>
      <c r="I217" s="494">
        <f t="shared" si="235"/>
        <v>9.6920503767005801</v>
      </c>
      <c r="J217" s="494">
        <f t="shared" si="235"/>
        <v>8.527090934296691</v>
      </c>
      <c r="K217" s="494">
        <f t="shared" si="235"/>
        <v>4.8291516392247917</v>
      </c>
      <c r="L217" s="494">
        <f t="shared" si="235"/>
        <v>4.492212663257992</v>
      </c>
      <c r="M217" s="494">
        <f t="shared" si="235"/>
        <v>4.6215706903996523</v>
      </c>
      <c r="N217" s="494">
        <f t="shared" si="235"/>
        <v>5.9956108131773673</v>
      </c>
      <c r="O217" s="494">
        <f t="shared" si="235"/>
        <v>9.7115170706173526</v>
      </c>
      <c r="P217" s="494">
        <f t="shared" si="235"/>
        <v>9.4358172205288398</v>
      </c>
      <c r="Q217" s="494">
        <f t="shared" si="235"/>
        <v>8.3784792167346236</v>
      </c>
      <c r="R217" s="494">
        <f t="shared" ref="R217" si="236">R128/R162/10</f>
        <v>13.725417195863887</v>
      </c>
      <c r="S217" s="494">
        <f t="shared" si="235"/>
        <v>13.763240728502657</v>
      </c>
      <c r="T217" s="494">
        <f t="shared" si="235"/>
        <v>13.355857636308187</v>
      </c>
      <c r="U217" s="494"/>
      <c r="V217" s="494">
        <f t="shared" ref="V217:AD217" si="237">V128/V162/10</f>
        <v>5.7937034670416319</v>
      </c>
      <c r="W217" s="494">
        <f t="shared" si="237"/>
        <v>5.6918702866909134</v>
      </c>
      <c r="X217" s="494">
        <f t="shared" si="237"/>
        <v>12.046343331911469</v>
      </c>
      <c r="Y217" s="494">
        <f t="shared" si="237"/>
        <v>7.5946287036574969</v>
      </c>
      <c r="Z217" s="494">
        <f t="shared" si="237"/>
        <v>8.1023809290686071</v>
      </c>
      <c r="AA217" s="494">
        <f t="shared" si="237"/>
        <v>12.863524280328301</v>
      </c>
      <c r="AB217" s="494">
        <f t="shared" si="237"/>
        <v>12.130072399995637</v>
      </c>
      <c r="AC217" s="494">
        <f t="shared" si="237"/>
        <v>12.274478023805109</v>
      </c>
      <c r="AD217" s="494">
        <f t="shared" si="237"/>
        <v>12.274478023805109</v>
      </c>
    </row>
    <row r="218" spans="1:30" s="387" customFormat="1" ht="11.25" customHeight="1">
      <c r="C218" s="387" t="s">
        <v>399</v>
      </c>
      <c r="E218" s="494">
        <f t="shared" ref="E218:T218" si="238">E129/E163/10</f>
        <v>10.220652133705764</v>
      </c>
      <c r="F218" s="494">
        <f t="shared" si="238"/>
        <v>10.225265557305764</v>
      </c>
      <c r="G218" s="494">
        <f t="shared" si="238"/>
        <v>10.463888534329449</v>
      </c>
      <c r="H218" s="494">
        <f t="shared" si="238"/>
        <v>9.8039386647760942</v>
      </c>
      <c r="I218" s="494">
        <f t="shared" si="238"/>
        <v>9.1829758613708581</v>
      </c>
      <c r="J218" s="494">
        <f t="shared" si="238"/>
        <v>4.9803424327821091</v>
      </c>
      <c r="K218" s="494">
        <f t="shared" si="238"/>
        <v>4.236945461915008</v>
      </c>
      <c r="L218" s="494">
        <f t="shared" si="238"/>
        <v>4.3130694633532727</v>
      </c>
      <c r="M218" s="494">
        <f t="shared" si="238"/>
        <v>3.5062271470688722</v>
      </c>
      <c r="N218" s="494">
        <f t="shared" si="238"/>
        <v>4.1502853606517576</v>
      </c>
      <c r="O218" s="494">
        <f t="shared" si="238"/>
        <v>6.2870803628416239</v>
      </c>
      <c r="P218" s="494">
        <f t="shared" si="238"/>
        <v>6.04685917318759</v>
      </c>
      <c r="Q218" s="494">
        <f t="shared" si="238"/>
        <v>6.8480998966188933</v>
      </c>
      <c r="R218" s="494">
        <f t="shared" ref="R218" si="239">R129/R163/10</f>
        <v>11.581636363153638</v>
      </c>
      <c r="S218" s="494">
        <f t="shared" si="238"/>
        <v>10.899457550145073</v>
      </c>
      <c r="T218" s="494">
        <f t="shared" si="238"/>
        <v>9.1142491544813886</v>
      </c>
      <c r="U218" s="494"/>
      <c r="V218" s="494">
        <f t="shared" ref="V218:AC218" si="240">V129/V163/10</f>
        <v>10.29797604521433</v>
      </c>
      <c r="W218" s="494">
        <f t="shared" si="240"/>
        <v>10.7635764973265</v>
      </c>
      <c r="X218" s="494">
        <f t="shared" si="240"/>
        <v>10.185805502516823</v>
      </c>
      <c r="Y218" s="494">
        <f t="shared" si="240"/>
        <v>6.8707395713146706</v>
      </c>
      <c r="Z218" s="494">
        <f t="shared" si="240"/>
        <v>5.0425442024169218</v>
      </c>
      <c r="AA218" s="494">
        <f t="shared" si="240"/>
        <v>9.5534892706150885</v>
      </c>
      <c r="AB218" s="494">
        <f t="shared" si="240"/>
        <v>10.907518692958542</v>
      </c>
      <c r="AC218" s="494">
        <f t="shared" si="240"/>
        <v>13.24154715327187</v>
      </c>
      <c r="AD218" s="494">
        <f>AD129/AD163/10</f>
        <v>13.75426120897794</v>
      </c>
    </row>
    <row r="219" spans="1:30" s="387" customFormat="1" ht="11.25" customHeight="1">
      <c r="C219" s="706" t="s">
        <v>400</v>
      </c>
      <c r="E219" s="781">
        <f t="shared" ref="E219:T219" si="241">E130/E164/10</f>
        <v>14.826326582927456</v>
      </c>
      <c r="F219" s="781">
        <f t="shared" si="241"/>
        <v>15.843019204504278</v>
      </c>
      <c r="G219" s="781">
        <f t="shared" si="241"/>
        <v>15.06429721950833</v>
      </c>
      <c r="H219" s="781">
        <f t="shared" si="241"/>
        <v>15.647339158061953</v>
      </c>
      <c r="I219" s="781">
        <f t="shared" si="241"/>
        <v>12.853867708244886</v>
      </c>
      <c r="J219" s="781">
        <f t="shared" si="241"/>
        <v>6.3986409966024915</v>
      </c>
      <c r="K219" s="781">
        <f t="shared" si="241"/>
        <v>6.8504772004241783</v>
      </c>
      <c r="L219" s="781">
        <f t="shared" si="241"/>
        <v>7.3778336842680954</v>
      </c>
      <c r="M219" s="781">
        <f t="shared" si="241"/>
        <v>6.8497931103245424</v>
      </c>
      <c r="N219" s="781">
        <f t="shared" si="241"/>
        <v>11.001669105071194</v>
      </c>
      <c r="O219" s="781">
        <f t="shared" si="241"/>
        <v>13.296229868905201</v>
      </c>
      <c r="P219" s="781">
        <f t="shared" si="241"/>
        <v>13.993893011750155</v>
      </c>
      <c r="Q219" s="781">
        <f t="shared" si="241"/>
        <v>13.331403204014668</v>
      </c>
      <c r="R219" s="781">
        <f t="shared" ref="R219" si="242">R130/R164/10</f>
        <v>18.603466716466055</v>
      </c>
      <c r="S219" s="781">
        <f t="shared" si="241"/>
        <v>17.563632270333155</v>
      </c>
      <c r="T219" s="781">
        <f t="shared" si="241"/>
        <v>16.948152827554708</v>
      </c>
      <c r="U219" s="494"/>
      <c r="V219" s="781">
        <f t="shared" ref="V219:AD219" si="243">V130/V164/10</f>
        <v>14.527468176029206</v>
      </c>
      <c r="W219" s="781">
        <f t="shared" si="243"/>
        <v>15.094995630576857</v>
      </c>
      <c r="X219" s="781">
        <f t="shared" si="243"/>
        <v>15.351877405766578</v>
      </c>
      <c r="Y219" s="781">
        <f t="shared" si="243"/>
        <v>9.5898466577341068</v>
      </c>
      <c r="Z219" s="781">
        <f t="shared" si="243"/>
        <v>11.57943992513138</v>
      </c>
      <c r="AA219" s="781">
        <f t="shared" si="243"/>
        <v>16.738101978640024</v>
      </c>
      <c r="AB219" s="781">
        <f t="shared" si="243"/>
        <v>16.001413661348209</v>
      </c>
      <c r="AC219" s="781">
        <f t="shared" si="243"/>
        <v>16.255432219742914</v>
      </c>
      <c r="AD219" s="781">
        <f t="shared" si="243"/>
        <v>16.442694353710099</v>
      </c>
    </row>
    <row r="220" spans="1:30" ht="11.25" customHeight="1">
      <c r="G220" s="710"/>
      <c r="K220" s="710"/>
      <c r="O220" s="710"/>
      <c r="U220" s="494"/>
    </row>
    <row r="221" spans="1:30" ht="11.25" customHeight="1">
      <c r="C221" s="279" t="s">
        <v>401</v>
      </c>
      <c r="G221" s="710"/>
      <c r="K221" s="710"/>
      <c r="O221" s="710"/>
      <c r="U221" s="494"/>
      <c r="Z221" s="710"/>
    </row>
    <row r="222" spans="1:30" s="257" customFormat="1" ht="11.25" customHeight="1">
      <c r="C222" s="257" t="s">
        <v>396</v>
      </c>
      <c r="I222" s="257">
        <f t="shared" ref="I222:L226" si="244">I215/E215-1</f>
        <v>-0.15617980188379743</v>
      </c>
      <c r="J222" s="257">
        <f t="shared" si="244"/>
        <v>-0.65471800654383705</v>
      </c>
      <c r="K222" s="257">
        <f t="shared" si="244"/>
        <v>-0.5722576398649788</v>
      </c>
      <c r="L222" s="257">
        <f t="shared" si="244"/>
        <v>-0.54534968057867794</v>
      </c>
      <c r="M222" s="257">
        <f t="shared" ref="M222:P226" si="245">M215/E215-1</f>
        <v>-0.53131163536911097</v>
      </c>
      <c r="N222" s="257">
        <f t="shared" si="245"/>
        <v>-0.31707477897451797</v>
      </c>
      <c r="O222" s="257">
        <f t="shared" si="245"/>
        <v>-0.14484085459271401</v>
      </c>
      <c r="P222" s="257">
        <f t="shared" si="245"/>
        <v>-0.12865738698214635</v>
      </c>
      <c r="Q222" s="257">
        <f t="shared" ref="Q222:T226" si="246">Q215/E215-1</f>
        <v>-0.11091535872730807</v>
      </c>
      <c r="R222" s="257">
        <f t="shared" si="246"/>
        <v>0.15852018766423326</v>
      </c>
      <c r="S222" s="257">
        <f t="shared" si="246"/>
        <v>0.14335750176954498</v>
      </c>
      <c r="T222" s="257">
        <f t="shared" si="246"/>
        <v>5.465177802694865E-2</v>
      </c>
      <c r="Y222" s="257">
        <f t="shared" ref="Y222:AD226" si="247">Y215/$X215-1</f>
        <v>-0.41730120008637239</v>
      </c>
      <c r="Z222" s="257">
        <f t="shared" si="247"/>
        <v>-0.25988312515381362</v>
      </c>
      <c r="AA222" s="257">
        <f t="shared" si="247"/>
        <v>6.7491842053766238E-2</v>
      </c>
      <c r="AB222" s="257">
        <f t="shared" si="247"/>
        <v>3.1200036284557919E-2</v>
      </c>
      <c r="AC222" s="257">
        <f t="shared" si="247"/>
        <v>4.1211687122272078E-2</v>
      </c>
      <c r="AD222" s="257">
        <f t="shared" si="247"/>
        <v>5.3179637548965042E-2</v>
      </c>
    </row>
    <row r="223" spans="1:30" s="257" customFormat="1" ht="11.25" customHeight="1">
      <c r="C223" s="257" t="s">
        <v>397</v>
      </c>
      <c r="I223" s="257">
        <f t="shared" si="244"/>
        <v>-4.916382348006032E-2</v>
      </c>
      <c r="J223" s="257">
        <f t="shared" si="244"/>
        <v>-0.21052631578947445</v>
      </c>
      <c r="K223" s="257">
        <f t="shared" si="244"/>
        <v>-0.51027414550411465</v>
      </c>
      <c r="L223" s="257">
        <f t="shared" si="244"/>
        <v>-0.51759539860226356</v>
      </c>
      <c r="M223" s="257">
        <f t="shared" si="245"/>
        <v>-0.65306524738813332</v>
      </c>
      <c r="N223" s="257">
        <f t="shared" si="245"/>
        <v>-0.32110862262038065</v>
      </c>
      <c r="O223" s="257">
        <f t="shared" si="245"/>
        <v>-0.10824117965145508</v>
      </c>
      <c r="P223" s="257">
        <f t="shared" si="245"/>
        <v>-0.13414558723483205</v>
      </c>
      <c r="Q223" s="257">
        <f t="shared" si="246"/>
        <v>-9.6225412014885769E-2</v>
      </c>
      <c r="R223" s="257">
        <f t="shared" si="246"/>
        <v>8.6284527808883738E-2</v>
      </c>
      <c r="S223" s="257">
        <f t="shared" si="246"/>
        <v>0.11955893400653106</v>
      </c>
      <c r="T223" s="257">
        <f t="shared" si="246"/>
        <v>4.2662416605969478E-2</v>
      </c>
      <c r="Y223" s="257">
        <f t="shared" si="247"/>
        <v>-0.27325435922530883</v>
      </c>
      <c r="Z223" s="257">
        <f t="shared" si="247"/>
        <v>-0.31966533276379461</v>
      </c>
      <c r="AA223" s="257">
        <f t="shared" si="247"/>
        <v>3.3899488512449505E-2</v>
      </c>
      <c r="AB223" s="257">
        <f t="shared" si="247"/>
        <v>3.5922517141267152E-2</v>
      </c>
      <c r="AC223" s="257">
        <f t="shared" si="247"/>
        <v>5.7854619577452304E-2</v>
      </c>
      <c r="AD223" s="257">
        <f t="shared" si="247"/>
        <v>5.7854619577452304E-2</v>
      </c>
    </row>
    <row r="224" spans="1:30" s="257" customFormat="1" ht="11.25" customHeight="1">
      <c r="C224" s="257" t="s">
        <v>398</v>
      </c>
      <c r="I224" s="257">
        <f t="shared" si="244"/>
        <v>-0.15629831558774954</v>
      </c>
      <c r="J224" s="257">
        <f t="shared" si="244"/>
        <v>-0.31914893617021345</v>
      </c>
      <c r="K224" s="257">
        <f t="shared" si="244"/>
        <v>-0.59951456310679618</v>
      </c>
      <c r="L224" s="257">
        <f t="shared" si="244"/>
        <v>-0.62148608901104208</v>
      </c>
      <c r="M224" s="257">
        <f t="shared" si="245"/>
        <v>-0.59768812330009058</v>
      </c>
      <c r="N224" s="257">
        <f t="shared" si="245"/>
        <v>-0.52127659574468077</v>
      </c>
      <c r="O224" s="257">
        <f t="shared" si="245"/>
        <v>-0.19461606354810224</v>
      </c>
      <c r="P224" s="257">
        <f t="shared" si="245"/>
        <v>-0.20493788979949501</v>
      </c>
      <c r="Q224" s="257">
        <f t="shared" si="246"/>
        <v>-0.27064586406137936</v>
      </c>
      <c r="R224" s="257">
        <f t="shared" si="246"/>
        <v>9.5914769915883324E-2</v>
      </c>
      <c r="S224" s="257">
        <f t="shared" si="246"/>
        <v>0.14139664438152622</v>
      </c>
      <c r="T224" s="257">
        <f t="shared" si="246"/>
        <v>0.12536477844847216</v>
      </c>
      <c r="Y224" s="257">
        <f t="shared" si="247"/>
        <v>-0.36954904119834597</v>
      </c>
      <c r="Z224" s="257">
        <f t="shared" si="247"/>
        <v>-0.32739913633335305</v>
      </c>
      <c r="AA224" s="257">
        <f t="shared" si="247"/>
        <v>6.7836431845012424E-2</v>
      </c>
      <c r="AB224" s="257">
        <f t="shared" si="247"/>
        <v>6.950579588941741E-3</v>
      </c>
      <c r="AC224" s="257">
        <f t="shared" si="247"/>
        <v>1.8938086488810013E-2</v>
      </c>
      <c r="AD224" s="257">
        <f t="shared" si="247"/>
        <v>1.8938086488810013E-2</v>
      </c>
    </row>
    <row r="225" spans="1:30" s="257" customFormat="1" ht="11.25" customHeight="1">
      <c r="C225" s="257" t="s">
        <v>399</v>
      </c>
      <c r="I225" s="257">
        <f t="shared" si="244"/>
        <v>-0.10152740341419575</v>
      </c>
      <c r="J225" s="257">
        <f t="shared" si="244"/>
        <v>-0.51293759512937576</v>
      </c>
      <c r="K225" s="257">
        <f t="shared" si="244"/>
        <v>-0.59508881922675017</v>
      </c>
      <c r="L225" s="257">
        <f t="shared" si="244"/>
        <v>-0.56006768189509315</v>
      </c>
      <c r="M225" s="257">
        <f t="shared" si="245"/>
        <v>-0.65694682675814753</v>
      </c>
      <c r="N225" s="257">
        <f t="shared" si="245"/>
        <v>-0.59411466260781309</v>
      </c>
      <c r="O225" s="257">
        <f t="shared" si="245"/>
        <v>-0.39916405433646807</v>
      </c>
      <c r="P225" s="257">
        <f t="shared" si="245"/>
        <v>-0.38322143987773605</v>
      </c>
      <c r="Q225" s="257">
        <f t="shared" si="246"/>
        <v>-0.32997427101200671</v>
      </c>
      <c r="R225" s="257">
        <f t="shared" si="246"/>
        <v>0.1326489564741693</v>
      </c>
      <c r="S225" s="257">
        <f t="shared" si="246"/>
        <v>4.1625922752008382E-2</v>
      </c>
      <c r="T225" s="257">
        <f t="shared" si="246"/>
        <v>-7.0348207376352168E-2</v>
      </c>
      <c r="Y225" s="257">
        <f t="shared" si="247"/>
        <v>-0.32545937877795028</v>
      </c>
      <c r="Z225" s="257">
        <f t="shared" si="247"/>
        <v>-0.50494399277789537</v>
      </c>
      <c r="AA225" s="257">
        <f t="shared" si="247"/>
        <v>-6.2078176511960126E-2</v>
      </c>
      <c r="AB225" s="257">
        <f t="shared" si="247"/>
        <v>7.0854797911013456E-2</v>
      </c>
      <c r="AC225" s="257">
        <f t="shared" si="247"/>
        <v>0.30000000000000004</v>
      </c>
      <c r="AD225" s="257">
        <f t="shared" si="247"/>
        <v>0.35033613253064599</v>
      </c>
    </row>
    <row r="226" spans="1:30" s="257" customFormat="1" ht="11.25" customHeight="1">
      <c r="C226" s="700" t="s">
        <v>400</v>
      </c>
      <c r="I226" s="659">
        <f t="shared" si="244"/>
        <v>-0.13303759792758507</v>
      </c>
      <c r="J226" s="659">
        <f t="shared" si="244"/>
        <v>-0.59612237326687612</v>
      </c>
      <c r="K226" s="659">
        <f t="shared" si="244"/>
        <v>-0.54525079393994025</v>
      </c>
      <c r="L226" s="659">
        <f t="shared" si="244"/>
        <v>-0.52849276099017595</v>
      </c>
      <c r="M226" s="659">
        <f t="shared" si="245"/>
        <v>-0.53799796112598164</v>
      </c>
      <c r="N226" s="659">
        <f t="shared" si="245"/>
        <v>-0.30558254313399147</v>
      </c>
      <c r="O226" s="659">
        <f t="shared" si="245"/>
        <v>-0.11736806070936212</v>
      </c>
      <c r="P226" s="659">
        <f t="shared" si="245"/>
        <v>-0.10566947706632257</v>
      </c>
      <c r="Q226" s="659">
        <f t="shared" si="246"/>
        <v>-0.10082897948802738</v>
      </c>
      <c r="R226" s="659">
        <f t="shared" si="246"/>
        <v>0.17423746549375907</v>
      </c>
      <c r="S226" s="659">
        <f t="shared" si="246"/>
        <v>0.16591116162977571</v>
      </c>
      <c r="T226" s="659">
        <f t="shared" si="246"/>
        <v>8.3133218776212159E-2</v>
      </c>
      <c r="Y226" s="659">
        <f t="shared" si="247"/>
        <v>-0.37533069055567736</v>
      </c>
      <c r="Z226" s="659">
        <f t="shared" si="247"/>
        <v>-0.2457313448333146</v>
      </c>
      <c r="AA226" s="659">
        <f t="shared" si="247"/>
        <v>9.0296745878959639E-2</v>
      </c>
      <c r="AB226" s="659">
        <f t="shared" si="247"/>
        <v>4.2309890732819877E-2</v>
      </c>
      <c r="AC226" s="659">
        <f t="shared" si="247"/>
        <v>5.8856307283755127E-2</v>
      </c>
      <c r="AD226" s="659">
        <f t="shared" si="247"/>
        <v>7.1054302943676539E-2</v>
      </c>
    </row>
    <row r="227" spans="1:30" ht="11.25" customHeight="1">
      <c r="A227" s="701"/>
      <c r="U227" s="255"/>
    </row>
    <row r="228" spans="1:30" s="255" customFormat="1" ht="11.25" customHeight="1">
      <c r="A228" s="701"/>
      <c r="B228" s="258" t="s">
        <v>133</v>
      </c>
      <c r="C228" s="259" t="s">
        <v>1186</v>
      </c>
      <c r="D228" s="259"/>
      <c r="E228" s="258"/>
      <c r="F228" s="258"/>
      <c r="G228" s="258"/>
      <c r="H228" s="258"/>
      <c r="I228" s="258"/>
      <c r="J228" s="258"/>
      <c r="K228" s="258"/>
      <c r="L228" s="258"/>
      <c r="M228" s="258"/>
      <c r="N228" s="258"/>
      <c r="O228" s="258"/>
      <c r="P228" s="258"/>
      <c r="Q228" s="258"/>
      <c r="R228" s="258"/>
      <c r="S228" s="258"/>
      <c r="T228" s="258"/>
      <c r="V228" s="258"/>
      <c r="W228" s="258"/>
      <c r="X228" s="258"/>
      <c r="Y228" s="258"/>
      <c r="Z228" s="258"/>
      <c r="AA228" s="258"/>
      <c r="AB228" s="258"/>
      <c r="AC228" s="258"/>
      <c r="AD228" s="258"/>
    </row>
    <row r="229" spans="1:30" ht="11.25" customHeight="1">
      <c r="A229" s="701"/>
    </row>
    <row r="230" spans="1:30" ht="11.25" customHeight="1">
      <c r="A230" s="701"/>
      <c r="C230" s="399" t="s">
        <v>1187</v>
      </c>
      <c r="U230" s="255"/>
    </row>
    <row r="231" spans="1:30" s="255" customFormat="1" ht="11.25" customHeight="1">
      <c r="C231" s="254" t="s">
        <v>468</v>
      </c>
      <c r="D231" s="287"/>
      <c r="E231" s="254">
        <f t="shared" ref="E231:R231" si="248">E16</f>
        <v>2732</v>
      </c>
      <c r="F231" s="254">
        <f t="shared" si="248"/>
        <v>2847</v>
      </c>
      <c r="G231" s="254">
        <f t="shared" si="248"/>
        <v>2976</v>
      </c>
      <c r="H231" s="254">
        <f t="shared" si="248"/>
        <v>3046</v>
      </c>
      <c r="I231" s="254">
        <f t="shared" si="248"/>
        <v>2862</v>
      </c>
      <c r="J231" s="254">
        <f t="shared" si="248"/>
        <v>2127</v>
      </c>
      <c r="K231" s="254">
        <f t="shared" si="248"/>
        <v>2012</v>
      </c>
      <c r="L231" s="254">
        <f t="shared" si="248"/>
        <v>1940</v>
      </c>
      <c r="M231" s="254">
        <f t="shared" si="248"/>
        <v>2202</v>
      </c>
      <c r="N231" s="254">
        <f t="shared" si="248"/>
        <v>2328</v>
      </c>
      <c r="O231" s="254">
        <f t="shared" si="248"/>
        <v>2566</v>
      </c>
      <c r="P231" s="254">
        <f t="shared" si="248"/>
        <v>2632</v>
      </c>
      <c r="Q231" s="254">
        <f t="shared" si="248"/>
        <v>2826</v>
      </c>
      <c r="R231" s="254">
        <f t="shared" si="248"/>
        <v>2955</v>
      </c>
      <c r="S231" s="255">
        <f>S246*S164*10</f>
        <v>3318.2066824497906</v>
      </c>
      <c r="T231" s="255">
        <f>T246*T164*10</f>
        <v>3310.6365883660983</v>
      </c>
      <c r="V231" s="254">
        <f t="shared" ref="V231:W238" si="249">V16</f>
        <v>10058</v>
      </c>
      <c r="W231" s="254">
        <f t="shared" si="249"/>
        <v>10743</v>
      </c>
      <c r="X231" s="254">
        <f t="shared" ref="X231:AA241" si="250">SUMIF($E$5:$T$5,X$5,$E231:$T231)</f>
        <v>11601</v>
      </c>
      <c r="Y231" s="254">
        <f t="shared" si="250"/>
        <v>8941</v>
      </c>
      <c r="Z231" s="254">
        <f t="shared" si="250"/>
        <v>9728</v>
      </c>
      <c r="AA231" s="254">
        <f t="shared" si="250"/>
        <v>12409.843270815889</v>
      </c>
      <c r="AB231" s="254">
        <f t="shared" ref="AB231:AD232" si="251">AB246*AB$164*10</f>
        <v>14202.014570840558</v>
      </c>
      <c r="AC231" s="254">
        <f t="shared" si="251"/>
        <v>16258.566269286715</v>
      </c>
      <c r="AD231" s="254">
        <f t="shared" si="251"/>
        <v>16271.584595162491</v>
      </c>
    </row>
    <row r="232" spans="1:30" ht="11.25" customHeight="1">
      <c r="C232" s="254" t="s">
        <v>1188</v>
      </c>
      <c r="D232" s="287"/>
      <c r="E232" s="254">
        <f t="shared" ref="E232:R232" si="252">E17</f>
        <v>538</v>
      </c>
      <c r="F232" s="254">
        <f t="shared" si="252"/>
        <v>542</v>
      </c>
      <c r="G232" s="254">
        <f t="shared" si="252"/>
        <v>543</v>
      </c>
      <c r="H232" s="254">
        <f t="shared" si="252"/>
        <v>536</v>
      </c>
      <c r="I232" s="254">
        <f t="shared" si="252"/>
        <v>577</v>
      </c>
      <c r="J232" s="254">
        <f t="shared" si="252"/>
        <v>338</v>
      </c>
      <c r="K232" s="254">
        <f t="shared" si="252"/>
        <v>290</v>
      </c>
      <c r="L232" s="254">
        <f t="shared" si="252"/>
        <v>591</v>
      </c>
      <c r="M232" s="254">
        <f t="shared" si="252"/>
        <v>401</v>
      </c>
      <c r="N232" s="254">
        <f t="shared" si="252"/>
        <v>403</v>
      </c>
      <c r="O232" s="254">
        <f t="shared" si="252"/>
        <v>453</v>
      </c>
      <c r="P232" s="254">
        <f t="shared" si="252"/>
        <v>478</v>
      </c>
      <c r="Q232" s="254">
        <f t="shared" si="252"/>
        <v>491</v>
      </c>
      <c r="R232" s="254">
        <f t="shared" si="252"/>
        <v>528</v>
      </c>
      <c r="S232" s="254">
        <f t="shared" ref="S232:T240" si="253">S247*S$164*10</f>
        <v>535.58058386470509</v>
      </c>
      <c r="T232" s="254">
        <f t="shared" si="253"/>
        <v>542.04125043812974</v>
      </c>
      <c r="U232" s="255"/>
      <c r="V232" s="254">
        <f t="shared" si="249"/>
        <v>3466</v>
      </c>
      <c r="W232" s="254">
        <f t="shared" si="249"/>
        <v>3438</v>
      </c>
      <c r="X232" s="254">
        <f t="shared" si="250"/>
        <v>2159</v>
      </c>
      <c r="Y232" s="254">
        <f t="shared" si="250"/>
        <v>1796</v>
      </c>
      <c r="Z232" s="254">
        <f t="shared" si="250"/>
        <v>1735</v>
      </c>
      <c r="AA232" s="254">
        <f t="shared" si="250"/>
        <v>2096.6218343028349</v>
      </c>
      <c r="AB232" s="254">
        <f t="shared" si="251"/>
        <v>2293.5652406259514</v>
      </c>
      <c r="AC232" s="254">
        <f t="shared" si="251"/>
        <v>2467.1864660150932</v>
      </c>
      <c r="AD232" s="254">
        <f t="shared" si="251"/>
        <v>2507.742611723475</v>
      </c>
    </row>
    <row r="233" spans="1:30" ht="11.25" customHeight="1">
      <c r="C233" s="254" t="s">
        <v>1189</v>
      </c>
      <c r="D233" s="287"/>
      <c r="E233" s="254">
        <f t="shared" ref="E233:R233" si="254">E18</f>
        <v>709</v>
      </c>
      <c r="F233" s="254">
        <f t="shared" si="254"/>
        <v>731</v>
      </c>
      <c r="G233" s="254">
        <f t="shared" si="254"/>
        <v>760</v>
      </c>
      <c r="H233" s="254">
        <f t="shared" si="254"/>
        <v>742</v>
      </c>
      <c r="I233" s="254">
        <f t="shared" si="254"/>
        <v>748</v>
      </c>
      <c r="J233" s="254">
        <f t="shared" si="254"/>
        <v>369</v>
      </c>
      <c r="K233" s="254">
        <f t="shared" si="254"/>
        <v>419</v>
      </c>
      <c r="L233" s="254">
        <f t="shared" si="254"/>
        <v>381</v>
      </c>
      <c r="M233" s="254">
        <f t="shared" si="254"/>
        <v>519</v>
      </c>
      <c r="N233" s="254">
        <f t="shared" si="254"/>
        <v>570</v>
      </c>
      <c r="O233" s="254">
        <f t="shared" si="254"/>
        <v>634</v>
      </c>
      <c r="P233" s="254">
        <f t="shared" si="254"/>
        <v>697</v>
      </c>
      <c r="Q233" s="254">
        <f t="shared" si="254"/>
        <v>753</v>
      </c>
      <c r="R233" s="254">
        <f t="shared" si="254"/>
        <v>791</v>
      </c>
      <c r="S233" s="254">
        <f t="shared" si="253"/>
        <v>847.39149148583363</v>
      </c>
      <c r="T233" s="254">
        <f t="shared" si="253"/>
        <v>771.4012913370093</v>
      </c>
      <c r="U233" s="255"/>
      <c r="V233" s="254">
        <f t="shared" si="249"/>
        <v>2108</v>
      </c>
      <c r="W233" s="254">
        <f t="shared" si="249"/>
        <v>2175</v>
      </c>
      <c r="X233" s="254">
        <f t="shared" si="250"/>
        <v>2942</v>
      </c>
      <c r="Y233" s="254">
        <f t="shared" si="250"/>
        <v>1917</v>
      </c>
      <c r="Z233" s="254">
        <f t="shared" si="250"/>
        <v>2420</v>
      </c>
      <c r="AA233" s="254">
        <f t="shared" si="250"/>
        <v>3162.792782822843</v>
      </c>
      <c r="AB233" s="254">
        <f t="shared" ref="AB233:AD240" si="255">AB248*AB$164*10</f>
        <v>3274.1947690569723</v>
      </c>
      <c r="AC233" s="254">
        <f t="shared" si="255"/>
        <v>3488.8220618027412</v>
      </c>
      <c r="AD233" s="254">
        <f t="shared" si="255"/>
        <v>3546.1720747985664</v>
      </c>
    </row>
    <row r="234" spans="1:30" ht="11.25" customHeight="1">
      <c r="C234" s="254" t="s">
        <v>1190</v>
      </c>
      <c r="D234" s="287"/>
      <c r="E234" s="254">
        <f t="shared" ref="E234:R234" si="256">E19</f>
        <v>524</v>
      </c>
      <c r="F234" s="254">
        <f t="shared" si="256"/>
        <v>548</v>
      </c>
      <c r="G234" s="254">
        <f t="shared" si="256"/>
        <v>566</v>
      </c>
      <c r="H234" s="254">
        <f t="shared" si="256"/>
        <v>538</v>
      </c>
      <c r="I234" s="254">
        <f t="shared" si="256"/>
        <v>678</v>
      </c>
      <c r="J234" s="254">
        <f t="shared" si="256"/>
        <v>422</v>
      </c>
      <c r="K234" s="254">
        <f t="shared" si="256"/>
        <v>458</v>
      </c>
      <c r="L234" s="254">
        <f t="shared" si="256"/>
        <v>323</v>
      </c>
      <c r="M234" s="254">
        <f t="shared" si="256"/>
        <v>492</v>
      </c>
      <c r="N234" s="254">
        <f t="shared" si="256"/>
        <v>460</v>
      </c>
      <c r="O234" s="254">
        <f t="shared" si="256"/>
        <v>524</v>
      </c>
      <c r="P234" s="254">
        <f t="shared" si="256"/>
        <v>542</v>
      </c>
      <c r="Q234" s="254">
        <f t="shared" si="256"/>
        <v>504</v>
      </c>
      <c r="R234" s="254">
        <f t="shared" si="256"/>
        <v>546</v>
      </c>
      <c r="S234" s="254">
        <f t="shared" si="253"/>
        <v>582.53876621171878</v>
      </c>
      <c r="T234" s="254">
        <f t="shared" si="253"/>
        <v>559.3179174384245</v>
      </c>
      <c r="U234" s="255"/>
      <c r="V234" s="254">
        <f t="shared" si="249"/>
        <v>1827</v>
      </c>
      <c r="W234" s="254">
        <f t="shared" si="249"/>
        <v>1941</v>
      </c>
      <c r="X234" s="254">
        <f t="shared" si="250"/>
        <v>2176</v>
      </c>
      <c r="Y234" s="254">
        <f t="shared" si="250"/>
        <v>1881</v>
      </c>
      <c r="Z234" s="254">
        <f t="shared" si="250"/>
        <v>2018</v>
      </c>
      <c r="AA234" s="254">
        <f t="shared" si="250"/>
        <v>2191.8566836501432</v>
      </c>
      <c r="AB234" s="254">
        <f t="shared" si="255"/>
        <v>2311.6248094497773</v>
      </c>
      <c r="AC234" s="254">
        <f t="shared" si="255"/>
        <v>2463.1545166574697</v>
      </c>
      <c r="AD234" s="254">
        <f t="shared" si="255"/>
        <v>2503.644384308684</v>
      </c>
    </row>
    <row r="235" spans="1:30" ht="11.25" customHeight="1">
      <c r="C235" s="254" t="s">
        <v>471</v>
      </c>
      <c r="D235" s="287"/>
      <c r="E235" s="254">
        <f t="shared" ref="E235:R235" si="257">E20</f>
        <v>476</v>
      </c>
      <c r="F235" s="254">
        <f t="shared" si="257"/>
        <v>434</v>
      </c>
      <c r="G235" s="254">
        <f t="shared" si="257"/>
        <v>424</v>
      </c>
      <c r="H235" s="254">
        <f t="shared" si="257"/>
        <v>417</v>
      </c>
      <c r="I235" s="254">
        <f t="shared" si="257"/>
        <v>469</v>
      </c>
      <c r="J235" s="254">
        <f t="shared" si="257"/>
        <v>43</v>
      </c>
      <c r="K235" s="254">
        <f t="shared" si="257"/>
        <v>106</v>
      </c>
      <c r="L235" s="254">
        <f t="shared" si="257"/>
        <v>204</v>
      </c>
      <c r="M235" s="254">
        <f t="shared" si="257"/>
        <v>294</v>
      </c>
      <c r="N235" s="254">
        <f t="shared" si="257"/>
        <v>287</v>
      </c>
      <c r="O235" s="254">
        <f t="shared" si="257"/>
        <v>433</v>
      </c>
      <c r="P235" s="254">
        <f t="shared" si="257"/>
        <v>386</v>
      </c>
      <c r="Q235" s="254">
        <f t="shared" si="257"/>
        <v>465</v>
      </c>
      <c r="R235" s="254">
        <f t="shared" si="257"/>
        <v>522</v>
      </c>
      <c r="S235" s="254">
        <f t="shared" si="253"/>
        <v>490.93814749644849</v>
      </c>
      <c r="T235" s="254">
        <f t="shared" si="253"/>
        <v>453.22897483541124</v>
      </c>
      <c r="U235" s="255"/>
      <c r="V235" s="254">
        <f t="shared" si="249"/>
        <v>1591</v>
      </c>
      <c r="W235" s="254">
        <f t="shared" si="249"/>
        <v>1575</v>
      </c>
      <c r="X235" s="254">
        <f t="shared" si="250"/>
        <v>1751</v>
      </c>
      <c r="Y235" s="254">
        <f t="shared" si="250"/>
        <v>822</v>
      </c>
      <c r="Z235" s="254">
        <f t="shared" si="250"/>
        <v>1400</v>
      </c>
      <c r="AA235" s="254">
        <f t="shared" si="250"/>
        <v>1931.1671223318597</v>
      </c>
      <c r="AB235" s="254">
        <f t="shared" si="255"/>
        <v>1948.7134740376471</v>
      </c>
      <c r="AC235" s="254">
        <f t="shared" si="255"/>
        <v>2076.4539191762747</v>
      </c>
      <c r="AD235" s="254">
        <f t="shared" si="255"/>
        <v>2110.5871186173654</v>
      </c>
    </row>
    <row r="236" spans="1:30" ht="11.25" customHeight="1">
      <c r="C236" s="254" t="s">
        <v>1191</v>
      </c>
      <c r="D236" s="287"/>
      <c r="E236" s="254">
        <f t="shared" ref="E236:R236" si="258">E21</f>
        <v>288</v>
      </c>
      <c r="F236" s="254">
        <f t="shared" si="258"/>
        <v>340</v>
      </c>
      <c r="G236" s="254">
        <f t="shared" si="258"/>
        <v>360</v>
      </c>
      <c r="H236" s="254">
        <f t="shared" si="258"/>
        <v>325</v>
      </c>
      <c r="I236" s="254">
        <f t="shared" si="258"/>
        <v>273</v>
      </c>
      <c r="J236" s="254">
        <f t="shared" si="258"/>
        <v>91</v>
      </c>
      <c r="K236" s="254">
        <f t="shared" si="258"/>
        <v>92</v>
      </c>
      <c r="L236" s="254">
        <f t="shared" si="258"/>
        <v>90</v>
      </c>
      <c r="M236" s="254">
        <f t="shared" si="258"/>
        <v>118</v>
      </c>
      <c r="N236" s="254">
        <f t="shared" si="258"/>
        <v>175</v>
      </c>
      <c r="O236" s="254">
        <f t="shared" si="258"/>
        <v>226</v>
      </c>
      <c r="P236" s="254">
        <f t="shared" si="258"/>
        <v>236</v>
      </c>
      <c r="Q236" s="254">
        <f t="shared" si="258"/>
        <v>275</v>
      </c>
      <c r="R236" s="254">
        <f t="shared" si="258"/>
        <v>369</v>
      </c>
      <c r="S236" s="254">
        <f t="shared" si="253"/>
        <v>355.08105007604763</v>
      </c>
      <c r="T236" s="254">
        <f t="shared" si="253"/>
        <v>337.87792410313739</v>
      </c>
      <c r="U236" s="255"/>
      <c r="V236" s="254">
        <f t="shared" si="249"/>
        <v>1123</v>
      </c>
      <c r="W236" s="254">
        <f t="shared" si="249"/>
        <v>1178</v>
      </c>
      <c r="X236" s="254">
        <f t="shared" si="250"/>
        <v>1313</v>
      </c>
      <c r="Y236" s="254">
        <f t="shared" si="250"/>
        <v>546</v>
      </c>
      <c r="Z236" s="254">
        <f t="shared" si="250"/>
        <v>755</v>
      </c>
      <c r="AA236" s="254">
        <f t="shared" si="250"/>
        <v>1336.9589741791851</v>
      </c>
      <c r="AB236" s="254">
        <f t="shared" si="255"/>
        <v>1428.046493311504</v>
      </c>
      <c r="AC236" s="254">
        <f t="shared" si="255"/>
        <v>1557.0439725176748</v>
      </c>
      <c r="AD236" s="254">
        <f t="shared" si="255"/>
        <v>1582.6389987119364</v>
      </c>
    </row>
    <row r="237" spans="1:30" ht="11.25" customHeight="1">
      <c r="C237" s="254" t="s">
        <v>472</v>
      </c>
      <c r="D237" s="287"/>
      <c r="E237" s="254">
        <f t="shared" ref="E237:R237" si="259">E22</f>
        <v>102</v>
      </c>
      <c r="F237" s="254">
        <f t="shared" si="259"/>
        <v>107</v>
      </c>
      <c r="G237" s="254">
        <f t="shared" si="259"/>
        <v>110</v>
      </c>
      <c r="H237" s="254">
        <f t="shared" si="259"/>
        <v>105</v>
      </c>
      <c r="I237" s="254">
        <f t="shared" si="259"/>
        <v>100</v>
      </c>
      <c r="J237" s="254">
        <f t="shared" si="259"/>
        <v>96</v>
      </c>
      <c r="K237" s="254">
        <f t="shared" si="259"/>
        <v>99</v>
      </c>
      <c r="L237" s="254">
        <f t="shared" si="259"/>
        <v>104</v>
      </c>
      <c r="M237" s="254">
        <f t="shared" si="259"/>
        <v>104</v>
      </c>
      <c r="N237" s="254">
        <f t="shared" si="259"/>
        <v>104</v>
      </c>
      <c r="O237" s="254">
        <f t="shared" si="259"/>
        <v>105</v>
      </c>
      <c r="P237" s="254">
        <f t="shared" si="259"/>
        <v>118</v>
      </c>
      <c r="Q237" s="254">
        <f t="shared" si="259"/>
        <v>122</v>
      </c>
      <c r="R237" s="254">
        <f t="shared" si="259"/>
        <v>127</v>
      </c>
      <c r="S237" s="254">
        <f t="shared" si="253"/>
        <v>136.80054948582028</v>
      </c>
      <c r="T237" s="254">
        <f t="shared" si="253"/>
        <v>129.00793465756158</v>
      </c>
      <c r="U237" s="255"/>
      <c r="V237" s="254">
        <f t="shared" si="249"/>
        <v>351</v>
      </c>
      <c r="W237" s="254">
        <f t="shared" si="249"/>
        <v>394</v>
      </c>
      <c r="X237" s="254">
        <f t="shared" si="250"/>
        <v>424</v>
      </c>
      <c r="Y237" s="254">
        <f t="shared" si="250"/>
        <v>399</v>
      </c>
      <c r="Z237" s="254">
        <f t="shared" si="250"/>
        <v>431</v>
      </c>
      <c r="AA237" s="254">
        <f t="shared" si="250"/>
        <v>514.80848414338186</v>
      </c>
      <c r="AB237" s="254">
        <f t="shared" si="255"/>
        <v>493.32469235281485</v>
      </c>
      <c r="AC237" s="254">
        <f t="shared" si="255"/>
        <v>525.66270234689341</v>
      </c>
      <c r="AD237" s="254">
        <f t="shared" si="255"/>
        <v>534.30365974654853</v>
      </c>
    </row>
    <row r="238" spans="1:30" ht="11.25" customHeight="1">
      <c r="C238" s="254" t="s">
        <v>1178</v>
      </c>
      <c r="D238" s="287"/>
      <c r="E238" s="254">
        <f t="shared" ref="E238:R238" si="260">E23</f>
        <v>268</v>
      </c>
      <c r="F238" s="254">
        <f t="shared" si="260"/>
        <v>234</v>
      </c>
      <c r="G238" s="254">
        <f t="shared" si="260"/>
        <v>231</v>
      </c>
      <c r="H238" s="254">
        <f t="shared" si="260"/>
        <v>248</v>
      </c>
      <c r="I238" s="254">
        <f t="shared" si="260"/>
        <v>219</v>
      </c>
      <c r="J238" s="254">
        <f t="shared" si="260"/>
        <v>109</v>
      </c>
      <c r="K238" s="254">
        <f t="shared" si="260"/>
        <v>144</v>
      </c>
      <c r="L238" s="254">
        <f t="shared" si="260"/>
        <v>163</v>
      </c>
      <c r="M238" s="254">
        <f t="shared" si="260"/>
        <v>166</v>
      </c>
      <c r="N238" s="254">
        <f t="shared" si="260"/>
        <v>162</v>
      </c>
      <c r="O238" s="254">
        <f t="shared" si="260"/>
        <v>207</v>
      </c>
      <c r="P238" s="254">
        <f t="shared" si="260"/>
        <v>193</v>
      </c>
      <c r="Q238" s="254">
        <f t="shared" si="260"/>
        <v>195</v>
      </c>
      <c r="R238" s="254">
        <f t="shared" ca="1" si="260"/>
        <v>204</v>
      </c>
      <c r="S238" s="254">
        <f t="shared" si="253"/>
        <v>208.03118042498878</v>
      </c>
      <c r="T238" s="254">
        <f t="shared" si="253"/>
        <v>199.22983608654928</v>
      </c>
      <c r="U238" s="255"/>
      <c r="V238" s="254">
        <f t="shared" si="249"/>
        <v>1495</v>
      </c>
      <c r="W238" s="254">
        <f t="shared" si="249"/>
        <v>1695</v>
      </c>
      <c r="X238" s="254">
        <f t="shared" si="250"/>
        <v>981</v>
      </c>
      <c r="Y238" s="254">
        <f t="shared" si="250"/>
        <v>635</v>
      </c>
      <c r="Z238" s="254">
        <f t="shared" si="250"/>
        <v>728</v>
      </c>
      <c r="AA238" s="254">
        <f t="shared" ca="1" si="250"/>
        <v>806.26101651153806</v>
      </c>
      <c r="AB238" s="254">
        <f t="shared" si="255"/>
        <v>843.63985791303276</v>
      </c>
      <c r="AC238" s="254">
        <f t="shared" si="255"/>
        <v>898.94143632476857</v>
      </c>
      <c r="AD238" s="254">
        <f t="shared" si="255"/>
        <v>913.71843043408467</v>
      </c>
    </row>
    <row r="239" spans="1:30" ht="11.25" customHeight="1">
      <c r="C239" s="254" t="s">
        <v>1192</v>
      </c>
      <c r="D239" s="287"/>
      <c r="E239" s="254">
        <f t="shared" ref="E239:R239" si="261">E26</f>
        <v>474</v>
      </c>
      <c r="F239" s="254">
        <f t="shared" si="261"/>
        <v>597</v>
      </c>
      <c r="G239" s="254">
        <f t="shared" si="261"/>
        <v>597</v>
      </c>
      <c r="H239" s="254">
        <f t="shared" si="261"/>
        <v>542</v>
      </c>
      <c r="I239" s="254">
        <f t="shared" si="261"/>
        <v>398</v>
      </c>
      <c r="J239" s="254">
        <f t="shared" si="261"/>
        <v>50</v>
      </c>
      <c r="K239" s="254">
        <f t="shared" si="261"/>
        <v>100</v>
      </c>
      <c r="L239" s="254">
        <f t="shared" si="261"/>
        <v>84</v>
      </c>
      <c r="M239" s="254">
        <f t="shared" si="261"/>
        <v>110</v>
      </c>
      <c r="N239" s="254">
        <f t="shared" si="261"/>
        <v>222</v>
      </c>
      <c r="O239" s="254">
        <f t="shared" si="261"/>
        <v>308</v>
      </c>
      <c r="P239" s="254">
        <f t="shared" si="261"/>
        <v>313</v>
      </c>
      <c r="Q239" s="254">
        <f t="shared" si="261"/>
        <v>312</v>
      </c>
      <c r="R239" s="254">
        <f t="shared" si="261"/>
        <v>526</v>
      </c>
      <c r="S239" s="254">
        <f t="shared" si="253"/>
        <v>537.63902473471126</v>
      </c>
      <c r="T239" s="254">
        <f t="shared" si="253"/>
        <v>409.80102906607107</v>
      </c>
      <c r="U239" s="255"/>
      <c r="V239" s="254">
        <f>V26</f>
        <v>1501</v>
      </c>
      <c r="W239" s="254">
        <f>W26</f>
        <v>1662</v>
      </c>
      <c r="X239" s="254">
        <f t="shared" si="250"/>
        <v>2210</v>
      </c>
      <c r="Y239" s="254">
        <f t="shared" si="250"/>
        <v>632</v>
      </c>
      <c r="Z239" s="254">
        <f t="shared" si="250"/>
        <v>953</v>
      </c>
      <c r="AA239" s="254">
        <f t="shared" si="250"/>
        <v>1785.4400538007824</v>
      </c>
      <c r="AB239" s="254">
        <f t="shared" si="255"/>
        <v>1788.7572930266133</v>
      </c>
      <c r="AC239" s="254">
        <f t="shared" si="255"/>
        <v>1906.0124236039942</v>
      </c>
      <c r="AD239" s="254">
        <f t="shared" si="255"/>
        <v>1937.343868810291</v>
      </c>
    </row>
    <row r="240" spans="1:30" ht="11.25" customHeight="1">
      <c r="C240" s="254" t="s">
        <v>609</v>
      </c>
      <c r="D240" s="287"/>
      <c r="E240" s="254">
        <f t="shared" ref="E240:R240" si="262">E27</f>
        <v>445</v>
      </c>
      <c r="F240" s="254">
        <f t="shared" si="262"/>
        <v>424</v>
      </c>
      <c r="G240" s="254">
        <f t="shared" si="262"/>
        <v>487</v>
      </c>
      <c r="H240" s="254">
        <f t="shared" si="262"/>
        <v>469</v>
      </c>
      <c r="I240" s="254">
        <f t="shared" si="262"/>
        <v>533</v>
      </c>
      <c r="J240" s="254">
        <f t="shared" si="262"/>
        <v>209</v>
      </c>
      <c r="K240" s="254">
        <f t="shared" si="262"/>
        <v>250</v>
      </c>
      <c r="L240" s="254">
        <f t="shared" si="262"/>
        <v>218</v>
      </c>
      <c r="M240" s="254">
        <f t="shared" si="262"/>
        <v>322</v>
      </c>
      <c r="N240" s="254">
        <f t="shared" si="262"/>
        <v>330</v>
      </c>
      <c r="O240" s="254">
        <f t="shared" si="262"/>
        <v>357</v>
      </c>
      <c r="P240" s="254">
        <f t="shared" si="262"/>
        <v>399</v>
      </c>
      <c r="Q240" s="254">
        <f t="shared" si="262"/>
        <v>408</v>
      </c>
      <c r="R240" s="254">
        <f t="shared" si="262"/>
        <v>437</v>
      </c>
      <c r="S240" s="254">
        <f t="shared" si="253"/>
        <v>467.81499505671366</v>
      </c>
      <c r="T240" s="254">
        <f t="shared" si="253"/>
        <v>483.1512547713703</v>
      </c>
      <c r="U240" s="255"/>
      <c r="V240" s="254">
        <f>V27</f>
        <v>1609</v>
      </c>
      <c r="W240" s="254">
        <f>W27</f>
        <v>1723</v>
      </c>
      <c r="X240" s="254">
        <f t="shared" si="250"/>
        <v>1825</v>
      </c>
      <c r="Y240" s="254">
        <f t="shared" si="250"/>
        <v>1210</v>
      </c>
      <c r="Z240" s="254">
        <f t="shared" si="250"/>
        <v>1408</v>
      </c>
      <c r="AA240" s="254">
        <f t="shared" si="250"/>
        <v>1795.9662498280838</v>
      </c>
      <c r="AB240" s="254">
        <f t="shared" si="255"/>
        <v>1846.4265043968155</v>
      </c>
      <c r="AC240" s="254">
        <f t="shared" si="255"/>
        <v>1967.4619191613629</v>
      </c>
      <c r="AD240" s="254">
        <f t="shared" si="255"/>
        <v>1999.8034844902609</v>
      </c>
    </row>
    <row r="241" spans="3:30" ht="11.25" customHeight="1">
      <c r="C241" s="254" t="s">
        <v>522</v>
      </c>
      <c r="D241" s="287"/>
      <c r="E241" s="254">
        <f t="shared" ref="E241:T241" si="263">E30</f>
        <v>615</v>
      </c>
      <c r="F241" s="254">
        <f t="shared" si="263"/>
        <v>713</v>
      </c>
      <c r="G241" s="254">
        <f t="shared" si="263"/>
        <v>631</v>
      </c>
      <c r="H241" s="254">
        <f t="shared" si="263"/>
        <v>622</v>
      </c>
      <c r="I241" s="254">
        <f t="shared" si="263"/>
        <v>550</v>
      </c>
      <c r="J241" s="254">
        <f t="shared" si="263"/>
        <v>591</v>
      </c>
      <c r="K241" s="254">
        <f t="shared" si="263"/>
        <v>545</v>
      </c>
      <c r="L241" s="254">
        <f t="shared" si="263"/>
        <v>499</v>
      </c>
      <c r="M241" s="254">
        <f t="shared" si="263"/>
        <v>493</v>
      </c>
      <c r="N241" s="254">
        <f t="shared" si="263"/>
        <v>501</v>
      </c>
      <c r="O241" s="254">
        <f t="shared" si="263"/>
        <v>501</v>
      </c>
      <c r="P241" s="254">
        <f t="shared" si="263"/>
        <v>504</v>
      </c>
      <c r="Q241" s="254">
        <f t="shared" si="263"/>
        <v>506</v>
      </c>
      <c r="R241" s="254">
        <f t="shared" si="263"/>
        <v>510</v>
      </c>
      <c r="S241" s="254">
        <f t="shared" si="263"/>
        <v>465.52515091305736</v>
      </c>
      <c r="T241" s="254">
        <f t="shared" si="263"/>
        <v>481.36623221371792</v>
      </c>
      <c r="U241" s="255"/>
      <c r="V241" s="254">
        <f>V30</f>
        <v>2222</v>
      </c>
      <c r="W241" s="254">
        <f>W30</f>
        <v>2329</v>
      </c>
      <c r="X241" s="254">
        <f t="shared" si="250"/>
        <v>2581</v>
      </c>
      <c r="Y241" s="254">
        <f t="shared" si="250"/>
        <v>2185</v>
      </c>
      <c r="Z241" s="254">
        <f t="shared" si="250"/>
        <v>1999</v>
      </c>
      <c r="AA241" s="254">
        <f t="shared" si="250"/>
        <v>1962.8913831267753</v>
      </c>
      <c r="AB241" s="254">
        <f>AB30</f>
        <v>2437.0735580038645</v>
      </c>
      <c r="AC241" s="254">
        <f>AC30</f>
        <v>2112.6016702019556</v>
      </c>
      <c r="AD241" s="254">
        <f>AD30</f>
        <v>2304.2935870033311</v>
      </c>
    </row>
    <row r="242" spans="3:30" s="484" customFormat="1" ht="11.25" customHeight="1">
      <c r="C242" s="696" t="s">
        <v>1193</v>
      </c>
      <c r="E242" s="357">
        <f t="shared" ref="E242:T242" si="264">SUM(E231:E241)</f>
        <v>7171</v>
      </c>
      <c r="F242" s="357">
        <f t="shared" si="264"/>
        <v>7517</v>
      </c>
      <c r="G242" s="357">
        <f t="shared" si="264"/>
        <v>7685</v>
      </c>
      <c r="H242" s="357">
        <f t="shared" si="264"/>
        <v>7590</v>
      </c>
      <c r="I242" s="357">
        <f t="shared" si="264"/>
        <v>7407</v>
      </c>
      <c r="J242" s="357">
        <f t="shared" si="264"/>
        <v>4445</v>
      </c>
      <c r="K242" s="357">
        <f t="shared" si="264"/>
        <v>4515</v>
      </c>
      <c r="L242" s="357">
        <f t="shared" si="264"/>
        <v>4597</v>
      </c>
      <c r="M242" s="357">
        <f t="shared" si="264"/>
        <v>5221</v>
      </c>
      <c r="N242" s="357">
        <f t="shared" si="264"/>
        <v>5542</v>
      </c>
      <c r="O242" s="357">
        <f t="shared" si="264"/>
        <v>6314</v>
      </c>
      <c r="P242" s="357">
        <f t="shared" si="264"/>
        <v>6498</v>
      </c>
      <c r="Q242" s="357">
        <f t="shared" si="264"/>
        <v>6857</v>
      </c>
      <c r="R242" s="357">
        <f t="shared" ref="R242" ca="1" si="265">SUM(R231:R241)</f>
        <v>7515</v>
      </c>
      <c r="S242" s="357">
        <f t="shared" si="264"/>
        <v>7945.547622199837</v>
      </c>
      <c r="T242" s="357">
        <f t="shared" si="264"/>
        <v>7677.0602333134793</v>
      </c>
      <c r="U242" s="254"/>
      <c r="V242" s="357">
        <f t="shared" ref="V242:AA242" si="266">SUM(V231:V241)</f>
        <v>27351</v>
      </c>
      <c r="W242" s="357">
        <f t="shared" si="266"/>
        <v>28853</v>
      </c>
      <c r="X242" s="357">
        <f t="shared" si="266"/>
        <v>29963</v>
      </c>
      <c r="Y242" s="357">
        <f t="shared" si="266"/>
        <v>20964</v>
      </c>
      <c r="Z242" s="357">
        <f t="shared" si="266"/>
        <v>23575</v>
      </c>
      <c r="AA242" s="357">
        <f t="shared" ca="1" si="266"/>
        <v>29994.607855513314</v>
      </c>
      <c r="AB242" s="357">
        <f>SUM(AB231:AB241)</f>
        <v>32867.381263015552</v>
      </c>
      <c r="AC242" s="357">
        <f>SUM(AC231:AC241)</f>
        <v>35721.90735709494</v>
      </c>
      <c r="AD242" s="357">
        <f>SUM(AD231:AD241)</f>
        <v>36211.832813807036</v>
      </c>
    </row>
    <row r="243" spans="3:30" s="516" customFormat="1" ht="11.25" customHeight="1">
      <c r="C243" s="711" t="s">
        <v>233</v>
      </c>
      <c r="E243" s="516">
        <f>+'DAL Financials'!E64-E242</f>
        <v>0</v>
      </c>
      <c r="F243" s="516">
        <f>+'DAL Financials'!F64-F242</f>
        <v>0</v>
      </c>
      <c r="G243" s="516">
        <f>+'DAL Financials'!G64-G242</f>
        <v>0</v>
      </c>
      <c r="H243" s="516">
        <f>+'DAL Financials'!H64-H242</f>
        <v>0</v>
      </c>
      <c r="I243" s="516">
        <f>+'DAL Financials'!I64-I242</f>
        <v>0</v>
      </c>
      <c r="J243" s="516">
        <f>+'DAL Financials'!J64-J242</f>
        <v>0</v>
      </c>
      <c r="K243" s="516">
        <f>+'DAL Financials'!K64-K242</f>
        <v>0</v>
      </c>
      <c r="L243" s="516">
        <f>+'DAL Financials'!L64-L242</f>
        <v>0</v>
      </c>
      <c r="M243" s="516">
        <f>+'DAL Financials'!M64-M242</f>
        <v>0</v>
      </c>
      <c r="N243" s="516">
        <f>+'DAL Financials'!N64-N242</f>
        <v>0</v>
      </c>
      <c r="O243" s="516">
        <f>+'DAL Financials'!O64-O242</f>
        <v>0</v>
      </c>
      <c r="P243" s="516">
        <f>+'DAL Financials'!P64-P242</f>
        <v>0</v>
      </c>
      <c r="Q243" s="516">
        <f>+'DAL Financials'!Q64-Q242</f>
        <v>0</v>
      </c>
      <c r="R243" s="516">
        <f ca="1">+'DAL Financials'!R64-R242</f>
        <v>0</v>
      </c>
      <c r="S243" s="516">
        <f ca="1">+'DAL Financials'!S64-S242</f>
        <v>0</v>
      </c>
      <c r="T243" s="516">
        <f ca="1">+'DAL Financials'!T64-T242</f>
        <v>0</v>
      </c>
      <c r="V243" s="516">
        <f>+'DAL Financials'!V64-V242</f>
        <v>0</v>
      </c>
      <c r="W243" s="516">
        <f>+'DAL Financials'!W64-W242</f>
        <v>0</v>
      </c>
      <c r="X243" s="516">
        <f>+'DAL Financials'!X64-X242</f>
        <v>0</v>
      </c>
      <c r="Y243" s="516">
        <f>+'DAL Financials'!Y64-Y242</f>
        <v>0</v>
      </c>
      <c r="Z243" s="516">
        <f>+'DAL Financials'!Z64-Z242</f>
        <v>0</v>
      </c>
      <c r="AA243" s="516">
        <f ca="1">+'DAL Financials'!AA64-AA242</f>
        <v>0</v>
      </c>
      <c r="AB243" s="516">
        <f ca="1">+'DAL Financials'!AB64-AB242</f>
        <v>0</v>
      </c>
      <c r="AC243" s="516">
        <f ca="1">+'DAL Financials'!AC64-AC242</f>
        <v>0</v>
      </c>
      <c r="AD243" s="516">
        <f ca="1">+'DAL Financials'!AD64-AD242</f>
        <v>0</v>
      </c>
    </row>
    <row r="244" spans="3:30" ht="11.25" customHeight="1">
      <c r="S244" s="484"/>
      <c r="T244" s="484"/>
      <c r="U244" s="255"/>
      <c r="AB244" s="255"/>
    </row>
    <row r="245" spans="3:30" ht="11.25" customHeight="1">
      <c r="C245" s="279" t="s">
        <v>1194</v>
      </c>
      <c r="S245" s="484"/>
      <c r="T245" s="484"/>
      <c r="U245" s="255"/>
      <c r="AB245" s="255"/>
    </row>
    <row r="246" spans="3:30" s="255" customFormat="1" ht="11.25" customHeight="1">
      <c r="C246" s="255" t="str">
        <f t="shared" ref="C246:C256" si="267">C231</f>
        <v xml:space="preserve">  Salaries and related costs</v>
      </c>
      <c r="E246" s="494">
        <f t="shared" ref="E246:Q257" si="268">E231/E$164/10</f>
        <v>4.3770827992822356</v>
      </c>
      <c r="F246" s="494">
        <f t="shared" si="268"/>
        <v>3.9677230537670369</v>
      </c>
      <c r="G246" s="494">
        <f t="shared" si="268"/>
        <v>3.929127828681577</v>
      </c>
      <c r="H246" s="494">
        <f t="shared" si="268"/>
        <v>4.6526547320828495</v>
      </c>
      <c r="I246" s="494">
        <f t="shared" si="268"/>
        <v>4.8603209645920016</v>
      </c>
      <c r="J246" s="494">
        <f t="shared" si="268"/>
        <v>20.073612684031708</v>
      </c>
      <c r="K246" s="494">
        <f t="shared" si="268"/>
        <v>7.1120537292329447</v>
      </c>
      <c r="L246" s="494">
        <f t="shared" si="268"/>
        <v>5.3050397877984086</v>
      </c>
      <c r="M246" s="494">
        <f t="shared" si="268"/>
        <v>5.4888080163517623</v>
      </c>
      <c r="N246" s="494">
        <f t="shared" si="268"/>
        <v>4.7971316120257992</v>
      </c>
      <c r="O246" s="494">
        <f t="shared" si="268"/>
        <v>4.7445592885010077</v>
      </c>
      <c r="P246" s="494">
        <f t="shared" si="268"/>
        <v>5.0865800865800868</v>
      </c>
      <c r="Q246" s="494">
        <f t="shared" si="268"/>
        <v>5.4545454545454541</v>
      </c>
      <c r="R246" s="494">
        <f t="shared" ref="R246" si="269">R231/R$164/10</f>
        <v>5.0167224080267561</v>
      </c>
      <c r="S246" s="494">
        <f t="shared" ref="S246:T255" si="270">(S261+1)*G246</f>
        <v>5.1078661772860503</v>
      </c>
      <c r="T246" s="494">
        <f t="shared" si="270"/>
        <v>5.3505529418952769</v>
      </c>
      <c r="U246" s="494"/>
      <c r="V246" s="494">
        <f t="shared" ref="V246:AA257" si="271">V231/V$164/10</f>
        <v>3.9547804940726379</v>
      </c>
      <c r="W246" s="494">
        <f t="shared" si="271"/>
        <v>4.0791230803493193</v>
      </c>
      <c r="X246" s="494">
        <f t="shared" si="271"/>
        <v>4.2127242356017138</v>
      </c>
      <c r="Y246" s="494">
        <f t="shared" si="271"/>
        <v>6.6555009676939108</v>
      </c>
      <c r="Z246" s="494">
        <f t="shared" si="271"/>
        <v>5.0022110924853713</v>
      </c>
      <c r="AA246" s="494">
        <f t="shared" si="271"/>
        <v>5.2240898521703931</v>
      </c>
      <c r="AB246" s="494">
        <f t="shared" ref="AB246:AD254" si="272">(AB261+1)*$X246</f>
        <v>5.0973963250780736</v>
      </c>
      <c r="AC246" s="494">
        <f t="shared" si="272"/>
        <v>5.4765415062822278</v>
      </c>
      <c r="AD246" s="494">
        <f t="shared" si="272"/>
        <v>5.3922870215701941</v>
      </c>
    </row>
    <row r="247" spans="3:30" ht="11.25" customHeight="1">
      <c r="C247" s="255" t="str">
        <f t="shared" si="267"/>
        <v xml:space="preserve">  Regional carrier expense</v>
      </c>
      <c r="E247" s="494">
        <f t="shared" si="268"/>
        <v>0.86195847218661881</v>
      </c>
      <c r="F247" s="494">
        <f t="shared" si="268"/>
        <v>0.75535858628090413</v>
      </c>
      <c r="G247" s="494">
        <f t="shared" si="268"/>
        <v>0.71690739616065058</v>
      </c>
      <c r="H247" s="494">
        <f t="shared" si="268"/>
        <v>0.81872059632186711</v>
      </c>
      <c r="I247" s="494">
        <f t="shared" si="268"/>
        <v>0.97987602954912112</v>
      </c>
      <c r="J247" s="494">
        <f t="shared" si="268"/>
        <v>3.1898829747074364</v>
      </c>
      <c r="K247" s="494">
        <f t="shared" si="268"/>
        <v>1.0250972074938141</v>
      </c>
      <c r="L247" s="494">
        <f t="shared" si="268"/>
        <v>1.6161229456643604</v>
      </c>
      <c r="M247" s="494">
        <f t="shared" si="268"/>
        <v>0.99955132359539345</v>
      </c>
      <c r="N247" s="494">
        <f t="shared" si="268"/>
        <v>0.83043128850790249</v>
      </c>
      <c r="O247" s="494">
        <f t="shared" si="268"/>
        <v>0.8376014644158053</v>
      </c>
      <c r="P247" s="494">
        <f t="shared" si="268"/>
        <v>0.92377860235003095</v>
      </c>
      <c r="Q247" s="494">
        <f t="shared" si="268"/>
        <v>0.94769349546419601</v>
      </c>
      <c r="R247" s="494">
        <f t="shared" ref="R247" si="273">R232/R$164/10</f>
        <v>0.89638897849005994</v>
      </c>
      <c r="S247" s="494">
        <f t="shared" si="270"/>
        <v>0.8244435055847481</v>
      </c>
      <c r="T247" s="494">
        <f t="shared" si="270"/>
        <v>0.87603103806439786</v>
      </c>
      <c r="U247" s="494"/>
      <c r="V247" s="494">
        <f t="shared" si="271"/>
        <v>1.3628225484644823</v>
      </c>
      <c r="W247" s="494">
        <f t="shared" si="271"/>
        <v>1.305410513845384</v>
      </c>
      <c r="X247" s="494">
        <f t="shared" si="271"/>
        <v>0.78400755319921567</v>
      </c>
      <c r="Y247" s="494">
        <f t="shared" si="271"/>
        <v>1.3369063570046151</v>
      </c>
      <c r="Z247" s="494">
        <f t="shared" si="271"/>
        <v>0.89215010746937895</v>
      </c>
      <c r="AA247" s="494">
        <f t="shared" si="271"/>
        <v>0.88260106186661069</v>
      </c>
      <c r="AB247" s="494">
        <f t="shared" si="272"/>
        <v>0.82320793085917654</v>
      </c>
      <c r="AC247" s="494">
        <f t="shared" si="272"/>
        <v>0.8310480063911686</v>
      </c>
      <c r="AD247" s="494">
        <f t="shared" si="272"/>
        <v>0.8310480063911686</v>
      </c>
    </row>
    <row r="248" spans="3:30" ht="11.25" customHeight="1">
      <c r="C248" s="255" t="str">
        <f t="shared" si="267"/>
        <v xml:space="preserve">  Contracted services</v>
      </c>
      <c r="E248" s="494">
        <f t="shared" si="268"/>
        <v>1.1359266854652654</v>
      </c>
      <c r="F248" s="494">
        <f t="shared" si="268"/>
        <v>1.0187585361094851</v>
      </c>
      <c r="G248" s="494">
        <f t="shared" si="268"/>
        <v>1.0034063003353491</v>
      </c>
      <c r="H248" s="494">
        <f t="shared" si="268"/>
        <v>1.1333781389381072</v>
      </c>
      <c r="I248" s="494">
        <f t="shared" si="268"/>
        <v>1.270272565169398</v>
      </c>
      <c r="J248" s="494">
        <f t="shared" si="268"/>
        <v>3.4824462061155153</v>
      </c>
      <c r="K248" s="494">
        <f t="shared" si="268"/>
        <v>1.4810887239307176</v>
      </c>
      <c r="L248" s="494">
        <f t="shared" si="268"/>
        <v>1.041866061418141</v>
      </c>
      <c r="M248" s="494">
        <f t="shared" si="268"/>
        <v>1.2936836332818185</v>
      </c>
      <c r="N248" s="494">
        <f t="shared" si="268"/>
        <v>1.1745554204702342</v>
      </c>
      <c r="O248" s="494">
        <f t="shared" si="268"/>
        <v>1.172272248211083</v>
      </c>
      <c r="P248" s="494">
        <f t="shared" si="268"/>
        <v>1.3470160791589363</v>
      </c>
      <c r="Q248" s="494">
        <f t="shared" si="268"/>
        <v>1.453387376954256</v>
      </c>
      <c r="R248" s="494">
        <f t="shared" ref="R248" si="274">R233/R$164/10</f>
        <v>1.3428857613364344</v>
      </c>
      <c r="S248" s="494">
        <f t="shared" si="270"/>
        <v>1.3044281904359538</v>
      </c>
      <c r="T248" s="494">
        <f t="shared" si="270"/>
        <v>1.2467159528319181</v>
      </c>
      <c r="U248" s="494"/>
      <c r="V248" s="494">
        <f t="shared" si="271"/>
        <v>0.82886033818901572</v>
      </c>
      <c r="W248" s="494">
        <f t="shared" si="271"/>
        <v>0.82584871076605881</v>
      </c>
      <c r="X248" s="494">
        <f t="shared" si="271"/>
        <v>1.0683419275183383</v>
      </c>
      <c r="Y248" s="494">
        <f t="shared" si="271"/>
        <v>1.4269763287181776</v>
      </c>
      <c r="Z248" s="494">
        <f t="shared" si="271"/>
        <v>1.2443822824644939</v>
      </c>
      <c r="AA248" s="494">
        <f t="shared" si="271"/>
        <v>1.3314200123799211</v>
      </c>
      <c r="AB248" s="494">
        <f t="shared" si="272"/>
        <v>1.1751761202701723</v>
      </c>
      <c r="AC248" s="494">
        <f t="shared" si="272"/>
        <v>1.1751761202701723</v>
      </c>
      <c r="AD248" s="494">
        <f t="shared" si="272"/>
        <v>1.1751761202701723</v>
      </c>
    </row>
    <row r="249" spans="3:30" ht="11.25" customHeight="1">
      <c r="C249" s="255" t="str">
        <f t="shared" si="267"/>
        <v xml:space="preserve">  Landing fees and other rents</v>
      </c>
      <c r="E249" s="494">
        <f t="shared" si="268"/>
        <v>0.83952832607023853</v>
      </c>
      <c r="F249" s="494">
        <f t="shared" si="268"/>
        <v>0.76372048945006543</v>
      </c>
      <c r="G249" s="494">
        <f t="shared" si="268"/>
        <v>0.74727363946027303</v>
      </c>
      <c r="H249" s="494">
        <f t="shared" si="268"/>
        <v>0.82177552392008302</v>
      </c>
      <c r="I249" s="494">
        <f t="shared" si="268"/>
        <v>1.15139679035408</v>
      </c>
      <c r="J249" s="494">
        <f t="shared" si="268"/>
        <v>3.9826349565873911</v>
      </c>
      <c r="K249" s="494">
        <f t="shared" si="268"/>
        <v>1.6189466242488515</v>
      </c>
      <c r="L249" s="494">
        <f t="shared" si="268"/>
        <v>0.88326177910251835</v>
      </c>
      <c r="M249" s="494">
        <f t="shared" si="268"/>
        <v>1.2263821725908568</v>
      </c>
      <c r="N249" s="494">
        <f t="shared" si="268"/>
        <v>0.94788683055492595</v>
      </c>
      <c r="O249" s="494">
        <f t="shared" si="268"/>
        <v>0.96888116413660497</v>
      </c>
      <c r="P249" s="494">
        <f t="shared" si="268"/>
        <v>1.0474644403215831</v>
      </c>
      <c r="Q249" s="494">
        <f t="shared" si="268"/>
        <v>0.97278517660683261</v>
      </c>
      <c r="R249" s="494">
        <f t="shared" ref="R249" si="275">R234/R$164/10</f>
        <v>0.92694769366585739</v>
      </c>
      <c r="S249" s="494">
        <f t="shared" si="270"/>
        <v>0.89672836735232764</v>
      </c>
      <c r="T249" s="494">
        <f t="shared" si="270"/>
        <v>0.90395307631209143</v>
      </c>
      <c r="U249" s="494"/>
      <c r="V249" s="494">
        <f t="shared" si="271"/>
        <v>0.71837183959740591</v>
      </c>
      <c r="W249" s="494">
        <f t="shared" si="271"/>
        <v>0.7369987805043311</v>
      </c>
      <c r="X249" s="494">
        <f t="shared" si="271"/>
        <v>0.79018084101968189</v>
      </c>
      <c r="Y249" s="494">
        <f t="shared" si="271"/>
        <v>1.4001786511835639</v>
      </c>
      <c r="Z249" s="494">
        <f t="shared" si="271"/>
        <v>1.0376708454600616</v>
      </c>
      <c r="AA249" s="494">
        <f t="shared" si="271"/>
        <v>0.92269144811816406</v>
      </c>
      <c r="AB249" s="494">
        <f t="shared" si="272"/>
        <v>0.82968988307066605</v>
      </c>
      <c r="AC249" s="494">
        <f t="shared" si="272"/>
        <v>0.82968988307066605</v>
      </c>
      <c r="AD249" s="494">
        <f t="shared" si="272"/>
        <v>0.82968988307066605</v>
      </c>
    </row>
    <row r="250" spans="3:30" ht="11.25" customHeight="1">
      <c r="C250" s="255" t="str">
        <f t="shared" si="267"/>
        <v xml:space="preserve">  Aircraft maintenance materials and outside repairs</v>
      </c>
      <c r="E250" s="494">
        <f t="shared" si="268"/>
        <v>0.76262496795693413</v>
      </c>
      <c r="F250" s="494">
        <f t="shared" si="268"/>
        <v>0.60484432923600073</v>
      </c>
      <c r="G250" s="494">
        <f t="shared" si="268"/>
        <v>0.55979509387129989</v>
      </c>
      <c r="H250" s="494">
        <f t="shared" si="268"/>
        <v>0.63695240422801969</v>
      </c>
      <c r="I250" s="494">
        <f t="shared" si="268"/>
        <v>0.79646769126263062</v>
      </c>
      <c r="J250" s="494">
        <f t="shared" si="268"/>
        <v>0.40581351453378633</v>
      </c>
      <c r="K250" s="494">
        <f t="shared" si="268"/>
        <v>0.37469070342877342</v>
      </c>
      <c r="L250" s="494">
        <f t="shared" si="268"/>
        <v>0.55784954469632742</v>
      </c>
      <c r="M250" s="494">
        <f t="shared" si="268"/>
        <v>0.73283812752380473</v>
      </c>
      <c r="N250" s="494">
        <f t="shared" si="268"/>
        <v>0.59139895732448633</v>
      </c>
      <c r="O250" s="494">
        <f t="shared" si="268"/>
        <v>0.80062126731135486</v>
      </c>
      <c r="P250" s="494">
        <f t="shared" si="268"/>
        <v>0.74598021026592454</v>
      </c>
      <c r="Q250" s="494">
        <f t="shared" si="268"/>
        <v>0.89751013317892292</v>
      </c>
      <c r="R250" s="494">
        <f t="shared" ref="R250" si="276">R235/R$164/10</f>
        <v>0.88620274009812738</v>
      </c>
      <c r="S250" s="494">
        <f t="shared" si="270"/>
        <v>0.75572337672625489</v>
      </c>
      <c r="T250" s="494">
        <f t="shared" si="270"/>
        <v>0.73249526486222261</v>
      </c>
      <c r="U250" s="494"/>
      <c r="V250" s="494">
        <f t="shared" si="271"/>
        <v>0.62557722868060917</v>
      </c>
      <c r="W250" s="494">
        <f t="shared" si="271"/>
        <v>0.59802837676162879</v>
      </c>
      <c r="X250" s="494">
        <f t="shared" si="271"/>
        <v>0.63584864550802522</v>
      </c>
      <c r="Y250" s="494">
        <f t="shared" si="271"/>
        <v>0.61188030370701196</v>
      </c>
      <c r="Z250" s="494">
        <f t="shared" si="271"/>
        <v>0.7198905766323519</v>
      </c>
      <c r="AA250" s="494">
        <f t="shared" si="271"/>
        <v>0.81295068329704157</v>
      </c>
      <c r="AB250" s="494">
        <f t="shared" si="272"/>
        <v>0.69943351005882781</v>
      </c>
      <c r="AC250" s="494">
        <f t="shared" si="272"/>
        <v>0.69943351005882781</v>
      </c>
      <c r="AD250" s="494">
        <f t="shared" si="272"/>
        <v>0.69943351005882781</v>
      </c>
    </row>
    <row r="251" spans="3:30" ht="11.25" customHeight="1">
      <c r="C251" s="255" t="str">
        <f t="shared" si="267"/>
        <v xml:space="preserve">  Passenger service</v>
      </c>
      <c r="E251" s="494">
        <f t="shared" si="268"/>
        <v>0.46142014867982573</v>
      </c>
      <c r="F251" s="494">
        <f t="shared" si="268"/>
        <v>0.47384117958580702</v>
      </c>
      <c r="G251" s="494">
        <f t="shared" si="268"/>
        <v>0.47529772121148106</v>
      </c>
      <c r="H251" s="494">
        <f t="shared" si="268"/>
        <v>0.49642573471008733</v>
      </c>
      <c r="I251" s="494">
        <f t="shared" si="268"/>
        <v>0.46361552177974019</v>
      </c>
      <c r="J251" s="494">
        <f t="shared" si="268"/>
        <v>0.85881464703661758</v>
      </c>
      <c r="K251" s="494">
        <f t="shared" si="268"/>
        <v>0.32520325203252032</v>
      </c>
      <c r="L251" s="494">
        <f t="shared" si="268"/>
        <v>0.24611009324837974</v>
      </c>
      <c r="M251" s="494">
        <f t="shared" si="268"/>
        <v>0.29413230968642501</v>
      </c>
      <c r="N251" s="494">
        <f t="shared" si="268"/>
        <v>0.36060912031980874</v>
      </c>
      <c r="O251" s="494">
        <f t="shared" si="268"/>
        <v>0.41787622728029145</v>
      </c>
      <c r="P251" s="494">
        <f t="shared" si="268"/>
        <v>0.45609152752009896</v>
      </c>
      <c r="Q251" s="494">
        <f t="shared" si="268"/>
        <v>0.53078556263269638</v>
      </c>
      <c r="R251" s="494">
        <f t="shared" ref="R251" si="277">R236/R$164/10</f>
        <v>0.6264536611038487</v>
      </c>
      <c r="S251" s="494">
        <f t="shared" si="270"/>
        <v>0.54659237939320315</v>
      </c>
      <c r="T251" s="494">
        <f t="shared" si="270"/>
        <v>0.54606830818109608</v>
      </c>
      <c r="U251" s="494"/>
      <c r="V251" s="494">
        <f t="shared" si="271"/>
        <v>0.44156079686255439</v>
      </c>
      <c r="W251" s="494">
        <f t="shared" si="271"/>
        <v>0.44728725576203099</v>
      </c>
      <c r="X251" s="494">
        <f t="shared" si="271"/>
        <v>0.47679570048660036</v>
      </c>
      <c r="Y251" s="494">
        <f t="shared" si="271"/>
        <v>0.40643144260830721</v>
      </c>
      <c r="Z251" s="494">
        <f t="shared" si="271"/>
        <v>0.38822670382673263</v>
      </c>
      <c r="AA251" s="494">
        <f t="shared" si="271"/>
        <v>0.56281079924697786</v>
      </c>
      <c r="AB251" s="494">
        <f t="shared" si="272"/>
        <v>0.51255537802309536</v>
      </c>
      <c r="AC251" s="494">
        <f t="shared" si="272"/>
        <v>0.52447527053526044</v>
      </c>
      <c r="AD251" s="494">
        <f t="shared" si="272"/>
        <v>0.52447527053526044</v>
      </c>
    </row>
    <row r="252" spans="3:30" ht="11.25" customHeight="1">
      <c r="C252" s="255" t="str">
        <f t="shared" si="267"/>
        <v xml:space="preserve">  Aircraft rent</v>
      </c>
      <c r="E252" s="494">
        <f t="shared" si="268"/>
        <v>0.16341963599077161</v>
      </c>
      <c r="F252" s="494">
        <f t="shared" si="268"/>
        <v>0.14912060651670986</v>
      </c>
      <c r="G252" s="494">
        <f t="shared" si="268"/>
        <v>0.14522985925906368</v>
      </c>
      <c r="H252" s="494">
        <f t="shared" si="268"/>
        <v>0.16038369890633591</v>
      </c>
      <c r="I252" s="494">
        <f t="shared" si="268"/>
        <v>0.16982253545045428</v>
      </c>
      <c r="J252" s="494">
        <f t="shared" si="268"/>
        <v>0.9060022650056625</v>
      </c>
      <c r="K252" s="494">
        <f t="shared" si="268"/>
        <v>0.34994697773064687</v>
      </c>
      <c r="L252" s="494">
        <f t="shared" si="268"/>
        <v>0.28439388553146105</v>
      </c>
      <c r="M252" s="494">
        <f t="shared" si="268"/>
        <v>0.25923525599481528</v>
      </c>
      <c r="N252" s="494">
        <f t="shared" si="268"/>
        <v>0.21430484864720062</v>
      </c>
      <c r="O252" s="494">
        <f t="shared" si="268"/>
        <v>0.19414603479836548</v>
      </c>
      <c r="P252" s="494">
        <f t="shared" si="268"/>
        <v>0.22804576376004948</v>
      </c>
      <c r="Q252" s="494">
        <f t="shared" si="268"/>
        <v>0.23547577687705074</v>
      </c>
      <c r="R252" s="494">
        <f t="shared" ref="R252" si="278">R237/R$164/10</f>
        <v>0.21560871262923792</v>
      </c>
      <c r="S252" s="494">
        <f t="shared" si="270"/>
        <v>0.21058329592564232</v>
      </c>
      <c r="T252" s="494">
        <f t="shared" si="270"/>
        <v>0.20849880857823669</v>
      </c>
      <c r="U252" s="494"/>
      <c r="V252" s="494">
        <f t="shared" si="271"/>
        <v>0.13801232386354106</v>
      </c>
      <c r="W252" s="494">
        <f t="shared" si="271"/>
        <v>0.1496020193295757</v>
      </c>
      <c r="X252" s="494">
        <f t="shared" si="271"/>
        <v>0.15396906093398213</v>
      </c>
      <c r="Y252" s="494">
        <f t="shared" si="271"/>
        <v>0.29700759267530147</v>
      </c>
      <c r="Z252" s="494">
        <f t="shared" si="271"/>
        <v>0.22162345609181694</v>
      </c>
      <c r="AA252" s="494">
        <f t="shared" si="271"/>
        <v>0.21671553130322882</v>
      </c>
      <c r="AB252" s="494">
        <f t="shared" si="272"/>
        <v>0.17706442007407944</v>
      </c>
      <c r="AC252" s="494">
        <f t="shared" si="272"/>
        <v>0.17706442007407944</v>
      </c>
      <c r="AD252" s="494">
        <f t="shared" si="272"/>
        <v>0.17706442007407944</v>
      </c>
    </row>
    <row r="253" spans="3:30" ht="11.25" customHeight="1">
      <c r="C253" s="255" t="str">
        <f t="shared" si="267"/>
        <v xml:space="preserve">  Ancillary businesses</v>
      </c>
      <c r="E253" s="494">
        <f t="shared" si="268"/>
        <v>0.42937708279928222</v>
      </c>
      <c r="F253" s="494">
        <f t="shared" si="268"/>
        <v>0.32611422359729075</v>
      </c>
      <c r="G253" s="494">
        <f t="shared" si="268"/>
        <v>0.30498270444403369</v>
      </c>
      <c r="H253" s="494">
        <f t="shared" si="268"/>
        <v>0.37881102217877433</v>
      </c>
      <c r="I253" s="494">
        <f t="shared" si="268"/>
        <v>0.37191135263649489</v>
      </c>
      <c r="J253" s="494">
        <f t="shared" si="268"/>
        <v>1.0286900717251792</v>
      </c>
      <c r="K253" s="494">
        <f t="shared" si="268"/>
        <v>0.50901378579003187</v>
      </c>
      <c r="L253" s="494">
        <f t="shared" si="268"/>
        <v>0.44573272443873224</v>
      </c>
      <c r="M253" s="494">
        <f t="shared" si="268"/>
        <v>0.41377935091480128</v>
      </c>
      <c r="N253" s="494">
        <f t="shared" si="268"/>
        <v>0.3338210142389087</v>
      </c>
      <c r="O253" s="494">
        <f t="shared" si="268"/>
        <v>0.38274504003106335</v>
      </c>
      <c r="P253" s="494">
        <f t="shared" si="268"/>
        <v>0.37299010513296227</v>
      </c>
      <c r="Q253" s="494">
        <f t="shared" si="268"/>
        <v>0.37637521713954836</v>
      </c>
      <c r="R253" s="494">
        <f t="shared" ref="R253" ca="1" si="279">R238/R$164/10</f>
        <v>0.34633210532570502</v>
      </c>
      <c r="S253" s="494">
        <f t="shared" si="270"/>
        <v>0.32023183966623536</v>
      </c>
      <c r="T253" s="494">
        <f t="shared" si="270"/>
        <v>0.32198936885195817</v>
      </c>
      <c r="U253" s="494"/>
      <c r="V253" s="494">
        <f t="shared" si="271"/>
        <v>0.58783026830767482</v>
      </c>
      <c r="W253" s="494">
        <f t="shared" si="271"/>
        <v>0.64359244356251477</v>
      </c>
      <c r="X253" s="494">
        <f t="shared" si="271"/>
        <v>0.35623502069867097</v>
      </c>
      <c r="Y253" s="494">
        <f t="shared" si="271"/>
        <v>0.47268125651332438</v>
      </c>
      <c r="Z253" s="494">
        <f t="shared" si="271"/>
        <v>0.37434309984882297</v>
      </c>
      <c r="AA253" s="494">
        <f t="shared" ca="1" si="271"/>
        <v>0.33940638109941207</v>
      </c>
      <c r="AB253" s="494">
        <f t="shared" si="272"/>
        <v>0.30279976759387034</v>
      </c>
      <c r="AC253" s="494">
        <f t="shared" si="272"/>
        <v>0.30279976759387034</v>
      </c>
      <c r="AD253" s="494">
        <f t="shared" si="272"/>
        <v>0.30279976759387034</v>
      </c>
    </row>
    <row r="254" spans="3:30" ht="11.25" customHeight="1">
      <c r="C254" s="255" t="str">
        <f t="shared" si="267"/>
        <v xml:space="preserve">  Passenger commissions and other selling expenses</v>
      </c>
      <c r="E254" s="494">
        <f t="shared" si="268"/>
        <v>0.75942066136887987</v>
      </c>
      <c r="F254" s="494">
        <f t="shared" si="268"/>
        <v>0.83200936533154946</v>
      </c>
      <c r="G254" s="494">
        <f t="shared" si="268"/>
        <v>0.78820205434237267</v>
      </c>
      <c r="H254" s="494">
        <f t="shared" si="268"/>
        <v>0.82788537911651494</v>
      </c>
      <c r="I254" s="494">
        <f t="shared" si="268"/>
        <v>0.67589369109280806</v>
      </c>
      <c r="J254" s="494">
        <f t="shared" si="268"/>
        <v>0.47187617969044926</v>
      </c>
      <c r="K254" s="494">
        <f t="shared" si="268"/>
        <v>0.35348179568752214</v>
      </c>
      <c r="L254" s="494">
        <f t="shared" si="268"/>
        <v>0.22970275369848778</v>
      </c>
      <c r="M254" s="494">
        <f t="shared" si="268"/>
        <v>0.27419113614836232</v>
      </c>
      <c r="N254" s="494">
        <f t="shared" si="268"/>
        <v>0.45745842691998595</v>
      </c>
      <c r="O254" s="494">
        <f t="shared" si="268"/>
        <v>0.56949503540853874</v>
      </c>
      <c r="P254" s="494">
        <f t="shared" si="268"/>
        <v>0.6049010513296228</v>
      </c>
      <c r="Q254" s="494">
        <f t="shared" si="268"/>
        <v>0.60220034742327733</v>
      </c>
      <c r="R254" s="494">
        <f t="shared" ref="R254" si="280">R239/R$164/10</f>
        <v>0.89299356569274901</v>
      </c>
      <c r="S254" s="494">
        <f t="shared" si="270"/>
        <v>0.82761215705949132</v>
      </c>
      <c r="T254" s="494">
        <f t="shared" si="270"/>
        <v>0.662308303293212</v>
      </c>
      <c r="U254" s="494"/>
      <c r="V254" s="494">
        <f t="shared" si="271"/>
        <v>0.59018945333098327</v>
      </c>
      <c r="W254" s="494">
        <f t="shared" si="271"/>
        <v>0.63106232519227112</v>
      </c>
      <c r="X254" s="494">
        <f t="shared" si="271"/>
        <v>0.80252741666061433</v>
      </c>
      <c r="Y254" s="494">
        <f t="shared" si="271"/>
        <v>0.47044811671877323</v>
      </c>
      <c r="Z254" s="494">
        <f t="shared" si="271"/>
        <v>0.49003979966473671</v>
      </c>
      <c r="AA254" s="494">
        <f t="shared" si="271"/>
        <v>0.75160492064022688</v>
      </c>
      <c r="AB254" s="494">
        <f t="shared" si="272"/>
        <v>0.64202193332849156</v>
      </c>
      <c r="AC254" s="494">
        <f t="shared" si="272"/>
        <v>0.64202193332849156</v>
      </c>
      <c r="AD254" s="494">
        <f t="shared" si="272"/>
        <v>0.64202193332849156</v>
      </c>
    </row>
    <row r="255" spans="3:30" ht="11.25" customHeight="1">
      <c r="C255" s="255" t="str">
        <f t="shared" si="267"/>
        <v xml:space="preserve">  Other</v>
      </c>
      <c r="E255" s="494">
        <f t="shared" si="268"/>
        <v>0.71295821584209185</v>
      </c>
      <c r="F255" s="494">
        <f t="shared" si="268"/>
        <v>0.59090782395406527</v>
      </c>
      <c r="G255" s="494">
        <f t="shared" si="268"/>
        <v>0.64297219508330916</v>
      </c>
      <c r="H255" s="494">
        <f t="shared" si="268"/>
        <v>0.71638052178163369</v>
      </c>
      <c r="I255" s="494">
        <f t="shared" si="268"/>
        <v>0.90515411395092138</v>
      </c>
      <c r="J255" s="494">
        <f t="shared" si="268"/>
        <v>1.9724424311060775</v>
      </c>
      <c r="K255" s="494">
        <f t="shared" si="268"/>
        <v>0.88370448921880518</v>
      </c>
      <c r="L255" s="494">
        <f t="shared" si="268"/>
        <v>0.59613333697940873</v>
      </c>
      <c r="M255" s="494">
        <f t="shared" si="268"/>
        <v>0.80263223490702418</v>
      </c>
      <c r="N255" s="494">
        <f t="shared" si="268"/>
        <v>0.68000576974592508</v>
      </c>
      <c r="O255" s="494">
        <f t="shared" si="268"/>
        <v>0.6600965183144426</v>
      </c>
      <c r="P255" s="494">
        <f t="shared" si="268"/>
        <v>0.77110389610389607</v>
      </c>
      <c r="Q255" s="494">
        <f t="shared" si="268"/>
        <v>0.78749276201505503</v>
      </c>
      <c r="R255" s="494">
        <f t="shared" ref="R255" si="281">R240/R$164/10</f>
        <v>0.74189769621241708</v>
      </c>
      <c r="S255" s="494">
        <f t="shared" si="270"/>
        <v>0.72012885849330632</v>
      </c>
      <c r="T255" s="494">
        <f t="shared" si="270"/>
        <v>0.78085476874198079</v>
      </c>
      <c r="U255" s="494"/>
      <c r="V255" s="494">
        <f t="shared" si="271"/>
        <v>0.6326547837505343</v>
      </c>
      <c r="W255" s="494">
        <f t="shared" si="271"/>
        <v>0.65422405914938819</v>
      </c>
      <c r="X255" s="494">
        <f t="shared" si="271"/>
        <v>0.66272060425593726</v>
      </c>
      <c r="Y255" s="494">
        <f t="shared" si="271"/>
        <v>0.90069971713562613</v>
      </c>
      <c r="Z255" s="494">
        <f t="shared" si="271"/>
        <v>0.72400423707025108</v>
      </c>
      <c r="AA255" s="494">
        <f t="shared" si="271"/>
        <v>0.75603606393899037</v>
      </c>
      <c r="AB255" s="494">
        <f>(AB273+1)*$X255</f>
        <v>0.66272060425593726</v>
      </c>
      <c r="AC255" s="494">
        <f>(AC273+1)*$X255</f>
        <v>0.66272060425593726</v>
      </c>
      <c r="AD255" s="494">
        <f>(AD273+1)*$X255</f>
        <v>0.66272060425593726</v>
      </c>
    </row>
    <row r="256" spans="3:30" ht="11.25" customHeight="1">
      <c r="C256" s="255" t="str">
        <f t="shared" si="267"/>
        <v xml:space="preserve">  Depreciation and amortization</v>
      </c>
      <c r="E256" s="494">
        <f t="shared" si="268"/>
        <v>0.98532427582671112</v>
      </c>
      <c r="F256" s="494">
        <f t="shared" si="268"/>
        <v>0.99367282660200118</v>
      </c>
      <c r="G256" s="494">
        <f t="shared" si="268"/>
        <v>0.83309128356790152</v>
      </c>
      <c r="H256" s="494">
        <f t="shared" si="268"/>
        <v>0.95008248304515175</v>
      </c>
      <c r="I256" s="494">
        <f t="shared" si="268"/>
        <v>0.93402394497749852</v>
      </c>
      <c r="J256" s="494">
        <f t="shared" si="268"/>
        <v>5.5775764439411102</v>
      </c>
      <c r="K256" s="494">
        <f t="shared" si="268"/>
        <v>1.9264757864969955</v>
      </c>
      <c r="L256" s="494">
        <f t="shared" si="268"/>
        <v>1.3645437392326834</v>
      </c>
      <c r="M256" s="494">
        <f t="shared" si="268"/>
        <v>1.2288748192831147</v>
      </c>
      <c r="N256" s="494">
        <f t="shared" si="268"/>
        <v>1.0323723958869953</v>
      </c>
      <c r="O256" s="494">
        <f t="shared" si="268"/>
        <v>0.92635393746648675</v>
      </c>
      <c r="P256" s="494">
        <f t="shared" si="268"/>
        <v>0.97402597402597402</v>
      </c>
      <c r="Q256" s="494">
        <f t="shared" si="268"/>
        <v>0.97664543524416136</v>
      </c>
      <c r="R256" s="494">
        <f t="shared" ref="R256" si="282">R241/R$164/10</f>
        <v>0.86583026331426249</v>
      </c>
      <c r="S256" s="494">
        <f>S241/S$164/10</f>
        <v>0.71660399745481207</v>
      </c>
      <c r="T256" s="494">
        <f>T241/T$164/10</f>
        <v>0.77796986807642321</v>
      </c>
      <c r="U256" s="494"/>
      <c r="V256" s="494">
        <f t="shared" si="271"/>
        <v>0.87368485363187531</v>
      </c>
      <c r="W256" s="494">
        <f t="shared" si="271"/>
        <v>0.88432259649386258</v>
      </c>
      <c r="X256" s="494">
        <f t="shared" si="271"/>
        <v>0.93725034497784887</v>
      </c>
      <c r="Y256" s="494">
        <f t="shared" si="271"/>
        <v>1.6264701503647463</v>
      </c>
      <c r="Z256" s="494">
        <f t="shared" si="271"/>
        <v>1.0279009019200509</v>
      </c>
      <c r="AA256" s="494">
        <f t="shared" si="271"/>
        <v>0.82630543607430451</v>
      </c>
      <c r="AB256" s="494">
        <f>AB241/AB$164/10</f>
        <v>0.87471602965540374</v>
      </c>
      <c r="AC256" s="494">
        <f>AC241/AC$164/10</f>
        <v>0.71160953195227505</v>
      </c>
      <c r="AD256" s="494">
        <f>AD241/AD$164/10</f>
        <v>0.7636264514016381</v>
      </c>
    </row>
    <row r="257" spans="3:30" s="279" customFormat="1" ht="11.25" customHeight="1">
      <c r="C257" s="696" t="s">
        <v>1195</v>
      </c>
      <c r="E257" s="781">
        <f t="shared" si="268"/>
        <v>11.489041271468855</v>
      </c>
      <c r="F257" s="781">
        <f t="shared" si="268"/>
        <v>10.476071020430917</v>
      </c>
      <c r="G257" s="781">
        <f t="shared" si="268"/>
        <v>10.146286076417312</v>
      </c>
      <c r="H257" s="781">
        <f t="shared" si="268"/>
        <v>11.593450235229424</v>
      </c>
      <c r="I257" s="781">
        <f t="shared" si="268"/>
        <v>12.578755200815149</v>
      </c>
      <c r="J257" s="781">
        <f t="shared" si="268"/>
        <v>41.949792374480936</v>
      </c>
      <c r="K257" s="781">
        <f t="shared" si="268"/>
        <v>15.959703075291623</v>
      </c>
      <c r="L257" s="781">
        <f t="shared" si="268"/>
        <v>12.570756651808908</v>
      </c>
      <c r="M257" s="781">
        <f t="shared" si="268"/>
        <v>13.014108380278179</v>
      </c>
      <c r="N257" s="781">
        <f t="shared" si="268"/>
        <v>11.419975684642171</v>
      </c>
      <c r="O257" s="781">
        <f t="shared" si="268"/>
        <v>11.674648225875044</v>
      </c>
      <c r="P257" s="781">
        <f t="shared" si="268"/>
        <v>12.557977736549166</v>
      </c>
      <c r="Q257" s="781">
        <f t="shared" si="268"/>
        <v>13.234896738081451</v>
      </c>
      <c r="R257" s="781">
        <f t="shared" ref="R257" ca="1" si="283">R242/R$164/10</f>
        <v>12.758263585895456</v>
      </c>
      <c r="S257" s="781">
        <f>SUM(S246:S256)</f>
        <v>12.230942145378023</v>
      </c>
      <c r="T257" s="781">
        <f>SUM(T246:T256)</f>
        <v>12.407437699688813</v>
      </c>
      <c r="U257" s="781"/>
      <c r="V257" s="781">
        <f t="shared" si="271"/>
        <v>10.754344928751314</v>
      </c>
      <c r="W257" s="781">
        <f t="shared" si="271"/>
        <v>10.955500161716365</v>
      </c>
      <c r="X257" s="781">
        <f t="shared" si="271"/>
        <v>10.880601350860628</v>
      </c>
      <c r="Y257" s="781">
        <f t="shared" si="271"/>
        <v>15.605180884323357</v>
      </c>
      <c r="Z257" s="781">
        <f t="shared" si="271"/>
        <v>12.122443102934069</v>
      </c>
      <c r="AA257" s="781">
        <f t="shared" ca="1" si="271"/>
        <v>12.62663219013527</v>
      </c>
      <c r="AB257" s="781">
        <f>SUM(AB246:AB256)</f>
        <v>11.796781902267796</v>
      </c>
      <c r="AC257" s="781">
        <f>SUM(AC246:AC256)</f>
        <v>12.032580553812977</v>
      </c>
      <c r="AD257" s="781">
        <f>SUM(AD246:AD256)</f>
        <v>12.000342988550306</v>
      </c>
    </row>
    <row r="258" spans="3:30" s="499" customFormat="1" ht="11.25" customHeight="1">
      <c r="C258" s="711"/>
      <c r="E258" s="712"/>
      <c r="F258" s="712"/>
      <c r="G258" s="712"/>
      <c r="H258" s="712"/>
      <c r="I258" s="712"/>
      <c r="J258" s="712"/>
      <c r="K258" s="712"/>
      <c r="L258" s="712"/>
      <c r="M258" s="712"/>
      <c r="N258" s="712"/>
      <c r="O258" s="712"/>
      <c r="P258" s="712"/>
      <c r="Q258" s="712"/>
      <c r="R258" s="712"/>
      <c r="S258" s="712"/>
      <c r="T258" s="712"/>
      <c r="U258" s="516"/>
      <c r="V258" s="712"/>
      <c r="W258" s="712"/>
      <c r="X258" s="712"/>
      <c r="Y258" s="712"/>
      <c r="Z258" s="712"/>
      <c r="AA258" s="712"/>
      <c r="AB258" s="712"/>
      <c r="AC258" s="712"/>
      <c r="AD258" s="712"/>
    </row>
    <row r="259" spans="3:30" s="293" customFormat="1" ht="11.25" customHeight="1">
      <c r="C259" s="284"/>
      <c r="E259" s="710"/>
      <c r="F259" s="710"/>
      <c r="G259" s="710"/>
      <c r="H259" s="710"/>
      <c r="I259" s="710"/>
      <c r="J259" s="710"/>
      <c r="K259" s="710"/>
      <c r="L259" s="710"/>
      <c r="M259" s="710"/>
      <c r="N259" s="710"/>
      <c r="O259" s="710"/>
      <c r="P259" s="710"/>
      <c r="Q259" s="710"/>
      <c r="R259" s="710"/>
      <c r="S259" s="710"/>
      <c r="T259" s="710"/>
      <c r="U259" s="284"/>
      <c r="V259" s="710"/>
      <c r="W259" s="710"/>
      <c r="X259" s="710"/>
      <c r="Y259" s="710"/>
      <c r="Z259" s="710"/>
      <c r="AA259" s="710"/>
      <c r="AB259" s="710"/>
      <c r="AC259" s="710"/>
      <c r="AD259" s="710"/>
    </row>
    <row r="260" spans="3:30" s="278" customFormat="1" ht="11.25" customHeight="1">
      <c r="C260" s="392" t="s">
        <v>415</v>
      </c>
      <c r="U260" s="255"/>
    </row>
    <row r="261" spans="3:30" s="278" customFormat="1" ht="11.25" customHeight="1">
      <c r="C261" s="278" t="str">
        <f t="shared" ref="C261:C272" si="284">C231</f>
        <v xml:space="preserve">  Salaries and related costs</v>
      </c>
      <c r="I261" s="297">
        <f t="shared" ref="I261:L272" si="285">I246/E246-1</f>
        <v>0.11040187893841269</v>
      </c>
      <c r="J261" s="297">
        <f t="shared" si="285"/>
        <v>4.059227272673029</v>
      </c>
      <c r="K261" s="297">
        <f t="shared" si="285"/>
        <v>0.81008458857379595</v>
      </c>
      <c r="L261" s="297">
        <f t="shared" si="285"/>
        <v>0.14021780967690822</v>
      </c>
      <c r="M261" s="297">
        <f t="shared" ref="M261:P272" si="286">M246/E246-1</f>
        <v>0.25398770552200434</v>
      </c>
      <c r="N261" s="297">
        <f t="shared" si="286"/>
        <v>0.20903892409307767</v>
      </c>
      <c r="O261" s="297">
        <f t="shared" si="286"/>
        <v>0.20753497859423153</v>
      </c>
      <c r="P261" s="297">
        <f t="shared" si="286"/>
        <v>9.3264035155039782E-2</v>
      </c>
      <c r="Q261" s="297">
        <f>Q246/E246-1</f>
        <v>0.24615998935179007</v>
      </c>
      <c r="R261" s="297">
        <f>R246/F246-1</f>
        <v>0.26438320922217029</v>
      </c>
      <c r="S261" s="296">
        <v>0.3</v>
      </c>
      <c r="T261" s="296">
        <v>0.15</v>
      </c>
      <c r="U261" s="255"/>
      <c r="V261" s="297"/>
      <c r="W261" s="297"/>
      <c r="X261" s="297">
        <f t="shared" ref="X261:X272" si="287">X246/W246-1</f>
        <v>3.2752420709245555E-2</v>
      </c>
      <c r="Y261" s="297">
        <f t="shared" ref="Y261:AB272" si="288">Y246/$X246-1</f>
        <v>0.57985678517675132</v>
      </c>
      <c r="Z261" s="297">
        <f t="shared" si="288"/>
        <v>0.18740530182624049</v>
      </c>
      <c r="AA261" s="297">
        <f t="shared" si="288"/>
        <v>0.24007401387008276</v>
      </c>
      <c r="AB261" s="296">
        <v>0.21</v>
      </c>
      <c r="AC261" s="296">
        <v>0.3</v>
      </c>
      <c r="AD261" s="296">
        <v>0.28000000000000003</v>
      </c>
    </row>
    <row r="262" spans="3:30" s="278" customFormat="1" ht="11.25" customHeight="1">
      <c r="C262" s="278" t="str">
        <f t="shared" si="284"/>
        <v xml:space="preserve">  Regional carrier expense</v>
      </c>
      <c r="I262" s="297">
        <f t="shared" si="285"/>
        <v>0.13680190074977583</v>
      </c>
      <c r="J262" s="297">
        <f t="shared" si="285"/>
        <v>3.223004851792572</v>
      </c>
      <c r="K262" s="297">
        <f t="shared" si="285"/>
        <v>0.42988789484339729</v>
      </c>
      <c r="L262" s="297">
        <f t="shared" si="285"/>
        <v>0.97396151132004394</v>
      </c>
      <c r="M262" s="297">
        <f t="shared" si="286"/>
        <v>0.15962816753773379</v>
      </c>
      <c r="N262" s="297">
        <f t="shared" si="286"/>
        <v>9.9386839033137386E-2</v>
      </c>
      <c r="O262" s="297">
        <f t="shared" si="286"/>
        <v>0.16835377749137992</v>
      </c>
      <c r="P262" s="297">
        <f t="shared" si="286"/>
        <v>0.12831973019872822</v>
      </c>
      <c r="Q262" s="297">
        <f t="shared" ref="Q262:R271" si="289">Q247/E247-1</f>
        <v>9.9465375704335557E-2</v>
      </c>
      <c r="R262" s="297">
        <f t="shared" si="289"/>
        <v>0.18670654543497722</v>
      </c>
      <c r="S262" s="296">
        <v>0.15</v>
      </c>
      <c r="T262" s="296">
        <v>7.0000000000000007E-2</v>
      </c>
      <c r="U262" s="255"/>
      <c r="V262" s="297"/>
      <c r="W262" s="297"/>
      <c r="X262" s="297">
        <f t="shared" si="287"/>
        <v>-0.39941685402108273</v>
      </c>
      <c r="Y262" s="297">
        <f t="shared" si="288"/>
        <v>0.70522127184775774</v>
      </c>
      <c r="Z262" s="297">
        <f t="shared" si="288"/>
        <v>0.13793560257025272</v>
      </c>
      <c r="AA262" s="297">
        <f t="shared" si="288"/>
        <v>0.12575581480698128</v>
      </c>
      <c r="AB262" s="296">
        <v>0.05</v>
      </c>
      <c r="AC262" s="296">
        <v>0.06</v>
      </c>
      <c r="AD262" s="296">
        <v>0.06</v>
      </c>
    </row>
    <row r="263" spans="3:30" s="278" customFormat="1" ht="11.25" customHeight="1">
      <c r="C263" s="278" t="str">
        <f t="shared" si="284"/>
        <v xml:space="preserve">  Contracted services</v>
      </c>
      <c r="I263" s="297">
        <f t="shared" si="285"/>
        <v>0.11826985088311903</v>
      </c>
      <c r="J263" s="297">
        <f t="shared" si="285"/>
        <v>2.4183234620193255</v>
      </c>
      <c r="K263" s="297">
        <f t="shared" si="285"/>
        <v>0.47606081747316309</v>
      </c>
      <c r="L263" s="297">
        <f t="shared" si="285"/>
        <v>-8.0742758639853807E-2</v>
      </c>
      <c r="M263" s="297">
        <f t="shared" si="286"/>
        <v>0.13887951558417444</v>
      </c>
      <c r="N263" s="297">
        <f t="shared" si="286"/>
        <v>0.15292817565555672</v>
      </c>
      <c r="O263" s="297">
        <f t="shared" si="286"/>
        <v>0.16829269242110323</v>
      </c>
      <c r="P263" s="297">
        <f t="shared" si="286"/>
        <v>0.18849661280831853</v>
      </c>
      <c r="Q263" s="297">
        <f t="shared" si="289"/>
        <v>0.27947287052153502</v>
      </c>
      <c r="R263" s="297">
        <f t="shared" si="289"/>
        <v>0.31815902761880333</v>
      </c>
      <c r="S263" s="296">
        <v>0.3</v>
      </c>
      <c r="T263" s="296">
        <v>0.1</v>
      </c>
      <c r="U263" s="255"/>
      <c r="V263" s="297"/>
      <c r="W263" s="297"/>
      <c r="X263" s="297">
        <f t="shared" si="287"/>
        <v>0.29362910372208773</v>
      </c>
      <c r="Y263" s="297">
        <f t="shared" si="288"/>
        <v>0.33569252686067896</v>
      </c>
      <c r="Z263" s="297">
        <f t="shared" si="288"/>
        <v>0.16477903788263881</v>
      </c>
      <c r="AA263" s="297">
        <f t="shared" si="288"/>
        <v>0.24624895652339451</v>
      </c>
      <c r="AB263" s="296">
        <v>0.1</v>
      </c>
      <c r="AC263" s="296">
        <v>0.1</v>
      </c>
      <c r="AD263" s="296">
        <v>0.1</v>
      </c>
    </row>
    <row r="264" spans="3:30" s="278" customFormat="1" ht="11.25" customHeight="1">
      <c r="C264" s="278" t="str">
        <f t="shared" si="284"/>
        <v xml:space="preserve">  Landing fees and other rents</v>
      </c>
      <c r="I264" s="297">
        <f t="shared" si="285"/>
        <v>0.3714805737927529</v>
      </c>
      <c r="J264" s="297">
        <f t="shared" si="285"/>
        <v>4.2147808152367094</v>
      </c>
      <c r="K264" s="297">
        <f t="shared" si="285"/>
        <v>1.1664709401741433</v>
      </c>
      <c r="L264" s="297">
        <f t="shared" si="285"/>
        <v>7.4821229633525554E-2</v>
      </c>
      <c r="M264" s="297">
        <f t="shared" si="286"/>
        <v>0.46079903977921588</v>
      </c>
      <c r="N264" s="297">
        <f t="shared" si="286"/>
        <v>0.24114364305909053</v>
      </c>
      <c r="O264" s="297">
        <f t="shared" si="286"/>
        <v>0.29655471968259239</v>
      </c>
      <c r="P264" s="297">
        <f t="shared" si="286"/>
        <v>0.27463572451623453</v>
      </c>
      <c r="Q264" s="297">
        <f t="shared" si="289"/>
        <v>0.15872823631855071</v>
      </c>
      <c r="R264" s="297">
        <f t="shared" si="289"/>
        <v>0.21372636516970678</v>
      </c>
      <c r="S264" s="296">
        <v>0.2</v>
      </c>
      <c r="T264" s="296">
        <v>0.1</v>
      </c>
      <c r="U264" s="255"/>
      <c r="V264" s="297"/>
      <c r="W264" s="297"/>
      <c r="X264" s="297">
        <f t="shared" si="287"/>
        <v>7.2160310060429333E-2</v>
      </c>
      <c r="Y264" s="297">
        <f t="shared" si="288"/>
        <v>0.77197241251346416</v>
      </c>
      <c r="Z264" s="297">
        <f t="shared" si="288"/>
        <v>0.31320678962680049</v>
      </c>
      <c r="AA264" s="297">
        <f t="shared" si="288"/>
        <v>0.16769655782527582</v>
      </c>
      <c r="AB264" s="296">
        <v>0.05</v>
      </c>
      <c r="AC264" s="296">
        <v>0.05</v>
      </c>
      <c r="AD264" s="296">
        <v>0.05</v>
      </c>
    </row>
    <row r="265" spans="3:30" s="278" customFormat="1" ht="11.25" customHeight="1">
      <c r="C265" s="278" t="str">
        <f t="shared" si="284"/>
        <v xml:space="preserve">  Aircraft maintenance materials and outside repairs</v>
      </c>
      <c r="I265" s="297">
        <f t="shared" si="285"/>
        <v>4.4376626425385535E-2</v>
      </c>
      <c r="J265" s="297">
        <f t="shared" si="285"/>
        <v>-0.32906122299867957</v>
      </c>
      <c r="K265" s="297">
        <f t="shared" si="285"/>
        <v>-0.33066454577589244</v>
      </c>
      <c r="L265" s="297">
        <f t="shared" si="285"/>
        <v>-0.124189592513689</v>
      </c>
      <c r="M265" s="297">
        <f t="shared" si="286"/>
        <v>-3.9058307404920223E-2</v>
      </c>
      <c r="N265" s="297">
        <f t="shared" si="286"/>
        <v>-2.2229475026239731E-2</v>
      </c>
      <c r="O265" s="297">
        <f t="shared" si="286"/>
        <v>0.43020415162020398</v>
      </c>
      <c r="P265" s="297">
        <f t="shared" si="286"/>
        <v>0.17117104090382629</v>
      </c>
      <c r="Q265" s="297">
        <f t="shared" si="289"/>
        <v>0.17686958975831213</v>
      </c>
      <c r="R265" s="297">
        <f t="shared" si="289"/>
        <v>0.4651749173502544</v>
      </c>
      <c r="S265" s="296">
        <v>0.35</v>
      </c>
      <c r="T265" s="296">
        <v>0.15</v>
      </c>
      <c r="U265" s="255"/>
      <c r="V265" s="297"/>
      <c r="W265" s="297"/>
      <c r="X265" s="297">
        <f t="shared" si="287"/>
        <v>6.3241595576444487E-2</v>
      </c>
      <c r="Y265" s="297">
        <f t="shared" si="288"/>
        <v>-3.7695042633712372E-2</v>
      </c>
      <c r="Z265" s="297">
        <f t="shared" si="288"/>
        <v>0.1321728554712569</v>
      </c>
      <c r="AA265" s="297">
        <f t="shared" si="288"/>
        <v>0.27852860746053287</v>
      </c>
      <c r="AB265" s="296">
        <v>0.1</v>
      </c>
      <c r="AC265" s="296">
        <v>0.1</v>
      </c>
      <c r="AD265" s="296">
        <v>0.1</v>
      </c>
    </row>
    <row r="266" spans="3:30" s="278" customFormat="1" ht="11.25" customHeight="1">
      <c r="C266" s="278" t="str">
        <f t="shared" si="284"/>
        <v xml:space="preserve">  Passenger service</v>
      </c>
      <c r="I266" s="297">
        <f t="shared" si="285"/>
        <v>4.7578613682035531E-3</v>
      </c>
      <c r="J266" s="297">
        <f t="shared" si="285"/>
        <v>0.81245253480780777</v>
      </c>
      <c r="K266" s="297">
        <f t="shared" si="285"/>
        <v>-0.31579042457091233</v>
      </c>
      <c r="L266" s="297">
        <f t="shared" si="285"/>
        <v>-0.50423582816046375</v>
      </c>
      <c r="M266" s="297">
        <f t="shared" si="286"/>
        <v>-0.36254992217403115</v>
      </c>
      <c r="N266" s="297">
        <f t="shared" si="286"/>
        <v>-0.23896627001683646</v>
      </c>
      <c r="O266" s="297">
        <f t="shared" si="286"/>
        <v>-0.12081163314822674</v>
      </c>
      <c r="P266" s="297">
        <f t="shared" si="286"/>
        <v>-8.1249226963512555E-2</v>
      </c>
      <c r="Q266" s="297">
        <f t="shared" si="289"/>
        <v>0.15033026657230475</v>
      </c>
      <c r="R266" s="297">
        <f t="shared" si="289"/>
        <v>0.3220751764366343</v>
      </c>
      <c r="S266" s="296">
        <v>0.15</v>
      </c>
      <c r="T266" s="296">
        <v>0.1</v>
      </c>
      <c r="U266" s="255"/>
      <c r="V266" s="297"/>
      <c r="W266" s="297"/>
      <c r="X266" s="297">
        <f t="shared" si="287"/>
        <v>6.5972022105339478E-2</v>
      </c>
      <c r="Y266" s="297">
        <f t="shared" si="288"/>
        <v>-0.14757737497733714</v>
      </c>
      <c r="Z266" s="297">
        <f t="shared" si="288"/>
        <v>-0.18575879893521985</v>
      </c>
      <c r="AA266" s="297">
        <f t="shared" si="288"/>
        <v>0.18040242114724103</v>
      </c>
      <c r="AB266" s="296">
        <v>7.4999999999999997E-2</v>
      </c>
      <c r="AC266" s="296">
        <v>0.1</v>
      </c>
      <c r="AD266" s="296">
        <v>0.1</v>
      </c>
    </row>
    <row r="267" spans="3:30" s="278" customFormat="1" ht="11.25" customHeight="1">
      <c r="C267" s="278" t="str">
        <f t="shared" si="284"/>
        <v xml:space="preserve">  Aircraft rent</v>
      </c>
      <c r="I267" s="297">
        <f t="shared" si="285"/>
        <v>3.9180722811328783E-2</v>
      </c>
      <c r="J267" s="297">
        <f t="shared" si="285"/>
        <v>5.0756342545061974</v>
      </c>
      <c r="K267" s="297">
        <f t="shared" si="285"/>
        <v>1.4096076352067866</v>
      </c>
      <c r="L267" s="297">
        <f t="shared" si="285"/>
        <v>0.77320941885463745</v>
      </c>
      <c r="M267" s="297">
        <f t="shared" si="286"/>
        <v>0.58631644491886159</v>
      </c>
      <c r="N267" s="297">
        <f t="shared" si="286"/>
        <v>0.43712430933002189</v>
      </c>
      <c r="O267" s="297">
        <f t="shared" si="286"/>
        <v>0.3368189970634361</v>
      </c>
      <c r="P267" s="297">
        <f t="shared" si="286"/>
        <v>0.42187619636599227</v>
      </c>
      <c r="Q267" s="297">
        <f t="shared" si="289"/>
        <v>0.44092706760372513</v>
      </c>
      <c r="R267" s="297">
        <f t="shared" si="289"/>
        <v>0.44586799682227474</v>
      </c>
      <c r="S267" s="296">
        <v>0.45</v>
      </c>
      <c r="T267" s="296">
        <v>0.3</v>
      </c>
      <c r="U267" s="255"/>
      <c r="V267" s="297"/>
      <c r="W267" s="297"/>
      <c r="X267" s="297">
        <f t="shared" si="287"/>
        <v>2.9191060548359182E-2</v>
      </c>
      <c r="Y267" s="297">
        <f t="shared" si="288"/>
        <v>0.92900827525765384</v>
      </c>
      <c r="Z267" s="297">
        <f t="shared" si="288"/>
        <v>0.4394025315699186</v>
      </c>
      <c r="AA267" s="297">
        <f t="shared" si="288"/>
        <v>0.40752648609158371</v>
      </c>
      <c r="AB267" s="296">
        <v>0.15</v>
      </c>
      <c r="AC267" s="296">
        <v>0.15</v>
      </c>
      <c r="AD267" s="296">
        <v>0.15</v>
      </c>
    </row>
    <row r="268" spans="3:30" s="278" customFormat="1" ht="11.25" customHeight="1">
      <c r="C268" s="278" t="str">
        <f t="shared" si="284"/>
        <v xml:space="preserve">  Ancillary businesses</v>
      </c>
      <c r="I268" s="297">
        <f t="shared" si="285"/>
        <v>-0.1338351124567364</v>
      </c>
      <c r="J268" s="297">
        <f t="shared" si="285"/>
        <v>2.1543857866054918</v>
      </c>
      <c r="K268" s="297">
        <f t="shared" si="285"/>
        <v>0.66899230144193056</v>
      </c>
      <c r="L268" s="297">
        <f t="shared" si="285"/>
        <v>0.17666250014334373</v>
      </c>
      <c r="M268" s="297">
        <f t="shared" si="286"/>
        <v>-3.6326419153050793E-2</v>
      </c>
      <c r="N268" s="297">
        <f t="shared" si="286"/>
        <v>2.3632181867463853E-2</v>
      </c>
      <c r="O268" s="297">
        <f t="shared" si="286"/>
        <v>0.25497293601873605</v>
      </c>
      <c r="P268" s="297">
        <f t="shared" si="286"/>
        <v>-1.5366282143355781E-2</v>
      </c>
      <c r="Q268" s="297">
        <f t="shared" si="289"/>
        <v>-0.12343897190365483</v>
      </c>
      <c r="R268" s="297">
        <f t="shared" ca="1" si="289"/>
        <v>6.1996319894898955E-2</v>
      </c>
      <c r="S268" s="296">
        <v>0.05</v>
      </c>
      <c r="T268" s="296">
        <v>-0.15</v>
      </c>
      <c r="U268" s="255"/>
      <c r="V268" s="297"/>
      <c r="W268" s="297"/>
      <c r="X268" s="297">
        <f t="shared" si="287"/>
        <v>-0.44648974011133113</v>
      </c>
      <c r="Y268" s="297">
        <f t="shared" si="288"/>
        <v>0.32688037123995151</v>
      </c>
      <c r="Z268" s="297">
        <f t="shared" si="288"/>
        <v>5.0831833194381781E-2</v>
      </c>
      <c r="AA268" s="297">
        <f t="shared" ca="1" si="288"/>
        <v>-4.7240272913801395E-2</v>
      </c>
      <c r="AB268" s="296">
        <v>-0.15</v>
      </c>
      <c r="AC268" s="296">
        <v>-0.15</v>
      </c>
      <c r="AD268" s="296">
        <v>-0.15</v>
      </c>
    </row>
    <row r="269" spans="3:30" s="278" customFormat="1" ht="11.25" customHeight="1">
      <c r="C269" s="278" t="str">
        <f t="shared" si="284"/>
        <v xml:space="preserve">  Passenger commissions and other selling expenses</v>
      </c>
      <c r="I269" s="297">
        <f t="shared" si="285"/>
        <v>-0.10998775056437338</v>
      </c>
      <c r="J269" s="297">
        <f t="shared" si="285"/>
        <v>-0.43284751427958967</v>
      </c>
      <c r="K269" s="297">
        <f t="shared" si="285"/>
        <v>-0.55153403402069845</v>
      </c>
      <c r="L269" s="297">
        <f t="shared" si="285"/>
        <v>-0.72254280665807014</v>
      </c>
      <c r="M269" s="297">
        <f t="shared" si="286"/>
        <v>-0.6389469629992367</v>
      </c>
      <c r="N269" s="297">
        <f t="shared" si="286"/>
        <v>-0.45017634899134551</v>
      </c>
      <c r="O269" s="297">
        <f t="shared" si="286"/>
        <v>-0.27747582961618844</v>
      </c>
      <c r="P269" s="297">
        <f t="shared" si="286"/>
        <v>-0.26934202899542903</v>
      </c>
      <c r="Q269" s="297">
        <f t="shared" si="289"/>
        <v>-0.20702664800060611</v>
      </c>
      <c r="R269" s="297">
        <f t="shared" si="289"/>
        <v>7.3297492675335141E-2</v>
      </c>
      <c r="S269" s="296">
        <v>0.05</v>
      </c>
      <c r="T269" s="296">
        <v>-0.2</v>
      </c>
      <c r="U269" s="255"/>
      <c r="V269" s="297"/>
      <c r="W269" s="297"/>
      <c r="X269" s="297">
        <f t="shared" si="287"/>
        <v>0.27170864845417841</v>
      </c>
      <c r="Y269" s="297">
        <f t="shared" si="288"/>
        <v>-0.41379184442526795</v>
      </c>
      <c r="Z269" s="297">
        <f t="shared" si="288"/>
        <v>-0.38937936637251036</v>
      </c>
      <c r="AA269" s="297">
        <f t="shared" si="288"/>
        <v>-6.3452655900879229E-2</v>
      </c>
      <c r="AB269" s="296">
        <v>-0.2</v>
      </c>
      <c r="AC269" s="296">
        <v>-0.2</v>
      </c>
      <c r="AD269" s="296">
        <v>-0.2</v>
      </c>
    </row>
    <row r="270" spans="3:30" s="278" customFormat="1" ht="11.25" customHeight="1">
      <c r="C270" s="278" t="str">
        <f t="shared" si="284"/>
        <v xml:space="preserve">  Other</v>
      </c>
      <c r="I270" s="297">
        <f t="shared" si="285"/>
        <v>0.26957526239012819</v>
      </c>
      <c r="J270" s="297">
        <f t="shared" si="285"/>
        <v>2.3379866556977711</v>
      </c>
      <c r="K270" s="297">
        <f t="shared" si="285"/>
        <v>0.37440545015217119</v>
      </c>
      <c r="L270" s="297">
        <f t="shared" si="285"/>
        <v>-0.16785378879812507</v>
      </c>
      <c r="M270" s="297">
        <f t="shared" si="286"/>
        <v>0.12577738368442293</v>
      </c>
      <c r="N270" s="297">
        <f t="shared" si="286"/>
        <v>0.15078146231955447</v>
      </c>
      <c r="O270" s="297">
        <f t="shared" si="286"/>
        <v>2.6633069613398508E-2</v>
      </c>
      <c r="P270" s="297">
        <f t="shared" si="286"/>
        <v>7.6388696591255245E-2</v>
      </c>
      <c r="Q270" s="297">
        <f t="shared" si="289"/>
        <v>0.10454265694228471</v>
      </c>
      <c r="R270" s="297">
        <f t="shared" si="289"/>
        <v>0.25552187014211736</v>
      </c>
      <c r="S270" s="296">
        <v>0.12</v>
      </c>
      <c r="T270" s="296">
        <v>0.09</v>
      </c>
      <c r="U270" s="255"/>
      <c r="V270" s="297"/>
      <c r="W270" s="297"/>
      <c r="X270" s="297">
        <f t="shared" si="287"/>
        <v>1.2987209791086141E-2</v>
      </c>
      <c r="Y270" s="297">
        <f t="shared" si="288"/>
        <v>0.35909418139621208</v>
      </c>
      <c r="Z270" s="297">
        <f t="shared" si="288"/>
        <v>9.247280440770278E-2</v>
      </c>
      <c r="AA270" s="297">
        <f t="shared" si="288"/>
        <v>0.14080663719188591</v>
      </c>
      <c r="AB270" s="296">
        <v>0</v>
      </c>
      <c r="AC270" s="296">
        <v>0</v>
      </c>
      <c r="AD270" s="296">
        <v>0</v>
      </c>
    </row>
    <row r="271" spans="3:30" s="278" customFormat="1" ht="11.25" customHeight="1">
      <c r="C271" s="278" t="str">
        <f t="shared" si="284"/>
        <v xml:space="preserve">  Depreciation and amortization</v>
      </c>
      <c r="I271" s="297">
        <f t="shared" si="285"/>
        <v>-5.2064413825763434E-2</v>
      </c>
      <c r="J271" s="297">
        <f t="shared" si="285"/>
        <v>4.6130914468239901</v>
      </c>
      <c r="K271" s="297">
        <f t="shared" si="285"/>
        <v>1.3124426152275031</v>
      </c>
      <c r="L271" s="297">
        <f t="shared" si="285"/>
        <v>0.43623713054799551</v>
      </c>
      <c r="M271" s="297">
        <f t="shared" si="286"/>
        <v>0.24717806049390068</v>
      </c>
      <c r="N271" s="297">
        <f t="shared" si="286"/>
        <v>3.8945987299796148E-2</v>
      </c>
      <c r="O271" s="297">
        <f t="shared" si="286"/>
        <v>0.11194770097601658</v>
      </c>
      <c r="P271" s="297">
        <f t="shared" si="286"/>
        <v>2.5201486616277746E-2</v>
      </c>
      <c r="Q271" s="297">
        <f t="shared" si="289"/>
        <v>-8.8081059154541119E-3</v>
      </c>
      <c r="R271" s="297">
        <f t="shared" si="289"/>
        <v>-0.12865659587865919</v>
      </c>
      <c r="S271" s="297">
        <f t="shared" ref="S271:T271" si="290">S256/G256-1</f>
        <v>-0.13982535696953446</v>
      </c>
      <c r="T271" s="297">
        <f t="shared" si="290"/>
        <v>-0.18115544496419167</v>
      </c>
      <c r="U271" s="255"/>
      <c r="V271" s="297"/>
      <c r="W271" s="297"/>
      <c r="X271" s="297">
        <f t="shared" si="287"/>
        <v>5.9851177267020716E-2</v>
      </c>
      <c r="Y271" s="297">
        <f t="shared" si="288"/>
        <v>0.73536361878126222</v>
      </c>
      <c r="Z271" s="297">
        <f t="shared" si="288"/>
        <v>9.6719683730118522E-2</v>
      </c>
      <c r="AA271" s="297">
        <f t="shared" si="288"/>
        <v>-0.11837275867438224</v>
      </c>
      <c r="AB271" s="297">
        <f t="shared" si="288"/>
        <v>-6.6721037402150074E-2</v>
      </c>
      <c r="AC271" s="297">
        <f>AC256/$X256-1</f>
        <v>-0.24074764467641419</v>
      </c>
      <c r="AD271" s="297">
        <f>AD256/$X256-1</f>
        <v>-0.18524815115465676</v>
      </c>
    </row>
    <row r="272" spans="3:30" s="598" customFormat="1" ht="11.25" customHeight="1">
      <c r="C272" s="713" t="str">
        <f t="shared" si="284"/>
        <v>Total Operating Cost, ex - Fuel</v>
      </c>
      <c r="I272" s="480">
        <f t="shared" si="285"/>
        <v>9.4848116879205469E-2</v>
      </c>
      <c r="J272" s="480">
        <f t="shared" si="285"/>
        <v>3.0043440229326928</v>
      </c>
      <c r="K272" s="480">
        <f t="shared" si="285"/>
        <v>0.57296009151429805</v>
      </c>
      <c r="L272" s="480">
        <f t="shared" si="285"/>
        <v>8.4298150830863783E-2</v>
      </c>
      <c r="M272" s="480">
        <f t="shared" si="286"/>
        <v>0.13274102449232017</v>
      </c>
      <c r="N272" s="480">
        <f t="shared" si="286"/>
        <v>9.0101018060149585E-2</v>
      </c>
      <c r="O272" s="480">
        <f t="shared" si="286"/>
        <v>0.15063266873679582</v>
      </c>
      <c r="P272" s="480">
        <f t="shared" si="286"/>
        <v>8.3195897834520194E-2</v>
      </c>
      <c r="Q272" s="480">
        <f>Q257/E257-1</f>
        <v>0.15195832492552186</v>
      </c>
      <c r="R272" s="480">
        <f t="shared" ref="R272:T272" ca="1" si="291">R257/F257-1</f>
        <v>0.21784813801030012</v>
      </c>
      <c r="S272" s="480">
        <f t="shared" si="291"/>
        <v>0.20546001298012007</v>
      </c>
      <c r="T272" s="480">
        <f t="shared" si="291"/>
        <v>7.0210976710444406E-2</v>
      </c>
      <c r="X272" s="480">
        <f t="shared" si="287"/>
        <v>-6.8366400210069234E-3</v>
      </c>
      <c r="Y272" s="480">
        <f t="shared" si="288"/>
        <v>0.4342204425207643</v>
      </c>
      <c r="Z272" s="480">
        <f t="shared" si="288"/>
        <v>0.11413355861762309</v>
      </c>
      <c r="AA272" s="480">
        <f t="shared" ca="1" si="288"/>
        <v>0.16047190619078555</v>
      </c>
      <c r="AB272" s="480">
        <f>AB257/$X257-1</f>
        <v>8.4203117260122751E-2</v>
      </c>
      <c r="AC272" s="480">
        <f>AC257/$X257-1</f>
        <v>0.10587458963021668</v>
      </c>
      <c r="AD272" s="480">
        <f>AD257/$X257-1</f>
        <v>0.10291174187730978</v>
      </c>
    </row>
    <row r="273" spans="1:30" ht="11.25" customHeight="1" thickBot="1">
      <c r="C273" s="430"/>
      <c r="D273" s="430"/>
      <c r="E273" s="498"/>
      <c r="F273" s="498"/>
      <c r="G273" s="498"/>
      <c r="H273" s="498"/>
      <c r="I273" s="498"/>
      <c r="J273" s="498"/>
      <c r="K273" s="498"/>
      <c r="L273" s="498"/>
      <c r="M273" s="498"/>
      <c r="N273" s="498"/>
      <c r="O273" s="498"/>
      <c r="P273" s="498"/>
      <c r="Q273" s="498"/>
      <c r="R273" s="498"/>
      <c r="S273" s="498"/>
      <c r="T273" s="498"/>
      <c r="U273" s="255"/>
      <c r="V273" s="498"/>
      <c r="W273" s="498"/>
      <c r="X273" s="430"/>
      <c r="Y273" s="430"/>
      <c r="Z273" s="430"/>
      <c r="AA273" s="430"/>
      <c r="AB273" s="430"/>
      <c r="AC273" s="430"/>
      <c r="AD273" s="430"/>
    </row>
    <row r="274" spans="1:30" ht="11.25" customHeight="1" thickBot="1">
      <c r="E274" s="255"/>
      <c r="F274" s="255"/>
      <c r="G274" s="255"/>
      <c r="H274" s="255"/>
      <c r="I274" s="255"/>
      <c r="J274" s="255"/>
      <c r="K274" s="255"/>
      <c r="L274" s="255"/>
      <c r="M274" s="255"/>
      <c r="N274" s="255"/>
      <c r="O274" s="255"/>
      <c r="P274" s="255"/>
      <c r="Q274" s="255" t="s">
        <v>389</v>
      </c>
      <c r="R274" s="255"/>
      <c r="S274" s="255"/>
      <c r="T274" s="255"/>
      <c r="U274" s="255"/>
      <c r="V274" s="255"/>
      <c r="W274" s="255"/>
    </row>
    <row r="275" spans="1:30" s="255" customFormat="1" ht="11.25" customHeight="1">
      <c r="B275" s="721" t="s">
        <v>133</v>
      </c>
      <c r="C275" s="722" t="s">
        <v>1016</v>
      </c>
      <c r="D275" s="562"/>
      <c r="E275" s="562"/>
      <c r="F275" s="562"/>
      <c r="G275" s="562"/>
      <c r="H275" s="562"/>
      <c r="I275" s="562"/>
      <c r="J275" s="562"/>
      <c r="K275" s="562"/>
      <c r="L275" s="562"/>
      <c r="M275" s="562"/>
      <c r="N275" s="562"/>
      <c r="O275" s="562"/>
      <c r="P275" s="562"/>
      <c r="Q275" s="562"/>
      <c r="R275" s="562"/>
      <c r="S275" s="562"/>
      <c r="T275" s="562"/>
      <c r="U275" s="562"/>
      <c r="V275" s="723"/>
      <c r="W275" s="562"/>
      <c r="X275" s="562"/>
      <c r="Y275" s="562"/>
      <c r="Z275" s="562"/>
      <c r="AA275" s="562"/>
      <c r="AB275" s="562"/>
      <c r="AC275" s="562"/>
      <c r="AD275" s="563"/>
    </row>
    <row r="276" spans="1:30" s="255" customFormat="1" ht="2.2000000000000002" customHeight="1">
      <c r="B276" s="496"/>
      <c r="AD276" s="504"/>
    </row>
    <row r="277" spans="1:30" s="255" customFormat="1" ht="11.25" customHeight="1">
      <c r="B277" s="496"/>
      <c r="C277" s="291" t="s">
        <v>1196</v>
      </c>
      <c r="E277" s="277">
        <v>1936</v>
      </c>
      <c r="F277" s="277">
        <v>2318</v>
      </c>
      <c r="G277" s="277">
        <v>2313</v>
      </c>
      <c r="H277" s="277">
        <v>2014</v>
      </c>
      <c r="I277" s="277">
        <v>1631</v>
      </c>
      <c r="J277" s="277">
        <v>244</v>
      </c>
      <c r="K277" s="277">
        <v>449</v>
      </c>
      <c r="L277" s="277">
        <v>614</v>
      </c>
      <c r="M277" s="277">
        <v>895</v>
      </c>
      <c r="N277" s="277">
        <v>1286</v>
      </c>
      <c r="O277" s="277">
        <v>1601</v>
      </c>
      <c r="P277" s="277">
        <v>1745</v>
      </c>
      <c r="Q277" s="277">
        <v>2102</v>
      </c>
      <c r="R277" s="277">
        <v>3540</v>
      </c>
      <c r="S277" s="255">
        <f t="shared" ref="S277:T280" si="292">S294*S$304</f>
        <v>3538.512177513252</v>
      </c>
      <c r="T277" s="255">
        <f t="shared" si="292"/>
        <v>3057.5063720376506</v>
      </c>
      <c r="U277" s="387"/>
      <c r="V277" s="277">
        <v>6833</v>
      </c>
      <c r="W277" s="277">
        <v>9131</v>
      </c>
      <c r="X277" s="254">
        <f t="shared" ref="X277:AA280" si="293">SUMIF($E$5:$T$5,X$5,$E277:$T277)</f>
        <v>8581</v>
      </c>
      <c r="Y277" s="254">
        <f t="shared" si="293"/>
        <v>2938</v>
      </c>
      <c r="Z277" s="254">
        <f t="shared" si="293"/>
        <v>5527</v>
      </c>
      <c r="AA277" s="254">
        <f t="shared" si="293"/>
        <v>12238.018549550903</v>
      </c>
      <c r="AB277" s="255">
        <f t="shared" ref="AB277:AD280" si="294">AB294*AB$304</f>
        <v>12572.758782621655</v>
      </c>
      <c r="AC277" s="255">
        <f t="shared" si="294"/>
        <v>11819.75797985355</v>
      </c>
      <c r="AD277" s="504">
        <f t="shared" si="294"/>
        <v>12014.053722583929</v>
      </c>
    </row>
    <row r="278" spans="1:30" s="255" customFormat="1" ht="11.25" customHeight="1">
      <c r="B278" s="496"/>
      <c r="C278" s="291" t="s">
        <v>1197</v>
      </c>
      <c r="E278" s="277">
        <v>0</v>
      </c>
      <c r="F278" s="277">
        <v>0</v>
      </c>
      <c r="G278" s="277">
        <v>0</v>
      </c>
      <c r="H278" s="277">
        <v>0</v>
      </c>
      <c r="I278" s="277">
        <v>0</v>
      </c>
      <c r="J278" s="277">
        <v>0</v>
      </c>
      <c r="K278" s="277">
        <v>0</v>
      </c>
      <c r="L278" s="277">
        <v>0</v>
      </c>
      <c r="M278" s="277">
        <v>20</v>
      </c>
      <c r="N278" s="277">
        <v>20</v>
      </c>
      <c r="O278" s="277">
        <v>29</v>
      </c>
      <c r="P278" s="277">
        <v>26</v>
      </c>
      <c r="Q278" s="277">
        <v>47</v>
      </c>
      <c r="R278" s="277">
        <v>25</v>
      </c>
      <c r="S278" s="333">
        <v>30</v>
      </c>
      <c r="T278" s="333">
        <v>30</v>
      </c>
      <c r="U278" s="387"/>
      <c r="V278" s="277">
        <v>0</v>
      </c>
      <c r="W278" s="277">
        <v>0</v>
      </c>
      <c r="X278" s="254">
        <f t="shared" si="293"/>
        <v>0</v>
      </c>
      <c r="Y278" s="254">
        <f t="shared" si="293"/>
        <v>0</v>
      </c>
      <c r="Z278" s="254">
        <f t="shared" si="293"/>
        <v>95</v>
      </c>
      <c r="AA278" s="254">
        <f t="shared" si="293"/>
        <v>132</v>
      </c>
      <c r="AB278" s="333">
        <v>140</v>
      </c>
      <c r="AC278" s="333">
        <v>140</v>
      </c>
      <c r="AD278" s="1207">
        <v>140</v>
      </c>
    </row>
    <row r="279" spans="1:30" s="255" customFormat="1" ht="11.25" customHeight="1">
      <c r="B279" s="496"/>
      <c r="C279" s="291" t="s">
        <v>1198</v>
      </c>
      <c r="E279" s="277">
        <v>8</v>
      </c>
      <c r="F279" s="277">
        <v>10</v>
      </c>
      <c r="G279" s="277">
        <v>-25</v>
      </c>
      <c r="H279" s="277">
        <v>22</v>
      </c>
      <c r="I279" s="277">
        <v>-7</v>
      </c>
      <c r="J279" s="277">
        <v>14</v>
      </c>
      <c r="K279" s="277">
        <v>9</v>
      </c>
      <c r="L279" s="277">
        <v>6</v>
      </c>
      <c r="M279" s="277">
        <v>-23</v>
      </c>
      <c r="N279" s="277">
        <v>24</v>
      </c>
      <c r="O279" s="277">
        <v>19</v>
      </c>
      <c r="P279" s="277">
        <v>-11</v>
      </c>
      <c r="Q279" s="277">
        <v>-4</v>
      </c>
      <c r="R279" s="277">
        <v>-73</v>
      </c>
      <c r="S279" s="255">
        <f t="shared" si="292"/>
        <v>7.992051045654021</v>
      </c>
      <c r="T279" s="255">
        <f t="shared" si="292"/>
        <v>5.9012550450818564</v>
      </c>
      <c r="U279" s="387"/>
      <c r="V279" s="277">
        <v>33</v>
      </c>
      <c r="W279" s="277">
        <v>-53</v>
      </c>
      <c r="X279" s="254">
        <f t="shared" si="293"/>
        <v>15</v>
      </c>
      <c r="Y279" s="254">
        <f t="shared" si="293"/>
        <v>22</v>
      </c>
      <c r="Z279" s="254">
        <f t="shared" si="293"/>
        <v>9</v>
      </c>
      <c r="AA279" s="254">
        <f t="shared" si="293"/>
        <v>-63.106693909264123</v>
      </c>
      <c r="AB279" s="255">
        <f t="shared" si="294"/>
        <v>14.11731000494539</v>
      </c>
      <c r="AC279" s="255">
        <f t="shared" si="294"/>
        <v>14.973073966220417</v>
      </c>
      <c r="AD279" s="504">
        <f t="shared" si="294"/>
        <v>15.219204600382501</v>
      </c>
    </row>
    <row r="280" spans="1:30" s="255" customFormat="1" ht="11.25" customHeight="1">
      <c r="B280" s="496"/>
      <c r="C280" s="291" t="s">
        <v>1199</v>
      </c>
      <c r="E280" s="277">
        <v>34</v>
      </c>
      <c r="F280" s="277">
        <v>-37</v>
      </c>
      <c r="G280" s="277">
        <v>-49</v>
      </c>
      <c r="H280" s="277">
        <v>-24</v>
      </c>
      <c r="I280" s="277">
        <v>-29</v>
      </c>
      <c r="J280" s="277">
        <v>114</v>
      </c>
      <c r="K280" s="277">
        <v>28</v>
      </c>
      <c r="L280" s="277">
        <v>103</v>
      </c>
      <c r="M280" s="277">
        <v>125</v>
      </c>
      <c r="N280" s="277">
        <v>157</v>
      </c>
      <c r="O280" s="277">
        <v>-97</v>
      </c>
      <c r="P280" s="277">
        <v>-183</v>
      </c>
      <c r="Q280" s="277">
        <v>-53</v>
      </c>
      <c r="R280" s="277">
        <v>-269</v>
      </c>
      <c r="S280" s="255">
        <f t="shared" si="292"/>
        <v>-254.51151042717947</v>
      </c>
      <c r="T280" s="255">
        <f t="shared" si="292"/>
        <v>0</v>
      </c>
      <c r="U280" s="387"/>
      <c r="V280" s="277">
        <v>-110</v>
      </c>
      <c r="W280" s="277">
        <v>-58</v>
      </c>
      <c r="X280" s="254">
        <f t="shared" si="293"/>
        <v>-76</v>
      </c>
      <c r="Y280" s="254">
        <f t="shared" si="293"/>
        <v>216</v>
      </c>
      <c r="Z280" s="254">
        <f t="shared" si="293"/>
        <v>2</v>
      </c>
      <c r="AA280" s="254">
        <f t="shared" si="293"/>
        <v>-576.51151042717947</v>
      </c>
      <c r="AB280" s="255">
        <f t="shared" si="294"/>
        <v>0</v>
      </c>
      <c r="AC280" s="255">
        <f t="shared" si="294"/>
        <v>0</v>
      </c>
      <c r="AD280" s="504">
        <f t="shared" si="294"/>
        <v>0</v>
      </c>
    </row>
    <row r="281" spans="1:30" s="255" customFormat="1" ht="11.25" customHeight="1">
      <c r="B281" s="496"/>
      <c r="C281" s="286" t="s">
        <v>1237</v>
      </c>
      <c r="E281" s="1208">
        <f t="shared" ref="E281:N281" si="295">SUM(E277:E280)</f>
        <v>1978</v>
      </c>
      <c r="F281" s="1208">
        <f t="shared" si="295"/>
        <v>2291</v>
      </c>
      <c r="G281" s="1208">
        <f t="shared" si="295"/>
        <v>2239</v>
      </c>
      <c r="H281" s="1208">
        <f t="shared" si="295"/>
        <v>2012</v>
      </c>
      <c r="I281" s="1208">
        <f t="shared" si="295"/>
        <v>1595</v>
      </c>
      <c r="J281" s="1208">
        <f t="shared" si="295"/>
        <v>372</v>
      </c>
      <c r="K281" s="1208">
        <f t="shared" si="295"/>
        <v>486</v>
      </c>
      <c r="L281" s="1208">
        <f t="shared" si="295"/>
        <v>723</v>
      </c>
      <c r="M281" s="1208">
        <f t="shared" si="295"/>
        <v>1017</v>
      </c>
      <c r="N281" s="1208">
        <f t="shared" si="295"/>
        <v>1487</v>
      </c>
      <c r="O281" s="1208">
        <f t="shared" ref="O281:T281" si="296">SUM(O277:O280)</f>
        <v>1552</v>
      </c>
      <c r="P281" s="1208">
        <f t="shared" si="296"/>
        <v>1577</v>
      </c>
      <c r="Q281" s="1208">
        <f t="shared" si="296"/>
        <v>2092</v>
      </c>
      <c r="R281" s="1208">
        <f t="shared" si="296"/>
        <v>3223</v>
      </c>
      <c r="S281" s="1208">
        <f t="shared" si="296"/>
        <v>3321.9927181317266</v>
      </c>
      <c r="T281" s="1208">
        <f t="shared" si="296"/>
        <v>3093.4076270827327</v>
      </c>
      <c r="U281" s="387"/>
      <c r="V281" s="1208">
        <f t="shared" ref="V281:AD281" si="297">SUM(V277:V280)</f>
        <v>6756</v>
      </c>
      <c r="W281" s="1208">
        <f t="shared" si="297"/>
        <v>9020</v>
      </c>
      <c r="X281" s="1208">
        <f t="shared" si="297"/>
        <v>8520</v>
      </c>
      <c r="Y281" s="1208">
        <f t="shared" si="297"/>
        <v>3176</v>
      </c>
      <c r="Z281" s="1208">
        <f t="shared" si="297"/>
        <v>5633</v>
      </c>
      <c r="AA281" s="1208">
        <f t="shared" si="297"/>
        <v>11730.400345214461</v>
      </c>
      <c r="AB281" s="1208">
        <f t="shared" si="297"/>
        <v>12726.8760926266</v>
      </c>
      <c r="AC281" s="1208">
        <f t="shared" si="297"/>
        <v>11974.731053819771</v>
      </c>
      <c r="AD281" s="1209">
        <f t="shared" si="297"/>
        <v>12169.272927184311</v>
      </c>
    </row>
    <row r="282" spans="1:30" ht="11.25" customHeight="1">
      <c r="B282" s="425"/>
      <c r="C282" s="289"/>
      <c r="E282" s="602"/>
      <c r="F282" s="602"/>
      <c r="G282" s="602"/>
      <c r="H282" s="602"/>
      <c r="I282" s="602"/>
      <c r="J282" s="602"/>
      <c r="K282" s="602"/>
      <c r="L282" s="602"/>
      <c r="M282" s="602"/>
      <c r="N282" s="602"/>
      <c r="O282" s="602"/>
      <c r="P282" s="602"/>
      <c r="Q282" s="602"/>
      <c r="R282" s="602"/>
      <c r="S282" s="602"/>
      <c r="T282" s="602"/>
      <c r="U282" s="387"/>
      <c r="V282" s="602"/>
      <c r="W282" s="602"/>
      <c r="X282" s="602"/>
      <c r="Y282" s="602"/>
      <c r="Z282" s="602"/>
      <c r="AA282" s="602"/>
      <c r="AB282" s="602"/>
      <c r="AC282" s="602"/>
      <c r="AD282" s="724"/>
    </row>
    <row r="283" spans="1:30" ht="11.25" customHeight="1">
      <c r="B283" s="425"/>
      <c r="C283" s="384" t="s">
        <v>1075</v>
      </c>
      <c r="E283" s="277">
        <v>8</v>
      </c>
      <c r="F283" s="277">
        <v>10</v>
      </c>
      <c r="G283" s="277">
        <v>-25</v>
      </c>
      <c r="H283" s="277">
        <v>22</v>
      </c>
      <c r="I283" s="277">
        <v>-7</v>
      </c>
      <c r="J283" s="277">
        <v>14</v>
      </c>
      <c r="K283" s="277">
        <v>-3</v>
      </c>
      <c r="L283" s="277">
        <v>6</v>
      </c>
      <c r="M283" s="277">
        <v>-23</v>
      </c>
      <c r="N283" s="277">
        <v>24</v>
      </c>
      <c r="O283" s="277">
        <v>19</v>
      </c>
      <c r="P283" s="277">
        <v>-11</v>
      </c>
      <c r="Q283" s="277">
        <v>-4</v>
      </c>
      <c r="R283" s="277">
        <v>-73</v>
      </c>
      <c r="S283" s="255">
        <f>S279</f>
        <v>7.992051045654021</v>
      </c>
      <c r="T283" s="255">
        <f>T279</f>
        <v>5.9012550450818564</v>
      </c>
      <c r="U283" s="387"/>
      <c r="V283" s="277">
        <v>-259</v>
      </c>
      <c r="W283" s="277">
        <v>-53</v>
      </c>
      <c r="X283" s="254">
        <f t="shared" ref="X283:AA284" si="298">SUMIF($E$5:$T$5,X$5,$E283:$T283)</f>
        <v>15</v>
      </c>
      <c r="Y283" s="254">
        <f t="shared" si="298"/>
        <v>10</v>
      </c>
      <c r="Z283" s="254">
        <f t="shared" si="298"/>
        <v>9</v>
      </c>
      <c r="AA283" s="254">
        <f t="shared" si="298"/>
        <v>-63.106693909264123</v>
      </c>
      <c r="AB283" s="255">
        <f>AB279</f>
        <v>14.11731000494539</v>
      </c>
      <c r="AC283" s="255">
        <f>AC279</f>
        <v>14.973073966220417</v>
      </c>
      <c r="AD283" s="504">
        <f>AD279</f>
        <v>15.219204600382501</v>
      </c>
    </row>
    <row r="284" spans="1:30" ht="11.25" customHeight="1">
      <c r="B284" s="425"/>
      <c r="C284" s="384" t="s">
        <v>1200</v>
      </c>
      <c r="E284" s="277">
        <v>7</v>
      </c>
      <c r="F284" s="277">
        <v>8</v>
      </c>
      <c r="G284" s="277">
        <v>7</v>
      </c>
      <c r="H284" s="277">
        <v>6</v>
      </c>
      <c r="I284" s="277">
        <v>0</v>
      </c>
      <c r="J284" s="277">
        <v>0</v>
      </c>
      <c r="K284" s="277">
        <v>0</v>
      </c>
      <c r="L284" s="277">
        <v>0</v>
      </c>
      <c r="M284" s="277">
        <v>0</v>
      </c>
      <c r="N284" s="277">
        <v>0</v>
      </c>
      <c r="O284" s="277">
        <v>0</v>
      </c>
      <c r="P284" s="277">
        <v>0</v>
      </c>
      <c r="Q284" s="277">
        <v>0</v>
      </c>
      <c r="R284" s="255">
        <f ca="1">R301*R$304</f>
        <v>0</v>
      </c>
      <c r="S284" s="255">
        <f ca="1">S301*S$304</f>
        <v>0</v>
      </c>
      <c r="T284" s="255">
        <f ca="1">T301*T$304</f>
        <v>0</v>
      </c>
      <c r="U284" s="387"/>
      <c r="V284" s="277">
        <v>0</v>
      </c>
      <c r="W284" s="277">
        <v>0</v>
      </c>
      <c r="X284" s="254">
        <f t="shared" si="298"/>
        <v>28</v>
      </c>
      <c r="Y284" s="254">
        <f t="shared" si="298"/>
        <v>0</v>
      </c>
      <c r="Z284" s="254">
        <f t="shared" si="298"/>
        <v>0</v>
      </c>
      <c r="AA284" s="254">
        <f t="shared" ca="1" si="298"/>
        <v>0</v>
      </c>
      <c r="AB284" s="255">
        <v>0</v>
      </c>
      <c r="AC284" s="255">
        <v>0</v>
      </c>
      <c r="AD284" s="504">
        <v>0</v>
      </c>
    </row>
    <row r="285" spans="1:30" s="279" customFormat="1" ht="11.25" customHeight="1">
      <c r="A285" s="253"/>
      <c r="B285" s="425"/>
      <c r="C285" s="289" t="s">
        <v>1201</v>
      </c>
      <c r="E285" s="1208">
        <f t="shared" ref="E285:R285" si="299">E281-SUM(E283:E284)</f>
        <v>1963</v>
      </c>
      <c r="F285" s="1208">
        <f t="shared" si="299"/>
        <v>2273</v>
      </c>
      <c r="G285" s="1208">
        <f t="shared" si="299"/>
        <v>2257</v>
      </c>
      <c r="H285" s="1208">
        <f t="shared" si="299"/>
        <v>1984</v>
      </c>
      <c r="I285" s="1208">
        <f t="shared" si="299"/>
        <v>1602</v>
      </c>
      <c r="J285" s="1208">
        <f t="shared" si="299"/>
        <v>358</v>
      </c>
      <c r="K285" s="1208">
        <f t="shared" si="299"/>
        <v>489</v>
      </c>
      <c r="L285" s="1208">
        <f t="shared" si="299"/>
        <v>717</v>
      </c>
      <c r="M285" s="1208">
        <f t="shared" si="299"/>
        <v>1040</v>
      </c>
      <c r="N285" s="1208">
        <f t="shared" si="299"/>
        <v>1463</v>
      </c>
      <c r="O285" s="1208">
        <f t="shared" si="299"/>
        <v>1533</v>
      </c>
      <c r="P285" s="1208">
        <f t="shared" si="299"/>
        <v>1588</v>
      </c>
      <c r="Q285" s="1208">
        <f t="shared" si="299"/>
        <v>2096</v>
      </c>
      <c r="R285" s="1208">
        <f t="shared" ca="1" si="299"/>
        <v>3296</v>
      </c>
      <c r="S285" s="1208">
        <f ca="1">S281-SUM(S283:S284)</f>
        <v>3314.0006670860726</v>
      </c>
      <c r="T285" s="1208">
        <f ca="1">T281-SUM(T283:T284)</f>
        <v>3087.5063720376506</v>
      </c>
      <c r="U285" s="387"/>
      <c r="V285" s="1208">
        <f t="shared" ref="V285:AA285" si="300">V281-SUM(V283:V284)</f>
        <v>7015</v>
      </c>
      <c r="W285" s="1208">
        <f t="shared" si="300"/>
        <v>9073</v>
      </c>
      <c r="X285" s="1208">
        <f t="shared" si="300"/>
        <v>8477</v>
      </c>
      <c r="Y285" s="1208">
        <f t="shared" si="300"/>
        <v>3166</v>
      </c>
      <c r="Z285" s="1208">
        <f t="shared" si="300"/>
        <v>5624</v>
      </c>
      <c r="AA285" s="1208">
        <f t="shared" ca="1" si="300"/>
        <v>11793.507039123724</v>
      </c>
      <c r="AB285" s="1208">
        <f>AB281-SUM(AB283:AB284)</f>
        <v>12712.758782621655</v>
      </c>
      <c r="AC285" s="1208">
        <f>AC281-SUM(AC283:AC284)</f>
        <v>11959.75797985355</v>
      </c>
      <c r="AD285" s="1209">
        <f>AD281-SUM(AD283:AD284)</f>
        <v>12154.053722583929</v>
      </c>
    </row>
    <row r="286" spans="1:30" ht="11.25" customHeight="1">
      <c r="B286" s="425"/>
      <c r="O286" s="255"/>
      <c r="P286" s="383"/>
      <c r="U286" s="387"/>
      <c r="V286" s="255"/>
      <c r="W286" s="255"/>
      <c r="Z286" s="383"/>
      <c r="AD286" s="426"/>
    </row>
    <row r="287" spans="1:30" ht="11.25" customHeight="1">
      <c r="B287" s="425"/>
      <c r="C287" s="253" t="s">
        <v>466</v>
      </c>
      <c r="E287" s="564">
        <f>SUMIF(Info!$H$8:$H$69,E$6,Info!$E$6:$E$101)</f>
        <v>1.8666666666666665</v>
      </c>
      <c r="F287" s="564">
        <f>SUMIF(Info!$C$6:$C$101,F$6,Info!$E$6:$E$101)</f>
        <v>1.9219999999999999</v>
      </c>
      <c r="G287" s="564">
        <f>SUMIF(Info!$C$6:$C$101,G$6,Info!$E$6:$E$101)</f>
        <v>1.8623333333333332</v>
      </c>
      <c r="H287" s="564">
        <f>SUMIF(Info!$C$6:$C$101,H$6,Info!$E$6:$E$101)</f>
        <v>1.8593333333333335</v>
      </c>
      <c r="I287" s="564">
        <f>SUMIF(Info!$C$6:$C$101,I$6,Info!$E$6:$E$101)</f>
        <v>1.4106666666666667</v>
      </c>
      <c r="J287" s="564">
        <f>SUMIF(Info!$C$6:$C$101,J$6,Info!$E$6:$E$101)</f>
        <v>0.7583333333333333</v>
      </c>
      <c r="K287" s="564">
        <f>SUMIF(Info!$C$6:$C$101,K$6,Info!$E$6:$E$101)</f>
        <v>1.0673333333333332</v>
      </c>
      <c r="L287" s="564">
        <f>SUMIF(Info!$C$6:$C$101,L$6,Info!$E$6:$E$101)</f>
        <v>1.1679999999999999</v>
      </c>
      <c r="M287" s="564">
        <f>SUMIF(Info!$C$6:$C$101,M$6,Info!$E$6:$E$101)</f>
        <v>1.5606666666666669</v>
      </c>
      <c r="N287" s="564">
        <f>SUMIF(Info!$C$6:$C$101,N$6,Info!$E$6:$E$101)</f>
        <v>1.7593333333333334</v>
      </c>
      <c r="O287" s="564">
        <f>SUMIF(Info!$C$6:$C$101,O$6,Info!$E$6:$E$101)</f>
        <v>1.9023333333333332</v>
      </c>
      <c r="P287" s="564">
        <f>SUMIF(Info!$C$6:$C$101,P$6,Info!$E$6:$E$101)</f>
        <v>2.1946666666666665</v>
      </c>
      <c r="Q287" s="564">
        <f>SUMIF(Info!$C$6:$C$101,Q$6,Info!$E$6:$E$101)</f>
        <v>2.8743333333333339</v>
      </c>
      <c r="R287" s="564">
        <f>SUMIF(Info!$C$6:$C$101,R$6,Info!$E$6:$E$101)</f>
        <v>3.9786666666666668</v>
      </c>
      <c r="S287" s="564">
        <f>SUMIF(Info!$C$6:$C$101,S$6,Info!$E$6:$E$101)</f>
        <v>3.4438999999999997</v>
      </c>
      <c r="T287" s="564">
        <f>SUMIF(Info!$C$6:$C$101,T$6,Info!$E$6:$E$101)</f>
        <v>3.2074666666666665</v>
      </c>
      <c r="U287" s="387"/>
      <c r="V287" s="564">
        <f>SUMIF(Info!$C$6:$C$101,V$6,Info!$F$6:$F$101)</f>
        <v>1.5614166666666665</v>
      </c>
      <c r="W287" s="564">
        <f>SUMIF(Info!$C$6:$C$101,W$6,Info!$F$6:$F$101)</f>
        <v>2.0314583333333331</v>
      </c>
      <c r="X287" s="564">
        <f>SUMIF(Info!$C$6:$C$101,X$6,Info!$F$6:$F$101)</f>
        <v>1.8775833333333334</v>
      </c>
      <c r="Y287" s="564">
        <f>SUMIF(Info!$C$6:$C$101,Y$6,Info!$F$6:$F$101)</f>
        <v>1.1010833333333334</v>
      </c>
      <c r="Z287" s="564">
        <f>SUMIF(Info!$C$6:$C$101,Z$6,Info!$F$6:$F$101)</f>
        <v>1.85425</v>
      </c>
      <c r="AA287" s="564">
        <f>SUMIF(Info!$C$6:$C$101,AA$6,Info!$F$6:$F$101)</f>
        <v>3.3760916666666669</v>
      </c>
      <c r="AB287" s="564">
        <f>SUMIF(Info!$C$6:$C$101,AB$6,Info!$F$6:$F$101)</f>
        <v>2.8819250000000003</v>
      </c>
      <c r="AC287" s="564">
        <f>SUMIF(Info!$C$6:$C$101,AC$6,Info!$F$6:$F$101)</f>
        <v>2.5544750000000001</v>
      </c>
      <c r="AD287" s="565">
        <f>AC287</f>
        <v>2.5544750000000001</v>
      </c>
    </row>
    <row r="288" spans="1:30" s="380" customFormat="1" ht="11.25" customHeight="1">
      <c r="B288" s="662"/>
      <c r="C288" s="253" t="s">
        <v>579</v>
      </c>
      <c r="E288" s="564">
        <f>SUMIF(Info!$H$8:$H$69,E$6,Info!$S$8:$S$69)</f>
        <v>1.97</v>
      </c>
      <c r="F288" s="564">
        <f>SUMIF(Info!$H$8:$H$69,F$6,Info!$S$8:$S$69)</f>
        <v>2.06</v>
      </c>
      <c r="G288" s="564">
        <f>SUMIF(Info!$H$8:$H$69,G$6,Info!$S$8:$S$69)</f>
        <v>1.96</v>
      </c>
      <c r="H288" s="564">
        <f>SUMIF(Info!$H$8:$H$69,H$6,Info!$S$8:$S$69)</f>
        <v>1.9866666666666666</v>
      </c>
      <c r="I288" s="564">
        <f>SUMIF(Info!$H$8:$H$69,I$6,Info!$S$8:$S$69)</f>
        <v>1.7566666666666666</v>
      </c>
      <c r="J288" s="564">
        <f>SUMIF(Info!$H$8:$H$69,J$6,Info!$S$8:$S$69)</f>
        <v>1.1633333333333333</v>
      </c>
      <c r="K288" s="564">
        <f>SUMIF(Info!$H$8:$H$69,K$6,Info!$S$8:$S$69)</f>
        <v>1.1833333333333333</v>
      </c>
      <c r="L288" s="564">
        <f>SUMIF(Info!$H$8:$H$69,L$6,Info!$S$8:$S$69)</f>
        <v>1.2633333333333334</v>
      </c>
      <c r="M288" s="564">
        <f>SUMIF(Info!$H$8:$H$69,M$6,Info!$S$8:$S$69)</f>
        <v>1.6533333333333335</v>
      </c>
      <c r="N288" s="564">
        <f>SUMIF(Info!$H$8:$H$69,N$6,Info!$S$8:$S$69)</f>
        <v>1.9166666666666667</v>
      </c>
      <c r="O288" s="564">
        <f>SUMIF(Info!$H$8:$H$69,O$6,Info!$S$8:$S$69)</f>
        <v>1.9833333333333334</v>
      </c>
      <c r="P288" s="564">
        <f>SUMIF(Info!$H$8:$H$69,P$6,Info!$S$8:$S$69)</f>
        <v>2.2266666666666666</v>
      </c>
      <c r="Q288" s="663"/>
      <c r="R288" s="663"/>
      <c r="S288" s="663"/>
      <c r="T288" s="663"/>
      <c r="U288" s="387"/>
      <c r="V288" s="564">
        <f>SUMIF(Info!$H$8:$H$69,V$6,Info!$T$8:$T$69)</f>
        <v>1.6950000000000001</v>
      </c>
      <c r="W288" s="564">
        <f>SUMIF(Info!$H$8:$H$69,W$6,Info!$T$8:$T$69)</f>
        <v>2.1491666666666664</v>
      </c>
      <c r="X288" s="564">
        <f>SUMIF(Info!$H$8:$H$69,X$6,Info!$T$8:$T$69)</f>
        <v>1.9941666666666666</v>
      </c>
      <c r="Y288" s="564">
        <f>SUMIF(Info!$H$8:$H$69,Y$6,Info!$T$8:$T$69)</f>
        <v>1.3416666666666668</v>
      </c>
      <c r="Z288" s="564">
        <f>SUMIF(Info!$H$8:$H$69,Z$6,Info!$T$8:$T$69)</f>
        <v>1.9450000000000001</v>
      </c>
      <c r="AA288" s="663"/>
      <c r="AB288" s="663"/>
      <c r="AC288" s="663"/>
      <c r="AD288" s="664"/>
    </row>
    <row r="289" spans="1:32" ht="11.25" customHeight="1">
      <c r="B289" s="425"/>
      <c r="E289" s="564"/>
      <c r="F289" s="564"/>
      <c r="G289" s="564"/>
      <c r="H289" s="564"/>
      <c r="I289" s="564"/>
      <c r="J289" s="564"/>
      <c r="K289" s="564"/>
      <c r="L289" s="564"/>
      <c r="M289" s="564"/>
      <c r="N289" s="564"/>
      <c r="O289" s="564"/>
      <c r="P289" s="564"/>
      <c r="Q289" s="564"/>
      <c r="R289" s="564"/>
      <c r="S289" s="564"/>
      <c r="T289" s="564"/>
      <c r="U289" s="387"/>
      <c r="V289" s="564"/>
      <c r="W289" s="564"/>
      <c r="X289" s="564"/>
      <c r="Y289" s="564"/>
      <c r="Z289" s="564"/>
      <c r="AA289" s="564"/>
      <c r="AB289" s="564"/>
      <c r="AC289" s="564"/>
      <c r="AD289" s="565"/>
    </row>
    <row r="290" spans="1:32" s="278" customFormat="1" ht="11.25" customHeight="1">
      <c r="B290" s="573"/>
      <c r="C290" s="278" t="s">
        <v>467</v>
      </c>
      <c r="E290" s="571">
        <f t="shared" ref="E290:R290" si="301">(E294/E287)-1</f>
        <v>7.8111078111078314E-2</v>
      </c>
      <c r="F290" s="571">
        <f t="shared" si="301"/>
        <v>9.73934302208328E-2</v>
      </c>
      <c r="G290" s="571">
        <f t="shared" si="301"/>
        <v>7.6248123661669664E-2</v>
      </c>
      <c r="H290" s="571">
        <f t="shared" si="301"/>
        <v>8.4268205100044513E-2</v>
      </c>
      <c r="I290" s="571">
        <f t="shared" si="301"/>
        <v>0.31385332531362775</v>
      </c>
      <c r="J290" s="571">
        <f t="shared" si="301"/>
        <v>0.95004995004995019</v>
      </c>
      <c r="K290" s="571">
        <f t="shared" si="301"/>
        <v>7.5894062374698867E-2</v>
      </c>
      <c r="L290" s="571">
        <f t="shared" si="301"/>
        <v>5.5592231941464565E-2</v>
      </c>
      <c r="M290" s="571">
        <f t="shared" si="301"/>
        <v>5.2243807045526447E-2</v>
      </c>
      <c r="N290" s="571">
        <f t="shared" si="301"/>
        <v>5.9360429675272108E-2</v>
      </c>
      <c r="O290" s="571">
        <f t="shared" si="301"/>
        <v>6.6664179338161933E-2</v>
      </c>
      <c r="P290" s="571">
        <f t="shared" si="301"/>
        <v>5.3124974853749451E-2</v>
      </c>
      <c r="Q290" s="571">
        <f t="shared" si="301"/>
        <v>-2.6231675636628649E-2</v>
      </c>
      <c r="R290" s="571">
        <f t="shared" si="301"/>
        <v>3.0991087266502904E-2</v>
      </c>
      <c r="S290" s="296">
        <v>0.09</v>
      </c>
      <c r="T290" s="296">
        <v>0.05</v>
      </c>
      <c r="U290" s="387"/>
      <c r="V290" s="571">
        <f t="shared" ref="V290:AA290" si="302">(V294/V287)-1</f>
        <v>8.5355687880104947E-2</v>
      </c>
      <c r="W290" s="571">
        <f t="shared" si="302"/>
        <v>9.2827749399134074E-2</v>
      </c>
      <c r="X290" s="571">
        <f t="shared" si="302"/>
        <v>8.4536441138515217E-2</v>
      </c>
      <c r="Y290" s="571">
        <f t="shared" si="302"/>
        <v>0.37966971984205022</v>
      </c>
      <c r="Z290" s="571">
        <f t="shared" si="302"/>
        <v>7.258724996110244E-2</v>
      </c>
      <c r="AA290" s="571">
        <f t="shared" si="302"/>
        <v>4.6303519834806739E-2</v>
      </c>
      <c r="AB290" s="296">
        <v>0.1</v>
      </c>
      <c r="AC290" s="296">
        <v>0.1</v>
      </c>
      <c r="AD290" s="570">
        <v>0.1</v>
      </c>
    </row>
    <row r="291" spans="1:32" s="278" customFormat="1" ht="11.25" customHeight="1">
      <c r="B291" s="573"/>
      <c r="C291" s="582" t="s">
        <v>1017</v>
      </c>
      <c r="E291" s="571">
        <f t="shared" ref="E291:P291" si="303">E294/E288-1</f>
        <v>2.1560412423356601E-2</v>
      </c>
      <c r="F291" s="571">
        <f t="shared" si="303"/>
        <v>2.3878724701184684E-2</v>
      </c>
      <c r="G291" s="571">
        <f t="shared" si="303"/>
        <v>2.261875287376669E-2</v>
      </c>
      <c r="H291" s="571">
        <f t="shared" si="303"/>
        <v>1.4773162424169151E-2</v>
      </c>
      <c r="I291" s="571">
        <f t="shared" si="303"/>
        <v>5.5071588752803269E-2</v>
      </c>
      <c r="J291" s="571">
        <f t="shared" si="303"/>
        <v>0.27116436572023961</v>
      </c>
      <c r="K291" s="571">
        <f t="shared" si="303"/>
        <v>-2.9573862613018198E-2</v>
      </c>
      <c r="L291" s="571">
        <f t="shared" si="303"/>
        <v>-2.4064596115332071E-2</v>
      </c>
      <c r="M291" s="571">
        <f t="shared" si="303"/>
        <v>-6.7327611719445457E-3</v>
      </c>
      <c r="N291" s="571">
        <f t="shared" si="303"/>
        <v>-2.7599243856332722E-2</v>
      </c>
      <c r="O291" s="571">
        <f t="shared" si="303"/>
        <v>2.3101255711410085E-2</v>
      </c>
      <c r="P291" s="571">
        <f t="shared" si="303"/>
        <v>3.7990244676210594E-2</v>
      </c>
      <c r="U291" s="387"/>
      <c r="V291" s="571">
        <f>V294/V288-1</f>
        <v>-1.8143934073144852E-4</v>
      </c>
      <c r="W291" s="571">
        <f>W294/W288-1</f>
        <v>3.2974349010367998E-2</v>
      </c>
      <c r="X291" s="571">
        <f>X294/X288-1</f>
        <v>2.1132075022644692E-2</v>
      </c>
      <c r="Y291" s="571">
        <f>Y294/Y288-1</f>
        <v>0.13227180175608755</v>
      </c>
      <c r="Z291" s="571">
        <f>Z294/Z288-1</f>
        <v>2.2542369275256657E-2</v>
      </c>
      <c r="AD291" s="574"/>
    </row>
    <row r="292" spans="1:32" s="278" customFormat="1" ht="11.25" customHeight="1">
      <c r="B292" s="573"/>
      <c r="C292" s="278" t="s">
        <v>582</v>
      </c>
      <c r="E292" s="571">
        <f t="shared" ref="E292:P292" si="304">E288/E287-1</f>
        <v>5.5357142857142883E-2</v>
      </c>
      <c r="F292" s="571">
        <f t="shared" si="304"/>
        <v>7.1800208116545416E-2</v>
      </c>
      <c r="G292" s="571">
        <f t="shared" si="304"/>
        <v>5.2443171648469677E-2</v>
      </c>
      <c r="H292" s="571">
        <f t="shared" si="304"/>
        <v>6.8483327357475643E-2</v>
      </c>
      <c r="I292" s="571">
        <f t="shared" si="304"/>
        <v>0.24527410207939493</v>
      </c>
      <c r="J292" s="571">
        <f t="shared" si="304"/>
        <v>0.53406593406593417</v>
      </c>
      <c r="K292" s="571">
        <f t="shared" si="304"/>
        <v>0.10868207370393512</v>
      </c>
      <c r="L292" s="571">
        <f t="shared" si="304"/>
        <v>8.1621004566210242E-2</v>
      </c>
      <c r="M292" s="571">
        <f t="shared" si="304"/>
        <v>5.9376334899615468E-2</v>
      </c>
      <c r="N292" s="571">
        <f t="shared" si="304"/>
        <v>8.9427813565744696E-2</v>
      </c>
      <c r="O292" s="571">
        <f t="shared" si="304"/>
        <v>4.2579288592956122E-2</v>
      </c>
      <c r="P292" s="571">
        <f t="shared" si="304"/>
        <v>1.4580801944106936E-2</v>
      </c>
      <c r="U292" s="387"/>
      <c r="V292" s="571">
        <f>V288/V287-1</f>
        <v>8.5552649837220551E-2</v>
      </c>
      <c r="W292" s="571">
        <f>W288/W287-1</f>
        <v>5.7942775099989685E-2</v>
      </c>
      <c r="X292" s="571">
        <f>X288/X287-1</f>
        <v>6.2092228485198131E-2</v>
      </c>
      <c r="Y292" s="571">
        <f>Y288/Y287-1</f>
        <v>0.21849693483690302</v>
      </c>
      <c r="Z292" s="571">
        <f>Z288/Z287-1</f>
        <v>4.8941620601321345E-2</v>
      </c>
      <c r="AD292" s="574"/>
    </row>
    <row r="293" spans="1:32" s="255" customFormat="1" ht="11.25" customHeight="1">
      <c r="B293" s="496"/>
      <c r="AD293" s="504"/>
    </row>
    <row r="294" spans="1:32" s="279" customFormat="1" ht="11.25" customHeight="1">
      <c r="B294" s="573"/>
      <c r="C294" s="491" t="s">
        <v>1204</v>
      </c>
      <c r="D294" s="491"/>
      <c r="E294" s="492">
        <f t="shared" ref="E294:R294" si="305">E277/E$304</f>
        <v>2.0124740124740126</v>
      </c>
      <c r="F294" s="492">
        <f t="shared" si="305"/>
        <v>2.1091901728844404</v>
      </c>
      <c r="G294" s="492">
        <f t="shared" si="305"/>
        <v>2.0043327556325825</v>
      </c>
      <c r="H294" s="492">
        <f t="shared" si="305"/>
        <v>2.0160160160160161</v>
      </c>
      <c r="I294" s="492">
        <f t="shared" si="305"/>
        <v>1.853409090909091</v>
      </c>
      <c r="J294" s="492">
        <f t="shared" si="305"/>
        <v>1.4787878787878788</v>
      </c>
      <c r="K294" s="492">
        <f t="shared" si="305"/>
        <v>1.1483375959079285</v>
      </c>
      <c r="L294" s="492">
        <f t="shared" si="305"/>
        <v>1.2329317269076305</v>
      </c>
      <c r="M294" s="492">
        <f t="shared" si="305"/>
        <v>1.6422018348623852</v>
      </c>
      <c r="N294" s="492">
        <f t="shared" si="305"/>
        <v>1.863768115942029</v>
      </c>
      <c r="O294" s="492">
        <f t="shared" si="305"/>
        <v>2.0291508238276301</v>
      </c>
      <c r="P294" s="492">
        <f t="shared" si="305"/>
        <v>2.3112582781456954</v>
      </c>
      <c r="Q294" s="492">
        <f t="shared" si="305"/>
        <v>2.7989347536617841</v>
      </c>
      <c r="R294" s="492">
        <f t="shared" si="305"/>
        <v>4.1019698725376594</v>
      </c>
      <c r="S294" s="492">
        <f>S287*(S290+1)</f>
        <v>3.753851</v>
      </c>
      <c r="T294" s="492">
        <f>T287*(T290+1)</f>
        <v>3.3678399999999997</v>
      </c>
      <c r="U294" s="253"/>
      <c r="V294" s="492">
        <f t="shared" ref="V294:AA297" si="306">V277/V$304</f>
        <v>1.6946924603174602</v>
      </c>
      <c r="W294" s="492">
        <f t="shared" si="306"/>
        <v>2.2200340384147825</v>
      </c>
      <c r="X294" s="492">
        <f t="shared" si="306"/>
        <v>2.0363075462743239</v>
      </c>
      <c r="Y294" s="492">
        <f t="shared" si="306"/>
        <v>1.5191313340227508</v>
      </c>
      <c r="Z294" s="492">
        <f t="shared" si="306"/>
        <v>1.9888449082403743</v>
      </c>
      <c r="AA294" s="492">
        <f t="shared" si="306"/>
        <v>3.5324165941182928</v>
      </c>
      <c r="AB294" s="492">
        <f>AB287*(AB290+1)</f>
        <v>3.1701175000000004</v>
      </c>
      <c r="AC294" s="492">
        <f>AC287*(AC290+1)</f>
        <v>2.8099225000000003</v>
      </c>
      <c r="AD294" s="575">
        <f>AD287*(AD290+1)</f>
        <v>2.8099225000000003</v>
      </c>
    </row>
    <row r="295" spans="1:32" ht="11.25" customHeight="1">
      <c r="B295" s="425"/>
      <c r="C295" s="647" t="s">
        <v>1205</v>
      </c>
      <c r="E295" s="421">
        <f t="shared" ref="E295:Q295" si="307">E278/E$304</f>
        <v>0</v>
      </c>
      <c r="F295" s="421">
        <f t="shared" si="307"/>
        <v>0</v>
      </c>
      <c r="G295" s="421">
        <f t="shared" si="307"/>
        <v>0</v>
      </c>
      <c r="H295" s="421">
        <f t="shared" si="307"/>
        <v>0</v>
      </c>
      <c r="I295" s="421">
        <f t="shared" si="307"/>
        <v>0</v>
      </c>
      <c r="J295" s="421">
        <f t="shared" si="307"/>
        <v>0</v>
      </c>
      <c r="K295" s="421">
        <f t="shared" si="307"/>
        <v>0</v>
      </c>
      <c r="L295" s="421">
        <f t="shared" si="307"/>
        <v>0</v>
      </c>
      <c r="M295" s="421">
        <f t="shared" si="307"/>
        <v>3.669724770642202E-2</v>
      </c>
      <c r="N295" s="421">
        <f t="shared" si="307"/>
        <v>2.8985507246376812E-2</v>
      </c>
      <c r="O295" s="421">
        <f t="shared" si="307"/>
        <v>3.6755386565272496E-2</v>
      </c>
      <c r="P295" s="421">
        <f t="shared" si="307"/>
        <v>3.443708609271523E-2</v>
      </c>
      <c r="Q295" s="421">
        <f t="shared" si="307"/>
        <v>6.2583222370173108E-2</v>
      </c>
      <c r="R295" s="421">
        <f t="shared" ref="R295" si="308">R278/R$304</f>
        <v>2.8968713789107765E-2</v>
      </c>
      <c r="S295" s="421">
        <v>0</v>
      </c>
      <c r="T295" s="421">
        <v>0</v>
      </c>
      <c r="U295" s="387"/>
      <c r="V295" s="421">
        <f t="shared" si="306"/>
        <v>0</v>
      </c>
      <c r="W295" s="421">
        <f t="shared" si="306"/>
        <v>0</v>
      </c>
      <c r="X295" s="421">
        <f t="shared" si="306"/>
        <v>0</v>
      </c>
      <c r="Y295" s="421">
        <f t="shared" si="306"/>
        <v>0</v>
      </c>
      <c r="Z295" s="421">
        <f t="shared" si="306"/>
        <v>3.4184958618207986E-2</v>
      </c>
      <c r="AA295" s="421">
        <f t="shared" si="306"/>
        <v>3.8100856648948751E-2</v>
      </c>
      <c r="AB295" s="421">
        <v>0</v>
      </c>
      <c r="AC295" s="421">
        <v>0</v>
      </c>
      <c r="AD295" s="1210">
        <v>0</v>
      </c>
    </row>
    <row r="296" spans="1:32" ht="11.25" customHeight="1">
      <c r="B296" s="425"/>
      <c r="C296" s="384" t="s">
        <v>1206</v>
      </c>
      <c r="E296" s="421">
        <f t="shared" ref="E296:Q296" si="309">E279/E$304</f>
        <v>8.3160083160083165E-3</v>
      </c>
      <c r="F296" s="421">
        <f t="shared" si="309"/>
        <v>9.0991810737033659E-3</v>
      </c>
      <c r="G296" s="421">
        <f t="shared" si="309"/>
        <v>-2.1663778162911613E-2</v>
      </c>
      <c r="H296" s="421">
        <f t="shared" si="309"/>
        <v>2.2022022022022022E-2</v>
      </c>
      <c r="I296" s="421">
        <f t="shared" si="309"/>
        <v>-7.9545454545454537E-3</v>
      </c>
      <c r="J296" s="421">
        <f t="shared" si="309"/>
        <v>8.4848484848484854E-2</v>
      </c>
      <c r="K296" s="421">
        <f t="shared" si="309"/>
        <v>2.3017902813299233E-2</v>
      </c>
      <c r="L296" s="421">
        <f t="shared" si="309"/>
        <v>1.2048192771084338E-2</v>
      </c>
      <c r="M296" s="421">
        <f t="shared" si="309"/>
        <v>-4.2201834862385323E-2</v>
      </c>
      <c r="N296" s="421">
        <f t="shared" si="309"/>
        <v>3.4782608695652174E-2</v>
      </c>
      <c r="O296" s="421">
        <f t="shared" si="309"/>
        <v>2.4081115335868188E-2</v>
      </c>
      <c r="P296" s="421">
        <f t="shared" si="309"/>
        <v>-1.456953642384106E-2</v>
      </c>
      <c r="Q296" s="421">
        <f t="shared" si="309"/>
        <v>-5.3262316910785623E-3</v>
      </c>
      <c r="R296" s="421">
        <f t="shared" ref="R296" si="310">R279/R$304</f>
        <v>-8.4588644264194671E-2</v>
      </c>
      <c r="S296" s="1211">
        <f>AVERAGE(G296,K296,O296)</f>
        <v>8.478413328751936E-3</v>
      </c>
      <c r="T296" s="1211">
        <f>AVERAGE(H296,L296,P296)</f>
        <v>6.5002261230884331E-3</v>
      </c>
      <c r="U296" s="387"/>
      <c r="V296" s="421">
        <f t="shared" si="306"/>
        <v>8.1845238095238099E-3</v>
      </c>
      <c r="W296" s="421">
        <f t="shared" si="306"/>
        <v>-1.2885971310478968E-2</v>
      </c>
      <c r="X296" s="421">
        <f t="shared" si="306"/>
        <v>3.559563360227812E-3</v>
      </c>
      <c r="Y296" s="421">
        <f t="shared" si="306"/>
        <v>1.1375387797311272E-2</v>
      </c>
      <c r="Z296" s="421">
        <f t="shared" si="306"/>
        <v>3.2385750269881253E-3</v>
      </c>
      <c r="AA296" s="421">
        <f t="shared" si="306"/>
        <v>-1.8215296198681511E-2</v>
      </c>
      <c r="AB296" s="1211">
        <f>X296</f>
        <v>3.559563360227812E-3</v>
      </c>
      <c r="AC296" s="1211">
        <f>AB296</f>
        <v>3.559563360227812E-3</v>
      </c>
      <c r="AD296" s="1212">
        <f>AC296</f>
        <v>3.559563360227812E-3</v>
      </c>
    </row>
    <row r="297" spans="1:32" ht="11.25" customHeight="1">
      <c r="B297" s="425"/>
      <c r="C297" s="384" t="s">
        <v>1207</v>
      </c>
      <c r="E297" s="421">
        <f t="shared" ref="E297:Q297" si="311">E280/E$304</f>
        <v>3.5343035343035345E-2</v>
      </c>
      <c r="F297" s="421">
        <f t="shared" si="311"/>
        <v>-3.3666969972702458E-2</v>
      </c>
      <c r="G297" s="421">
        <f t="shared" si="311"/>
        <v>-4.2461005199306762E-2</v>
      </c>
      <c r="H297" s="421">
        <f t="shared" si="311"/>
        <v>-2.4024024024024024E-2</v>
      </c>
      <c r="I297" s="421">
        <f t="shared" si="311"/>
        <v>-3.2954545454545452E-2</v>
      </c>
      <c r="J297" s="421">
        <f t="shared" si="311"/>
        <v>0.69090909090909092</v>
      </c>
      <c r="K297" s="421">
        <f t="shared" si="311"/>
        <v>7.1611253196930943E-2</v>
      </c>
      <c r="L297" s="421">
        <f t="shared" si="311"/>
        <v>0.20682730923694778</v>
      </c>
      <c r="M297" s="421">
        <f t="shared" si="311"/>
        <v>0.22935779816513763</v>
      </c>
      <c r="N297" s="421">
        <f t="shared" si="311"/>
        <v>0.22753623188405797</v>
      </c>
      <c r="O297" s="421">
        <f t="shared" si="311"/>
        <v>-0.12294043092522181</v>
      </c>
      <c r="P297" s="421">
        <f t="shared" si="311"/>
        <v>-0.24238410596026491</v>
      </c>
      <c r="Q297" s="421">
        <f t="shared" si="311"/>
        <v>-7.057256990679095E-2</v>
      </c>
      <c r="R297" s="421">
        <f t="shared" ref="R297" si="312">R280/R$304</f>
        <v>-0.31170336037079954</v>
      </c>
      <c r="S297" s="728">
        <v>-0.27</v>
      </c>
      <c r="T297" s="728">
        <v>0</v>
      </c>
      <c r="U297" s="387"/>
      <c r="V297" s="421">
        <f t="shared" si="306"/>
        <v>-2.7281746031746032E-2</v>
      </c>
      <c r="W297" s="421">
        <f t="shared" si="306"/>
        <v>-1.4101628981278872E-2</v>
      </c>
      <c r="X297" s="421">
        <f t="shared" si="306"/>
        <v>-1.8035121025154248E-2</v>
      </c>
      <c r="Y297" s="421">
        <f t="shared" si="306"/>
        <v>0.11168562564632885</v>
      </c>
      <c r="Z297" s="421">
        <f t="shared" si="306"/>
        <v>7.1968333933069444E-4</v>
      </c>
      <c r="AA297" s="421">
        <f t="shared" si="306"/>
        <v>-0.1664059273882946</v>
      </c>
      <c r="AB297" s="1211">
        <v>0</v>
      </c>
      <c r="AC297" s="1211">
        <v>0</v>
      </c>
      <c r="AD297" s="1212">
        <v>0</v>
      </c>
    </row>
    <row r="298" spans="1:32" s="279" customFormat="1" ht="11.25" customHeight="1">
      <c r="A298" s="253"/>
      <c r="B298" s="425"/>
      <c r="C298" s="289" t="s">
        <v>1208</v>
      </c>
      <c r="E298" s="1213">
        <f t="shared" ref="E298:T298" si="313">SUM(E294:E297)</f>
        <v>2.0561330561330564</v>
      </c>
      <c r="F298" s="1213">
        <f t="shared" si="313"/>
        <v>2.0846223839854416</v>
      </c>
      <c r="G298" s="1213">
        <f t="shared" si="313"/>
        <v>1.940207972270364</v>
      </c>
      <c r="H298" s="1213">
        <f t="shared" si="313"/>
        <v>2.0140140140140144</v>
      </c>
      <c r="I298" s="1213">
        <f t="shared" si="313"/>
        <v>1.8125</v>
      </c>
      <c r="J298" s="1213">
        <f t="shared" si="313"/>
        <v>2.2545454545454549</v>
      </c>
      <c r="K298" s="1213">
        <f t="shared" si="313"/>
        <v>1.2429667519181586</v>
      </c>
      <c r="L298" s="1213">
        <f t="shared" si="313"/>
        <v>1.4518072289156625</v>
      </c>
      <c r="M298" s="1213">
        <f t="shared" si="313"/>
        <v>1.8660550458715595</v>
      </c>
      <c r="N298" s="1213">
        <f t="shared" si="313"/>
        <v>2.155072463768116</v>
      </c>
      <c r="O298" s="1213">
        <f t="shared" si="313"/>
        <v>1.9670468948035491</v>
      </c>
      <c r="P298" s="1213">
        <f t="shared" si="313"/>
        <v>2.0887417218543045</v>
      </c>
      <c r="Q298" s="1213">
        <f t="shared" si="313"/>
        <v>2.7856191744340877</v>
      </c>
      <c r="R298" s="1213">
        <f t="shared" ref="R298" si="314">SUM(R294:R297)</f>
        <v>3.7346465816917727</v>
      </c>
      <c r="S298" s="1213">
        <f>SUM(S294:S297)</f>
        <v>3.4923294133287519</v>
      </c>
      <c r="T298" s="1213">
        <f t="shared" si="313"/>
        <v>3.3743402261230884</v>
      </c>
      <c r="U298" s="387"/>
      <c r="V298" s="1213">
        <f t="shared" ref="V298:AA298" si="315">SUM(V294:V297)</f>
        <v>1.6755952380952379</v>
      </c>
      <c r="W298" s="1213">
        <f t="shared" si="315"/>
        <v>2.1930464381230248</v>
      </c>
      <c r="X298" s="1213">
        <f t="shared" si="315"/>
        <v>2.0218319886093976</v>
      </c>
      <c r="Y298" s="1213">
        <f t="shared" si="315"/>
        <v>1.6421923474663909</v>
      </c>
      <c r="Z298" s="1213">
        <f t="shared" si="315"/>
        <v>2.0269881252249013</v>
      </c>
      <c r="AA298" s="1213">
        <f t="shared" si="315"/>
        <v>3.3858962271802651</v>
      </c>
      <c r="AB298" s="1213">
        <f>SUM(AB294:AB297)</f>
        <v>3.1736770633602283</v>
      </c>
      <c r="AC298" s="1213">
        <f>SUM(AC294:AC297)</f>
        <v>2.8134820633602282</v>
      </c>
      <c r="AD298" s="1214">
        <f>SUM(AD294:AD297)</f>
        <v>2.8134820633602282</v>
      </c>
    </row>
    <row r="299" spans="1:32" ht="11.25" customHeight="1">
      <c r="B299" s="425"/>
      <c r="E299" s="719"/>
      <c r="F299" s="719"/>
      <c r="G299" s="719"/>
      <c r="H299" s="719"/>
      <c r="I299" s="719"/>
      <c r="J299" s="719"/>
      <c r="K299" s="719"/>
      <c r="L299" s="719"/>
      <c r="M299" s="719"/>
      <c r="N299" s="719"/>
      <c r="O299" s="719"/>
      <c r="P299" s="719"/>
      <c r="Q299" s="277"/>
      <c r="R299" s="277"/>
      <c r="S299" s="277"/>
      <c r="T299" s="277"/>
      <c r="U299" s="387"/>
      <c r="V299" s="719"/>
      <c r="W299" s="719"/>
      <c r="X299" s="719"/>
      <c r="Y299" s="719"/>
      <c r="Z299" s="719"/>
      <c r="AA299" s="719"/>
      <c r="AB299" s="277"/>
      <c r="AC299" s="277"/>
      <c r="AD299" s="510"/>
    </row>
    <row r="300" spans="1:32" ht="11.25" customHeight="1">
      <c r="B300" s="425"/>
      <c r="C300" s="253" t="str">
        <f>C283</f>
        <v>- MTM adjustments and settlements on hedges</v>
      </c>
      <c r="E300" s="421">
        <f t="shared" ref="E300:T300" si="316">E283/E$304</f>
        <v>8.3160083160083165E-3</v>
      </c>
      <c r="F300" s="421">
        <f t="shared" si="316"/>
        <v>9.0991810737033659E-3</v>
      </c>
      <c r="G300" s="421">
        <f t="shared" si="316"/>
        <v>-2.1663778162911613E-2</v>
      </c>
      <c r="H300" s="421">
        <f t="shared" si="316"/>
        <v>2.2022022022022022E-2</v>
      </c>
      <c r="I300" s="421">
        <f t="shared" si="316"/>
        <v>-7.9545454545454537E-3</v>
      </c>
      <c r="J300" s="421">
        <f t="shared" si="316"/>
        <v>8.4848484848484854E-2</v>
      </c>
      <c r="K300" s="421">
        <f t="shared" si="316"/>
        <v>-7.6726342710997444E-3</v>
      </c>
      <c r="L300" s="421">
        <f t="shared" si="316"/>
        <v>1.2048192771084338E-2</v>
      </c>
      <c r="M300" s="421">
        <f t="shared" si="316"/>
        <v>-4.2201834862385323E-2</v>
      </c>
      <c r="N300" s="421">
        <f t="shared" si="316"/>
        <v>3.4782608695652174E-2</v>
      </c>
      <c r="O300" s="421">
        <f t="shared" si="316"/>
        <v>2.4081115335868188E-2</v>
      </c>
      <c r="P300" s="421">
        <f t="shared" si="316"/>
        <v>-1.456953642384106E-2</v>
      </c>
      <c r="Q300" s="421">
        <f t="shared" si="316"/>
        <v>-5.3262316910785623E-3</v>
      </c>
      <c r="R300" s="421">
        <f t="shared" ref="R300" si="317">R283/R$304</f>
        <v>-8.4588644264194671E-2</v>
      </c>
      <c r="S300" s="421">
        <f t="shared" si="316"/>
        <v>8.478413328751936E-3</v>
      </c>
      <c r="T300" s="421">
        <f t="shared" si="316"/>
        <v>6.5002261230884331E-3</v>
      </c>
      <c r="U300" s="387"/>
      <c r="V300" s="421">
        <f t="shared" ref="V300:AD300" si="318">V283/V$304</f>
        <v>-6.4236111111111105E-2</v>
      </c>
      <c r="W300" s="421">
        <f t="shared" si="318"/>
        <v>-1.2885971310478968E-2</v>
      </c>
      <c r="X300" s="421">
        <f t="shared" si="318"/>
        <v>3.559563360227812E-3</v>
      </c>
      <c r="Y300" s="421">
        <f t="shared" si="318"/>
        <v>5.170630816959669E-3</v>
      </c>
      <c r="Z300" s="421">
        <f t="shared" si="318"/>
        <v>3.2385750269881253E-3</v>
      </c>
      <c r="AA300" s="421">
        <f t="shared" si="318"/>
        <v>-1.8215296198681511E-2</v>
      </c>
      <c r="AB300" s="421">
        <f t="shared" si="318"/>
        <v>3.559563360227812E-3</v>
      </c>
      <c r="AC300" s="421">
        <f t="shared" si="318"/>
        <v>3.559563360227812E-3</v>
      </c>
      <c r="AD300" s="1210">
        <f t="shared" si="318"/>
        <v>3.559563360227812E-3</v>
      </c>
    </row>
    <row r="301" spans="1:32" ht="11.25" customHeight="1">
      <c r="B301" s="425"/>
      <c r="C301" s="253" t="str">
        <f>C284</f>
        <v>- 'Delta Private Jets adjustment</v>
      </c>
      <c r="E301" s="421">
        <f t="shared" ref="E301:T301" si="319">E284/E$304</f>
        <v>7.2765072765072769E-3</v>
      </c>
      <c r="F301" s="421">
        <f t="shared" si="319"/>
        <v>7.2793448589626936E-3</v>
      </c>
      <c r="G301" s="421">
        <f t="shared" si="319"/>
        <v>6.0658578856152513E-3</v>
      </c>
      <c r="H301" s="421">
        <f t="shared" si="319"/>
        <v>6.006006006006006E-3</v>
      </c>
      <c r="I301" s="421">
        <f t="shared" si="319"/>
        <v>0</v>
      </c>
      <c r="J301" s="421">
        <f t="shared" si="319"/>
        <v>0</v>
      </c>
      <c r="K301" s="421">
        <f t="shared" si="319"/>
        <v>0</v>
      </c>
      <c r="L301" s="421">
        <f t="shared" si="319"/>
        <v>0</v>
      </c>
      <c r="M301" s="421">
        <f t="shared" si="319"/>
        <v>0</v>
      </c>
      <c r="N301" s="421">
        <f t="shared" si="319"/>
        <v>0</v>
      </c>
      <c r="O301" s="421">
        <f t="shared" si="319"/>
        <v>0</v>
      </c>
      <c r="P301" s="421">
        <f t="shared" si="319"/>
        <v>0</v>
      </c>
      <c r="Q301" s="421">
        <f t="shared" si="319"/>
        <v>0</v>
      </c>
      <c r="R301" s="421">
        <f t="shared" ref="R301" ca="1" si="320">R284/R$304</f>
        <v>0</v>
      </c>
      <c r="S301" s="421">
        <f t="shared" ca="1" si="319"/>
        <v>0</v>
      </c>
      <c r="T301" s="421">
        <f t="shared" ca="1" si="319"/>
        <v>0</v>
      </c>
      <c r="U301" s="387"/>
      <c r="V301" s="421">
        <f t="shared" ref="V301:AD301" si="321">V284/V$304</f>
        <v>0</v>
      </c>
      <c r="W301" s="421">
        <f t="shared" si="321"/>
        <v>0</v>
      </c>
      <c r="X301" s="421">
        <f t="shared" si="321"/>
        <v>6.6445182724252493E-3</v>
      </c>
      <c r="Y301" s="421">
        <f t="shared" si="321"/>
        <v>0</v>
      </c>
      <c r="Z301" s="421">
        <f t="shared" si="321"/>
        <v>0</v>
      </c>
      <c r="AA301" s="421">
        <f t="shared" ca="1" si="321"/>
        <v>0</v>
      </c>
      <c r="AB301" s="421">
        <f t="shared" si="321"/>
        <v>0</v>
      </c>
      <c r="AC301" s="421">
        <f t="shared" si="321"/>
        <v>0</v>
      </c>
      <c r="AD301" s="1210">
        <f t="shared" si="321"/>
        <v>0</v>
      </c>
    </row>
    <row r="302" spans="1:32" s="279" customFormat="1" ht="11.25" customHeight="1">
      <c r="B302" s="576"/>
      <c r="C302" s="289" t="s">
        <v>1209</v>
      </c>
      <c r="E302" s="1213">
        <f t="shared" ref="E302:T302" si="322">(E285)/E304</f>
        <v>2.0405405405405403</v>
      </c>
      <c r="F302" s="1213">
        <f t="shared" si="322"/>
        <v>2.0682438580527753</v>
      </c>
      <c r="G302" s="1213">
        <f t="shared" si="322"/>
        <v>1.9558058925476602</v>
      </c>
      <c r="H302" s="1213">
        <f t="shared" si="322"/>
        <v>1.9859859859859861</v>
      </c>
      <c r="I302" s="1213">
        <f t="shared" si="322"/>
        <v>1.8204545454545455</v>
      </c>
      <c r="J302" s="1213">
        <f t="shared" si="322"/>
        <v>2.1696969696969699</v>
      </c>
      <c r="K302" s="1213">
        <f t="shared" si="322"/>
        <v>1.2506393861892584</v>
      </c>
      <c r="L302" s="1213">
        <f t="shared" si="322"/>
        <v>1.4397590361445782</v>
      </c>
      <c r="M302" s="1213">
        <f t="shared" si="322"/>
        <v>1.9082568807339451</v>
      </c>
      <c r="N302" s="1213">
        <f t="shared" si="322"/>
        <v>2.1202898550724636</v>
      </c>
      <c r="O302" s="1213">
        <f t="shared" si="322"/>
        <v>1.9429657794676807</v>
      </c>
      <c r="P302" s="1213">
        <f t="shared" si="322"/>
        <v>2.1033112582781457</v>
      </c>
      <c r="Q302" s="1213">
        <f t="shared" si="322"/>
        <v>2.7909454061251666</v>
      </c>
      <c r="R302" s="1213">
        <f t="shared" ref="R302" ca="1" si="323">(R285)/R304</f>
        <v>3.8192352259559676</v>
      </c>
      <c r="S302" s="1213">
        <f t="shared" ca="1" si="322"/>
        <v>3.515676672585121</v>
      </c>
      <c r="T302" s="1213">
        <f t="shared" ca="1" si="322"/>
        <v>3.4008849679268094</v>
      </c>
      <c r="U302" s="387"/>
      <c r="V302" s="1213">
        <f t="shared" ref="V302:AD302" si="324">(V285)/V304</f>
        <v>1.7398313492063493</v>
      </c>
      <c r="W302" s="1213">
        <f t="shared" si="324"/>
        <v>2.2059324094335033</v>
      </c>
      <c r="X302" s="1213">
        <f t="shared" si="324"/>
        <v>2.0116279069767442</v>
      </c>
      <c r="Y302" s="1213">
        <f t="shared" si="324"/>
        <v>1.6370217166494312</v>
      </c>
      <c r="Z302" s="1213">
        <f t="shared" si="324"/>
        <v>2.023749550197913</v>
      </c>
      <c r="AA302" s="1213">
        <f t="shared" ca="1" si="324"/>
        <v>3.4041115233789472</v>
      </c>
      <c r="AB302" s="1213">
        <f t="shared" si="324"/>
        <v>3.2054173460937196</v>
      </c>
      <c r="AC302" s="1213">
        <f t="shared" si="324"/>
        <v>2.843204835448029</v>
      </c>
      <c r="AD302" s="1214">
        <f t="shared" si="324"/>
        <v>2.8426665811472747</v>
      </c>
    </row>
    <row r="303" spans="1:32" s="279" customFormat="1" ht="11.25" customHeight="1">
      <c r="B303" s="576"/>
      <c r="C303" s="289"/>
      <c r="E303" s="719"/>
      <c r="F303" s="719"/>
      <c r="G303" s="719"/>
      <c r="H303" s="719"/>
      <c r="I303" s="719"/>
      <c r="J303" s="719"/>
      <c r="K303" s="719"/>
      <c r="L303" s="719"/>
      <c r="M303" s="719"/>
      <c r="N303" s="719"/>
      <c r="O303" s="719"/>
      <c r="P303" s="719"/>
      <c r="Q303" s="719"/>
      <c r="R303" s="719"/>
      <c r="S303" s="719"/>
      <c r="T303" s="719"/>
      <c r="U303" s="387"/>
      <c r="V303" s="719"/>
      <c r="W303" s="719"/>
      <c r="X303" s="719"/>
      <c r="Y303" s="719"/>
      <c r="Z303" s="719"/>
      <c r="AA303" s="719"/>
      <c r="AB303" s="719"/>
      <c r="AC303" s="719"/>
      <c r="AD303" s="725"/>
    </row>
    <row r="304" spans="1:32" ht="11.25" customHeight="1" thickBot="1">
      <c r="B304" s="425"/>
      <c r="C304" s="253" t="s">
        <v>364</v>
      </c>
      <c r="E304" s="277">
        <v>962</v>
      </c>
      <c r="F304" s="277">
        <v>1099</v>
      </c>
      <c r="G304" s="277">
        <v>1154</v>
      </c>
      <c r="H304" s="277">
        <v>999</v>
      </c>
      <c r="I304" s="277">
        <v>880</v>
      </c>
      <c r="J304" s="277">
        <v>165</v>
      </c>
      <c r="K304" s="277">
        <v>391</v>
      </c>
      <c r="L304" s="277">
        <v>498</v>
      </c>
      <c r="M304" s="277">
        <v>545</v>
      </c>
      <c r="N304" s="277">
        <v>690</v>
      </c>
      <c r="O304" s="277">
        <v>789</v>
      </c>
      <c r="P304" s="277">
        <v>755</v>
      </c>
      <c r="Q304" s="277">
        <v>751</v>
      </c>
      <c r="R304" s="277">
        <v>863</v>
      </c>
      <c r="S304" s="254">
        <f>S164/S305*1000</f>
        <v>942.63522380436837</v>
      </c>
      <c r="T304" s="254">
        <f>T164/T305*1000</f>
        <v>907.85380898072674</v>
      </c>
      <c r="U304" s="387"/>
      <c r="V304" s="277">
        <v>4032</v>
      </c>
      <c r="W304" s="277">
        <v>4113</v>
      </c>
      <c r="X304" s="254">
        <f>SUMIF($E$5:$T$5,X$5,$E304:$T304)</f>
        <v>4214</v>
      </c>
      <c r="Y304" s="254">
        <f>SUMIF($E$5:$T$5,Y$5,$E304:$T304)</f>
        <v>1934</v>
      </c>
      <c r="Z304" s="254">
        <f>SUMIF($E$5:$T$5,Z$5,$E304:$T304)</f>
        <v>2779</v>
      </c>
      <c r="AA304" s="254">
        <f>SUMIF($E$5:$T$5,AA$5,$E304:$T304)</f>
        <v>3464.4890327850949</v>
      </c>
      <c r="AB304" s="254">
        <f>AB164/AB305*1000</f>
        <v>3966.0229573893248</v>
      </c>
      <c r="AC304" s="254">
        <f>AC164/AC305*1000</f>
        <v>4206.4355795768561</v>
      </c>
      <c r="AD304" s="505">
        <f>AD164/AD305*1000</f>
        <v>4275.5818790674575</v>
      </c>
      <c r="AF304" s="253" t="s">
        <v>1203</v>
      </c>
    </row>
    <row r="305" spans="1:33" ht="11.25" customHeight="1" thickBot="1">
      <c r="B305" s="425"/>
      <c r="C305" s="381" t="s">
        <v>1238</v>
      </c>
      <c r="E305" s="254">
        <f t="shared" ref="E305:R305" si="325">E164/E304*1000</f>
        <v>64.881496881496872</v>
      </c>
      <c r="F305" s="254">
        <f t="shared" si="325"/>
        <v>65.290263876251146</v>
      </c>
      <c r="G305" s="254">
        <f t="shared" si="325"/>
        <v>65.634315424610051</v>
      </c>
      <c r="H305" s="254">
        <f t="shared" si="325"/>
        <v>65.533533533533543</v>
      </c>
      <c r="I305" s="254">
        <f t="shared" si="325"/>
        <v>66.91477272727272</v>
      </c>
      <c r="J305" s="254">
        <f t="shared" si="325"/>
        <v>64.218181818181819</v>
      </c>
      <c r="K305" s="254">
        <f t="shared" si="325"/>
        <v>72.352941176470594</v>
      </c>
      <c r="L305" s="254">
        <f t="shared" si="325"/>
        <v>73.431726907630534</v>
      </c>
      <c r="M305" s="254">
        <f t="shared" si="325"/>
        <v>73.611009174311931</v>
      </c>
      <c r="N305" s="254">
        <f t="shared" si="325"/>
        <v>70.33188405797101</v>
      </c>
      <c r="O305" s="254">
        <f t="shared" si="325"/>
        <v>68.546261089987325</v>
      </c>
      <c r="P305" s="254">
        <f t="shared" si="325"/>
        <v>68.535099337748349</v>
      </c>
      <c r="Q305" s="254">
        <f t="shared" si="325"/>
        <v>68.988015978695088</v>
      </c>
      <c r="R305" s="254">
        <f t="shared" si="325"/>
        <v>68.253765932792589</v>
      </c>
      <c r="S305" s="254">
        <f>(S309+1)*G305</f>
        <v>68.91603119584056</v>
      </c>
      <c r="T305" s="254">
        <f>(T309+1)*H305</f>
        <v>68.154874874874892</v>
      </c>
      <c r="U305" s="387"/>
      <c r="V305" s="254">
        <f t="shared" ref="V305:AA305" si="326">V164/V304*1000</f>
        <v>63.076665178571425</v>
      </c>
      <c r="W305" s="254">
        <f t="shared" si="326"/>
        <v>64.032440797471438</v>
      </c>
      <c r="X305" s="254">
        <f t="shared" si="326"/>
        <v>65.348837209302317</v>
      </c>
      <c r="Y305" s="254">
        <f t="shared" si="326"/>
        <v>69.462254395036197</v>
      </c>
      <c r="Z305" s="254">
        <f t="shared" si="326"/>
        <v>69.979848866498727</v>
      </c>
      <c r="AA305" s="254">
        <f t="shared" si="326"/>
        <v>68.567208323587565</v>
      </c>
      <c r="AB305" s="254">
        <f>(AB309+1)*$X305</f>
        <v>70.249999999999986</v>
      </c>
      <c r="AC305" s="254">
        <f>(AC309+1)*$X305</f>
        <v>70.576744186046511</v>
      </c>
      <c r="AD305" s="505">
        <f>(AD309+1)*$X305</f>
        <v>70.576744186046511</v>
      </c>
      <c r="AF305" s="714">
        <f>AC305/X305-1</f>
        <v>8.0000000000000071E-2</v>
      </c>
      <c r="AG305" s="715"/>
    </row>
    <row r="306" spans="1:33" ht="11.25" customHeight="1" thickBot="1">
      <c r="B306" s="425"/>
      <c r="C306" s="381"/>
      <c r="E306" s="254"/>
      <c r="F306" s="254"/>
      <c r="G306" s="254"/>
      <c r="H306" s="254"/>
      <c r="I306" s="254"/>
      <c r="J306" s="254"/>
      <c r="K306" s="254"/>
      <c r="L306" s="254"/>
      <c r="M306" s="254"/>
      <c r="N306" s="254"/>
      <c r="O306" s="254"/>
      <c r="P306" s="254"/>
      <c r="Q306" s="254"/>
      <c r="R306" s="254"/>
      <c r="S306" s="254"/>
      <c r="T306" s="254"/>
      <c r="U306" s="387"/>
      <c r="V306" s="254"/>
      <c r="W306" s="254"/>
      <c r="X306" s="253">
        <f>1%*X304</f>
        <v>42.14</v>
      </c>
      <c r="Y306" s="284"/>
      <c r="Z306" s="284"/>
      <c r="AB306" s="254"/>
      <c r="AC306" s="254"/>
      <c r="AD306" s="505"/>
    </row>
    <row r="307" spans="1:33" ht="11.25" customHeight="1">
      <c r="B307" s="425"/>
      <c r="C307" s="392" t="s">
        <v>1020</v>
      </c>
      <c r="E307" s="254"/>
      <c r="F307" s="254"/>
      <c r="G307" s="254"/>
      <c r="H307" s="254"/>
      <c r="I307" s="254"/>
      <c r="J307" s="254"/>
      <c r="K307" s="254"/>
      <c r="L307" s="254"/>
      <c r="M307" s="254"/>
      <c r="N307" s="254"/>
      <c r="O307" s="254"/>
      <c r="P307" s="254"/>
      <c r="Q307" s="254"/>
      <c r="R307" s="254"/>
      <c r="S307" s="254"/>
      <c r="T307" s="254"/>
      <c r="U307" s="387"/>
      <c r="V307" s="254"/>
      <c r="W307" s="254"/>
      <c r="X307" s="284"/>
      <c r="Y307" s="284"/>
      <c r="Z307" s="284"/>
      <c r="AB307" s="254"/>
      <c r="AC307" s="254"/>
      <c r="AD307" s="505"/>
      <c r="AF307" s="1024" t="s">
        <v>1760</v>
      </c>
      <c r="AG307" s="1025"/>
    </row>
    <row r="308" spans="1:33" ht="11.25" customHeight="1">
      <c r="B308" s="425"/>
      <c r="C308" s="465" t="s">
        <v>1239</v>
      </c>
      <c r="E308" s="254"/>
      <c r="F308" s="254"/>
      <c r="G308" s="254"/>
      <c r="H308" s="254"/>
      <c r="I308" s="477">
        <f t="shared" ref="I308:L309" si="327">I304/E304-1</f>
        <v>-8.5239085239085188E-2</v>
      </c>
      <c r="J308" s="477">
        <f t="shared" si="327"/>
        <v>-0.84986351228389445</v>
      </c>
      <c r="K308" s="477">
        <f t="shared" si="327"/>
        <v>-0.66117850953206236</v>
      </c>
      <c r="L308" s="477">
        <f t="shared" si="327"/>
        <v>-0.50150150150150152</v>
      </c>
      <c r="M308" s="477">
        <f t="shared" ref="M308:P309" si="328">M304/E304-1</f>
        <v>-0.43347193347193347</v>
      </c>
      <c r="N308" s="477">
        <f t="shared" si="328"/>
        <v>-0.37215650591446769</v>
      </c>
      <c r="O308" s="477">
        <f t="shared" si="328"/>
        <v>-0.31629116117850953</v>
      </c>
      <c r="P308" s="477">
        <f t="shared" si="328"/>
        <v>-0.24424424424424429</v>
      </c>
      <c r="Q308" s="477">
        <f>Q304/E304-1</f>
        <v>-0.21933471933471937</v>
      </c>
      <c r="R308" s="477">
        <f>R304/F304-1</f>
        <v>-0.2147406733393995</v>
      </c>
      <c r="S308" s="477">
        <f>S304/G304-1</f>
        <v>-0.183158384918225</v>
      </c>
      <c r="T308" s="477">
        <f>T304/H304-1</f>
        <v>-9.1237428447720981E-2</v>
      </c>
      <c r="U308" s="387"/>
      <c r="V308" s="254"/>
      <c r="W308" s="477">
        <f>W304/V304-1</f>
        <v>2.0089285714285809E-2</v>
      </c>
      <c r="X308" s="477">
        <f>X304/W304-1</f>
        <v>2.4556284950157936E-2</v>
      </c>
      <c r="Y308" s="477">
        <f t="shared" ref="Y308:AD308" si="329">Y304/$X304-1</f>
        <v>-0.54105363075462742</v>
      </c>
      <c r="Z308" s="477">
        <f t="shared" si="329"/>
        <v>-0.34053156146179397</v>
      </c>
      <c r="AA308" s="477">
        <f t="shared" si="329"/>
        <v>-0.17786211846580569</v>
      </c>
      <c r="AB308" s="477">
        <f t="shared" si="329"/>
        <v>-5.8845999670307347E-2</v>
      </c>
      <c r="AC308" s="477">
        <f t="shared" si="329"/>
        <v>-1.7950689186387869E-3</v>
      </c>
      <c r="AD308" s="726">
        <f t="shared" si="329"/>
        <v>1.4613640025500141E-2</v>
      </c>
      <c r="AF308" s="1029">
        <f>$X$5</f>
        <v>2019</v>
      </c>
      <c r="AG308" s="1030">
        <f>$X$5+3</f>
        <v>2022</v>
      </c>
    </row>
    <row r="309" spans="1:33" s="278" customFormat="1" ht="11.25" customHeight="1" thickBot="1">
      <c r="A309" s="253"/>
      <c r="B309" s="425"/>
      <c r="C309" s="465" t="s">
        <v>1202</v>
      </c>
      <c r="E309" s="424"/>
      <c r="F309" s="424"/>
      <c r="G309" s="424"/>
      <c r="H309" s="424"/>
      <c r="I309" s="477">
        <f t="shared" si="327"/>
        <v>3.1338300494045734E-2</v>
      </c>
      <c r="J309" s="477">
        <f t="shared" si="327"/>
        <v>-1.642024391418162E-2</v>
      </c>
      <c r="K309" s="477">
        <f t="shared" si="327"/>
        <v>0.10236452850000077</v>
      </c>
      <c r="L309" s="477">
        <f t="shared" si="327"/>
        <v>0.12052140252830235</v>
      </c>
      <c r="M309" s="477">
        <f t="shared" si="328"/>
        <v>0.13454548233927333</v>
      </c>
      <c r="N309" s="477">
        <f t="shared" si="328"/>
        <v>7.721856035496466E-2</v>
      </c>
      <c r="O309" s="477">
        <f t="shared" si="328"/>
        <v>4.4366207623846465E-2</v>
      </c>
      <c r="P309" s="477">
        <f t="shared" si="328"/>
        <v>4.5801983234719179E-2</v>
      </c>
      <c r="Q309" s="477">
        <f>Q305/E305-1</f>
        <v>6.3292607208162766E-2</v>
      </c>
      <c r="R309" s="477">
        <f>R305/F305-1</f>
        <v>4.5389647408354161E-2</v>
      </c>
      <c r="S309" s="296">
        <v>0.05</v>
      </c>
      <c r="T309" s="296">
        <v>0.04</v>
      </c>
      <c r="U309" s="387"/>
      <c r="V309" s="424"/>
      <c r="W309" s="477">
        <f>W305/V305-1</f>
        <v>1.5152602253055036E-2</v>
      </c>
      <c r="X309" s="477">
        <f>X305/W305-1</f>
        <v>2.0558273203961086E-2</v>
      </c>
      <c r="Y309" s="477">
        <f>Y305/$X305-1</f>
        <v>6.2945529888454477E-2</v>
      </c>
      <c r="Z309" s="477">
        <f>Z305/$X305-1</f>
        <v>7.086601468307685E-2</v>
      </c>
      <c r="AA309" s="477">
        <f>AA305/$X305-1</f>
        <v>4.9249095343155025E-2</v>
      </c>
      <c r="AB309" s="296">
        <v>7.4999999999999997E-2</v>
      </c>
      <c r="AC309" s="296">
        <v>0.08</v>
      </c>
      <c r="AD309" s="570">
        <v>0.08</v>
      </c>
      <c r="AF309" s="1026">
        <f>X304/X164</f>
        <v>15.302491103202847</v>
      </c>
      <c r="AG309" s="505">
        <f>AA304/AA164</f>
        <v>14.584230923923929</v>
      </c>
    </row>
    <row r="310" spans="1:33" ht="11.25" customHeight="1" thickBot="1">
      <c r="B310" s="425"/>
      <c r="U310" s="387"/>
      <c r="AD310" s="426"/>
      <c r="AF310" s="1027" t="s">
        <v>1761</v>
      </c>
      <c r="AG310" s="1028">
        <f>AG309/AF309-1</f>
        <v>-4.6937467529622356E-2</v>
      </c>
    </row>
    <row r="311" spans="1:33" s="278" customFormat="1" ht="11.25" customHeight="1">
      <c r="B311" s="573"/>
      <c r="C311" s="587" t="s">
        <v>588</v>
      </c>
      <c r="D311" s="486"/>
      <c r="E311" s="486"/>
      <c r="F311" s="486"/>
      <c r="G311" s="486"/>
      <c r="H311" s="486"/>
      <c r="I311" s="519"/>
      <c r="J311" s="519"/>
      <c r="K311" s="519"/>
      <c r="L311" s="519"/>
      <c r="M311" s="519"/>
      <c r="N311" s="519"/>
      <c r="O311" s="519"/>
      <c r="P311" s="519"/>
      <c r="Q311" s="519"/>
      <c r="R311" s="519"/>
      <c r="S311" s="519"/>
      <c r="T311" s="519"/>
      <c r="U311" s="387"/>
      <c r="V311" s="486"/>
      <c r="W311" s="486"/>
      <c r="X311" s="486"/>
      <c r="Y311" s="486"/>
      <c r="Z311" s="486"/>
      <c r="AA311" s="486"/>
      <c r="AB311" s="486"/>
      <c r="AC311" s="486"/>
      <c r="AD311" s="520"/>
    </row>
    <row r="312" spans="1:33" s="278" customFormat="1" ht="11.25" customHeight="1">
      <c r="B312" s="573"/>
      <c r="C312" s="486" t="s">
        <v>586</v>
      </c>
      <c r="D312" s="486"/>
      <c r="E312" s="486"/>
      <c r="F312" s="486"/>
      <c r="G312" s="486"/>
      <c r="H312" s="486"/>
      <c r="I312" s="487">
        <f>I294/E294-1</f>
        <v>-7.903949098422236E-2</v>
      </c>
      <c r="J312" s="487">
        <f>J294/F294-1</f>
        <v>-0.29888357256778308</v>
      </c>
      <c r="K312" s="487">
        <f>K294/G294-1</f>
        <v>-0.42707237973292289</v>
      </c>
      <c r="L312" s="487">
        <f>L294/H294-1</f>
        <v>-0.38843158134025679</v>
      </c>
      <c r="M312" s="487">
        <f>M294/E294-1</f>
        <v>-0.18398855106528178</v>
      </c>
      <c r="N312" s="487">
        <f>N294/F294-1</f>
        <v>-0.11635842993084999</v>
      </c>
      <c r="O312" s="487">
        <f>O294/G294-1</f>
        <v>1.2382209553430501E-2</v>
      </c>
      <c r="P312" s="487">
        <f>P294/H294-1</f>
        <v>0.14644837133443378</v>
      </c>
      <c r="Q312" s="487">
        <f>Q294/E294-1</f>
        <v>0.3907929922637583</v>
      </c>
      <c r="R312" s="487">
        <f>R294/F294-1</f>
        <v>0.94480797666906291</v>
      </c>
      <c r="S312" s="487">
        <f>S294/G294-1</f>
        <v>0.87286815996541267</v>
      </c>
      <c r="T312" s="487">
        <f>T294/H294-1</f>
        <v>0.6705422840119164</v>
      </c>
      <c r="U312" s="387"/>
      <c r="V312" s="486"/>
      <c r="W312" s="487"/>
      <c r="X312" s="487"/>
      <c r="Y312" s="487">
        <f t="shared" ref="Y312:AD312" si="330">Y294/$X294-1</f>
        <v>-0.25397745698964325</v>
      </c>
      <c r="Z312" s="487">
        <f t="shared" si="330"/>
        <v>-2.3308187469416541E-2</v>
      </c>
      <c r="AA312" s="487">
        <f t="shared" si="330"/>
        <v>0.73471664463518049</v>
      </c>
      <c r="AB312" s="487">
        <f t="shared" si="330"/>
        <v>0.55679701025521511</v>
      </c>
      <c r="AC312" s="487">
        <f t="shared" si="330"/>
        <v>0.37991066484092761</v>
      </c>
      <c r="AD312" s="521">
        <f t="shared" si="330"/>
        <v>0.37991066484092761</v>
      </c>
    </row>
    <row r="313" spans="1:33" s="278" customFormat="1" ht="11.25" customHeight="1">
      <c r="B313" s="573"/>
      <c r="C313" s="487" t="s">
        <v>592</v>
      </c>
      <c r="D313" s="486"/>
      <c r="E313" s="486"/>
      <c r="F313" s="486"/>
      <c r="G313" s="486"/>
      <c r="H313" s="486"/>
      <c r="I313" s="487">
        <f t="shared" ref="I313:T313" si="331">I177</f>
        <v>-5.6572032812099438E-2</v>
      </c>
      <c r="J313" s="487">
        <f t="shared" si="331"/>
        <v>-0.85232879003261142</v>
      </c>
      <c r="K313" s="487">
        <f t="shared" si="331"/>
        <v>-0.62649520741464448</v>
      </c>
      <c r="L313" s="487">
        <f t="shared" si="331"/>
        <v>-0.44142176330420968</v>
      </c>
      <c r="M313" s="487">
        <f t="shared" si="331"/>
        <v>-0.35724814150217887</v>
      </c>
      <c r="N313" s="487">
        <f t="shared" si="331"/>
        <v>-0.32367533517295199</v>
      </c>
      <c r="O313" s="487">
        <f t="shared" si="331"/>
        <v>-0.28595759288109646</v>
      </c>
      <c r="P313" s="487">
        <f t="shared" si="331"/>
        <v>-0.20962913178957665</v>
      </c>
      <c r="Q313" s="487">
        <f t="shared" si="331"/>
        <v>-0.16992437836452179</v>
      </c>
      <c r="R313" s="487">
        <f t="shared" ref="R313" si="332">R177</f>
        <v>-0.17909802937815322</v>
      </c>
      <c r="S313" s="487">
        <f t="shared" si="331"/>
        <v>-0.14231630416413621</v>
      </c>
      <c r="T313" s="487">
        <f t="shared" si="331"/>
        <v>-5.4886925585629576E-2</v>
      </c>
      <c r="U313" s="387"/>
      <c r="V313" s="486"/>
      <c r="W313" s="487"/>
      <c r="X313" s="487"/>
      <c r="Y313" s="487">
        <f t="shared" ref="Y313:AD313" si="333">Y177</f>
        <v>-0.51216500835209522</v>
      </c>
      <c r="Z313" s="487">
        <f t="shared" si="333"/>
        <v>-0.29379766141331976</v>
      </c>
      <c r="AA313" s="487">
        <f t="shared" si="333"/>
        <v>-0.13737257155290872</v>
      </c>
      <c r="AB313" s="487">
        <f t="shared" si="333"/>
        <v>1.1740550354419454E-2</v>
      </c>
      <c r="AC313" s="487">
        <f t="shared" si="333"/>
        <v>7.8061325567870155E-2</v>
      </c>
      <c r="AD313" s="521">
        <f t="shared" si="333"/>
        <v>9.578273122754033E-2</v>
      </c>
    </row>
    <row r="314" spans="1:33" s="278" customFormat="1" ht="11.25" customHeight="1">
      <c r="B314" s="573"/>
      <c r="C314" s="487" t="s">
        <v>591</v>
      </c>
      <c r="D314" s="486"/>
      <c r="E314" s="486"/>
      <c r="F314" s="486"/>
      <c r="G314" s="486"/>
      <c r="H314" s="486"/>
      <c r="I314" s="487">
        <f t="shared" ref="I314:T314" si="334">+(1+I315)/((1+I312)*(1+I313))-1</f>
        <v>-3.038605322718424E-2</v>
      </c>
      <c r="J314" s="487">
        <f t="shared" si="334"/>
        <v>1.6694369533921893E-2</v>
      </c>
      <c r="K314" s="487">
        <f t="shared" si="334"/>
        <v>-9.2859055107015531E-2</v>
      </c>
      <c r="L314" s="487">
        <f t="shared" si="334"/>
        <v>-0.10755832263119869</v>
      </c>
      <c r="M314" s="487">
        <f t="shared" si="334"/>
        <v>-0.11858976518231734</v>
      </c>
      <c r="N314" s="487">
        <f t="shared" si="334"/>
        <v>-7.168328062368301E-2</v>
      </c>
      <c r="O314" s="487">
        <f t="shared" si="334"/>
        <v>-4.2481466079593577E-2</v>
      </c>
      <c r="P314" s="487">
        <f t="shared" si="334"/>
        <v>-4.379603784365671E-2</v>
      </c>
      <c r="Q314" s="487">
        <f t="shared" si="334"/>
        <v>-5.952510793275112E-2</v>
      </c>
      <c r="R314" s="487">
        <f t="shared" ref="R314" si="335">+(1+R315)/((1+R312)*(1+R313))-1</f>
        <v>-4.3418879764957063E-2</v>
      </c>
      <c r="S314" s="487">
        <f t="shared" si="334"/>
        <v>-4.7619047619047561E-2</v>
      </c>
      <c r="T314" s="487">
        <f t="shared" si="334"/>
        <v>-3.8461538461538547E-2</v>
      </c>
      <c r="U314" s="387"/>
      <c r="V314" s="486"/>
      <c r="W314" s="487"/>
      <c r="X314" s="487"/>
      <c r="Y314" s="487">
        <f t="shared" ref="Y314:AD314" si="336">+(1+Y315)/((1+Y312)*(1+Y313))-1</f>
        <v>-5.9218020226360912E-2</v>
      </c>
      <c r="Z314" s="487">
        <f t="shared" si="336"/>
        <v>-6.6176359797961881E-2</v>
      </c>
      <c r="AA314" s="487">
        <f t="shared" si="336"/>
        <v>-4.6937467529622134E-2</v>
      </c>
      <c r="AB314" s="487">
        <f t="shared" si="336"/>
        <v>-6.9767441860464796E-2</v>
      </c>
      <c r="AC314" s="487">
        <f t="shared" si="336"/>
        <v>-7.4074074074073848E-2</v>
      </c>
      <c r="AD314" s="521">
        <f t="shared" si="336"/>
        <v>-7.4074074074074181E-2</v>
      </c>
    </row>
    <row r="315" spans="1:33" s="392" customFormat="1" ht="11.25" customHeight="1">
      <c r="B315" s="585"/>
      <c r="C315" s="489" t="s">
        <v>585</v>
      </c>
      <c r="D315" s="488"/>
      <c r="E315" s="522"/>
      <c r="F315" s="522"/>
      <c r="G315" s="522"/>
      <c r="H315" s="522"/>
      <c r="I315" s="1215">
        <f>+I277/E277-1</f>
        <v>-0.1575413223140496</v>
      </c>
      <c r="J315" s="1215">
        <f>+J277/F277-1</f>
        <v>-0.89473684210526316</v>
      </c>
      <c r="K315" s="1215">
        <f>+K277/G277-1</f>
        <v>-0.80587980977086038</v>
      </c>
      <c r="L315" s="1215">
        <f>+L277/H277-1</f>
        <v>-0.69513406156901691</v>
      </c>
      <c r="M315" s="1215">
        <f>+M277/E277-1</f>
        <v>-0.53770661157024802</v>
      </c>
      <c r="N315" s="1215">
        <f>+N277/F277-1</f>
        <v>-0.44521138912855907</v>
      </c>
      <c r="O315" s="1215">
        <f>+O277/G277-1</f>
        <v>-0.30782533506268916</v>
      </c>
      <c r="P315" s="1215">
        <f>+P277/H277-1</f>
        <v>-0.13356504468718966</v>
      </c>
      <c r="Q315" s="1215">
        <f>+Q277/E277-1</f>
        <v>8.5743801652892637E-2</v>
      </c>
      <c r="R315" s="1215">
        <f>+R277/F277-1</f>
        <v>0.52717860224331314</v>
      </c>
      <c r="S315" s="1215">
        <f>+S277/G277-1</f>
        <v>0.52983665262138002</v>
      </c>
      <c r="T315" s="1215">
        <f>+T277/H277-1</f>
        <v>0.51812630190548692</v>
      </c>
      <c r="U315" s="387"/>
      <c r="V315" s="1216"/>
      <c r="W315" s="1217"/>
      <c r="X315" s="1217"/>
      <c r="Y315" s="1215">
        <f t="shared" ref="Y315:AD315" si="337">+Y277/$X277-1</f>
        <v>-0.65761566251019699</v>
      </c>
      <c r="Z315" s="1215">
        <f t="shared" si="337"/>
        <v>-0.35590257545740589</v>
      </c>
      <c r="AA315" s="1215">
        <f t="shared" si="337"/>
        <v>0.42617626728247338</v>
      </c>
      <c r="AB315" s="1215">
        <f t="shared" si="337"/>
        <v>0.46518573390300144</v>
      </c>
      <c r="AC315" s="1215">
        <f t="shared" si="337"/>
        <v>0.37743363009597375</v>
      </c>
      <c r="AD315" s="1218">
        <f t="shared" si="337"/>
        <v>0.40007618256426158</v>
      </c>
    </row>
    <row r="316" spans="1:33" s="499" customFormat="1" ht="11.25" customHeight="1">
      <c r="B316" s="584"/>
      <c r="C316" s="588"/>
      <c r="E316" s="534"/>
      <c r="F316" s="534"/>
      <c r="G316" s="534"/>
      <c r="H316" s="534"/>
      <c r="I316" s="525"/>
      <c r="J316" s="525"/>
      <c r="K316" s="525"/>
      <c r="L316" s="525"/>
      <c r="M316" s="525"/>
      <c r="N316" s="525"/>
      <c r="O316" s="525"/>
      <c r="P316" s="525"/>
      <c r="Q316" s="525"/>
      <c r="R316" s="525"/>
      <c r="S316" s="525"/>
      <c r="T316" s="525"/>
      <c r="U316" s="387"/>
      <c r="V316" s="534"/>
      <c r="W316" s="526"/>
      <c r="X316" s="526"/>
      <c r="Y316" s="525"/>
      <c r="Z316" s="525"/>
      <c r="AA316" s="525"/>
      <c r="AB316" s="525"/>
      <c r="AC316" s="525"/>
      <c r="AD316" s="673"/>
    </row>
    <row r="317" spans="1:33" ht="11.25" customHeight="1">
      <c r="B317" s="425"/>
      <c r="C317" s="589" t="s">
        <v>589</v>
      </c>
      <c r="D317" s="527"/>
      <c r="E317" s="527"/>
      <c r="F317" s="527"/>
      <c r="G317" s="527"/>
      <c r="H317" s="527"/>
      <c r="I317" s="527"/>
      <c r="J317" s="527"/>
      <c r="K317" s="527"/>
      <c r="L317" s="527"/>
      <c r="M317" s="527"/>
      <c r="N317" s="527"/>
      <c r="O317" s="527"/>
      <c r="P317" s="527"/>
      <c r="Q317" s="527"/>
      <c r="R317" s="527"/>
      <c r="S317" s="527"/>
      <c r="T317" s="527"/>
      <c r="U317" s="278"/>
      <c r="V317" s="527"/>
      <c r="W317" s="527"/>
      <c r="X317" s="527"/>
      <c r="Y317" s="527"/>
      <c r="Z317" s="527"/>
      <c r="AA317" s="527"/>
      <c r="AB317" s="527"/>
      <c r="AC317" s="527"/>
      <c r="AD317" s="412"/>
    </row>
    <row r="318" spans="1:33" ht="11.25" customHeight="1">
      <c r="B318" s="425"/>
      <c r="C318" s="527" t="s">
        <v>586</v>
      </c>
      <c r="D318" s="527"/>
      <c r="E318" s="527"/>
      <c r="F318" s="527"/>
      <c r="G318" s="527"/>
      <c r="H318" s="527"/>
      <c r="I318" s="529">
        <f t="shared" ref="I318:L320" si="338">+I312*E$277</f>
        <v>-153.0204545454545</v>
      </c>
      <c r="J318" s="529">
        <f t="shared" si="338"/>
        <v>-692.81212121212116</v>
      </c>
      <c r="K318" s="529">
        <f t="shared" si="338"/>
        <v>-987.81841432225065</v>
      </c>
      <c r="L318" s="529">
        <f t="shared" si="338"/>
        <v>-782.30120481927713</v>
      </c>
      <c r="M318" s="529">
        <f t="shared" ref="M318:P320" si="339">+M312*E$277</f>
        <v>-356.20183486238551</v>
      </c>
      <c r="N318" s="529">
        <f t="shared" si="339"/>
        <v>-269.71884057971027</v>
      </c>
      <c r="O318" s="529">
        <f t="shared" si="339"/>
        <v>28.640050697084749</v>
      </c>
      <c r="P318" s="529">
        <f t="shared" si="339"/>
        <v>294.94701986754961</v>
      </c>
      <c r="Q318" s="529">
        <f t="shared" ref="Q318:T320" si="340">+Q312*E$277</f>
        <v>756.5752330226361</v>
      </c>
      <c r="R318" s="529">
        <f t="shared" si="340"/>
        <v>2190.0648899188877</v>
      </c>
      <c r="S318" s="529">
        <f t="shared" si="340"/>
        <v>2018.9440539999996</v>
      </c>
      <c r="T318" s="529">
        <f t="shared" si="340"/>
        <v>1350.4721599999996</v>
      </c>
      <c r="U318" s="278"/>
      <c r="V318" s="527"/>
      <c r="W318" s="528"/>
      <c r="X318" s="528"/>
      <c r="Y318" s="529">
        <f t="shared" ref="Y318:AD320" si="341">+Y312*$X$277</f>
        <v>-2179.3805584281286</v>
      </c>
      <c r="Z318" s="529">
        <f t="shared" si="341"/>
        <v>-200.00755667506334</v>
      </c>
      <c r="AA318" s="529">
        <f t="shared" si="341"/>
        <v>6304.6035276144839</v>
      </c>
      <c r="AB318" s="529">
        <f t="shared" si="341"/>
        <v>4777.8751450000009</v>
      </c>
      <c r="AC318" s="529">
        <f t="shared" si="341"/>
        <v>3260.0134149999999</v>
      </c>
      <c r="AD318" s="530">
        <f t="shared" si="341"/>
        <v>3260.0134149999999</v>
      </c>
    </row>
    <row r="319" spans="1:33" ht="11.25" customHeight="1">
      <c r="B319" s="425"/>
      <c r="C319" s="590" t="s">
        <v>592</v>
      </c>
      <c r="D319" s="527"/>
      <c r="E319" s="527"/>
      <c r="F319" s="527"/>
      <c r="G319" s="527"/>
      <c r="H319" s="527"/>
      <c r="I319" s="529">
        <f t="shared" si="338"/>
        <v>-109.52345552422452</v>
      </c>
      <c r="J319" s="529">
        <f t="shared" si="338"/>
        <v>-1975.6981352955934</v>
      </c>
      <c r="K319" s="529">
        <f t="shared" si="338"/>
        <v>-1449.0834147500727</v>
      </c>
      <c r="L319" s="529">
        <f t="shared" si="338"/>
        <v>-889.02343129467829</v>
      </c>
      <c r="M319" s="529">
        <f t="shared" si="339"/>
        <v>-691.63240194821833</v>
      </c>
      <c r="N319" s="529">
        <f t="shared" si="339"/>
        <v>-750.27942693090267</v>
      </c>
      <c r="O319" s="529">
        <f t="shared" si="339"/>
        <v>-661.41991233397607</v>
      </c>
      <c r="P319" s="529">
        <f t="shared" si="339"/>
        <v>-422.19307142420735</v>
      </c>
      <c r="Q319" s="529">
        <f t="shared" si="340"/>
        <v>-328.9735965137142</v>
      </c>
      <c r="R319" s="529">
        <f t="shared" si="340"/>
        <v>-415.1492320985592</v>
      </c>
      <c r="S319" s="529">
        <f t="shared" si="340"/>
        <v>-329.17761153164707</v>
      </c>
      <c r="T319" s="529">
        <f t="shared" si="340"/>
        <v>-110.54226812945797</v>
      </c>
      <c r="U319" s="278"/>
      <c r="V319" s="527"/>
      <c r="W319" s="528"/>
      <c r="X319" s="528"/>
      <c r="Y319" s="529">
        <f t="shared" si="341"/>
        <v>-4394.8879366693291</v>
      </c>
      <c r="Z319" s="529">
        <f t="shared" si="341"/>
        <v>-2521.077732587697</v>
      </c>
      <c r="AA319" s="529">
        <f t="shared" si="341"/>
        <v>-1178.7940364955098</v>
      </c>
      <c r="AB319" s="529">
        <f t="shared" si="341"/>
        <v>100.74566259127334</v>
      </c>
      <c r="AC319" s="529">
        <f t="shared" si="341"/>
        <v>669.84423469789374</v>
      </c>
      <c r="AD319" s="530">
        <f t="shared" si="341"/>
        <v>821.91161666352355</v>
      </c>
    </row>
    <row r="320" spans="1:33" ht="11.25" customHeight="1">
      <c r="B320" s="425"/>
      <c r="C320" s="590" t="s">
        <v>591</v>
      </c>
      <c r="D320" s="527"/>
      <c r="E320" s="527"/>
      <c r="F320" s="527"/>
      <c r="G320" s="527"/>
      <c r="H320" s="527"/>
      <c r="I320" s="529">
        <f t="shared" si="338"/>
        <v>-58.827399047828692</v>
      </c>
      <c r="J320" s="529">
        <f t="shared" si="338"/>
        <v>38.697548579630947</v>
      </c>
      <c r="K320" s="529">
        <f t="shared" si="338"/>
        <v>-214.78299446252691</v>
      </c>
      <c r="L320" s="529">
        <f t="shared" si="338"/>
        <v>-216.62246177923416</v>
      </c>
      <c r="M320" s="529">
        <f t="shared" si="339"/>
        <v>-229.58978539296638</v>
      </c>
      <c r="N320" s="529">
        <f t="shared" si="339"/>
        <v>-166.16184448569723</v>
      </c>
      <c r="O320" s="529">
        <f t="shared" si="339"/>
        <v>-98.25963104209994</v>
      </c>
      <c r="P320" s="529">
        <f t="shared" si="339"/>
        <v>-88.205220217124619</v>
      </c>
      <c r="Q320" s="529">
        <f t="shared" si="340"/>
        <v>-115.24060895780617</v>
      </c>
      <c r="R320" s="529">
        <f t="shared" si="340"/>
        <v>-100.64496329517047</v>
      </c>
      <c r="S320" s="529">
        <f t="shared" si="340"/>
        <v>-110.14285714285701</v>
      </c>
      <c r="T320" s="529">
        <f t="shared" si="340"/>
        <v>-77.461538461538638</v>
      </c>
      <c r="U320" s="278"/>
      <c r="V320" s="527"/>
      <c r="W320" s="528"/>
      <c r="X320" s="528"/>
      <c r="Y320" s="529">
        <f t="shared" si="341"/>
        <v>-508.14983156240299</v>
      </c>
      <c r="Z320" s="529">
        <f t="shared" si="341"/>
        <v>-567.85934342631094</v>
      </c>
      <c r="AA320" s="529">
        <f t="shared" si="341"/>
        <v>-402.77040887168755</v>
      </c>
      <c r="AB320" s="529">
        <f t="shared" si="341"/>
        <v>-598.67441860464839</v>
      </c>
      <c r="AC320" s="529">
        <f t="shared" si="341"/>
        <v>-635.62962962962774</v>
      </c>
      <c r="AD320" s="530">
        <f t="shared" si="341"/>
        <v>-635.62962962963059</v>
      </c>
    </row>
    <row r="321" spans="2:30" ht="11.25" customHeight="1">
      <c r="B321" s="425"/>
      <c r="C321" s="527" t="s">
        <v>587</v>
      </c>
      <c r="D321" s="527"/>
      <c r="E321" s="527"/>
      <c r="F321" s="527"/>
      <c r="G321" s="527"/>
      <c r="H321" s="527"/>
      <c r="I321" s="529">
        <f>(I312*I313*E$277+I312*I314*E$277+I313*I314*E$277)+I312*I313*I314*E$277</f>
        <v>16.371309117507792</v>
      </c>
      <c r="J321" s="529">
        <f>(J312*J313*F$277+J312*J314*F$277+J313*J314*F$277)+J312*J313*J314*F$277</f>
        <v>555.81270792808346</v>
      </c>
      <c r="K321" s="529">
        <f>(K312*K313*G$277+K312*K314*G$277+K313*K314*G$277)+K312*K313*K314*G$277</f>
        <v>787.68482353485012</v>
      </c>
      <c r="L321" s="529">
        <f>(L312*L313*H$277+L312*L314*H$277+L313*L314*H$277)+L312*L313*L314*H$277</f>
        <v>487.94709789318955</v>
      </c>
      <c r="M321" s="529">
        <f>(M312*M313*E$277+M312*M314*E$277+M313*M314*E$277)+M312*M313*M314*E$277</f>
        <v>236.42402220356993</v>
      </c>
      <c r="N321" s="529">
        <f>(N312*N313*F$277+N312*N314*F$277+N313*N314*F$277)+N312*N313*N314*F$277</f>
        <v>154.16011199631023</v>
      </c>
      <c r="O321" s="529">
        <f>(O312*O313*G$277+O312*O314*G$277+O313*O314*G$277)+O312*O313*O314*G$277</f>
        <v>19.039492678991245</v>
      </c>
      <c r="P321" s="529">
        <f>(P312*P313*H$277+P312*P314*H$277+P313*P314*H$277)+P312*P313*P314*H$277</f>
        <v>-53.548728226217484</v>
      </c>
      <c r="Q321" s="529">
        <f>(Q312*Q313*E$277+Q312*Q314*E$277+Q313*Q314*E$277)+Q312*Q313*Q314*E$277</f>
        <v>-146.36102755111543</v>
      </c>
      <c r="R321" s="529">
        <f>(R312*R313*F$277+R312*R314*F$277+R313*R314*F$277)+R312*R313*R314*F$277</f>
        <v>-452.27069452515821</v>
      </c>
      <c r="S321" s="529">
        <f>(S312*S313*G$277+S312*S314*G$277+S313*S314*G$277)+S312*S313*S314*G$277</f>
        <v>-354.11140781224344</v>
      </c>
      <c r="T321" s="529">
        <f>(T312*T313*H$277+T312*T314*H$277+T313*T314*H$277)+T312*T313*T314*H$277</f>
        <v>-118.96198137135211</v>
      </c>
      <c r="U321" s="278"/>
      <c r="V321" s="527"/>
      <c r="W321" s="528"/>
      <c r="X321" s="528"/>
      <c r="Y321" s="529">
        <f t="shared" ref="Y321:AD321" si="342">(Y312*Y313*$X$277+Y312*Y314*$X$277+Y313*Y314*$X$277)+Y312*Y313*Y314*$X$277</f>
        <v>1439.4183266598604</v>
      </c>
      <c r="Z321" s="529">
        <f t="shared" si="342"/>
        <v>234.94463268907094</v>
      </c>
      <c r="AA321" s="529">
        <f t="shared" si="342"/>
        <v>-1066.0205326963824</v>
      </c>
      <c r="AB321" s="529">
        <f t="shared" si="342"/>
        <v>-288.18760636496944</v>
      </c>
      <c r="AC321" s="529">
        <f t="shared" si="342"/>
        <v>-55.470040214714139</v>
      </c>
      <c r="AD321" s="530">
        <f t="shared" si="342"/>
        <v>-13.241679449964387</v>
      </c>
    </row>
    <row r="322" spans="2:30" s="279" customFormat="1" ht="11.25" customHeight="1">
      <c r="B322" s="576"/>
      <c r="C322" s="591" t="s">
        <v>585</v>
      </c>
      <c r="D322" s="531"/>
      <c r="E322" s="531"/>
      <c r="F322" s="531"/>
      <c r="G322" s="531"/>
      <c r="H322" s="531"/>
      <c r="I322" s="1219">
        <f t="shared" ref="I322:T322" si="343">SUM(I318:I321)</f>
        <v>-304.99999999999989</v>
      </c>
      <c r="J322" s="1219">
        <f t="shared" si="343"/>
        <v>-2074</v>
      </c>
      <c r="K322" s="1219">
        <f t="shared" si="343"/>
        <v>-1864</v>
      </c>
      <c r="L322" s="1219">
        <f t="shared" si="343"/>
        <v>-1400</v>
      </c>
      <c r="M322" s="1219">
        <f t="shared" si="343"/>
        <v>-1041.0000000000005</v>
      </c>
      <c r="N322" s="1219">
        <f t="shared" si="343"/>
        <v>-1032</v>
      </c>
      <c r="O322" s="1219">
        <f t="shared" si="343"/>
        <v>-712</v>
      </c>
      <c r="P322" s="1219">
        <f t="shared" si="343"/>
        <v>-268.99999999999983</v>
      </c>
      <c r="Q322" s="1219">
        <f t="shared" si="343"/>
        <v>166.00000000000031</v>
      </c>
      <c r="R322" s="1219">
        <f t="shared" ref="R322" si="344">SUM(R318:R321)</f>
        <v>1221.9999999999998</v>
      </c>
      <c r="S322" s="1219">
        <f t="shared" si="343"/>
        <v>1225.512177513252</v>
      </c>
      <c r="T322" s="1219">
        <f t="shared" si="343"/>
        <v>1043.5063720376511</v>
      </c>
      <c r="U322" s="278"/>
      <c r="V322" s="1220"/>
      <c r="W322" s="1219"/>
      <c r="X322" s="1219"/>
      <c r="Y322" s="1219">
        <f t="shared" ref="Y322:AD322" si="345">SUM(Y318:Y321)</f>
        <v>-5643.0000000000009</v>
      </c>
      <c r="Z322" s="1219">
        <f t="shared" si="345"/>
        <v>-3054</v>
      </c>
      <c r="AA322" s="1219">
        <f t="shared" si="345"/>
        <v>3657.0185495509049</v>
      </c>
      <c r="AB322" s="1219">
        <f t="shared" si="345"/>
        <v>3991.7587826216572</v>
      </c>
      <c r="AC322" s="1219">
        <f t="shared" si="345"/>
        <v>3238.7579798535517</v>
      </c>
      <c r="AD322" s="1221">
        <f t="shared" si="345"/>
        <v>3433.0537225839284</v>
      </c>
    </row>
    <row r="323" spans="2:30" s="293" customFormat="1" ht="11.25" customHeight="1" thickBot="1">
      <c r="B323" s="586"/>
      <c r="C323" s="583" t="s">
        <v>233</v>
      </c>
      <c r="D323" s="578"/>
      <c r="E323" s="578"/>
      <c r="F323" s="578"/>
      <c r="G323" s="578"/>
      <c r="H323" s="578"/>
      <c r="I323" s="579">
        <f>SUM(I318:I321)-(I277-E277)</f>
        <v>0</v>
      </c>
      <c r="J323" s="579">
        <f>SUM(J318:J321)-(J277-F277)</f>
        <v>0</v>
      </c>
      <c r="K323" s="579">
        <f>SUM(K318:K321)-(K277-G277)</f>
        <v>0</v>
      </c>
      <c r="L323" s="579">
        <f>SUM(L318:L321)-(L277-H277)</f>
        <v>0</v>
      </c>
      <c r="M323" s="579">
        <f>SUM(M318:M321)-(M277-E277)</f>
        <v>0</v>
      </c>
      <c r="N323" s="579">
        <f>SUM(N318:N321)-(N277-F277)</f>
        <v>0</v>
      </c>
      <c r="O323" s="579">
        <f>SUM(O318:O321)-(O277-G277)</f>
        <v>0</v>
      </c>
      <c r="P323" s="579">
        <f>SUM(P318:P321)-(P277-H277)</f>
        <v>0</v>
      </c>
      <c r="Q323" s="579">
        <f>SUM(Q318:Q321)-(Q277-E277)</f>
        <v>3.1263880373444408E-13</v>
      </c>
      <c r="R323" s="579">
        <f>SUM(R318:R321)-(R277-F277)</f>
        <v>0</v>
      </c>
      <c r="S323" s="579">
        <f>SUM(S318:S321)-(S277-G277)</f>
        <v>0</v>
      </c>
      <c r="T323" s="579">
        <f>SUM(T318:T321)-(T277-H277)</f>
        <v>0</v>
      </c>
      <c r="U323" s="578"/>
      <c r="V323" s="578"/>
      <c r="W323" s="579"/>
      <c r="X323" s="579"/>
      <c r="Y323" s="579">
        <f t="shared" ref="Y323:AD323" si="346">SUM(Y318:Y321)-(Y277-$X277)</f>
        <v>0</v>
      </c>
      <c r="Z323" s="579">
        <f t="shared" si="346"/>
        <v>0</v>
      </c>
      <c r="AA323" s="579">
        <f t="shared" si="346"/>
        <v>0</v>
      </c>
      <c r="AB323" s="579">
        <f t="shared" si="346"/>
        <v>0</v>
      </c>
      <c r="AC323" s="579">
        <f t="shared" si="346"/>
        <v>0</v>
      </c>
      <c r="AD323" s="580">
        <f t="shared" si="346"/>
        <v>0</v>
      </c>
    </row>
    <row r="324" spans="2:30" ht="11.25" customHeight="1" thickBot="1">
      <c r="C324" s="430"/>
      <c r="D324" s="430"/>
      <c r="E324" s="452"/>
      <c r="F324" s="452"/>
      <c r="G324" s="452"/>
      <c r="H324" s="452"/>
      <c r="I324" s="452"/>
      <c r="J324" s="452"/>
      <c r="K324" s="452"/>
      <c r="L324" s="452"/>
      <c r="M324" s="452"/>
      <c r="N324" s="452"/>
      <c r="O324" s="452"/>
      <c r="P324" s="452"/>
      <c r="Q324" s="430"/>
      <c r="R324" s="430"/>
      <c r="S324" s="430"/>
      <c r="T324" s="430"/>
      <c r="U324" s="255"/>
      <c r="V324" s="430"/>
      <c r="W324" s="430"/>
      <c r="X324" s="430"/>
      <c r="Y324" s="430"/>
      <c r="Z324" s="430"/>
      <c r="AA324" s="430"/>
      <c r="AB324" s="430"/>
      <c r="AC324" s="430"/>
      <c r="AD324" s="430"/>
    </row>
    <row r="325" spans="2:30" ht="11.25" customHeight="1">
      <c r="E325" s="387"/>
      <c r="F325" s="387"/>
      <c r="G325" s="387"/>
      <c r="H325" s="387"/>
      <c r="I325" s="387"/>
      <c r="J325" s="387"/>
      <c r="K325" s="387"/>
      <c r="L325" s="387"/>
      <c r="M325" s="387"/>
      <c r="N325" s="387"/>
      <c r="O325" s="387"/>
      <c r="P325" s="387"/>
      <c r="U325" s="255"/>
    </row>
    <row r="326" spans="2:30" s="255" customFormat="1" ht="11.25" customHeight="1">
      <c r="B326" s="255" t="s">
        <v>133</v>
      </c>
      <c r="C326" s="399" t="s">
        <v>525</v>
      </c>
      <c r="E326" s="253"/>
    </row>
    <row r="327" spans="2:30" s="255" customFormat="1" ht="11.25" customHeight="1">
      <c r="C327" s="255" t="s">
        <v>1210</v>
      </c>
      <c r="E327" s="287">
        <f>'DAL Financials'!E29</f>
        <v>220</v>
      </c>
      <c r="F327" s="287">
        <f>'DAL Financials'!F29</f>
        <v>518</v>
      </c>
      <c r="G327" s="287">
        <f>'DAL Financials'!G29</f>
        <v>517</v>
      </c>
      <c r="H327" s="287">
        <f>'DAL Financials'!H29</f>
        <v>387</v>
      </c>
      <c r="I327" s="287">
        <f>'DAL Financials'!I29</f>
        <v>0</v>
      </c>
      <c r="J327" s="287">
        <f>'DAL Financials'!J29</f>
        <v>0</v>
      </c>
      <c r="K327" s="287">
        <f>'DAL Financials'!K29</f>
        <v>0</v>
      </c>
      <c r="L327" s="287">
        <f>'DAL Financials'!L29</f>
        <v>0</v>
      </c>
      <c r="M327" s="287">
        <f>'DAL Financials'!M29</f>
        <v>0</v>
      </c>
      <c r="N327" s="287">
        <f>'DAL Financials'!N29</f>
        <v>0</v>
      </c>
      <c r="O327" s="287">
        <f>'DAL Financials'!O29</f>
        <v>0</v>
      </c>
      <c r="P327" s="287">
        <f>'DAL Financials'!P29</f>
        <v>108</v>
      </c>
      <c r="Q327" s="287">
        <f>'DAL Financials'!Q29</f>
        <v>0</v>
      </c>
      <c r="R327" s="287">
        <f>'DAL Financials'!R29</f>
        <v>54</v>
      </c>
      <c r="S327" s="255">
        <f ca="1">IF(Circ=1,S331,0)</f>
        <v>270.1298687128579</v>
      </c>
      <c r="T327" s="255">
        <f ca="1">IF(Circ=1,T331,0)</f>
        <v>179.49139732819233</v>
      </c>
      <c r="V327" s="287">
        <f>'DAL Financials'!V29</f>
        <v>1065</v>
      </c>
      <c r="W327" s="287">
        <f>'DAL Financials'!W29</f>
        <v>1301</v>
      </c>
      <c r="X327" s="254">
        <f>SUMIF($E$5:$T$5,X$5,$E327:$T327)</f>
        <v>1642</v>
      </c>
      <c r="Y327" s="254">
        <f>SUMIF($E$5:$T$5,Y$5,$E327:$T327)</f>
        <v>0</v>
      </c>
      <c r="Z327" s="254">
        <f>SUMIF($E$5:$T$5,Z$5,$E327:$T327)</f>
        <v>108</v>
      </c>
      <c r="AA327" s="254">
        <f ca="1">SUMIF($E$5:$T$5,AA$5,$E327:$T327)</f>
        <v>503.62126604105026</v>
      </c>
      <c r="AB327" s="255">
        <f ca="1">IF(Circ=1,AB331,0)</f>
        <v>14.726113828743109</v>
      </c>
      <c r="AC327" s="255">
        <f ca="1">IF(Circ=1,AC331,0)</f>
        <v>175.44193529969272</v>
      </c>
      <c r="AD327" s="255">
        <f ca="1">IF(Circ=1,AD331,0)</f>
        <v>220.76800696650827</v>
      </c>
    </row>
    <row r="328" spans="2:30" s="255" customFormat="1" ht="11.25" customHeight="1"/>
    <row r="329" spans="2:30" s="255" customFormat="1" ht="11.25" customHeight="1">
      <c r="C329" s="255" t="s">
        <v>1211</v>
      </c>
      <c r="S329" s="255">
        <f ca="1">+S31</f>
        <v>1676.8806181715083</v>
      </c>
      <c r="T329" s="255">
        <f ca="1">+T31</f>
        <v>1114.2257120337481</v>
      </c>
      <c r="AA329" s="255">
        <f ca="1">+AA31</f>
        <v>3498.1063302052507</v>
      </c>
      <c r="AB329" s="255">
        <f ca="1">'DAL Financials'!AB13-SUM('DAL Financials'!AB15:AB23,'DAL Financials'!AB26:AB31,'DAL Financials'!AB34)</f>
        <v>147.26113828753296</v>
      </c>
      <c r="AC329" s="255">
        <f ca="1">'DAL Financials'!AC13-SUM('DAL Financials'!AC15:AC23,'DAL Financials'!AC26:AC31,'DAL Financials'!AC34)</f>
        <v>1754.4193529993208</v>
      </c>
      <c r="AD329" s="255">
        <f ca="1">'DAL Financials'!AD13-SUM('DAL Financials'!AD15:AD23,'DAL Financials'!AD26:AD31,'DAL Financials'!AD34)</f>
        <v>2207.6800696896389</v>
      </c>
    </row>
    <row r="330" spans="2:30" s="441" customFormat="1" ht="11.25" customHeight="1">
      <c r="C330" s="441" t="s">
        <v>1212</v>
      </c>
      <c r="Q330" s="297"/>
      <c r="R330" s="297"/>
      <c r="S330" s="297">
        <f ca="1">S329/SUM($S$329:$T$329)</f>
        <v>0.60079424421218364</v>
      </c>
      <c r="T330" s="297">
        <f ca="1">T329/SUM($S$329:$T$329)</f>
        <v>0.39920575578781647</v>
      </c>
      <c r="U330" s="255"/>
    </row>
    <row r="331" spans="2:30" s="283" customFormat="1" ht="11.25" customHeight="1">
      <c r="C331" s="286" t="s">
        <v>527</v>
      </c>
      <c r="S331" s="283">
        <f ca="1">$AA$331*S330</f>
        <v>270.1298687128579</v>
      </c>
      <c r="T331" s="283">
        <f ca="1">$AA$331*T330</f>
        <v>179.49139732819233</v>
      </c>
      <c r="U331" s="255"/>
      <c r="AA331" s="283">
        <f ca="1">IF(AA329&gt;0,IF(AA329&gt;2500,(AA329-2500)*20%+(2500*10%),AA329*10%),0)</f>
        <v>449.62126604105015</v>
      </c>
      <c r="AB331" s="283">
        <f ca="1">IF(AB329&gt;0,IF(AB329&gt;2500,(AB329-2500)*20%+(2500*10%),AB329*10%),0)</f>
        <v>14.726113828753297</v>
      </c>
      <c r="AC331" s="283">
        <f ca="1">IF(AC329&gt;0,IF(AC329&gt;2500,(AC329-2500)*20%+(2500*10%),AC329*10%),0)</f>
        <v>175.44193529993208</v>
      </c>
      <c r="AD331" s="283">
        <f ca="1">IF(AD329&gt;0,IF(AD329&gt;2500,(AD329-2500)*20%+(2500*10%),AD329*10%),0)</f>
        <v>220.7680069689639</v>
      </c>
    </row>
    <row r="332" spans="2:30" s="255" customFormat="1" ht="11.25" customHeight="1"/>
    <row r="333" spans="2:30" ht="11.25" customHeight="1">
      <c r="I333" s="257"/>
      <c r="J333" s="257"/>
      <c r="K333" s="257"/>
      <c r="L333" s="257"/>
      <c r="M333" s="257"/>
      <c r="N333" s="257"/>
      <c r="O333" s="257"/>
      <c r="P333" s="257"/>
      <c r="U333" s="255"/>
    </row>
  </sheetData>
  <pageMargins left="0.7" right="0.7" top="0.75" bottom="0.75" header="0.3" footer="0.3"/>
  <pageSetup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A782-6832-4C32-9AAD-60C820B3C55E}">
  <sheetPr>
    <tabColor theme="7" tint="0.39997558519241921"/>
    <pageSetUpPr autoPageBreaks="0"/>
  </sheetPr>
  <dimension ref="A1:AP131"/>
  <sheetViews>
    <sheetView showGridLines="0" zoomScaleNormal="100" zoomScaleSheetLayoutView="100" workbookViewId="0">
      <pane xSplit="4" ySplit="6" topLeftCell="R7" activePane="bottomRight" state="frozen"/>
      <selection activeCell="I40" sqref="I40"/>
      <selection pane="topRight" activeCell="I40" sqref="I40"/>
      <selection pane="bottomLeft" activeCell="I40" sqref="I40"/>
      <selection pane="bottomRight"/>
    </sheetView>
  </sheetViews>
  <sheetFormatPr defaultColWidth="9.19921875" defaultRowHeight="11.25" customHeight="1" outlineLevelCol="1"/>
  <cols>
    <col min="1" max="2" width="1.796875" style="255" customWidth="1"/>
    <col min="3" max="3" width="35.796875" style="255" customWidth="1"/>
    <col min="4" max="4" width="9.19921875" style="255" customWidth="1"/>
    <col min="5" max="5" width="9.19921875" style="255" hidden="1" customWidth="1" outlineLevel="1"/>
    <col min="6" max="7" width="9.19921875" style="255" hidden="1" customWidth="1" outlineLevel="1" collapsed="1"/>
    <col min="8" max="8" width="9.19921875" style="255" hidden="1" customWidth="1" outlineLevel="1"/>
    <col min="9" max="9" width="9.19921875" style="255" hidden="1" customWidth="1" outlineLevel="1" collapsed="1"/>
    <col min="10" max="12" width="9.19921875" style="255" hidden="1" customWidth="1" outlineLevel="1"/>
    <col min="13" max="13" width="9.19921875" style="255" hidden="1" customWidth="1" outlineLevel="1" collapsed="1"/>
    <col min="14" max="16" width="9.19921875" style="255" hidden="1" customWidth="1" outlineLevel="1"/>
    <col min="17" max="17" width="9.19921875" style="255" hidden="1" customWidth="1" outlineLevel="1" collapsed="1"/>
    <col min="18" max="18" width="9.19921875" style="255" customWidth="1" collapsed="1"/>
    <col min="19" max="21" width="9.19921875" style="255" customWidth="1"/>
    <col min="22" max="24" width="9.19921875" style="255" hidden="1" customWidth="1" outlineLevel="1"/>
    <col min="25" max="25" width="9.19921875" style="255" hidden="1" customWidth="1" outlineLevel="1" collapsed="1"/>
    <col min="26" max="26" width="9.19921875" style="255" hidden="1" customWidth="1" outlineLevel="1"/>
    <col min="27" max="27" width="9.19921875" style="255" customWidth="1" collapsed="1"/>
    <col min="28" max="43" width="9.19921875" style="255" customWidth="1"/>
    <col min="44" max="16384" width="9.19921875" style="255"/>
  </cols>
  <sheetData>
    <row r="1" spans="1:35" s="279" customFormat="1" ht="11.25" customHeight="1">
      <c r="A1" s="378" t="str">
        <f ca="1">'DAL One Pager'!$D$2</f>
        <v>Delta Air Lines Inc</v>
      </c>
    </row>
    <row r="2" spans="1:35" s="253" customFormat="1" ht="11.25" customHeight="1">
      <c r="A2" s="278" t="str">
        <f>'DAL Financials'!A2</f>
        <v>(All Values in US$ millions)</v>
      </c>
      <c r="Q2" s="279"/>
      <c r="R2" s="279"/>
      <c r="S2" s="372" t="s">
        <v>1469</v>
      </c>
      <c r="T2" s="279"/>
    </row>
    <row r="3" spans="1:35" s="253" customFormat="1" ht="11.25" customHeight="1">
      <c r="A3" s="278"/>
      <c r="Q3" s="279"/>
      <c r="R3" s="279"/>
      <c r="S3" s="279"/>
      <c r="T3" s="279"/>
    </row>
    <row r="4" spans="1:35" s="253" customFormat="1" ht="11.25" customHeight="1"/>
    <row r="5" spans="1:35" s="253" customFormat="1" ht="12.75" customHeight="1">
      <c r="B5" s="276"/>
      <c r="C5" s="276" t="s">
        <v>65</v>
      </c>
      <c r="D5" s="275"/>
      <c r="E5" s="275">
        <f>YEAR(H6)</f>
        <v>2019</v>
      </c>
      <c r="F5" s="274">
        <f>YEAR(H6)</f>
        <v>2019</v>
      </c>
      <c r="G5" s="273">
        <f>YEAR(H6)</f>
        <v>2019</v>
      </c>
      <c r="H5" s="272">
        <f>YEAR(H6)</f>
        <v>2019</v>
      </c>
      <c r="I5" s="275">
        <f>YEAR(L6)</f>
        <v>2020</v>
      </c>
      <c r="J5" s="274">
        <f>YEAR(L6)</f>
        <v>2020</v>
      </c>
      <c r="K5" s="273">
        <f>YEAR(L6)</f>
        <v>2020</v>
      </c>
      <c r="L5" s="272">
        <f>YEAR(L6)</f>
        <v>2020</v>
      </c>
      <c r="M5" s="275">
        <f>YEAR(P6)</f>
        <v>2021</v>
      </c>
      <c r="N5" s="274">
        <f>YEAR(P6)</f>
        <v>2021</v>
      </c>
      <c r="O5" s="273">
        <f>YEAR(P6)</f>
        <v>2021</v>
      </c>
      <c r="P5" s="272">
        <f>YEAR(P6)</f>
        <v>2021</v>
      </c>
      <c r="Q5" s="275">
        <f>YEAR(Q6)</f>
        <v>2022</v>
      </c>
      <c r="R5" s="274">
        <f t="shared" ref="R5" si="0">YEAR(R6)</f>
        <v>2022</v>
      </c>
      <c r="S5" s="365">
        <f>YEAR(S6)</f>
        <v>2022</v>
      </c>
      <c r="T5" s="366">
        <f>YEAR(T6)</f>
        <v>2022</v>
      </c>
      <c r="U5" s="292"/>
      <c r="V5" s="271">
        <f t="shared" ref="V5:AD5" si="1">YEAR(V6)</f>
        <v>2017</v>
      </c>
      <c r="W5" s="271">
        <f t="shared" si="1"/>
        <v>2018</v>
      </c>
      <c r="X5" s="271">
        <f t="shared" si="1"/>
        <v>2019</v>
      </c>
      <c r="Y5" s="271">
        <f t="shared" si="1"/>
        <v>2020</v>
      </c>
      <c r="Z5" s="271">
        <f t="shared" si="1"/>
        <v>2021</v>
      </c>
      <c r="AA5" s="270">
        <f t="shared" si="1"/>
        <v>2022</v>
      </c>
      <c r="AB5" s="270">
        <f t="shared" si="1"/>
        <v>2023</v>
      </c>
      <c r="AC5" s="270">
        <f t="shared" si="1"/>
        <v>2024</v>
      </c>
      <c r="AD5" s="270">
        <f t="shared" si="1"/>
        <v>2025</v>
      </c>
    </row>
    <row r="6" spans="1:35" s="260" customFormat="1" ht="12.75" customHeight="1">
      <c r="B6" s="262"/>
      <c r="C6" s="262" t="s">
        <v>232</v>
      </c>
      <c r="D6" s="262"/>
      <c r="E6" s="262">
        <v>43555</v>
      </c>
      <c r="F6" s="262">
        <f>+EOMONTH(E6,3)</f>
        <v>43646</v>
      </c>
      <c r="G6" s="262">
        <f t="shared" ref="G6:T6" si="2">+EOMONTH(F6,3)</f>
        <v>43738</v>
      </c>
      <c r="H6" s="261">
        <f t="shared" si="2"/>
        <v>43830</v>
      </c>
      <c r="I6" s="262">
        <f t="shared" si="2"/>
        <v>43921</v>
      </c>
      <c r="J6" s="262">
        <f t="shared" si="2"/>
        <v>44012</v>
      </c>
      <c r="K6" s="262">
        <f t="shared" si="2"/>
        <v>44104</v>
      </c>
      <c r="L6" s="264">
        <f t="shared" si="2"/>
        <v>44196</v>
      </c>
      <c r="M6" s="264">
        <f t="shared" si="2"/>
        <v>44286</v>
      </c>
      <c r="N6" s="264">
        <f t="shared" si="2"/>
        <v>44377</v>
      </c>
      <c r="O6" s="264">
        <f t="shared" si="2"/>
        <v>44469</v>
      </c>
      <c r="P6" s="264">
        <f t="shared" si="2"/>
        <v>44561</v>
      </c>
      <c r="Q6" s="264">
        <f t="shared" si="2"/>
        <v>44651</v>
      </c>
      <c r="R6" s="264">
        <f t="shared" si="2"/>
        <v>44742</v>
      </c>
      <c r="S6" s="264">
        <f t="shared" si="2"/>
        <v>44834</v>
      </c>
      <c r="T6" s="264">
        <f t="shared" si="2"/>
        <v>44926</v>
      </c>
      <c r="U6" s="265"/>
      <c r="V6" s="261">
        <v>43100</v>
      </c>
      <c r="W6" s="261">
        <f t="shared" ref="W6:AD6" si="3">EOMONTH(V6,12)</f>
        <v>43465</v>
      </c>
      <c r="X6" s="261">
        <f t="shared" si="3"/>
        <v>43830</v>
      </c>
      <c r="Y6" s="261">
        <f t="shared" si="3"/>
        <v>44196</v>
      </c>
      <c r="Z6" s="261">
        <f t="shared" si="3"/>
        <v>44561</v>
      </c>
      <c r="AA6" s="261">
        <f t="shared" si="3"/>
        <v>44926</v>
      </c>
      <c r="AB6" s="261">
        <f t="shared" si="3"/>
        <v>45291</v>
      </c>
      <c r="AC6" s="264">
        <f t="shared" si="3"/>
        <v>45657</v>
      </c>
      <c r="AD6" s="264">
        <f t="shared" si="3"/>
        <v>46022</v>
      </c>
      <c r="AE6" s="253"/>
      <c r="AF6" s="253"/>
      <c r="AG6" s="253"/>
      <c r="AH6" s="253"/>
    </row>
    <row r="8" spans="1:35" ht="11.25" customHeight="1">
      <c r="B8" s="258" t="s">
        <v>133</v>
      </c>
      <c r="C8" s="259" t="s">
        <v>237</v>
      </c>
      <c r="D8" s="259"/>
      <c r="E8" s="259"/>
      <c r="F8" s="259"/>
      <c r="G8" s="259"/>
      <c r="H8" s="259"/>
      <c r="I8" s="259"/>
      <c r="J8" s="259"/>
      <c r="K8" s="259"/>
      <c r="L8" s="259"/>
      <c r="M8" s="259"/>
      <c r="N8" s="259"/>
      <c r="O8" s="259"/>
      <c r="P8" s="259"/>
      <c r="Q8" s="259"/>
      <c r="R8" s="259"/>
      <c r="S8" s="259"/>
      <c r="T8" s="259"/>
      <c r="V8" s="258"/>
      <c r="W8" s="258"/>
      <c r="X8" s="258"/>
      <c r="Y8" s="258"/>
      <c r="Z8" s="258"/>
      <c r="AA8" s="258"/>
      <c r="AB8" s="258"/>
      <c r="AC8" s="258"/>
      <c r="AD8" s="258"/>
    </row>
    <row r="9" spans="1:35" ht="11.25" customHeight="1">
      <c r="H9" s="277"/>
      <c r="I9" s="277"/>
      <c r="J9" s="277"/>
    </row>
    <row r="10" spans="1:35" ht="11.25" customHeight="1">
      <c r="C10" s="291" t="s">
        <v>1213</v>
      </c>
      <c r="D10" s="476">
        <f>AVERAGE(2.9%,7.38%)</f>
        <v>5.1400000000000001E-2</v>
      </c>
      <c r="E10" s="277"/>
      <c r="F10" s="277"/>
      <c r="G10" s="277"/>
      <c r="H10" s="277"/>
      <c r="I10" s="277"/>
      <c r="J10" s="277"/>
      <c r="K10" s="277"/>
      <c r="L10" s="277"/>
      <c r="M10" s="277"/>
      <c r="N10" s="277"/>
      <c r="O10" s="277"/>
      <c r="P10" s="277">
        <v>4354</v>
      </c>
      <c r="Q10" s="277">
        <v>3308</v>
      </c>
      <c r="R10" s="277">
        <v>3146</v>
      </c>
      <c r="S10" s="254">
        <f t="shared" ref="S10:T11" si="4">+R10-S37</f>
        <v>3079.84</v>
      </c>
      <c r="T10" s="254">
        <f t="shared" si="4"/>
        <v>3013.6800000000003</v>
      </c>
      <c r="Y10" s="254"/>
      <c r="Z10" s="254"/>
      <c r="AA10" s="254">
        <f>+SUMIF($E$6:$T$6,AA$6,$E10:$T10)</f>
        <v>3013.6800000000003</v>
      </c>
      <c r="AB10" s="254">
        <f t="shared" ref="AB10:AD11" si="5">+AA10-AB37</f>
        <v>2749.0400000000004</v>
      </c>
      <c r="AC10" s="254">
        <f t="shared" si="5"/>
        <v>2484.4000000000005</v>
      </c>
      <c r="AD10" s="254">
        <f t="shared" si="5"/>
        <v>2219.7600000000007</v>
      </c>
      <c r="AF10" s="729">
        <v>46431</v>
      </c>
      <c r="AG10" s="255" t="s">
        <v>1214</v>
      </c>
      <c r="AI10" s="255" t="s">
        <v>1589</v>
      </c>
    </row>
    <row r="11" spans="1:35" ht="11.25" customHeight="1">
      <c r="C11" s="291" t="s">
        <v>1215</v>
      </c>
      <c r="D11" s="476">
        <v>0.01</v>
      </c>
      <c r="E11" s="277"/>
      <c r="F11" s="277"/>
      <c r="G11" s="277"/>
      <c r="H11" s="277"/>
      <c r="I11" s="277"/>
      <c r="J11" s="277"/>
      <c r="K11" s="277"/>
      <c r="L11" s="277"/>
      <c r="M11" s="277"/>
      <c r="N11" s="277"/>
      <c r="O11" s="277"/>
      <c r="P11" s="277">
        <v>3496</v>
      </c>
      <c r="Q11" s="277">
        <v>3496</v>
      </c>
      <c r="R11" s="277">
        <v>3496</v>
      </c>
      <c r="S11" s="254">
        <f t="shared" si="4"/>
        <v>3426.08</v>
      </c>
      <c r="T11" s="254">
        <f t="shared" si="4"/>
        <v>3356.16</v>
      </c>
      <c r="Y11" s="254"/>
      <c r="Z11" s="254"/>
      <c r="AA11" s="254">
        <f t="shared" ref="AA11:AA32" si="6">+SUMIF($E$6:$T$6,AA$6,$E11:$T11)</f>
        <v>3356.16</v>
      </c>
      <c r="AB11" s="254">
        <f t="shared" si="5"/>
        <v>3076.48</v>
      </c>
      <c r="AC11" s="254">
        <f t="shared" si="5"/>
        <v>2796.8</v>
      </c>
      <c r="AD11" s="254">
        <f t="shared" si="5"/>
        <v>2517.1200000000003</v>
      </c>
      <c r="AF11" s="729">
        <v>46736</v>
      </c>
      <c r="AG11" s="255" t="s">
        <v>435</v>
      </c>
      <c r="AI11" s="255" t="s">
        <v>1590</v>
      </c>
    </row>
    <row r="12" spans="1:35" ht="11.25" customHeight="1">
      <c r="C12" s="291"/>
      <c r="D12" s="476"/>
      <c r="E12" s="277"/>
      <c r="F12" s="277"/>
      <c r="G12" s="277"/>
      <c r="H12" s="277"/>
      <c r="I12" s="277"/>
      <c r="J12" s="277"/>
      <c r="K12" s="277"/>
      <c r="L12" s="277"/>
      <c r="M12" s="277"/>
      <c r="N12" s="277"/>
      <c r="O12" s="277"/>
      <c r="P12" s="277"/>
      <c r="Q12" s="254"/>
      <c r="R12" s="254"/>
      <c r="S12" s="254"/>
      <c r="T12" s="254"/>
      <c r="Y12" s="254"/>
      <c r="Z12" s="254"/>
      <c r="AA12" s="254"/>
      <c r="AB12" s="254"/>
      <c r="AC12" s="254"/>
      <c r="AD12" s="254"/>
      <c r="AF12" s="729"/>
      <c r="AI12" s="255" t="s">
        <v>1591</v>
      </c>
    </row>
    <row r="13" spans="1:35" ht="11.25" customHeight="1">
      <c r="C13" s="291" t="s">
        <v>1216</v>
      </c>
      <c r="D13" s="476"/>
      <c r="E13" s="277"/>
      <c r="F13" s="277"/>
      <c r="G13" s="277"/>
      <c r="H13" s="277"/>
      <c r="I13" s="277"/>
      <c r="J13" s="277"/>
      <c r="K13" s="277"/>
      <c r="L13" s="277"/>
      <c r="M13" s="277"/>
      <c r="N13" s="277"/>
      <c r="O13" s="277"/>
      <c r="P13" s="277"/>
      <c r="Q13" s="254"/>
      <c r="R13" s="254"/>
      <c r="S13" s="254"/>
      <c r="T13" s="254"/>
      <c r="Y13" s="254"/>
      <c r="Z13" s="254"/>
      <c r="AA13" s="254"/>
      <c r="AB13" s="254"/>
      <c r="AC13" s="254"/>
      <c r="AD13" s="254"/>
      <c r="AF13" s="729"/>
      <c r="AI13" s="255" t="s">
        <v>1592</v>
      </c>
    </row>
    <row r="14" spans="1:35" ht="11.25" customHeight="1">
      <c r="C14" s="291" t="s">
        <v>1753</v>
      </c>
      <c r="D14" s="476">
        <v>4.4999999999999998E-2</v>
      </c>
      <c r="E14" s="277"/>
      <c r="F14" s="277"/>
      <c r="G14" s="277"/>
      <c r="H14" s="277"/>
      <c r="I14" s="277"/>
      <c r="J14" s="277"/>
      <c r="K14" s="277"/>
      <c r="L14" s="277"/>
      <c r="M14" s="277"/>
      <c r="N14" s="277"/>
      <c r="O14" s="277"/>
      <c r="P14" s="277">
        <v>2500</v>
      </c>
      <c r="Q14" s="277">
        <v>2500</v>
      </c>
      <c r="R14" s="277">
        <v>2500</v>
      </c>
      <c r="S14" s="254">
        <f t="shared" ref="S14:T15" si="7">+R14-S41</f>
        <v>2500</v>
      </c>
      <c r="T14" s="254">
        <f t="shared" si="7"/>
        <v>2500</v>
      </c>
      <c r="Y14" s="254"/>
      <c r="Z14" s="254"/>
      <c r="AA14" s="254">
        <f t="shared" si="6"/>
        <v>2500</v>
      </c>
      <c r="AB14" s="254">
        <f t="shared" ref="AB14:AD15" si="8">+AA14-AB41</f>
        <v>2291.67</v>
      </c>
      <c r="AC14" s="254">
        <f t="shared" si="8"/>
        <v>2083.34</v>
      </c>
      <c r="AD14" s="254">
        <f t="shared" si="8"/>
        <v>0</v>
      </c>
      <c r="AF14" s="729">
        <v>45950</v>
      </c>
      <c r="AG14" s="729">
        <v>45950</v>
      </c>
      <c r="AI14" s="255" t="s">
        <v>1593</v>
      </c>
    </row>
    <row r="15" spans="1:35" ht="11.25" customHeight="1">
      <c r="C15" s="291" t="s">
        <v>1754</v>
      </c>
      <c r="D15" s="476">
        <v>4.7500000000000001E-2</v>
      </c>
      <c r="E15" s="277"/>
      <c r="F15" s="277"/>
      <c r="G15" s="277"/>
      <c r="H15" s="277"/>
      <c r="I15" s="277"/>
      <c r="J15" s="277"/>
      <c r="K15" s="277"/>
      <c r="L15" s="277"/>
      <c r="M15" s="277"/>
      <c r="N15" s="277"/>
      <c r="O15" s="277"/>
      <c r="P15" s="277">
        <v>3500</v>
      </c>
      <c r="Q15" s="277">
        <v>3500</v>
      </c>
      <c r="R15" s="277">
        <v>3500</v>
      </c>
      <c r="S15" s="254">
        <f t="shared" si="7"/>
        <v>3500</v>
      </c>
      <c r="T15" s="254">
        <f t="shared" si="7"/>
        <v>3500</v>
      </c>
      <c r="Y15" s="254"/>
      <c r="Z15" s="254"/>
      <c r="AA15" s="254">
        <f t="shared" si="6"/>
        <v>3500</v>
      </c>
      <c r="AB15" s="254">
        <f t="shared" si="8"/>
        <v>3500</v>
      </c>
      <c r="AC15" s="254">
        <f t="shared" si="8"/>
        <v>3500</v>
      </c>
      <c r="AD15" s="254">
        <f t="shared" si="8"/>
        <v>3500</v>
      </c>
      <c r="AF15" s="729">
        <v>47046</v>
      </c>
      <c r="AG15" s="729">
        <v>47046</v>
      </c>
    </row>
    <row r="16" spans="1:35" ht="11.25" customHeight="1">
      <c r="C16" s="291" t="s">
        <v>1217</v>
      </c>
      <c r="D16" s="476">
        <v>4.7500000000000001E-2</v>
      </c>
      <c r="E16" s="277"/>
      <c r="F16" s="277"/>
      <c r="G16" s="277"/>
      <c r="H16" s="277"/>
      <c r="I16" s="277"/>
      <c r="J16" s="277"/>
      <c r="K16" s="277"/>
      <c r="L16" s="277"/>
      <c r="M16" s="277"/>
      <c r="N16" s="277"/>
      <c r="O16" s="277"/>
      <c r="P16" s="277">
        <v>2820</v>
      </c>
      <c r="Q16" s="277">
        <v>2820</v>
      </c>
      <c r="R16" s="277">
        <v>2820</v>
      </c>
      <c r="S16" s="254">
        <f>+R16-S43</f>
        <v>2820</v>
      </c>
      <c r="T16" s="254">
        <f>+S16-T43</f>
        <v>2820</v>
      </c>
      <c r="Y16" s="254"/>
      <c r="Z16" s="254"/>
      <c r="AA16" s="254">
        <f t="shared" si="6"/>
        <v>2820</v>
      </c>
      <c r="AB16" s="254">
        <f>+AA16-AB43</f>
        <v>2220</v>
      </c>
      <c r="AC16" s="254">
        <f>+AB16-AC43</f>
        <v>1620</v>
      </c>
      <c r="AD16" s="254">
        <f>+AC16-AD43</f>
        <v>1020</v>
      </c>
      <c r="AF16" s="729"/>
      <c r="AG16" s="255" t="s">
        <v>1222</v>
      </c>
      <c r="AI16" s="255" t="s">
        <v>1594</v>
      </c>
    </row>
    <row r="17" spans="3:35" ht="11.25" customHeight="1">
      <c r="C17" s="291"/>
      <c r="D17" s="476"/>
      <c r="E17" s="277"/>
      <c r="F17" s="277"/>
      <c r="G17" s="277"/>
      <c r="H17" s="277"/>
      <c r="I17" s="277"/>
      <c r="J17" s="277"/>
      <c r="K17" s="277"/>
      <c r="L17" s="277"/>
      <c r="M17" s="277"/>
      <c r="N17" s="277"/>
      <c r="O17" s="277"/>
      <c r="P17" s="277"/>
      <c r="Q17" s="254"/>
      <c r="R17" s="254"/>
      <c r="S17" s="254"/>
      <c r="T17" s="254"/>
      <c r="Y17" s="254"/>
      <c r="Z17" s="254"/>
      <c r="AA17" s="254"/>
      <c r="AB17" s="254"/>
      <c r="AC17" s="254"/>
      <c r="AD17" s="254"/>
      <c r="AF17" s="729"/>
      <c r="AI17" s="255" t="s">
        <v>1595</v>
      </c>
    </row>
    <row r="18" spans="3:35" ht="11.25" customHeight="1">
      <c r="C18" s="291" t="s">
        <v>1218</v>
      </c>
      <c r="D18" s="476"/>
      <c r="E18" s="277"/>
      <c r="F18" s="277"/>
      <c r="G18" s="277"/>
      <c r="H18" s="277"/>
      <c r="I18" s="277"/>
      <c r="J18" s="277"/>
      <c r="K18" s="277"/>
      <c r="L18" s="277"/>
      <c r="M18" s="277"/>
      <c r="N18" s="277"/>
      <c r="O18" s="277"/>
      <c r="P18" s="277"/>
      <c r="Q18" s="254"/>
      <c r="R18" s="254"/>
      <c r="S18" s="254"/>
      <c r="T18" s="254"/>
      <c r="Y18" s="254"/>
      <c r="Z18" s="254"/>
      <c r="AA18" s="254"/>
      <c r="AB18" s="254"/>
      <c r="AC18" s="254"/>
      <c r="AD18" s="254"/>
      <c r="AF18" s="729"/>
      <c r="AI18" s="255" t="s">
        <v>1596</v>
      </c>
    </row>
    <row r="19" spans="3:35" ht="11.25" customHeight="1">
      <c r="C19" s="291" t="s">
        <v>1219</v>
      </c>
      <c r="D19" s="476">
        <v>7.0000000000000007E-2</v>
      </c>
      <c r="E19" s="277"/>
      <c r="F19" s="277"/>
      <c r="G19" s="277"/>
      <c r="H19" s="277"/>
      <c r="I19" s="277"/>
      <c r="J19" s="277"/>
      <c r="K19" s="277"/>
      <c r="L19" s="277"/>
      <c r="M19" s="277"/>
      <c r="N19" s="277"/>
      <c r="O19" s="277"/>
      <c r="P19" s="277">
        <v>2589</v>
      </c>
      <c r="Q19" s="277">
        <v>2459</v>
      </c>
      <c r="R19" s="277">
        <v>2019</v>
      </c>
      <c r="S19" s="254">
        <f t="shared" ref="R19:T21" si="9">+R19-S46</f>
        <v>1969.82</v>
      </c>
      <c r="T19" s="254">
        <f t="shared" si="9"/>
        <v>1920.6399999999999</v>
      </c>
      <c r="Y19" s="254"/>
      <c r="Z19" s="254"/>
      <c r="AA19" s="254">
        <f t="shared" si="6"/>
        <v>1920.6399999999999</v>
      </c>
      <c r="AB19" s="254">
        <f t="shared" ref="AB19:AD21" si="10">+AA19-AB46</f>
        <v>1723.9199999999998</v>
      </c>
      <c r="AC19" s="254">
        <f t="shared" si="10"/>
        <v>1527.1999999999998</v>
      </c>
      <c r="AD19" s="254">
        <f t="shared" si="10"/>
        <v>1330.4799999999998</v>
      </c>
      <c r="AF19" s="729">
        <v>45870</v>
      </c>
      <c r="AG19" s="444">
        <v>2025</v>
      </c>
      <c r="AI19" s="255" t="s">
        <v>1597</v>
      </c>
    </row>
    <row r="20" spans="3:35" ht="11.25" customHeight="1">
      <c r="C20" s="291" t="s">
        <v>1220</v>
      </c>
      <c r="D20" s="476">
        <v>3.6249999999999998E-2</v>
      </c>
      <c r="E20" s="277"/>
      <c r="F20" s="277"/>
      <c r="G20" s="277"/>
      <c r="H20" s="277"/>
      <c r="I20" s="277"/>
      <c r="J20" s="277"/>
      <c r="K20" s="277"/>
      <c r="L20" s="277"/>
      <c r="M20" s="277"/>
      <c r="N20" s="277"/>
      <c r="O20" s="277"/>
      <c r="P20" s="277">
        <v>0</v>
      </c>
      <c r="Q20" s="277">
        <v>0</v>
      </c>
      <c r="R20" s="254">
        <f t="shared" si="9"/>
        <v>0</v>
      </c>
      <c r="S20" s="254">
        <f t="shared" si="9"/>
        <v>0</v>
      </c>
      <c r="T20" s="254">
        <f t="shared" si="9"/>
        <v>0</v>
      </c>
      <c r="Y20" s="254"/>
      <c r="Z20" s="254"/>
      <c r="AA20" s="254">
        <f t="shared" si="6"/>
        <v>0</v>
      </c>
      <c r="AB20" s="254">
        <f t="shared" si="10"/>
        <v>0</v>
      </c>
      <c r="AC20" s="254">
        <f t="shared" si="10"/>
        <v>0</v>
      </c>
      <c r="AD20" s="254">
        <f t="shared" si="10"/>
        <v>0</v>
      </c>
      <c r="AF20" s="729">
        <v>48122</v>
      </c>
    </row>
    <row r="21" spans="3:35" ht="11.25" customHeight="1">
      <c r="C21" s="291" t="s">
        <v>1221</v>
      </c>
      <c r="D21" s="476">
        <v>8.7500000000000008E-3</v>
      </c>
      <c r="E21" s="277"/>
      <c r="F21" s="277"/>
      <c r="G21" s="277"/>
      <c r="H21" s="277"/>
      <c r="I21" s="277"/>
      <c r="J21" s="277"/>
      <c r="K21" s="277"/>
      <c r="L21" s="277"/>
      <c r="M21" s="277"/>
      <c r="N21" s="277"/>
      <c r="O21" s="277"/>
      <c r="P21" s="277">
        <v>0</v>
      </c>
      <c r="Q21" s="277">
        <v>0</v>
      </c>
      <c r="R21" s="254">
        <f t="shared" si="9"/>
        <v>0</v>
      </c>
      <c r="S21" s="254">
        <f t="shared" si="9"/>
        <v>0</v>
      </c>
      <c r="T21" s="254">
        <f t="shared" si="9"/>
        <v>0</v>
      </c>
      <c r="Y21" s="254"/>
      <c r="Z21" s="254"/>
      <c r="AA21" s="254">
        <f t="shared" si="6"/>
        <v>0</v>
      </c>
      <c r="AB21" s="254">
        <f t="shared" si="10"/>
        <v>0</v>
      </c>
      <c r="AC21" s="254">
        <f t="shared" si="10"/>
        <v>0</v>
      </c>
      <c r="AD21" s="254">
        <f t="shared" si="10"/>
        <v>0</v>
      </c>
      <c r="AF21" s="729">
        <v>44835</v>
      </c>
      <c r="AG21" s="255" t="s">
        <v>1222</v>
      </c>
    </row>
    <row r="22" spans="3:35" ht="11.25" customHeight="1">
      <c r="C22" s="291"/>
      <c r="D22" s="476"/>
      <c r="E22" s="277"/>
      <c r="F22" s="277"/>
      <c r="G22" s="277"/>
      <c r="H22" s="277"/>
      <c r="I22" s="277"/>
      <c r="J22" s="277"/>
      <c r="K22" s="277"/>
      <c r="L22" s="277"/>
      <c r="M22" s="277"/>
      <c r="N22" s="277"/>
      <c r="O22" s="277"/>
      <c r="P22" s="277"/>
      <c r="Q22" s="254"/>
      <c r="R22" s="254"/>
      <c r="S22" s="254"/>
      <c r="T22" s="254"/>
      <c r="Y22" s="254"/>
      <c r="Z22" s="254"/>
      <c r="AA22" s="254"/>
      <c r="AB22" s="254"/>
      <c r="AC22" s="254"/>
      <c r="AD22" s="254"/>
      <c r="AF22" s="729"/>
    </row>
    <row r="23" spans="3:35" ht="11.25" customHeight="1">
      <c r="C23" s="291" t="s">
        <v>1223</v>
      </c>
      <c r="D23" s="476"/>
      <c r="E23" s="277"/>
      <c r="F23" s="277"/>
      <c r="G23" s="277"/>
      <c r="H23" s="277"/>
      <c r="I23" s="277"/>
      <c r="J23" s="277"/>
      <c r="K23" s="277"/>
      <c r="L23" s="277"/>
      <c r="M23" s="277"/>
      <c r="N23" s="277"/>
      <c r="O23" s="277"/>
      <c r="P23" s="277"/>
      <c r="Q23" s="254"/>
      <c r="R23" s="254"/>
      <c r="S23" s="254"/>
      <c r="T23" s="254"/>
      <c r="Y23" s="254"/>
      <c r="Z23" s="254"/>
      <c r="AA23" s="254"/>
      <c r="AB23" s="254"/>
      <c r="AC23" s="254"/>
      <c r="AD23" s="254"/>
      <c r="AF23" s="729"/>
    </row>
    <row r="24" spans="3:35" ht="11.25" customHeight="1">
      <c r="C24" s="291" t="s">
        <v>1224</v>
      </c>
      <c r="D24" s="476">
        <f>AVERAGE(2%,8%)</f>
        <v>0.05</v>
      </c>
      <c r="E24" s="277"/>
      <c r="F24" s="277"/>
      <c r="G24" s="277"/>
      <c r="H24" s="277"/>
      <c r="I24" s="277"/>
      <c r="J24" s="277"/>
      <c r="K24" s="277"/>
      <c r="L24" s="277"/>
      <c r="M24" s="277"/>
      <c r="N24" s="277"/>
      <c r="O24" s="277"/>
      <c r="P24" s="277">
        <v>1932</v>
      </c>
      <c r="Q24" s="277">
        <v>1920</v>
      </c>
      <c r="R24" s="277">
        <v>1867</v>
      </c>
      <c r="S24" s="254">
        <f t="shared" ref="S24:T26" si="11">+R24-S51</f>
        <v>1828.6</v>
      </c>
      <c r="T24" s="254">
        <f t="shared" si="11"/>
        <v>1790.1999999999998</v>
      </c>
      <c r="Y24" s="254"/>
      <c r="Z24" s="254"/>
      <c r="AA24" s="254">
        <f t="shared" si="6"/>
        <v>1790.1999999999998</v>
      </c>
      <c r="AB24" s="254">
        <f t="shared" ref="AB24:AD26" si="12">+AA24-AB51</f>
        <v>1636.6</v>
      </c>
      <c r="AC24" s="254">
        <f t="shared" si="12"/>
        <v>1483</v>
      </c>
      <c r="AD24" s="254">
        <f t="shared" si="12"/>
        <v>1329.4</v>
      </c>
      <c r="AF24" s="729">
        <v>46188</v>
      </c>
      <c r="AG24" s="255" t="s">
        <v>1225</v>
      </c>
    </row>
    <row r="25" spans="3:35" ht="11.25" customHeight="1">
      <c r="C25" s="291" t="s">
        <v>1226</v>
      </c>
      <c r="D25" s="476">
        <f>AVERAGE(0.79%,5.75%)</f>
        <v>3.27E-2</v>
      </c>
      <c r="E25" s="277"/>
      <c r="F25" s="277"/>
      <c r="G25" s="277"/>
      <c r="H25" s="277"/>
      <c r="I25" s="277"/>
      <c r="J25" s="277"/>
      <c r="K25" s="277"/>
      <c r="L25" s="277"/>
      <c r="M25" s="277"/>
      <c r="N25" s="277"/>
      <c r="O25" s="277"/>
      <c r="P25" s="277">
        <v>1139</v>
      </c>
      <c r="Q25" s="277">
        <v>1054</v>
      </c>
      <c r="R25" s="277">
        <v>987</v>
      </c>
      <c r="S25" s="254">
        <f t="shared" si="11"/>
        <v>965.92</v>
      </c>
      <c r="T25" s="254">
        <f t="shared" si="11"/>
        <v>944.83999999999992</v>
      </c>
      <c r="Y25" s="254"/>
      <c r="Z25" s="254"/>
      <c r="AA25" s="254">
        <f t="shared" si="6"/>
        <v>944.83999999999992</v>
      </c>
      <c r="AB25" s="254">
        <f t="shared" si="12"/>
        <v>860.51999999999987</v>
      </c>
      <c r="AC25" s="254">
        <f t="shared" si="12"/>
        <v>776.19999999999982</v>
      </c>
      <c r="AD25" s="254">
        <f t="shared" si="12"/>
        <v>691.87999999999977</v>
      </c>
      <c r="AF25" s="729">
        <v>47498</v>
      </c>
      <c r="AG25" s="255" t="s">
        <v>432</v>
      </c>
    </row>
    <row r="26" spans="3:35" ht="11.25" customHeight="1">
      <c r="C26" s="291" t="s">
        <v>1470</v>
      </c>
      <c r="D26" s="750">
        <f>D24</f>
        <v>0.05</v>
      </c>
      <c r="E26" s="277"/>
      <c r="F26" s="277"/>
      <c r="G26" s="277"/>
      <c r="H26" s="277"/>
      <c r="I26" s="277"/>
      <c r="J26" s="277"/>
      <c r="K26" s="277"/>
      <c r="L26" s="277"/>
      <c r="M26" s="277"/>
      <c r="N26" s="277"/>
      <c r="O26" s="277"/>
      <c r="P26" s="277"/>
      <c r="Q26" s="277">
        <v>0</v>
      </c>
      <c r="R26" s="277">
        <v>0</v>
      </c>
      <c r="S26" s="254">
        <f t="shared" si="11"/>
        <v>1138.230563002681</v>
      </c>
      <c r="T26" s="254">
        <f t="shared" si="11"/>
        <v>2320</v>
      </c>
      <c r="Y26" s="254"/>
      <c r="Z26" s="254"/>
      <c r="AA26" s="254">
        <f t="shared" si="6"/>
        <v>2320</v>
      </c>
      <c r="AB26" s="254">
        <f t="shared" si="12"/>
        <v>5490</v>
      </c>
      <c r="AC26" s="254">
        <f t="shared" si="12"/>
        <v>8970</v>
      </c>
      <c r="AD26" s="254">
        <f t="shared" si="12"/>
        <v>11860</v>
      </c>
      <c r="AF26" s="729"/>
    </row>
    <row r="27" spans="3:35" ht="11.25" customHeight="1">
      <c r="C27" s="291"/>
      <c r="D27" s="476"/>
      <c r="E27" s="277"/>
      <c r="F27" s="277"/>
      <c r="G27" s="277"/>
      <c r="H27" s="277"/>
      <c r="I27" s="277"/>
      <c r="J27" s="277"/>
      <c r="K27" s="277"/>
      <c r="L27" s="277"/>
      <c r="M27" s="277"/>
      <c r="N27" s="277"/>
      <c r="O27" s="277"/>
      <c r="P27" s="277"/>
      <c r="Q27" s="277"/>
      <c r="R27" s="254"/>
      <c r="S27" s="254"/>
      <c r="T27" s="254"/>
      <c r="Y27" s="254"/>
      <c r="Z27" s="254"/>
      <c r="AA27" s="254"/>
      <c r="AB27" s="254"/>
      <c r="AC27" s="254"/>
      <c r="AD27" s="254"/>
      <c r="AF27" s="729"/>
    </row>
    <row r="28" spans="3:35" ht="11.25" customHeight="1">
      <c r="C28" s="291" t="s">
        <v>1227</v>
      </c>
      <c r="D28" s="476">
        <f>AVERAGE(4%,5%)</f>
        <v>4.4999999999999998E-2</v>
      </c>
      <c r="E28" s="277"/>
      <c r="F28" s="277"/>
      <c r="G28" s="277"/>
      <c r="H28" s="277"/>
      <c r="I28" s="277"/>
      <c r="J28" s="277"/>
      <c r="K28" s="277"/>
      <c r="L28" s="277"/>
      <c r="M28" s="277"/>
      <c r="N28" s="277"/>
      <c r="O28" s="277"/>
      <c r="P28" s="277">
        <v>2894</v>
      </c>
      <c r="Q28" s="277">
        <v>2838</v>
      </c>
      <c r="R28" s="277">
        <v>2838</v>
      </c>
      <c r="S28" s="254">
        <f t="shared" ref="S28:T29" si="13">+R28-S55</f>
        <v>2781.24</v>
      </c>
      <c r="T28" s="254">
        <f t="shared" si="13"/>
        <v>2724.4799999999996</v>
      </c>
      <c r="Y28" s="254"/>
      <c r="Z28" s="254"/>
      <c r="AA28" s="254">
        <f t="shared" si="6"/>
        <v>2724.4799999999996</v>
      </c>
      <c r="AB28" s="254">
        <f t="shared" ref="AB28:AD29" si="14">+AA28-AB55</f>
        <v>2497.4399999999996</v>
      </c>
      <c r="AC28" s="254">
        <f t="shared" si="14"/>
        <v>2270.3999999999996</v>
      </c>
      <c r="AD28" s="254">
        <f t="shared" si="14"/>
        <v>2043.3599999999997</v>
      </c>
      <c r="AF28" s="729"/>
      <c r="AG28" s="255" t="s">
        <v>1228</v>
      </c>
    </row>
    <row r="29" spans="3:35" ht="11.25" customHeight="1">
      <c r="C29" s="291" t="s">
        <v>1229</v>
      </c>
      <c r="D29" s="476">
        <f>AVERAGE(2.51%,8%)</f>
        <v>5.2549999999999999E-2</v>
      </c>
      <c r="E29" s="277"/>
      <c r="F29" s="277"/>
      <c r="G29" s="277"/>
      <c r="H29" s="277"/>
      <c r="I29" s="277"/>
      <c r="J29" s="277"/>
      <c r="K29" s="277"/>
      <c r="L29" s="277"/>
      <c r="M29" s="277"/>
      <c r="N29" s="277"/>
      <c r="O29" s="277"/>
      <c r="P29" s="277">
        <v>68</v>
      </c>
      <c r="Q29" s="277">
        <v>68</v>
      </c>
      <c r="R29" s="277">
        <v>68</v>
      </c>
      <c r="S29" s="254">
        <f t="shared" si="13"/>
        <v>66.64</v>
      </c>
      <c r="T29" s="254">
        <f t="shared" si="13"/>
        <v>65.28</v>
      </c>
      <c r="Y29" s="254"/>
      <c r="Z29" s="254"/>
      <c r="AA29" s="254">
        <f t="shared" si="6"/>
        <v>65.28</v>
      </c>
      <c r="AB29" s="254">
        <f t="shared" si="14"/>
        <v>59.84</v>
      </c>
      <c r="AC29" s="254">
        <f t="shared" si="14"/>
        <v>54.400000000000006</v>
      </c>
      <c r="AD29" s="254">
        <f t="shared" si="14"/>
        <v>48.960000000000008</v>
      </c>
      <c r="AF29" s="729"/>
      <c r="AG29" s="255" t="s">
        <v>1230</v>
      </c>
    </row>
    <row r="30" spans="3:35" ht="11.25" customHeight="1">
      <c r="C30" s="291" t="s">
        <v>238</v>
      </c>
      <c r="D30" s="476">
        <v>0.02</v>
      </c>
      <c r="E30" s="277"/>
      <c r="F30" s="277"/>
      <c r="G30" s="277"/>
      <c r="H30" s="277"/>
      <c r="I30" s="277"/>
      <c r="J30" s="277"/>
      <c r="K30" s="287"/>
      <c r="L30" s="287"/>
      <c r="M30" s="287"/>
      <c r="N30" s="287"/>
      <c r="O30" s="287"/>
      <c r="P30" s="287">
        <v>0</v>
      </c>
      <c r="Q30" s="254">
        <f>Q123</f>
        <v>0</v>
      </c>
      <c r="R30" s="254">
        <f ca="1">R123</f>
        <v>0</v>
      </c>
      <c r="S30" s="254">
        <f ca="1">S123</f>
        <v>2900</v>
      </c>
      <c r="T30" s="254">
        <f ca="1">T123</f>
        <v>2900</v>
      </c>
      <c r="Y30" s="254"/>
      <c r="Z30" s="254"/>
      <c r="AA30" s="254">
        <f t="shared" ca="1" si="6"/>
        <v>2900</v>
      </c>
      <c r="AB30" s="254">
        <f ca="1">AB123</f>
        <v>2900</v>
      </c>
      <c r="AC30" s="254">
        <f ca="1">AC123</f>
        <v>2900</v>
      </c>
      <c r="AD30" s="254">
        <f ca="1">AD123</f>
        <v>0</v>
      </c>
      <c r="AF30" s="729">
        <v>45701</v>
      </c>
      <c r="AG30" s="255" t="s">
        <v>1231</v>
      </c>
    </row>
    <row r="31" spans="3:35" ht="11.25" customHeight="1">
      <c r="C31" s="291" t="s">
        <v>239</v>
      </c>
      <c r="D31" s="401">
        <f>+SUMPRODUCT(D10:D30,Q10:Q30)/SUM(Q10:Q30)</f>
        <v>4.3883086424905064E-2</v>
      </c>
      <c r="E31" s="277"/>
      <c r="F31" s="277"/>
      <c r="G31" s="277"/>
      <c r="H31" s="277"/>
      <c r="I31" s="277"/>
      <c r="J31" s="277"/>
      <c r="K31" s="277"/>
      <c r="L31" s="277"/>
      <c r="M31" s="277"/>
      <c r="N31" s="277"/>
      <c r="O31" s="277"/>
      <c r="P31" s="254">
        <f>P128</f>
        <v>0</v>
      </c>
      <c r="Q31" s="254">
        <f>Q128</f>
        <v>0</v>
      </c>
      <c r="R31" s="254">
        <f>R128</f>
        <v>0</v>
      </c>
      <c r="S31" s="254">
        <f ca="1">S128</f>
        <v>86831.978776748074</v>
      </c>
      <c r="T31" s="254">
        <f ca="1">T128</f>
        <v>89412.556687035016</v>
      </c>
      <c r="Y31" s="254"/>
      <c r="Z31" s="254"/>
      <c r="AA31" s="254">
        <f t="shared" ca="1" si="6"/>
        <v>89412.556687035016</v>
      </c>
      <c r="AB31" s="254">
        <f ca="1">AB128</f>
        <v>94853.790963976979</v>
      </c>
      <c r="AC31" s="254">
        <f ca="1">AC128</f>
        <v>96206.245147581431</v>
      </c>
      <c r="AD31" s="254">
        <f ca="1">AD128</f>
        <v>101124.689477167</v>
      </c>
    </row>
    <row r="32" spans="3:35" ht="11.25" customHeight="1">
      <c r="C32" s="291" t="s">
        <v>240</v>
      </c>
      <c r="D32" s="402"/>
      <c r="E32" s="277"/>
      <c r="F32" s="277"/>
      <c r="G32" s="277"/>
      <c r="H32" s="277"/>
      <c r="I32" s="277"/>
      <c r="J32" s="277"/>
      <c r="K32" s="277"/>
      <c r="L32" s="277"/>
      <c r="M32" s="277"/>
      <c r="N32" s="277"/>
      <c r="O32" s="277"/>
      <c r="P32" s="277">
        <v>-208</v>
      </c>
      <c r="Q32" s="277">
        <v>-193</v>
      </c>
      <c r="R32" s="277">
        <v>-176</v>
      </c>
      <c r="S32" s="254">
        <f>R32+(54/4)</f>
        <v>-162.5</v>
      </c>
      <c r="T32" s="254">
        <f>S32+(54/4)</f>
        <v>-149</v>
      </c>
      <c r="Y32" s="254"/>
      <c r="Z32" s="254"/>
      <c r="AA32" s="254">
        <f t="shared" si="6"/>
        <v>-149</v>
      </c>
      <c r="AB32" s="254">
        <f>AA32+60</f>
        <v>-89</v>
      </c>
      <c r="AC32" s="254">
        <f>AB32+61</f>
        <v>-28</v>
      </c>
      <c r="AD32" s="254">
        <f>AC32+39</f>
        <v>11</v>
      </c>
    </row>
    <row r="33" spans="2:33" s="283" customFormat="1" ht="11.25" customHeight="1">
      <c r="C33" s="286" t="s">
        <v>276</v>
      </c>
      <c r="D33" s="403"/>
      <c r="E33" s="280"/>
      <c r="F33" s="280"/>
      <c r="G33" s="277"/>
      <c r="H33" s="277"/>
      <c r="I33" s="277"/>
      <c r="J33" s="277"/>
      <c r="K33" s="280"/>
      <c r="L33" s="280"/>
      <c r="M33" s="280"/>
      <c r="N33" s="280"/>
      <c r="O33" s="280"/>
      <c r="P33" s="357">
        <f>SUM(P10:P32)</f>
        <v>25084</v>
      </c>
      <c r="Q33" s="357">
        <f>SUM(Q10:Q32)</f>
        <v>23770</v>
      </c>
      <c r="R33" s="357">
        <f ca="1">SUM(R10:R32)</f>
        <v>23065</v>
      </c>
      <c r="S33" s="357">
        <f ca="1">SUM(S10:S32)</f>
        <v>113645.84933975076</v>
      </c>
      <c r="T33" s="357">
        <f ca="1">SUM(T10:T32)</f>
        <v>117118.83668703501</v>
      </c>
      <c r="U33" s="280"/>
      <c r="V33" s="280"/>
      <c r="W33" s="280"/>
      <c r="X33" s="280"/>
      <c r="Y33" s="280"/>
      <c r="Z33" s="280"/>
      <c r="AA33" s="357">
        <f ca="1">SUM(AA10:AA32)</f>
        <v>117118.83668703501</v>
      </c>
      <c r="AB33" s="357">
        <f ca="1">SUM(AB10:AB32)</f>
        <v>123770.30096397697</v>
      </c>
      <c r="AC33" s="357">
        <f ca="1">SUM(AC10:AC32)</f>
        <v>126643.98514758144</v>
      </c>
      <c r="AD33" s="357">
        <f ca="1">SUM(AD10:AD32)</f>
        <v>127696.649477167</v>
      </c>
      <c r="AE33" s="255"/>
      <c r="AF33" s="255"/>
      <c r="AG33" s="255"/>
    </row>
    <row r="34" spans="2:33" ht="11.25" customHeight="1">
      <c r="D34" s="257"/>
      <c r="E34" s="284"/>
      <c r="F34" s="288"/>
      <c r="G34" s="288"/>
      <c r="H34" s="288"/>
      <c r="I34" s="288"/>
      <c r="J34" s="288"/>
      <c r="K34" s="288"/>
      <c r="L34" s="288"/>
      <c r="M34" s="288"/>
      <c r="N34" s="288"/>
      <c r="O34" s="288"/>
      <c r="P34" s="288">
        <f>P33-'DAL Financials'!P146</f>
        <v>0</v>
      </c>
      <c r="Q34" s="288">
        <f>Q33-'DAL Financials'!Q146</f>
        <v>0</v>
      </c>
      <c r="R34" s="288"/>
      <c r="S34" s="288"/>
      <c r="T34" s="288"/>
      <c r="AA34" s="288"/>
      <c r="AB34" s="288"/>
      <c r="AC34" s="288"/>
      <c r="AD34" s="288"/>
    </row>
    <row r="35" spans="2:33" ht="11.25" customHeight="1">
      <c r="B35" s="258" t="s">
        <v>133</v>
      </c>
      <c r="C35" s="259" t="s">
        <v>241</v>
      </c>
      <c r="D35" s="259"/>
      <c r="E35" s="259"/>
      <c r="F35" s="290"/>
      <c r="G35" s="259"/>
      <c r="H35" s="259"/>
      <c r="I35" s="259"/>
      <c r="J35" s="259"/>
      <c r="K35" s="259"/>
      <c r="L35" s="259"/>
      <c r="M35" s="259"/>
      <c r="N35" s="259"/>
      <c r="O35" s="259"/>
      <c r="P35" s="290"/>
      <c r="Q35" s="259"/>
      <c r="R35" s="259"/>
      <c r="S35" s="259"/>
      <c r="T35" s="259"/>
      <c r="V35" s="258"/>
      <c r="W35" s="258"/>
      <c r="X35" s="258"/>
      <c r="Y35" s="258"/>
      <c r="Z35" s="258"/>
      <c r="AA35" s="258"/>
      <c r="AB35" s="258"/>
      <c r="AC35" s="258"/>
      <c r="AD35" s="258"/>
    </row>
    <row r="36" spans="2:33" ht="11.25" customHeight="1">
      <c r="C36" s="289"/>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row>
    <row r="37" spans="2:33" ht="11.25" customHeight="1">
      <c r="C37" s="291" t="str">
        <f>+C10</f>
        <v>Unsecured notes</v>
      </c>
      <c r="E37" s="277"/>
      <c r="F37" s="277"/>
      <c r="G37" s="277"/>
      <c r="H37" s="254"/>
      <c r="I37" s="283"/>
      <c r="J37" s="254"/>
      <c r="K37" s="254"/>
      <c r="L37" s="254"/>
      <c r="M37" s="254"/>
      <c r="N37" s="254"/>
      <c r="O37" s="254"/>
      <c r="P37" s="254"/>
      <c r="Q37" s="254"/>
      <c r="R37" s="254"/>
      <c r="S37" s="254">
        <f t="shared" ref="S37:T38" si="15">2%*$Q10</f>
        <v>66.16</v>
      </c>
      <c r="T37" s="254">
        <f t="shared" si="15"/>
        <v>66.16</v>
      </c>
      <c r="U37" s="283"/>
      <c r="V37" s="283"/>
      <c r="W37" s="283"/>
      <c r="X37" s="283"/>
      <c r="AA37" s="255">
        <f>+SUMIF($E$5:$T$5,AA$5,$E37:$T37)</f>
        <v>132.32</v>
      </c>
      <c r="AB37" s="254">
        <f t="shared" ref="AB37:AD38" si="16">2%*$Q10*4</f>
        <v>264.64</v>
      </c>
      <c r="AC37" s="254">
        <f t="shared" si="16"/>
        <v>264.64</v>
      </c>
      <c r="AD37" s="254">
        <f t="shared" si="16"/>
        <v>264.64</v>
      </c>
    </row>
    <row r="38" spans="2:33" ht="11.25" customHeight="1">
      <c r="C38" s="291" t="str">
        <f>+C11</f>
        <v>Unsecured Payroll Support Program Loans</v>
      </c>
      <c r="E38" s="277"/>
      <c r="F38" s="277"/>
      <c r="G38" s="277"/>
      <c r="H38" s="254"/>
      <c r="I38" s="283"/>
      <c r="J38" s="254"/>
      <c r="K38" s="254"/>
      <c r="L38" s="254"/>
      <c r="M38" s="254"/>
      <c r="N38" s="254"/>
      <c r="O38" s="254"/>
      <c r="P38" s="254"/>
      <c r="Q38" s="254"/>
      <c r="R38" s="254"/>
      <c r="S38" s="254">
        <f t="shared" si="15"/>
        <v>69.92</v>
      </c>
      <c r="T38" s="254">
        <f t="shared" si="15"/>
        <v>69.92</v>
      </c>
      <c r="U38" s="283"/>
      <c r="V38" s="283"/>
      <c r="W38" s="283"/>
      <c r="X38" s="283"/>
      <c r="AA38" s="255">
        <f t="shared" ref="AA38:AA56" si="17">+SUMIF($E$5:$T$5,AA$5,$E38:$T38)</f>
        <v>139.84</v>
      </c>
      <c r="AB38" s="254">
        <f t="shared" si="16"/>
        <v>279.68</v>
      </c>
      <c r="AC38" s="254">
        <f t="shared" si="16"/>
        <v>279.68</v>
      </c>
      <c r="AD38" s="254">
        <f t="shared" si="16"/>
        <v>279.68</v>
      </c>
    </row>
    <row r="39" spans="2:33" ht="11.25" customHeight="1">
      <c r="C39" s="291"/>
      <c r="E39" s="277"/>
      <c r="F39" s="277"/>
      <c r="G39" s="277"/>
      <c r="H39" s="254"/>
      <c r="I39" s="283"/>
      <c r="J39" s="254"/>
      <c r="K39" s="254"/>
      <c r="L39" s="254"/>
      <c r="M39" s="254"/>
      <c r="N39" s="254"/>
      <c r="O39" s="254"/>
      <c r="P39" s="254"/>
      <c r="Q39" s="254"/>
      <c r="R39" s="254"/>
      <c r="S39" s="254"/>
      <c r="T39" s="254"/>
      <c r="U39" s="283"/>
      <c r="V39" s="283"/>
      <c r="W39" s="283"/>
      <c r="X39" s="283"/>
      <c r="AB39" s="254"/>
      <c r="AC39" s="254"/>
      <c r="AD39" s="254"/>
    </row>
    <row r="40" spans="2:33" ht="11.25" customHeight="1">
      <c r="C40" s="291" t="str">
        <f>+C13</f>
        <v>Financing arrangements secured by SkyMiles assets:</v>
      </c>
      <c r="E40" s="277"/>
      <c r="F40" s="277"/>
      <c r="G40" s="277"/>
      <c r="H40" s="254"/>
      <c r="I40" s="283"/>
      <c r="J40" s="254"/>
      <c r="K40" s="254"/>
      <c r="L40" s="254"/>
      <c r="M40" s="254"/>
      <c r="N40" s="254"/>
      <c r="O40" s="254"/>
      <c r="P40" s="254"/>
      <c r="Q40" s="254"/>
      <c r="R40" s="254"/>
      <c r="S40" s="254"/>
      <c r="T40" s="254"/>
      <c r="U40" s="283"/>
      <c r="V40" s="283"/>
      <c r="W40" s="283"/>
      <c r="X40" s="283"/>
      <c r="AB40" s="254"/>
      <c r="AC40" s="254"/>
      <c r="AD40" s="254"/>
    </row>
    <row r="41" spans="2:33" ht="11.25" customHeight="1">
      <c r="C41" s="291" t="str">
        <f>+C14</f>
        <v xml:space="preserve">  2025 SkyMiles Notes</v>
      </c>
      <c r="E41" s="277"/>
      <c r="F41" s="277"/>
      <c r="G41" s="277"/>
      <c r="H41" s="254"/>
      <c r="I41" s="283"/>
      <c r="J41" s="254"/>
      <c r="K41" s="254"/>
      <c r="L41" s="254"/>
      <c r="M41" s="254"/>
      <c r="N41" s="254"/>
      <c r="O41" s="254"/>
      <c r="P41" s="254"/>
      <c r="Q41" s="254"/>
      <c r="R41" s="254"/>
      <c r="S41" s="254">
        <f t="shared" ref="S41:T43" si="18">+IF(IF(AND($AF14&gt;R$6,$AF14&lt;=S$6),1,0)=1,R14,0)</f>
        <v>0</v>
      </c>
      <c r="T41" s="254">
        <f t="shared" si="18"/>
        <v>0</v>
      </c>
      <c r="U41" s="283"/>
      <c r="V41" s="283"/>
      <c r="W41" s="283"/>
      <c r="X41" s="283"/>
      <c r="AA41" s="255">
        <f t="shared" si="17"/>
        <v>0</v>
      </c>
      <c r="AB41" s="277">
        <v>208.33</v>
      </c>
      <c r="AC41" s="277">
        <v>208.33</v>
      </c>
      <c r="AD41" s="254">
        <f>+IF(IF(AND($AF14&gt;AC$6,$AF14&lt;=AD$6),1,0)=1,AC14,0)</f>
        <v>2083.34</v>
      </c>
    </row>
    <row r="42" spans="2:33" ht="11.25" customHeight="1">
      <c r="C42" s="291" t="str">
        <f>+C15</f>
        <v xml:space="preserve">  2028 SkyMiles Notes</v>
      </c>
      <c r="E42" s="277"/>
      <c r="F42" s="277"/>
      <c r="G42" s="277"/>
      <c r="H42" s="254"/>
      <c r="I42" s="283"/>
      <c r="J42" s="254"/>
      <c r="K42" s="254"/>
      <c r="L42" s="254"/>
      <c r="M42" s="254"/>
      <c r="N42" s="254"/>
      <c r="O42" s="254"/>
      <c r="P42" s="254"/>
      <c r="Q42" s="254"/>
      <c r="R42" s="254"/>
      <c r="S42" s="254">
        <f t="shared" si="18"/>
        <v>0</v>
      </c>
      <c r="T42" s="254">
        <f t="shared" si="18"/>
        <v>0</v>
      </c>
      <c r="U42" s="283"/>
      <c r="V42" s="283"/>
      <c r="W42" s="283"/>
      <c r="X42" s="283"/>
      <c r="AA42" s="255">
        <f t="shared" si="17"/>
        <v>0</v>
      </c>
      <c r="AB42" s="254">
        <f>+IF(IF(AND($AF15&gt;AA$6,$AF15&lt;=AB$6),1,0)=1,AA15,0)</f>
        <v>0</v>
      </c>
      <c r="AC42" s="254">
        <f>+IF(IF(AND($AF15&gt;AB$6,$AF15&lt;=AC$6),1,0)=1,AB15,0)</f>
        <v>0</v>
      </c>
      <c r="AD42" s="254">
        <f>+IF(IF(AND($AF15&gt;AC$6,$AF15&lt;=AD$6),1,0)=1,AC15,0)</f>
        <v>0</v>
      </c>
      <c r="AE42" s="255" t="s">
        <v>1755</v>
      </c>
    </row>
    <row r="43" spans="2:33" ht="11.25" customHeight="1">
      <c r="C43" s="291" t="str">
        <f>+C16</f>
        <v xml:space="preserve">  SkyMiles Term Loan</v>
      </c>
      <c r="E43" s="277"/>
      <c r="F43" s="277"/>
      <c r="G43" s="277"/>
      <c r="H43" s="254"/>
      <c r="I43" s="283"/>
      <c r="J43" s="254"/>
      <c r="K43" s="254"/>
      <c r="L43" s="254"/>
      <c r="M43" s="254"/>
      <c r="N43" s="254"/>
      <c r="O43" s="254"/>
      <c r="P43" s="254"/>
      <c r="Q43" s="254"/>
      <c r="R43" s="254"/>
      <c r="S43" s="254">
        <f t="shared" si="18"/>
        <v>0</v>
      </c>
      <c r="T43" s="254">
        <f t="shared" si="18"/>
        <v>0</v>
      </c>
      <c r="U43" s="283"/>
      <c r="V43" s="283"/>
      <c r="W43" s="283"/>
      <c r="X43" s="283"/>
      <c r="AA43" s="255">
        <f t="shared" si="17"/>
        <v>0</v>
      </c>
      <c r="AB43" s="277">
        <f>150*4</f>
        <v>600</v>
      </c>
      <c r="AC43" s="277">
        <f>150*4</f>
        <v>600</v>
      </c>
      <c r="AD43" s="277">
        <f>150*4</f>
        <v>600</v>
      </c>
    </row>
    <row r="44" spans="2:33" ht="11.25" customHeight="1">
      <c r="C44" s="291"/>
      <c r="E44" s="277"/>
      <c r="F44" s="277"/>
      <c r="G44" s="277"/>
      <c r="H44" s="254"/>
      <c r="I44" s="283"/>
      <c r="J44" s="254"/>
      <c r="K44" s="254"/>
      <c r="L44" s="254"/>
      <c r="M44" s="254"/>
      <c r="N44" s="254"/>
      <c r="O44" s="254"/>
      <c r="P44" s="254"/>
      <c r="Q44" s="254"/>
      <c r="R44" s="254"/>
      <c r="S44" s="254"/>
      <c r="T44" s="254"/>
      <c r="U44" s="283"/>
      <c r="V44" s="283"/>
      <c r="W44" s="283"/>
      <c r="X44" s="283"/>
      <c r="AB44" s="254"/>
      <c r="AC44" s="254"/>
      <c r="AD44" s="254"/>
    </row>
    <row r="45" spans="2:33" ht="11.25" customHeight="1">
      <c r="C45" s="291" t="str">
        <f>+C18</f>
        <v>Financing arrangements secured by slots, gates and/or routes:</v>
      </c>
      <c r="E45" s="277"/>
      <c r="F45" s="277"/>
      <c r="G45" s="277"/>
      <c r="H45" s="254"/>
      <c r="I45" s="283"/>
      <c r="J45" s="254"/>
      <c r="K45" s="254"/>
      <c r="L45" s="254"/>
      <c r="M45" s="254"/>
      <c r="N45" s="254"/>
      <c r="O45" s="254"/>
      <c r="P45" s="254"/>
      <c r="Q45" s="254"/>
      <c r="R45" s="254"/>
      <c r="S45" s="254"/>
      <c r="T45" s="254"/>
      <c r="U45" s="283"/>
      <c r="V45" s="283"/>
      <c r="W45" s="283"/>
      <c r="X45" s="283"/>
      <c r="AB45" s="254"/>
      <c r="AC45" s="254"/>
      <c r="AD45" s="254"/>
    </row>
    <row r="46" spans="2:33" ht="11.25" customHeight="1">
      <c r="C46" s="291" t="str">
        <f>+C19</f>
        <v xml:space="preserve">  Senior Secured Notes</v>
      </c>
      <c r="E46" s="277"/>
      <c r="F46" s="277"/>
      <c r="G46" s="277"/>
      <c r="H46" s="254"/>
      <c r="I46" s="283"/>
      <c r="J46" s="254"/>
      <c r="K46" s="254"/>
      <c r="L46" s="254"/>
      <c r="M46" s="254"/>
      <c r="N46" s="254"/>
      <c r="O46" s="254"/>
      <c r="P46" s="254"/>
      <c r="Q46" s="254"/>
      <c r="R46" s="254"/>
      <c r="S46" s="254">
        <f t="shared" ref="S46:T48" si="19">2%*$Q19</f>
        <v>49.18</v>
      </c>
      <c r="T46" s="254">
        <f t="shared" si="19"/>
        <v>49.18</v>
      </c>
      <c r="U46" s="283"/>
      <c r="V46" s="283"/>
      <c r="W46" s="283"/>
      <c r="X46" s="283"/>
      <c r="AA46" s="255">
        <f t="shared" si="17"/>
        <v>98.36</v>
      </c>
      <c r="AB46" s="254">
        <f t="shared" ref="AB46:AD48" si="20">2%*$Q19*4</f>
        <v>196.72</v>
      </c>
      <c r="AC46" s="254">
        <f t="shared" si="20"/>
        <v>196.72</v>
      </c>
      <c r="AD46" s="254">
        <f t="shared" si="20"/>
        <v>196.72</v>
      </c>
    </row>
    <row r="47" spans="2:33" ht="11.25" customHeight="1">
      <c r="C47" s="291" t="str">
        <f>+C20</f>
        <v xml:space="preserve">  Term Loan</v>
      </c>
      <c r="E47" s="277"/>
      <c r="F47" s="277"/>
      <c r="G47" s="277"/>
      <c r="H47" s="254"/>
      <c r="I47" s="283"/>
      <c r="J47" s="254"/>
      <c r="K47" s="254"/>
      <c r="L47" s="254"/>
      <c r="M47" s="254"/>
      <c r="N47" s="254"/>
      <c r="O47" s="254"/>
      <c r="P47" s="254"/>
      <c r="Q47" s="254"/>
      <c r="R47" s="254"/>
      <c r="S47" s="254">
        <f t="shared" si="19"/>
        <v>0</v>
      </c>
      <c r="T47" s="254">
        <f t="shared" si="19"/>
        <v>0</v>
      </c>
      <c r="U47" s="283"/>
      <c r="V47" s="283"/>
      <c r="W47" s="283"/>
      <c r="X47" s="283"/>
      <c r="AA47" s="255">
        <f t="shared" si="17"/>
        <v>0</v>
      </c>
      <c r="AB47" s="254">
        <f t="shared" si="20"/>
        <v>0</v>
      </c>
      <c r="AC47" s="254">
        <f t="shared" si="20"/>
        <v>0</v>
      </c>
      <c r="AD47" s="254">
        <f t="shared" si="20"/>
        <v>0</v>
      </c>
    </row>
    <row r="48" spans="2:33" ht="11.25" customHeight="1">
      <c r="C48" s="291" t="str">
        <f>+C21</f>
        <v xml:space="preserve">  Revolving Credit Facility</v>
      </c>
      <c r="E48" s="277"/>
      <c r="F48" s="277"/>
      <c r="G48" s="277"/>
      <c r="H48" s="254"/>
      <c r="I48" s="283"/>
      <c r="J48" s="254"/>
      <c r="K48" s="254"/>
      <c r="L48" s="254"/>
      <c r="M48" s="254"/>
      <c r="N48" s="254"/>
      <c r="O48" s="254"/>
      <c r="P48" s="254"/>
      <c r="Q48" s="254"/>
      <c r="R48" s="254"/>
      <c r="S48" s="254">
        <f t="shared" si="19"/>
        <v>0</v>
      </c>
      <c r="T48" s="254">
        <f t="shared" si="19"/>
        <v>0</v>
      </c>
      <c r="U48" s="283"/>
      <c r="V48" s="283"/>
      <c r="W48" s="283"/>
      <c r="X48" s="283"/>
      <c r="AA48" s="255">
        <f t="shared" si="17"/>
        <v>0</v>
      </c>
      <c r="AB48" s="254">
        <f t="shared" si="20"/>
        <v>0</v>
      </c>
      <c r="AC48" s="254">
        <f t="shared" si="20"/>
        <v>0</v>
      </c>
      <c r="AD48" s="254">
        <f t="shared" si="20"/>
        <v>0</v>
      </c>
    </row>
    <row r="49" spans="2:31" ht="11.25" customHeight="1">
      <c r="C49" s="291"/>
      <c r="E49" s="277"/>
      <c r="F49" s="277"/>
      <c r="G49" s="277"/>
      <c r="H49" s="254"/>
      <c r="I49" s="283"/>
      <c r="J49" s="254"/>
      <c r="K49" s="254"/>
      <c r="L49" s="254"/>
      <c r="M49" s="254"/>
      <c r="N49" s="254"/>
      <c r="O49" s="254"/>
      <c r="P49" s="254"/>
      <c r="Q49" s="254"/>
      <c r="R49" s="254"/>
      <c r="S49" s="254"/>
      <c r="T49" s="254"/>
      <c r="U49" s="283"/>
      <c r="V49" s="283"/>
      <c r="W49" s="283"/>
      <c r="X49" s="283"/>
      <c r="AB49" s="254"/>
      <c r="AC49" s="254"/>
      <c r="AD49" s="254"/>
    </row>
    <row r="50" spans="2:31" ht="11.25" customHeight="1">
      <c r="C50" s="291" t="str">
        <f>+C23</f>
        <v>Financing arrangements secured by aircraft:</v>
      </c>
      <c r="E50" s="277"/>
      <c r="F50" s="277"/>
      <c r="G50" s="277"/>
      <c r="H50" s="254"/>
      <c r="I50" s="283"/>
      <c r="J50" s="254"/>
      <c r="K50" s="254"/>
      <c r="L50" s="254"/>
      <c r="M50" s="254"/>
      <c r="N50" s="254"/>
      <c r="O50" s="254"/>
      <c r="P50" s="254"/>
      <c r="Q50" s="254"/>
      <c r="R50" s="254"/>
      <c r="S50" s="254"/>
      <c r="T50" s="254"/>
      <c r="U50" s="283"/>
      <c r="V50" s="283"/>
      <c r="W50" s="283"/>
      <c r="X50" s="283"/>
      <c r="AB50" s="254"/>
      <c r="AC50" s="254"/>
      <c r="AD50" s="254"/>
    </row>
    <row r="51" spans="2:31" ht="11.25" customHeight="1">
      <c r="C51" s="291" t="str">
        <f>+C24</f>
        <v xml:space="preserve">  Certificates</v>
      </c>
      <c r="E51" s="277"/>
      <c r="F51" s="277"/>
      <c r="G51" s="277"/>
      <c r="H51" s="254"/>
      <c r="I51" s="283"/>
      <c r="J51" s="254"/>
      <c r="K51" s="254"/>
      <c r="L51" s="254"/>
      <c r="M51" s="254"/>
      <c r="N51" s="254"/>
      <c r="O51" s="254"/>
      <c r="P51" s="254"/>
      <c r="Q51" s="254"/>
      <c r="R51" s="254"/>
      <c r="S51" s="254">
        <f t="shared" ref="S51:T52" si="21">2%*$Q24</f>
        <v>38.4</v>
      </c>
      <c r="T51" s="254">
        <f t="shared" si="21"/>
        <v>38.4</v>
      </c>
      <c r="U51" s="283"/>
      <c r="V51" s="283"/>
      <c r="W51" s="283"/>
      <c r="X51" s="283"/>
      <c r="AA51" s="255">
        <f t="shared" si="17"/>
        <v>76.8</v>
      </c>
      <c r="AB51" s="254">
        <f t="shared" ref="AB51:AD52" si="22">2%*$Q24*4</f>
        <v>153.6</v>
      </c>
      <c r="AC51" s="254">
        <f t="shared" si="22"/>
        <v>153.6</v>
      </c>
      <c r="AD51" s="254">
        <f t="shared" si="22"/>
        <v>153.6</v>
      </c>
    </row>
    <row r="52" spans="2:31" ht="11.25" customHeight="1">
      <c r="C52" s="291" t="str">
        <f>+C25</f>
        <v xml:space="preserve">  Notes</v>
      </c>
      <c r="E52" s="277"/>
      <c r="F52" s="277"/>
      <c r="G52" s="277"/>
      <c r="H52" s="254"/>
      <c r="I52" s="283"/>
      <c r="J52" s="254"/>
      <c r="K52" s="254"/>
      <c r="L52" s="254"/>
      <c r="M52" s="254"/>
      <c r="N52" s="254"/>
      <c r="O52" s="254"/>
      <c r="P52" s="254"/>
      <c r="Q52" s="254"/>
      <c r="R52" s="254"/>
      <c r="S52" s="254">
        <f t="shared" si="21"/>
        <v>21.080000000000002</v>
      </c>
      <c r="T52" s="254">
        <f t="shared" si="21"/>
        <v>21.080000000000002</v>
      </c>
      <c r="U52" s="283"/>
      <c r="V52" s="283"/>
      <c r="W52" s="283"/>
      <c r="X52" s="283"/>
      <c r="AA52" s="255">
        <f t="shared" si="17"/>
        <v>42.160000000000004</v>
      </c>
      <c r="AB52" s="254">
        <f t="shared" si="22"/>
        <v>84.320000000000007</v>
      </c>
      <c r="AC52" s="254">
        <f t="shared" si="22"/>
        <v>84.320000000000007</v>
      </c>
      <c r="AD52" s="254">
        <f t="shared" si="22"/>
        <v>84.320000000000007</v>
      </c>
    </row>
    <row r="53" spans="2:31" ht="11.25" customHeight="1">
      <c r="C53" s="291" t="str">
        <f>+C26</f>
        <v xml:space="preserve">  New Aircraft Notes</v>
      </c>
      <c r="E53" s="277"/>
      <c r="F53" s="277"/>
      <c r="G53" s="277"/>
      <c r="H53" s="254"/>
      <c r="I53" s="283"/>
      <c r="J53" s="254"/>
      <c r="K53" s="254"/>
      <c r="L53" s="254"/>
      <c r="M53" s="254"/>
      <c r="N53" s="254"/>
      <c r="O53" s="254"/>
      <c r="P53" s="254"/>
      <c r="Q53" s="254"/>
      <c r="R53" s="254"/>
      <c r="S53" s="287">
        <f>-'DAL Financials'!S182</f>
        <v>-1138.230563002681</v>
      </c>
      <c r="T53" s="287">
        <f>-'DAL Financials'!T182</f>
        <v>-1181.769436997319</v>
      </c>
      <c r="U53" s="283"/>
      <c r="V53" s="283"/>
      <c r="W53" s="283"/>
      <c r="X53" s="283"/>
      <c r="AA53" s="255">
        <f t="shared" si="17"/>
        <v>-2320</v>
      </c>
      <c r="AB53" s="287">
        <f>-'DAL Financials'!AB182</f>
        <v>-3170</v>
      </c>
      <c r="AC53" s="287">
        <f>-'DAL Financials'!AC182</f>
        <v>-3480</v>
      </c>
      <c r="AD53" s="287">
        <f>-'DAL Financials'!AD182</f>
        <v>-2890</v>
      </c>
    </row>
    <row r="54" spans="2:31" ht="11.25" customHeight="1">
      <c r="C54" s="291"/>
      <c r="E54" s="277"/>
      <c r="F54" s="277"/>
      <c r="G54" s="277"/>
      <c r="H54" s="254"/>
      <c r="I54" s="283"/>
      <c r="J54" s="254"/>
      <c r="K54" s="254"/>
      <c r="L54" s="254"/>
      <c r="M54" s="254"/>
      <c r="N54" s="254"/>
      <c r="O54" s="254"/>
      <c r="P54" s="254"/>
      <c r="Q54" s="254"/>
      <c r="R54" s="254"/>
      <c r="S54" s="254"/>
      <c r="T54" s="254"/>
      <c r="U54" s="283"/>
      <c r="V54" s="283"/>
      <c r="W54" s="283"/>
      <c r="X54" s="283"/>
      <c r="AB54" s="254"/>
      <c r="AC54" s="254"/>
      <c r="AD54" s="254"/>
    </row>
    <row r="55" spans="2:31" ht="11.25" customHeight="1">
      <c r="C55" s="291" t="str">
        <f>+C28</f>
        <v>NYTDC Special Facilities Revenue Bonds, Series 2020</v>
      </c>
      <c r="E55" s="277"/>
      <c r="F55" s="277"/>
      <c r="G55" s="277"/>
      <c r="H55" s="254"/>
      <c r="I55" s="283"/>
      <c r="J55" s="254"/>
      <c r="K55" s="254"/>
      <c r="L55" s="254"/>
      <c r="M55" s="254"/>
      <c r="N55" s="254"/>
      <c r="O55" s="254"/>
      <c r="P55" s="254"/>
      <c r="Q55" s="254"/>
      <c r="R55" s="254"/>
      <c r="S55" s="254">
        <f t="shared" ref="S55:T56" si="23">2%*$Q28</f>
        <v>56.76</v>
      </c>
      <c r="T55" s="254">
        <f t="shared" si="23"/>
        <v>56.76</v>
      </c>
      <c r="U55" s="283"/>
      <c r="V55" s="283"/>
      <c r="W55" s="283"/>
      <c r="X55" s="283"/>
      <c r="AA55" s="255">
        <f t="shared" si="17"/>
        <v>113.52</v>
      </c>
      <c r="AB55" s="254">
        <f t="shared" ref="AB55:AD56" si="24">2%*$Q28*4</f>
        <v>227.04</v>
      </c>
      <c r="AC55" s="254">
        <f t="shared" si="24"/>
        <v>227.04</v>
      </c>
      <c r="AD55" s="254">
        <f t="shared" si="24"/>
        <v>227.04</v>
      </c>
    </row>
    <row r="56" spans="2:31" ht="11.25" customHeight="1">
      <c r="C56" s="291" t="str">
        <f>+C29</f>
        <v>Other financings</v>
      </c>
      <c r="E56" s="277"/>
      <c r="F56" s="277"/>
      <c r="G56" s="277"/>
      <c r="H56" s="254"/>
      <c r="I56" s="283"/>
      <c r="J56" s="254"/>
      <c r="K56" s="254"/>
      <c r="L56" s="254"/>
      <c r="M56" s="254"/>
      <c r="N56" s="254"/>
      <c r="O56" s="254"/>
      <c r="P56" s="254"/>
      <c r="Q56" s="254"/>
      <c r="R56" s="254"/>
      <c r="S56" s="254">
        <f t="shared" si="23"/>
        <v>1.36</v>
      </c>
      <c r="T56" s="254">
        <f t="shared" si="23"/>
        <v>1.36</v>
      </c>
      <c r="U56" s="283"/>
      <c r="V56" s="283"/>
      <c r="W56" s="283"/>
      <c r="X56" s="283"/>
      <c r="AA56" s="255">
        <f t="shared" si="17"/>
        <v>2.72</v>
      </c>
      <c r="AB56" s="254">
        <f t="shared" si="24"/>
        <v>5.44</v>
      </c>
      <c r="AC56" s="254">
        <f t="shared" si="24"/>
        <v>5.44</v>
      </c>
      <c r="AD56" s="254">
        <f t="shared" si="24"/>
        <v>5.44</v>
      </c>
    </row>
    <row r="57" spans="2:31" s="283" customFormat="1" ht="11.25" customHeight="1">
      <c r="C57" s="289" t="s">
        <v>275</v>
      </c>
      <c r="E57" s="280"/>
      <c r="F57" s="280"/>
      <c r="G57" s="280"/>
      <c r="H57" s="280"/>
      <c r="J57" s="280"/>
      <c r="K57" s="280"/>
      <c r="L57" s="280"/>
      <c r="M57" s="280"/>
      <c r="N57" s="280"/>
      <c r="O57" s="280"/>
      <c r="P57" s="280"/>
      <c r="Q57" s="280"/>
      <c r="R57" s="280"/>
      <c r="S57" s="357">
        <f>SUM(S37:S56)</f>
        <v>-835.37056300268102</v>
      </c>
      <c r="T57" s="357">
        <f>SUM(T37:T56)</f>
        <v>-878.90943699731895</v>
      </c>
      <c r="U57" s="280"/>
      <c r="V57" s="280"/>
      <c r="W57" s="280"/>
      <c r="X57" s="280"/>
      <c r="Y57" s="280"/>
      <c r="Z57" s="280"/>
      <c r="AA57" s="357">
        <f>SUM(AA37:AA56)</f>
        <v>-1714.28</v>
      </c>
      <c r="AB57" s="357">
        <f>SUM(AB37:AB56)</f>
        <v>-1150.23</v>
      </c>
      <c r="AC57" s="357">
        <f>SUM(AC37:AC56)</f>
        <v>-1460.23</v>
      </c>
      <c r="AD57" s="357">
        <f>SUM(AD37:AD56)</f>
        <v>1004.7799999999997</v>
      </c>
      <c r="AE57" s="255"/>
    </row>
    <row r="58" spans="2:31" ht="11.25" customHeight="1">
      <c r="C58" s="289"/>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row>
    <row r="59" spans="2:31" ht="11.25" customHeight="1">
      <c r="B59" s="258" t="s">
        <v>133</v>
      </c>
      <c r="C59" s="259" t="s">
        <v>242</v>
      </c>
      <c r="D59" s="259"/>
      <c r="E59" s="259"/>
      <c r="F59" s="259"/>
      <c r="G59" s="259"/>
      <c r="H59" s="259"/>
      <c r="I59" s="259"/>
      <c r="J59" s="259"/>
      <c r="K59" s="259"/>
      <c r="L59" s="259"/>
      <c r="M59" s="259"/>
      <c r="N59" s="259"/>
      <c r="O59" s="259"/>
      <c r="P59" s="259"/>
      <c r="Q59" s="259"/>
      <c r="R59" s="259"/>
      <c r="S59" s="259"/>
      <c r="T59" s="259"/>
      <c r="V59" s="258"/>
      <c r="W59" s="258"/>
      <c r="X59" s="258"/>
      <c r="Y59" s="258"/>
      <c r="Z59" s="258"/>
      <c r="AA59" s="258"/>
      <c r="AB59" s="258"/>
      <c r="AC59" s="258"/>
      <c r="AD59" s="258"/>
    </row>
    <row r="61" spans="2:31" s="283" customFormat="1" ht="11.25" customHeight="1">
      <c r="C61" s="291" t="str">
        <f>+$C10</f>
        <v>Unsecured notes</v>
      </c>
      <c r="E61" s="255"/>
      <c r="F61" s="255"/>
      <c r="G61" s="255"/>
      <c r="H61" s="255"/>
      <c r="I61" s="255"/>
      <c r="J61" s="255"/>
      <c r="K61" s="255"/>
      <c r="L61" s="255"/>
      <c r="M61" s="255"/>
      <c r="N61" s="255"/>
      <c r="O61" s="255"/>
      <c r="P61" s="255"/>
      <c r="Q61" s="255"/>
      <c r="R61" s="255"/>
      <c r="S61" s="255">
        <f t="shared" ref="S61:T62" si="25">+AVERAGE(R10:S10)</f>
        <v>3112.92</v>
      </c>
      <c r="T61" s="255">
        <f t="shared" si="25"/>
        <v>3046.76</v>
      </c>
      <c r="Y61" s="255"/>
      <c r="Z61" s="255"/>
      <c r="AA61" s="254"/>
      <c r="AB61" s="255">
        <f t="shared" ref="AB61:AD62" si="26">+AVERAGE(AA10:AB10)</f>
        <v>2881.3600000000006</v>
      </c>
      <c r="AC61" s="255">
        <f t="shared" si="26"/>
        <v>2616.7200000000003</v>
      </c>
      <c r="AD61" s="255">
        <f t="shared" si="26"/>
        <v>2352.0800000000008</v>
      </c>
      <c r="AE61" s="255"/>
    </row>
    <row r="62" spans="2:31" s="283" customFormat="1" ht="11.25" customHeight="1">
      <c r="C62" s="291" t="str">
        <f>+$C11</f>
        <v>Unsecured Payroll Support Program Loans</v>
      </c>
      <c r="E62" s="255"/>
      <c r="F62" s="255"/>
      <c r="G62" s="255"/>
      <c r="H62" s="255"/>
      <c r="I62" s="255"/>
      <c r="J62" s="255"/>
      <c r="K62" s="255"/>
      <c r="L62" s="255"/>
      <c r="M62" s="255"/>
      <c r="N62" s="255"/>
      <c r="O62" s="255"/>
      <c r="P62" s="255"/>
      <c r="Q62" s="255"/>
      <c r="R62" s="255"/>
      <c r="S62" s="255">
        <f t="shared" si="25"/>
        <v>3461.04</v>
      </c>
      <c r="T62" s="255">
        <f t="shared" si="25"/>
        <v>3391.12</v>
      </c>
      <c r="Y62" s="255"/>
      <c r="Z62" s="255"/>
      <c r="AA62" s="254"/>
      <c r="AB62" s="255">
        <f t="shared" si="26"/>
        <v>3216.3199999999997</v>
      </c>
      <c r="AC62" s="255">
        <f t="shared" si="26"/>
        <v>2936.6400000000003</v>
      </c>
      <c r="AD62" s="255">
        <f t="shared" si="26"/>
        <v>2656.96</v>
      </c>
      <c r="AE62" s="255"/>
    </row>
    <row r="63" spans="2:31" s="283" customFormat="1" ht="11.25" customHeight="1">
      <c r="C63" s="291"/>
      <c r="E63" s="255"/>
      <c r="F63" s="255"/>
      <c r="G63" s="255"/>
      <c r="H63" s="255"/>
      <c r="I63" s="255"/>
      <c r="J63" s="255"/>
      <c r="K63" s="255"/>
      <c r="L63" s="255"/>
      <c r="M63" s="255"/>
      <c r="N63" s="255"/>
      <c r="O63" s="255"/>
      <c r="P63" s="255"/>
      <c r="Q63" s="255"/>
      <c r="R63" s="255"/>
      <c r="S63" s="255"/>
      <c r="T63" s="255"/>
      <c r="Y63" s="255"/>
      <c r="Z63" s="255"/>
      <c r="AA63" s="254"/>
      <c r="AB63" s="255"/>
      <c r="AC63" s="255"/>
      <c r="AD63" s="255"/>
      <c r="AE63" s="255"/>
    </row>
    <row r="64" spans="2:31" s="283" customFormat="1" ht="11.25" customHeight="1">
      <c r="C64" s="291" t="str">
        <f>+$C13</f>
        <v>Financing arrangements secured by SkyMiles assets:</v>
      </c>
      <c r="E64" s="255"/>
      <c r="F64" s="255"/>
      <c r="G64" s="255"/>
      <c r="H64" s="255"/>
      <c r="I64" s="255"/>
      <c r="J64" s="255"/>
      <c r="K64" s="255"/>
      <c r="L64" s="255"/>
      <c r="M64" s="255"/>
      <c r="N64" s="255"/>
      <c r="O64" s="255"/>
      <c r="P64" s="255"/>
      <c r="Q64" s="255"/>
      <c r="R64" s="255"/>
      <c r="S64" s="255"/>
      <c r="T64" s="255"/>
      <c r="Y64" s="255"/>
      <c r="Z64" s="255"/>
      <c r="AA64" s="254"/>
      <c r="AB64" s="255"/>
      <c r="AC64" s="255"/>
      <c r="AD64" s="255"/>
      <c r="AE64" s="255"/>
    </row>
    <row r="65" spans="3:42" s="283" customFormat="1" ht="11.25" customHeight="1">
      <c r="C65" s="291" t="str">
        <f>+$C14</f>
        <v xml:space="preserve">  2025 SkyMiles Notes</v>
      </c>
      <c r="E65" s="255"/>
      <c r="F65" s="255"/>
      <c r="G65" s="255"/>
      <c r="H65" s="255"/>
      <c r="I65" s="255"/>
      <c r="J65" s="255"/>
      <c r="K65" s="255"/>
      <c r="L65" s="255"/>
      <c r="M65" s="255"/>
      <c r="N65" s="255"/>
      <c r="O65" s="255"/>
      <c r="P65" s="255"/>
      <c r="Q65" s="255"/>
      <c r="R65" s="255"/>
      <c r="S65" s="255">
        <f t="shared" ref="S65:T66" si="27">+AVERAGE(R14:S14)</f>
        <v>2500</v>
      </c>
      <c r="T65" s="255">
        <f t="shared" si="27"/>
        <v>2500</v>
      </c>
      <c r="Y65" s="255"/>
      <c r="Z65" s="255"/>
      <c r="AA65" s="254"/>
      <c r="AB65" s="255">
        <f t="shared" ref="AB65:AD66" si="28">+AVERAGE(AA14:AB14)</f>
        <v>2395.835</v>
      </c>
      <c r="AC65" s="255">
        <f t="shared" si="28"/>
        <v>2187.5050000000001</v>
      </c>
      <c r="AD65" s="255">
        <f t="shared" si="28"/>
        <v>1041.67</v>
      </c>
      <c r="AE65" s="255"/>
    </row>
    <row r="66" spans="3:42" s="283" customFormat="1" ht="11.25" customHeight="1">
      <c r="C66" s="291" t="str">
        <f>+$C15</f>
        <v xml:space="preserve">  2028 SkyMiles Notes</v>
      </c>
      <c r="E66" s="255"/>
      <c r="F66" s="255"/>
      <c r="G66" s="255"/>
      <c r="H66" s="255"/>
      <c r="I66" s="255"/>
      <c r="J66" s="255"/>
      <c r="K66" s="255"/>
      <c r="L66" s="255"/>
      <c r="M66" s="255"/>
      <c r="N66" s="255"/>
      <c r="O66" s="255"/>
      <c r="P66" s="255"/>
      <c r="Q66" s="255"/>
      <c r="R66" s="255"/>
      <c r="S66" s="255">
        <f t="shared" si="27"/>
        <v>3500</v>
      </c>
      <c r="T66" s="255">
        <f t="shared" si="27"/>
        <v>3500</v>
      </c>
      <c r="Y66" s="255"/>
      <c r="Z66" s="255"/>
      <c r="AA66" s="254"/>
      <c r="AB66" s="255">
        <f t="shared" si="28"/>
        <v>3500</v>
      </c>
      <c r="AC66" s="255">
        <f t="shared" si="28"/>
        <v>3500</v>
      </c>
      <c r="AD66" s="255">
        <f t="shared" si="28"/>
        <v>3500</v>
      </c>
      <c r="AE66" s="255"/>
    </row>
    <row r="67" spans="3:42" s="283" customFormat="1" ht="11.25" customHeight="1">
      <c r="C67" s="291" t="str">
        <f>+$C16</f>
        <v xml:space="preserve">  SkyMiles Term Loan</v>
      </c>
      <c r="E67" s="255"/>
      <c r="F67" s="255"/>
      <c r="G67" s="255"/>
      <c r="H67" s="255"/>
      <c r="I67" s="255"/>
      <c r="J67" s="255"/>
      <c r="K67" s="255"/>
      <c r="L67" s="255"/>
      <c r="M67" s="255"/>
      <c r="N67" s="255"/>
      <c r="O67" s="255"/>
      <c r="P67" s="255"/>
      <c r="Q67" s="255"/>
      <c r="R67" s="255"/>
      <c r="S67" s="255">
        <f>+AVERAGE(R16:S16)</f>
        <v>2820</v>
      </c>
      <c r="T67" s="255">
        <f>+AVERAGE(S16:T16)</f>
        <v>2820</v>
      </c>
      <c r="Y67" s="255"/>
      <c r="Z67" s="255"/>
      <c r="AA67" s="254"/>
      <c r="AB67" s="255">
        <f>+AVERAGE(AA16:AB16)</f>
        <v>2520</v>
      </c>
      <c r="AC67" s="255">
        <f>+AVERAGE(AB16:AC16)</f>
        <v>1920</v>
      </c>
      <c r="AD67" s="255">
        <f>+AVERAGE(AC16:AD16)</f>
        <v>1320</v>
      </c>
      <c r="AE67" s="255"/>
    </row>
    <row r="68" spans="3:42" s="283" customFormat="1" ht="11.25" customHeight="1">
      <c r="C68" s="291"/>
      <c r="E68" s="255"/>
      <c r="F68" s="255"/>
      <c r="G68" s="255"/>
      <c r="H68" s="255"/>
      <c r="I68" s="255"/>
      <c r="J68" s="255"/>
      <c r="K68" s="255"/>
      <c r="L68" s="255"/>
      <c r="M68" s="255"/>
      <c r="N68" s="255"/>
      <c r="O68" s="255"/>
      <c r="P68" s="255"/>
      <c r="Q68" s="255"/>
      <c r="R68" s="255"/>
      <c r="S68" s="255"/>
      <c r="T68" s="255"/>
      <c r="Y68" s="255"/>
      <c r="Z68" s="255"/>
      <c r="AA68" s="254"/>
      <c r="AB68" s="255"/>
      <c r="AC68" s="255"/>
      <c r="AD68" s="255"/>
      <c r="AE68" s="255"/>
    </row>
    <row r="69" spans="3:42" s="283" customFormat="1" ht="11.25" customHeight="1">
      <c r="C69" s="291" t="str">
        <f>+$C18</f>
        <v>Financing arrangements secured by slots, gates and/or routes:</v>
      </c>
      <c r="E69" s="255"/>
      <c r="F69" s="255"/>
      <c r="G69" s="255"/>
      <c r="H69" s="255"/>
      <c r="I69" s="255"/>
      <c r="J69" s="255"/>
      <c r="K69" s="255"/>
      <c r="L69" s="255"/>
      <c r="M69" s="255"/>
      <c r="N69" s="255"/>
      <c r="O69" s="255"/>
      <c r="P69" s="255"/>
      <c r="Q69" s="255"/>
      <c r="R69" s="255"/>
      <c r="S69" s="255"/>
      <c r="T69" s="255"/>
      <c r="Y69" s="255"/>
      <c r="Z69" s="255"/>
      <c r="AA69" s="254"/>
      <c r="AB69" s="255"/>
      <c r="AC69" s="255"/>
      <c r="AD69" s="255"/>
      <c r="AE69" s="255"/>
    </row>
    <row r="70" spans="3:42" s="283" customFormat="1" ht="11.25" customHeight="1">
      <c r="C70" s="291" t="str">
        <f>+$C19</f>
        <v xml:space="preserve">  Senior Secured Notes</v>
      </c>
      <c r="E70" s="255"/>
      <c r="F70" s="255"/>
      <c r="G70" s="255"/>
      <c r="H70" s="255"/>
      <c r="I70" s="255"/>
      <c r="J70" s="255"/>
      <c r="K70" s="255"/>
      <c r="L70" s="255"/>
      <c r="M70" s="255"/>
      <c r="N70" s="255"/>
      <c r="O70" s="255"/>
      <c r="P70" s="255"/>
      <c r="Q70" s="255"/>
      <c r="R70" s="255"/>
      <c r="S70" s="255">
        <f t="shared" ref="S70:T72" si="29">+AVERAGE(R19:S19)</f>
        <v>1994.4099999999999</v>
      </c>
      <c r="T70" s="255">
        <f t="shared" si="29"/>
        <v>1945.23</v>
      </c>
      <c r="Y70" s="255"/>
      <c r="Z70" s="255"/>
      <c r="AA70" s="254"/>
      <c r="AB70" s="255">
        <f t="shared" ref="AB70:AD72" si="30">+AVERAGE(AA19:AB19)</f>
        <v>1822.2799999999997</v>
      </c>
      <c r="AC70" s="255">
        <f t="shared" si="30"/>
        <v>1625.56</v>
      </c>
      <c r="AD70" s="255">
        <f t="shared" si="30"/>
        <v>1428.8399999999997</v>
      </c>
      <c r="AE70" s="255"/>
      <c r="AF70" s="277"/>
      <c r="AG70" s="277"/>
      <c r="AH70" s="277"/>
      <c r="AI70" s="277"/>
      <c r="AJ70" s="277"/>
      <c r="AK70" s="277"/>
      <c r="AL70" s="277"/>
      <c r="AM70" s="277"/>
      <c r="AN70" s="277"/>
      <c r="AO70" s="277"/>
      <c r="AP70" s="277"/>
    </row>
    <row r="71" spans="3:42" s="283" customFormat="1" ht="11.25" customHeight="1">
      <c r="C71" s="291" t="str">
        <f>+$C20</f>
        <v xml:space="preserve">  Term Loan</v>
      </c>
      <c r="E71" s="255"/>
      <c r="F71" s="255"/>
      <c r="G71" s="255"/>
      <c r="H71" s="255"/>
      <c r="I71" s="255"/>
      <c r="J71" s="255"/>
      <c r="K71" s="255"/>
      <c r="L71" s="255"/>
      <c r="M71" s="255"/>
      <c r="N71" s="255"/>
      <c r="O71" s="255"/>
      <c r="P71" s="255"/>
      <c r="Q71" s="255"/>
      <c r="R71" s="255"/>
      <c r="S71" s="255">
        <f t="shared" si="29"/>
        <v>0</v>
      </c>
      <c r="T71" s="255">
        <f t="shared" si="29"/>
        <v>0</v>
      </c>
      <c r="Y71" s="255"/>
      <c r="Z71" s="255"/>
      <c r="AA71" s="254"/>
      <c r="AB71" s="255">
        <f t="shared" si="30"/>
        <v>0</v>
      </c>
      <c r="AC71" s="255">
        <f t="shared" si="30"/>
        <v>0</v>
      </c>
      <c r="AD71" s="255">
        <f t="shared" si="30"/>
        <v>0</v>
      </c>
      <c r="AE71" s="255"/>
      <c r="AF71" s="277"/>
      <c r="AG71" s="277"/>
      <c r="AH71" s="277"/>
      <c r="AI71" s="277"/>
      <c r="AJ71" s="277"/>
      <c r="AK71" s="277"/>
      <c r="AL71" s="277"/>
      <c r="AM71" s="277"/>
      <c r="AN71" s="277"/>
      <c r="AO71" s="277"/>
      <c r="AP71" s="277"/>
    </row>
    <row r="72" spans="3:42" s="283" customFormat="1" ht="11.25" customHeight="1">
      <c r="C72" s="291" t="str">
        <f>+$C21</f>
        <v xml:space="preserve">  Revolving Credit Facility</v>
      </c>
      <c r="E72" s="255"/>
      <c r="F72" s="255"/>
      <c r="G72" s="255"/>
      <c r="H72" s="255"/>
      <c r="I72" s="255"/>
      <c r="J72" s="255"/>
      <c r="K72" s="255"/>
      <c r="L72" s="255"/>
      <c r="M72" s="255"/>
      <c r="N72" s="255"/>
      <c r="O72" s="255"/>
      <c r="P72" s="255"/>
      <c r="Q72" s="255"/>
      <c r="R72" s="255"/>
      <c r="S72" s="255">
        <f t="shared" si="29"/>
        <v>0</v>
      </c>
      <c r="T72" s="255">
        <f t="shared" si="29"/>
        <v>0</v>
      </c>
      <c r="Y72" s="255"/>
      <c r="Z72" s="255"/>
      <c r="AA72" s="254"/>
      <c r="AB72" s="255">
        <f t="shared" si="30"/>
        <v>0</v>
      </c>
      <c r="AC72" s="255">
        <f t="shared" si="30"/>
        <v>0</v>
      </c>
      <c r="AD72" s="255">
        <f t="shared" si="30"/>
        <v>0</v>
      </c>
      <c r="AE72" s="255"/>
      <c r="AF72" s="277"/>
      <c r="AG72" s="277"/>
      <c r="AH72" s="277"/>
      <c r="AI72" s="277"/>
      <c r="AJ72" s="277"/>
      <c r="AK72" s="277"/>
      <c r="AL72" s="277"/>
      <c r="AM72" s="277"/>
      <c r="AN72" s="277"/>
      <c r="AO72" s="277"/>
      <c r="AP72" s="277"/>
    </row>
    <row r="73" spans="3:42" s="283" customFormat="1" ht="11.25" customHeight="1">
      <c r="C73" s="291"/>
      <c r="E73" s="255"/>
      <c r="F73" s="255"/>
      <c r="G73" s="255"/>
      <c r="H73" s="255"/>
      <c r="I73" s="255"/>
      <c r="J73" s="255"/>
      <c r="K73" s="255"/>
      <c r="L73" s="255"/>
      <c r="M73" s="255"/>
      <c r="N73" s="255"/>
      <c r="O73" s="255"/>
      <c r="P73" s="255"/>
      <c r="Q73" s="255"/>
      <c r="R73" s="255"/>
      <c r="S73" s="255"/>
      <c r="T73" s="255"/>
      <c r="Y73" s="255"/>
      <c r="Z73" s="255"/>
      <c r="AA73" s="254"/>
      <c r="AB73" s="255"/>
      <c r="AC73" s="255"/>
      <c r="AD73" s="255"/>
      <c r="AE73" s="255"/>
      <c r="AF73" s="277"/>
      <c r="AG73" s="277"/>
      <c r="AH73" s="277"/>
      <c r="AI73" s="277"/>
      <c r="AJ73" s="277"/>
      <c r="AK73" s="277"/>
      <c r="AL73" s="277"/>
      <c r="AM73" s="277"/>
      <c r="AN73" s="277"/>
      <c r="AO73" s="277"/>
      <c r="AP73" s="277"/>
    </row>
    <row r="74" spans="3:42" s="283" customFormat="1" ht="11.25" customHeight="1">
      <c r="C74" s="291" t="str">
        <f>+$C23</f>
        <v>Financing arrangements secured by aircraft:</v>
      </c>
      <c r="E74" s="255"/>
      <c r="F74" s="255"/>
      <c r="G74" s="255"/>
      <c r="H74" s="255"/>
      <c r="I74" s="255"/>
      <c r="J74" s="255"/>
      <c r="K74" s="255"/>
      <c r="L74" s="255"/>
      <c r="M74" s="255"/>
      <c r="N74" s="255"/>
      <c r="O74" s="255"/>
      <c r="P74" s="255"/>
      <c r="Q74" s="255"/>
      <c r="R74" s="255"/>
      <c r="S74" s="255"/>
      <c r="T74" s="255"/>
      <c r="Y74" s="255"/>
      <c r="Z74" s="255"/>
      <c r="AA74" s="254"/>
      <c r="AB74" s="255"/>
      <c r="AC74" s="255"/>
      <c r="AD74" s="255"/>
      <c r="AE74" s="255"/>
      <c r="AF74" s="277"/>
      <c r="AG74" s="277"/>
      <c r="AH74" s="277"/>
      <c r="AI74" s="277"/>
      <c r="AJ74" s="277"/>
      <c r="AK74" s="277"/>
      <c r="AL74" s="277"/>
      <c r="AM74" s="277"/>
      <c r="AN74" s="277"/>
      <c r="AO74" s="277"/>
      <c r="AP74" s="277"/>
    </row>
    <row r="75" spans="3:42" s="283" customFormat="1" ht="11.25" customHeight="1">
      <c r="C75" s="291" t="str">
        <f>+$C24</f>
        <v xml:space="preserve">  Certificates</v>
      </c>
      <c r="E75" s="255"/>
      <c r="F75" s="255"/>
      <c r="G75" s="255"/>
      <c r="H75" s="255"/>
      <c r="I75" s="255"/>
      <c r="J75" s="255"/>
      <c r="K75" s="255"/>
      <c r="L75" s="255"/>
      <c r="M75" s="255"/>
      <c r="N75" s="255"/>
      <c r="O75" s="255"/>
      <c r="P75" s="255"/>
      <c r="Q75" s="255"/>
      <c r="R75" s="255"/>
      <c r="S75" s="255">
        <f t="shared" ref="S75:T77" si="31">+AVERAGE(R24:S24)</f>
        <v>1847.8</v>
      </c>
      <c r="T75" s="255">
        <f t="shared" si="31"/>
        <v>1809.3999999999999</v>
      </c>
      <c r="Y75" s="255"/>
      <c r="Z75" s="255"/>
      <c r="AA75" s="254"/>
      <c r="AB75" s="255">
        <f t="shared" ref="AB75:AD77" si="32">+AVERAGE(AA24:AB24)</f>
        <v>1713.3999999999999</v>
      </c>
      <c r="AC75" s="255">
        <f t="shared" si="32"/>
        <v>1559.8</v>
      </c>
      <c r="AD75" s="255">
        <f t="shared" si="32"/>
        <v>1406.2</v>
      </c>
      <c r="AE75" s="255"/>
      <c r="AF75" s="277"/>
      <c r="AG75" s="277"/>
      <c r="AH75" s="277"/>
      <c r="AI75" s="277"/>
      <c r="AJ75" s="277"/>
      <c r="AK75" s="277"/>
      <c r="AL75" s="277"/>
      <c r="AM75" s="277"/>
      <c r="AN75" s="277"/>
      <c r="AO75" s="277"/>
      <c r="AP75" s="277"/>
    </row>
    <row r="76" spans="3:42" s="283" customFormat="1" ht="11.25" customHeight="1">
      <c r="C76" s="291" t="str">
        <f>+$C25</f>
        <v xml:space="preserve">  Notes</v>
      </c>
      <c r="E76" s="255"/>
      <c r="F76" s="255"/>
      <c r="G76" s="255"/>
      <c r="H76" s="255"/>
      <c r="I76" s="255"/>
      <c r="J76" s="255"/>
      <c r="K76" s="255"/>
      <c r="L76" s="255"/>
      <c r="M76" s="255"/>
      <c r="N76" s="255"/>
      <c r="O76" s="255"/>
      <c r="P76" s="255"/>
      <c r="Q76" s="255"/>
      <c r="R76" s="255"/>
      <c r="S76" s="255">
        <f t="shared" si="31"/>
        <v>976.46</v>
      </c>
      <c r="T76" s="255">
        <f t="shared" si="31"/>
        <v>955.37999999999988</v>
      </c>
      <c r="Y76" s="255"/>
      <c r="Z76" s="255"/>
      <c r="AA76" s="254"/>
      <c r="AB76" s="255">
        <f t="shared" si="32"/>
        <v>902.67999999999984</v>
      </c>
      <c r="AC76" s="255">
        <f t="shared" si="32"/>
        <v>818.3599999999999</v>
      </c>
      <c r="AD76" s="255">
        <f t="shared" si="32"/>
        <v>734.03999999999974</v>
      </c>
      <c r="AE76" s="255"/>
      <c r="AF76" s="277"/>
      <c r="AG76" s="277"/>
      <c r="AH76" s="277"/>
      <c r="AI76" s="277"/>
      <c r="AJ76" s="277"/>
      <c r="AK76" s="277"/>
      <c r="AL76" s="277"/>
      <c r="AM76" s="277"/>
      <c r="AN76" s="277"/>
      <c r="AO76" s="277"/>
      <c r="AP76" s="277"/>
    </row>
    <row r="77" spans="3:42" s="283" customFormat="1" ht="11.25" customHeight="1">
      <c r="C77" s="291" t="str">
        <f>+$C26</f>
        <v xml:space="preserve">  New Aircraft Notes</v>
      </c>
      <c r="E77" s="255"/>
      <c r="F77" s="255"/>
      <c r="G77" s="255"/>
      <c r="H77" s="255"/>
      <c r="I77" s="255"/>
      <c r="J77" s="255"/>
      <c r="K77" s="255"/>
      <c r="L77" s="255"/>
      <c r="M77" s="255"/>
      <c r="N77" s="255"/>
      <c r="O77" s="255"/>
      <c r="P77" s="255"/>
      <c r="Q77" s="255"/>
      <c r="R77" s="255"/>
      <c r="S77" s="255">
        <f t="shared" si="31"/>
        <v>569.11528150134052</v>
      </c>
      <c r="T77" s="255">
        <f t="shared" si="31"/>
        <v>1729.1152815013406</v>
      </c>
      <c r="Y77" s="255"/>
      <c r="Z77" s="255"/>
      <c r="AA77" s="254"/>
      <c r="AB77" s="255">
        <f t="shared" si="32"/>
        <v>3905</v>
      </c>
      <c r="AC77" s="255">
        <f t="shared" si="32"/>
        <v>7230</v>
      </c>
      <c r="AD77" s="255">
        <f t="shared" si="32"/>
        <v>10415</v>
      </c>
      <c r="AE77" s="255"/>
      <c r="AF77" s="277"/>
      <c r="AG77" s="277"/>
      <c r="AH77" s="277"/>
      <c r="AI77" s="277"/>
      <c r="AJ77" s="277"/>
      <c r="AK77" s="277"/>
      <c r="AL77" s="277"/>
      <c r="AM77" s="277"/>
      <c r="AN77" s="277"/>
      <c r="AO77" s="277"/>
      <c r="AP77" s="277"/>
    </row>
    <row r="78" spans="3:42" s="283" customFormat="1" ht="11.25" customHeight="1">
      <c r="C78" s="291"/>
      <c r="E78" s="255"/>
      <c r="F78" s="255"/>
      <c r="G78" s="255"/>
      <c r="H78" s="255"/>
      <c r="I78" s="255"/>
      <c r="J78" s="255"/>
      <c r="K78" s="255"/>
      <c r="L78" s="255"/>
      <c r="M78" s="255"/>
      <c r="N78" s="255"/>
      <c r="O78" s="255"/>
      <c r="P78" s="255"/>
      <c r="Q78" s="255"/>
      <c r="R78" s="255"/>
      <c r="S78" s="255"/>
      <c r="T78" s="255"/>
      <c r="Y78" s="255"/>
      <c r="Z78" s="255"/>
      <c r="AA78" s="254"/>
      <c r="AB78" s="255"/>
      <c r="AC78" s="255"/>
      <c r="AD78" s="255"/>
      <c r="AE78" s="255"/>
      <c r="AF78" s="277"/>
      <c r="AG78" s="277"/>
      <c r="AH78" s="277"/>
      <c r="AI78" s="277"/>
      <c r="AJ78" s="277"/>
      <c r="AK78" s="277"/>
      <c r="AL78" s="277"/>
      <c r="AM78" s="277"/>
      <c r="AN78" s="277"/>
      <c r="AO78" s="277"/>
      <c r="AP78" s="277"/>
    </row>
    <row r="79" spans="3:42" s="283" customFormat="1" ht="11.25" customHeight="1">
      <c r="C79" s="291" t="str">
        <f>+$C28</f>
        <v>NYTDC Special Facilities Revenue Bonds, Series 2020</v>
      </c>
      <c r="E79" s="255"/>
      <c r="F79" s="255"/>
      <c r="G79" s="255"/>
      <c r="H79" s="255"/>
      <c r="I79" s="255"/>
      <c r="J79" s="255"/>
      <c r="K79" s="255"/>
      <c r="L79" s="255"/>
      <c r="M79" s="255"/>
      <c r="N79" s="255"/>
      <c r="O79" s="255"/>
      <c r="P79" s="255"/>
      <c r="Q79" s="255"/>
      <c r="R79" s="255"/>
      <c r="S79" s="255">
        <f t="shared" ref="S79:T82" si="33">+AVERAGE(R28:S28)</f>
        <v>2809.62</v>
      </c>
      <c r="T79" s="255">
        <f t="shared" si="33"/>
        <v>2752.8599999999997</v>
      </c>
      <c r="Y79" s="255"/>
      <c r="Z79" s="255"/>
      <c r="AA79" s="254"/>
      <c r="AB79" s="255">
        <f t="shared" ref="AB79:AD82" si="34">+AVERAGE(AA28:AB28)</f>
        <v>2610.9599999999996</v>
      </c>
      <c r="AC79" s="255">
        <f t="shared" si="34"/>
        <v>2383.9199999999996</v>
      </c>
      <c r="AD79" s="255">
        <f t="shared" si="34"/>
        <v>2156.8799999999997</v>
      </c>
      <c r="AE79" s="255"/>
      <c r="AF79" s="277"/>
      <c r="AG79" s="277"/>
      <c r="AH79" s="277"/>
      <c r="AI79" s="277"/>
      <c r="AJ79" s="277"/>
      <c r="AK79" s="277"/>
      <c r="AL79" s="277"/>
      <c r="AM79" s="277"/>
      <c r="AN79" s="277"/>
      <c r="AO79" s="277"/>
      <c r="AP79" s="277"/>
    </row>
    <row r="80" spans="3:42" s="283" customFormat="1" ht="11.25" customHeight="1">
      <c r="C80" s="291" t="str">
        <f>+$C29</f>
        <v>Other financings</v>
      </c>
      <c r="E80" s="255"/>
      <c r="F80" s="255"/>
      <c r="G80" s="255"/>
      <c r="H80" s="255"/>
      <c r="I80" s="255"/>
      <c r="J80" s="255"/>
      <c r="K80" s="255"/>
      <c r="L80" s="255"/>
      <c r="M80" s="255"/>
      <c r="N80" s="255"/>
      <c r="O80" s="255"/>
      <c r="P80" s="255"/>
      <c r="Q80" s="255"/>
      <c r="R80" s="255"/>
      <c r="S80" s="255">
        <f t="shared" si="33"/>
        <v>67.319999999999993</v>
      </c>
      <c r="T80" s="255">
        <f t="shared" si="33"/>
        <v>65.960000000000008</v>
      </c>
      <c r="Y80" s="255"/>
      <c r="Z80" s="255"/>
      <c r="AA80" s="254"/>
      <c r="AB80" s="255">
        <f t="shared" si="34"/>
        <v>62.56</v>
      </c>
      <c r="AC80" s="255">
        <f t="shared" si="34"/>
        <v>57.120000000000005</v>
      </c>
      <c r="AD80" s="255">
        <f t="shared" si="34"/>
        <v>51.680000000000007</v>
      </c>
      <c r="AE80" s="255"/>
      <c r="AF80" s="277"/>
      <c r="AG80" s="277"/>
      <c r="AH80" s="277"/>
      <c r="AI80" s="277"/>
      <c r="AJ80" s="277"/>
      <c r="AK80" s="277"/>
      <c r="AL80" s="277"/>
      <c r="AM80" s="277"/>
      <c r="AN80" s="277"/>
      <c r="AO80" s="277"/>
      <c r="AP80" s="277"/>
    </row>
    <row r="81" spans="2:30" ht="11.25" customHeight="1">
      <c r="C81" s="291" t="str">
        <f>+$C30</f>
        <v>Credit Facility</v>
      </c>
      <c r="S81" s="255">
        <f t="shared" ca="1" si="33"/>
        <v>1450</v>
      </c>
      <c r="T81" s="255">
        <f t="shared" ca="1" si="33"/>
        <v>2900</v>
      </c>
      <c r="AA81" s="254"/>
      <c r="AB81" s="255">
        <f t="shared" ca="1" si="34"/>
        <v>2900</v>
      </c>
      <c r="AC81" s="255">
        <f t="shared" ca="1" si="34"/>
        <v>2900</v>
      </c>
      <c r="AD81" s="255">
        <f t="shared" ca="1" si="34"/>
        <v>1450</v>
      </c>
    </row>
    <row r="82" spans="2:30" s="283" customFormat="1" ht="11.25" customHeight="1">
      <c r="C82" s="291" t="str">
        <f>+$C31</f>
        <v>Additional Drawdown</v>
      </c>
      <c r="E82" s="255"/>
      <c r="F82" s="255"/>
      <c r="G82" s="255"/>
      <c r="H82" s="255"/>
      <c r="I82" s="255"/>
      <c r="J82" s="255"/>
      <c r="K82" s="255"/>
      <c r="L82" s="255"/>
      <c r="M82" s="255"/>
      <c r="N82" s="255"/>
      <c r="O82" s="255"/>
      <c r="P82" s="255"/>
      <c r="Q82" s="255"/>
      <c r="R82" s="255"/>
      <c r="S82" s="255">
        <f t="shared" ca="1" si="33"/>
        <v>43415.989388374037</v>
      </c>
      <c r="T82" s="255">
        <f t="shared" ca="1" si="33"/>
        <v>88122.267731891538</v>
      </c>
      <c r="Y82" s="255"/>
      <c r="Z82" s="255"/>
      <c r="AA82" s="254"/>
      <c r="AB82" s="255">
        <f t="shared" ca="1" si="34"/>
        <v>92133.173825506005</v>
      </c>
      <c r="AC82" s="255">
        <f t="shared" ca="1" si="34"/>
        <v>95530.018055779205</v>
      </c>
      <c r="AD82" s="255">
        <f t="shared" ca="1" si="34"/>
        <v>98665.46731237421</v>
      </c>
    </row>
    <row r="83" spans="2:30" s="283" customFormat="1" ht="11.25" customHeight="1">
      <c r="C83" s="286" t="s">
        <v>277</v>
      </c>
      <c r="E83" s="280"/>
      <c r="F83" s="280"/>
      <c r="G83" s="280"/>
      <c r="H83" s="280"/>
      <c r="I83" s="280"/>
      <c r="J83" s="280"/>
      <c r="K83" s="280"/>
      <c r="L83" s="280"/>
      <c r="M83" s="280"/>
      <c r="N83" s="280"/>
      <c r="O83" s="280"/>
      <c r="P83" s="280"/>
      <c r="Q83" s="280"/>
      <c r="R83" s="280"/>
      <c r="S83" s="357">
        <f ca="1">SUM(S61:S82)</f>
        <v>68524.67466987537</v>
      </c>
      <c r="T83" s="357">
        <f ca="1">SUM(T61:T82)</f>
        <v>115538.09301339288</v>
      </c>
      <c r="U83" s="280"/>
      <c r="V83" s="280"/>
      <c r="W83" s="280"/>
      <c r="X83" s="280"/>
      <c r="Y83" s="280"/>
      <c r="AA83" s="280"/>
      <c r="AB83" s="357">
        <f ca="1">SUM(AB61:AB82)</f>
        <v>120563.56882550601</v>
      </c>
      <c r="AC83" s="357">
        <f ca="1">SUM(AC61:AC82)</f>
        <v>125265.6430557792</v>
      </c>
      <c r="AD83" s="357">
        <f ca="1">SUM(AD61:AD82)</f>
        <v>127178.81731237422</v>
      </c>
    </row>
    <row r="85" spans="2:30" ht="11.25" customHeight="1">
      <c r="B85" s="258" t="s">
        <v>133</v>
      </c>
      <c r="C85" s="259" t="s">
        <v>243</v>
      </c>
      <c r="D85" s="259"/>
      <c r="E85" s="259"/>
      <c r="F85" s="259"/>
      <c r="G85" s="259"/>
      <c r="H85" s="259"/>
      <c r="I85" s="259"/>
      <c r="J85" s="259"/>
      <c r="K85" s="259"/>
      <c r="L85" s="259"/>
      <c r="M85" s="259"/>
      <c r="N85" s="259"/>
      <c r="O85" s="259"/>
      <c r="P85" s="259"/>
      <c r="Q85" s="259"/>
      <c r="R85" s="259"/>
      <c r="S85" s="259"/>
      <c r="T85" s="259"/>
      <c r="V85" s="258"/>
      <c r="W85" s="258"/>
      <c r="X85" s="258"/>
      <c r="Y85" s="258"/>
      <c r="Z85" s="258"/>
      <c r="AA85" s="258"/>
      <c r="AB85" s="258"/>
      <c r="AC85" s="258"/>
      <c r="AD85" s="258"/>
    </row>
    <row r="86" spans="2:30" s="283" customFormat="1" ht="11.25" customHeight="1">
      <c r="C86" s="286"/>
    </row>
    <row r="87" spans="2:30" s="283" customFormat="1" ht="11.25" customHeight="1">
      <c r="C87" s="291" t="str">
        <f>+$C10</f>
        <v>Unsecured notes</v>
      </c>
      <c r="E87" s="255"/>
      <c r="F87" s="255"/>
      <c r="G87" s="255"/>
      <c r="H87" s="255"/>
      <c r="I87" s="255"/>
      <c r="J87" s="255"/>
      <c r="K87" s="255"/>
      <c r="L87" s="255"/>
      <c r="M87" s="255"/>
      <c r="N87" s="255"/>
      <c r="O87" s="255"/>
      <c r="P87" s="255"/>
      <c r="Q87" s="255"/>
      <c r="R87" s="255"/>
      <c r="S87" s="255">
        <f t="shared" ref="S87:T88" si="35">+S61*$D10/4</f>
        <v>40.001021999999999</v>
      </c>
      <c r="T87" s="255">
        <f t="shared" si="35"/>
        <v>39.150866000000001</v>
      </c>
      <c r="Y87" s="255"/>
      <c r="Z87" s="255"/>
      <c r="AA87" s="255"/>
      <c r="AB87" s="255">
        <f t="shared" ref="AB87:AD88" si="36">+AB61*$D10</f>
        <v>148.10190400000005</v>
      </c>
      <c r="AC87" s="255">
        <f t="shared" si="36"/>
        <v>134.49940800000002</v>
      </c>
      <c r="AD87" s="255">
        <f t="shared" si="36"/>
        <v>120.89691200000004</v>
      </c>
    </row>
    <row r="88" spans="2:30" s="283" customFormat="1" ht="11.25" customHeight="1">
      <c r="C88" s="291" t="str">
        <f>+$C11</f>
        <v>Unsecured Payroll Support Program Loans</v>
      </c>
      <c r="E88" s="255"/>
      <c r="F88" s="255"/>
      <c r="G88" s="255"/>
      <c r="H88" s="255"/>
      <c r="I88" s="255"/>
      <c r="J88" s="255"/>
      <c r="K88" s="255"/>
      <c r="L88" s="255"/>
      <c r="M88" s="255"/>
      <c r="N88" s="255"/>
      <c r="O88" s="255"/>
      <c r="P88" s="255"/>
      <c r="Q88" s="255"/>
      <c r="R88" s="255"/>
      <c r="S88" s="255">
        <f t="shared" si="35"/>
        <v>8.6525999999999996</v>
      </c>
      <c r="T88" s="255">
        <f t="shared" si="35"/>
        <v>8.4778000000000002</v>
      </c>
      <c r="Y88" s="255"/>
      <c r="Z88" s="255"/>
      <c r="AA88" s="255"/>
      <c r="AB88" s="255">
        <f t="shared" si="36"/>
        <v>32.163199999999996</v>
      </c>
      <c r="AC88" s="255">
        <f t="shared" si="36"/>
        <v>29.366400000000002</v>
      </c>
      <c r="AD88" s="255">
        <f t="shared" si="36"/>
        <v>26.569600000000001</v>
      </c>
    </row>
    <row r="89" spans="2:30" s="283" customFormat="1" ht="11.25" customHeight="1">
      <c r="C89" s="291"/>
      <c r="E89" s="255"/>
      <c r="F89" s="255"/>
      <c r="G89" s="255"/>
      <c r="H89" s="255"/>
      <c r="I89" s="255"/>
      <c r="J89" s="255"/>
      <c r="K89" s="255"/>
      <c r="L89" s="255"/>
      <c r="M89" s="255"/>
      <c r="N89" s="255"/>
      <c r="O89" s="255"/>
      <c r="P89" s="255"/>
      <c r="Q89" s="255"/>
      <c r="R89" s="255"/>
      <c r="S89" s="255"/>
      <c r="T89" s="255"/>
      <c r="Y89" s="255"/>
      <c r="Z89" s="255"/>
      <c r="AA89" s="255"/>
      <c r="AB89" s="255"/>
      <c r="AC89" s="255"/>
      <c r="AD89" s="255"/>
    </row>
    <row r="90" spans="2:30" s="283" customFormat="1" ht="11.25" customHeight="1">
      <c r="C90" s="291" t="str">
        <f>+$C13</f>
        <v>Financing arrangements secured by SkyMiles assets:</v>
      </c>
      <c r="E90" s="255"/>
      <c r="F90" s="255"/>
      <c r="G90" s="255"/>
      <c r="H90" s="255"/>
      <c r="I90" s="255"/>
      <c r="J90" s="255"/>
      <c r="K90" s="255"/>
      <c r="L90" s="255"/>
      <c r="M90" s="255"/>
      <c r="N90" s="255"/>
      <c r="O90" s="255"/>
      <c r="P90" s="255"/>
      <c r="Q90" s="255"/>
      <c r="R90" s="255"/>
      <c r="S90" s="255"/>
      <c r="T90" s="255"/>
      <c r="Y90" s="255"/>
      <c r="Z90" s="255"/>
      <c r="AA90" s="255"/>
      <c r="AB90" s="255"/>
      <c r="AC90" s="255"/>
      <c r="AD90" s="255"/>
    </row>
    <row r="91" spans="2:30" s="283" customFormat="1" ht="11.25" customHeight="1">
      <c r="C91" s="291" t="str">
        <f>+$C14</f>
        <v xml:space="preserve">  2025 SkyMiles Notes</v>
      </c>
      <c r="E91" s="255"/>
      <c r="F91" s="255"/>
      <c r="G91" s="255"/>
      <c r="H91" s="255"/>
      <c r="I91" s="255"/>
      <c r="J91" s="255"/>
      <c r="K91" s="255"/>
      <c r="L91" s="255"/>
      <c r="M91" s="255"/>
      <c r="N91" s="255"/>
      <c r="O91" s="255"/>
      <c r="P91" s="255"/>
      <c r="Q91" s="255"/>
      <c r="R91" s="255"/>
      <c r="S91" s="255">
        <f t="shared" ref="S91:T92" si="37">+S65*$D14/4</f>
        <v>28.125</v>
      </c>
      <c r="T91" s="255">
        <f t="shared" si="37"/>
        <v>28.125</v>
      </c>
      <c r="Y91" s="255"/>
      <c r="Z91" s="255"/>
      <c r="AA91" s="255"/>
      <c r="AB91" s="255">
        <f t="shared" ref="AB91:AD92" si="38">+AB65*$D14</f>
        <v>107.812575</v>
      </c>
      <c r="AC91" s="255">
        <f t="shared" si="38"/>
        <v>98.437725</v>
      </c>
      <c r="AD91" s="255">
        <f t="shared" si="38"/>
        <v>46.875150000000005</v>
      </c>
    </row>
    <row r="92" spans="2:30" s="283" customFormat="1" ht="11.25" customHeight="1">
      <c r="C92" s="291" t="str">
        <f>+$C15</f>
        <v xml:space="preserve">  2028 SkyMiles Notes</v>
      </c>
      <c r="E92" s="255"/>
      <c r="F92" s="255"/>
      <c r="G92" s="255"/>
      <c r="H92" s="255"/>
      <c r="I92" s="255"/>
      <c r="J92" s="255"/>
      <c r="K92" s="255"/>
      <c r="L92" s="255"/>
      <c r="M92" s="255"/>
      <c r="N92" s="255"/>
      <c r="O92" s="255"/>
      <c r="P92" s="255"/>
      <c r="Q92" s="255"/>
      <c r="R92" s="255"/>
      <c r="S92" s="255">
        <f t="shared" si="37"/>
        <v>41.5625</v>
      </c>
      <c r="T92" s="255">
        <f t="shared" si="37"/>
        <v>41.5625</v>
      </c>
      <c r="Y92" s="255"/>
      <c r="Z92" s="255"/>
      <c r="AA92" s="255"/>
      <c r="AB92" s="255">
        <f t="shared" si="38"/>
        <v>166.25</v>
      </c>
      <c r="AC92" s="255">
        <f t="shared" si="38"/>
        <v>166.25</v>
      </c>
      <c r="AD92" s="255">
        <f t="shared" si="38"/>
        <v>166.25</v>
      </c>
    </row>
    <row r="93" spans="2:30" s="283" customFormat="1" ht="11.25" customHeight="1">
      <c r="C93" s="291" t="str">
        <f>+$C16</f>
        <v xml:space="preserve">  SkyMiles Term Loan</v>
      </c>
      <c r="E93" s="255"/>
      <c r="F93" s="255"/>
      <c r="G93" s="255"/>
      <c r="H93" s="255"/>
      <c r="I93" s="255"/>
      <c r="J93" s="255"/>
      <c r="K93" s="255"/>
      <c r="L93" s="255"/>
      <c r="M93" s="255"/>
      <c r="N93" s="255"/>
      <c r="O93" s="255"/>
      <c r="P93" s="255"/>
      <c r="Q93" s="255"/>
      <c r="R93" s="255"/>
      <c r="S93" s="255">
        <f>+S67*$D16/4</f>
        <v>33.487499999999997</v>
      </c>
      <c r="T93" s="255">
        <f>+T67*$D16/4</f>
        <v>33.487499999999997</v>
      </c>
      <c r="Y93" s="255"/>
      <c r="Z93" s="255"/>
      <c r="AA93" s="255"/>
      <c r="AB93" s="255">
        <f>+AB67*$D16</f>
        <v>119.7</v>
      </c>
      <c r="AC93" s="255">
        <f>+AC67*$D16</f>
        <v>91.2</v>
      </c>
      <c r="AD93" s="255">
        <f>+AD67*$D16</f>
        <v>62.7</v>
      </c>
    </row>
    <row r="94" spans="2:30" s="283" customFormat="1" ht="11.25" customHeight="1">
      <c r="C94" s="291"/>
      <c r="E94" s="255"/>
      <c r="F94" s="255"/>
      <c r="G94" s="255"/>
      <c r="H94" s="255"/>
      <c r="I94" s="255"/>
      <c r="J94" s="255"/>
      <c r="K94" s="255"/>
      <c r="L94" s="255"/>
      <c r="M94" s="255"/>
      <c r="N94" s="255"/>
      <c r="O94" s="255"/>
      <c r="P94" s="255"/>
      <c r="Q94" s="255"/>
      <c r="R94" s="255"/>
      <c r="S94" s="255"/>
      <c r="T94" s="255"/>
      <c r="Y94" s="255"/>
      <c r="Z94" s="255"/>
      <c r="AA94" s="255"/>
      <c r="AB94" s="255"/>
      <c r="AC94" s="255"/>
      <c r="AD94" s="255"/>
    </row>
    <row r="95" spans="2:30" s="283" customFormat="1" ht="11.25" customHeight="1">
      <c r="C95" s="291" t="str">
        <f>+$C18</f>
        <v>Financing arrangements secured by slots, gates and/or routes:</v>
      </c>
      <c r="E95" s="255"/>
      <c r="F95" s="255"/>
      <c r="G95" s="255"/>
      <c r="H95" s="255"/>
      <c r="I95" s="255"/>
      <c r="J95" s="255"/>
      <c r="K95" s="255"/>
      <c r="L95" s="255"/>
      <c r="M95" s="255"/>
      <c r="N95" s="255"/>
      <c r="O95" s="255"/>
      <c r="P95" s="255"/>
      <c r="Q95" s="255"/>
      <c r="R95" s="255"/>
      <c r="S95" s="255"/>
      <c r="T95" s="255"/>
      <c r="Y95" s="255"/>
      <c r="Z95" s="255"/>
      <c r="AA95" s="255"/>
      <c r="AB95" s="255"/>
      <c r="AC95" s="255"/>
      <c r="AD95" s="255"/>
    </row>
    <row r="96" spans="2:30" s="283" customFormat="1" ht="11.25" customHeight="1">
      <c r="C96" s="291" t="str">
        <f>+$C19</f>
        <v xml:space="preserve">  Senior Secured Notes</v>
      </c>
      <c r="E96" s="255"/>
      <c r="F96" s="255"/>
      <c r="G96" s="255"/>
      <c r="H96" s="255"/>
      <c r="I96" s="255"/>
      <c r="J96" s="255"/>
      <c r="K96" s="255"/>
      <c r="L96" s="255"/>
      <c r="M96" s="255"/>
      <c r="N96" s="255"/>
      <c r="O96" s="255"/>
      <c r="P96" s="255"/>
      <c r="Q96" s="255"/>
      <c r="R96" s="255"/>
      <c r="S96" s="255">
        <f t="shared" ref="S96:T98" si="39">+S70*$D19/4</f>
        <v>34.902175</v>
      </c>
      <c r="T96" s="255">
        <f t="shared" si="39"/>
        <v>34.041525</v>
      </c>
      <c r="Y96" s="255"/>
      <c r="Z96" s="255"/>
      <c r="AA96" s="255"/>
      <c r="AB96" s="255">
        <f t="shared" ref="AB96:AD98" si="40">+AB70*$D19</f>
        <v>127.55959999999999</v>
      </c>
      <c r="AC96" s="255">
        <f t="shared" si="40"/>
        <v>113.78920000000001</v>
      </c>
      <c r="AD96" s="255">
        <f t="shared" si="40"/>
        <v>100.01879999999998</v>
      </c>
    </row>
    <row r="97" spans="2:34" s="283" customFormat="1" ht="11.25" customHeight="1">
      <c r="C97" s="291" t="str">
        <f>+$C20</f>
        <v xml:space="preserve">  Term Loan</v>
      </c>
      <c r="E97" s="255"/>
      <c r="F97" s="255"/>
      <c r="G97" s="255"/>
      <c r="H97" s="255"/>
      <c r="I97" s="255"/>
      <c r="J97" s="255"/>
      <c r="K97" s="255"/>
      <c r="L97" s="255"/>
      <c r="M97" s="255"/>
      <c r="N97" s="255"/>
      <c r="O97" s="255"/>
      <c r="P97" s="255"/>
      <c r="Q97" s="255"/>
      <c r="R97" s="255"/>
      <c r="S97" s="255">
        <f t="shared" si="39"/>
        <v>0</v>
      </c>
      <c r="T97" s="255">
        <f t="shared" si="39"/>
        <v>0</v>
      </c>
      <c r="Y97" s="255"/>
      <c r="Z97" s="255"/>
      <c r="AA97" s="255"/>
      <c r="AB97" s="255">
        <f t="shared" si="40"/>
        <v>0</v>
      </c>
      <c r="AC97" s="255">
        <f t="shared" si="40"/>
        <v>0</v>
      </c>
      <c r="AD97" s="255">
        <f t="shared" si="40"/>
        <v>0</v>
      </c>
    </row>
    <row r="98" spans="2:34" s="283" customFormat="1" ht="11.25" customHeight="1">
      <c r="C98" s="291" t="str">
        <f>+$C21</f>
        <v xml:space="preserve">  Revolving Credit Facility</v>
      </c>
      <c r="E98" s="255"/>
      <c r="F98" s="255"/>
      <c r="G98" s="255"/>
      <c r="H98" s="255"/>
      <c r="I98" s="255"/>
      <c r="J98" s="255"/>
      <c r="K98" s="255"/>
      <c r="L98" s="255"/>
      <c r="M98" s="255"/>
      <c r="N98" s="255"/>
      <c r="O98" s="255"/>
      <c r="P98" s="255"/>
      <c r="Q98" s="255"/>
      <c r="R98" s="255"/>
      <c r="S98" s="255">
        <f t="shared" si="39"/>
        <v>0</v>
      </c>
      <c r="T98" s="255">
        <f t="shared" si="39"/>
        <v>0</v>
      </c>
      <c r="Y98" s="255"/>
      <c r="Z98" s="255"/>
      <c r="AA98" s="255"/>
      <c r="AB98" s="255">
        <f t="shared" si="40"/>
        <v>0</v>
      </c>
      <c r="AC98" s="255">
        <f t="shared" si="40"/>
        <v>0</v>
      </c>
      <c r="AD98" s="255">
        <f t="shared" si="40"/>
        <v>0</v>
      </c>
    </row>
    <row r="99" spans="2:34" s="283" customFormat="1" ht="11.25" customHeight="1">
      <c r="C99" s="291"/>
      <c r="E99" s="255"/>
      <c r="F99" s="255"/>
      <c r="G99" s="255"/>
      <c r="H99" s="255"/>
      <c r="I99" s="255"/>
      <c r="J99" s="255"/>
      <c r="K99" s="255"/>
      <c r="L99" s="255"/>
      <c r="M99" s="255"/>
      <c r="N99" s="255"/>
      <c r="O99" s="255"/>
      <c r="P99" s="255"/>
      <c r="Q99" s="255"/>
      <c r="R99" s="255"/>
      <c r="S99" s="255"/>
      <c r="T99" s="255"/>
      <c r="Y99" s="255"/>
      <c r="Z99" s="255"/>
      <c r="AA99" s="255"/>
      <c r="AB99" s="255"/>
      <c r="AC99" s="255"/>
      <c r="AD99" s="255"/>
    </row>
    <row r="100" spans="2:34" s="283" customFormat="1" ht="11.25" customHeight="1">
      <c r="C100" s="291" t="str">
        <f>+$C23</f>
        <v>Financing arrangements secured by aircraft:</v>
      </c>
      <c r="E100" s="255"/>
      <c r="F100" s="255"/>
      <c r="G100" s="255"/>
      <c r="H100" s="255"/>
      <c r="I100" s="255"/>
      <c r="J100" s="255"/>
      <c r="K100" s="255"/>
      <c r="L100" s="255"/>
      <c r="M100" s="255"/>
      <c r="N100" s="255"/>
      <c r="O100" s="255"/>
      <c r="P100" s="255"/>
      <c r="Q100" s="255"/>
      <c r="R100" s="255"/>
      <c r="S100" s="255"/>
      <c r="T100" s="255"/>
      <c r="Y100" s="255"/>
      <c r="Z100" s="255"/>
      <c r="AA100" s="255"/>
      <c r="AB100" s="255"/>
      <c r="AC100" s="255"/>
      <c r="AD100" s="255"/>
    </row>
    <row r="101" spans="2:34" s="283" customFormat="1" ht="11.25" customHeight="1">
      <c r="C101" s="291" t="str">
        <f>+$C24</f>
        <v xml:space="preserve">  Certificates</v>
      </c>
      <c r="E101" s="255"/>
      <c r="F101" s="255"/>
      <c r="G101" s="255"/>
      <c r="H101" s="255"/>
      <c r="I101" s="255"/>
      <c r="J101" s="255"/>
      <c r="K101" s="255"/>
      <c r="L101" s="255"/>
      <c r="M101" s="255"/>
      <c r="N101" s="255"/>
      <c r="O101" s="255"/>
      <c r="P101" s="255"/>
      <c r="Q101" s="255"/>
      <c r="R101" s="255"/>
      <c r="S101" s="255">
        <f t="shared" ref="S101:T103" si="41">+S75*$D24/4</f>
        <v>23.0975</v>
      </c>
      <c r="T101" s="255">
        <f t="shared" si="41"/>
        <v>22.6175</v>
      </c>
      <c r="Y101" s="255"/>
      <c r="Z101" s="255"/>
      <c r="AA101" s="255"/>
      <c r="AB101" s="255">
        <f t="shared" ref="AB101:AD103" si="42">+AB75*$D24</f>
        <v>85.67</v>
      </c>
      <c r="AC101" s="255">
        <f t="shared" si="42"/>
        <v>77.990000000000009</v>
      </c>
      <c r="AD101" s="255">
        <f t="shared" si="42"/>
        <v>70.31</v>
      </c>
    </row>
    <row r="102" spans="2:34" s="283" customFormat="1" ht="11.25" customHeight="1">
      <c r="C102" s="291" t="str">
        <f>+$C25</f>
        <v xml:space="preserve">  Notes</v>
      </c>
      <c r="E102" s="255"/>
      <c r="F102" s="255"/>
      <c r="G102" s="255"/>
      <c r="H102" s="255"/>
      <c r="I102" s="255"/>
      <c r="J102" s="255"/>
      <c r="K102" s="255"/>
      <c r="L102" s="255"/>
      <c r="M102" s="255"/>
      <c r="N102" s="255"/>
      <c r="O102" s="255"/>
      <c r="P102" s="255"/>
      <c r="Q102" s="255"/>
      <c r="R102" s="255"/>
      <c r="S102" s="255">
        <f t="shared" si="41"/>
        <v>7.9825604999999999</v>
      </c>
      <c r="T102" s="255">
        <f t="shared" si="41"/>
        <v>7.8102314999999987</v>
      </c>
      <c r="Y102" s="255"/>
      <c r="Z102" s="255"/>
      <c r="AA102" s="255"/>
      <c r="AB102" s="255">
        <f t="shared" si="42"/>
        <v>29.517635999999996</v>
      </c>
      <c r="AC102" s="255">
        <f t="shared" si="42"/>
        <v>26.760371999999997</v>
      </c>
      <c r="AD102" s="255">
        <f t="shared" si="42"/>
        <v>24.00310799999999</v>
      </c>
    </row>
    <row r="103" spans="2:34" s="283" customFormat="1" ht="11.25" customHeight="1">
      <c r="C103" s="291" t="str">
        <f>+$C26</f>
        <v xml:space="preserve">  New Aircraft Notes</v>
      </c>
      <c r="E103" s="255"/>
      <c r="F103" s="255"/>
      <c r="G103" s="255"/>
      <c r="H103" s="255"/>
      <c r="I103" s="255"/>
      <c r="J103" s="255"/>
      <c r="K103" s="255"/>
      <c r="L103" s="255"/>
      <c r="M103" s="255"/>
      <c r="N103" s="255"/>
      <c r="O103" s="255"/>
      <c r="P103" s="255"/>
      <c r="Q103" s="255"/>
      <c r="R103" s="255"/>
      <c r="S103" s="255">
        <f t="shared" si="41"/>
        <v>7.1139410187667567</v>
      </c>
      <c r="T103" s="255">
        <f t="shared" si="41"/>
        <v>21.613941018766759</v>
      </c>
      <c r="Y103" s="255"/>
      <c r="Z103" s="255"/>
      <c r="AA103" s="255"/>
      <c r="AB103" s="255">
        <f t="shared" si="42"/>
        <v>195.25</v>
      </c>
      <c r="AC103" s="255">
        <f t="shared" si="42"/>
        <v>361.5</v>
      </c>
      <c r="AD103" s="255">
        <f t="shared" si="42"/>
        <v>520.75</v>
      </c>
    </row>
    <row r="104" spans="2:34" s="283" customFormat="1" ht="11.25" customHeight="1">
      <c r="C104" s="291"/>
      <c r="E104" s="255"/>
      <c r="F104" s="255"/>
      <c r="G104" s="255"/>
      <c r="H104" s="255"/>
      <c r="I104" s="255"/>
      <c r="J104" s="255"/>
      <c r="K104" s="255"/>
      <c r="L104" s="255"/>
      <c r="M104" s="255"/>
      <c r="N104" s="255"/>
      <c r="O104" s="255"/>
      <c r="P104" s="255"/>
      <c r="Q104" s="255"/>
      <c r="R104" s="255"/>
      <c r="S104" s="255"/>
      <c r="T104" s="255"/>
      <c r="Y104" s="255"/>
      <c r="Z104" s="255"/>
      <c r="AA104" s="255"/>
      <c r="AB104" s="255"/>
      <c r="AC104" s="255"/>
      <c r="AD104" s="255"/>
    </row>
    <row r="105" spans="2:34" s="283" customFormat="1" ht="11.25" customHeight="1">
      <c r="C105" s="291" t="str">
        <f>+$C28</f>
        <v>NYTDC Special Facilities Revenue Bonds, Series 2020</v>
      </c>
      <c r="E105" s="255"/>
      <c r="F105" s="255"/>
      <c r="G105" s="255"/>
      <c r="H105" s="255"/>
      <c r="I105" s="255"/>
      <c r="J105" s="255"/>
      <c r="K105" s="255"/>
      <c r="L105" s="255"/>
      <c r="M105" s="255"/>
      <c r="N105" s="255"/>
      <c r="O105" s="255"/>
      <c r="P105" s="255"/>
      <c r="Q105" s="255"/>
      <c r="R105" s="255"/>
      <c r="S105" s="255">
        <f t="shared" ref="S105:T108" si="43">+S79*$D28/4</f>
        <v>31.608224999999997</v>
      </c>
      <c r="T105" s="255">
        <f t="shared" si="43"/>
        <v>30.969674999999995</v>
      </c>
      <c r="Y105" s="255"/>
      <c r="Z105" s="255"/>
      <c r="AA105" s="255"/>
      <c r="AB105" s="255">
        <f t="shared" ref="AB105:AD108" si="44">+AB79*$D28</f>
        <v>117.49319999999997</v>
      </c>
      <c r="AC105" s="255">
        <f t="shared" si="44"/>
        <v>107.27639999999998</v>
      </c>
      <c r="AD105" s="255">
        <f t="shared" si="44"/>
        <v>97.059599999999975</v>
      </c>
    </row>
    <row r="106" spans="2:34" s="283" customFormat="1" ht="11.25" customHeight="1">
      <c r="C106" s="291" t="str">
        <f>+$C29</f>
        <v>Other financings</v>
      </c>
      <c r="E106" s="255"/>
      <c r="F106" s="255"/>
      <c r="G106" s="255"/>
      <c r="H106" s="255"/>
      <c r="I106" s="255"/>
      <c r="J106" s="255"/>
      <c r="K106" s="255"/>
      <c r="L106" s="255"/>
      <c r="M106" s="255"/>
      <c r="N106" s="255"/>
      <c r="O106" s="255"/>
      <c r="P106" s="255"/>
      <c r="Q106" s="255"/>
      <c r="R106" s="255"/>
      <c r="S106" s="255">
        <f t="shared" si="43"/>
        <v>0.88441649999999994</v>
      </c>
      <c r="T106" s="255">
        <f t="shared" si="43"/>
        <v>0.86654950000000008</v>
      </c>
      <c r="Y106" s="255"/>
      <c r="Z106" s="255"/>
      <c r="AA106" s="255"/>
      <c r="AB106" s="255">
        <f t="shared" si="44"/>
        <v>3.287528</v>
      </c>
      <c r="AC106" s="255">
        <f t="shared" si="44"/>
        <v>3.0016560000000001</v>
      </c>
      <c r="AD106" s="255">
        <f t="shared" si="44"/>
        <v>2.7157840000000002</v>
      </c>
    </row>
    <row r="107" spans="2:34" s="283" customFormat="1" ht="11.25" customHeight="1">
      <c r="C107" s="291" t="str">
        <f>+$C30</f>
        <v>Credit Facility</v>
      </c>
      <c r="E107" s="255"/>
      <c r="F107" s="255"/>
      <c r="G107" s="255"/>
      <c r="H107" s="255"/>
      <c r="I107" s="255"/>
      <c r="J107" s="255"/>
      <c r="K107" s="255"/>
      <c r="L107" s="255"/>
      <c r="M107" s="255"/>
      <c r="N107" s="255"/>
      <c r="O107" s="255"/>
      <c r="P107" s="255"/>
      <c r="Q107" s="255"/>
      <c r="R107" s="255"/>
      <c r="S107" s="255">
        <f t="shared" ca="1" si="43"/>
        <v>7.25</v>
      </c>
      <c r="T107" s="255">
        <f t="shared" ca="1" si="43"/>
        <v>14.5</v>
      </c>
      <c r="Y107" s="255"/>
      <c r="Z107" s="255"/>
      <c r="AA107" s="255"/>
      <c r="AB107" s="255">
        <f t="shared" ca="1" si="44"/>
        <v>58</v>
      </c>
      <c r="AC107" s="255">
        <f t="shared" ca="1" si="44"/>
        <v>58</v>
      </c>
      <c r="AD107" s="255">
        <f t="shared" ca="1" si="44"/>
        <v>29</v>
      </c>
    </row>
    <row r="108" spans="2:34" s="283" customFormat="1" ht="11.25" customHeight="1">
      <c r="C108" s="291" t="str">
        <f>+$C31</f>
        <v>Additional Drawdown</v>
      </c>
      <c r="E108" s="255"/>
      <c r="F108" s="255"/>
      <c r="G108" s="255"/>
      <c r="H108" s="255"/>
      <c r="I108" s="255"/>
      <c r="J108" s="255"/>
      <c r="K108" s="255"/>
      <c r="L108" s="255"/>
      <c r="M108" s="255"/>
      <c r="N108" s="255"/>
      <c r="O108" s="255"/>
      <c r="P108" s="255"/>
      <c r="Q108" s="255"/>
      <c r="R108" s="255"/>
      <c r="S108" s="255">
        <f t="shared" ca="1" si="43"/>
        <v>476.30690363819474</v>
      </c>
      <c r="T108" s="255">
        <f t="shared" ca="1" si="43"/>
        <v>966.7692727093048</v>
      </c>
      <c r="Y108" s="255"/>
      <c r="Z108" s="255"/>
      <c r="AA108" s="255"/>
      <c r="AB108" s="255">
        <f t="shared" ca="1" si="44"/>
        <v>4043.0880295854813</v>
      </c>
      <c r="AC108" s="255">
        <f t="shared" ca="1" si="44"/>
        <v>4192.1520385145004</v>
      </c>
      <c r="AD108" s="255">
        <f t="shared" ca="1" si="44"/>
        <v>4329.7452292225635</v>
      </c>
    </row>
    <row r="109" spans="2:34" s="283" customFormat="1" ht="11.25" customHeight="1">
      <c r="C109" s="286" t="s">
        <v>278</v>
      </c>
      <c r="E109" s="280"/>
      <c r="F109" s="280"/>
      <c r="G109" s="280"/>
      <c r="H109" s="280"/>
      <c r="I109" s="305"/>
      <c r="J109" s="255"/>
      <c r="K109" s="280"/>
      <c r="L109" s="280"/>
      <c r="M109" s="280"/>
      <c r="N109" s="280"/>
      <c r="O109" s="280"/>
      <c r="P109" s="280"/>
      <c r="Q109" s="280"/>
      <c r="R109" s="280"/>
      <c r="S109" s="357">
        <f ca="1">IF(Circ=0,0,SUM(S87:S108))</f>
        <v>740.97434365696154</v>
      </c>
      <c r="T109" s="357">
        <f ca="1">IF(Circ=0,0,SUM(T87:T108))</f>
        <v>1249.9923607280716</v>
      </c>
      <c r="U109" s="280"/>
      <c r="V109" s="280"/>
      <c r="W109" s="280"/>
      <c r="X109" s="280"/>
      <c r="Y109" s="280"/>
      <c r="Z109" s="255"/>
      <c r="AA109" s="280"/>
      <c r="AB109" s="357">
        <f ca="1">IF(Circ=0,0,SUM(AB87:AB108))</f>
        <v>5233.8936725854819</v>
      </c>
      <c r="AC109" s="357">
        <f ca="1">IF(Circ=0,0,SUM(AC87:AC108))</f>
        <v>5460.2231995145003</v>
      </c>
      <c r="AD109" s="357">
        <f ca="1">IF(Circ=0,0,SUM(AD87:AD108))</f>
        <v>5596.8941832225637</v>
      </c>
    </row>
    <row r="110" spans="2:34" ht="11.25" customHeight="1">
      <c r="U110" s="280"/>
    </row>
    <row r="111" spans="2:34" ht="11.25" customHeight="1">
      <c r="B111" s="258" t="s">
        <v>133</v>
      </c>
      <c r="C111" s="259" t="s">
        <v>244</v>
      </c>
      <c r="D111" s="259"/>
      <c r="E111" s="258"/>
      <c r="F111" s="258"/>
      <c r="G111" s="258"/>
      <c r="H111" s="258"/>
      <c r="I111" s="258"/>
      <c r="J111" s="258"/>
      <c r="K111" s="258"/>
      <c r="L111" s="258"/>
      <c r="M111" s="258"/>
      <c r="N111" s="258"/>
      <c r="O111" s="258"/>
      <c r="P111" s="258"/>
      <c r="Q111" s="258"/>
      <c r="R111" s="258"/>
      <c r="S111" s="258"/>
      <c r="T111" s="258"/>
      <c r="U111" s="280"/>
      <c r="V111" s="258"/>
      <c r="W111" s="258"/>
      <c r="X111" s="258"/>
      <c r="Y111" s="258"/>
      <c r="Z111" s="258"/>
      <c r="AA111" s="258"/>
      <c r="AB111" s="258"/>
      <c r="AC111" s="258"/>
      <c r="AD111" s="258"/>
    </row>
    <row r="112" spans="2:34" ht="11.25" customHeight="1">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row>
    <row r="113" spans="3:34" ht="11.25" customHeight="1">
      <c r="C113" s="255" t="s">
        <v>161</v>
      </c>
      <c r="E113" s="287"/>
      <c r="F113" s="287"/>
      <c r="G113" s="287"/>
      <c r="H113" s="287"/>
      <c r="I113" s="277"/>
      <c r="J113" s="287"/>
      <c r="K113" s="287"/>
      <c r="L113" s="287"/>
      <c r="M113" s="287"/>
      <c r="N113" s="287"/>
      <c r="O113" s="287"/>
      <c r="P113" s="287"/>
      <c r="Q113" s="287"/>
      <c r="R113" s="287"/>
      <c r="S113" s="287">
        <f ca="1">'DAL Financials'!S112</f>
        <v>-119.34933975076092</v>
      </c>
      <c r="T113" s="287">
        <f ca="1">'DAL Financials'!T112</f>
        <v>-1685.4873472842644</v>
      </c>
      <c r="U113" s="287"/>
      <c r="V113" s="287"/>
      <c r="W113" s="287"/>
      <c r="X113" s="287"/>
      <c r="Z113" s="287"/>
      <c r="AA113" s="287"/>
      <c r="AB113" s="287">
        <f ca="1">'DAL Financials'!AB112</f>
        <v>-6591.4642769415805</v>
      </c>
      <c r="AC113" s="287">
        <f ca="1">'DAL Financials'!AC112</f>
        <v>-2812.6841835951782</v>
      </c>
      <c r="AD113" s="287">
        <f ca="1">'DAL Financials'!AD112</f>
        <v>-1013.6643294825708</v>
      </c>
      <c r="AE113" s="277"/>
      <c r="AF113" s="277"/>
      <c r="AG113" s="277"/>
      <c r="AH113" s="254"/>
    </row>
    <row r="114" spans="3:34" ht="11.25" customHeight="1">
      <c r="C114" s="255" t="s">
        <v>245</v>
      </c>
      <c r="E114" s="287"/>
      <c r="F114" s="287"/>
      <c r="G114" s="287"/>
      <c r="H114" s="287"/>
      <c r="I114" s="277"/>
      <c r="J114" s="287"/>
      <c r="K114" s="287"/>
      <c r="L114" s="287"/>
      <c r="M114" s="287"/>
      <c r="N114" s="287"/>
      <c r="O114" s="287"/>
      <c r="P114" s="287"/>
      <c r="Q114" s="287"/>
      <c r="R114" s="287"/>
      <c r="S114" s="287">
        <f>'DAL Financials'!S254</f>
        <v>9552</v>
      </c>
      <c r="T114" s="287">
        <f ca="1">'DAL Financials'!T254</f>
        <v>98226</v>
      </c>
      <c r="U114" s="287"/>
      <c r="V114" s="287"/>
      <c r="W114" s="287"/>
      <c r="X114" s="287"/>
      <c r="Y114" s="254"/>
      <c r="Z114" s="287"/>
      <c r="AA114" s="287"/>
      <c r="AB114" s="287">
        <f ca="1">'DAL Financials'!AB254</f>
        <v>99999.999999999985</v>
      </c>
      <c r="AC114" s="287">
        <f ca="1">'DAL Financials'!AC254</f>
        <v>100000.00000000102</v>
      </c>
      <c r="AD114" s="287">
        <f ca="1">'DAL Financials'!AD254</f>
        <v>100000.0000000221</v>
      </c>
      <c r="AE114" s="277"/>
      <c r="AF114" s="277"/>
      <c r="AG114" s="277"/>
      <c r="AH114" s="254"/>
    </row>
    <row r="115" spans="3:34" ht="11.25" customHeight="1">
      <c r="C115" s="255" t="s">
        <v>246</v>
      </c>
      <c r="D115" s="333">
        <v>100000</v>
      </c>
      <c r="E115" s="277"/>
      <c r="F115" s="277"/>
      <c r="G115" s="254"/>
      <c r="H115" s="254"/>
      <c r="I115" s="277"/>
      <c r="J115" s="254"/>
      <c r="K115" s="254"/>
      <c r="L115" s="254"/>
      <c r="M115" s="254"/>
      <c r="N115" s="254"/>
      <c r="O115" s="254"/>
      <c r="P115" s="254"/>
      <c r="Q115" s="254"/>
      <c r="R115" s="254"/>
      <c r="S115" s="254">
        <f>-$D$115</f>
        <v>-100000</v>
      </c>
      <c r="T115" s="254">
        <f>-$D$115</f>
        <v>-100000</v>
      </c>
      <c r="U115" s="277"/>
      <c r="V115" s="277"/>
      <c r="W115" s="277"/>
      <c r="X115" s="277"/>
      <c r="Y115" s="254"/>
      <c r="Z115" s="254"/>
      <c r="AA115" s="254"/>
      <c r="AB115" s="254">
        <f>-$D$115</f>
        <v>-100000</v>
      </c>
      <c r="AC115" s="254">
        <f>-$D$115</f>
        <v>-100000</v>
      </c>
      <c r="AD115" s="254">
        <f>-$D$115</f>
        <v>-100000</v>
      </c>
      <c r="AE115" s="277"/>
      <c r="AF115" s="277"/>
      <c r="AG115" s="277"/>
      <c r="AH115" s="277"/>
    </row>
    <row r="116" spans="3:34" ht="11.25" customHeight="1">
      <c r="C116" s="286" t="s">
        <v>279</v>
      </c>
      <c r="E116" s="254"/>
      <c r="F116" s="254"/>
      <c r="G116" s="254"/>
      <c r="H116" s="254"/>
      <c r="I116" s="277"/>
      <c r="J116" s="254"/>
      <c r="K116" s="254"/>
      <c r="L116" s="254"/>
      <c r="M116" s="254"/>
      <c r="N116" s="254"/>
      <c r="O116" s="254"/>
      <c r="P116" s="254"/>
      <c r="Q116" s="254"/>
      <c r="R116" s="254"/>
      <c r="S116" s="359">
        <f ca="1">SUM(S113:S115)</f>
        <v>-90567.349339750755</v>
      </c>
      <c r="T116" s="359">
        <f ca="1">SUM(T113:T115)</f>
        <v>-3459.4873472842592</v>
      </c>
      <c r="U116" s="254"/>
      <c r="V116" s="254"/>
      <c r="W116" s="254"/>
      <c r="X116" s="254"/>
      <c r="Y116" s="254"/>
      <c r="Z116" s="254"/>
      <c r="AA116" s="254"/>
      <c r="AB116" s="359">
        <f ca="1">SUM(AB113:AB115)</f>
        <v>-6591.464276941595</v>
      </c>
      <c r="AC116" s="359">
        <f ca="1">SUM(AC113:AC115)</f>
        <v>-2812.6841835941595</v>
      </c>
      <c r="AD116" s="359">
        <f ca="1">SUM(AD113:AD115)</f>
        <v>-1013.6643294604728</v>
      </c>
      <c r="AE116" s="277"/>
      <c r="AF116" s="277"/>
      <c r="AG116" s="277"/>
      <c r="AH116" s="254"/>
    </row>
    <row r="117" spans="3:34" ht="11.25" customHeight="1">
      <c r="C117" s="255" t="s">
        <v>247</v>
      </c>
      <c r="E117" s="254"/>
      <c r="F117" s="254"/>
      <c r="G117" s="254"/>
      <c r="H117" s="254"/>
      <c r="I117" s="277"/>
      <c r="J117" s="254"/>
      <c r="K117" s="254"/>
      <c r="L117" s="254"/>
      <c r="M117" s="254"/>
      <c r="N117" s="254"/>
      <c r="O117" s="254"/>
      <c r="P117" s="254"/>
      <c r="Q117" s="254"/>
      <c r="R117" s="254"/>
      <c r="S117" s="254">
        <f>-S57</f>
        <v>835.37056300268102</v>
      </c>
      <c r="T117" s="254">
        <f>-T57</f>
        <v>878.90943699731895</v>
      </c>
      <c r="U117" s="254"/>
      <c r="V117" s="254"/>
      <c r="W117" s="254"/>
      <c r="X117" s="254"/>
      <c r="Y117" s="254"/>
      <c r="Z117" s="254"/>
      <c r="AA117" s="254"/>
      <c r="AB117" s="254">
        <f>-AB57</f>
        <v>1150.23</v>
      </c>
      <c r="AC117" s="254">
        <f>-AC57</f>
        <v>1460.23</v>
      </c>
      <c r="AD117" s="254">
        <f>-AD57</f>
        <v>-1004.7799999999997</v>
      </c>
      <c r="AE117" s="277"/>
      <c r="AF117" s="277"/>
      <c r="AG117" s="277"/>
      <c r="AH117" s="254"/>
    </row>
    <row r="118" spans="3:34" s="283" customFormat="1" ht="11.25" customHeight="1">
      <c r="C118" s="286" t="s">
        <v>280</v>
      </c>
      <c r="E118" s="280"/>
      <c r="F118" s="280"/>
      <c r="G118" s="280"/>
      <c r="H118" s="254"/>
      <c r="I118" s="277"/>
      <c r="J118" s="280"/>
      <c r="K118" s="280"/>
      <c r="L118" s="280"/>
      <c r="M118" s="280"/>
      <c r="N118" s="280"/>
      <c r="O118" s="280"/>
      <c r="P118" s="280"/>
      <c r="Q118" s="280"/>
      <c r="R118" s="280"/>
      <c r="S118" s="357">
        <f ca="1">SUM(S116:S117)</f>
        <v>-89731.978776748074</v>
      </c>
      <c r="T118" s="357">
        <f ca="1">SUM(T116:T117)</f>
        <v>-2580.5779102869401</v>
      </c>
      <c r="U118" s="280"/>
      <c r="V118" s="280"/>
      <c r="W118" s="280"/>
      <c r="X118" s="280"/>
      <c r="Y118" s="280"/>
      <c r="Z118" s="280"/>
      <c r="AA118" s="254"/>
      <c r="AB118" s="357">
        <f ca="1">SUM(AB116:AB117)</f>
        <v>-5441.2342769415955</v>
      </c>
      <c r="AC118" s="357">
        <f ca="1">SUM(AC116:AC117)</f>
        <v>-1352.4541835941595</v>
      </c>
      <c r="AD118" s="357">
        <f ca="1">SUM(AD116:AD117)</f>
        <v>-2018.4443294604725</v>
      </c>
      <c r="AE118" s="285"/>
      <c r="AF118" s="285"/>
      <c r="AG118" s="285"/>
      <c r="AH118" s="280"/>
    </row>
    <row r="119" spans="3:34" s="283" customFormat="1" ht="11.25" customHeight="1">
      <c r="C119" s="286"/>
      <c r="E119" s="280"/>
      <c r="F119" s="280"/>
      <c r="G119" s="280"/>
      <c r="H119" s="254"/>
      <c r="I119" s="277"/>
      <c r="J119" s="280"/>
      <c r="K119" s="280"/>
      <c r="L119" s="254"/>
      <c r="M119" s="254"/>
      <c r="N119" s="254"/>
      <c r="O119" s="254"/>
      <c r="P119" s="254"/>
      <c r="Q119" s="254"/>
      <c r="R119" s="254"/>
      <c r="S119" s="280"/>
      <c r="T119" s="280"/>
      <c r="U119" s="280"/>
      <c r="V119" s="280"/>
      <c r="W119" s="280"/>
      <c r="X119" s="280"/>
      <c r="Y119" s="280"/>
      <c r="Z119" s="280"/>
      <c r="AA119" s="254"/>
      <c r="AB119" s="280"/>
      <c r="AC119" s="280"/>
      <c r="AD119" s="280"/>
      <c r="AE119" s="285"/>
      <c r="AF119" s="285"/>
      <c r="AG119" s="285"/>
      <c r="AH119" s="280"/>
    </row>
    <row r="120" spans="3:34" ht="11.25" customHeight="1">
      <c r="C120" s="283" t="s">
        <v>248</v>
      </c>
      <c r="D120" s="372">
        <f>+'DAL One Pager'!S29</f>
        <v>2900</v>
      </c>
      <c r="E120" s="277"/>
      <c r="F120" s="277"/>
      <c r="G120" s="280"/>
      <c r="H120" s="277"/>
      <c r="I120" s="277"/>
      <c r="J120" s="277"/>
      <c r="K120" s="277"/>
      <c r="L120" s="254"/>
      <c r="M120" s="254"/>
      <c r="N120" s="254"/>
      <c r="O120" s="254"/>
      <c r="P120" s="254"/>
      <c r="Q120" s="254"/>
      <c r="R120" s="254"/>
      <c r="S120" s="277"/>
      <c r="T120" s="277"/>
      <c r="U120" s="277"/>
      <c r="V120" s="277"/>
      <c r="W120" s="277"/>
      <c r="X120" s="277"/>
      <c r="Y120" s="277"/>
      <c r="Z120" s="277"/>
      <c r="AA120" s="277"/>
      <c r="AB120" s="277"/>
      <c r="AC120" s="277"/>
      <c r="AD120" s="277"/>
      <c r="AE120" s="277"/>
      <c r="AF120" s="277"/>
      <c r="AG120" s="277"/>
      <c r="AH120" s="277"/>
    </row>
    <row r="121" spans="3:34" ht="11.25" customHeight="1">
      <c r="C121" s="282" t="s">
        <v>249</v>
      </c>
      <c r="E121" s="254"/>
      <c r="F121" s="254"/>
      <c r="G121" s="280"/>
      <c r="H121" s="254"/>
      <c r="I121" s="254"/>
      <c r="J121" s="254"/>
      <c r="K121" s="254"/>
      <c r="L121" s="254"/>
      <c r="M121" s="254"/>
      <c r="N121" s="254"/>
      <c r="O121" s="254"/>
      <c r="P121" s="254"/>
      <c r="Q121" s="254"/>
      <c r="R121" s="254"/>
      <c r="S121" s="254">
        <f ca="1">+R123</f>
        <v>0</v>
      </c>
      <c r="T121" s="254">
        <f ca="1">+S123</f>
        <v>2900</v>
      </c>
      <c r="U121" s="254"/>
      <c r="V121" s="254"/>
      <c r="W121" s="254"/>
      <c r="X121" s="254"/>
      <c r="Y121" s="254"/>
      <c r="Z121" s="254"/>
      <c r="AA121" s="254"/>
      <c r="AB121" s="254">
        <f ca="1">+AA123</f>
        <v>2900</v>
      </c>
      <c r="AC121" s="254">
        <f ca="1">+AB123</f>
        <v>2900</v>
      </c>
      <c r="AD121" s="254">
        <f ca="1">+AC123</f>
        <v>2900</v>
      </c>
      <c r="AE121" s="277"/>
      <c r="AF121" s="277"/>
      <c r="AG121" s="277"/>
      <c r="AH121" s="254"/>
    </row>
    <row r="122" spans="3:34" ht="11.25" customHeight="1">
      <c r="C122" s="282" t="s">
        <v>250</v>
      </c>
      <c r="E122" s="254"/>
      <c r="F122" s="254"/>
      <c r="G122" s="280"/>
      <c r="H122" s="254"/>
      <c r="I122" s="254"/>
      <c r="J122" s="254"/>
      <c r="K122" s="254"/>
      <c r="L122" s="254"/>
      <c r="M122" s="254"/>
      <c r="N122" s="254"/>
      <c r="O122" s="254"/>
      <c r="P122" s="254"/>
      <c r="Q122" s="254"/>
      <c r="R122" s="254"/>
      <c r="S122" s="254">
        <f ca="1">IF(S6&lt;$AF$122,IF(AND(S118&lt;0,ABS(S118)&lt;($D$120-R123)),-S118,IF(S118&gt;0,-MIN(S118,S121),($D$120-R123))),-S121)</f>
        <v>2900</v>
      </c>
      <c r="T122" s="254">
        <f ca="1">IF(T6&lt;$AF$122,IF(AND(T118&lt;0,ABS(T118)&lt;($D$120-S123)),-T118,IF(T118&gt;0,-MIN(T118,T121),($D$120-S123))),-T121)</f>
        <v>0</v>
      </c>
      <c r="U122" s="254"/>
      <c r="V122" s="254"/>
      <c r="W122" s="254"/>
      <c r="X122" s="254"/>
      <c r="AA122" s="254"/>
      <c r="AB122" s="254">
        <f ca="1">IF(AB6&lt;$AF$122,IF(AND(AB118&lt;0,ABS(AB118)&lt;($D$120-AA123)),-AB118,IF(AB118&gt;0,-MIN(AB118,AB121),($D$120-AA123))),-AB121)</f>
        <v>0</v>
      </c>
      <c r="AC122" s="254">
        <f ca="1">IF(AC6&lt;$AF$122,IF(AND(AC118&lt;0,ABS(AC118)&lt;($D$120-AB123)),-AC118,IF(AC118&gt;0,-MIN(AC118,AC121),($D$120-AB123))),-AC121)</f>
        <v>0</v>
      </c>
      <c r="AD122" s="254">
        <f ca="1">IF(AD6&lt;$AF$122,IF(AND(AD118&lt;0,ABS(AD118)&lt;($D$120-AC123)),-AD118,IF(AD118&gt;0,-MIN(AD118,AD121),($D$120-AC123))),-AD121)</f>
        <v>-2900</v>
      </c>
      <c r="AE122" s="277"/>
      <c r="AF122" s="295">
        <f>+AF30</f>
        <v>45701</v>
      </c>
      <c r="AG122" s="284" t="s">
        <v>251</v>
      </c>
      <c r="AH122" s="254"/>
    </row>
    <row r="123" spans="3:34" ht="11.25" customHeight="1">
      <c r="C123" s="281" t="s">
        <v>281</v>
      </c>
      <c r="E123" s="254"/>
      <c r="F123" s="254"/>
      <c r="G123" s="280"/>
      <c r="H123" s="254"/>
      <c r="I123" s="254"/>
      <c r="J123" s="280"/>
      <c r="K123" s="280"/>
      <c r="L123" s="254"/>
      <c r="M123" s="254"/>
      <c r="N123" s="254"/>
      <c r="O123" s="254"/>
      <c r="P123" s="254"/>
      <c r="Q123" s="254"/>
      <c r="R123" s="357">
        <f ca="1">+R30</f>
        <v>0</v>
      </c>
      <c r="S123" s="357">
        <f ca="1">SUM(S121:S122)</f>
        <v>2900</v>
      </c>
      <c r="T123" s="357">
        <f ca="1">SUM(T121:T122)</f>
        <v>2900</v>
      </c>
      <c r="U123" s="280"/>
      <c r="V123" s="280"/>
      <c r="W123" s="280"/>
      <c r="X123" s="280"/>
      <c r="Y123" s="280"/>
      <c r="AA123" s="357">
        <f ca="1">+T123</f>
        <v>2900</v>
      </c>
      <c r="AB123" s="357">
        <f ca="1">SUM(AB121:AB122)</f>
        <v>2900</v>
      </c>
      <c r="AC123" s="357">
        <f ca="1">SUM(AC121:AC122)</f>
        <v>2900</v>
      </c>
      <c r="AD123" s="357">
        <f ca="1">SUM(AD121:AD122)</f>
        <v>0</v>
      </c>
      <c r="AE123" s="277"/>
      <c r="AF123" s="277"/>
      <c r="AG123" s="277"/>
      <c r="AH123" s="280"/>
    </row>
    <row r="124" spans="3:34" ht="11.25" customHeight="1">
      <c r="E124" s="277"/>
      <c r="F124" s="277"/>
      <c r="G124" s="280"/>
      <c r="H124" s="277"/>
      <c r="I124" s="254"/>
      <c r="J124" s="254"/>
      <c r="K124" s="277"/>
      <c r="L124" s="254"/>
      <c r="M124" s="254"/>
      <c r="N124" s="254"/>
      <c r="O124" s="254"/>
      <c r="P124" s="254"/>
      <c r="Q124" s="254"/>
      <c r="R124" s="277"/>
      <c r="S124" s="277"/>
      <c r="T124" s="277"/>
      <c r="U124" s="277"/>
      <c r="V124" s="277"/>
      <c r="W124" s="277"/>
      <c r="X124" s="277"/>
      <c r="Y124" s="277"/>
      <c r="Z124" s="277"/>
      <c r="AA124" s="277"/>
      <c r="AB124" s="277"/>
      <c r="AC124" s="277"/>
      <c r="AD124" s="277"/>
      <c r="AE124" s="277"/>
      <c r="AF124" s="277"/>
      <c r="AG124" s="277"/>
      <c r="AH124" s="277"/>
    </row>
    <row r="125" spans="3:34" ht="11.25" customHeight="1">
      <c r="C125" s="283" t="s">
        <v>282</v>
      </c>
      <c r="E125" s="277"/>
      <c r="F125" s="277"/>
      <c r="G125" s="280"/>
      <c r="H125" s="277"/>
      <c r="I125" s="254"/>
      <c r="J125" s="254"/>
      <c r="K125" s="277"/>
      <c r="L125" s="254"/>
      <c r="M125" s="254"/>
      <c r="N125" s="254"/>
      <c r="O125" s="254"/>
      <c r="P125" s="254"/>
      <c r="Q125" s="254"/>
      <c r="R125" s="277"/>
      <c r="S125" s="277"/>
      <c r="T125" s="277"/>
      <c r="U125" s="277"/>
      <c r="V125" s="277"/>
      <c r="W125" s="277"/>
      <c r="X125" s="277"/>
      <c r="Y125" s="277"/>
      <c r="Z125" s="277"/>
      <c r="AA125" s="277"/>
      <c r="AB125" s="277"/>
      <c r="AC125" s="277"/>
      <c r="AD125" s="277"/>
      <c r="AE125" s="277"/>
      <c r="AF125" s="277"/>
      <c r="AG125" s="277"/>
      <c r="AH125" s="277"/>
    </row>
    <row r="126" spans="3:34" ht="11.25" customHeight="1">
      <c r="C126" s="282" t="s">
        <v>249</v>
      </c>
      <c r="E126" s="254"/>
      <c r="F126" s="254"/>
      <c r="G126" s="280"/>
      <c r="H126" s="277"/>
      <c r="I126" s="254"/>
      <c r="J126" s="254"/>
      <c r="K126" s="254"/>
      <c r="L126" s="254"/>
      <c r="M126" s="254"/>
      <c r="N126" s="254"/>
      <c r="O126" s="254"/>
      <c r="P126" s="254"/>
      <c r="Q126" s="254"/>
      <c r="R126" s="254"/>
      <c r="S126" s="254">
        <f>R128</f>
        <v>0</v>
      </c>
      <c r="T126" s="254">
        <f ca="1">S128</f>
        <v>86831.978776748074</v>
      </c>
      <c r="U126" s="254"/>
      <c r="V126" s="254"/>
      <c r="W126" s="254"/>
      <c r="X126" s="254"/>
      <c r="Y126" s="254"/>
      <c r="Z126" s="254"/>
      <c r="AA126" s="254"/>
      <c r="AB126" s="254">
        <f ca="1">T128</f>
        <v>89412.556687035016</v>
      </c>
      <c r="AC126" s="254">
        <f ca="1">AB128</f>
        <v>94853.790963976979</v>
      </c>
      <c r="AD126" s="254">
        <f ca="1">AC128</f>
        <v>96206.245147581431</v>
      </c>
      <c r="AE126" s="277"/>
      <c r="AF126" s="277"/>
      <c r="AG126" s="277"/>
      <c r="AH126" s="254"/>
    </row>
    <row r="127" spans="3:34" ht="11.25" customHeight="1">
      <c r="C127" s="282" t="s">
        <v>250</v>
      </c>
      <c r="E127" s="254"/>
      <c r="F127" s="254"/>
      <c r="G127" s="280"/>
      <c r="H127" s="277"/>
      <c r="I127" s="254"/>
      <c r="J127" s="254"/>
      <c r="K127" s="254"/>
      <c r="L127" s="254"/>
      <c r="M127" s="254"/>
      <c r="N127" s="254"/>
      <c r="O127" s="254"/>
      <c r="P127" s="254"/>
      <c r="Q127" s="254"/>
      <c r="R127" s="254"/>
      <c r="S127" s="254">
        <f ca="1">+IF(AND(S118&lt;0,ABS(S118)&gt;(S122)),-MIN(S118+S122),IF(S118&gt;0,-MIN((S118+S122),S126),0))</f>
        <v>86831.978776748074</v>
      </c>
      <c r="T127" s="254">
        <f ca="1">+IF(AND(T118&lt;0,ABS(T118)&gt;(T122)),-MIN(T118+T122),IF(T118&gt;0,-MIN((T118+T122),T126),0))</f>
        <v>2580.5779102869401</v>
      </c>
      <c r="U127" s="254"/>
      <c r="V127" s="254"/>
      <c r="W127" s="254"/>
      <c r="X127" s="254"/>
      <c r="AA127" s="254"/>
      <c r="AB127" s="254">
        <f ca="1">+IF(AND(AB118&lt;0,ABS(AB118)&gt;(AB122)),-MIN(AB118+AB122),IF(AB118&gt;0,-MIN((AB118+AB122),AB126),0))</f>
        <v>5441.2342769415955</v>
      </c>
      <c r="AC127" s="254">
        <f ca="1">+IF(AND(AC118&lt;0,ABS(AC118)&gt;(AC122)),-MIN(AC118+AC122),IF(AC118&gt;0,-MIN((AC118+AC122),AC126),0))</f>
        <v>1352.4541835941595</v>
      </c>
      <c r="AD127" s="254">
        <f ca="1">+IF(AND(AD118&lt;0,ABS(AD118)&gt;(AD122)),-MIN(AD118+AD122),IF(AD118&gt;0,-MIN((AD118+AD122),AD126),0))</f>
        <v>4918.4443294604725</v>
      </c>
      <c r="AE127" s="277"/>
      <c r="AF127" s="277"/>
      <c r="AG127" s="277"/>
      <c r="AH127" s="254"/>
    </row>
    <row r="128" spans="3:34" ht="11.25" customHeight="1">
      <c r="C128" s="281" t="s">
        <v>281</v>
      </c>
      <c r="E128" s="277"/>
      <c r="F128" s="277"/>
      <c r="G128" s="280"/>
      <c r="H128" s="277"/>
      <c r="I128" s="254"/>
      <c r="J128" s="277"/>
      <c r="K128" s="277"/>
      <c r="L128" s="254"/>
      <c r="M128" s="254"/>
      <c r="N128" s="254"/>
      <c r="O128" s="254"/>
      <c r="P128" s="254"/>
      <c r="Q128" s="254"/>
      <c r="R128" s="732">
        <v>0</v>
      </c>
      <c r="S128" s="357">
        <f ca="1">SUM(S126:S127)</f>
        <v>86831.978776748074</v>
      </c>
      <c r="T128" s="357">
        <f ca="1">SUM(T126:T127)</f>
        <v>89412.556687035016</v>
      </c>
      <c r="U128" s="280"/>
      <c r="V128" s="280"/>
      <c r="W128" s="280"/>
      <c r="X128" s="280"/>
      <c r="Y128" s="280"/>
      <c r="AA128" s="254"/>
      <c r="AB128" s="357">
        <f ca="1">SUM(AB126:AB127)</f>
        <v>94853.790963976615</v>
      </c>
      <c r="AC128" s="357">
        <f ca="1">SUM(AC126:AC127)</f>
        <v>96206.245147571142</v>
      </c>
      <c r="AD128" s="357">
        <f ca="1">SUM(AD126:AD127)</f>
        <v>101124.6894770419</v>
      </c>
      <c r="AE128" s="277"/>
      <c r="AF128" s="277"/>
      <c r="AG128" s="277"/>
      <c r="AH128" s="280"/>
    </row>
    <row r="129" spans="2:34" ht="11.25" customHeight="1">
      <c r="E129" s="277"/>
      <c r="F129" s="277"/>
      <c r="G129" s="277"/>
      <c r="H129" s="277"/>
      <c r="I129" s="277"/>
      <c r="J129" s="254"/>
      <c r="K129" s="277"/>
      <c r="L129" s="254"/>
      <c r="M129" s="254"/>
      <c r="N129" s="254"/>
      <c r="O129" s="254"/>
      <c r="P129" s="254"/>
      <c r="Q129" s="277"/>
      <c r="R129" s="277"/>
      <c r="S129" s="277"/>
      <c r="T129" s="277"/>
      <c r="U129" s="277"/>
      <c r="V129" s="277"/>
      <c r="W129" s="277"/>
      <c r="X129" s="277"/>
      <c r="Y129" s="277"/>
      <c r="Z129" s="277"/>
      <c r="AA129" s="277"/>
      <c r="AB129" s="277"/>
      <c r="AC129" s="277"/>
      <c r="AD129" s="277"/>
      <c r="AE129" s="277"/>
      <c r="AF129" s="277"/>
      <c r="AG129" s="277"/>
      <c r="AH129" s="277"/>
    </row>
    <row r="130" spans="2:34" ht="11.25" customHeight="1">
      <c r="B130" s="255" t="s">
        <v>133</v>
      </c>
      <c r="L130" s="254"/>
      <c r="M130" s="254"/>
      <c r="N130" s="254"/>
      <c r="O130" s="254"/>
      <c r="P130" s="254"/>
    </row>
    <row r="131" spans="2:34" ht="11.25" customHeight="1">
      <c r="P131" s="254"/>
    </row>
  </sheetData>
  <hyperlinks>
    <hyperlink ref="S2" location="Circ" display="Circ" xr:uid="{19724063-36D3-4D04-8965-25A64B837603}"/>
  </hyperlinks>
  <pageMargins left="0" right="0" top="0.25" bottom="0.5" header="0" footer="0.5"/>
  <pageSetup scale="63" fitToHeight="2" pageOrder="overThenDown"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53CC0-FF41-42F0-A7FC-9809D27590CB}">
  <sheetPr>
    <tabColor theme="7" tint="0.39997558519241921"/>
  </sheetPr>
  <dimension ref="A1:G17"/>
  <sheetViews>
    <sheetView showGridLines="0" view="pageBreakPreview" zoomScaleNormal="100" zoomScaleSheetLayoutView="100" workbookViewId="0"/>
  </sheetViews>
  <sheetFormatPr defaultRowHeight="10.5" customHeight="1"/>
  <cols>
    <col min="1" max="2" width="1.73046875" customWidth="1"/>
    <col min="3" max="3" width="25.73046875" style="255" customWidth="1"/>
    <col min="4" max="5" width="8.73046875" style="255"/>
    <col min="9" max="9" width="25.73046875" customWidth="1"/>
  </cols>
  <sheetData>
    <row r="1" spans="1:7" ht="10.5" customHeight="1">
      <c r="A1" s="279" t="str">
        <f ca="1">'DAL One Pager'!D2</f>
        <v>Delta Air Lines Inc</v>
      </c>
      <c r="C1" s="279"/>
      <c r="D1" s="256"/>
      <c r="E1" s="256"/>
    </row>
    <row r="2" spans="1:7" ht="10.5" customHeight="1">
      <c r="A2" s="278" t="s">
        <v>1865</v>
      </c>
      <c r="C2" s="253"/>
      <c r="D2" s="1236" t="s">
        <v>1866</v>
      </c>
      <c r="E2" s="1237" t="s">
        <v>1867</v>
      </c>
    </row>
    <row r="3" spans="1:7" ht="10.5" customHeight="1">
      <c r="C3" s="277"/>
      <c r="D3" s="256"/>
      <c r="E3" s="277"/>
    </row>
    <row r="4" spans="1:7" s="1238" customFormat="1" ht="10.5" customHeight="1">
      <c r="B4" s="1239"/>
      <c r="C4" s="1240" t="s">
        <v>262</v>
      </c>
      <c r="D4" s="1261">
        <v>2022</v>
      </c>
      <c r="E4" s="1262"/>
      <c r="F4" s="1263" t="s">
        <v>1868</v>
      </c>
      <c r="G4" s="1264"/>
    </row>
    <row r="5" spans="1:7" s="1238" customFormat="1" ht="10.5" customHeight="1">
      <c r="B5" s="1241"/>
      <c r="C5" s="1241"/>
      <c r="D5" s="1242" t="s">
        <v>265</v>
      </c>
      <c r="E5" s="1242" t="s">
        <v>1869</v>
      </c>
      <c r="F5" s="1242" t="s">
        <v>1870</v>
      </c>
      <c r="G5" s="1243" t="s">
        <v>267</v>
      </c>
    </row>
    <row r="6" spans="1:7" ht="10.5" customHeight="1">
      <c r="D6" s="284"/>
      <c r="E6" s="284"/>
    </row>
    <row r="7" spans="1:7" ht="10.5" customHeight="1">
      <c r="C7" s="291" t="s">
        <v>1872</v>
      </c>
      <c r="D7" s="277">
        <v>11800.754240903803</v>
      </c>
      <c r="E7" s="287">
        <f>'DAL KPI'!$R$105</f>
        <v>12310</v>
      </c>
      <c r="F7" s="254">
        <f>E7-D7</f>
        <v>509.24575909619671</v>
      </c>
      <c r="G7" s="257">
        <f>F7/ABS(D7)</f>
        <v>4.3153661935526784E-2</v>
      </c>
    </row>
    <row r="8" spans="1:7" ht="10.5" customHeight="1">
      <c r="C8" s="291" t="s">
        <v>1873</v>
      </c>
      <c r="D8" s="277">
        <v>2036.2262960749676</v>
      </c>
      <c r="E8" s="287">
        <f ca="1">'DAL KPI'!$R$28</f>
        <v>2009</v>
      </c>
      <c r="F8" s="254">
        <f ca="1">E8-D8</f>
        <v>-27.226296074967649</v>
      </c>
      <c r="G8" s="257">
        <f t="shared" ref="G8" ca="1" si="0">F8/ABS(D8)</f>
        <v>-1.3370957897680179E-2</v>
      </c>
    </row>
    <row r="9" spans="1:7" ht="10.5" customHeight="1">
      <c r="C9" s="281"/>
      <c r="D9" s="277"/>
      <c r="E9" s="287"/>
    </row>
    <row r="10" spans="1:7" ht="10.5" customHeight="1">
      <c r="C10" s="283" t="s">
        <v>1871</v>
      </c>
      <c r="D10" s="277"/>
      <c r="E10" s="287"/>
    </row>
    <row r="11" spans="1:7" ht="10.5" customHeight="1">
      <c r="C11" s="255" t="s">
        <v>592</v>
      </c>
      <c r="D11" s="277">
        <v>60.738482140000002</v>
      </c>
      <c r="E11" s="287">
        <f>'DAL KPI'!R164</f>
        <v>58.902999999999999</v>
      </c>
      <c r="F11" s="254">
        <f t="shared" ref="F11:F13" si="1">E11-D11</f>
        <v>-1.8354821400000034</v>
      </c>
      <c r="G11" s="257">
        <f t="shared" ref="G11:G14" si="2">F11/ABS(D11)</f>
        <v>-3.0219427212047931E-2</v>
      </c>
    </row>
    <row r="12" spans="1:7" ht="10.5" customHeight="1">
      <c r="C12" s="255" t="s">
        <v>1874</v>
      </c>
      <c r="D12" s="1080">
        <v>19.918126648203312</v>
      </c>
      <c r="E12" s="1005">
        <f>'DAL KPI'!R205</f>
        <v>21.269822783827326</v>
      </c>
      <c r="F12" s="254">
        <f t="shared" si="1"/>
        <v>1.3516961356240138</v>
      </c>
      <c r="G12" s="257">
        <f t="shared" si="2"/>
        <v>6.7862613763726709E-2</v>
      </c>
    </row>
    <row r="13" spans="1:7" ht="10.5" customHeight="1">
      <c r="C13" s="255" t="s">
        <v>1875</v>
      </c>
      <c r="D13" s="699">
        <v>0.84866382017889519</v>
      </c>
      <c r="E13" s="1066">
        <f>'DAL KPI'!R184</f>
        <v>0.87464135952328403</v>
      </c>
      <c r="F13" s="254">
        <f t="shared" si="1"/>
        <v>2.5977539344388845E-2</v>
      </c>
      <c r="G13" s="257">
        <f t="shared" si="2"/>
        <v>3.0609929075228959E-2</v>
      </c>
    </row>
    <row r="14" spans="1:7" ht="10.5" customHeight="1">
      <c r="C14" s="255" t="s">
        <v>1876</v>
      </c>
      <c r="D14" s="1080">
        <v>12.250168249453111</v>
      </c>
      <c r="E14" s="1005">
        <f ca="1">'DAL KPI'!R257</f>
        <v>12.758263585895456</v>
      </c>
      <c r="F14" s="284">
        <f ca="1">-(E14-D14)</f>
        <v>-0.50809533644234506</v>
      </c>
      <c r="G14" s="257">
        <f t="shared" ca="1" si="2"/>
        <v>-4.1476600655262687E-2</v>
      </c>
    </row>
    <row r="15" spans="1:7" ht="2.2000000000000002" customHeight="1">
      <c r="D15" s="277"/>
      <c r="E15" s="287"/>
      <c r="F15" s="1244"/>
    </row>
    <row r="16" spans="1:7" ht="10.5" customHeight="1">
      <c r="C16" s="255" t="s">
        <v>1877</v>
      </c>
      <c r="D16" s="277">
        <v>3012.2458523847845</v>
      </c>
      <c r="E16" s="287">
        <f>'DAL KPI'!R277</f>
        <v>3540</v>
      </c>
      <c r="F16" s="284">
        <f>-(E16-D16)</f>
        <v>-527.75414761521552</v>
      </c>
      <c r="G16" s="257">
        <f t="shared" ref="G16:G17" si="3">F16/ABS(D16)</f>
        <v>-0.17520287967112458</v>
      </c>
    </row>
    <row r="17" spans="3:7" ht="10.5" customHeight="1">
      <c r="C17" s="255" t="s">
        <v>1878</v>
      </c>
      <c r="D17" s="1067">
        <v>3.4322646666666667</v>
      </c>
      <c r="E17" s="564">
        <f>'DAL KPI'!R294</f>
        <v>4.1019698725376594</v>
      </c>
      <c r="F17" s="284">
        <f>-(E17-D17)</f>
        <v>-0.66970520587099269</v>
      </c>
      <c r="G17" s="257">
        <f t="shared" si="3"/>
        <v>-0.19512050232460493</v>
      </c>
    </row>
  </sheetData>
  <mergeCells count="2">
    <mergeCell ref="D4:E4"/>
    <mergeCell ref="F4:G4"/>
  </mergeCells>
  <conditionalFormatting sqref="G7:G8">
    <cfRule type="expression" dxfId="5" priority="5">
      <formula>G7&lt;=0</formula>
    </cfRule>
    <cfRule type="expression" dxfId="4" priority="6">
      <formula>G7&gt;0</formula>
    </cfRule>
  </conditionalFormatting>
  <conditionalFormatting sqref="G11:G14">
    <cfRule type="expression" dxfId="3" priority="3">
      <formula>G11&lt;=0</formula>
    </cfRule>
    <cfRule type="expression" dxfId="2" priority="4">
      <formula>G11&gt;0</formula>
    </cfRule>
  </conditionalFormatting>
  <conditionalFormatting sqref="G16:G17">
    <cfRule type="expression" dxfId="1" priority="1">
      <formula>G16&lt;=0</formula>
    </cfRule>
    <cfRule type="expression" dxfId="0" priority="2">
      <formula>G16&gt;0</formula>
    </cfRule>
  </conditionalFormatting>
  <pageMargins left="0.39370078740157483" right="0" top="0" bottom="0" header="0" footer="0"/>
  <pageSetup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820E-0C64-47DB-B47F-4E74A1B7D32C}">
  <sheetPr codeName="Sheet1">
    <tabColor rgb="FF92D050"/>
    <pageSetUpPr fitToPage="1"/>
  </sheetPr>
  <dimension ref="C1:AK148"/>
  <sheetViews>
    <sheetView showGridLines="0" view="pageBreakPreview" topLeftCell="A7" zoomScale="70" zoomScaleNormal="70" zoomScaleSheetLayoutView="70" workbookViewId="0">
      <selection activeCell="S16" sqref="S16"/>
    </sheetView>
  </sheetViews>
  <sheetFormatPr defaultColWidth="9.19921875" defaultRowHeight="18" outlineLevelRow="1"/>
  <cols>
    <col min="1" max="1" width="1.796875" style="206" customWidth="1"/>
    <col min="2" max="2" width="2.46484375" style="206" customWidth="1"/>
    <col min="3" max="3" width="30.796875" style="6" customWidth="1"/>
    <col min="4" max="4" width="14.19921875" style="6" customWidth="1"/>
    <col min="5" max="5" width="13.19921875" style="6" customWidth="1"/>
    <col min="6" max="11" width="11.796875" style="6" customWidth="1"/>
    <col min="12" max="12" width="13" style="6" customWidth="1"/>
    <col min="13" max="16" width="11.796875" style="6" customWidth="1"/>
    <col min="17" max="17" width="10.46484375" style="6" customWidth="1"/>
    <col min="18" max="18" width="17.796875" style="6" customWidth="1"/>
    <col min="19" max="23" width="20" style="6" customWidth="1"/>
    <col min="24" max="24" width="16.19921875" style="6" customWidth="1"/>
    <col min="25" max="25" width="23.19921875" style="206" bestFit="1" customWidth="1"/>
    <col min="26" max="26" width="21.265625" style="206" bestFit="1" customWidth="1"/>
    <col min="27" max="28" width="16.19921875" style="206" customWidth="1"/>
    <col min="29" max="29" width="11.53125" style="206" bestFit="1" customWidth="1"/>
    <col min="30" max="31" width="12.265625" style="206" bestFit="1" customWidth="1"/>
    <col min="32" max="37" width="9.265625" style="206" bestFit="1" customWidth="1"/>
    <col min="38" max="38" width="10.19921875" style="206" bestFit="1" customWidth="1"/>
    <col min="39" max="16384" width="9.19921875" style="206"/>
  </cols>
  <sheetData>
    <row r="1" spans="3:26" ht="6" customHeight="1" thickBot="1">
      <c r="C1" s="1"/>
      <c r="E1" s="1"/>
      <c r="F1" s="1"/>
      <c r="G1" s="1"/>
      <c r="H1" s="1"/>
      <c r="I1" s="1"/>
      <c r="J1" s="1"/>
      <c r="K1" s="1"/>
      <c r="L1" s="1"/>
      <c r="M1" s="1"/>
      <c r="N1" s="1"/>
      <c r="O1" s="1"/>
      <c r="P1" s="1"/>
      <c r="Q1" s="1"/>
      <c r="R1" s="1"/>
      <c r="S1" s="1"/>
      <c r="T1" s="1"/>
      <c r="U1" s="1"/>
      <c r="V1" s="1"/>
      <c r="W1" s="1"/>
      <c r="X1" s="1"/>
    </row>
    <row r="2" spans="3:26" ht="21.4" thickBot="1">
      <c r="C2" s="208" t="s">
        <v>0</v>
      </c>
      <c r="D2" s="377" t="str">
        <f ca="1">IF(BBswitch=1,_xll.BDP($D$3&amp;" EQUITY","SECURITY_NAME"),D2)</f>
        <v>#N/A Requesting Data...</v>
      </c>
      <c r="E2" s="209"/>
      <c r="F2" s="209"/>
      <c r="G2" s="209"/>
      <c r="H2" s="209"/>
      <c r="I2" s="209"/>
      <c r="J2" s="209"/>
      <c r="K2" s="209"/>
      <c r="L2" s="209"/>
      <c r="M2" s="209"/>
      <c r="N2" s="209"/>
      <c r="O2" s="209"/>
      <c r="P2" s="209"/>
      <c r="Q2" s="209"/>
      <c r="R2" s="209"/>
      <c r="S2" s="209"/>
      <c r="T2" s="209"/>
      <c r="U2" s="210"/>
      <c r="V2" s="210"/>
      <c r="W2" s="211" t="str">
        <f ca="1">"Period Ending: "&amp;TEXT(W3,"m/dd/yy")</f>
        <v>Period Ending: #N/A Requesting Data...</v>
      </c>
      <c r="X2" s="2"/>
    </row>
    <row r="3" spans="3:26" ht="18.75" customHeight="1">
      <c r="C3" s="3" t="s">
        <v>1</v>
      </c>
      <c r="D3" s="4" t="s">
        <v>283</v>
      </c>
      <c r="E3" s="5"/>
      <c r="G3" s="1" t="s">
        <v>2</v>
      </c>
      <c r="I3" s="8" t="str">
        <f ca="1">IFERROR(IF(BBswitch=1,_xll.BDP($D$3&amp;" EQUITY","INDUSTRY_SECTOR"),I3)," NA")</f>
        <v>#N/A Requesting Data...</v>
      </c>
      <c r="J3" s="1"/>
      <c r="L3" s="1" t="s">
        <v>3</v>
      </c>
      <c r="M3" s="8" t="str">
        <f ca="1">IFERROR(IF(BBswitch=1,_xll.BDP($D$3&amp;" EQUITY","NAME_OF_CHIEF_EXECUTIVE_OFFICER"),M3)," NA")</f>
        <v>#N/A Requesting Data...</v>
      </c>
      <c r="Q3" s="206" t="s">
        <v>4</v>
      </c>
      <c r="S3" s="241"/>
      <c r="T3" s="7"/>
      <c r="V3" s="1" t="s">
        <v>5</v>
      </c>
      <c r="W3" s="376" t="str">
        <f ca="1">IFERROR(IF(BBswitch=1,_xll.BDP($D$3&amp;" EQUITY","LATEST_PERIOD_END_DT_FULL_RECORD"),W3)," NA")</f>
        <v>#N/A Requesting Data...</v>
      </c>
      <c r="X3" s="1"/>
      <c r="Y3" s="206" t="s">
        <v>6</v>
      </c>
      <c r="Z3" s="356" cm="1">
        <f t="array" aca="1" ref="Z3" ca="1">IF(ISERROR(_xll.BDP($D$3&amp;" EQUITY","px_last")),0,1)</f>
        <v>0</v>
      </c>
    </row>
    <row r="4" spans="3:26" ht="18.75" customHeight="1">
      <c r="C4" s="306" t="s">
        <v>7</v>
      </c>
      <c r="D4" s="202"/>
      <c r="E4" s="202"/>
      <c r="G4" s="1" t="s">
        <v>8</v>
      </c>
      <c r="I4" s="8" t="str">
        <f ca="1">IFERROR(IF(BBswitch=1,_xll.BDP($D$3&amp;" EQUITY","INDUSTRY_SUBGROUP"),I4)," NA")</f>
        <v>#N/A Requesting Data...</v>
      </c>
      <c r="J4" s="1"/>
      <c r="L4" s="1" t="s">
        <v>9</v>
      </c>
      <c r="M4" s="8" t="str">
        <f ca="1">IFERROR(IF(BBswitch=1,_xll.BDP($D$3&amp;" EQUITY","CHIEF_FINANCIAL_OFFICER_NAME"),M4)," NA")</f>
        <v>#N/A Requesting Data...</v>
      </c>
      <c r="Q4" s="203" t="s">
        <v>10</v>
      </c>
      <c r="S4" s="204"/>
      <c r="T4" s="7"/>
      <c r="V4" s="1" t="s">
        <v>11</v>
      </c>
      <c r="W4" s="376" t="str">
        <f ca="1">IFERROR(IF(BBswitch=1,_xll.BDP($D$3&amp;" EQUITY","EXPECTED_REPORT_PERIOD_END_DATE"),W4)," NA")</f>
        <v>#N/A Requesting Data...</v>
      </c>
      <c r="X4" s="1"/>
    </row>
    <row r="5" spans="3:26" ht="18.75" customHeight="1" thickBot="1">
      <c r="C5" s="304" t="s">
        <v>12</v>
      </c>
      <c r="D5" s="307"/>
      <c r="E5" s="207"/>
      <c r="G5" s="9" t="s">
        <v>13</v>
      </c>
      <c r="H5" s="10"/>
      <c r="I5" s="375" t="str">
        <f ca="1">IFERROR(IF(BBswitch=1,_xll.BDP($D$3&amp;" EQUITY","CITY_OF_DOMICILE"),I5)," NA")</f>
        <v>#N/A Requesting Data...</v>
      </c>
      <c r="J5" s="9"/>
      <c r="L5" s="9" t="s">
        <v>14</v>
      </c>
      <c r="M5" s="375" t="str">
        <f ca="1">IFERROR(IF(BBswitch=1,_xll.BDP($D$3&amp;" EQUITY","IR_CONTACT_NAME"),M5)," NA")</f>
        <v>#N/A Requesting Data...</v>
      </c>
      <c r="N5" s="10"/>
      <c r="Q5" s="206" t="s">
        <v>15</v>
      </c>
      <c r="S5" s="242" t="s">
        <v>16</v>
      </c>
      <c r="T5" s="11"/>
      <c r="U5" s="12"/>
      <c r="V5" s="9" t="s">
        <v>17</v>
      </c>
      <c r="W5" s="13" t="str">
        <f ca="1">IFERROR(IF(BBswitch=1,TEXT(_xll.BDP($D$3&amp;" EQUITY","EQY_FISCAL_YR_END"),"MMMM"),W5)," NA")</f>
        <v>#N/A Requesting Data...</v>
      </c>
      <c r="X5" s="1"/>
    </row>
    <row r="6" spans="3:26" ht="18.399999999999999" thickBot="1">
      <c r="C6" s="212" t="s">
        <v>18</v>
      </c>
      <c r="D6" s="213"/>
      <c r="E6" s="213"/>
      <c r="F6" s="213"/>
      <c r="G6" s="213"/>
      <c r="H6" s="213"/>
      <c r="I6" s="213"/>
      <c r="J6" s="209"/>
      <c r="K6" s="209"/>
      <c r="L6" s="214"/>
      <c r="M6" s="215" t="s">
        <v>19</v>
      </c>
      <c r="N6" s="216"/>
      <c r="O6" s="216"/>
      <c r="P6" s="216"/>
      <c r="Q6" s="216"/>
      <c r="R6" s="216"/>
      <c r="S6" s="216"/>
      <c r="T6" s="216"/>
      <c r="U6" s="216"/>
      <c r="V6" s="216"/>
      <c r="W6" s="217"/>
      <c r="X6" s="1"/>
      <c r="Y6" s="1200" t="str">
        <f>+Q3</f>
        <v xml:space="preserve">Opportunity Type: </v>
      </c>
      <c r="Z6" s="1200" t="str">
        <f>+Q5</f>
        <v xml:space="preserve">Rimrock Analyst: </v>
      </c>
    </row>
    <row r="7" spans="3:26" ht="18.399999999999999" thickBot="1">
      <c r="C7" s="14" t="s">
        <v>20</v>
      </c>
      <c r="D7" s="15" t="s">
        <v>21</v>
      </c>
      <c r="E7" s="16" t="s">
        <v>22</v>
      </c>
      <c r="F7" s="17" t="s">
        <v>23</v>
      </c>
      <c r="G7" s="17" t="s">
        <v>24</v>
      </c>
      <c r="H7" s="17" t="s">
        <v>25</v>
      </c>
      <c r="I7" s="16" t="s">
        <v>26</v>
      </c>
      <c r="J7" s="17" t="s">
        <v>27</v>
      </c>
      <c r="K7" s="243" t="s">
        <v>28</v>
      </c>
      <c r="L7" s="244" t="s">
        <v>29</v>
      </c>
      <c r="M7" s="18" t="s">
        <v>30</v>
      </c>
      <c r="N7" s="19"/>
      <c r="O7" s="20"/>
      <c r="P7" s="19"/>
      <c r="Q7" s="891" t="s">
        <v>1841</v>
      </c>
      <c r="R7" s="891"/>
      <c r="S7" s="891"/>
      <c r="T7" s="891"/>
      <c r="U7" s="891"/>
      <c r="V7" s="891"/>
      <c r="W7" s="891"/>
      <c r="X7" s="1"/>
      <c r="Y7" s="206" t="s">
        <v>1857</v>
      </c>
      <c r="Z7" s="206" t="s">
        <v>16</v>
      </c>
    </row>
    <row r="8" spans="3:26" ht="18.399999999999999" thickBot="1">
      <c r="C8" s="308" t="str">
        <f>D78</f>
        <v>UAL 4 ⅜ 04/15/26</v>
      </c>
      <c r="D8" s="309">
        <v>2</v>
      </c>
      <c r="E8" s="201">
        <f ca="1">H78</f>
        <v>0.93232000000000004</v>
      </c>
      <c r="F8" s="310">
        <f ca="1">E8*D8</f>
        <v>1.8646400000000001</v>
      </c>
      <c r="G8" s="311">
        <f ca="1">F78</f>
        <v>2000</v>
      </c>
      <c r="H8" s="201">
        <f ca="1">J76</f>
        <v>6.8186445647317045E-2</v>
      </c>
      <c r="I8" s="312">
        <f ca="1">S78</f>
        <v>324.75464936626742</v>
      </c>
      <c r="J8" s="312">
        <f ca="1">U78</f>
        <v>3.3132725424520038</v>
      </c>
      <c r="K8" s="313">
        <v>80</v>
      </c>
      <c r="L8" s="314">
        <v>0.05</v>
      </c>
      <c r="M8" s="21" t="s">
        <v>31</v>
      </c>
      <c r="N8" s="205" t="s">
        <v>1851</v>
      </c>
      <c r="O8" s="200" t="s">
        <v>1852</v>
      </c>
      <c r="P8" s="1"/>
      <c r="Q8" s="796" t="s">
        <v>555</v>
      </c>
      <c r="R8" s="797"/>
      <c r="S8" s="798"/>
      <c r="T8" s="797"/>
      <c r="U8" s="797"/>
      <c r="V8" s="797"/>
      <c r="W8" s="799"/>
      <c r="X8" s="23"/>
      <c r="Y8" s="206" t="s">
        <v>1858</v>
      </c>
    </row>
    <row r="9" spans="3:26">
      <c r="C9" s="3" t="str">
        <f ca="1">D83</f>
        <v>UAL TL B 1L USD</v>
      </c>
      <c r="D9" s="309">
        <v>2</v>
      </c>
      <c r="E9" s="1199">
        <f ca="1">H83</f>
        <v>1.0062500000000001</v>
      </c>
      <c r="F9" s="310">
        <f ca="1">E9*D9</f>
        <v>2.0125000000000002</v>
      </c>
      <c r="G9" s="311">
        <f ca="1">F83</f>
        <v>3000</v>
      </c>
      <c r="H9" s="201">
        <f ca="1">J83</f>
        <v>7.2787994153249824E-2</v>
      </c>
      <c r="I9" s="312">
        <f ca="1">T83</f>
        <v>492.47221827094779</v>
      </c>
      <c r="J9" s="312"/>
      <c r="K9" s="313">
        <v>80</v>
      </c>
      <c r="L9" s="314">
        <v>0.05</v>
      </c>
      <c r="M9" s="3" t="s">
        <v>32</v>
      </c>
      <c r="N9" s="379" t="str">
        <f ca="1">IF(BBswitch=1,IF(_xll.BDP($D$3&amp;" EQUITY","RTG_MOODY_LONG_TERM")="#N/A N/A","NA",_xll.BDP($D$3&amp;" EQUITY","RTG_MOODY_LONG_TERM")),N9)</f>
        <v>#N/A Requesting Data...</v>
      </c>
      <c r="O9" s="379" t="str">
        <f ca="1">IF(BBswitch=1,IF(_xll.BDP($D$3&amp;" EQUITY","RTG_MDY_OUTLOOK")="#N/A N/A","NA",_xll.BDP($D$3&amp;" EQUITY","RTG_MDY_OUTLOOK")),O9)</f>
        <v>#N/A Requesting Data...</v>
      </c>
      <c r="P9" s="1"/>
      <c r="Q9" s="1089" t="s">
        <v>268</v>
      </c>
      <c r="R9" s="1090"/>
      <c r="S9" s="1174">
        <f>'UAL KPI'!$AA$13</f>
        <v>43084.056852334972</v>
      </c>
      <c r="T9" s="1082">
        <f>'UAL KPI'!$AA$13</f>
        <v>43084.056852334972</v>
      </c>
      <c r="U9" s="1082">
        <f>'UAL KPI'!$AA$13</f>
        <v>43084.056852334972</v>
      </c>
      <c r="V9" s="1082">
        <f>'UAL KPI'!$AA$13</f>
        <v>43084.056852334972</v>
      </c>
      <c r="W9" s="1083">
        <f>'UAL KPI'!$AA$13</f>
        <v>43084.056852334972</v>
      </c>
      <c r="X9" s="25"/>
      <c r="Y9" s="206" t="s">
        <v>1859</v>
      </c>
    </row>
    <row r="10" spans="3:26">
      <c r="C10" s="3"/>
      <c r="D10" s="7"/>
      <c r="F10" s="1"/>
      <c r="J10" s="1"/>
      <c r="K10" s="1"/>
      <c r="L10" s="24"/>
      <c r="M10" s="3" t="s">
        <v>33</v>
      </c>
      <c r="N10" s="379" t="str">
        <f ca="1">IF(BBswitch=1,IF(_xll.BDP($D$3&amp;" EQUITY","RTG_SP_LT_LC_ISSUER_CREDIT")="#N/A N/A","NA",_xll.BDP($D$3&amp;" EQUITY","RTG_SP_LT_LC_ISSUER_CREDIT")),N10)</f>
        <v>#N/A Requesting Data...</v>
      </c>
      <c r="O10" s="379" t="str">
        <f ca="1">IF(BBswitch=1,IF(_xll.BDP($D$3&amp;" EQUITY","RTG_SP_OUTLOOK")="#N/A N/A","NA",_xll.BDP($D$3&amp;" EQUITY","RTG_SP_OUTLOOK")),O10)</f>
        <v>#N/A Requesting Data...</v>
      </c>
      <c r="P10" s="1"/>
      <c r="Q10" s="800" t="s">
        <v>565</v>
      </c>
      <c r="R10" s="802"/>
      <c r="S10" s="1195">
        <v>2.5</v>
      </c>
      <c r="T10" s="1196">
        <f>S10+1</f>
        <v>3.5</v>
      </c>
      <c r="U10" s="1196">
        <f t="shared" ref="U10:W10" si="0">T10+1</f>
        <v>4.5</v>
      </c>
      <c r="V10" s="1196">
        <v>5</v>
      </c>
      <c r="W10" s="1197">
        <f t="shared" si="0"/>
        <v>6</v>
      </c>
      <c r="X10" s="25"/>
    </row>
    <row r="11" spans="3:26">
      <c r="C11" s="315"/>
      <c r="D11" s="316"/>
      <c r="E11" s="317"/>
      <c r="F11" s="318"/>
      <c r="G11" s="317"/>
      <c r="H11" s="317"/>
      <c r="I11" s="317"/>
      <c r="J11" s="318"/>
      <c r="K11" s="318"/>
      <c r="L11" s="319"/>
      <c r="M11" s="26"/>
      <c r="P11" s="1"/>
      <c r="Q11" s="800" t="s">
        <v>366</v>
      </c>
      <c r="R11" s="802"/>
      <c r="S11" s="1175">
        <f>'UAL KPI'!$AA$207*'UAL One Pager'!S10</f>
        <v>9197.0843360415874</v>
      </c>
      <c r="T11" s="808">
        <f>'UAL KPI'!$AA$207*'UAL One Pager'!T10</f>
        <v>12875.918070458223</v>
      </c>
      <c r="U11" s="808">
        <f>'UAL KPI'!$AA$207*'UAL One Pager'!U10</f>
        <v>16554.751804874857</v>
      </c>
      <c r="V11" s="808">
        <f>'UAL KPI'!$AA$207*'UAL One Pager'!V10</f>
        <v>18394.168672083175</v>
      </c>
      <c r="W11" s="809">
        <f>'UAL KPI'!$AA$207*'UAL One Pager'!W10</f>
        <v>22073.002406499811</v>
      </c>
      <c r="X11" s="1"/>
    </row>
    <row r="12" spans="3:26">
      <c r="C12" s="320" t="s">
        <v>34</v>
      </c>
      <c r="D12" s="317"/>
      <c r="E12" s="317"/>
      <c r="F12" s="317"/>
      <c r="G12" s="317"/>
      <c r="H12" s="317"/>
      <c r="I12" s="317"/>
      <c r="J12" s="317"/>
      <c r="K12" s="317"/>
      <c r="L12" s="319"/>
      <c r="M12" s="26"/>
      <c r="P12" s="1"/>
      <c r="Q12" s="959" t="s">
        <v>566</v>
      </c>
      <c r="R12" s="1094"/>
      <c r="S12" s="1176">
        <f>S11/'UAL KPI'!$AA$111/10</f>
        <v>3.6422663995992499</v>
      </c>
      <c r="T12" s="960">
        <f>T11/'UAL KPI'!$AA$111/10</f>
        <v>5.0991729594389508</v>
      </c>
      <c r="U12" s="960">
        <f>U11/'UAL KPI'!$AA$111/10</f>
        <v>6.5560795192786498</v>
      </c>
      <c r="V12" s="960">
        <f>V11/'UAL KPI'!$AA$111/10</f>
        <v>7.2845327991984998</v>
      </c>
      <c r="W12" s="961">
        <f>W11/'UAL KPI'!$AA$111/10</f>
        <v>8.7414393590381998</v>
      </c>
      <c r="X12" s="1"/>
    </row>
    <row r="13" spans="3:26" ht="18.399999999999999" thickBot="1">
      <c r="C13" s="218" t="s">
        <v>35</v>
      </c>
      <c r="D13" s="219"/>
      <c r="E13" s="220"/>
      <c r="F13" s="221"/>
      <c r="G13" s="220"/>
      <c r="H13" s="220"/>
      <c r="I13" s="220"/>
      <c r="J13" s="221"/>
      <c r="K13" s="221"/>
      <c r="L13" s="222"/>
      <c r="M13" s="27" t="s">
        <v>36</v>
      </c>
      <c r="N13" s="1"/>
      <c r="O13" s="28"/>
      <c r="P13" s="1"/>
      <c r="Q13" s="800" t="s">
        <v>593</v>
      </c>
      <c r="R13" s="802"/>
      <c r="S13" s="1175">
        <f>'UAL KPI'!$AA$235</f>
        <v>29776.832036583608</v>
      </c>
      <c r="T13" s="808">
        <f>'UAL KPI'!$AA$235</f>
        <v>29776.832036583608</v>
      </c>
      <c r="U13" s="808">
        <f>'UAL KPI'!$AA$235</f>
        <v>29776.832036583608</v>
      </c>
      <c r="V13" s="808">
        <f>'UAL KPI'!$AA$235</f>
        <v>29776.832036583608</v>
      </c>
      <c r="W13" s="809">
        <f>'UAL KPI'!$AA$235</f>
        <v>29776.832036583608</v>
      </c>
      <c r="X13" s="1"/>
    </row>
    <row r="14" spans="3:26">
      <c r="C14" s="26"/>
      <c r="L14" s="24"/>
      <c r="M14" s="30" t="s">
        <v>37</v>
      </c>
      <c r="N14" s="1"/>
      <c r="O14" s="31" t="s">
        <v>38</v>
      </c>
      <c r="P14" s="1"/>
      <c r="Q14" s="1098" t="s">
        <v>88</v>
      </c>
      <c r="R14" s="1095"/>
      <c r="S14" s="1177">
        <f>S9-S11-S13+'UAL KPI'!$AA$30-('UAL KPI'!$AA$27+'UAL KPI'!$AA$26+'UAL KPI'!$AA$25)</f>
        <v>6713.3865169730725</v>
      </c>
      <c r="T14" s="1099">
        <f>T9-T11-T13+'UAL KPI'!$AA$30-('UAL KPI'!$AA$27+'UAL KPI'!$AA$26+'UAL KPI'!$AA$25)</f>
        <v>3034.5527825564368</v>
      </c>
      <c r="U14" s="1099">
        <f>U9-U11-U13+'UAL KPI'!$AA$30-('UAL KPI'!$AA$27+'UAL KPI'!$AA$26+'UAL KPI'!$AA$25)</f>
        <v>-644.28095186019539</v>
      </c>
      <c r="V14" s="1099">
        <f>V9-V11-V13+'UAL KPI'!$AA$30-('UAL KPI'!$AA$27+'UAL KPI'!$AA$26+'UAL KPI'!$AA$25)</f>
        <v>-2483.6978190685131</v>
      </c>
      <c r="W14" s="1100">
        <f>W9-W11-W13+'UAL KPI'!$AA$30-('UAL KPI'!$AA$27+'UAL KPI'!$AA$26+'UAL KPI'!$AA$25)</f>
        <v>-6162.5315534851488</v>
      </c>
      <c r="X14" s="1"/>
    </row>
    <row r="15" spans="3:26">
      <c r="C15" s="33"/>
      <c r="D15" s="34"/>
      <c r="E15" s="34"/>
      <c r="F15" s="34"/>
      <c r="G15" s="34"/>
      <c r="H15" s="34"/>
      <c r="I15" s="34"/>
      <c r="J15" s="34"/>
      <c r="K15" s="1"/>
      <c r="L15" s="24"/>
      <c r="M15" s="35" t="s">
        <v>39</v>
      </c>
      <c r="N15" s="1"/>
      <c r="O15" s="36"/>
      <c r="P15" s="1"/>
      <c r="Q15" s="959" t="s">
        <v>1711</v>
      </c>
      <c r="R15" s="1094"/>
      <c r="S15" s="1176">
        <f>S14/'UAL KPI'!$AA$111/10</f>
        <v>2.6586623809103553</v>
      </c>
      <c r="T15" s="960">
        <f>T14/'UAL KPI'!$AA$111/10</f>
        <v>1.2017558210706552</v>
      </c>
      <c r="U15" s="960">
        <f>U14/'UAL KPI'!$AA$111/10</f>
        <v>-0.25515073876904382</v>
      </c>
      <c r="V15" s="960">
        <f>V14/'UAL KPI'!$AA$111/10</f>
        <v>-0.98360401868889391</v>
      </c>
      <c r="W15" s="961">
        <f>W14/'UAL KPI'!$AA$111/10</f>
        <v>-2.4405105785285941</v>
      </c>
      <c r="X15" s="1"/>
    </row>
    <row r="16" spans="3:26">
      <c r="C16" s="33"/>
      <c r="D16" s="34"/>
      <c r="E16" s="34"/>
      <c r="F16" s="34"/>
      <c r="G16" s="34"/>
      <c r="H16" s="34"/>
      <c r="I16" s="34"/>
      <c r="J16" s="34"/>
      <c r="K16" s="1"/>
      <c r="L16" s="24"/>
      <c r="M16" s="38" t="s">
        <v>40</v>
      </c>
      <c r="N16" s="39"/>
      <c r="O16" s="40"/>
      <c r="P16" s="1"/>
      <c r="Q16" s="800" t="s">
        <v>1789</v>
      </c>
      <c r="R16" s="1095"/>
      <c r="S16" s="1175">
        <f ca="1">'UAL Financials'!$R$30</f>
        <v>337.23713837589924</v>
      </c>
      <c r="T16" s="808">
        <f ca="1">'UAL Financials'!$R$30</f>
        <v>337.23713837589924</v>
      </c>
      <c r="U16" s="808">
        <f ca="1">'UAL Financials'!$R$30</f>
        <v>337.23713837589924</v>
      </c>
      <c r="V16" s="808">
        <f ca="1">'UAL Financials'!$R$30</f>
        <v>337.23713837589924</v>
      </c>
      <c r="W16" s="809">
        <f ca="1">'UAL Financials'!$R$30</f>
        <v>337.23713837589924</v>
      </c>
      <c r="X16" s="1"/>
    </row>
    <row r="17" spans="3:24" ht="18.399999999999999" thickBot="1">
      <c r="C17" s="33"/>
      <c r="D17" s="34"/>
      <c r="E17" s="34"/>
      <c r="F17" s="34"/>
      <c r="G17" s="34"/>
      <c r="H17" s="34"/>
      <c r="I17" s="34"/>
      <c r="J17" s="34"/>
      <c r="K17" s="1"/>
      <c r="L17" s="24"/>
      <c r="M17" s="35" t="s">
        <v>41</v>
      </c>
      <c r="N17" s="1"/>
      <c r="O17" s="36"/>
      <c r="P17" s="1"/>
      <c r="Q17" s="805" t="s">
        <v>1829</v>
      </c>
      <c r="R17" s="1096"/>
      <c r="S17" s="1178">
        <f ca="1">S14-S16</f>
        <v>6376.1493785971734</v>
      </c>
      <c r="T17" s="1091">
        <f t="shared" ref="T17:W17" ca="1" si="1">T14-T16</f>
        <v>2697.3156441805377</v>
      </c>
      <c r="U17" s="1091">
        <f t="shared" ca="1" si="1"/>
        <v>-981.51809023609462</v>
      </c>
      <c r="V17" s="1091">
        <f t="shared" ca="1" si="1"/>
        <v>-2820.9349574444122</v>
      </c>
      <c r="W17" s="1092">
        <f t="shared" ca="1" si="1"/>
        <v>-6499.768691861048</v>
      </c>
      <c r="X17" s="1"/>
    </row>
    <row r="18" spans="3:24">
      <c r="C18" s="33"/>
      <c r="D18" s="34"/>
      <c r="E18" s="34"/>
      <c r="F18" s="34"/>
      <c r="G18" s="34"/>
      <c r="H18" s="34"/>
      <c r="I18" s="34"/>
      <c r="J18" s="34"/>
      <c r="K18" s="1"/>
      <c r="L18" s="24"/>
      <c r="M18" s="3" t="s">
        <v>42</v>
      </c>
      <c r="N18" s="1"/>
      <c r="O18" s="36"/>
      <c r="P18" s="1"/>
      <c r="Q18" s="807" t="s">
        <v>594</v>
      </c>
      <c r="R18" s="802"/>
      <c r="S18" s="808">
        <f>'UAL Financials'!$AA$223</f>
        <v>3599.2481255877519</v>
      </c>
      <c r="T18" s="808">
        <f>'UAL Financials'!$AA$223</f>
        <v>3599.2481255877519</v>
      </c>
      <c r="U18" s="808">
        <f>'UAL Financials'!$AA$223</f>
        <v>3599.2481255877519</v>
      </c>
      <c r="V18" s="808">
        <f>'UAL Financials'!$AA$223</f>
        <v>3599.2481255877519</v>
      </c>
      <c r="W18" s="809">
        <f>'UAL Financials'!$AA$223</f>
        <v>3599.2481255877519</v>
      </c>
      <c r="X18" s="1"/>
    </row>
    <row r="19" spans="3:24">
      <c r="C19" s="33"/>
      <c r="D19" s="34"/>
      <c r="E19" s="34"/>
      <c r="F19" s="34"/>
      <c r="G19" s="34"/>
      <c r="H19" s="34"/>
      <c r="I19" s="34"/>
      <c r="J19" s="34"/>
      <c r="K19" s="1"/>
      <c r="L19" s="24"/>
      <c r="M19" s="3" t="s">
        <v>43</v>
      </c>
      <c r="N19" s="41"/>
      <c r="O19" s="36"/>
      <c r="P19" s="1"/>
      <c r="Q19" s="807" t="s">
        <v>1835</v>
      </c>
      <c r="R19" s="802"/>
      <c r="S19" s="808">
        <f>-'UAL Financials'!$AA$190</f>
        <v>-2402</v>
      </c>
      <c r="T19" s="808">
        <f>-'UAL Financials'!$AA$190</f>
        <v>-2402</v>
      </c>
      <c r="U19" s="808">
        <f>-'UAL Financials'!$AA$190</f>
        <v>-2402</v>
      </c>
      <c r="V19" s="808">
        <f>-'UAL Financials'!$AA$190</f>
        <v>-2402</v>
      </c>
      <c r="W19" s="809">
        <f>-'UAL Financials'!$AA$190</f>
        <v>-2402</v>
      </c>
      <c r="X19" s="1"/>
    </row>
    <row r="20" spans="3:24">
      <c r="C20" s="33"/>
      <c r="D20" s="34"/>
      <c r="E20" s="34"/>
      <c r="F20" s="34"/>
      <c r="G20" s="34"/>
      <c r="H20" s="34"/>
      <c r="I20" s="34"/>
      <c r="J20" s="34"/>
      <c r="K20" s="1"/>
      <c r="L20" s="24"/>
      <c r="M20" s="3" t="s">
        <v>44</v>
      </c>
      <c r="N20" s="41"/>
      <c r="O20" s="36"/>
      <c r="P20" s="1"/>
      <c r="Q20" s="807" t="s">
        <v>1795</v>
      </c>
      <c r="R20" s="24"/>
      <c r="S20" s="808">
        <f ca="1">'UAL Financials'!$Q$244-'UAL Debt'!$AA$61+'UAL Debt'!$AA$49</f>
        <v>-2685.5256799999997</v>
      </c>
      <c r="T20" s="808">
        <f ca="1">'UAL Financials'!$Q$244-'UAL Debt'!$AA$61+'UAL Debt'!$AA$49</f>
        <v>-2685.5256799999997</v>
      </c>
      <c r="U20" s="808">
        <f ca="1">'UAL Financials'!$Q$244-'UAL Debt'!$AA$61+'UAL Debt'!$AA$49</f>
        <v>-2685.5256799999997</v>
      </c>
      <c r="V20" s="808">
        <f ca="1">'UAL Financials'!$Q$244-'UAL Debt'!$AA$61+'UAL Debt'!$AA$49</f>
        <v>-2685.5256799999997</v>
      </c>
      <c r="W20" s="809">
        <f ca="1">'UAL Financials'!$Q$244-'UAL Debt'!$AA$61+'UAL Debt'!$AA$49</f>
        <v>-2685.5256799999997</v>
      </c>
    </row>
    <row r="21" spans="3:24">
      <c r="C21" s="33"/>
      <c r="D21" s="34"/>
      <c r="E21" s="34"/>
      <c r="F21" s="34"/>
      <c r="G21" s="34"/>
      <c r="H21" s="34"/>
      <c r="I21" s="34"/>
      <c r="J21" s="34"/>
      <c r="K21" s="1"/>
      <c r="L21" s="24"/>
      <c r="M21" s="3" t="s">
        <v>45</v>
      </c>
      <c r="N21" s="41"/>
      <c r="O21" s="36"/>
      <c r="P21" s="1"/>
      <c r="Q21" s="806" t="s">
        <v>161</v>
      </c>
      <c r="R21" s="1095"/>
      <c r="S21" s="1093">
        <f ca="1">S17+SUM(S18:S20)</f>
        <v>4887.8718241849256</v>
      </c>
      <c r="T21" s="810">
        <f t="shared" ref="T21:W21" ca="1" si="2">T17+SUM(T18:T20)</f>
        <v>1209.0380897682899</v>
      </c>
      <c r="U21" s="810">
        <f t="shared" ca="1" si="2"/>
        <v>-2469.7956446483422</v>
      </c>
      <c r="V21" s="810">
        <f t="shared" ca="1" si="2"/>
        <v>-4309.2125118566601</v>
      </c>
      <c r="W21" s="811">
        <f t="shared" ca="1" si="2"/>
        <v>-7988.0462462732958</v>
      </c>
    </row>
    <row r="22" spans="3:24">
      <c r="C22" s="33"/>
      <c r="D22" s="34"/>
      <c r="E22" s="34"/>
      <c r="F22" s="34"/>
      <c r="G22" s="34"/>
      <c r="H22" s="34"/>
      <c r="I22" s="34"/>
      <c r="J22" s="34"/>
      <c r="K22" s="1"/>
      <c r="L22" s="24"/>
      <c r="M22" s="1204" t="s">
        <v>46</v>
      </c>
      <c r="N22" s="42"/>
      <c r="O22" s="43"/>
      <c r="P22" s="1"/>
      <c r="Q22" s="800" t="s">
        <v>1713</v>
      </c>
      <c r="R22" s="802"/>
      <c r="S22" s="808">
        <f>'UAL Financials'!$Q$116+'UAL Financials'!$Q$120</f>
        <v>18679</v>
      </c>
      <c r="T22" s="808">
        <f>'UAL Financials'!$Q$116+'UAL Financials'!$Q$120</f>
        <v>18679</v>
      </c>
      <c r="U22" s="808">
        <f>'UAL Financials'!$Q$116+'UAL Financials'!$Q$120</f>
        <v>18679</v>
      </c>
      <c r="V22" s="808">
        <f>'UAL Financials'!$Q$116+'UAL Financials'!$Q$120</f>
        <v>18679</v>
      </c>
      <c r="W22" s="809">
        <f>'UAL Financials'!$Q$116+'UAL Financials'!$Q$120</f>
        <v>18679</v>
      </c>
      <c r="X22" s="44"/>
    </row>
    <row r="23" spans="3:24" ht="20.25">
      <c r="C23" s="33"/>
      <c r="D23" s="34"/>
      <c r="E23" s="34"/>
      <c r="F23" s="34"/>
      <c r="G23" s="34"/>
      <c r="H23" s="34"/>
      <c r="I23" s="34"/>
      <c r="J23" s="34"/>
      <c r="K23" s="1"/>
      <c r="L23" s="24"/>
      <c r="M23" s="1201" t="s">
        <v>1860</v>
      </c>
      <c r="N23" s="1"/>
      <c r="O23" s="1202"/>
      <c r="P23" s="46"/>
      <c r="Q23" s="800" t="s">
        <v>248</v>
      </c>
      <c r="R23" s="802"/>
      <c r="S23" s="803">
        <v>1750</v>
      </c>
      <c r="T23" s="803">
        <v>1750</v>
      </c>
      <c r="U23" s="803">
        <v>1750</v>
      </c>
      <c r="V23" s="803">
        <v>1750</v>
      </c>
      <c r="W23" s="804">
        <v>1750</v>
      </c>
      <c r="X23" s="44"/>
    </row>
    <row r="24" spans="3:24" ht="18.399999999999999" thickBot="1">
      <c r="C24" s="47"/>
      <c r="D24" s="48"/>
      <c r="E24" s="48"/>
      <c r="F24" s="48"/>
      <c r="G24" s="48"/>
      <c r="H24" s="48"/>
      <c r="I24" s="48"/>
      <c r="J24" s="48"/>
      <c r="K24" s="9"/>
      <c r="L24" s="49"/>
      <c r="M24" s="45" t="s">
        <v>47</v>
      </c>
      <c r="N24" s="51"/>
      <c r="O24" s="1203">
        <f>SUM(O15:O23)</f>
        <v>0</v>
      </c>
      <c r="P24" s="51"/>
      <c r="Q24" s="812" t="s">
        <v>1576</v>
      </c>
      <c r="R24" s="1097"/>
      <c r="S24" s="813">
        <f ca="1">SUM(S21,S22,S23)</f>
        <v>25316.871824184927</v>
      </c>
      <c r="T24" s="813">
        <f t="shared" ref="T24:W24" ca="1" si="3">SUM(T21,T22,T23)</f>
        <v>21638.038089768292</v>
      </c>
      <c r="U24" s="813">
        <f t="shared" ca="1" si="3"/>
        <v>17959.204355351656</v>
      </c>
      <c r="V24" s="813">
        <f t="shared" ca="1" si="3"/>
        <v>16119.78748814334</v>
      </c>
      <c r="W24" s="814">
        <f t="shared" ca="1" si="3"/>
        <v>12440.953753726704</v>
      </c>
      <c r="X24" s="44"/>
    </row>
    <row r="25" spans="3:24" ht="18.399999999999999" thickBot="1">
      <c r="C25" s="230" t="s">
        <v>48</v>
      </c>
      <c r="D25" s="1162"/>
      <c r="E25" s="1163"/>
      <c r="F25" s="231"/>
      <c r="G25" s="1163"/>
      <c r="H25" s="231"/>
      <c r="I25" s="231"/>
      <c r="J25" s="231"/>
      <c r="K25" s="231"/>
      <c r="L25" s="231"/>
      <c r="M25" s="231"/>
      <c r="N25" s="1164"/>
      <c r="O25" s="1164"/>
      <c r="P25" s="231"/>
      <c r="Q25" s="231"/>
      <c r="R25" s="1165"/>
      <c r="S25" s="1165"/>
      <c r="T25" s="1165"/>
      <c r="U25" s="1165"/>
      <c r="V25" s="1165"/>
      <c r="W25" s="1166" t="s">
        <v>49</v>
      </c>
      <c r="X25" s="44"/>
    </row>
    <row r="26" spans="3:24" ht="18.75" customHeight="1">
      <c r="C26" s="18"/>
      <c r="D26" s="19"/>
      <c r="E26" s="19"/>
      <c r="F26" s="19"/>
      <c r="G26" s="19"/>
      <c r="H26" s="19"/>
      <c r="I26" s="19"/>
      <c r="J26" s="20"/>
      <c r="K26" s="1167" t="s">
        <v>50</v>
      </c>
      <c r="L26" s="19"/>
      <c r="M26" s="20"/>
      <c r="N26" s="1167" t="s">
        <v>51</v>
      </c>
      <c r="O26" s="19"/>
      <c r="P26" s="19"/>
      <c r="Q26" s="1168" t="s">
        <v>45</v>
      </c>
      <c r="R26" s="1169"/>
      <c r="S26" s="1170"/>
      <c r="T26" s="20"/>
      <c r="U26" s="1171"/>
      <c r="V26" s="1171" t="s">
        <v>52</v>
      </c>
      <c r="W26" s="1172"/>
      <c r="X26" s="44"/>
    </row>
    <row r="27" spans="3:24" ht="18.75" customHeight="1">
      <c r="C27" s="57" t="s">
        <v>53</v>
      </c>
      <c r="D27" s="58" t="s">
        <v>54</v>
      </c>
      <c r="E27" s="58" t="s">
        <v>55</v>
      </c>
      <c r="F27" s="39" t="s">
        <v>56</v>
      </c>
      <c r="G27" s="39" t="s">
        <v>57</v>
      </c>
      <c r="H27" s="58" t="s">
        <v>58</v>
      </c>
      <c r="I27" s="58" t="s">
        <v>25</v>
      </c>
      <c r="J27" s="103" t="s">
        <v>59</v>
      </c>
      <c r="K27" s="58" t="s">
        <v>60</v>
      </c>
      <c r="L27" s="59" t="s">
        <v>61</v>
      </c>
      <c r="M27" s="59" t="s">
        <v>62</v>
      </c>
      <c r="N27" s="59" t="str">
        <f>K27</f>
        <v>Leverage</v>
      </c>
      <c r="O27" s="59" t="str">
        <f>L27</f>
        <v xml:space="preserve">x FCF </v>
      </c>
      <c r="P27" s="59" t="str">
        <f>M27</f>
        <v>Int. Cov.</v>
      </c>
      <c r="Q27" s="60" t="s">
        <v>63</v>
      </c>
      <c r="R27" s="1"/>
      <c r="S27" s="61" t="s">
        <v>64</v>
      </c>
      <c r="U27" s="62"/>
      <c r="V27" s="63" t="s">
        <v>65</v>
      </c>
      <c r="W27" s="1173" t="s">
        <v>64</v>
      </c>
      <c r="X27" s="44"/>
    </row>
    <row r="28" spans="3:24" ht="18.75" customHeight="1">
      <c r="C28" s="64" t="s">
        <v>66</v>
      </c>
      <c r="D28" s="303"/>
      <c r="E28" s="1043">
        <f ca="1">SUM(F76:F89)</f>
        <v>25899.599999999999</v>
      </c>
      <c r="F28" s="1044">
        <f ca="1">SUMPRODUCT($F$76:$F$89,G76:G89)/SUM($F$76:$F$89)</f>
        <v>5.6348043973652104E-2</v>
      </c>
      <c r="G28" s="1044">
        <f ca="1">SUMPRODUCT($F$76:$F$89,H76:H89)/SUM($F$76:$F$89)</f>
        <v>0.97750392932709396</v>
      </c>
      <c r="H28" s="1044" t="e">
        <f ca="1">SUMPRODUCT($F$76:$F$89,I76:I89)/SUM($F$76:$F$89)</f>
        <v>#VALUE!</v>
      </c>
      <c r="I28" s="1044">
        <f ca="1">SUMPRODUCT($F$76:$F$89,J76:J89)/SUM($F$76:$F$89)</f>
        <v>3.6519660920268586E-2</v>
      </c>
      <c r="J28" s="199" t="str">
        <f ca="1">IFERROR(K28/$K$35,"NM ")</f>
        <v xml:space="preserve">NM </v>
      </c>
      <c r="K28" s="65">
        <f ca="1">IF($E$36&lt;=0,"NM ",SUM(E28:E$28)/$E$36)</f>
        <v>11.102698331025213</v>
      </c>
      <c r="L28" s="65" t="str" cm="1">
        <f t="array" aca="1" ref="L28" ca="1">IF(($J$51*$J$43)&lt;=0,"NM ",SUM(E28:E$28/($J$51*$J$43)))</f>
        <v xml:space="preserve">NM </v>
      </c>
      <c r="M28" s="65">
        <f ca="1">IF($E$36&lt;0,"NM ",$E$36/SUMPRODUCT($E$28:E28,$F$28:F28))</f>
        <v>1.5984262948823027</v>
      </c>
      <c r="N28" s="65">
        <f ca="1">IFERROR(K28*G28,"NM ")</f>
        <v>10.852931244710513</v>
      </c>
      <c r="O28" s="65" t="str">
        <f ca="1">IFERROR(L28*G28,"NM ")</f>
        <v xml:space="preserve">NM </v>
      </c>
      <c r="P28" s="65" t="str">
        <f ca="1">IFERROR(M28*(F28/H28),"NM ")</f>
        <v xml:space="preserve">NM </v>
      </c>
      <c r="Q28" s="66" t="s">
        <v>67</v>
      </c>
      <c r="R28" s="67"/>
      <c r="S28" s="629">
        <f>-E31</f>
        <v>18679</v>
      </c>
      <c r="U28" s="68"/>
      <c r="V28" s="69">
        <v>2022</v>
      </c>
      <c r="W28" s="370">
        <f ca="1">'UAL Debt'!AA61-'UAL Debt'!AA49</f>
        <v>1902.52568</v>
      </c>
      <c r="X28" s="44"/>
    </row>
    <row r="29" spans="3:24" ht="18.75" customHeight="1">
      <c r="C29" s="64" t="str">
        <f ca="1">V91</f>
        <v>Sr Unsecured</v>
      </c>
      <c r="D29" s="322" t="str">
        <f ca="1">E91</f>
        <v>B+</v>
      </c>
      <c r="E29" s="1043">
        <f ca="1">SUM(F90:F96)</f>
        <v>4650.8279999999995</v>
      </c>
      <c r="F29" s="1044">
        <f ca="1">SUMPRODUCT($F$90:$F$96,G90:G96)/SUM($F$90:$F$96)</f>
        <v>1.9338087755556642E-2</v>
      </c>
      <c r="G29" s="1044">
        <f ca="1">SUMPRODUCT($F$90:$F$96,H90:H96)/SUM($F$90:$F$96)</f>
        <v>0.99541049464740483</v>
      </c>
      <c r="H29" s="1044">
        <f ca="1">SUMPRODUCT($F$90:$F$96,I90:I96)/SUM($F$90:$F$96)</f>
        <v>1.9599580764065667E-2</v>
      </c>
      <c r="I29" s="1044">
        <f ca="1">SUMPRODUCT($F$90:$F$96,J90:J96)/SUM($F$90:$F$96)</f>
        <v>9.3984921117120247E-3</v>
      </c>
      <c r="J29" s="1052" t="str">
        <f t="shared" ref="J29:J35" ca="1" si="4">IFERROR(K29/$K$35,"NM ")</f>
        <v xml:space="preserve">NM </v>
      </c>
      <c r="K29" s="65">
        <f ca="1">IF($E$36&lt;=0,"NM ",SUM(E$28:E29)/$E$36)</f>
        <v>13.096425657836644</v>
      </c>
      <c r="L29" s="65" t="str" cm="1">
        <f t="array" aca="1" ref="L29" ca="1">IF(($J$51*$J$43)&lt;=0,"NM ",SUM(E$28:E29/($J$51*$J$43)))</f>
        <v xml:space="preserve">NM </v>
      </c>
      <c r="M29" s="65">
        <f ca="1">IF($E$36&lt;0,"NM ",$E$36/SUMPRODUCT($E$28:E29,$F$28:F29))</f>
        <v>1.5056381455718471</v>
      </c>
      <c r="N29" s="65">
        <f ca="1">IFERROR(K29*G29,"NM ")</f>
        <v>13.036319542180138</v>
      </c>
      <c r="O29" s="65" t="str">
        <f ca="1">IFERROR(L29*G29,"NM ")</f>
        <v xml:space="preserve">NM </v>
      </c>
      <c r="P29" s="65">
        <f ca="1">IFERROR(M29*(F29/H29),"NM ")</f>
        <v>1.4855502746550682</v>
      </c>
      <c r="Q29" s="70" t="s">
        <v>68</v>
      </c>
      <c r="R29" s="1"/>
      <c r="S29" s="1045">
        <v>1750</v>
      </c>
      <c r="U29" s="68"/>
      <c r="V29" s="69">
        <f>V28+1</f>
        <v>2023</v>
      </c>
      <c r="W29" s="370">
        <f ca="1">'UAL Debt'!AB61-'UAL Debt'!AB49</f>
        <v>2990.03424</v>
      </c>
      <c r="X29" s="44"/>
    </row>
    <row r="30" spans="3:24" ht="18.75" customHeight="1">
      <c r="C30" s="74" t="s">
        <v>69</v>
      </c>
      <c r="D30" s="75"/>
      <c r="E30" s="76">
        <f ca="1">SUM(E28:E29)+'UAL Debt'!Q34</f>
        <v>30071.428</v>
      </c>
      <c r="F30" s="77">
        <f ca="1">SUMPRODUCT($E$28:$E$29,F28:F29)/SUM($E$28:$E$29)</f>
        <v>5.0713853164348462E-2</v>
      </c>
      <c r="G30" s="77">
        <f ca="1">SUMPRODUCT($E$28:$E$29,G28:G29)/SUM($E$28:$E$29)</f>
        <v>0.98022992568221956</v>
      </c>
      <c r="H30" s="77" t="e">
        <f ca="1">SUMPRODUCT($E$28:$E$29,H28:H29)/SUM($E$28:$E$29)</f>
        <v>#VALUE!</v>
      </c>
      <c r="I30" s="77">
        <f ca="1">SUMPRODUCT($E$28:$E$29,I28:I29)/SUM($E$28:$E$29)</f>
        <v>3.2390884351653521E-2</v>
      </c>
      <c r="J30" s="323" t="str">
        <f t="shared" ca="1" si="4"/>
        <v xml:space="preserve">NM </v>
      </c>
      <c r="K30" s="78">
        <f ca="1">IF($E$36&lt;=0,"NM ",E30/$E$36)</f>
        <v>12.891086868798933</v>
      </c>
      <c r="L30" s="78" t="str">
        <f ca="1">IF(($J$51*$J$43)&lt;=0,"NM ",E30/($J$51*$J$43))</f>
        <v xml:space="preserve">NM </v>
      </c>
      <c r="M30" s="78">
        <f ca="1">IF($E$36&lt;0,"NM ",$E$36/(E30*F30))</f>
        <v>1.5296210662275909</v>
      </c>
      <c r="N30" s="78">
        <f ca="1">IFERROR(K30*G30,"NM ")</f>
        <v>12.636229123365814</v>
      </c>
      <c r="O30" s="78" t="str">
        <f ca="1">IFERROR(L30*G30,"NM ")</f>
        <v xml:space="preserve">NM </v>
      </c>
      <c r="P30" s="78" t="str">
        <f ca="1">IFERROR(M30*(F30/H30),"NM ")</f>
        <v xml:space="preserve">NM </v>
      </c>
      <c r="Q30" s="70" t="s">
        <v>70</v>
      </c>
      <c r="R30" s="1"/>
      <c r="S30" s="373">
        <f>S29</f>
        <v>1750</v>
      </c>
      <c r="U30" s="68"/>
      <c r="V30" s="69">
        <f>V29+1</f>
        <v>2024</v>
      </c>
      <c r="W30" s="370">
        <f ca="1">'UAL Debt'!AC61-'UAL Debt'!AC49</f>
        <v>3224.03424</v>
      </c>
      <c r="X30" s="44"/>
    </row>
    <row r="31" spans="3:24" ht="18.75" customHeight="1">
      <c r="C31" s="80" t="s">
        <v>71</v>
      </c>
      <c r="D31" s="62"/>
      <c r="E31" s="81">
        <f>-'UAL Calculation'!$U$26-'UAL Financials'!Q120</f>
        <v>-18679</v>
      </c>
      <c r="F31" s="81"/>
      <c r="G31" s="82"/>
      <c r="H31" s="82"/>
      <c r="I31" s="82"/>
      <c r="J31" s="199" t="str">
        <f t="shared" ca="1" si="4"/>
        <v xml:space="preserve">NM </v>
      </c>
      <c r="K31" s="83">
        <f>IF($E$36&lt;=0,"NM ",E31/$E$36)</f>
        <v>-8.0073554080070721</v>
      </c>
      <c r="L31" s="83" t="str">
        <f ca="1">IF(($J$51*$J$43)&lt;=0,"NM ",E31/($J$51*$J$43))</f>
        <v xml:space="preserve">NM </v>
      </c>
      <c r="M31" s="83"/>
      <c r="N31" s="83">
        <f>K31</f>
        <v>-8.0073554080070721</v>
      </c>
      <c r="O31" s="83" t="str">
        <f ca="1">L31</f>
        <v xml:space="preserve">NM </v>
      </c>
      <c r="P31" s="83"/>
      <c r="Q31" s="70" t="s">
        <v>72</v>
      </c>
      <c r="R31" s="1"/>
      <c r="S31" s="374">
        <f>-'UAL Debt'!P131</f>
        <v>0</v>
      </c>
      <c r="U31" s="71"/>
      <c r="V31" s="69">
        <f>V30+1</f>
        <v>2025</v>
      </c>
      <c r="W31" s="370">
        <f ca="1">'UAL Debt'!AD61-'UAL Debt'!AD49</f>
        <v>3211.03424</v>
      </c>
      <c r="X31" s="1"/>
    </row>
    <row r="32" spans="3:24" ht="18.75" customHeight="1">
      <c r="C32" s="85" t="s">
        <v>73</v>
      </c>
      <c r="D32" s="86"/>
      <c r="E32" s="87">
        <f ca="1">E30+E31</f>
        <v>11392.428</v>
      </c>
      <c r="F32" s="86"/>
      <c r="G32" s="82"/>
      <c r="H32" s="82"/>
      <c r="I32" s="82"/>
      <c r="J32" s="199" t="str">
        <f t="shared" ca="1" si="4"/>
        <v xml:space="preserve">NM </v>
      </c>
      <c r="K32" s="65">
        <f ca="1">IFERROR(K30+K31,"NM ")</f>
        <v>4.8837314607918607</v>
      </c>
      <c r="L32" s="65" t="str">
        <f ca="1">IFERROR(L30+L31,"NM ")</f>
        <v xml:space="preserve">NM </v>
      </c>
      <c r="M32" s="65"/>
      <c r="N32" s="65">
        <f ca="1">IFERROR(N30+N31,"NM ")</f>
        <v>4.6288737153587416</v>
      </c>
      <c r="O32" s="65" t="str">
        <f ca="1">IFERROR(O30+O31,"NM ")</f>
        <v xml:space="preserve">NM </v>
      </c>
      <c r="P32" s="65"/>
      <c r="Q32" s="60" t="s">
        <v>74</v>
      </c>
      <c r="R32" s="1"/>
      <c r="S32" s="1046">
        <v>0</v>
      </c>
      <c r="U32" s="72"/>
      <c r="V32" s="73">
        <f>V31+1</f>
        <v>2026</v>
      </c>
      <c r="W32" s="1047">
        <v>5134</v>
      </c>
      <c r="X32" s="1"/>
    </row>
    <row r="33" spans="3:24" ht="18.75" customHeight="1">
      <c r="C33" s="90" t="s">
        <v>75</v>
      </c>
      <c r="D33" s="86"/>
      <c r="E33" s="1187">
        <v>0</v>
      </c>
      <c r="F33" s="86"/>
      <c r="G33" s="86"/>
      <c r="H33" s="86"/>
      <c r="I33" s="86"/>
      <c r="J33" s="199" t="str">
        <f t="shared" ca="1" si="4"/>
        <v xml:space="preserve">NM </v>
      </c>
      <c r="K33" s="65">
        <f>IF($E$36&lt;=0,"NM ",E33/$E$36)</f>
        <v>0</v>
      </c>
      <c r="L33" s="65" t="str">
        <f ca="1">IF(($J$51*$J$43)&lt;=0,"NM ",E33/($J$51*$J$43))</f>
        <v xml:space="preserve">NM </v>
      </c>
      <c r="M33" s="65"/>
      <c r="N33" s="65">
        <f>K33</f>
        <v>0</v>
      </c>
      <c r="O33" s="65" t="str">
        <f ca="1">L33</f>
        <v xml:space="preserve">NM </v>
      </c>
      <c r="P33" s="65"/>
      <c r="Q33" s="70" t="s">
        <v>76</v>
      </c>
      <c r="R33" s="206"/>
      <c r="S33" s="630">
        <f>S30+S31+S32</f>
        <v>1750</v>
      </c>
      <c r="T33" s="206"/>
      <c r="U33" s="1"/>
      <c r="V33" s="79" t="s">
        <v>77</v>
      </c>
      <c r="W33" s="371">
        <f ca="1">SUM(E28:E29)-SUM(W28:W32)</f>
        <v>14088.799599999998</v>
      </c>
      <c r="X33" s="1"/>
    </row>
    <row r="34" spans="3:24" ht="18.75" customHeight="1">
      <c r="C34" s="91" t="s">
        <v>78</v>
      </c>
      <c r="D34" s="62"/>
      <c r="E34" s="92" t="e">
        <f ca="1">IF(BBswitch=1,_xll.BDP($D$3&amp;" EQUITY","CUR MKT CAP")/10^6,E34)</f>
        <v>#VALUE!</v>
      </c>
      <c r="F34" s="88"/>
      <c r="G34" s="82"/>
      <c r="H34" s="82"/>
      <c r="I34" s="82"/>
      <c r="J34" s="199" t="str">
        <f t="shared" ca="1" si="4"/>
        <v xml:space="preserve">NM </v>
      </c>
      <c r="K34" s="83" t="e">
        <f ca="1">IF($E$36&lt;=0,"NM ",E34/$E$36)</f>
        <v>#VALUE!</v>
      </c>
      <c r="L34" s="83" t="str">
        <f ca="1">IF(($J$51*$J$43)&lt;=0,"NM ",E34/($J$51*$J$43))</f>
        <v xml:space="preserve">NM </v>
      </c>
      <c r="M34" s="83"/>
      <c r="N34" s="83" t="e">
        <f ca="1">K34</f>
        <v>#VALUE!</v>
      </c>
      <c r="O34" s="83" t="str">
        <f ca="1">L34</f>
        <v xml:space="preserve">NM </v>
      </c>
      <c r="P34" s="65"/>
      <c r="Q34" s="84" t="s">
        <v>79</v>
      </c>
      <c r="R34" s="67"/>
      <c r="S34" s="631">
        <f>S33+S28</f>
        <v>20429</v>
      </c>
      <c r="T34" s="206"/>
      <c r="U34" s="1"/>
      <c r="V34" s="1"/>
      <c r="W34" s="22"/>
      <c r="X34" s="1"/>
    </row>
    <row r="35" spans="3:24" ht="18.75" customHeight="1">
      <c r="C35" s="64" t="s">
        <v>80</v>
      </c>
      <c r="D35" s="86"/>
      <c r="E35" s="87" t="e">
        <f ca="1">E34+E32+E33</f>
        <v>#VALUE!</v>
      </c>
      <c r="F35" s="93"/>
      <c r="G35" s="82"/>
      <c r="H35" s="82"/>
      <c r="I35" s="65"/>
      <c r="J35" s="199" t="str">
        <f t="shared" ca="1" si="4"/>
        <v xml:space="preserve">NM </v>
      </c>
      <c r="K35" s="65" t="str">
        <f ca="1">IFERROR(K34+K32+K33,"NM ")</f>
        <v xml:space="preserve">NM </v>
      </c>
      <c r="L35" s="65" t="str">
        <f ca="1">IFERROR(L34+L32+L33,"NM ")</f>
        <v xml:space="preserve">NM </v>
      </c>
      <c r="M35" s="65"/>
      <c r="N35" s="65" t="str">
        <f ca="1">IFERROR(N34+N32+N33,"NM ")</f>
        <v xml:space="preserve">NM </v>
      </c>
      <c r="O35" s="65" t="str">
        <f ca="1">IFERROR(O34+O32+O33,"NM ")</f>
        <v xml:space="preserve">NM </v>
      </c>
      <c r="P35" s="94"/>
      <c r="Q35" s="32"/>
      <c r="U35" s="89"/>
      <c r="V35" s="89"/>
      <c r="W35" s="22"/>
      <c r="X35" s="1"/>
    </row>
    <row r="36" spans="3:24" ht="18.75" customHeight="1">
      <c r="C36" s="95" t="s">
        <v>1767</v>
      </c>
      <c r="D36" s="96"/>
      <c r="E36" s="97">
        <f>J48</f>
        <v>2332.7302271760864</v>
      </c>
      <c r="P36" s="206"/>
      <c r="Q36" s="32"/>
      <c r="R36" s="206"/>
      <c r="S36" s="1"/>
      <c r="T36" s="206"/>
      <c r="U36" s="1"/>
      <c r="V36" s="1"/>
      <c r="W36" s="22"/>
      <c r="X36" s="1"/>
    </row>
    <row r="37" spans="3:24" ht="18.75" customHeight="1">
      <c r="C37" s="33"/>
      <c r="Q37" s="29"/>
      <c r="T37" s="206"/>
      <c r="U37" s="1"/>
      <c r="V37" s="1"/>
      <c r="W37" s="22"/>
      <c r="X37" s="1"/>
    </row>
    <row r="38" spans="3:24" ht="18.75" customHeight="1">
      <c r="C38" s="33"/>
      <c r="Q38" s="29"/>
      <c r="T38" s="206"/>
      <c r="U38" s="1"/>
      <c r="V38" s="1"/>
      <c r="W38" s="22"/>
      <c r="X38" s="1"/>
    </row>
    <row r="39" spans="3:24" ht="18.75" customHeight="1">
      <c r="C39" s="33"/>
      <c r="Q39" s="29"/>
      <c r="T39" s="206"/>
      <c r="U39" s="1"/>
      <c r="V39" s="1"/>
      <c r="W39" s="22"/>
      <c r="X39" s="1"/>
    </row>
    <row r="40" spans="3:24" ht="18.75" customHeight="1" thickBot="1">
      <c r="C40" s="50"/>
      <c r="D40" s="51"/>
      <c r="E40" s="51"/>
      <c r="F40" s="10"/>
      <c r="G40" s="10"/>
      <c r="H40" s="10"/>
      <c r="I40" s="10"/>
      <c r="J40" s="10"/>
      <c r="K40" s="10"/>
      <c r="L40" s="10"/>
      <c r="M40" s="10"/>
      <c r="N40" s="10"/>
      <c r="O40" s="10"/>
      <c r="P40" s="51"/>
      <c r="Q40" s="98"/>
      <c r="R40" s="10"/>
      <c r="S40" s="10"/>
      <c r="T40" s="51"/>
      <c r="U40" s="9"/>
      <c r="V40" s="9"/>
      <c r="W40" s="99"/>
      <c r="X40" s="100"/>
    </row>
    <row r="41" spans="3:24" ht="18.75" customHeight="1">
      <c r="C41" s="230" t="s">
        <v>81</v>
      </c>
      <c r="D41" s="231"/>
      <c r="E41" s="232"/>
      <c r="F41" s="232"/>
      <c r="G41" s="232"/>
      <c r="H41" s="232"/>
      <c r="I41" s="232"/>
      <c r="J41" s="232"/>
      <c r="K41" s="232"/>
      <c r="L41" s="232"/>
      <c r="M41" s="232"/>
      <c r="N41" s="232"/>
      <c r="O41" s="232"/>
      <c r="P41" s="233"/>
      <c r="Q41" s="234" t="s">
        <v>82</v>
      </c>
      <c r="R41" s="235"/>
      <c r="S41" s="235"/>
      <c r="T41" s="235"/>
      <c r="U41" s="235"/>
      <c r="V41" s="235"/>
      <c r="W41" s="236"/>
      <c r="X41" s="1"/>
    </row>
    <row r="42" spans="3:24" ht="18.75" customHeight="1">
      <c r="C42" s="57"/>
      <c r="D42" s="39"/>
      <c r="E42" s="101" t="str">
        <f>+'UAL Calculation'!G5</f>
        <v>FY18A</v>
      </c>
      <c r="F42" s="102" t="str">
        <f>+'UAL Calculation'!H5</f>
        <v>FY19A</v>
      </c>
      <c r="G42" s="102" t="str">
        <f>+'UAL Calculation'!I5</f>
        <v>FY20A</v>
      </c>
      <c r="H42" s="102" t="str">
        <f>+'UAL Calculation'!J5</f>
        <v>FY21A</v>
      </c>
      <c r="I42" s="103" t="str">
        <f>+'UAL Calculation'!K5</f>
        <v>LTM</v>
      </c>
      <c r="J42" s="104" t="str">
        <f>+'UAL Calculation'!L5</f>
        <v>FY22E</v>
      </c>
      <c r="K42" s="105" t="str">
        <f>+'UAL Calculation'!M5</f>
        <v>FY23E</v>
      </c>
      <c r="L42" s="103" t="str">
        <f>+'UAL Calculation'!R5</f>
        <v>Q221A</v>
      </c>
      <c r="M42" s="103" t="str">
        <f>+'UAL Calculation'!S5</f>
        <v>Q321A</v>
      </c>
      <c r="N42" s="103" t="str">
        <f>+'UAL Calculation'!T5</f>
        <v>Q421A</v>
      </c>
      <c r="O42" s="103" t="str">
        <f>+'UAL Calculation'!U5</f>
        <v>Q122A</v>
      </c>
      <c r="P42" s="103" t="str">
        <f>+'UAL Calculation'!V5</f>
        <v>Q222E</v>
      </c>
      <c r="Q42" s="26"/>
      <c r="W42" s="22"/>
      <c r="X42" s="1"/>
    </row>
    <row r="43" spans="3:24" ht="18.75" customHeight="1">
      <c r="C43" s="106" t="str">
        <f>'UAL Calculation'!C36</f>
        <v xml:space="preserve">Revenue </v>
      </c>
      <c r="D43" s="67"/>
      <c r="E43" s="107">
        <f>'UAL Calculation'!G36</f>
        <v>41303</v>
      </c>
      <c r="F43" s="107">
        <f>'UAL Calculation'!H36</f>
        <v>43259</v>
      </c>
      <c r="G43" s="107">
        <f>'UAL Calculation'!I36</f>
        <v>15355</v>
      </c>
      <c r="H43" s="107">
        <f>'UAL Calculation'!J36</f>
        <v>24634</v>
      </c>
      <c r="I43" s="107">
        <f>'UAL Calculation'!K36</f>
        <v>28979</v>
      </c>
      <c r="J43" s="108">
        <f>'UAL Calculation'!L36</f>
        <v>43084.056852334972</v>
      </c>
      <c r="K43" s="109">
        <f>'UAL Calculation'!M36</f>
        <v>48822.237694488678</v>
      </c>
      <c r="L43" s="107">
        <f>'UAL Calculation'!R36</f>
        <v>5471</v>
      </c>
      <c r="M43" s="107">
        <f>'UAL Calculation'!S36</f>
        <v>7750</v>
      </c>
      <c r="N43" s="107">
        <f>'UAL Calculation'!T36</f>
        <v>8192</v>
      </c>
      <c r="O43" s="107">
        <f>'UAL Calculation'!U36</f>
        <v>7566</v>
      </c>
      <c r="P43" s="107">
        <f>'UAL Calculation'!V36</f>
        <v>11583.696193334967</v>
      </c>
      <c r="Q43" s="26"/>
      <c r="T43" s="206"/>
      <c r="U43" s="1"/>
      <c r="V43" s="1"/>
      <c r="W43" s="22"/>
      <c r="X43" s="1"/>
    </row>
    <row r="44" spans="3:24" ht="18.75" customHeight="1">
      <c r="C44" s="57" t="str">
        <f>'UAL Calculation'!C37</f>
        <v>Revenue Growth</v>
      </c>
      <c r="D44" s="39"/>
      <c r="E44" s="110">
        <f>'UAL Calculation'!G37</f>
        <v>9.3134660173618489E-2</v>
      </c>
      <c r="F44" s="110">
        <f>'UAL Calculation'!H37</f>
        <v>4.7357334818294072E-2</v>
      </c>
      <c r="G44" s="110">
        <f>'UAL Calculation'!I37</f>
        <v>-0.64504496174206527</v>
      </c>
      <c r="H44" s="110">
        <f>'UAL Calculation'!J37</f>
        <v>0.60429827417779225</v>
      </c>
      <c r="I44" s="110">
        <f>'UAL Calculation'!K37</f>
        <v>1.7346418797772953</v>
      </c>
      <c r="J44" s="111">
        <f>'UAL Calculation'!L37</f>
        <v>0.74896715321648832</v>
      </c>
      <c r="K44" s="112">
        <f>'UAL Calculation'!M37</f>
        <v>0.13318571326327455</v>
      </c>
      <c r="L44" s="110">
        <f>'UAL Calculation'!R37</f>
        <v>2.7091525423728813</v>
      </c>
      <c r="M44" s="110">
        <f>'UAL Calculation'!S37</f>
        <v>2.1137002812374446</v>
      </c>
      <c r="N44" s="110">
        <f>'UAL Calculation'!T37</f>
        <v>1.4009378663540444</v>
      </c>
      <c r="O44" s="110">
        <f>'UAL Calculation'!U37</f>
        <v>1.3489599503259857</v>
      </c>
      <c r="P44" s="110">
        <f>'UAL Calculation'!V37</f>
        <v>1.1172904758426188</v>
      </c>
      <c r="Q44" s="26"/>
      <c r="T44" s="206"/>
      <c r="U44" s="1"/>
      <c r="V44" s="1"/>
      <c r="W44" s="22"/>
      <c r="X44" s="1"/>
    </row>
    <row r="45" spans="3:24" ht="18.75" customHeight="1">
      <c r="C45" s="3" t="str">
        <f>'UAL Calculation'!C38</f>
        <v>Gross Profit (% of rev)</v>
      </c>
      <c r="D45" s="113"/>
      <c r="E45" s="324">
        <f>'UAL Calculation'!G38</f>
        <v>0.29092317749316032</v>
      </c>
      <c r="F45" s="324">
        <f>'UAL Calculation'!H38</f>
        <v>0.31440856238008275</v>
      </c>
      <c r="G45" s="324">
        <f>'UAL Calculation'!I38</f>
        <v>-0.19544122435688702</v>
      </c>
      <c r="H45" s="324">
        <f>'UAL Calculation'!J38</f>
        <v>0.10266298611674921</v>
      </c>
      <c r="I45" s="324">
        <f>'UAL Calculation'!K38</f>
        <v>0.15418061354774146</v>
      </c>
      <c r="J45" s="111">
        <f>'UAL Calculation'!L38</f>
        <v>0.20104249931623025</v>
      </c>
      <c r="K45" s="112">
        <f>'UAL Calculation'!M38</f>
        <v>0.26476229857435024</v>
      </c>
      <c r="L45" s="324">
        <f>'UAL Calculation'!R38</f>
        <v>6.5618716870773169E-2</v>
      </c>
      <c r="M45" s="324">
        <f>'UAL Calculation'!S38</f>
        <v>0.22696774193548386</v>
      </c>
      <c r="N45" s="324">
        <f>'UAL Calculation'!T38</f>
        <v>0.2041015625</v>
      </c>
      <c r="O45" s="324">
        <f>'UAL Calculation'!U38</f>
        <v>8.9611419508326726E-2</v>
      </c>
      <c r="P45" s="324">
        <f>'UAL Calculation'!V38</f>
        <v>0.21536108700636353</v>
      </c>
      <c r="Q45" s="26"/>
      <c r="U45" s="1"/>
      <c r="V45" s="1"/>
      <c r="W45" s="22"/>
      <c r="X45" s="1"/>
    </row>
    <row r="46" spans="3:24" ht="18.75" customHeight="1">
      <c r="C46" s="3" t="str">
        <f>'UAL Calculation'!C39</f>
        <v>SG&amp;A (% of rev)</v>
      </c>
      <c r="D46" s="113"/>
      <c r="E46" s="110">
        <f>'UAL Calculation'!G39</f>
        <v>0</v>
      </c>
      <c r="F46" s="110">
        <f>'UAL Calculation'!H39</f>
        <v>0</v>
      </c>
      <c r="G46" s="110">
        <f>'UAL Calculation'!I39</f>
        <v>0</v>
      </c>
      <c r="H46" s="110">
        <f>'UAL Calculation'!J39</f>
        <v>0</v>
      </c>
      <c r="I46" s="110">
        <f>'UAL Calculation'!K39</f>
        <v>0</v>
      </c>
      <c r="J46" s="111">
        <f>'UAL Calculation'!L39</f>
        <v>0</v>
      </c>
      <c r="K46" s="112">
        <f>'UAL Calculation'!M39</f>
        <v>0</v>
      </c>
      <c r="L46" s="110">
        <f>'UAL Calculation'!R39</f>
        <v>0</v>
      </c>
      <c r="M46" s="110">
        <f>'UAL Calculation'!S39</f>
        <v>0</v>
      </c>
      <c r="N46" s="110">
        <f>'UAL Calculation'!T39</f>
        <v>0</v>
      </c>
      <c r="O46" s="110">
        <f>'UAL Calculation'!U39</f>
        <v>0</v>
      </c>
      <c r="P46" s="110">
        <f>'UAL Calculation'!V39</f>
        <v>0</v>
      </c>
      <c r="Q46" s="114"/>
      <c r="R46" s="206"/>
      <c r="S46" s="206"/>
      <c r="U46" s="1"/>
      <c r="V46" s="1"/>
      <c r="W46" s="22"/>
      <c r="X46" s="1"/>
    </row>
    <row r="47" spans="3:24" ht="18.75" customHeight="1">
      <c r="C47" s="3" t="str">
        <f>'UAL Calculation'!C40</f>
        <v>EBIT (% of rev)</v>
      </c>
      <c r="E47" s="110">
        <f>'UAL Calculation'!G40</f>
        <v>8.8226036849623518E-2</v>
      </c>
      <c r="F47" s="110">
        <f>'UAL Calculation'!H40</f>
        <v>0.10448692757576458</v>
      </c>
      <c r="G47" s="110">
        <f>'UAL Calculation'!I40</f>
        <v>-0.5807880169325953</v>
      </c>
      <c r="H47" s="110">
        <f>'UAL Calculation'!J40</f>
        <v>-0.17325647479093936</v>
      </c>
      <c r="I47" s="110">
        <f>'UAL Calculation'!K40</f>
        <v>-9.9899927533731323E-2</v>
      </c>
      <c r="J47" s="111">
        <f>'UAL Calculation'!L40</f>
        <v>-1.0975627176914894E-2</v>
      </c>
      <c r="K47" s="112">
        <f>'UAL Calculation'!M40</f>
        <v>6.2897268469262316E-2</v>
      </c>
      <c r="L47" s="110">
        <f>'UAL Calculation'!R40</f>
        <v>-0.22025223907877903</v>
      </c>
      <c r="M47" s="110">
        <f>'UAL Calculation'!S40</f>
        <v>-6.8387096774193551E-3</v>
      </c>
      <c r="N47" s="110">
        <f>'UAL Calculation'!T40</f>
        <v>-3.40576171875E-2</v>
      </c>
      <c r="O47" s="110">
        <f>'UAL Calculation'!U40</f>
        <v>-0.17948717948717949</v>
      </c>
      <c r="P47" s="110">
        <f>'UAL Calculation'!V40</f>
        <v>1.1834553716667414E-2</v>
      </c>
      <c r="Q47" s="114"/>
      <c r="R47" s="206"/>
      <c r="S47" s="206"/>
      <c r="U47" s="1"/>
      <c r="V47" s="1"/>
      <c r="W47" s="22"/>
      <c r="X47" s="1"/>
    </row>
    <row r="48" spans="3:24" ht="18.75" customHeight="1">
      <c r="C48" s="106" t="str">
        <f>'UAL Calculation'!C41</f>
        <v>EBITDA</v>
      </c>
      <c r="D48" s="115"/>
      <c r="E48" s="107">
        <f>'UAL Calculation'!G41</f>
        <v>5809</v>
      </c>
      <c r="F48" s="107">
        <f>'UAL Calculation'!H41</f>
        <v>6808</v>
      </c>
      <c r="G48" s="107">
        <f>'UAL Calculation'!I41</f>
        <v>-6430</v>
      </c>
      <c r="H48" s="107">
        <f>'UAL Calculation'!J41</f>
        <v>-1783</v>
      </c>
      <c r="I48" s="107">
        <f>'UAL Calculation'!K41</f>
        <v>-422</v>
      </c>
      <c r="J48" s="108">
        <f>'UAL Calculation'!L41</f>
        <v>2332.7302271760864</v>
      </c>
      <c r="K48" s="109">
        <f>'UAL Calculation'!M41</f>
        <v>5893.2643915403924</v>
      </c>
      <c r="L48" s="107">
        <f>'UAL Calculation'!R41</f>
        <v>-585</v>
      </c>
      <c r="M48" s="107">
        <f>'UAL Calculation'!S41</f>
        <v>570</v>
      </c>
      <c r="N48" s="107">
        <f>'UAL Calculation'!T41</f>
        <v>340</v>
      </c>
      <c r="O48" s="107">
        <f>'UAL Calculation'!U41</f>
        <v>-747</v>
      </c>
      <c r="P48" s="107">
        <f>'UAL Calculation'!V41</f>
        <v>798.35144811609848</v>
      </c>
      <c r="Q48" s="114"/>
      <c r="R48" s="206"/>
      <c r="S48" s="206"/>
      <c r="U48" s="1"/>
      <c r="W48" s="22"/>
      <c r="X48" s="1"/>
    </row>
    <row r="49" spans="3:27" ht="18.75" customHeight="1">
      <c r="C49" s="3" t="str">
        <f>'UAL Calculation'!C42</f>
        <v>EBITDA margin (% of rev)</v>
      </c>
      <c r="D49" s="1"/>
      <c r="E49" s="110">
        <f>'UAL Calculation'!G42</f>
        <v>0.14064353678909522</v>
      </c>
      <c r="F49" s="110">
        <f>'UAL Calculation'!H42</f>
        <v>0.15737765551677108</v>
      </c>
      <c r="G49" s="110">
        <f>'UAL Calculation'!I42</f>
        <v>-0.41875610550309345</v>
      </c>
      <c r="H49" s="110">
        <f>'UAL Calculation'!J42</f>
        <v>-7.2379637898839E-2</v>
      </c>
      <c r="I49" s="110">
        <f>'UAL Calculation'!K42</f>
        <v>-1.456226922944201E-2</v>
      </c>
      <c r="J49" s="111">
        <f>'UAL Calculation'!L42</f>
        <v>5.4143699493555519E-2</v>
      </c>
      <c r="K49" s="112">
        <f>'UAL Calculation'!M42</f>
        <v>0.12070860881916635</v>
      </c>
      <c r="L49" s="110">
        <f>'UAL Calculation'!R42</f>
        <v>-0.10692743556936575</v>
      </c>
      <c r="M49" s="110">
        <f>'UAL Calculation'!S42</f>
        <v>7.3548387096774193E-2</v>
      </c>
      <c r="N49" s="110">
        <f>'UAL Calculation'!T42</f>
        <v>4.150390625E-2</v>
      </c>
      <c r="O49" s="110">
        <f>'UAL Calculation'!U42</f>
        <v>-9.8731165741475016E-2</v>
      </c>
      <c r="P49" s="110">
        <f>'UAL Calculation'!V42</f>
        <v>6.8920268176184935E-2</v>
      </c>
      <c r="Q49" s="114"/>
      <c r="R49" s="206"/>
      <c r="S49" s="206"/>
      <c r="U49" s="116"/>
      <c r="W49" s="22"/>
      <c r="X49" s="1"/>
    </row>
    <row r="50" spans="3:27" ht="18.75" customHeight="1">
      <c r="C50" s="3" t="str">
        <f>'UAL Calculation'!C43</f>
        <v>Capex (% of rev)</v>
      </c>
      <c r="D50" s="1"/>
      <c r="E50" s="110">
        <f>'UAL Calculation'!G43</f>
        <v>9.8540057622932956E-2</v>
      </c>
      <c r="F50" s="110">
        <f>'UAL Calculation'!H43</f>
        <v>0.10467186019094292</v>
      </c>
      <c r="G50" s="110">
        <f>'UAL Calculation'!I43</f>
        <v>0.11247150765223055</v>
      </c>
      <c r="H50" s="110">
        <f>'UAL Calculation'!J43</f>
        <v>8.5532191280344241E-2</v>
      </c>
      <c r="I50" s="110">
        <f>'UAL Calculation'!K43</f>
        <v>7.1258497532696086E-2</v>
      </c>
      <c r="J50" s="111">
        <f>'UAL Calculation'!L43</f>
        <v>0.13466698412096159</v>
      </c>
      <c r="K50" s="112">
        <f>'UAL Calculation'!M43</f>
        <v>0.15771501601757221</v>
      </c>
      <c r="L50" s="110">
        <f>'UAL Calculation'!R43</f>
        <v>0.15737525132516908</v>
      </c>
      <c r="M50" s="110">
        <f>'UAL Calculation'!S43</f>
        <v>3.4322580645161291E-2</v>
      </c>
      <c r="N50" s="110">
        <f>'UAL Calculation'!T43</f>
        <v>6.54296875E-2</v>
      </c>
      <c r="O50" s="110">
        <f>'UAL Calculation'!U43</f>
        <v>5.3132434575733543E-2</v>
      </c>
      <c r="P50" s="110">
        <f>'UAL Calculation'!V43</f>
        <v>0.13702499470517399</v>
      </c>
      <c r="Q50" s="114"/>
      <c r="R50" s="206"/>
      <c r="S50" s="206"/>
      <c r="U50" s="116"/>
      <c r="W50" s="22"/>
      <c r="X50" s="1"/>
    </row>
    <row r="51" spans="3:27" ht="18.75" customHeight="1">
      <c r="C51" s="3" t="str">
        <f>'UAL Calculation'!C44</f>
        <v>FCF (% of rev)</v>
      </c>
      <c r="D51" s="1"/>
      <c r="E51" s="110">
        <f>'UAL Calculation'!G44</f>
        <v>5.0698496477253469E-2</v>
      </c>
      <c r="F51" s="110">
        <f>'UAL Calculation'!H44</f>
        <v>5.5040569592454749E-2</v>
      </c>
      <c r="G51" s="110">
        <f>'UAL Calculation'!I44</f>
        <v>-0.38163464669488767</v>
      </c>
      <c r="H51" s="110">
        <f>'UAL Calculation'!J44</f>
        <v>-1.6237720224080538E-3</v>
      </c>
      <c r="I51" s="110">
        <f>'UAL Calculation'!K44</f>
        <v>3.5577487145864249E-2</v>
      </c>
      <c r="J51" s="111">
        <f ca="1">'UAL Calculation'!L44</f>
        <v>-2.7290422958629559E-2</v>
      </c>
      <c r="K51" s="112">
        <f ca="1">'UAL Calculation'!M44</f>
        <v>-6.4155605393878934E-2</v>
      </c>
      <c r="L51" s="110">
        <f>'UAL Calculation'!R44</f>
        <v>0.33156644123560591</v>
      </c>
      <c r="M51" s="110">
        <f>'UAL Calculation'!S44</f>
        <v>-0.13574193548387098</v>
      </c>
      <c r="N51" s="110">
        <f>'UAL Calculation'!T44</f>
        <v>-9.82666015625E-2</v>
      </c>
      <c r="O51" s="110">
        <f>'UAL Calculation'!U44</f>
        <v>0.14195083267248215</v>
      </c>
      <c r="P51" s="110">
        <f ca="1">'UAL Calculation'!V44</f>
        <v>3.2330973805673013E-2</v>
      </c>
      <c r="Q51" s="114"/>
      <c r="R51" s="206"/>
      <c r="S51" s="206"/>
      <c r="U51" s="116"/>
      <c r="W51" s="22"/>
      <c r="X51" s="1"/>
    </row>
    <row r="52" spans="3:27" ht="18.75" customHeight="1">
      <c r="C52" s="3" t="str">
        <f>'UAL Calculation'!C45</f>
        <v>FCF (% of debt)**</v>
      </c>
      <c r="D52" s="1"/>
      <c r="E52" s="110">
        <f>'UAL Calculation'!G45</f>
        <v>0.15574563034585348</v>
      </c>
      <c r="F52" s="110">
        <f>'UAL Calculation'!H45</f>
        <v>0.16362012094557449</v>
      </c>
      <c r="G52" s="110">
        <f>'UAL Calculation'!I45</f>
        <v>-0.21908999140090477</v>
      </c>
      <c r="H52" s="110">
        <f>'UAL Calculation'!J45</f>
        <v>-1.1989329496747895E-3</v>
      </c>
      <c r="I52" s="110">
        <f>'UAL Calculation'!K45</f>
        <v>3.1568633454790412E-2</v>
      </c>
      <c r="J52" s="111">
        <f ca="1">'UAL Calculation'!L45</f>
        <v>-4.10473474074253E-2</v>
      </c>
      <c r="K52" s="112">
        <f ca="1">'UAL Calculation'!M45</f>
        <v>-0.10118512791207944</v>
      </c>
      <c r="L52" s="110">
        <f>'UAL Calculation'!R45</f>
        <v>-5.7863327872688976E-2</v>
      </c>
      <c r="M52" s="110">
        <f>'UAL Calculation'!S45</f>
        <v>-4.4659504572494006E-2</v>
      </c>
      <c r="N52" s="110">
        <f>'UAL Calculation'!T45</f>
        <v>-1.1989329496747895E-3</v>
      </c>
      <c r="O52" s="110">
        <f>'UAL Calculation'!U45</f>
        <v>3.1568633454790412E-2</v>
      </c>
      <c r="P52" s="110">
        <f ca="1">'UAL Calculation'!V45</f>
        <v>-1.4752970559559934E-2</v>
      </c>
      <c r="Q52" s="114"/>
      <c r="R52" s="88"/>
      <c r="S52" s="1"/>
      <c r="U52" s="116"/>
      <c r="W52" s="117"/>
      <c r="X52" s="1"/>
      <c r="Z52" s="1018"/>
      <c r="AA52" s="883"/>
    </row>
    <row r="53" spans="3:27" ht="18.75" customHeight="1">
      <c r="C53" s="3" t="str">
        <f>'UAL Calculation'!C46</f>
        <v>Divs / Share Repo (% of debt)**</v>
      </c>
      <c r="D53" s="1"/>
      <c r="E53" s="110">
        <f>'UAL Calculation'!G46</f>
        <v>9.1855708441799924E-2</v>
      </c>
      <c r="F53" s="110">
        <f>'UAL Calculation'!H46</f>
        <v>0.11304288070368335</v>
      </c>
      <c r="G53" s="110">
        <f>'UAL Calculation'!I46</f>
        <v>1.3197741802819008E-2</v>
      </c>
      <c r="H53" s="110">
        <f>'UAL Calculation'!J46</f>
        <v>0</v>
      </c>
      <c r="I53" s="110">
        <f>'UAL Calculation'!K46</f>
        <v>0</v>
      </c>
      <c r="J53" s="111">
        <f ca="1">'UAL Calculation'!L46</f>
        <v>0</v>
      </c>
      <c r="K53" s="112">
        <f ca="1">'UAL Calculation'!M46</f>
        <v>0</v>
      </c>
      <c r="L53" s="110">
        <f>'UAL Calculation'!R46</f>
        <v>0</v>
      </c>
      <c r="M53" s="110">
        <f>'UAL Calculation'!S46</f>
        <v>0</v>
      </c>
      <c r="N53" s="110">
        <f>'UAL Calculation'!T46</f>
        <v>0</v>
      </c>
      <c r="O53" s="110">
        <f>'UAL Calculation'!U46</f>
        <v>0</v>
      </c>
      <c r="P53" s="110">
        <f ca="1">'UAL Calculation'!V46</f>
        <v>0</v>
      </c>
      <c r="Q53" s="114"/>
      <c r="U53" s="116"/>
      <c r="W53" s="118"/>
      <c r="X53" s="54"/>
    </row>
    <row r="54" spans="3:27" ht="18.75" customHeight="1">
      <c r="C54" s="3" t="str">
        <f>'UAL Calculation'!C47</f>
        <v>ROA**</v>
      </c>
      <c r="D54" s="1"/>
      <c r="E54" s="110">
        <f>'UAL Calculation'!G47</f>
        <v>6.346320428327934E-2</v>
      </c>
      <c r="F54" s="110">
        <f>'UAL Calculation'!H47</f>
        <v>6.8408033201493579E-2</v>
      </c>
      <c r="G54" s="110">
        <f>'UAL Calculation'!I47</f>
        <v>-0.19379668319679536</v>
      </c>
      <c r="H54" s="110">
        <f>'UAL Calculation'!J47</f>
        <v>-8.2490336416141521E-2</v>
      </c>
      <c r="I54" s="110">
        <f>'UAL Calculation'!K47</f>
        <v>-5.4641820331829051E-2</v>
      </c>
      <c r="J54" s="111">
        <f ca="1">'UAL Calculation'!L47</f>
        <v>-8.4613138812525378E-3</v>
      </c>
      <c r="K54" s="112">
        <f ca="1">'UAL Calculation'!M47</f>
        <v>4.5364412922912607E-2</v>
      </c>
      <c r="L54" s="110">
        <f>'UAL Calculation'!R47</f>
        <v>-0.17076420375648388</v>
      </c>
      <c r="M54" s="110">
        <f>'UAL Calculation'!S47</f>
        <v>-0.11635614970017398</v>
      </c>
      <c r="N54" s="110">
        <f>'UAL Calculation'!T47</f>
        <v>-8.2490336416141521E-2</v>
      </c>
      <c r="O54" s="110">
        <f>'UAL Calculation'!U47</f>
        <v>-5.4641820331829051E-2</v>
      </c>
      <c r="P54" s="110">
        <f ca="1">'UAL Calculation'!V47</f>
        <v>-2.8038144304695721E-2</v>
      </c>
      <c r="Q54" s="114"/>
      <c r="W54" s="118"/>
      <c r="X54" s="54"/>
    </row>
    <row r="55" spans="3:27" ht="18.75" customHeight="1" thickBot="1">
      <c r="C55" s="57" t="str">
        <f>'UAL Calculation'!C48</f>
        <v>ROIC**</v>
      </c>
      <c r="D55" s="39"/>
      <c r="E55" s="110">
        <f>'UAL Calculation'!G48</f>
        <v>0.13704140513230528</v>
      </c>
      <c r="F55" s="110">
        <f>'UAL Calculation'!H48</f>
        <v>0.15411292402433391</v>
      </c>
      <c r="G55" s="110">
        <f>'UAL Calculation'!I48</f>
        <v>-0.48562394581356533</v>
      </c>
      <c r="H55" s="110">
        <f>'UAL Calculation'!J48</f>
        <v>-0.25359022885115273</v>
      </c>
      <c r="I55" s="110">
        <f>'UAL Calculation'!K48</f>
        <v>-0.18800342004817588</v>
      </c>
      <c r="J55" s="111">
        <f ca="1">'UAL Calculation'!L48</f>
        <v>-2.8265729428117742E-2</v>
      </c>
      <c r="K55" s="112">
        <f ca="1">'UAL Calculation'!M48</f>
        <v>0.13694748098184958</v>
      </c>
      <c r="L55" s="110">
        <f>'UAL Calculation'!R48</f>
        <v>-0.55100044738251641</v>
      </c>
      <c r="M55" s="110">
        <f>'UAL Calculation'!S48</f>
        <v>-0.37305271711946042</v>
      </c>
      <c r="N55" s="110">
        <f>'UAL Calculation'!T48</f>
        <v>-0.25359022885115273</v>
      </c>
      <c r="O55" s="110">
        <f>'UAL Calculation'!U48</f>
        <v>-0.18800342004817588</v>
      </c>
      <c r="P55" s="110">
        <f ca="1">'UAL Calculation'!V48</f>
        <v>-0.10769146421788146</v>
      </c>
      <c r="Q55" s="121"/>
      <c r="R55" s="10"/>
      <c r="S55" s="10"/>
      <c r="T55" s="10"/>
      <c r="U55" s="10"/>
      <c r="V55" s="122"/>
      <c r="W55" s="123"/>
      <c r="X55" s="54"/>
    </row>
    <row r="56" spans="3:27" ht="18.75" customHeight="1">
      <c r="C56" s="3" t="str">
        <f>'UAL Calculation'!C49</f>
        <v>Gross Debt / EBITDA**</v>
      </c>
      <c r="D56" s="1"/>
      <c r="E56" s="325">
        <f>'UAL Calculation'!G49</f>
        <v>2.314511964193493</v>
      </c>
      <c r="F56" s="325">
        <f>'UAL Calculation'!H49</f>
        <v>2.137485311398355</v>
      </c>
      <c r="G56" s="325" t="str">
        <f>'UAL Calculation'!I49</f>
        <v xml:space="preserve">NM </v>
      </c>
      <c r="H56" s="325" t="str">
        <f>'UAL Calculation'!J49</f>
        <v xml:space="preserve">NM </v>
      </c>
      <c r="I56" s="325" t="str">
        <f>'UAL Calculation'!K49</f>
        <v xml:space="preserve">NM </v>
      </c>
      <c r="J56" s="119">
        <f ca="1">'UAL Calculation'!L49</f>
        <v>12.279402721001023</v>
      </c>
      <c r="K56" s="120">
        <f ca="1">'UAL Calculation'!M49</f>
        <v>5.2526646876128638</v>
      </c>
      <c r="L56" s="325" t="str">
        <f>'UAL Calculation'!R49</f>
        <v xml:space="preserve">NM </v>
      </c>
      <c r="M56" s="325" t="str">
        <f>'UAL Calculation'!S49</f>
        <v xml:space="preserve">NM </v>
      </c>
      <c r="N56" s="325" t="str">
        <f>'UAL Calculation'!T49</f>
        <v xml:space="preserve">NM </v>
      </c>
      <c r="O56" s="325" t="str">
        <f>'UAL Calculation'!U49</f>
        <v xml:space="preserve">NM </v>
      </c>
      <c r="P56" s="325">
        <f ca="1">'UAL Calculation'!V49</f>
        <v>28.80165559747973</v>
      </c>
      <c r="Q56" s="237" t="s">
        <v>83</v>
      </c>
      <c r="R56" s="238"/>
      <c r="S56" s="238"/>
      <c r="T56" s="238"/>
      <c r="U56" s="238"/>
      <c r="V56" s="239"/>
      <c r="W56" s="240"/>
      <c r="X56" s="54"/>
    </row>
    <row r="57" spans="3:27" ht="18.75" customHeight="1">
      <c r="C57" s="124" t="str">
        <f>'UAL Calculation'!C50</f>
        <v>Net Debt / EBITDA**</v>
      </c>
      <c r="D57" s="100"/>
      <c r="E57" s="125">
        <f>'UAL Calculation'!G50</f>
        <v>2.0228955069719401</v>
      </c>
      <c r="F57" s="125">
        <f>'UAL Calculation'!H50</f>
        <v>1.7317861339600471</v>
      </c>
      <c r="G57" s="125" t="str">
        <f>'UAL Calculation'!I50</f>
        <v xml:space="preserve">NM </v>
      </c>
      <c r="H57" s="125" t="str">
        <f>'UAL Calculation'!J50</f>
        <v xml:space="preserve">NM </v>
      </c>
      <c r="I57" s="125" t="str">
        <f>'UAL Calculation'!K50</f>
        <v xml:space="preserve">NM </v>
      </c>
      <c r="J57" s="119">
        <f ca="1">'UAL Calculation'!L50</f>
        <v>7.0802930921057987</v>
      </c>
      <c r="K57" s="120">
        <f ca="1">'UAL Calculation'!M50</f>
        <v>3.3511946388843437</v>
      </c>
      <c r="L57" s="125" t="str">
        <f>'UAL Calculation'!R50</f>
        <v xml:space="preserve">NM </v>
      </c>
      <c r="M57" s="125" t="str">
        <f>'UAL Calculation'!S50</f>
        <v xml:space="preserve">NM </v>
      </c>
      <c r="N57" s="125" t="str">
        <f>'UAL Calculation'!T50</f>
        <v xml:space="preserve">NM </v>
      </c>
      <c r="O57" s="125" t="str">
        <f>'UAL Calculation'!U50</f>
        <v xml:space="preserve">NM </v>
      </c>
      <c r="P57" s="125">
        <f ca="1">'UAL Calculation'!V50</f>
        <v>14.398166638476418</v>
      </c>
      <c r="Q57" s="27" t="s">
        <v>84</v>
      </c>
      <c r="R57" s="1"/>
      <c r="S57" s="1"/>
      <c r="T57" s="1"/>
      <c r="U57" s="37" t="s">
        <v>85</v>
      </c>
      <c r="W57" s="24"/>
      <c r="X57" s="54"/>
      <c r="Z57" s="1018"/>
      <c r="AA57" s="883"/>
    </row>
    <row r="58" spans="3:27" ht="18.75" customHeight="1">
      <c r="C58" s="3" t="str">
        <f>'UAL Calculation'!C51</f>
        <v>EBITDA / Interest**</v>
      </c>
      <c r="D58" s="126"/>
      <c r="E58" s="125">
        <f>'UAL Calculation'!G51</f>
        <v>9.0201863354037268</v>
      </c>
      <c r="F58" s="125">
        <f>'UAL Calculation'!H51</f>
        <v>10.206896551724139</v>
      </c>
      <c r="G58" s="125" t="str">
        <f>'UAL Calculation'!I51</f>
        <v xml:space="preserve">NM </v>
      </c>
      <c r="H58" s="125" t="str">
        <f>'UAL Calculation'!J51</f>
        <v xml:space="preserve">NM </v>
      </c>
      <c r="I58" s="125" t="str">
        <f>'UAL Calculation'!K51</f>
        <v xml:space="preserve">NM </v>
      </c>
      <c r="J58" s="119">
        <f ca="1">'UAL Calculation'!L51</f>
        <v>1.5998439108681488</v>
      </c>
      <c r="K58" s="120">
        <f ca="1">'UAL Calculation'!M51</f>
        <v>3.9244566148612532</v>
      </c>
      <c r="L58" s="125" t="str">
        <f>'UAL Calculation'!R51</f>
        <v xml:space="preserve">NM </v>
      </c>
      <c r="M58" s="125" t="str">
        <f>'UAL Calculation'!S51</f>
        <v xml:space="preserve">NM </v>
      </c>
      <c r="N58" s="125" t="str">
        <f>'UAL Calculation'!T51</f>
        <v xml:space="preserve">NM </v>
      </c>
      <c r="O58" s="125" t="str">
        <f>'UAL Calculation'!U51</f>
        <v xml:space="preserve">NM </v>
      </c>
      <c r="P58" s="125">
        <f ca="1">'UAL Calculation'!V51</f>
        <v>0.58646270610277473</v>
      </c>
      <c r="Q58" s="27"/>
      <c r="R58" s="127" t="s">
        <v>86</v>
      </c>
      <c r="S58" s="128" t="str">
        <f>I42</f>
        <v>LTM</v>
      </c>
      <c r="T58" s="129" t="str">
        <f>J42</f>
        <v>FY22E</v>
      </c>
      <c r="U58" s="130" t="s">
        <v>87</v>
      </c>
      <c r="W58" s="24"/>
      <c r="X58" s="54"/>
    </row>
    <row r="59" spans="3:27" ht="18.75" customHeight="1">
      <c r="C59" s="3" t="str">
        <f>'UAL Calculation'!C52</f>
        <v>EBIT / Interest**</v>
      </c>
      <c r="D59" s="126"/>
      <c r="E59" s="125">
        <f>'UAL Calculation'!G52</f>
        <v>5.658385093167702</v>
      </c>
      <c r="F59" s="125">
        <f>'UAL Calculation'!H52</f>
        <v>6.7766116941529235</v>
      </c>
      <c r="G59" s="125" t="str">
        <f>'UAL Calculation'!I52</f>
        <v xml:space="preserve">NM </v>
      </c>
      <c r="H59" s="125" t="str">
        <f>'UAL Calculation'!J52</f>
        <v xml:space="preserve">NM </v>
      </c>
      <c r="I59" s="125" t="str">
        <f>'UAL Calculation'!K52</f>
        <v xml:space="preserve">NM </v>
      </c>
      <c r="J59" s="119" t="str">
        <f>'UAL Calculation'!L52</f>
        <v xml:space="preserve">NM </v>
      </c>
      <c r="K59" s="120">
        <f ca="1">'UAL Calculation'!M52</f>
        <v>2.0449046983110226</v>
      </c>
      <c r="L59" s="125" t="str">
        <f>'UAL Calculation'!R52</f>
        <v xml:space="preserve">NM </v>
      </c>
      <c r="M59" s="125" t="str">
        <f>'UAL Calculation'!S52</f>
        <v xml:space="preserve">NM </v>
      </c>
      <c r="N59" s="125" t="str">
        <f>'UAL Calculation'!T52</f>
        <v xml:space="preserve">NM </v>
      </c>
      <c r="O59" s="125" t="str">
        <f>'UAL Calculation'!U52</f>
        <v xml:space="preserve">NM </v>
      </c>
      <c r="P59" s="125" t="str">
        <f>'UAL Calculation'!V52</f>
        <v xml:space="preserve">NM </v>
      </c>
      <c r="Q59" s="3"/>
      <c r="R59" s="132" t="s">
        <v>88</v>
      </c>
      <c r="S59" s="132" t="s">
        <v>89</v>
      </c>
      <c r="T59" s="132" t="s">
        <v>89</v>
      </c>
      <c r="U59" s="70" t="s">
        <v>90</v>
      </c>
      <c r="W59" s="24"/>
      <c r="X59" s="54"/>
      <c r="Z59" s="1020"/>
      <c r="AA59" s="883"/>
    </row>
    <row r="60" spans="3:27" ht="18.75" customHeight="1">
      <c r="C60" s="131" t="str">
        <f>'UAL Calculation'!C53</f>
        <v>EBITDA / Total Fixed Charges***</v>
      </c>
      <c r="D60" s="206"/>
      <c r="E60" s="340">
        <f>'UAL Calculation'!G53</f>
        <v>0.69138300404665554</v>
      </c>
      <c r="F60" s="340">
        <f>'UAL Calculation'!H53</f>
        <v>0.74233998473448914</v>
      </c>
      <c r="G60" s="340" t="str">
        <f>'UAL Calculation'!I53</f>
        <v xml:space="preserve">NM </v>
      </c>
      <c r="H60" s="340" t="str">
        <f>'UAL Calculation'!J53</f>
        <v xml:space="preserve">NM </v>
      </c>
      <c r="I60" s="340" t="str">
        <f>'UAL Calculation'!K53</f>
        <v xml:space="preserve">NM </v>
      </c>
      <c r="J60" s="361">
        <f ca="1">'UAL Calculation'!L53</f>
        <v>0.18420466148474443</v>
      </c>
      <c r="K60" s="362">
        <f ca="1">'UAL Calculation'!M53</f>
        <v>0.64045550529044648</v>
      </c>
      <c r="L60" s="340" t="str">
        <f>'UAL Calculation'!R53</f>
        <v xml:space="preserve">NM </v>
      </c>
      <c r="M60" s="340" t="str">
        <f>'UAL Calculation'!S53</f>
        <v xml:space="preserve">NM </v>
      </c>
      <c r="N60" s="340" t="str">
        <f>'UAL Calculation'!T53</f>
        <v xml:space="preserve">NM </v>
      </c>
      <c r="O60" s="340" t="str">
        <f>'UAL Calculation'!U53</f>
        <v xml:space="preserve">NM </v>
      </c>
      <c r="P60" s="340">
        <f ca="1">'UAL Calculation'!V53</f>
        <v>9.0487032406072199E-2</v>
      </c>
      <c r="Q60" s="133" t="str">
        <f>D3</f>
        <v>UAL US</v>
      </c>
      <c r="R60" s="134" t="str">
        <f ca="1">K35</f>
        <v xml:space="preserve">NM </v>
      </c>
      <c r="S60" s="135" t="str">
        <f t="shared" ref="S60:S66" ca="1" si="5">IFERROR($I$57/$R60,"")</f>
        <v/>
      </c>
      <c r="T60" s="135" t="str">
        <f t="shared" ref="T60:T67" ca="1" si="6">IFERROR($J$57/$R60,"")</f>
        <v/>
      </c>
      <c r="U60" s="60" t="s">
        <v>91</v>
      </c>
      <c r="W60" s="136" t="s">
        <v>92</v>
      </c>
      <c r="X60" s="54"/>
      <c r="Z60" s="1018"/>
      <c r="AA60" s="883"/>
    </row>
    <row r="61" spans="3:27" ht="18.75" customHeight="1">
      <c r="C61" s="3" t="str">
        <f>'UAL Calculation'!C54</f>
        <v>Debt / Book Capital</v>
      </c>
      <c r="D61" s="126"/>
      <c r="E61" s="125">
        <f>'UAL Calculation'!G54</f>
        <v>0.57244433090645885</v>
      </c>
      <c r="F61" s="125">
        <f>'UAL Calculation'!H54</f>
        <v>0.55791128321128702</v>
      </c>
      <c r="G61" s="125">
        <f>'UAL Calculation'!I54</f>
        <v>0.81777601125141408</v>
      </c>
      <c r="H61" s="125">
        <f>'UAL Calculation'!J54</f>
        <v>0.86900916857678678</v>
      </c>
      <c r="I61" s="125">
        <f>'UAL Calculation'!K54</f>
        <v>0.90011851280213873</v>
      </c>
      <c r="J61" s="119">
        <f ca="1">'UAL Calculation'!L54</f>
        <v>0.89131828299310845</v>
      </c>
      <c r="K61" s="120">
        <f ca="1">'UAL Calculation'!M54</f>
        <v>0.85884728206924554</v>
      </c>
      <c r="L61" s="125">
        <f>'UAL Calculation'!R54</f>
        <v>0.87453950061399921</v>
      </c>
      <c r="M61" s="125">
        <f>'UAL Calculation'!S54</f>
        <v>0.86152473227944926</v>
      </c>
      <c r="N61" s="125">
        <f>'UAL Calculation'!T54</f>
        <v>0.86900916857678678</v>
      </c>
      <c r="O61" s="125">
        <f>'UAL Calculation'!U54</f>
        <v>0.90011851280213873</v>
      </c>
      <c r="P61" s="125">
        <f ca="1">'UAL Calculation'!V54</f>
        <v>0.88978119512503451</v>
      </c>
      <c r="Q61" s="138" t="str">
        <f ca="1">IF(ISBLANK('UAL Calculation'!C83),"",'UAL Calculation'!C83)</f>
        <v>AAL US</v>
      </c>
      <c r="R61" s="134" t="str">
        <f ca="1">IFERROR(IF(BBswitch=1,_xll.BDP(Q61&amp;" EQUITY", "EV EBITDA ADJUSTED")*1,R61),"")</f>
        <v/>
      </c>
      <c r="S61" s="135" t="str">
        <f t="shared" ca="1" si="5"/>
        <v/>
      </c>
      <c r="T61" s="135" t="str">
        <f t="shared" ca="1" si="6"/>
        <v/>
      </c>
      <c r="U61" s="70" t="str">
        <f ca="1">'UAL Calculation'!C60</f>
        <v>VANGUARD GROUP</v>
      </c>
      <c r="W61" s="139">
        <f>'UAL Calculation'!G60/100</f>
        <v>0.1057</v>
      </c>
      <c r="X61" s="54"/>
      <c r="Z61" s="1020"/>
      <c r="AA61" s="883"/>
    </row>
    <row r="62" spans="3:27" ht="18.75" customHeight="1">
      <c r="C62" s="57" t="str">
        <f>'UAL Calculation'!C55</f>
        <v>Net Debt / Tangible Assets*</v>
      </c>
      <c r="D62" s="137"/>
      <c r="E62" s="341">
        <f>'UAL Calculation'!G55</f>
        <v>0.39419657832941968</v>
      </c>
      <c r="F62" s="341">
        <f>'UAL Calculation'!H55</f>
        <v>0.36158989143102499</v>
      </c>
      <c r="G62" s="341">
        <f>'UAL Calculation'!I55</f>
        <v>0.45938325468198143</v>
      </c>
      <c r="H62" s="341">
        <f>'UAL Calculation'!J55</f>
        <v>0.43433179723502302</v>
      </c>
      <c r="I62" s="341">
        <f>'UAL Calculation'!K55</f>
        <v>0.40532975350604095</v>
      </c>
      <c r="J62" s="342">
        <f ca="1">'UAL Calculation'!L55</f>
        <v>0.43025134615459126</v>
      </c>
      <c r="K62" s="120">
        <f ca="1">'UAL Calculation'!M55</f>
        <v>0.45909540863784776</v>
      </c>
      <c r="L62" s="341">
        <f>'UAL Calculation'!R55</f>
        <v>0.3809224797351296</v>
      </c>
      <c r="M62" s="341">
        <f>'UAL Calculation'!S55</f>
        <v>0.41771096803862956</v>
      </c>
      <c r="N62" s="341">
        <f>'UAL Calculation'!T55</f>
        <v>0.43433179723502302</v>
      </c>
      <c r="O62" s="341">
        <f>'UAL Calculation'!U55</f>
        <v>0.40532975350604095</v>
      </c>
      <c r="P62" s="341">
        <f ca="1">'UAL Calculation'!V55</f>
        <v>0.38396191038223332</v>
      </c>
      <c r="Q62" s="141" t="str">
        <f>IF(ISBLANK('UAL Calculation'!C86),"",'UAL Calculation'!C86)</f>
        <v>ALK US</v>
      </c>
      <c r="R62" s="145" t="str">
        <f ca="1">IFERROR(IF(BBswitch=1,_xll.BDP(Q62&amp;" EQUITY", "EV EBITDA ADJUSTED")*1,R62),"")</f>
        <v/>
      </c>
      <c r="S62" s="251" t="str">
        <f t="shared" ca="1" si="5"/>
        <v/>
      </c>
      <c r="T62" s="251" t="str">
        <f t="shared" ca="1" si="6"/>
        <v/>
      </c>
      <c r="U62" s="70" t="str">
        <f>'UAL Calculation'!C61</f>
        <v>PRIMECAP MANAGEMENT</v>
      </c>
      <c r="W62" s="139">
        <f>'UAL Calculation'!G61/100</f>
        <v>7.6600000000000001E-2</v>
      </c>
      <c r="X62" s="54"/>
      <c r="Z62" s="1020"/>
      <c r="AA62" s="883"/>
    </row>
    <row r="63" spans="3:27" ht="18.75" customHeight="1">
      <c r="C63" s="26"/>
      <c r="D63" s="1"/>
      <c r="E63" s="1"/>
      <c r="F63" s="1"/>
      <c r="G63" s="1"/>
      <c r="H63" s="1"/>
      <c r="I63" s="140"/>
      <c r="J63" s="1"/>
      <c r="K63" s="326"/>
      <c r="L63" s="1"/>
      <c r="M63" s="1"/>
      <c r="N63" s="54"/>
      <c r="O63" s="1"/>
      <c r="P63" s="118"/>
      <c r="Q63" s="138" t="str">
        <f>IF(ISBLANK('UAL Calculation'!C87),"",'UAL Calculation'!C87)</f>
        <v>AEROMEX* MM</v>
      </c>
      <c r="R63" s="134" t="str">
        <f ca="1">IFERROR(IF(BBswitch=1,_xll.BDP(Q63&amp;" EQUITY", "EV EBITDA ADJUSTED")*1,R63),"")</f>
        <v/>
      </c>
      <c r="S63" s="251" t="str">
        <f t="shared" ca="1" si="5"/>
        <v/>
      </c>
      <c r="T63" s="251" t="str">
        <f t="shared" ca="1" si="6"/>
        <v/>
      </c>
      <c r="U63" s="142" t="str">
        <f>'UAL Calculation'!C62</f>
        <v>BLACKROCK</v>
      </c>
      <c r="V63" s="143"/>
      <c r="W63" s="144">
        <f>'UAL Calculation'!G62/100</f>
        <v>5.0999999999999997E-2</v>
      </c>
      <c r="X63" s="54"/>
      <c r="Z63" s="1018"/>
      <c r="AA63" s="883"/>
    </row>
    <row r="64" spans="3:27" s="252" customFormat="1" ht="18.75" customHeight="1">
      <c r="C64" s="245" t="s">
        <v>93</v>
      </c>
      <c r="D64" s="246"/>
      <c r="E64" s="246"/>
      <c r="F64" s="246"/>
      <c r="G64" s="246"/>
      <c r="H64" s="247"/>
      <c r="I64" s="247"/>
      <c r="J64" s="248"/>
      <c r="K64" s="246"/>
      <c r="L64" s="247"/>
      <c r="M64" s="246"/>
      <c r="N64" s="249"/>
      <c r="O64" s="249"/>
      <c r="P64" s="250"/>
      <c r="Q64" s="252" t="str">
        <f>IF(ISBLANK('UAL Calculation'!C88),"",'UAL Calculation'!C88)</f>
        <v>HA US</v>
      </c>
      <c r="R64" s="134" t="str">
        <f ca="1">IFERROR(IF(BBswitch=1,_xll.BDP(Q64&amp;" EQUITY", "EV EBITDA ADJUSTED")*1,R64),"")</f>
        <v/>
      </c>
      <c r="S64" s="251" t="str">
        <f t="shared" ca="1" si="5"/>
        <v/>
      </c>
      <c r="T64" s="251" t="str">
        <f t="shared" ca="1" si="6"/>
        <v/>
      </c>
      <c r="U64" s="142" t="str">
        <f>'UAL Calculation'!C63</f>
        <v>STATE STREET CORP</v>
      </c>
      <c r="V64" s="143"/>
      <c r="W64" s="144">
        <f>'UAL Calculation'!G63/100</f>
        <v>3.2099999999999997E-2</v>
      </c>
      <c r="X64" s="249"/>
      <c r="Z64" s="206"/>
      <c r="AA64" s="206"/>
    </row>
    <row r="65" spans="3:37" ht="18.75" customHeight="1">
      <c r="C65" s="3" t="s">
        <v>94</v>
      </c>
      <c r="P65" s="118"/>
      <c r="Q65" s="252" t="str">
        <f>IF(ISBLANK('UAL Calculation'!C89),"",'UAL Calculation'!C89)</f>
        <v>CPA US</v>
      </c>
      <c r="R65" s="134" t="str">
        <f ca="1">IFERROR(IF(BBswitch=1,_xll.BDP(Q65&amp;" EQUITY", "EV EBITDA ADJUSTED")*1,R65),"")</f>
        <v/>
      </c>
      <c r="S65" s="251" t="str">
        <f t="shared" ca="1" si="5"/>
        <v/>
      </c>
      <c r="T65" s="251" t="str">
        <f t="shared" ca="1" si="6"/>
        <v/>
      </c>
      <c r="U65" s="70" t="str">
        <f>'UAL Calculation'!C64</f>
        <v>US GLOBAL INVESTORS</v>
      </c>
      <c r="W65" s="139">
        <f>'UAL Calculation'!G64/100</f>
        <v>2.6600000000000002E-2</v>
      </c>
      <c r="X65" s="1"/>
    </row>
    <row r="66" spans="3:37" ht="18.75" customHeight="1">
      <c r="C66" s="146" t="s">
        <v>95</v>
      </c>
      <c r="P66" s="118"/>
      <c r="Q66" s="147" t="str">
        <f>IF(ISBLANK('UAL Calculation'!C90),"",'UAL Calculation'!C90)</f>
        <v/>
      </c>
      <c r="R66" s="148" t="str">
        <f ca="1">IFERROR(IF(BBswitch=1,_xll.BDP(Q66&amp;" EQUITY", "EV EBITDA ADJUSTED")*1,R66),"")</f>
        <v/>
      </c>
      <c r="S66" s="149" t="str">
        <f t="shared" ca="1" si="5"/>
        <v/>
      </c>
      <c r="T66" s="149" t="str">
        <f t="shared" ca="1" si="6"/>
        <v/>
      </c>
      <c r="U66" s="29"/>
      <c r="W66" s="24"/>
      <c r="X66" s="1"/>
      <c r="Z66" s="1020"/>
      <c r="AA66" s="1023"/>
    </row>
    <row r="67" spans="3:37">
      <c r="C67" s="131" t="s">
        <v>96</v>
      </c>
      <c r="P67" s="22"/>
      <c r="Q67" s="150" t="s">
        <v>97</v>
      </c>
      <c r="R67" s="151" t="e">
        <f ca="1">AVERAGE(R60:R66)</f>
        <v>#DIV/0!</v>
      </c>
      <c r="S67" s="135" t="str">
        <f ca="1">IFERROR($I$57/R67,"")</f>
        <v/>
      </c>
      <c r="T67" s="135" t="str">
        <f t="shared" ca="1" si="6"/>
        <v/>
      </c>
      <c r="U67" s="32"/>
      <c r="W67" s="24"/>
      <c r="X67" s="206"/>
      <c r="Z67" s="1018"/>
      <c r="AA67" s="883"/>
    </row>
    <row r="68" spans="3:37" ht="18.75" customHeight="1" thickBot="1">
      <c r="C68" s="50"/>
      <c r="D68" s="51"/>
      <c r="E68" s="51"/>
      <c r="F68" s="51"/>
      <c r="G68" s="51"/>
      <c r="H68" s="51"/>
      <c r="I68" s="51"/>
      <c r="J68" s="51"/>
      <c r="K68" s="51"/>
      <c r="L68" s="51"/>
      <c r="M68" s="51"/>
      <c r="N68" s="51"/>
      <c r="O68" s="51"/>
      <c r="P68" s="53"/>
      <c r="Q68" s="50"/>
      <c r="R68" s="51"/>
      <c r="S68" s="51"/>
      <c r="T68" s="51"/>
      <c r="U68" s="52"/>
      <c r="V68" s="152" t="s">
        <v>98</v>
      </c>
      <c r="W68" s="153" t="s">
        <v>99</v>
      </c>
      <c r="X68" s="206"/>
    </row>
    <row r="69" spans="3:37">
      <c r="C69" s="1"/>
      <c r="D69" s="86"/>
      <c r="E69" s="86"/>
      <c r="F69" s="86"/>
      <c r="G69" s="86"/>
      <c r="H69" s="86"/>
      <c r="I69" s="86"/>
      <c r="J69" s="86"/>
      <c r="K69" s="86"/>
      <c r="L69" s="86"/>
      <c r="M69" s="154"/>
      <c r="N69" s="154"/>
      <c r="O69" s="154"/>
      <c r="P69" s="1"/>
      <c r="Q69" s="206"/>
      <c r="R69" s="155"/>
      <c r="S69" s="206"/>
      <c r="T69" s="206"/>
      <c r="U69" s="206"/>
      <c r="V69" s="206"/>
      <c r="W69" s="206"/>
      <c r="X69" s="206"/>
    </row>
    <row r="70" spans="3:37">
      <c r="C70" s="206"/>
      <c r="D70" s="206"/>
      <c r="E70" s="206"/>
      <c r="F70" s="206"/>
      <c r="G70" s="206"/>
      <c r="H70" s="206"/>
      <c r="I70" s="206"/>
      <c r="J70" s="206"/>
      <c r="K70" s="206"/>
      <c r="L70" s="206"/>
      <c r="M70" s="206"/>
      <c r="N70" s="206"/>
      <c r="O70" s="206"/>
      <c r="P70" s="206"/>
      <c r="Q70" s="206"/>
      <c r="R70" s="206"/>
      <c r="S70" s="206"/>
      <c r="T70" s="206"/>
      <c r="U70" s="206"/>
      <c r="V70" s="206"/>
      <c r="W70" s="206"/>
      <c r="X70" s="206"/>
      <c r="Z70" s="1018"/>
      <c r="AA70" s="883"/>
    </row>
    <row r="71" spans="3:37">
      <c r="C71" s="156"/>
      <c r="D71" s="206"/>
      <c r="E71" s="206"/>
      <c r="F71" s="206"/>
      <c r="G71" s="206"/>
      <c r="H71" s="206"/>
      <c r="I71" s="206"/>
      <c r="J71" s="206"/>
      <c r="K71" s="206"/>
      <c r="L71" s="206"/>
      <c r="M71" s="206"/>
      <c r="N71" s="206"/>
      <c r="O71" s="206"/>
      <c r="P71" s="206"/>
      <c r="Q71" s="206"/>
      <c r="R71" s="206"/>
      <c r="S71" s="157"/>
      <c r="T71" s="206"/>
      <c r="U71" s="206"/>
      <c r="V71" s="206"/>
      <c r="W71" s="206"/>
      <c r="X71" s="206"/>
      <c r="Z71" s="1018"/>
      <c r="AA71" s="883"/>
    </row>
    <row r="72" spans="3:37" ht="31.9" hidden="1" outlineLevel="1">
      <c r="C72" s="206"/>
      <c r="D72" s="157" t="s">
        <v>100</v>
      </c>
      <c r="E72" s="157" t="s">
        <v>101</v>
      </c>
      <c r="F72" s="157" t="s">
        <v>102</v>
      </c>
      <c r="G72" s="157" t="s">
        <v>103</v>
      </c>
      <c r="H72" s="157" t="s">
        <v>104</v>
      </c>
      <c r="I72" s="157" t="s">
        <v>105</v>
      </c>
      <c r="J72" s="157" t="s">
        <v>106</v>
      </c>
      <c r="K72" s="157" t="s">
        <v>107</v>
      </c>
      <c r="L72" s="54"/>
      <c r="M72" s="158" t="s">
        <v>108</v>
      </c>
      <c r="N72" s="158" t="s">
        <v>109</v>
      </c>
      <c r="O72" s="158" t="s">
        <v>110</v>
      </c>
      <c r="Q72" s="158" t="s">
        <v>111</v>
      </c>
      <c r="R72" s="157" t="s">
        <v>112</v>
      </c>
      <c r="S72" s="157" t="s">
        <v>113</v>
      </c>
      <c r="T72" s="157" t="s">
        <v>114</v>
      </c>
      <c r="U72" s="157" t="s">
        <v>115</v>
      </c>
      <c r="V72" s="157" t="s">
        <v>116</v>
      </c>
      <c r="W72" s="159" t="s">
        <v>117</v>
      </c>
      <c r="X72" s="157" t="s">
        <v>100</v>
      </c>
      <c r="Z72" s="1018"/>
      <c r="AA72" s="883"/>
    </row>
    <row r="73" spans="3:37" ht="47.65" hidden="1" outlineLevel="1">
      <c r="C73" s="206"/>
      <c r="D73" s="159" t="s">
        <v>118</v>
      </c>
      <c r="E73" s="157" t="s">
        <v>119</v>
      </c>
      <c r="F73" s="206"/>
      <c r="G73" s="206"/>
      <c r="H73" s="206"/>
      <c r="I73" s="206"/>
      <c r="J73" s="206"/>
      <c r="K73" s="206"/>
      <c r="L73" s="54"/>
      <c r="N73" s="54"/>
      <c r="O73" s="54"/>
      <c r="Q73" s="54"/>
      <c r="R73" s="206"/>
      <c r="S73" s="206"/>
      <c r="U73" s="206"/>
      <c r="V73" s="54"/>
      <c r="W73" s="160"/>
      <c r="X73" s="159" t="s">
        <v>118</v>
      </c>
      <c r="Z73" s="1018"/>
      <c r="AA73" s="883"/>
    </row>
    <row r="74" spans="3:37" hidden="1" outlineLevel="1">
      <c r="C74" s="161" t="s">
        <v>120</v>
      </c>
      <c r="D74" s="206"/>
      <c r="E74" s="157"/>
      <c r="F74" s="206"/>
      <c r="G74" s="206"/>
      <c r="H74" s="206"/>
      <c r="I74" s="206"/>
      <c r="J74" s="206"/>
      <c r="K74" s="206"/>
      <c r="L74" s="54"/>
      <c r="N74" s="54"/>
      <c r="O74" s="54"/>
      <c r="Q74" s="54"/>
      <c r="R74" s="206"/>
      <c r="S74" s="206"/>
      <c r="U74" s="206"/>
      <c r="V74" s="54"/>
      <c r="W74" s="160"/>
      <c r="X74" s="206"/>
      <c r="Z74" s="1018"/>
      <c r="AA74" s="808"/>
    </row>
    <row r="75" spans="3:37" s="156" customFormat="1" collapsed="1">
      <c r="C75" s="363" t="str">
        <f ca="1">IF(BBswitch=1,_xll.BQL.Query("get(Name)for( bonds(['"&amp;$D$3&amp;" Equity'], IssuedBy=credit_family) )with(Dates="&amp;TEXT(TODAY(),"yyyy-mm-dd")&amp;")","cols=2;rows=6"),C75)</f>
        <v>ID</v>
      </c>
      <c r="D75" s="163" t="s">
        <v>121</v>
      </c>
      <c r="E75" s="162" t="str">
        <f t="shared" ref="E75:J75" si="7">D27</f>
        <v>Rating</v>
      </c>
      <c r="F75" s="162" t="str">
        <f t="shared" si="7"/>
        <v>Outs.(mm)</v>
      </c>
      <c r="G75" s="162" t="str">
        <f t="shared" si="7"/>
        <v>Coupon</v>
      </c>
      <c r="H75" s="162" t="str">
        <f t="shared" si="7"/>
        <v>Price</v>
      </c>
      <c r="I75" s="162" t="str">
        <f t="shared" si="7"/>
        <v>CY</v>
      </c>
      <c r="J75" s="162" t="str">
        <f t="shared" si="7"/>
        <v>YTW</v>
      </c>
      <c r="K75" s="163" t="s">
        <v>107</v>
      </c>
      <c r="L75" s="162" t="s">
        <v>65</v>
      </c>
      <c r="M75" s="163" t="s">
        <v>122</v>
      </c>
      <c r="N75" s="164" t="s">
        <v>123</v>
      </c>
      <c r="O75" s="164" t="s">
        <v>124</v>
      </c>
      <c r="P75" s="164" t="s">
        <v>125</v>
      </c>
      <c r="Q75" s="164" t="s">
        <v>126</v>
      </c>
      <c r="R75" s="162" t="s">
        <v>127</v>
      </c>
      <c r="S75" s="162" t="s">
        <v>128</v>
      </c>
      <c r="T75" s="162" t="s">
        <v>129</v>
      </c>
      <c r="U75" s="162" t="s">
        <v>130</v>
      </c>
      <c r="V75" s="163" t="s">
        <v>131</v>
      </c>
      <c r="W75" s="165" t="s">
        <v>132</v>
      </c>
      <c r="X75" s="163" t="s">
        <v>121</v>
      </c>
      <c r="Z75" s="206"/>
      <c r="AA75" s="206"/>
    </row>
    <row r="76" spans="3:37">
      <c r="C76" s="6" t="s">
        <v>1909</v>
      </c>
      <c r="D76" s="343" t="s">
        <v>1910</v>
      </c>
      <c r="E76" s="344" t="str">
        <f ca="1">IF(BBswitch=1,IF(ISBLANK($C76),"",IF(_xll.BDP($C76,E$73)="#N/A N/A","NA ",_xll.BDP($C76,E$73))),E76)</f>
        <v xml:space="preserve">NA </v>
      </c>
      <c r="F76" s="354">
        <f ca="1">IF(BBswitch=1,IF(ISBLANK($C76),"",IF(_xll.BDP($C76,F$72)="#N/A N/A","NA ",_xll.BDP($C76,F$72)/10^6)/P76),F76)</f>
        <v>3800</v>
      </c>
      <c r="G76" s="355">
        <f ca="1">IF(BBswitch=1,IF(ISBLANK($C76),"",IF(_xll.BDP($C76,G$72)="#N/A N/A","NA ",_xll.BDP($C76,G$72)/100)),G76)</f>
        <v>6.5000000000000002E-2</v>
      </c>
      <c r="H76" s="355">
        <f ca="1">IF(BBswitch=1,IF(ISBLANK($C76),"",IF(_xll.BDP($C76,H$72)="#N/A N/A","NA ",_xll.BDP($C76,H$72)/100)),H76)</f>
        <v>0.99352000000000007</v>
      </c>
      <c r="I76" s="355">
        <f ca="1">G76/H76</f>
        <v>6.5423947177711564E-2</v>
      </c>
      <c r="J76" s="355">
        <f ca="1">IF(BBswitch=1,IF(ISBLANK($C76),"",IF(_xll.BDP($C76,J$72)="#N/A N/A","NA ",_xll.BDP($C76,J$72)/100)),J76)</f>
        <v>6.8186445647317045E-2</v>
      </c>
      <c r="K76" s="345" t="str">
        <f ca="1">IF(BBswitch=1,IF(ISBLANK($C76),"",IF(_xll.BDP($C76,K$72)="#N/A N/A","NA ",_xll.BDP($C76,K$72))),K76)</f>
        <v>6/20/2027</v>
      </c>
      <c r="L76" s="346" t="e">
        <f t="shared" ref="L76:L82" ca="1" si="8">IF(ISBLANK($C76),"",YEAR(K76))</f>
        <v>#VALUE!</v>
      </c>
      <c r="M76" s="345" t="str">
        <f ca="1">IF(BBswitch=1,IF(ISBLANK($C76),"",IF(_xll.BDP($C76,M$72)="#N/A N/A","NA ",_xll.BDP($C76,M$72))),M76)</f>
        <v>7/2/2020</v>
      </c>
      <c r="N76" s="347" t="str" cm="1">
        <f t="array" aca="1" ref="N76" ca="1">IF(BBswitch=1,IF(ISBLANK($C76),"",IF(_xll.BDP($C76,N$72)="#N/A Field Not Applicable","Notes",_xll.BDP($C76,N$72))),N76)</f>
        <v>Notes</v>
      </c>
      <c r="O76" s="348" cm="1">
        <f t="array" aca="1" ref="O76" ca="1">IF(BBswitch=1,IF(ISBLANK($C76),"",IFERROR(IF(_xll.BDP($C76,O$72)="#N/A N/A","NA ",_xll.BDP($C76,O$72)/10^6),0)/P76),O76)</f>
        <v>0</v>
      </c>
      <c r="P76" s="349" cm="1">
        <f t="array" aca="1" ref="P76" ca="1">+IF(BBswitch=1,IF(ISBLANK($C76),"",IF(_xll.BDP("USD"&amp;Q76&amp;" BGN Curncy","px last")="#N/A Invalid Security",1,_xll.BDP("USD"&amp;Q76&amp;" BGN Curncy","px last"))),P76)</f>
        <v>1</v>
      </c>
      <c r="Q76" s="350" t="str">
        <f ca="1">IF(BBswitch=1,IF(ISBLANK($C76),"",IF(_xll.BDP($C76,Q$72)="#N/A N/A","NA ",_xll.BDP($C76,Q$72))),Q76)</f>
        <v>USD</v>
      </c>
      <c r="R76" s="351" t="str" cm="1">
        <f t="array" aca="1" ref="R76" ca="1">IF(BBswitch=1,IF(ISBLANK($C76),"",IF(OR(_xll.BDP($C76,R$72)="#N/A Field Not Applicable",_xll.BDP($C76,R$72)="#N/A N/A"),"",_xll.BDP($C76,R$72))),R76)</f>
        <v/>
      </c>
      <c r="S76" s="351" cm="1">
        <f t="array" aca="1" ref="S76" ca="1">IF(BBswitch=1,IF(ISBLANK($C76),"",IF(OR(_xll.BDP($C76,S$72)="#N/A Field Not Applicable",_xll.BDP($C76,S$72)="#N/A N/A"),"",_xll.BDP($C76,S$72))),S76)</f>
        <v>348.96752029314479</v>
      </c>
      <c r="T76" s="351" t="str" cm="1">
        <f t="array" aca="1" ref="T76" ca="1">IF(BBswitch=1,IF(ISBLANK($C76),"",IF(OR(_xll.BDP($C76,T$72)="#N/A Field Not Applicable",_xll.BDP($C76,T$72)="#N/A N/A"),"",_xll.BDP($C76,T$72))),T76)</f>
        <v/>
      </c>
      <c r="U76" s="351" cm="1">
        <f t="array" aca="1" ref="U76" ca="1">IF(BBswitch=1,IF(ISBLANK($C76),"",IF(OR(_xll.BDP($C76,U$72)="#N/A Field Not Applicable",_xll.BDP($C76,U$72)="#N/A N/A"),"",_xll.BDP($C76,U$72))),U76)</f>
        <v>2.0838282432148159</v>
      </c>
      <c r="V76" s="352" t="str">
        <f ca="1">IF(BBswitch=1,IF(ISBLANK($C76),"",IF(_xll.BDP($C76,V$72)="#N/A N/A","NA ",_xll.BDP($C76,V$72))),V76)</f>
        <v>1st lien</v>
      </c>
      <c r="W76" s="353" t="str" cm="1">
        <f t="array" aca="1" ref="W76" ca="1">IF(BBswitch=1,IF(ISBLANK($C76),"",IF(_xll.BDP($C76,W$72)="#N/A N/A","NA ",_xll.BDP($C76,W$72))),W76)</f>
        <v>Mileage Plus Holdings LLC / Mileage Plus Intellectual Property Assets Ltd</v>
      </c>
      <c r="X76" s="343" t="str">
        <f ca="1">IF(BBswitch=1,IF(ISBLANK($C76),"",IF(_xll.BDP($C76,X$73)="#N/A N/A","NA ",_xll.BDP($C76,X$73))),X76)</f>
        <v>UAL 6.5 27</v>
      </c>
      <c r="Z76" s="1018"/>
      <c r="AA76" s="1023"/>
      <c r="AB76" s="883"/>
      <c r="AC76" s="883"/>
      <c r="AD76" s="883"/>
      <c r="AE76" s="883"/>
      <c r="AF76" s="883"/>
      <c r="AG76" s="883"/>
      <c r="AH76" s="883"/>
      <c r="AI76" s="883"/>
      <c r="AJ76" s="883"/>
      <c r="AK76" s="883"/>
    </row>
    <row r="77" spans="3:37">
      <c r="C77" s="6" t="s">
        <v>1624</v>
      </c>
      <c r="D77" s="343" t="s">
        <v>1625</v>
      </c>
      <c r="E77" s="344" t="str">
        <f ca="1">IF(BBswitch=1,IF(ISBLANK($C77),"",IF(_xll.BDP($C77,E$73)="#N/A N/A","NA ",_xll.BDP($C77,E$73))),E77)</f>
        <v>B+</v>
      </c>
      <c r="F77" s="354">
        <f ca="1">IF(BBswitch=1,IF(ISBLANK($C77),"",IF(_xll.BDP($C77,F$72)="#N/A N/A","NA ",_xll.BDP($C77,F$72)/10^6)/P77),F77)</f>
        <v>2000</v>
      </c>
      <c r="G77" s="355">
        <f ca="1">IF(BBswitch=1,IF(ISBLANK($C77),"",IF(_xll.BDP($C77,G$72)="#N/A N/A","NA ",_xll.BDP($C77,G$72)/100)),G77)</f>
        <v>4.6249999999999999E-2</v>
      </c>
      <c r="H77" s="355">
        <f ca="1">IF(BBswitch=1,IF(ISBLANK($C77),"",IF(_xll.BDP($C77,H$72)="#N/A N/A","NA ",_xll.BDP($C77,H$72)/100)),H77)</f>
        <v>0.90162000000000009</v>
      </c>
      <c r="I77" s="355">
        <f ca="1">G77/H77</f>
        <v>5.1296555089727372E-2</v>
      </c>
      <c r="J77" s="355">
        <f ca="1">IF(BBswitch=1,IF(ISBLANK($C77),"",IF(_xll.BDP($C77,J$72)="#N/A N/A","NA ",_xll.BDP($C77,J$72)/100)),J77)</f>
        <v>6.4678677851374849E-2</v>
      </c>
      <c r="K77" s="345" t="str">
        <f ca="1">IF(BBswitch=1,IF(ISBLANK($C77),"",IF(_xll.BDP($C77,K$72)="#N/A N/A","NA ",_xll.BDP($C77,K$72))),K77)</f>
        <v>4/15/2029</v>
      </c>
      <c r="L77" s="346" t="e">
        <f t="shared" ca="1" si="8"/>
        <v>#VALUE!</v>
      </c>
      <c r="M77" s="345" t="str">
        <f ca="1">IF(BBswitch=1,IF(ISBLANK($C77),"",IF(_xll.BDP($C77,M$72)="#N/A N/A","NA ",_xll.BDP($C77,M$72))),M77)</f>
        <v>4/21/2021</v>
      </c>
      <c r="N77" s="347" t="str" cm="1">
        <f t="array" aca="1" ref="N77" ca="1">IF(BBswitch=1,IF(ISBLANK($C77),"",IF(_xll.BDP($C77,N$72)="#N/A Field Not Applicable","Notes",_xll.BDP($C77,N$72))),N77)</f>
        <v>Notes</v>
      </c>
      <c r="O77" s="348" cm="1">
        <f t="array" aca="1" ref="O77" ca="1">IF(BBswitch=1,IF(ISBLANK($C77),"",IFERROR(IF(_xll.BDP($C77,O$72)="#N/A N/A","NA ",_xll.BDP($C77,O$72)/10^6),0)/P77),O77)</f>
        <v>0</v>
      </c>
      <c r="P77" s="349" cm="1">
        <f t="array" aca="1" ref="P77" ca="1">+IF(BBswitch=1,IF(ISBLANK($C77),"",IF(_xll.BDP("USD"&amp;Q77&amp;" BGN Curncy","px last")="#N/A Invalid Security",1,_xll.BDP("USD"&amp;Q77&amp;" BGN Curncy","px last"))),P77)</f>
        <v>1</v>
      </c>
      <c r="Q77" s="350" t="str">
        <f ca="1">IF(BBswitch=1,IF(ISBLANK($C77),"",IF(_xll.BDP($C77,Q$72)="#N/A N/A","NA ",_xll.BDP($C77,Q$72))),Q77)</f>
        <v>USD</v>
      </c>
      <c r="R77" s="351" t="str" cm="1">
        <f t="array" aca="1" ref="R77" ca="1">IF(BBswitch=1,IF(ISBLANK($C77),"",IF(OR(_xll.BDP($C77,R$72)="#N/A Field Not Applicable",_xll.BDP($C77,R$72)="#N/A N/A"),"",_xll.BDP($C77,R$72))),R77)</f>
        <v/>
      </c>
      <c r="S77" s="351" cm="1">
        <f t="array" aca="1" ref="S77" ca="1">IF(BBswitch=1,IF(ISBLANK($C77),"",IF(OR(_xll.BDP($C77,S$72)="#N/A Field Not Applicable",_xll.BDP($C77,S$72)="#N/A N/A"),"",_xll.BDP($C77,S$72))),S77)</f>
        <v>332.15178251603976</v>
      </c>
      <c r="T77" s="351" t="str" cm="1">
        <f t="array" aca="1" ref="T77" ca="1">IF(BBswitch=1,IF(ISBLANK($C77),"",IF(OR(_xll.BDP($C77,T$72)="#N/A Field Not Applicable",_xll.BDP($C77,T$72)="#N/A N/A"),"",_xll.BDP($C77,T$72))),T77)</f>
        <v/>
      </c>
      <c r="U77" s="351" cm="1">
        <f t="array" aca="1" ref="U77" ca="1">IF(BBswitch=1,IF(ISBLANK($C77),"",IF(OR(_xll.BDP($C77,U$72)="#N/A Field Not Applicable",_xll.BDP($C77,U$72)="#N/A N/A"),"",_xll.BDP($C77,U$72))),U77)</f>
        <v>5.5159027543734034</v>
      </c>
      <c r="V77" s="352" t="str">
        <f ca="1">IF(BBswitch=1,IF(ISBLANK($C77),"",IF(_xll.BDP($C77,V$72)="#N/A N/A","NA ",_xll.BDP($C77,V$72))),V77)</f>
        <v>Secured</v>
      </c>
      <c r="W77" s="353" t="str" cm="1">
        <f t="array" aca="1" ref="W77" ca="1">IF(BBswitch=1,IF(ISBLANK($C77),"",IF(_xll.BDP($C77,W$72)="#N/A N/A","NA ",_xll.BDP($C77,W$72))),W77)</f>
        <v>United Airlines Inc</v>
      </c>
      <c r="X77" s="343" t="str">
        <f ca="1">IF(BBswitch=1,IF(ISBLANK($C77),"",IF(_xll.BDP($C77,X$73)="#N/A N/A","NA ",_xll.BDP($C77,X$73))),X77)</f>
        <v>UAL 4.625 29</v>
      </c>
      <c r="Z77" s="1018"/>
      <c r="AA77" s="883"/>
      <c r="AB77" s="883"/>
      <c r="AC77" s="883"/>
      <c r="AD77" s="883"/>
      <c r="AE77" s="883"/>
      <c r="AF77" s="883"/>
      <c r="AG77" s="883"/>
      <c r="AH77" s="883"/>
      <c r="AI77" s="883"/>
      <c r="AJ77" s="883"/>
      <c r="AK77" s="883"/>
    </row>
    <row r="78" spans="3:37">
      <c r="C78" s="6" t="s">
        <v>1911</v>
      </c>
      <c r="D78" s="343" t="s">
        <v>1912</v>
      </c>
      <c r="E78" s="344" t="str">
        <f ca="1">IF(BBswitch=1,IF(ISBLANK($C78),"",IF(_xll.BDP($C78,E$73)="#N/A N/A","NA ",_xll.BDP($C78,E$73))),E78)</f>
        <v>B+</v>
      </c>
      <c r="F78" s="354">
        <f ca="1">IF(BBswitch=1,IF(ISBLANK($C78),"",IF(_xll.BDP($C78,F$72)="#N/A N/A","NA ",_xll.BDP($C78,F$72)/10^6)/P78),F78)</f>
        <v>2000</v>
      </c>
      <c r="G78" s="355">
        <f ca="1">IF(BBswitch=1,IF(ISBLANK($C78),"",IF(_xll.BDP($C78,G$72)="#N/A N/A","NA ",_xll.BDP($C78,G$72)/100)),G78)</f>
        <v>4.3749999999999997E-2</v>
      </c>
      <c r="H78" s="355">
        <f ca="1">IF(BBswitch=1,IF(ISBLANK($C78),"",IF(_xll.BDP($C78,H$72)="#N/A N/A","NA ",_xll.BDP($C78,H$72)/100)),H78)</f>
        <v>0.93232000000000004</v>
      </c>
      <c r="I78" s="355">
        <f ca="1">IF(BBswitch=1,IF(ISBLANK($C78),"",IF(_xll.BDP($C78,I$72)="#N/A N/A","NA ",_xll.BDP($C78,I$72)/100)),I78)</f>
        <v>4.6963727900211472E-2</v>
      </c>
      <c r="J78" s="355">
        <f ca="1">IF(BBswitch=1,IF(ISBLANK($C78),"",IF(_xll.BDP($C78,J$72)="#N/A N/A","NA ",_xll.BDP($C78,J$72)/100)),J78)</f>
        <v>6.466144025245768E-2</v>
      </c>
      <c r="K78" s="345" t="str">
        <f ca="1">IF(BBswitch=1,IF(ISBLANK($C78),"",IF(_xll.BDP($C78,K$72)="#N/A N/A","NA ",_xll.BDP($C78,K$72))),K78)</f>
        <v>4/15/2026</v>
      </c>
      <c r="L78" s="346" t="e">
        <f t="shared" ca="1" si="8"/>
        <v>#VALUE!</v>
      </c>
      <c r="M78" s="345" t="str">
        <f ca="1">IF(BBswitch=1,IF(ISBLANK($C78),"",IF(_xll.BDP($C78,M$72)="#N/A N/A","NA ",_xll.BDP($C78,M$72))),M78)</f>
        <v>4/21/2021</v>
      </c>
      <c r="N78" s="347" t="str" cm="1">
        <f t="array" aca="1" ref="N78" ca="1">IF(BBswitch=1,IF(ISBLANK($C78),"",IF(_xll.BDP($C78,N$72)="#N/A Field Not Applicable","Notes",_xll.BDP($C78,N$72))),N78)</f>
        <v>Notes</v>
      </c>
      <c r="O78" s="348" cm="1">
        <f t="array" aca="1" ref="O78" ca="1">IF(BBswitch=1,IF(ISBLANK($C78),"",IFERROR(IF(_xll.BDP($C78,O$72)="#N/A N/A","NA ",_xll.BDP($C78,O$72)/10^6),0)/P78),O78)</f>
        <v>0</v>
      </c>
      <c r="P78" s="349" cm="1">
        <f t="array" aca="1" ref="P78" ca="1">+IF(BBswitch=1,IF(ISBLANK($C78),"",IF(_xll.BDP("USD"&amp;Q78&amp;" BGN Curncy","px last")="#N/A Invalid Security",1,_xll.BDP("USD"&amp;Q78&amp;" BGN Curncy","px last"))),P78)</f>
        <v>1</v>
      </c>
      <c r="Q78" s="350" t="str">
        <f ca="1">IF(BBswitch=1,IF(ISBLANK($C78),"",IF(_xll.BDP($C78,Q$72)="#N/A N/A","NA ",_xll.BDP($C78,Q$72))),Q78)</f>
        <v>USD</v>
      </c>
      <c r="R78" s="351" t="str" cm="1">
        <f t="array" aca="1" ref="R78" ca="1">IF(BBswitch=1,IF(ISBLANK($C78),"",IF(OR(_xll.BDP($C78,R$72)="#N/A Field Not Applicable",_xll.BDP($C78,R$72)="#N/A N/A"),"",_xll.BDP($C78,R$72))),R78)</f>
        <v/>
      </c>
      <c r="S78" s="351" cm="1">
        <f t="array" aca="1" ref="S78" ca="1">IF(BBswitch=1,IF(ISBLANK($C78),"",IF(OR(_xll.BDP($C78,S$72)="#N/A Field Not Applicable",_xll.BDP($C78,S$72)="#N/A N/A"),"",_xll.BDP($C78,S$72))),S78)</f>
        <v>324.75464936626742</v>
      </c>
      <c r="T78" s="351" t="str" cm="1">
        <f t="array" aca="1" ref="T78" ca="1">IF(BBswitch=1,IF(ISBLANK($C78),"",IF(OR(_xll.BDP($C78,T$72)="#N/A Field Not Applicable",_xll.BDP($C78,T$72)="#N/A N/A"),"",_xll.BDP($C78,T$72))),T78)</f>
        <v/>
      </c>
      <c r="U78" s="351" cm="1">
        <f t="array" aca="1" ref="U78" ca="1">IF(BBswitch=1,IF(ISBLANK($C78),"",IF(OR(_xll.BDP($C78,U$72)="#N/A Field Not Applicable",_xll.BDP($C78,U$72)="#N/A N/A"),"",_xll.BDP($C78,U$72))),U78)</f>
        <v>3.3132725424520038</v>
      </c>
      <c r="V78" s="352" t="str">
        <f ca="1">IF(BBswitch=1,IF(ISBLANK($C78),"",IF(_xll.BDP($C78,V$72)="#N/A N/A","NA ",_xll.BDP($C78,V$72))),V78)</f>
        <v>Secured</v>
      </c>
      <c r="W78" s="353" t="str" cm="1">
        <f t="array" aca="1" ref="W78" ca="1">IF(BBswitch=1,IF(ISBLANK($C78),"",IF(_xll.BDP($C78,W$72)="#N/A N/A","NA ",_xll.BDP($C78,W$72))),W78)</f>
        <v>United Airlines Inc</v>
      </c>
      <c r="X78" s="343" t="str">
        <f ca="1">IF(BBswitch=1,IF(ISBLANK($C78),"",IF(_xll.BDP($C78,X$73)="#N/A N/A","NA ",_xll.BDP($C78,X$73))),X78)</f>
        <v>UAL 4.375 26</v>
      </c>
      <c r="Z78" s="1018"/>
      <c r="AA78" s="883"/>
      <c r="AB78" s="883"/>
      <c r="AC78" s="883"/>
      <c r="AD78" s="883"/>
      <c r="AE78" s="883"/>
      <c r="AF78" s="883"/>
      <c r="AG78" s="883"/>
      <c r="AH78" s="883"/>
      <c r="AI78" s="883"/>
      <c r="AJ78" s="883"/>
      <c r="AK78" s="883"/>
    </row>
    <row r="79" spans="3:37">
      <c r="C79" s="6" t="s">
        <v>1628</v>
      </c>
      <c r="D79" s="343" t="s">
        <v>1629</v>
      </c>
      <c r="E79" s="344" t="str">
        <f ca="1">IF(BBswitch=1,IF(ISBLANK($C79),"",IF(_xll.BDP($C79,E$73)="#N/A N/A","NA ",_xll.BDP($C79,E$73))),E79)</f>
        <v>B+</v>
      </c>
      <c r="F79" s="354">
        <f ca="1">IF(BBswitch=1,IF(ISBLANK($C79),"",IF(_xll.BDP($C79,F$72)="#N/A N/A","NA ",_xll.BDP($C79,F$72)/10^6)/P79),F79)</f>
        <v>300</v>
      </c>
      <c r="G79" s="355">
        <f ca="1">IF(BBswitch=1,IF(ISBLANK($C79),"",IF(_xll.BDP($C79,G$72)="#N/A N/A","NA ",_xll.BDP($C79,G$72)/100)),G79)</f>
        <v>0.05</v>
      </c>
      <c r="H79" s="355">
        <f ca="1">IF(BBswitch=1,IF(ISBLANK($C79),"",IF(_xll.BDP($C79,H$72)="#N/A N/A","NA ",_xll.BDP($C79,H$72)/100)),H79)</f>
        <v>0.98947000000000007</v>
      </c>
      <c r="I79" s="355">
        <f ca="1">IF(BBswitch=1,IF(ISBLANK($C79),"",IF(_xll.BDP($C79,I$72)="#N/A N/A","NA ",_xll.BDP($C79,I$72)/100)),I79)</f>
        <v>5.0720741740127216E-2</v>
      </c>
      <c r="J79" s="355">
        <f ca="1">IF(BBswitch=1,IF(ISBLANK($C79),"",IF(_xll.BDP($C79,J$72)="#N/A N/A","NA ",_xll.BDP($C79,J$72)/100)),J79)</f>
        <v>5.9876387355619842E-2</v>
      </c>
      <c r="K79" s="345" t="str">
        <f ca="1">IF(BBswitch=1,IF(ISBLANK($C79),"",IF(_xll.BDP($C79,K$72)="#N/A N/A","NA ",_xll.BDP($C79,K$72))),K79)</f>
        <v>2/1/2024</v>
      </c>
      <c r="L79" s="346">
        <f t="shared" ca="1" si="8"/>
        <v>2024</v>
      </c>
      <c r="M79" s="345" t="str">
        <f ca="1">IF(BBswitch=1,IF(ISBLANK($C79),"",IF(_xll.BDP($C79,M$72)="#N/A N/A","NA ",_xll.BDP($C79,M$72))),M79)</f>
        <v>1/26/2017</v>
      </c>
      <c r="N79" s="347" t="str" cm="1">
        <f t="array" aca="1" ref="N79" ca="1">IF(BBswitch=1,IF(ISBLANK($C79),"",IF(_xll.BDP($C79,N$72)="#N/A Field Not Applicable","Notes",_xll.BDP($C79,N$72))),N79)</f>
        <v>Notes</v>
      </c>
      <c r="O79" s="348" cm="1">
        <f t="array" aca="1" ref="O79" ca="1">IF(BBswitch=1,IF(ISBLANK($C79),"",IFERROR(IF(_xll.BDP($C79,O$72)="#N/A N/A","NA ",_xll.BDP($C79,O$72)/10^6),0)/P79),O79)</f>
        <v>0</v>
      </c>
      <c r="P79" s="349" cm="1">
        <f t="array" aca="1" ref="P79" ca="1">+IF(BBswitch=1,IF(ISBLANK($C79),"",IF(_xll.BDP("USD"&amp;Q79&amp;" BGN Curncy","px last")="#N/A Invalid Security",1,_xll.BDP("USD"&amp;Q79&amp;" BGN Curncy","px last"))),P79)</f>
        <v>1</v>
      </c>
      <c r="Q79" s="350" t="str">
        <f ca="1">IF(BBswitch=1,IF(ISBLANK($C79),"",IF(_xll.BDP($C79,Q$72)="#N/A N/A","NA ",_xll.BDP($C79,Q$72))),Q79)</f>
        <v>USD</v>
      </c>
      <c r="R79" s="351" t="str" cm="1">
        <f t="array" aca="1" ref="R79" ca="1">IF(BBswitch=1,IF(ISBLANK($C79),"",IF(OR(_xll.BDP($C79,R$72)="#N/A Field Not Applicable",_xll.BDP($C79,R$72)="#N/A N/A"),"",_xll.BDP($C79,R$72))),R79)</f>
        <v/>
      </c>
      <c r="S79" s="351" cm="1">
        <f t="array" aca="1" ref="S79" ca="1">IF(BBswitch=1,IF(ISBLANK($C79),"",IF(OR(_xll.BDP($C79,S$72)="#N/A Field Not Applicable",_xll.BDP($C79,S$72)="#N/A N/A"),"",_xll.BDP($C79,S$72))),S79)</f>
        <v>251.59730417080885</v>
      </c>
      <c r="T79" s="351" t="str" cm="1">
        <f t="array" aca="1" ref="T79" ca="1">IF(BBswitch=1,IF(ISBLANK($C79),"",IF(OR(_xll.BDP($C79,T$72)="#N/A Field Not Applicable",_xll.BDP($C79,T$72)="#N/A N/A"),"",_xll.BDP($C79,T$72))),T79)</f>
        <v/>
      </c>
      <c r="U79" s="351" cm="1">
        <f t="array" aca="1" ref="U79" ca="1">IF(BBswitch=1,IF(ISBLANK($C79),"",IF(OR(_xll.BDP($C79,U$72)="#N/A Field Not Applicable",_xll.BDP($C79,U$72)="#N/A N/A"),"",_xll.BDP($C79,U$72))),U79)</f>
        <v>1.4183473763963423</v>
      </c>
      <c r="V79" s="352" t="str">
        <f ca="1">IF(BBswitch=1,IF(ISBLANK($C79),"",IF(_xll.BDP($C79,V$72)="#N/A N/A","NA ",_xll.BDP($C79,V$72))),V79)</f>
        <v>Sr Unsecured</v>
      </c>
      <c r="W79" s="353" t="str" cm="1">
        <f t="array" aca="1" ref="W79" ca="1">IF(BBswitch=1,IF(ISBLANK($C79),"",IF(_xll.BDP($C79,W$72)="#N/A N/A","NA ",_xll.BDP($C79,W$72))),W79)</f>
        <v>United Airlines Holdings Inc</v>
      </c>
      <c r="X79" s="343" t="str">
        <f ca="1">IF(BBswitch=1,IF(ISBLANK($C79),"",IF(_xll.BDP($C79,X$73)="#N/A N/A","NA ",_xll.BDP($C79,X$73))),X79)</f>
        <v>UAL 5 24</v>
      </c>
      <c r="Z79" s="1018"/>
      <c r="AA79" s="1023"/>
      <c r="AB79" s="883"/>
      <c r="AC79" s="883"/>
      <c r="AD79" s="883"/>
      <c r="AE79" s="883"/>
      <c r="AF79" s="883"/>
      <c r="AG79" s="883"/>
      <c r="AH79" s="883"/>
      <c r="AI79" s="883"/>
      <c r="AJ79" s="883"/>
      <c r="AK79" s="883"/>
    </row>
    <row r="80" spans="3:37">
      <c r="C80" s="6" t="s">
        <v>1626</v>
      </c>
      <c r="D80" s="343" t="s">
        <v>1627</v>
      </c>
      <c r="E80" s="344" t="str">
        <f ca="1">IF(BBswitch=1,IF(ISBLANK($C80),"",IF(_xll.BDP($C80,E$73)="#N/A N/A","NA ",_xll.BDP($C80,E$73))),E80)</f>
        <v>B+</v>
      </c>
      <c r="F80" s="354">
        <f ca="1">IF(BBswitch=1,IF(ISBLANK($C80),"",IF(_xll.BDP($C80,F$72)="#N/A N/A","NA ",_xll.BDP($C80,F$72)/10^6)/P80),F80)</f>
        <v>350</v>
      </c>
      <c r="G80" s="355">
        <f ca="1">IF(BBswitch=1,IF(ISBLANK($C80),"",IF(_xll.BDP($C80,G$72)="#N/A N/A","NA ",_xll.BDP($C80,G$72)/100)),G80)</f>
        <v>4.8750000000000002E-2</v>
      </c>
      <c r="H80" s="355">
        <f ca="1">IF(BBswitch=1,IF(ISBLANK($C80),"",IF(_xll.BDP($C80,H$72)="#N/A N/A","NA ",_xll.BDP($C80,H$72)/100)),H80)</f>
        <v>0.94803999999999999</v>
      </c>
      <c r="I80" s="355">
        <f ca="1">IF(BBswitch=1,IF(ISBLANK($C80),"",IF(_xll.BDP($C80,I$72)="#N/A N/A","NA ",_xll.BDP($C80,I$72)/100)),I80)</f>
        <v>5.160696138211382E-2</v>
      </c>
      <c r="J80" s="355">
        <f ca="1">IF(BBswitch=1,IF(ISBLANK($C80),"",IF(_xll.BDP($C80,J$72)="#N/A N/A","NA ",_xll.BDP($C80,J$72)/100)),J80)</f>
        <v>7.3565297326409873E-2</v>
      </c>
      <c r="K80" s="345" t="str">
        <f ca="1">IF(BBswitch=1,IF(ISBLANK($C80),"",IF(_xll.BDP($C80,K$72)="#N/A N/A","NA ",_xll.BDP($C80,K$72))),K80)</f>
        <v>1/15/2025</v>
      </c>
      <c r="L80" s="346" t="e">
        <f t="shared" ca="1" si="8"/>
        <v>#VALUE!</v>
      </c>
      <c r="M80" s="345" t="str">
        <f ca="1">IF(BBswitch=1,IF(ISBLANK($C80),"",IF(_xll.BDP($C80,M$72)="#N/A N/A","NA ",_xll.BDP($C80,M$72))),M80)</f>
        <v>5/9/2019</v>
      </c>
      <c r="N80" s="347" t="str" cm="1">
        <f t="array" aca="1" ref="N80" ca="1">IF(BBswitch=1,IF(ISBLANK($C80),"",IF(_xll.BDP($C80,N$72)="#N/A Field Not Applicable","Notes",_xll.BDP($C80,N$72))),N80)</f>
        <v>Notes</v>
      </c>
      <c r="O80" s="348" cm="1">
        <f t="array" aca="1" ref="O80" ca="1">IF(BBswitch=1,IF(ISBLANK($C80),"",IFERROR(IF(_xll.BDP($C80,O$72)="#N/A N/A","NA ",_xll.BDP($C80,O$72)/10^6),0)/P80),O80)</f>
        <v>0</v>
      </c>
      <c r="P80" s="349" cm="1">
        <f t="array" aca="1" ref="P80" ca="1">+IF(BBswitch=1,IF(ISBLANK($C80),"",IF(_xll.BDP("USD"&amp;Q80&amp;" BGN Curncy","px last")="#N/A Invalid Security",1,_xll.BDP("USD"&amp;Q80&amp;" BGN Curncy","px last"))),P80)</f>
        <v>1</v>
      </c>
      <c r="Q80" s="350" t="str">
        <f ca="1">IF(BBswitch=1,IF(ISBLANK($C80),"",IF(_xll.BDP($C80,Q$72)="#N/A N/A","NA ",_xll.BDP($C80,Q$72))),Q80)</f>
        <v>USD</v>
      </c>
      <c r="R80" s="351" t="str" cm="1">
        <f t="array" aca="1" ref="R80" ca="1">IF(BBswitch=1,IF(ISBLANK($C80),"",IF(OR(_xll.BDP($C80,R$72)="#N/A Field Not Applicable",_xll.BDP($C80,R$72)="#N/A N/A"),"",_xll.BDP($C80,R$72))),R80)</f>
        <v/>
      </c>
      <c r="S80" s="351" cm="1">
        <f t="array" aca="1" ref="S80" ca="1">IF(BBswitch=1,IF(ISBLANK($C80),"",IF(OR(_xll.BDP($C80,S$72)="#N/A Field Not Applicable",_xll.BDP($C80,S$72)="#N/A N/A"),"",_xll.BDP($C80,S$72))),S80)</f>
        <v>387.0916179129527</v>
      </c>
      <c r="T80" s="351" t="str" cm="1">
        <f t="array" aca="1" ref="T80" ca="1">IF(BBswitch=1,IF(ISBLANK($C80),"",IF(OR(_xll.BDP($C80,T$72)="#N/A Field Not Applicable",_xll.BDP($C80,T$72)="#N/A N/A"),"",_xll.BDP($C80,T$72))),T80)</f>
        <v/>
      </c>
      <c r="U80" s="351" cm="1">
        <f t="array" aca="1" ref="U80" ca="1">IF(BBswitch=1,IF(ISBLANK($C80),"",IF(OR(_xll.BDP($C80,U$72)="#N/A Field Not Applicable",_xll.BDP($C80,U$72)="#N/A N/A"),"",_xll.BDP($C80,U$72))),U80)</f>
        <v>2.2863483463037317</v>
      </c>
      <c r="V80" s="352" t="str">
        <f ca="1">IF(BBswitch=1,IF(ISBLANK($C80),"",IF(_xll.BDP($C80,V$72)="#N/A N/A","NA ",_xll.BDP($C80,V$72))),V80)</f>
        <v>Sr Unsecured</v>
      </c>
      <c r="W80" s="353" t="str" cm="1">
        <f t="array" aca="1" ref="W80" ca="1">IF(BBswitch=1,IF(ISBLANK($C80),"",IF(_xll.BDP($C80,W$72)="#N/A N/A","NA ",_xll.BDP($C80,W$72))),W80)</f>
        <v>United Airlines Holdings Inc</v>
      </c>
      <c r="X80" s="343" t="str">
        <f ca="1">IF(BBswitch=1,IF(ISBLANK($C80),"",IF(_xll.BDP($C80,X$73)="#N/A N/A","NA ",_xll.BDP($C80,X$73))),X80)</f>
        <v>UAL 4.875 25</v>
      </c>
      <c r="Z80" s="1018"/>
      <c r="AA80" s="883"/>
      <c r="AB80" s="883"/>
      <c r="AC80" s="883"/>
      <c r="AD80" s="883"/>
      <c r="AE80" s="883"/>
      <c r="AF80" s="883"/>
      <c r="AG80" s="883"/>
      <c r="AH80" s="883"/>
      <c r="AI80" s="883"/>
      <c r="AJ80" s="883"/>
      <c r="AK80" s="883"/>
    </row>
    <row r="81" spans="3:37">
      <c r="C81" s="6" t="s">
        <v>1624</v>
      </c>
      <c r="D81" s="343" t="s">
        <v>1625</v>
      </c>
      <c r="E81" s="344" t="str">
        <f ca="1">IF(BBswitch=1,IF(ISBLANK($C81),"",IF(_xll.BDP($C81,E$73)="#N/A N/A","NA ",_xll.BDP($C81,E$73))),E81)</f>
        <v>B+</v>
      </c>
      <c r="F81" s="354">
        <f ca="1">IF(BBswitch=1,IF(ISBLANK($C81),"",IF(_xll.BDP($C81,F$72)="#N/A N/A","NA ",_xll.BDP($C81,F$72)/10^6)/P81),F81)</f>
        <v>2000</v>
      </c>
      <c r="G81" s="355">
        <f ca="1">IF(BBswitch=1,IF(ISBLANK($C81),"",IF(_xll.BDP($C81,G$72)="#N/A N/A","NA ",_xll.BDP($C81,G$72)/100)),G81)</f>
        <v>4.6249999999999999E-2</v>
      </c>
      <c r="H81" s="355">
        <f ca="1">IF(BBswitch=1,IF(ISBLANK($C81),"",IF(_xll.BDP($C81,H$72)="#N/A N/A","NA ",_xll.BDP($C81,H$72)/100)),H81)</f>
        <v>0.90162000000000009</v>
      </c>
      <c r="I81" s="355">
        <f ca="1">IF(BBswitch=1,IF(ISBLANK($C81),"",IF(_xll.BDP($C81,I$72)="#N/A N/A","NA ",_xll.BDP($C81,I$72)/100)),I81)</f>
        <v>5.1353512025049411E-2</v>
      </c>
      <c r="J81" s="355">
        <f ca="1">IF(BBswitch=1,IF(ISBLANK($C81),"",IF(_xll.BDP($C81,J$72)="#N/A N/A","NA ",_xll.BDP($C81,J$72)/100)),J81)</f>
        <v>6.4678677851374849E-2</v>
      </c>
      <c r="K81" s="345" t="str">
        <f ca="1">IF(BBswitch=1,IF(ISBLANK($C81),"",IF(_xll.BDP($C81,K$72)="#N/A N/A","NA ",_xll.BDP($C81,K$72))),K81)</f>
        <v>4/15/2029</v>
      </c>
      <c r="L81" s="346" t="e">
        <f t="shared" ca="1" si="8"/>
        <v>#VALUE!</v>
      </c>
      <c r="M81" s="345" t="str">
        <f ca="1">IF(BBswitch=1,IF(ISBLANK($C81),"",IF(_xll.BDP($C81,M$72)="#N/A N/A","NA ",_xll.BDP($C81,M$72))),M81)</f>
        <v>4/21/2021</v>
      </c>
      <c r="N81" s="347" t="str" cm="1">
        <f t="array" aca="1" ref="N81" ca="1">IF(BBswitch=1,IF(ISBLANK($C81),"",IF(_xll.BDP($C81,N$72)="#N/A Field Not Applicable","Notes",_xll.BDP($C81,N$72))),N81)</f>
        <v>Notes</v>
      </c>
      <c r="O81" s="348" cm="1">
        <f t="array" aca="1" ref="O81" ca="1">IF(BBswitch=1,IF(ISBLANK($C81),"",IFERROR(IF(_xll.BDP($C81,O$72)="#N/A N/A","NA ",_xll.BDP($C81,O$72)/10^6),0)/P81),O81)</f>
        <v>0</v>
      </c>
      <c r="P81" s="349" cm="1">
        <f t="array" aca="1" ref="P81" ca="1">+IF(BBswitch=1,IF(ISBLANK($C81),"",IF(_xll.BDP("USD"&amp;Q81&amp;" BGN Curncy","px last")="#N/A Invalid Security",1,_xll.BDP("USD"&amp;Q81&amp;" BGN Curncy","px last"))),P81)</f>
        <v>1</v>
      </c>
      <c r="Q81" s="350" t="str">
        <f ca="1">IF(BBswitch=1,IF(ISBLANK($C81),"",IF(_xll.BDP($C81,Q$72)="#N/A N/A","NA ",_xll.BDP($C81,Q$72))),Q81)</f>
        <v>USD</v>
      </c>
      <c r="R81" s="351" t="str" cm="1">
        <f t="array" aca="1" ref="R81" ca="1">IF(BBswitch=1,IF(ISBLANK($C81),"",IF(OR(_xll.BDP($C81,R$72)="#N/A Field Not Applicable",_xll.BDP($C81,R$72)="#N/A N/A"),"",_xll.BDP($C81,R$72))),R81)</f>
        <v/>
      </c>
      <c r="S81" s="351" cm="1">
        <f t="array" aca="1" ref="S81" ca="1">IF(BBswitch=1,IF(ISBLANK($C81),"",IF(OR(_xll.BDP($C81,S$72)="#N/A Field Not Applicable",_xll.BDP($C81,S$72)="#N/A N/A"),"",_xll.BDP($C81,S$72))),S81)</f>
        <v>332.15178251603976</v>
      </c>
      <c r="T81" s="351" t="str" cm="1">
        <f t="array" aca="1" ref="T81" ca="1">IF(BBswitch=1,IF(ISBLANK($C81),"",IF(OR(_xll.BDP($C81,T$72)="#N/A Field Not Applicable",_xll.BDP($C81,T$72)="#N/A N/A"),"",_xll.BDP($C81,T$72))),T81)</f>
        <v/>
      </c>
      <c r="U81" s="351" cm="1">
        <f t="array" aca="1" ref="U81" ca="1">IF(BBswitch=1,IF(ISBLANK($C81),"",IF(OR(_xll.BDP($C81,U$72)="#N/A Field Not Applicable",_xll.BDP($C81,U$72)="#N/A N/A"),"",_xll.BDP($C81,U$72))),U81)</f>
        <v>5.5159027543734034</v>
      </c>
      <c r="V81" s="352" t="str">
        <f ca="1">IF(BBswitch=1,IF(ISBLANK($C81),"",IF(_xll.BDP($C81,V$72)="#N/A N/A","NA ",_xll.BDP($C81,V$72))),V81)</f>
        <v>Secured</v>
      </c>
      <c r="W81" s="353" t="str" cm="1">
        <f t="array" aca="1" ref="W81" ca="1">IF(BBswitch=1,IF(ISBLANK($C81),"",IF(_xll.BDP($C81,W$72)="#N/A N/A","NA ",_xll.BDP($C81,W$72))),W81)</f>
        <v>United Airlines Inc</v>
      </c>
      <c r="X81" s="343" t="str">
        <f ca="1">IF(BBswitch=1,IF(ISBLANK($C81),"",IF(_xll.BDP($C81,X$73)="#N/A N/A","NA ",_xll.BDP($C81,X$73))),X81)</f>
        <v>UAL 4.625 29</v>
      </c>
      <c r="Z81" s="1018"/>
      <c r="AA81" s="883"/>
      <c r="AB81" s="883"/>
      <c r="AC81" s="883"/>
      <c r="AD81" s="883"/>
      <c r="AE81" s="883"/>
      <c r="AF81" s="883"/>
      <c r="AG81" s="883"/>
      <c r="AH81" s="883"/>
      <c r="AI81" s="883"/>
      <c r="AJ81" s="883"/>
      <c r="AK81" s="883"/>
    </row>
    <row r="82" spans="3:37">
      <c r="C82" s="6" t="s">
        <v>1685</v>
      </c>
      <c r="D82" s="343" t="str">
        <f ca="1">IF(BBswitch=1,IF(ISBLANK($C82),"",IF(_xll.BDP($C82,D$73)="#N/A N/A","NA ",_xll.BDP($C82,D$73))),D82)</f>
        <v>UAL 4.875 26</v>
      </c>
      <c r="E82" s="344" t="str">
        <f ca="1">IF(BBswitch=1,IF(ISBLANK($C82),"",IF(_xll.BDP($C82,E$73)="#N/A N/A","NA ",_xll.BDP($C82,E$73))),E82)</f>
        <v xml:space="preserve">NA </v>
      </c>
      <c r="F82" s="354">
        <f ca="1">IF(BBswitch=1,IF(ISBLANK($C82),"",IF(_xll.BDP($C82,F$72)="#N/A N/A","NA ",_xll.BDP($C82,F$72)/10^6)/P82),F82)</f>
        <v>477.6</v>
      </c>
      <c r="G82" s="355">
        <f ca="1">IF(BBswitch=1,IF(ISBLANK($C82),"",IF(_xll.BDP($C82,G$72)="#N/A N/A","NA ",_xll.BDP($C82,G$72)/100)),G82)</f>
        <v>4.8750000000000002E-2</v>
      </c>
      <c r="H82" s="355">
        <f ca="1">IF(BBswitch=1,IF(ISBLANK($C82),"",IF(_xll.BDP($C82,H$72)="#N/A N/A","NA ",_xll.BDP($C82,H$72)/100)),H82)</f>
        <v>0.94442999999999999</v>
      </c>
      <c r="I82" s="355">
        <f ca="1">IF(BBswitch=1,IF(ISBLANK($C82),"",IF(_xll.BDP($C82,I$72)="#N/A N/A","NA ",_xll.BDP($C82,I$72)/100)),I82)</f>
        <v>5.1705485554282803E-2</v>
      </c>
      <c r="J82" s="355">
        <f ca="1">IF(BBswitch=1,IF(ISBLANK($C82),"",IF(_xll.BDP($C82,J$72)="#N/A N/A","NA ",_xll.BDP($C82,J$72)/100)),J82)</f>
        <v>7.6682939425648314E-2</v>
      </c>
      <c r="K82" s="345" t="str">
        <f ca="1">IF(BBswitch=1,IF(ISBLANK($C82),"",IF(_xll.BDP($C82,K$72)="#N/A N/A","NA ",_xll.BDP($C82,K$72))),K82)</f>
        <v>1/15/2026</v>
      </c>
      <c r="L82" s="346" t="e">
        <f t="shared" ca="1" si="8"/>
        <v>#VALUE!</v>
      </c>
      <c r="M82" s="345" t="str">
        <f ca="1">IF(BBswitch=1,IF(ISBLANK($C82),"",IF(_xll.BDP($C82,M$72)="#N/A N/A","NA ",_xll.BDP($C82,M$72))),M82)</f>
        <v>2/1/2021</v>
      </c>
      <c r="N82" s="347" t="str" cm="1">
        <f t="array" aca="1" ref="N82" ca="1">IF(BBswitch=1,IF(ISBLANK($C82),"",IF(_xll.BDP($C82,N$72)="#N/A Field Not Applicable","Notes",_xll.BDP($C82,N$72))),N82)</f>
        <v>Notes</v>
      </c>
      <c r="O82" s="348" cm="1">
        <f t="array" aca="1" ref="O82" ca="1">IF(BBswitch=1,IF(ISBLANK($C82),"",IFERROR(IF(_xll.BDP($C82,O$72)="#N/A N/A","NA ",_xll.BDP($C82,O$72)/10^6),0)/P82),O82)</f>
        <v>0</v>
      </c>
      <c r="P82" s="349" cm="1">
        <f t="array" aca="1" ref="P82" ca="1">+IF(BBswitch=1,IF(ISBLANK($C82),"",IF(_xll.BDP("USD"&amp;Q82&amp;" BGN Curncy","px last")="#N/A Invalid Security",1,_xll.BDP("USD"&amp;Q82&amp;" BGN Curncy","px last"))),P82)</f>
        <v>1</v>
      </c>
      <c r="Q82" s="350" t="str">
        <f ca="1">IF(BBswitch=1,IF(ISBLANK($C82),"",IF(_xll.BDP($C82,Q$72)="#N/A N/A","NA ",_xll.BDP($C82,Q$72))),Q82)</f>
        <v>USD</v>
      </c>
      <c r="R82" s="351" t="str" cm="1">
        <f t="array" aca="1" ref="R82" ca="1">IF(BBswitch=1,IF(ISBLANK($C82),"",IF(OR(_xll.BDP($C82,R$72)="#N/A Field Not Applicable",_xll.BDP($C82,R$72)="#N/A N/A"),"",_xll.BDP($C82,R$72))),R82)</f>
        <v/>
      </c>
      <c r="S82" s="351" cm="1">
        <f t="array" aca="1" ref="S82" ca="1">IF(BBswitch=1,IF(ISBLANK($C82),"",IF(OR(_xll.BDP($C82,S$72)="#N/A Field Not Applicable",_xll.BDP($C82,S$72)="#N/A N/A"),"",_xll.BDP($C82,S$72))),S82)</f>
        <v>447.01060314533214</v>
      </c>
      <c r="T82" s="351" t="str" cm="1">
        <f t="array" aca="1" ref="T82" ca="1">IF(BBswitch=1,IF(ISBLANK($C82),"",IF(OR(_xll.BDP($C82,T$72)="#N/A Field Not Applicable",_xll.BDP($C82,T$72)="#N/A N/A"),"",_xll.BDP($C82,T$72))),T82)</f>
        <v/>
      </c>
      <c r="U82" s="351" cm="1">
        <f t="array" aca="1" ref="U82" ca="1">IF(BBswitch=1,IF(ISBLANK($C82),"",IF(OR(_xll.BDP($C82,U$72)="#N/A Field Not Applicable",_xll.BDP($C82,U$72)="#N/A N/A"),"",_xll.BDP($C82,U$72))),U82)</f>
        <v>2.0467182426148041</v>
      </c>
      <c r="V82" s="352" t="str">
        <f ca="1">IF(BBswitch=1,IF(ISBLANK($C82),"",IF(_xll.BDP($C82,V$72)="#N/A N/A","NA ",_xll.BDP($C82,V$72))),V82)</f>
        <v>2nd lien</v>
      </c>
      <c r="W82" s="353" t="str" cm="1">
        <f t="array" aca="1" ref="W82" ca="1">IF(BBswitch=1,IF(ISBLANK($C82),"",IF(_xll.BDP($C82,W$72)="#N/A N/A","NA ",_xll.BDP($C82,W$72))),W82)</f>
        <v>United Airlines 2020-1 Class B Pass Through Trust</v>
      </c>
      <c r="X82" s="343" t="str">
        <f ca="1">IF(BBswitch=1,IF(ISBLANK($C82),"",IF(_xll.BDP($C82,X$73)="#N/A N/A","NA ",_xll.BDP($C82,X$73))),X82)</f>
        <v>UAL 4.875 26</v>
      </c>
      <c r="Z82" s="1018"/>
      <c r="AA82" s="1023"/>
      <c r="AB82" s="883"/>
      <c r="AC82" s="883"/>
      <c r="AD82" s="883"/>
      <c r="AE82" s="883"/>
      <c r="AF82" s="883"/>
      <c r="AG82" s="883"/>
      <c r="AH82" s="883"/>
      <c r="AI82" s="883"/>
      <c r="AJ82" s="883"/>
      <c r="AK82" s="883"/>
    </row>
    <row r="83" spans="3:37">
      <c r="C83" s="6" t="s">
        <v>1848</v>
      </c>
      <c r="D83" s="343" t="str">
        <f ca="1">IF(BBswitch=1,IF(ISBLANK($C83),"",IF(_xll.BDP($C83,D$73)="#N/A N/A","NA ",_xll.BDP($C83,D$73))),D83)</f>
        <v>UAL TL B 1L USD</v>
      </c>
      <c r="E83" s="344" t="str">
        <f ca="1">IF(BBswitch=1,IF(ISBLANK($C83),"",IF(_xll.BDP($C83,E$73)="#N/A N/A","NA ",_xll.BDP($C83,E$73))),E83)</f>
        <v xml:space="preserve">NA </v>
      </c>
      <c r="F83" s="354">
        <f ca="1">IF(BBswitch=1,IF(ISBLANK($C83),"",IF(_xll.BDP($C83,F$72)="#N/A N/A","NA ",_xll.BDP($C83,F$72)/10^6)/P83),F83)</f>
        <v>3000</v>
      </c>
      <c r="G83" s="355">
        <f ca="1">IF(BBswitch=1,IF(ISBLANK($C83),"",IF(_xll.BDP($C83,G$72)="#N/A N/A","NA ",_xll.BDP($C83,G$72)/100)),G83)</f>
        <v>7.0475699899999994E-2</v>
      </c>
      <c r="H83" s="355">
        <f ca="1">IF(BBswitch=1,IF(ISBLANK($C83),"",IF(_xll.BDP($C83,H$72)="#N/A N/A","NA ",_xll.BDP($C83,H$72)/100)),H83)</f>
        <v>1.0062500000000001</v>
      </c>
      <c r="I83" s="355" t="e">
        <f ca="1">IF(BBswitch=1,IF(ISBLANK($C83),"",IF(_xll.BDP($C83,I$72)="#N/A N/A","NA ",_xll.BDP($C83,I$72)/100)),I83)</f>
        <v>#VALUE!</v>
      </c>
      <c r="J83" s="355">
        <f ca="1">IF(BBswitch=1,IF(ISBLANK($C83),"",IF(_xll.BDP($C83,J$72)="#N/A N/A","NA ",_xll.BDP($C83,J$72)/100)),J83)</f>
        <v>7.2787994153249824E-2</v>
      </c>
      <c r="K83" s="345" t="str">
        <f ca="1">IF(BBswitch=1,IF(ISBLANK($C83),"",IF(_xll.BDP($C83,K$72)="#N/A N/A","NA ",_xll.BDP($C83,K$72))),K83)</f>
        <v>6/20/2027</v>
      </c>
      <c r="L83" s="346" t="e">
        <f t="shared" ref="L83" ca="1" si="9">IF(ISBLANK($C83),"",YEAR(K83))</f>
        <v>#VALUE!</v>
      </c>
      <c r="M83" s="345" t="str">
        <f ca="1">IF(BBswitch=1,IF(ISBLANK($C83),"",IF(_xll.BDP($C83,M$72)="#N/A N/A","NA ",_xll.BDP($C83,M$72))),M83)</f>
        <v>7/2/2020</v>
      </c>
      <c r="N83" s="347" t="str" cm="1">
        <f t="array" aca="1" ref="N83" ca="1">IF(BBswitch=1,IF(ISBLANK($C83),"",IF(_xll.BDP($C83,N$72)="#N/A Field Not Applicable","Notes",_xll.BDP($C83,N$72))),N83)</f>
        <v>TERM</v>
      </c>
      <c r="O83" s="348" cm="1">
        <f t="array" aca="1" ref="O83" ca="1">IF(BBswitch=1,IF(ISBLANK($C83),"",IFERROR(IF(_xll.BDP($C83,O$72)="#N/A N/A","NA ",_xll.BDP($C83,O$72)/10^6),0)/P83),O83)</f>
        <v>3000</v>
      </c>
      <c r="P83" s="349" cm="1">
        <f t="array" aca="1" ref="P83" ca="1">+IF(BBswitch=1,IF(ISBLANK($C83),"",IF(_xll.BDP("USD"&amp;Q83&amp;" BGN Curncy","px last")="#N/A Invalid Security",1,_xll.BDP("USD"&amp;Q83&amp;" BGN Curncy","px last"))),P83)</f>
        <v>1</v>
      </c>
      <c r="Q83" s="350" t="str">
        <f ca="1">IF(BBswitch=1,IF(ISBLANK($C83),"",IF(_xll.BDP($C83,Q$72)="#N/A N/A","NA ",_xll.BDP($C83,Q$72))),Q83)</f>
        <v>USD</v>
      </c>
      <c r="R83" s="351" cm="1">
        <f t="array" aca="1" ref="R83" ca="1">IF(BBswitch=1,IF(ISBLANK($C83),"",IF(OR(_xll.BDP($C83,R$72)="#N/A Field Not Applicable",_xll.BDP($C83,R$72)="#N/A N/A"),"",_xll.BDP($C83,R$72))),R83)</f>
        <v>2.2286983565375733</v>
      </c>
      <c r="S83" s="351" t="str" cm="1">
        <f t="array" aca="1" ref="S83" ca="1">IF(BBswitch=1,IF(ISBLANK($C83),"",IF(OR(_xll.BDP($C83,S$72)="#N/A Field Not Applicable",_xll.BDP($C83,S$72)="#N/A N/A"),"",_xll.BDP($C83,S$72))),S83)</f>
        <v/>
      </c>
      <c r="T83" s="351" cm="1">
        <f t="array" aca="1" ref="T83" ca="1">IF(BBswitch=1,IF(ISBLANK($C83),"",IF(OR(_xll.BDP($C83,T$72)="#N/A Field Not Applicable",_xll.BDP($C83,T$72)="#N/A N/A"),"",_xll.BDP($C83,T$72))),T83)</f>
        <v>492.47221827094779</v>
      </c>
      <c r="U83" s="351" t="str" cm="1">
        <f t="array" aca="1" ref="U83" ca="1">IF(BBswitch=1,IF(ISBLANK($C83),"",IF(OR(_xll.BDP($C83,U$72)="#N/A Field Not Applicable",_xll.BDP($C83,U$72)="#N/A N/A"),"",_xll.BDP($C83,U$72))),U83)</f>
        <v/>
      </c>
      <c r="V83" s="352" t="str">
        <f ca="1">IF(BBswitch=1,IF(ISBLANK($C83),"",IF(_xll.BDP($C83,V$72)="#N/A N/A","NA ",_xll.BDP($C83,V$72))),V83)</f>
        <v>1L Gtd Sr. Secd</v>
      </c>
      <c r="W83" s="353" t="str" cm="1">
        <f t="array" aca="1" ref="W83" ca="1">IF(BBswitch=1,IF(ISBLANK($C83),"",IF(_xll.BDP($C83,W$72)="#N/A N/A","NA ",_xll.BDP($C83,W$72))),W83)</f>
        <v>Mileage Plus Holdings LLC</v>
      </c>
      <c r="X83" s="343" t="str">
        <f ca="1">IF(BBswitch=1,IF(ISBLANK($C83),"",IF(_xll.BDP($C83,X$73)="#N/A N/A","NA ",_xll.BDP($C83,X$73))),X83)</f>
        <v>UAL TL B 1L USD</v>
      </c>
      <c r="Z83" s="1018"/>
      <c r="AA83" s="1023"/>
      <c r="AB83" s="883"/>
      <c r="AC83" s="883"/>
      <c r="AD83" s="883"/>
      <c r="AE83" s="883"/>
      <c r="AF83" s="883"/>
      <c r="AG83" s="883"/>
      <c r="AH83" s="883"/>
      <c r="AI83" s="883"/>
      <c r="AJ83" s="883"/>
      <c r="AK83" s="883"/>
    </row>
    <row r="84" spans="3:37">
      <c r="D84" s="1053" t="str">
        <f>'UAL Debt'!C16</f>
        <v>Enhanced Equipment Trust Certificate</v>
      </c>
      <c r="E84" s="344"/>
      <c r="F84" s="1040">
        <f>'UAL Debt'!Q16</f>
        <v>232</v>
      </c>
      <c r="G84" s="1042">
        <f>'UAL Debt'!D16</f>
        <v>3.5000000000000003E-2</v>
      </c>
      <c r="H84" s="936">
        <v>1</v>
      </c>
      <c r="I84" s="355">
        <f t="shared" ref="I84:I89" si="10">G84/H84</f>
        <v>3.5000000000000003E-2</v>
      </c>
      <c r="J84" s="355"/>
      <c r="K84" s="1038">
        <f>'UAL Debt'!AF16</f>
        <v>46874</v>
      </c>
      <c r="L84" s="346">
        <f t="shared" ref="L84:L89" si="11">YEAR(K84)</f>
        <v>2028</v>
      </c>
      <c r="M84" s="345"/>
      <c r="N84" s="347"/>
      <c r="O84" s="348"/>
      <c r="P84" s="349"/>
      <c r="Q84" s="350"/>
      <c r="R84" s="351"/>
      <c r="S84" s="351"/>
      <c r="T84" s="351"/>
      <c r="U84" s="351"/>
      <c r="V84" s="1037" t="s">
        <v>1759</v>
      </c>
      <c r="W84" s="353"/>
      <c r="X84" s="343"/>
      <c r="Z84" s="1018"/>
      <c r="AA84" s="1023"/>
      <c r="AB84" s="883"/>
      <c r="AC84" s="883"/>
      <c r="AD84" s="883"/>
      <c r="AE84" s="883"/>
      <c r="AF84" s="883"/>
      <c r="AG84" s="883"/>
      <c r="AH84" s="883"/>
      <c r="AI84" s="883"/>
      <c r="AJ84" s="883"/>
      <c r="AK84" s="883"/>
    </row>
    <row r="85" spans="3:37">
      <c r="D85" s="1053" t="str">
        <f>'UAL Debt'!C17</f>
        <v>Enhanced Equipment Trust Certificate</v>
      </c>
      <c r="E85" s="344"/>
      <c r="F85" s="1040">
        <f>'UAL Debt'!Q17</f>
        <v>3000</v>
      </c>
      <c r="G85" s="1042">
        <f>'UAL Debt'!D17</f>
        <v>5.8799999999999998E-2</v>
      </c>
      <c r="H85" s="936">
        <v>1</v>
      </c>
      <c r="I85" s="355">
        <f t="shared" si="10"/>
        <v>5.8799999999999998E-2</v>
      </c>
      <c r="J85" s="355"/>
      <c r="K85" s="1038">
        <f>'UAL Debt'!AF17</f>
        <v>46661</v>
      </c>
      <c r="L85" s="346">
        <f t="shared" si="11"/>
        <v>2027</v>
      </c>
      <c r="M85" s="345"/>
      <c r="N85" s="347"/>
      <c r="O85" s="348"/>
      <c r="P85" s="349"/>
      <c r="Q85" s="350"/>
      <c r="R85" s="351"/>
      <c r="S85" s="351"/>
      <c r="T85" s="351"/>
      <c r="U85" s="351"/>
      <c r="V85" s="1037" t="s">
        <v>1759</v>
      </c>
      <c r="W85" s="353"/>
      <c r="X85" s="343"/>
      <c r="Z85" s="1018"/>
      <c r="AA85" s="1023"/>
      <c r="AB85" s="883"/>
      <c r="AC85" s="883"/>
      <c r="AD85" s="883"/>
      <c r="AE85" s="883"/>
      <c r="AF85" s="883"/>
      <c r="AG85" s="883"/>
      <c r="AH85" s="883"/>
      <c r="AI85" s="883"/>
      <c r="AJ85" s="883"/>
      <c r="AK85" s="883"/>
    </row>
    <row r="86" spans="3:37">
      <c r="D86" s="1053" t="str">
        <f>'UAL Debt'!C18</f>
        <v>Enhanced Equipment Trust Certificate</v>
      </c>
      <c r="E86" s="344"/>
      <c r="F86" s="1040">
        <f>'UAL Debt'!Q18</f>
        <v>105</v>
      </c>
      <c r="G86" s="1042">
        <f>'UAL Debt'!D18</f>
        <v>5.8799999999999998E-2</v>
      </c>
      <c r="H86" s="936">
        <v>1</v>
      </c>
      <c r="I86" s="355">
        <f t="shared" si="10"/>
        <v>5.8799999999999998E-2</v>
      </c>
      <c r="J86" s="355"/>
      <c r="K86" s="1038">
        <f>'UAL Debt'!AF18</f>
        <v>44382</v>
      </c>
      <c r="L86" s="346">
        <f t="shared" si="11"/>
        <v>2021</v>
      </c>
      <c r="M86" s="345"/>
      <c r="N86" s="347"/>
      <c r="O86" s="348"/>
      <c r="P86" s="349"/>
      <c r="Q86" s="350"/>
      <c r="R86" s="351"/>
      <c r="S86" s="351"/>
      <c r="T86" s="351"/>
      <c r="U86" s="351"/>
      <c r="V86" s="1037" t="s">
        <v>1759</v>
      </c>
      <c r="W86" s="353"/>
      <c r="X86" s="343"/>
      <c r="Z86" s="1018"/>
      <c r="AA86" s="1023"/>
      <c r="AB86" s="883"/>
      <c r="AC86" s="883"/>
      <c r="AD86" s="883"/>
      <c r="AE86" s="883"/>
      <c r="AF86" s="883"/>
      <c r="AG86" s="883"/>
      <c r="AH86" s="883"/>
      <c r="AI86" s="883"/>
      <c r="AJ86" s="883"/>
      <c r="AK86" s="883"/>
    </row>
    <row r="87" spans="3:37">
      <c r="D87" s="1053" t="str">
        <f>'UAL Debt'!C19</f>
        <v>Enhanced Equipment Trust Certificate</v>
      </c>
      <c r="E87" s="344"/>
      <c r="F87" s="1040">
        <f>'UAL Debt'!Q19</f>
        <v>7774</v>
      </c>
      <c r="G87" s="1042">
        <f>'UAL Debt'!D19</f>
        <v>5.8799999999999998E-2</v>
      </c>
      <c r="H87" s="936">
        <v>1</v>
      </c>
      <c r="I87" s="355">
        <f t="shared" si="10"/>
        <v>5.8799999999999998E-2</v>
      </c>
      <c r="J87" s="355"/>
      <c r="K87" s="1038">
        <f>'UAL Debt'!AF19</f>
        <v>47133</v>
      </c>
      <c r="L87" s="346">
        <f t="shared" si="11"/>
        <v>2029</v>
      </c>
      <c r="M87" s="345"/>
      <c r="N87" s="347"/>
      <c r="O87" s="348"/>
      <c r="P87" s="349"/>
      <c r="Q87" s="350"/>
      <c r="R87" s="351"/>
      <c r="S87" s="351"/>
      <c r="T87" s="351"/>
      <c r="U87" s="351"/>
      <c r="V87" s="1037" t="s">
        <v>1759</v>
      </c>
      <c r="W87" s="353"/>
      <c r="X87" s="343"/>
      <c r="Z87" s="1018"/>
      <c r="AA87" s="1023"/>
      <c r="AB87" s="883"/>
      <c r="AC87" s="883"/>
      <c r="AD87" s="883"/>
      <c r="AE87" s="883"/>
      <c r="AF87" s="883"/>
      <c r="AG87" s="883"/>
      <c r="AH87" s="883"/>
      <c r="AI87" s="883"/>
      <c r="AJ87" s="883"/>
      <c r="AK87" s="883"/>
    </row>
    <row r="88" spans="3:37">
      <c r="D88" s="1053" t="str">
        <f>'UAL Debt'!C13</f>
        <v>Enhanced Equipment Trust Certificate</v>
      </c>
      <c r="E88" s="344"/>
      <c r="F88" s="1040">
        <f>'UAL Debt'!Q13</f>
        <v>702</v>
      </c>
      <c r="G88" s="1042">
        <f>'UAL Debt'!D13</f>
        <v>2.7E-2</v>
      </c>
      <c r="H88" s="936">
        <v>1</v>
      </c>
      <c r="I88" s="355">
        <f t="shared" si="10"/>
        <v>2.7E-2</v>
      </c>
      <c r="J88" s="355"/>
      <c r="K88" s="1038">
        <f>'UAL Debt'!AF13</f>
        <v>48335</v>
      </c>
      <c r="L88" s="346">
        <f t="shared" si="11"/>
        <v>2032</v>
      </c>
      <c r="M88" s="345"/>
      <c r="N88" s="347"/>
      <c r="O88" s="348"/>
      <c r="P88" s="349"/>
      <c r="Q88" s="350"/>
      <c r="R88" s="351"/>
      <c r="S88" s="351"/>
      <c r="T88" s="351"/>
      <c r="U88" s="351"/>
      <c r="V88" s="1037" t="s">
        <v>1759</v>
      </c>
      <c r="W88" s="353"/>
      <c r="X88" s="343"/>
      <c r="Z88" s="1018"/>
      <c r="AA88" s="1023"/>
      <c r="AB88" s="883"/>
      <c r="AC88" s="883"/>
      <c r="AD88" s="883"/>
      <c r="AE88" s="883"/>
      <c r="AF88" s="883"/>
      <c r="AG88" s="883"/>
      <c r="AH88" s="883"/>
      <c r="AI88" s="883"/>
      <c r="AJ88" s="883"/>
      <c r="AK88" s="883"/>
    </row>
    <row r="89" spans="3:37">
      <c r="D89" s="1053" t="str">
        <f>'UAL Debt'!C21</f>
        <v>Special Facility Revenue Bonds</v>
      </c>
      <c r="E89" s="344"/>
      <c r="F89" s="1040">
        <f>'UAL Debt'!Q21</f>
        <v>159</v>
      </c>
      <c r="G89" s="1042">
        <f>'UAL Debt'!D21</f>
        <v>0.04</v>
      </c>
      <c r="H89" s="936">
        <v>1</v>
      </c>
      <c r="I89" s="355">
        <f t="shared" si="10"/>
        <v>0.04</v>
      </c>
      <c r="J89" s="355"/>
      <c r="K89" s="1038">
        <f>'UAL Debt'!AF21</f>
        <v>47133</v>
      </c>
      <c r="L89" s="346">
        <f t="shared" si="11"/>
        <v>2029</v>
      </c>
      <c r="M89" s="345"/>
      <c r="N89" s="347"/>
      <c r="O89" s="348"/>
      <c r="P89" s="349"/>
      <c r="Q89" s="350"/>
      <c r="R89" s="351"/>
      <c r="S89" s="351"/>
      <c r="T89" s="351"/>
      <c r="U89" s="351"/>
      <c r="V89" s="1037" t="s">
        <v>1759</v>
      </c>
      <c r="W89" s="353"/>
      <c r="X89" s="343"/>
      <c r="Z89" s="1018"/>
      <c r="AA89" s="1023"/>
      <c r="AB89" s="883"/>
      <c r="AC89" s="883"/>
      <c r="AD89" s="883"/>
      <c r="AE89" s="883"/>
      <c r="AF89" s="883"/>
      <c r="AG89" s="883"/>
      <c r="AH89" s="883"/>
      <c r="AI89" s="883"/>
      <c r="AJ89" s="883"/>
      <c r="AK89" s="883"/>
    </row>
    <row r="90" spans="3:37">
      <c r="C90" s="6" t="s">
        <v>1626</v>
      </c>
      <c r="D90" s="343" t="s">
        <v>1627</v>
      </c>
      <c r="E90" s="344" t="str">
        <f ca="1">IF(BBswitch=1,IF(ISBLANK($C90),"",IF(_xll.BDP($C90,E$73)="#N/A N/A","NA ",_xll.BDP($C90,E$73))),E90)</f>
        <v>B+</v>
      </c>
      <c r="F90" s="354">
        <f ca="1">IF(BBswitch=1,IF(ISBLANK($C90),"",IF(_xll.BDP($C90,F$72)="#N/A N/A","NA ",_xll.BDP($C90,F$72)/10^6)/P90),F90)</f>
        <v>350</v>
      </c>
      <c r="G90" s="355">
        <f ca="1">IF(BBswitch=1,IF(ISBLANK($C90),"",IF(_xll.BDP($C90,G$72)="#N/A N/A","NA ",_xll.BDP($C90,G$72)/100)),G90)</f>
        <v>4.8750000000000002E-2</v>
      </c>
      <c r="H90" s="355">
        <f ca="1">IF(BBswitch=1,IF(ISBLANK($C90),"",IF(_xll.BDP($C90,H$72)="#N/A N/A","NA ",_xll.BDP($C90,H$72)/100)),H90)</f>
        <v>0.94803999999999999</v>
      </c>
      <c r="I90" s="355">
        <f ca="1">IF(BBswitch=1,IF(ISBLANK($C90),"",IF(_xll.BDP($C90,I$72)="#N/A N/A","NA ",_xll.BDP($C90,I$72)/100)),I90)</f>
        <v>5.160696138211382E-2</v>
      </c>
      <c r="J90" s="355">
        <f ca="1">IF(BBswitch=1,IF(ISBLANK($C90),"",IF(_xll.BDP($C90,J$72)="#N/A N/A","NA ",_xll.BDP($C90,J$72)/100)),J90)</f>
        <v>7.3565297326409873E-2</v>
      </c>
      <c r="K90" s="345" t="str">
        <f ca="1">IF(BBswitch=1,IF(ISBLANK($C90),"",IF(_xll.BDP($C90,K$72)="#N/A N/A","NA ",_xll.BDP($C90,K$72))),K90)</f>
        <v>1/15/2025</v>
      </c>
      <c r="L90" s="346" t="e">
        <f ca="1">IF(ISBLANK($C90),"",YEAR(K90))</f>
        <v>#VALUE!</v>
      </c>
      <c r="M90" s="345" t="str">
        <f ca="1">IF(BBswitch=1,IF(ISBLANK($C90),"",IF(_xll.BDP($C90,M$72)="#N/A N/A","NA ",_xll.BDP($C90,M$72))),M90)</f>
        <v>5/9/2019</v>
      </c>
      <c r="N90" s="347" t="str" cm="1">
        <f t="array" aca="1" ref="N90" ca="1">IF(BBswitch=1,IF(ISBLANK($C90),"",IF(_xll.BDP($C90,N$72)="#N/A Field Not Applicable","Notes",_xll.BDP($C90,N$72))),N90)</f>
        <v>Notes</v>
      </c>
      <c r="O90" s="348" cm="1">
        <f t="array" aca="1" ref="O90" ca="1">IF(BBswitch=1,IF(ISBLANK($C90),"",IFERROR(IF(_xll.BDP($C90,O$72)="#N/A N/A","NA ",_xll.BDP($C90,O$72)/10^6),0)/P90),O90)</f>
        <v>0</v>
      </c>
      <c r="P90" s="349" cm="1">
        <f t="array" aca="1" ref="P90" ca="1">+IF(BBswitch=1,IF(ISBLANK($C90),"",IF(_xll.BDP("USD"&amp;Q90&amp;" BGN Curncy","px last")="#N/A Invalid Security",1,_xll.BDP("USD"&amp;Q90&amp;" BGN Curncy","px last"))),P90)</f>
        <v>1</v>
      </c>
      <c r="Q90" s="350" t="str">
        <f ca="1">IF(BBswitch=1,IF(ISBLANK($C90),"",IF(_xll.BDP($C90,Q$72)="#N/A N/A","NA ",_xll.BDP($C90,Q$72))),Q90)</f>
        <v>USD</v>
      </c>
      <c r="R90" s="351" t="str" cm="1">
        <f t="array" aca="1" ref="R90" ca="1">IF(BBswitch=1,IF(ISBLANK($C90),"",IF(OR(_xll.BDP($C90,R$72)="#N/A Field Not Applicable",_xll.BDP($C90,R$72)="#N/A N/A"),"",_xll.BDP($C90,R$72))),R90)</f>
        <v/>
      </c>
      <c r="S90" s="351" cm="1">
        <f t="array" aca="1" ref="S90" ca="1">IF(BBswitch=1,IF(ISBLANK($C90),"",IF(OR(_xll.BDP($C90,S$72)="#N/A Field Not Applicable",_xll.BDP($C90,S$72)="#N/A N/A"),"",_xll.BDP($C90,S$72))),S90)</f>
        <v>387.0916179129527</v>
      </c>
      <c r="T90" s="351" t="str" cm="1">
        <f t="array" aca="1" ref="T90" ca="1">IF(BBswitch=1,IF(ISBLANK($C90),"",IF(OR(_xll.BDP($C90,T$72)="#N/A Field Not Applicable",_xll.BDP($C90,T$72)="#N/A N/A"),"",_xll.BDP($C90,T$72))),T90)</f>
        <v/>
      </c>
      <c r="U90" s="351" cm="1">
        <f t="array" aca="1" ref="U90" ca="1">IF(BBswitch=1,IF(ISBLANK($C90),"",IF(OR(_xll.BDP($C90,U$72)="#N/A Field Not Applicable",_xll.BDP($C90,U$72)="#N/A N/A"),"",_xll.BDP($C90,U$72))),U90)</f>
        <v>2.2863483463037317</v>
      </c>
      <c r="V90" s="352" t="str">
        <f ca="1">IF(BBswitch=1,IF(ISBLANK($C90),"",IF(_xll.BDP($C90,V$72)="#N/A N/A","NA ",_xll.BDP($C90,V$72))),V90)</f>
        <v>Sr Unsecured</v>
      </c>
      <c r="W90" s="353" t="str" cm="1">
        <f t="array" aca="1" ref="W90" ca="1">IF(BBswitch=1,IF(ISBLANK($C90),"",IF(_xll.BDP($C90,W$72)="#N/A N/A","NA ",_xll.BDP($C90,W$72))),W90)</f>
        <v>United Airlines Holdings Inc</v>
      </c>
      <c r="X90" s="343" t="str">
        <f ca="1">IF(BBswitch=1,IF(ISBLANK($C90),"",IF(_xll.BDP($C90,X$73)="#N/A N/A","NA ",_xll.BDP($C90,X$73))),X90)</f>
        <v>UAL 4.875 25</v>
      </c>
      <c r="Z90" s="1018"/>
      <c r="AA90" s="1023"/>
      <c r="AB90" s="883"/>
      <c r="AC90" s="883"/>
      <c r="AD90" s="883"/>
      <c r="AE90" s="883"/>
      <c r="AF90" s="883"/>
      <c r="AG90" s="883"/>
      <c r="AH90" s="883"/>
      <c r="AI90" s="883"/>
      <c r="AJ90" s="883"/>
      <c r="AK90" s="883"/>
    </row>
    <row r="91" spans="3:37">
      <c r="C91" s="6" t="s">
        <v>1628</v>
      </c>
      <c r="D91" s="343" t="s">
        <v>1629</v>
      </c>
      <c r="E91" s="344" t="str">
        <f ca="1">IF(BBswitch=1,IF(ISBLANK($C91),"",IF(_xll.BDP($C91,E$73)="#N/A N/A","NA ",_xll.BDP($C91,E$73))),E91)</f>
        <v>B+</v>
      </c>
      <c r="F91" s="354">
        <f ca="1">IF(BBswitch=1,IF(ISBLANK($C91),"",IF(_xll.BDP($C91,F$72)="#N/A N/A","NA ",_xll.BDP($C91,F$72)/10^6)/P91),F91)</f>
        <v>300</v>
      </c>
      <c r="G91" s="355">
        <f ca="1">IF(BBswitch=1,IF(ISBLANK($C91),"",IF(_xll.BDP($C91,G$72)="#N/A N/A","NA ",_xll.BDP($C91,G$72)/100)),G91)</f>
        <v>0.05</v>
      </c>
      <c r="H91" s="355">
        <f ca="1">IF(BBswitch=1,IF(ISBLANK($C91),"",IF(_xll.BDP($C91,H$72)="#N/A N/A","NA ",_xll.BDP($C91,H$72)/100)),H91)</f>
        <v>0.98947000000000007</v>
      </c>
      <c r="I91" s="355">
        <f ca="1">IF(BBswitch=1,IF(ISBLANK($C91),"",IF(_xll.BDP($C91,I$72)="#N/A N/A","NA ",_xll.BDP($C91,I$72)/100)),I91)</f>
        <v>5.0720741740127216E-2</v>
      </c>
      <c r="J91" s="355">
        <f ca="1">IF(BBswitch=1,IF(ISBLANK($C91),"",IF(_xll.BDP($C91,J$72)="#N/A N/A","NA ",_xll.BDP($C91,J$72)/100)),J91)</f>
        <v>5.9876387355619842E-2</v>
      </c>
      <c r="K91" s="345" t="str">
        <f ca="1">IF(BBswitch=1,IF(ISBLANK($C91),"",IF(_xll.BDP($C91,K$72)="#N/A N/A","NA ",_xll.BDP($C91,K$72))),K91)</f>
        <v>2/1/2024</v>
      </c>
      <c r="L91" s="346">
        <f ca="1">IF(ISBLANK($C91),"",YEAR(K91))</f>
        <v>2024</v>
      </c>
      <c r="M91" s="345" t="str">
        <f ca="1">IF(BBswitch=1,IF(ISBLANK($C91),"",IF(_xll.BDP($C91,M$72)="#N/A N/A","NA ",_xll.BDP($C91,M$72))),M91)</f>
        <v>1/26/2017</v>
      </c>
      <c r="N91" s="347" t="str" cm="1">
        <f t="array" aca="1" ref="N91" ca="1">IF(BBswitch=1,IF(ISBLANK($C91),"",IF(_xll.BDP($C91,N$72)="#N/A Field Not Applicable","Notes",_xll.BDP($C91,N$72))),N91)</f>
        <v>Notes</v>
      </c>
      <c r="O91" s="348" cm="1">
        <f t="array" aca="1" ref="O91" ca="1">IF(BBswitch=1,IF(ISBLANK($C91),"",IFERROR(IF(_xll.BDP($C91,O$72)="#N/A N/A","NA ",_xll.BDP($C91,O$72)/10^6),0)/P91),O91)</f>
        <v>0</v>
      </c>
      <c r="P91" s="349" cm="1">
        <f t="array" aca="1" ref="P91" ca="1">+IF(BBswitch=1,IF(ISBLANK($C91),"",IF(_xll.BDP("USD"&amp;Q91&amp;" BGN Curncy","px last")="#N/A Invalid Security",1,_xll.BDP("USD"&amp;Q91&amp;" BGN Curncy","px last"))),P91)</f>
        <v>1</v>
      </c>
      <c r="Q91" s="350" t="str">
        <f ca="1">IF(BBswitch=1,IF(ISBLANK($C91),"",IF(_xll.BDP($C91,Q$72)="#N/A N/A","NA ",_xll.BDP($C91,Q$72))),Q91)</f>
        <v>USD</v>
      </c>
      <c r="R91" s="351" t="str" cm="1">
        <f t="array" aca="1" ref="R91" ca="1">IF(BBswitch=1,IF(ISBLANK($C91),"",IF(OR(_xll.BDP($C91,R$72)="#N/A Field Not Applicable",_xll.BDP($C91,R$72)="#N/A N/A"),"",_xll.BDP($C91,R$72))),R91)</f>
        <v/>
      </c>
      <c r="S91" s="351" cm="1">
        <f t="array" aca="1" ref="S91" ca="1">IF(BBswitch=1,IF(ISBLANK($C91),"",IF(OR(_xll.BDP($C91,S$72)="#N/A Field Not Applicable",_xll.BDP($C91,S$72)="#N/A N/A"),"",_xll.BDP($C91,S$72))),S91)</f>
        <v>251.59730417080885</v>
      </c>
      <c r="T91" s="351" t="str" cm="1">
        <f t="array" aca="1" ref="T91" ca="1">IF(BBswitch=1,IF(ISBLANK($C91),"",IF(OR(_xll.BDP($C91,T$72)="#N/A Field Not Applicable",_xll.BDP($C91,T$72)="#N/A N/A"),"",_xll.BDP($C91,T$72))),T91)</f>
        <v/>
      </c>
      <c r="U91" s="351" cm="1">
        <f t="array" aca="1" ref="U91" ca="1">IF(BBswitch=1,IF(ISBLANK($C91),"",IF(OR(_xll.BDP($C91,U$72)="#N/A Field Not Applicable",_xll.BDP($C91,U$72)="#N/A N/A"),"",_xll.BDP($C91,U$72))),U91)</f>
        <v>1.4183473763963423</v>
      </c>
      <c r="V91" s="352" t="str">
        <f ca="1">IF(BBswitch=1,IF(ISBLANK($C91),"",IF(_xll.BDP($C91,V$72)="#N/A N/A","NA ",_xll.BDP($C91,V$72))),V91)</f>
        <v>Sr Unsecured</v>
      </c>
      <c r="W91" s="353" t="str" cm="1">
        <f t="array" aca="1" ref="W91" ca="1">IF(BBswitch=1,IF(ISBLANK($C91),"",IF(_xll.BDP($C91,W$72)="#N/A N/A","NA ",_xll.BDP($C91,W$72))),W91)</f>
        <v>United Airlines Holdings Inc</v>
      </c>
      <c r="X91" s="343" t="str">
        <f ca="1">IF(BBswitch=1,IF(ISBLANK($C91),"",IF(_xll.BDP($C91,X$73)="#N/A N/A","NA ",_xll.BDP($C91,X$73))),X91)</f>
        <v>UAL 5 24</v>
      </c>
      <c r="Z91" s="1018"/>
      <c r="AA91" s="1023"/>
      <c r="AB91" s="883"/>
      <c r="AC91" s="883"/>
      <c r="AD91" s="883"/>
      <c r="AE91" s="883"/>
      <c r="AF91" s="883"/>
      <c r="AG91" s="883"/>
      <c r="AH91" s="883"/>
      <c r="AI91" s="883"/>
      <c r="AJ91" s="883"/>
      <c r="AK91" s="883"/>
    </row>
    <row r="92" spans="3:37">
      <c r="D92" s="1054" t="str">
        <f>'UAL Debt'!C24</f>
        <v>Notes</v>
      </c>
      <c r="E92" s="344"/>
      <c r="F92" s="1050">
        <f>'UAL Debt'!Q24</f>
        <v>221.828</v>
      </c>
      <c r="G92" s="1049">
        <f>'UAL Debt'!D24</f>
        <v>0.04</v>
      </c>
      <c r="H92" s="936">
        <v>1</v>
      </c>
      <c r="I92" s="355">
        <f>G92/H92</f>
        <v>0.04</v>
      </c>
      <c r="J92" s="355"/>
      <c r="K92" s="1038">
        <f>'UAL Debt'!AF24</f>
        <v>48579</v>
      </c>
      <c r="L92" s="346">
        <f>YEAR(K92)</f>
        <v>2032</v>
      </c>
      <c r="M92" s="345"/>
      <c r="N92" s="347"/>
      <c r="O92" s="348"/>
      <c r="P92" s="349"/>
      <c r="Q92" s="350"/>
      <c r="R92" s="351"/>
      <c r="S92" s="351"/>
      <c r="T92" s="351"/>
      <c r="U92" s="351"/>
      <c r="V92" s="1037" t="s">
        <v>1766</v>
      </c>
      <c r="W92" s="353"/>
      <c r="X92" s="343"/>
      <c r="Z92" s="1018"/>
      <c r="AA92" s="1023"/>
      <c r="AB92" s="883"/>
      <c r="AC92" s="883"/>
      <c r="AD92" s="883"/>
      <c r="AE92" s="883"/>
      <c r="AF92" s="883"/>
      <c r="AG92" s="883"/>
      <c r="AH92" s="883"/>
      <c r="AI92" s="883"/>
      <c r="AJ92" s="883"/>
      <c r="AK92" s="883"/>
    </row>
    <row r="93" spans="3:37">
      <c r="D93" s="1053" t="str">
        <f>'UAL Debt'!C28</f>
        <v>PSP Note - COVID19</v>
      </c>
      <c r="E93" s="344"/>
      <c r="F93" s="1040">
        <f>'UAL Debt'!Q28</f>
        <v>1501</v>
      </c>
      <c r="G93" s="1042">
        <f>'UAL Debt'!D28</f>
        <v>0.01</v>
      </c>
      <c r="H93" s="936">
        <v>1</v>
      </c>
      <c r="I93" s="355">
        <f>G93/H93</f>
        <v>0.01</v>
      </c>
      <c r="J93" s="355"/>
      <c r="K93" s="1038">
        <f>'UAL Debt'!AF28</f>
        <v>47603</v>
      </c>
      <c r="L93" s="346">
        <f>YEAR(K93)</f>
        <v>2030</v>
      </c>
      <c r="M93" s="345"/>
      <c r="N93" s="347"/>
      <c r="O93" s="348"/>
      <c r="P93" s="349"/>
      <c r="Q93" s="350"/>
      <c r="R93" s="351"/>
      <c r="S93" s="351"/>
      <c r="T93" s="351"/>
      <c r="U93" s="351"/>
      <c r="V93" s="1037" t="s">
        <v>1766</v>
      </c>
      <c r="W93" s="353"/>
      <c r="X93" s="343"/>
      <c r="Z93" s="1018"/>
      <c r="AA93" s="1023"/>
      <c r="AB93" s="883"/>
      <c r="AC93" s="883"/>
      <c r="AD93" s="883"/>
      <c r="AE93" s="883"/>
      <c r="AF93" s="883"/>
      <c r="AG93" s="883"/>
      <c r="AH93" s="883"/>
      <c r="AI93" s="883"/>
      <c r="AJ93" s="883"/>
      <c r="AK93" s="883"/>
    </row>
    <row r="94" spans="3:37">
      <c r="D94" s="1053" t="str">
        <f>'UAL Debt'!C29</f>
        <v>Senior Unsecured Promissory Note</v>
      </c>
      <c r="E94" s="344"/>
      <c r="F94" s="1040">
        <f>'UAL Debt'!Q29</f>
        <v>870</v>
      </c>
      <c r="G94" s="1042">
        <f>'UAL Debt'!D29</f>
        <v>0.01</v>
      </c>
      <c r="H94" s="936">
        <v>1</v>
      </c>
      <c r="I94" s="355">
        <f>G94/H94</f>
        <v>0.01</v>
      </c>
      <c r="J94" s="355"/>
      <c r="K94" s="1038">
        <f>'UAL Debt'!AF29</f>
        <v>47863</v>
      </c>
      <c r="L94" s="346">
        <f>YEAR(K94)</f>
        <v>2031</v>
      </c>
      <c r="M94" s="345"/>
      <c r="N94" s="347"/>
      <c r="O94" s="348"/>
      <c r="P94" s="349"/>
      <c r="Q94" s="350"/>
      <c r="R94" s="351"/>
      <c r="S94" s="351"/>
      <c r="T94" s="351"/>
      <c r="U94" s="351"/>
      <c r="V94" s="1037" t="s">
        <v>1766</v>
      </c>
      <c r="W94" s="353"/>
      <c r="X94" s="343"/>
      <c r="Z94" s="1018"/>
      <c r="AA94" s="1023"/>
      <c r="AB94" s="883"/>
      <c r="AC94" s="883"/>
      <c r="AD94" s="883"/>
      <c r="AE94" s="883"/>
      <c r="AF94" s="883"/>
      <c r="AG94" s="883"/>
      <c r="AH94" s="883"/>
      <c r="AI94" s="883"/>
      <c r="AJ94" s="883"/>
      <c r="AK94" s="883"/>
    </row>
    <row r="95" spans="3:37">
      <c r="D95" s="1053" t="str">
        <f>'UAL Debt'!C30</f>
        <v>Senior Unsecured Promissory Note</v>
      </c>
      <c r="E95" s="344"/>
      <c r="F95" s="1040">
        <f>'UAL Debt'!Q30</f>
        <v>810</v>
      </c>
      <c r="G95" s="1042">
        <f>'UAL Debt'!D30</f>
        <v>0.01</v>
      </c>
      <c r="H95" s="936">
        <v>1</v>
      </c>
      <c r="I95" s="355">
        <f>G95/H95</f>
        <v>0.01</v>
      </c>
      <c r="J95" s="355"/>
      <c r="K95" s="1038">
        <f>'UAL Debt'!AF30</f>
        <v>47967</v>
      </c>
      <c r="L95" s="346">
        <f>YEAR(K95)</f>
        <v>2031</v>
      </c>
      <c r="M95" s="345"/>
      <c r="N95" s="347"/>
      <c r="O95" s="348"/>
      <c r="P95" s="349"/>
      <c r="Q95" s="350"/>
      <c r="R95" s="351"/>
      <c r="S95" s="351"/>
      <c r="T95" s="351"/>
      <c r="U95" s="351"/>
      <c r="V95" s="1037" t="s">
        <v>1766</v>
      </c>
      <c r="W95" s="353"/>
      <c r="X95" s="343"/>
      <c r="Z95" s="1018"/>
      <c r="AA95" s="1023"/>
      <c r="AB95" s="883"/>
      <c r="AC95" s="883"/>
      <c r="AD95" s="883"/>
      <c r="AE95" s="883"/>
      <c r="AF95" s="883"/>
      <c r="AG95" s="883"/>
      <c r="AH95" s="883"/>
      <c r="AI95" s="883"/>
      <c r="AJ95" s="883"/>
      <c r="AK95" s="883"/>
    </row>
    <row r="96" spans="3:37">
      <c r="D96" s="1053" t="str">
        <f>'UAL Debt'!C31</f>
        <v>Other unsecured debt</v>
      </c>
      <c r="E96" s="344"/>
      <c r="F96" s="1040">
        <f>'UAL Debt'!Q31</f>
        <v>598</v>
      </c>
      <c r="G96" s="1042">
        <f>'UAL Debt'!D31</f>
        <v>2.8750000000000001E-2</v>
      </c>
      <c r="H96" s="936">
        <v>1</v>
      </c>
      <c r="I96" s="355">
        <f>G96/H96</f>
        <v>2.8750000000000001E-2</v>
      </c>
      <c r="J96" s="355"/>
      <c r="K96" s="1038">
        <f>'UAL Debt'!AF31</f>
        <v>46188</v>
      </c>
      <c r="L96" s="346">
        <f>YEAR(K96)</f>
        <v>2026</v>
      </c>
      <c r="M96" s="345"/>
      <c r="N96" s="347"/>
      <c r="O96" s="348"/>
      <c r="P96" s="349"/>
      <c r="Q96" s="350"/>
      <c r="R96" s="351"/>
      <c r="S96" s="351"/>
      <c r="T96" s="351"/>
      <c r="U96" s="351"/>
      <c r="V96" s="1037" t="s">
        <v>1766</v>
      </c>
      <c r="W96" s="353"/>
      <c r="X96" s="343"/>
      <c r="Z96" s="1018"/>
      <c r="AA96" s="1023"/>
      <c r="AB96" s="883"/>
      <c r="AC96" s="883"/>
      <c r="AD96" s="883"/>
      <c r="AE96" s="883"/>
      <c r="AF96" s="883"/>
      <c r="AG96" s="883"/>
      <c r="AH96" s="883"/>
      <c r="AI96" s="883"/>
      <c r="AJ96" s="883"/>
      <c r="AK96" s="883"/>
    </row>
    <row r="97" spans="3:37">
      <c r="D97" s="343"/>
      <c r="E97" s="344"/>
      <c r="F97" s="354"/>
      <c r="G97" s="355"/>
      <c r="H97" s="355"/>
      <c r="I97" s="355"/>
      <c r="J97" s="355"/>
      <c r="K97" s="345"/>
      <c r="L97" s="346"/>
      <c r="M97" s="345"/>
      <c r="N97" s="347"/>
      <c r="O97" s="348"/>
      <c r="P97" s="349"/>
      <c r="Q97" s="350"/>
      <c r="R97" s="351"/>
      <c r="S97" s="351"/>
      <c r="T97" s="351"/>
      <c r="U97" s="351"/>
      <c r="V97" s="352"/>
      <c r="W97" s="353"/>
      <c r="X97" s="343"/>
      <c r="Z97" s="1018"/>
      <c r="AA97" s="1023"/>
      <c r="AB97" s="883"/>
      <c r="AC97" s="883"/>
      <c r="AD97" s="883"/>
      <c r="AE97" s="883"/>
      <c r="AF97" s="883"/>
      <c r="AG97" s="883"/>
      <c r="AH97" s="883"/>
      <c r="AI97" s="883"/>
      <c r="AJ97" s="883"/>
      <c r="AK97" s="883"/>
    </row>
    <row r="98" spans="3:37">
      <c r="D98" s="343"/>
      <c r="E98" s="344"/>
      <c r="F98" s="354"/>
      <c r="G98" s="355"/>
      <c r="H98" s="355"/>
      <c r="I98" s="355"/>
      <c r="J98" s="355"/>
      <c r="K98" s="345"/>
      <c r="L98" s="346"/>
      <c r="M98" s="345"/>
      <c r="N98" s="347"/>
      <c r="O98" s="348"/>
      <c r="P98" s="349"/>
      <c r="Q98" s="350"/>
      <c r="R98" s="351"/>
      <c r="S98" s="351"/>
      <c r="T98" s="351"/>
      <c r="U98" s="351"/>
      <c r="V98" s="352"/>
      <c r="W98" s="353"/>
      <c r="X98" s="343"/>
      <c r="Z98" s="1018"/>
      <c r="AA98" s="1023"/>
      <c r="AB98" s="883"/>
      <c r="AC98" s="883"/>
      <c r="AD98" s="883"/>
      <c r="AE98" s="883"/>
      <c r="AF98" s="883"/>
      <c r="AG98" s="883"/>
      <c r="AH98" s="883"/>
      <c r="AI98" s="883"/>
      <c r="AJ98" s="883"/>
      <c r="AK98" s="883"/>
    </row>
    <row r="99" spans="3:37">
      <c r="D99" s="343"/>
      <c r="E99" s="344"/>
      <c r="F99" s="354"/>
      <c r="G99" s="355"/>
      <c r="H99" s="355"/>
      <c r="I99" s="355"/>
      <c r="J99" s="355"/>
      <c r="K99" s="345"/>
      <c r="L99" s="346"/>
      <c r="M99" s="345"/>
      <c r="N99" s="347"/>
      <c r="O99" s="348"/>
      <c r="P99" s="349"/>
      <c r="Q99" s="350"/>
      <c r="R99" s="351"/>
      <c r="S99" s="351"/>
      <c r="T99" s="351"/>
      <c r="U99" s="351"/>
      <c r="V99" s="352"/>
      <c r="W99" s="353"/>
      <c r="X99" s="343"/>
      <c r="Z99" s="1018"/>
      <c r="AA99" s="1023"/>
      <c r="AB99" s="883"/>
      <c r="AC99" s="883"/>
      <c r="AD99" s="883"/>
      <c r="AE99" s="883"/>
      <c r="AF99" s="883"/>
      <c r="AG99" s="883"/>
      <c r="AH99" s="883"/>
      <c r="AI99" s="883"/>
      <c r="AJ99" s="883"/>
      <c r="AK99" s="883"/>
    </row>
    <row r="100" spans="3:37">
      <c r="D100" s="343"/>
      <c r="E100" s="344"/>
      <c r="F100" s="354"/>
      <c r="G100" s="355"/>
      <c r="H100" s="355"/>
      <c r="I100" s="355"/>
      <c r="J100" s="355"/>
      <c r="K100" s="345"/>
      <c r="L100" s="346"/>
      <c r="M100" s="345"/>
      <c r="N100" s="347"/>
      <c r="O100" s="348"/>
      <c r="P100" s="349"/>
      <c r="Q100" s="350"/>
      <c r="R100" s="351"/>
      <c r="S100" s="351"/>
      <c r="T100" s="351"/>
      <c r="U100" s="351"/>
      <c r="V100" s="352"/>
      <c r="W100" s="353"/>
      <c r="X100" s="343"/>
      <c r="Z100" s="1018"/>
      <c r="AA100" s="1023"/>
      <c r="AB100" s="883"/>
      <c r="AC100" s="883"/>
      <c r="AD100" s="883"/>
      <c r="AE100" s="883"/>
      <c r="AF100" s="883"/>
      <c r="AG100" s="883"/>
      <c r="AH100" s="883"/>
      <c r="AI100" s="883"/>
      <c r="AJ100" s="883"/>
      <c r="AK100" s="883"/>
    </row>
    <row r="101" spans="3:37">
      <c r="D101" s="343"/>
      <c r="E101" s="344"/>
      <c r="F101" s="354"/>
      <c r="G101" s="355"/>
      <c r="H101" s="355"/>
      <c r="I101" s="355"/>
      <c r="J101" s="355"/>
      <c r="K101" s="345"/>
      <c r="L101" s="346"/>
      <c r="M101" s="345"/>
      <c r="N101" s="347"/>
      <c r="O101" s="348"/>
      <c r="P101" s="349"/>
      <c r="Q101" s="350"/>
      <c r="R101" s="351"/>
      <c r="S101" s="351"/>
      <c r="T101" s="351"/>
      <c r="U101" s="351"/>
      <c r="V101" s="352"/>
      <c r="W101" s="353"/>
      <c r="X101" s="343"/>
      <c r="Z101" s="1018"/>
      <c r="AA101" s="1023"/>
      <c r="AB101" s="883"/>
      <c r="AC101" s="883"/>
      <c r="AD101" s="883"/>
      <c r="AE101" s="883"/>
      <c r="AF101" s="883"/>
      <c r="AG101" s="883"/>
      <c r="AH101" s="883"/>
      <c r="AI101" s="883"/>
      <c r="AJ101" s="883"/>
      <c r="AK101" s="883"/>
    </row>
    <row r="102" spans="3:37">
      <c r="D102" s="343"/>
      <c r="E102" s="344"/>
      <c r="F102" s="354"/>
      <c r="G102" s="355"/>
      <c r="H102" s="355"/>
      <c r="I102" s="355"/>
      <c r="J102" s="355"/>
      <c r="K102" s="345"/>
      <c r="L102" s="346"/>
      <c r="M102" s="345"/>
      <c r="N102" s="347"/>
      <c r="O102" s="348"/>
      <c r="P102" s="349"/>
      <c r="Q102" s="350"/>
      <c r="R102" s="351"/>
      <c r="S102" s="351"/>
      <c r="T102" s="351"/>
      <c r="U102" s="351"/>
      <c r="V102" s="352"/>
      <c r="W102" s="353"/>
      <c r="X102" s="343"/>
      <c r="Z102" s="1018"/>
      <c r="AA102" s="1023"/>
      <c r="AB102" s="883"/>
      <c r="AC102" s="883"/>
      <c r="AD102" s="883"/>
      <c r="AE102" s="883"/>
      <c r="AF102" s="883"/>
      <c r="AG102" s="883"/>
      <c r="AH102" s="883"/>
      <c r="AI102" s="883"/>
      <c r="AJ102" s="883"/>
      <c r="AK102" s="883"/>
    </row>
    <row r="103" spans="3:37">
      <c r="D103" s="343"/>
      <c r="E103" s="344"/>
      <c r="F103" s="354"/>
      <c r="G103" s="355"/>
      <c r="H103" s="355"/>
      <c r="I103" s="355"/>
      <c r="J103" s="355"/>
      <c r="K103" s="345"/>
      <c r="L103" s="346"/>
      <c r="M103" s="345"/>
      <c r="N103" s="347"/>
      <c r="O103" s="348"/>
      <c r="P103" s="349"/>
      <c r="Q103" s="350"/>
      <c r="R103" s="351"/>
      <c r="S103" s="351"/>
      <c r="T103" s="351"/>
      <c r="U103" s="351"/>
      <c r="V103" s="352"/>
      <c r="W103" s="353"/>
      <c r="X103" s="343"/>
      <c r="Z103" s="1018"/>
      <c r="AA103" s="1023"/>
      <c r="AB103" s="883"/>
      <c r="AC103" s="883"/>
      <c r="AD103" s="883"/>
      <c r="AE103" s="883"/>
      <c r="AF103" s="883"/>
      <c r="AG103" s="883"/>
      <c r="AH103" s="883"/>
      <c r="AI103" s="883"/>
      <c r="AJ103" s="883"/>
      <c r="AK103" s="883"/>
    </row>
    <row r="104" spans="3:37" hidden="1" outlineLevel="1">
      <c r="C104" s="6" t="s">
        <v>1630</v>
      </c>
      <c r="D104" s="343" t="e">
        <v>#N/A</v>
      </c>
      <c r="E104" s="344" t="str">
        <f ca="1">IF(BBswitch=1,IF(ISBLANK($C104),"",IF(_xll.BDP($C104,E$73)="#N/A N/A","NA ",_xll.BDP($C104,E$73))),E104)</f>
        <v>B+</v>
      </c>
      <c r="F104" s="354">
        <f ca="1">IF(BBswitch=1,IF(ISBLANK($C104),"",IF(_xll.BDP($C104,F$72)="#N/A N/A","NA ",_xll.BDP($C104,F$72)/10^6)/P104),F104)</f>
        <v>0</v>
      </c>
      <c r="G104" s="355">
        <f ca="1">IF(BBswitch=1,IF(ISBLANK($C104),"",IF(_xll.BDP($C104,G$72)="#N/A N/A","NA ",_xll.BDP($C104,G$72)/100)),G104)</f>
        <v>5.6615700000000005E-2</v>
      </c>
      <c r="H104" s="936">
        <v>1</v>
      </c>
      <c r="I104" s="355">
        <f ca="1">G104/H104</f>
        <v>5.6615700000000005E-2</v>
      </c>
      <c r="J104" s="355" t="str">
        <f ca="1">IF(BBswitch=1,IF(ISBLANK($C104),"",IF(_xll.BDP($C104,J$72)="#N/A N/A","NA ",_xll.BDP($C104,J$72)/100)),J104)</f>
        <v xml:space="preserve">NA </v>
      </c>
      <c r="K104" s="345" t="str">
        <f ca="1">IF(BBswitch=1,IF(ISBLANK($C104),"",IF(_xll.BDP($C104,K$72)="#N/A N/A","NA ",_xll.BDP($C104,K$72))),K104)</f>
        <v>4/21/2025</v>
      </c>
      <c r="L104" s="346" t="e">
        <f ca="1">IF(ISBLANK($C104),"",YEAR(K104))</f>
        <v>#VALUE!</v>
      </c>
      <c r="M104" s="345" t="str">
        <f ca="1">IF(BBswitch=1,IF(ISBLANK($C104),"",IF(_xll.BDP($C104,M$72)="#N/A N/A","NA ",_xll.BDP($C104,M$72))),M104)</f>
        <v>4/21/2021</v>
      </c>
      <c r="N104" s="347" t="str" cm="1">
        <f t="array" aca="1" ref="N104" ca="1">IF(BBswitch=1,IF(ISBLANK($C104),"",IF(_xll.BDP($C104,N$72)="#N/A Field Not Applicable","Notes",_xll.BDP($C104,N$72))),N104)</f>
        <v>REV</v>
      </c>
      <c r="O104" s="348" cm="1">
        <f t="array" aca="1" ref="O104" ca="1">IF(BBswitch=1,IF(ISBLANK($C104),"",IFERROR(IF(_xll.BDP($C104,O$72)="#N/A N/A","NA ",_xll.BDP($C104,O$72)/10^6),0)/P104),O104)</f>
        <v>1750</v>
      </c>
      <c r="P104" s="349" cm="1">
        <f t="array" aca="1" ref="P104" ca="1">+IF(BBswitch=1,IF(ISBLANK($C104),"",IF(_xll.BDP("USD"&amp;Q104&amp;" BGN Curncy","px last")="#N/A Invalid Security",1,_xll.BDP("USD"&amp;Q104&amp;" BGN Curncy","px last"))),P104)</f>
        <v>1</v>
      </c>
      <c r="Q104" s="350" t="str">
        <f ca="1">IF(BBswitch=1,IF(ISBLANK($C104),"",IF(_xll.BDP($C104,Q$72)="#N/A N/A","NA ",_xll.BDP($C104,Q$72))),Q104)</f>
        <v>USD</v>
      </c>
      <c r="R104" s="351" t="str" cm="1">
        <f t="array" aca="1" ref="R104" ca="1">IF(BBswitch=1,IF(ISBLANK($C104),"",IF(OR(_xll.BDP($C104,R$72)="#N/A Field Not Applicable",_xll.BDP($C104,R$72)="#N/A N/A"),"",_xll.BDP($C104,R$72))),R104)</f>
        <v/>
      </c>
      <c r="S104" s="351" t="str" cm="1">
        <f t="array" aca="1" ref="S104" ca="1">IF(BBswitch=1,IF(ISBLANK($C104),"",IF(OR(_xll.BDP($C104,S$72)="#N/A Field Not Applicable",_xll.BDP($C104,S$72)="#N/A N/A"),"",_xll.BDP($C104,S$72))),S104)</f>
        <v/>
      </c>
      <c r="T104" s="351" t="str" cm="1">
        <f t="array" aca="1" ref="T104" ca="1">IF(BBswitch=1,IF(ISBLANK($C104),"",IF(OR(_xll.BDP($C104,T$72)="#N/A Field Not Applicable",_xll.BDP($C104,T$72)="#N/A N/A"),"",_xll.BDP($C104,T$72))),T104)</f>
        <v/>
      </c>
      <c r="U104" s="351" t="str" cm="1">
        <f t="array" aca="1" ref="U104" ca="1">IF(BBswitch=1,IF(ISBLANK($C104),"",IF(OR(_xll.BDP($C104,U$72)="#N/A Field Not Applicable",_xll.BDP($C104,U$72)="#N/A N/A"),"",_xll.BDP($C104,U$72))),U104)</f>
        <v/>
      </c>
      <c r="V104" s="352" t="str">
        <f ca="1">IF(BBswitch=1,IF(ISBLANK($C104),"",IF(_xll.BDP($C104,V$72)="#N/A N/A","NA ",_xll.BDP($C104,V$72))),V104)</f>
        <v>1L Gtd Sr. Secd</v>
      </c>
      <c r="W104" s="353" t="str" cm="1">
        <f t="array" aca="1" ref="W104" ca="1">IF(BBswitch=1,IF(ISBLANK($C104),"",IF(_xll.BDP($C104,W$72)="#N/A N/A","NA ",_xll.BDP($C104,W$72))),W104)</f>
        <v>United Airlines Inc</v>
      </c>
      <c r="X104" s="343" t="str">
        <f ca="1">IF(BBswitch=1,IF(ISBLANK($C104),"",IF(_xll.BDP($C104,X$73)="#N/A N/A","NA ",_xll.BDP($C104,X$73))),X104)</f>
        <v>UAL REV 1L USD</v>
      </c>
      <c r="AB104" s="883"/>
      <c r="AC104" s="883"/>
      <c r="AD104" s="883"/>
      <c r="AE104" s="883"/>
      <c r="AF104" s="883"/>
      <c r="AG104" s="883"/>
      <c r="AH104" s="883"/>
      <c r="AI104" s="883"/>
      <c r="AJ104" s="883"/>
      <c r="AK104" s="883"/>
    </row>
    <row r="105" spans="3:37" hidden="1" outlineLevel="1">
      <c r="C105" s="6" t="s">
        <v>1684</v>
      </c>
      <c r="D105" s="343" t="str">
        <f ca="1">IF(BBswitch=1,IF(ISBLANK($C105),"",IF(_xll.BDP($C105,D$73)="#N/A N/A","NA ",_xll.BDP($C105,D$73))),D105)</f>
        <v>UAL TL 1L USD</v>
      </c>
      <c r="E105" s="344" t="str">
        <f ca="1">IF(BBswitch=1,IF(ISBLANK($C105),"",IF(_xll.BDP($C105,E$73)="#N/A N/A","NA ",_xll.BDP($C105,E$73))),E105)</f>
        <v>B+</v>
      </c>
      <c r="F105" s="354" t="e">
        <f ca="1">IF(BBswitch=1,IF(ISBLANK($C105),"",IF(_xll.BDP($C105,F$72)="#N/A N/A","NA ",_xll.BDP($C105,F$72)/10^6)/P105),F105)</f>
        <v>#VALUE!</v>
      </c>
      <c r="G105" s="355" t="e">
        <f ca="1">IF(BBswitch=1,IF(ISBLANK($C105),"",IF(_xll.BDP($C105,G$72)="#N/A N/A","NA ",_xll.BDP($C105,G$72)/100)),G105)</f>
        <v>#VALUE!</v>
      </c>
      <c r="H105" s="355">
        <f ca="1">IF(BBswitch=1,IF(ISBLANK($C105),"",IF(_xll.BDP($C105,H$72)="#N/A N/A","NA ",_xll.BDP($C105,H$72)/100)),H105)</f>
        <v>0.93500000000000005</v>
      </c>
      <c r="I105" s="355" t="e">
        <f ca="1">IF(BBswitch=1,IF(ISBLANK($C105),"",IF(_xll.BDP($C105,I$72)="#N/A N/A","NA ",_xll.BDP($C105,I$72)/100)),I105)</f>
        <v>#VALUE!</v>
      </c>
      <c r="J105" s="355" t="str">
        <f ca="1">IF(BBswitch=1,IF(ISBLANK($C105),"",IF(_xll.BDP($C105,J$72)="#N/A N/A","NA ",_xll.BDP($C105,J$72)/100)),J105)</f>
        <v xml:space="preserve">NA </v>
      </c>
      <c r="K105" s="345" t="str">
        <f ca="1">IF(BBswitch=1,IF(ISBLANK($C105),"",IF(_xll.BDP($C105,K$72)="#N/A N/A","NA ",_xll.BDP($C105,K$72))),K105)</f>
        <v>9/26/2029</v>
      </c>
      <c r="L105" s="346" t="e">
        <f ca="1">IF(ISBLANK($C105),"",YEAR(K105))</f>
        <v>#VALUE!</v>
      </c>
      <c r="M105" s="345" t="str">
        <f ca="1">IF(BBswitch=1,IF(ISBLANK($C105),"",IF(_xll.BDP($C105,M$72)="#N/A N/A","NA ",_xll.BDP($C105,M$72))),M105)</f>
        <v>9/26/2019</v>
      </c>
      <c r="N105" s="347" t="str" cm="1">
        <f t="array" aca="1" ref="N105" ca="1">IF(BBswitch=1,IF(ISBLANK($C105),"",IF(_xll.BDP($C105,N$72)="#N/A Field Not Applicable","Notes",_xll.BDP($C105,N$72))),N105)</f>
        <v>TERM</v>
      </c>
      <c r="O105" s="348" cm="1">
        <f t="array" aca="1" ref="O105" ca="1">IF(BBswitch=1,IF(ISBLANK($C105),"",IFERROR(IF(_xll.BDP($C105,O$72)="#N/A N/A","NA ",_xll.BDP($C105,O$72)/10^6),0)/P105),O105)</f>
        <v>105</v>
      </c>
      <c r="P105" s="349" cm="1">
        <f t="array" aca="1" ref="P105" ca="1">+IF(BBswitch=1,IF(ISBLANK($C105),"",IF(_xll.BDP("USD"&amp;Q105&amp;" BGN Curncy","px last")="#N/A Invalid Security",1,_xll.BDP("USD"&amp;Q105&amp;" BGN Curncy","px last"))),P105)</f>
        <v>1</v>
      </c>
      <c r="Q105" s="350" t="str">
        <f ca="1">IF(BBswitch=1,IF(ISBLANK($C105),"",IF(_xll.BDP($C105,Q$72)="#N/A N/A","NA ",_xll.BDP($C105,Q$72))),Q105)</f>
        <v>USD</v>
      </c>
      <c r="R105" s="351" t="str" cm="1">
        <f t="array" aca="1" ref="R105" ca="1">IF(BBswitch=1,IF(ISBLANK($C105),"",IF(OR(_xll.BDP($C105,R$72)="#N/A Field Not Applicable",_xll.BDP($C105,R$72)="#N/A N/A"),"",_xll.BDP($C105,R$72))),R105)</f>
        <v/>
      </c>
      <c r="S105" s="351" t="str" cm="1">
        <f t="array" aca="1" ref="S105" ca="1">IF(BBswitch=1,IF(ISBLANK($C105),"",IF(OR(_xll.BDP($C105,S$72)="#N/A Field Not Applicable",_xll.BDP($C105,S$72)="#N/A N/A"),"",_xll.BDP($C105,S$72))),S105)</f>
        <v/>
      </c>
      <c r="T105" s="351" t="str" cm="1">
        <f t="array" aca="1" ref="T105" ca="1">IF(BBswitch=1,IF(ISBLANK($C105),"",IF(OR(_xll.BDP($C105,T$72)="#N/A Field Not Applicable",_xll.BDP($C105,T$72)="#N/A N/A"),"",_xll.BDP($C105,T$72))),T105)</f>
        <v/>
      </c>
      <c r="U105" s="351" t="str" cm="1">
        <f t="array" aca="1" ref="U105" ca="1">IF(BBswitch=1,IF(ISBLANK($C105),"",IF(OR(_xll.BDP($C105,U$72)="#N/A Field Not Applicable",_xll.BDP($C105,U$72)="#N/A N/A"),"",_xll.BDP($C105,U$72))),U105)</f>
        <v/>
      </c>
      <c r="V105" s="352" t="str">
        <f ca="1">IF(BBswitch=1,IF(ISBLANK($C105),"",IF(_xll.BDP($C105,V$72)="#N/A N/A","NA ",_xll.BDP($C105,V$72))),V105)</f>
        <v>1L Sr. Secd</v>
      </c>
      <c r="W105" s="353" t="str" cm="1">
        <f t="array" aca="1" ref="W105" ca="1">IF(BBswitch=1,IF(ISBLANK($C105),"",IF(_xll.BDP($C105,W$72)="#N/A N/A","NA ",_xll.BDP($C105,W$72))),W105)</f>
        <v>United Airlines Inc</v>
      </c>
      <c r="X105" s="343" t="str">
        <f ca="1">IF(BBswitch=1,IF(ISBLANK($C105),"",IF(_xll.BDP($C105,X$73)="#N/A N/A","NA ",_xll.BDP($C105,X$73))),X105)</f>
        <v>UAL TL 1L USD</v>
      </c>
      <c r="AB105" s="883"/>
      <c r="AC105" s="883"/>
      <c r="AD105" s="883"/>
      <c r="AE105" s="883"/>
      <c r="AF105" s="883"/>
      <c r="AG105" s="883"/>
      <c r="AH105" s="883"/>
      <c r="AI105" s="883"/>
      <c r="AJ105" s="883"/>
      <c r="AK105" s="883"/>
    </row>
    <row r="106" spans="3:37" hidden="1" outlineLevel="1">
      <c r="C106" s="6" t="s">
        <v>1686</v>
      </c>
      <c r="D106" s="343" t="str">
        <f ca="1">IF(BBswitch=1,IF(ISBLANK($C106),"",IF(_xll.BDP($C106,D$73)="#N/A N/A","NA ",_xll.BDP($C106,D$73))),D106)</f>
        <v>UAL 3.65 26</v>
      </c>
      <c r="E106" s="344" t="str">
        <f ca="1">IF(BBswitch=1,IF(ISBLANK($C106),"",IF(_xll.BDP($C106,E$73)="#N/A N/A","NA ",_xll.BDP($C106,E$73))),E106)</f>
        <v xml:space="preserve">NA </v>
      </c>
      <c r="F106" s="354">
        <f ca="1">IF(BBswitch=1,IF(ISBLANK($C106),"",IF(_xll.BDP($C106,F$72)="#N/A N/A","NA ",_xll.BDP($C106,F$72)/10^6)/P106),F106)</f>
        <v>158.776374</v>
      </c>
      <c r="G106" s="355">
        <f ca="1">IF(BBswitch=1,IF(ISBLANK($C106),"",IF(_xll.BDP($C106,G$72)="#N/A N/A","NA ",_xll.BDP($C106,G$72)/100)),G106)</f>
        <v>3.6499999999999998E-2</v>
      </c>
      <c r="H106" s="355">
        <f ca="1">IF(BBswitch=1,IF(ISBLANK($C106),"",IF(_xll.BDP($C106,H$72)="#N/A N/A","NA ",_xll.BDP($C106,H$72)/100)),H106)</f>
        <v>0.88368999999999998</v>
      </c>
      <c r="I106" s="355">
        <f ca="1">IF(BBswitch=1,IF(ISBLANK($C106),"",IF(_xll.BDP($C106,I$72)="#N/A N/A","NA ",_xll.BDP($C106,I$72)/100)),I106)</f>
        <v>4.1735272594218803E-2</v>
      </c>
      <c r="J106" s="355">
        <f ca="1">IF(BBswitch=1,IF(ISBLANK($C106),"",IF(_xll.BDP($C106,J$72)="#N/A N/A","NA ",_xll.BDP($C106,J$72)/100)),J106)</f>
        <v>9.0243936280855225E-2</v>
      </c>
      <c r="K106" s="345" t="str">
        <f ca="1">IF(BBswitch=1,IF(ISBLANK($C106),"",IF(_xll.BDP($C106,K$72)="#N/A N/A","NA ",_xll.BDP($C106,K$72))),K106)</f>
        <v>1/7/2026</v>
      </c>
      <c r="L106" s="346">
        <f ca="1">IF(ISBLANK($C106),"",YEAR(K106))</f>
        <v>2026</v>
      </c>
      <c r="M106" s="345" t="str">
        <f ca="1">IF(BBswitch=1,IF(ISBLANK($C106),"",IF(_xll.BDP($C106,M$72)="#N/A N/A","NA ",_xll.BDP($C106,M$72))),M106)</f>
        <v>11/6/2017</v>
      </c>
      <c r="N106" s="347" t="str" cm="1">
        <f t="array" aca="1" ref="N106" ca="1">IF(BBswitch=1,IF(ISBLANK($C106),"",IF(_xll.BDP($C106,N$72)="#N/A Field Not Applicable","Notes",_xll.BDP($C106,N$72))),N106)</f>
        <v>Notes</v>
      </c>
      <c r="O106" s="348" cm="1">
        <f t="array" aca="1" ref="O106" ca="1">IF(BBswitch=1,IF(ISBLANK($C106),"",IFERROR(IF(_xll.BDP($C106,O$72)="#N/A N/A","NA ",_xll.BDP($C106,O$72)/10^6),0)/P106),O106)</f>
        <v>0</v>
      </c>
      <c r="P106" s="349" cm="1">
        <f t="array" aca="1" ref="P106" ca="1">+IF(BBswitch=1,IF(ISBLANK($C106),"",IF(_xll.BDP("USD"&amp;Q106&amp;" BGN Curncy","px last")="#N/A Invalid Security",1,_xll.BDP("USD"&amp;Q106&amp;" BGN Curncy","px last"))),P106)</f>
        <v>1</v>
      </c>
      <c r="Q106" s="350" t="str">
        <f ca="1">IF(BBswitch=1,IF(ISBLANK($C106),"",IF(_xll.BDP($C106,Q$72)="#N/A N/A","NA ",_xll.BDP($C106,Q$72))),Q106)</f>
        <v>USD</v>
      </c>
      <c r="R106" s="351" t="str" cm="1">
        <f t="array" aca="1" ref="R106" ca="1">IF(BBswitch=1,IF(ISBLANK($C106),"",IF(OR(_xll.BDP($C106,R$72)="#N/A Field Not Applicable",_xll.BDP($C106,R$72)="#N/A N/A"),"",_xll.BDP($C106,R$72))),R106)</f>
        <v/>
      </c>
      <c r="S106" s="351" cm="1">
        <f t="array" aca="1" ref="S106" ca="1">IF(BBswitch=1,IF(ISBLANK($C106),"",IF(OR(_xll.BDP($C106,S$72)="#N/A Field Not Applicable",_xll.BDP($C106,S$72)="#N/A N/A"),"",_xll.BDP($C106,S$72))),S106)</f>
        <v>539.79844804065476</v>
      </c>
      <c r="T106" s="351" t="str" cm="1">
        <f t="array" aca="1" ref="T106" ca="1">IF(BBswitch=1,IF(ISBLANK($C106),"",IF(OR(_xll.BDP($C106,T$72)="#N/A Field Not Applicable",_xll.BDP($C106,T$72)="#N/A N/A"),"",_xll.BDP($C106,T$72))),T106)</f>
        <v/>
      </c>
      <c r="U106" s="351" cm="1">
        <f t="array" aca="1" ref="U106" ca="1">IF(BBswitch=1,IF(ISBLANK($C106),"",IF(OR(_xll.BDP($C106,U$72)="#N/A Field Not Applicable",_xll.BDP($C106,U$72)="#N/A N/A"),"",_xll.BDP($C106,U$72))),U106)</f>
        <v>2.4417888002234034</v>
      </c>
      <c r="V106" s="352" t="str">
        <f ca="1">IF(BBswitch=1,IF(ISBLANK($C106),"",IF(_xll.BDP($C106,V$72)="#N/A N/A","NA ",_xll.BDP($C106,V$72))),V106)</f>
        <v>3rd lien</v>
      </c>
      <c r="W106" s="353" t="str" cm="1">
        <f t="array" aca="1" ref="W106" ca="1">IF(BBswitch=1,IF(ISBLANK($C106),"",IF(_xll.BDP($C106,W$72)="#N/A N/A","NA ",_xll.BDP($C106,W$72))),W106)</f>
        <v>United Airlines 2016-1 Class B Pass Through Trust</v>
      </c>
      <c r="X106" s="343" t="str">
        <f ca="1">IF(BBswitch=1,IF(ISBLANK($C106),"",IF(_xll.BDP($C106,X$73)="#N/A N/A","NA ",_xll.BDP($C106,X$73))),X106)</f>
        <v>UAL 3.65 26</v>
      </c>
      <c r="AB106" s="883"/>
      <c r="AC106" s="883"/>
      <c r="AD106" s="883"/>
      <c r="AE106" s="883"/>
      <c r="AF106" s="883"/>
      <c r="AG106" s="883"/>
      <c r="AH106" s="883"/>
      <c r="AI106" s="883"/>
      <c r="AJ106" s="883"/>
      <c r="AK106" s="883"/>
    </row>
    <row r="107" spans="3:37" hidden="1" outlineLevel="1">
      <c r="C107" s="6" t="s">
        <v>1687</v>
      </c>
      <c r="D107" s="343" t="str">
        <f ca="1">IF(BBswitch=1,IF(ISBLANK($C107),"",IF(_xll.BDP($C107,D$73)="#N/A N/A","NA ",_xll.BDP($C107,D$73))),D107)</f>
        <v>UAL 5.875 27</v>
      </c>
      <c r="E107" s="344" t="str">
        <f ca="1">IF(BBswitch=1,IF(ISBLANK($C107),"",IF(_xll.BDP($C107,E$73)="#N/A N/A","NA ",_xll.BDP($C107,E$73))),E107)</f>
        <v xml:space="preserve">NA </v>
      </c>
      <c r="F107" s="354">
        <f ca="1">IF(BBswitch=1,IF(ISBLANK($C107),"",IF(_xll.BDP($C107,F$72)="#N/A N/A","NA ",_xll.BDP($C107,F$72)/10^6)/P107),F107)</f>
        <v>2455.8375000000001</v>
      </c>
      <c r="G107" s="355">
        <f ca="1">IF(BBswitch=1,IF(ISBLANK($C107),"",IF(_xll.BDP($C107,G$72)="#N/A N/A","NA ",_xll.BDP($C107,G$72)/100)),G107)</f>
        <v>5.8749999999999997E-2</v>
      </c>
      <c r="H107" s="355">
        <f ca="1">IF(BBswitch=1,IF(ISBLANK($C107),"",IF(_xll.BDP($C107,H$72)="#N/A N/A","NA ",_xll.BDP($C107,H$72)/100)),H107)</f>
        <v>0.9962399999999999</v>
      </c>
      <c r="I107" s="355">
        <f ca="1">IF(BBswitch=1,IF(ISBLANK($C107),"",IF(_xll.BDP($C107,I$72)="#N/A N/A","NA ",_xll.BDP($C107,I$72)/100)),I107)</f>
        <v>5.9065409285585027E-2</v>
      </c>
      <c r="J107" s="355">
        <f ca="1">IF(BBswitch=1,IF(ISBLANK($C107),"",IF(_xll.BDP($C107,J$72)="#N/A N/A","NA ",_xll.BDP($C107,J$72)/100)),J107)</f>
        <v>6.0737788201825904E-2</v>
      </c>
      <c r="K107" s="345" t="str">
        <f ca="1">IF(BBswitch=1,IF(ISBLANK($C107),"",IF(_xll.BDP($C107,K$72)="#N/A N/A","NA ",_xll.BDP($C107,K$72))),K107)</f>
        <v>10/15/2027</v>
      </c>
      <c r="L107" s="346" t="e">
        <f t="shared" ref="L107:L121" ca="1" si="12">IF(ISBLANK($C107),"",YEAR(K107))</f>
        <v>#VALUE!</v>
      </c>
      <c r="M107" s="345" t="str">
        <f ca="1">IF(BBswitch=1,IF(ISBLANK($C107),"",IF(_xll.BDP($C107,M$72)="#N/A N/A","NA ",_xll.BDP($C107,M$72))),M107)</f>
        <v>10/28/2020</v>
      </c>
      <c r="N107" s="347" t="str" cm="1">
        <f t="array" aca="1" ref="N107" ca="1">IF(BBswitch=1,IF(ISBLANK($C107),"",IF(_xll.BDP($C107,N$72)="#N/A Field Not Applicable","Notes",_xll.BDP($C107,N$72))),N107)</f>
        <v>Notes</v>
      </c>
      <c r="O107" s="348" cm="1">
        <f t="array" aca="1" ref="O107" ca="1">IF(BBswitch=1,IF(ISBLANK($C107),"",IFERROR(IF(_xll.BDP($C107,O$72)="#N/A N/A","NA ",_xll.BDP($C107,O$72)/10^6),0)/P107),O107)</f>
        <v>0</v>
      </c>
      <c r="P107" s="349" cm="1">
        <f t="array" aca="1" ref="P107" ca="1">+IF(BBswitch=1,IF(ISBLANK($C107),"",IF(_xll.BDP("USD"&amp;Q107&amp;" BGN Curncy","px last")="#N/A Invalid Security",1,_xll.BDP("USD"&amp;Q107&amp;" BGN Curncy","px last"))),P107)</f>
        <v>1</v>
      </c>
      <c r="Q107" s="350" t="str">
        <f ca="1">IF(BBswitch=1,IF(ISBLANK($C107),"",IF(_xll.BDP($C107,Q$72)="#N/A N/A","NA ",_xll.BDP($C107,Q$72))),Q107)</f>
        <v>USD</v>
      </c>
      <c r="R107" s="351" t="str" cm="1">
        <f t="array" aca="1" ref="R107" ca="1">IF(BBswitch=1,IF(ISBLANK($C107),"",IF(OR(_xll.BDP($C107,R$72)="#N/A Field Not Applicable",_xll.BDP($C107,R$72)="#N/A N/A"),"",_xll.BDP($C107,R$72))),R107)</f>
        <v/>
      </c>
      <c r="S107" s="351" cm="1">
        <f t="array" aca="1" ref="S107" ca="1">IF(BBswitch=1,IF(ISBLANK($C107),"",IF(OR(_xll.BDP($C107,S$72)="#N/A Field Not Applicable",_xll.BDP($C107,S$72)="#N/A N/A"),"",_xll.BDP($C107,S$72))),S107)</f>
        <v>289.3402107841257</v>
      </c>
      <c r="T107" s="351" t="str" cm="1">
        <f t="array" aca="1" ref="T107" ca="1">IF(BBswitch=1,IF(ISBLANK($C107),"",IF(OR(_xll.BDP($C107,T$72)="#N/A Field Not Applicable",_xll.BDP($C107,T$72)="#N/A N/A"),"",_xll.BDP($C107,T$72))),T107)</f>
        <v/>
      </c>
      <c r="U107" s="351" cm="1">
        <f t="array" aca="1" ref="U107" ca="1">IF(BBswitch=1,IF(ISBLANK($C107),"",IF(OR(_xll.BDP($C107,U$72)="#N/A Field Not Applicable",_xll.BDP($C107,U$72)="#N/A N/A"),"",_xll.BDP($C107,U$72))),U107)</f>
        <v>2.6477522794927331</v>
      </c>
      <c r="V107" s="352" t="str">
        <f ca="1">IF(BBswitch=1,IF(ISBLANK($C107),"",IF(_xll.BDP($C107,V$72)="#N/A N/A","NA ",_xll.BDP($C107,V$72))),V107)</f>
        <v>1st lien</v>
      </c>
      <c r="W107" s="353" t="str" cm="1">
        <f t="array" aca="1" ref="W107" ca="1">IF(BBswitch=1,IF(ISBLANK($C107),"",IF(_xll.BDP($C107,W$72)="#N/A N/A","NA ",_xll.BDP($C107,W$72))),W107)</f>
        <v>United Airlines 2020-1 Class A Pass Through Trust</v>
      </c>
      <c r="X107" s="343" t="str">
        <f ca="1">IF(BBswitch=1,IF(ISBLANK($C107),"",IF(_xll.BDP($C107,X$73)="#N/A N/A","NA ",_xll.BDP($C107,X$73))),X107)</f>
        <v>UAL 5.875 27</v>
      </c>
      <c r="AB107" s="883"/>
      <c r="AC107" s="883"/>
      <c r="AD107" s="883"/>
      <c r="AE107" s="883"/>
      <c r="AF107" s="883"/>
      <c r="AG107" s="883"/>
      <c r="AH107" s="883"/>
      <c r="AI107" s="883"/>
      <c r="AJ107" s="883"/>
      <c r="AK107" s="883"/>
    </row>
    <row r="108" spans="3:37" hidden="1" outlineLevel="1">
      <c r="C108" s="6" t="s">
        <v>1688</v>
      </c>
      <c r="D108" s="343" t="str">
        <f ca="1">IF(BBswitch=1,IF(ISBLANK($C108),"",IF(_xll.BDP($C108,D$73)="#N/A N/A","NA ",_xll.BDP($C108,D$73))),D108)</f>
        <v>UAL 4 24</v>
      </c>
      <c r="E108" s="344" t="str">
        <f ca="1">IF(BBswitch=1,IF(ISBLANK($C108),"",IF(_xll.BDP($C108,E$73)="#N/A N/A","NA ",_xll.BDP($C108,E$73))),E108)</f>
        <v xml:space="preserve">NA </v>
      </c>
      <c r="F108" s="354">
        <f ca="1">IF(BBswitch=1,IF(ISBLANK($C108),"",IF(_xll.BDP($C108,F$72)="#N/A N/A","NA ",_xll.BDP($C108,F$72)/10^6)/P108),F108)</f>
        <v>410.08972835000003</v>
      </c>
      <c r="G108" s="355">
        <f ca="1">IF(BBswitch=1,IF(ISBLANK($C108),"",IF(_xll.BDP($C108,G$72)="#N/A N/A","NA ",_xll.BDP($C108,G$72)/100)),G108)</f>
        <v>0.04</v>
      </c>
      <c r="H108" s="355">
        <f ca="1">IF(BBswitch=1,IF(ISBLANK($C108),"",IF(_xll.BDP($C108,H$72)="#N/A N/A","NA ",_xll.BDP($C108,H$72)/100)),H108)</f>
        <v>0.95135000000000003</v>
      </c>
      <c r="I108" s="355">
        <f ca="1">IF(BBswitch=1,IF(ISBLANK($C108),"",IF(_xll.BDP($C108,I$72)="#N/A N/A","NA ",_xll.BDP($C108,I$72)/100)),I108)</f>
        <v>4.2142082029562669E-2</v>
      </c>
      <c r="J108" s="355">
        <f ca="1">IF(BBswitch=1,IF(ISBLANK($C108),"",IF(_xll.BDP($C108,J$72)="#N/A N/A","NA ",_xll.BDP($C108,J$72)/100)),J108)</f>
        <v>6.6936645085188221E-2</v>
      </c>
      <c r="K108" s="345" t="str">
        <f ca="1">IF(BBswitch=1,IF(ISBLANK($C108),"",IF(_xll.BDP($C108,K$72)="#N/A N/A","NA ",_xll.BDP($C108,K$72))),K108)</f>
        <v>10/29/2024</v>
      </c>
      <c r="L108" s="346" t="e">
        <f t="shared" ca="1" si="12"/>
        <v>#VALUE!</v>
      </c>
      <c r="M108" s="345" t="str">
        <f ca="1">IF(BBswitch=1,IF(ISBLANK($C108),"",IF(_xll.BDP($C108,M$72)="#N/A N/A","NA ",_xll.BDP($C108,M$72))),M108)</f>
        <v>10/3/2012</v>
      </c>
      <c r="N108" s="347" t="str" cm="1">
        <f t="array" aca="1" ref="N108" ca="1">IF(BBswitch=1,IF(ISBLANK($C108),"",IF(_xll.BDP($C108,N$72)="#N/A Field Not Applicable","Notes",_xll.BDP($C108,N$72))),N108)</f>
        <v>Notes</v>
      </c>
      <c r="O108" s="348" cm="1">
        <f t="array" aca="1" ref="O108" ca="1">IF(BBswitch=1,IF(ISBLANK($C108),"",IFERROR(IF(_xll.BDP($C108,O$72)="#N/A N/A","NA ",_xll.BDP($C108,O$72)/10^6),0)/P108),O108)</f>
        <v>0</v>
      </c>
      <c r="P108" s="349" cm="1">
        <f t="array" aca="1" ref="P108" ca="1">+IF(BBswitch=1,IF(ISBLANK($C108),"",IF(_xll.BDP("USD"&amp;Q108&amp;" BGN Curncy","px last")="#N/A Invalid Security",1,_xll.BDP("USD"&amp;Q108&amp;" BGN Curncy","px last"))),P108)</f>
        <v>1</v>
      </c>
      <c r="Q108" s="350" t="str">
        <f ca="1">IF(BBswitch=1,IF(ISBLANK($C108),"",IF(_xll.BDP($C108,Q$72)="#N/A N/A","NA ",_xll.BDP($C108,Q$72))),Q108)</f>
        <v>USD</v>
      </c>
      <c r="R108" s="351" t="str" cm="1">
        <f t="array" aca="1" ref="R108" ca="1">IF(BBswitch=1,IF(ISBLANK($C108),"",IF(OR(_xll.BDP($C108,R$72)="#N/A Field Not Applicable",_xll.BDP($C108,R$72)="#N/A N/A"),"",_xll.BDP($C108,R$72))),R108)</f>
        <v/>
      </c>
      <c r="S108" s="351" cm="1">
        <f t="array" aca="1" ref="S108" ca="1">IF(BBswitch=1,IF(ISBLANK($C108),"",IF(OR(_xll.BDP($C108,S$72)="#N/A Field Not Applicable",_xll.BDP($C108,S$72)="#N/A N/A"),"",_xll.BDP($C108,S$72))),S108)</f>
        <v>328.49702211416138</v>
      </c>
      <c r="T108" s="351" t="str" cm="1">
        <f t="array" aca="1" ref="T108" ca="1">IF(BBswitch=1,IF(ISBLANK($C108),"",IF(OR(_xll.BDP($C108,T$72)="#N/A Field Not Applicable",_xll.BDP($C108,T$72)="#N/A N/A"),"",_xll.BDP($C108,T$72))),T108)</f>
        <v/>
      </c>
      <c r="U108" s="351" cm="1">
        <f t="array" aca="1" ref="U108" ca="1">IF(BBswitch=1,IF(ISBLANK($C108),"",IF(OR(_xll.BDP($C108,U$72)="#N/A Field Not Applicable",_xll.BDP($C108,U$72)="#N/A N/A"),"",_xll.BDP($C108,U$72))),U108)</f>
        <v>1.9055342249962197</v>
      </c>
      <c r="V108" s="352" t="str">
        <f ca="1">IF(BBswitch=1,IF(ISBLANK($C108),"",IF(_xll.BDP($C108,V$72)="#N/A N/A","NA ",_xll.BDP($C108,V$72))),V108)</f>
        <v>1st lien</v>
      </c>
      <c r="W108" s="353" t="str" cm="1">
        <f t="array" aca="1" ref="W108" ca="1">IF(BBswitch=1,IF(ISBLANK($C108),"",IF(_xll.BDP($C108,W$72)="#N/A N/A","NA ",_xll.BDP($C108,W$72))),W108)</f>
        <v>Continental Airlines 2012-2 Class A Pass Through Trust</v>
      </c>
      <c r="X108" s="343" t="str">
        <f ca="1">IF(BBswitch=1,IF(ISBLANK($C108),"",IF(_xll.BDP($C108,X$73)="#N/A N/A","NA ",_xll.BDP($C108,X$73))),X108)</f>
        <v>UAL 4 24</v>
      </c>
      <c r="AB108" s="883"/>
      <c r="AC108" s="883"/>
      <c r="AD108" s="883"/>
      <c r="AE108" s="883"/>
      <c r="AF108" s="883"/>
      <c r="AG108" s="883"/>
      <c r="AH108" s="883"/>
      <c r="AI108" s="883"/>
      <c r="AJ108" s="883"/>
      <c r="AK108" s="883"/>
    </row>
    <row r="109" spans="3:37" hidden="1" outlineLevel="1">
      <c r="C109" s="6" t="s">
        <v>1689</v>
      </c>
      <c r="D109" s="343" t="str">
        <f ca="1">IF(BBswitch=1,IF(ISBLANK($C109),"",IF(_xll.BDP($C109,D$73)="#N/A N/A","NA ",_xll.BDP($C109,D$73))),D109)</f>
        <v>UAL 3.65 25</v>
      </c>
      <c r="E109" s="344" t="str">
        <f ca="1">IF(BBswitch=1,IF(ISBLANK($C109),"",IF(_xll.BDP($C109,E$73)="#N/A N/A","NA ",_xll.BDP($C109,E$73))),E109)</f>
        <v xml:space="preserve">NA </v>
      </c>
      <c r="F109" s="354">
        <f ca="1">IF(BBswitch=1,IF(ISBLANK($C109),"",IF(_xll.BDP($C109,F$72)="#N/A N/A","NA ",_xll.BDP($C109,F$72)/10^6)/P109),F109)</f>
        <v>145.14798999999999</v>
      </c>
      <c r="G109" s="355">
        <f ca="1">IF(BBswitch=1,IF(ISBLANK($C109),"",IF(_xll.BDP($C109,G$72)="#N/A N/A","NA ",_xll.BDP($C109,G$72)/100)),G109)</f>
        <v>3.6499999999999998E-2</v>
      </c>
      <c r="H109" s="355">
        <f ca="1">IF(BBswitch=1,IF(ISBLANK($C109),"",IF(_xll.BDP($C109,H$72)="#N/A N/A","NA ",_xll.BDP($C109,H$72)/100)),H109)</f>
        <v>0.90651999999999999</v>
      </c>
      <c r="I109" s="355">
        <f ca="1">IF(BBswitch=1,IF(ISBLANK($C109),"",IF(_xll.BDP($C109,I$72)="#N/A N/A","NA ",_xll.BDP($C109,I$72)/100)),I109)</f>
        <v>4.0697090994235505E-2</v>
      </c>
      <c r="J109" s="355">
        <f ca="1">IF(BBswitch=1,IF(ISBLANK($C109),"",IF(_xll.BDP($C109,J$72)="#N/A N/A","NA ",_xll.BDP($C109,J$72)/100)),J109)</f>
        <v>8.4237094485731787E-2</v>
      </c>
      <c r="K109" s="345" t="str">
        <f ca="1">IF(BBswitch=1,IF(ISBLANK($C109),"",IF(_xll.BDP($C109,K$72)="#N/A N/A","NA ",_xll.BDP($C109,K$72))),K109)</f>
        <v>10/7/2025</v>
      </c>
      <c r="L109" s="346">
        <f t="shared" ca="1" si="12"/>
        <v>2025</v>
      </c>
      <c r="M109" s="345" t="str">
        <f ca="1">IF(BBswitch=1,IF(ISBLANK($C109),"",IF(_xll.BDP($C109,M$72)="#N/A N/A","NA ",_xll.BDP($C109,M$72))),M109)</f>
        <v>11/6/2017</v>
      </c>
      <c r="N109" s="347" t="str" cm="1">
        <f t="array" aca="1" ref="N109" ca="1">IF(BBswitch=1,IF(ISBLANK($C109),"",IF(_xll.BDP($C109,N$72)="#N/A Field Not Applicable","Notes",_xll.BDP($C109,N$72))),N109)</f>
        <v>Notes</v>
      </c>
      <c r="O109" s="348" cm="1">
        <f t="array" aca="1" ref="O109" ca="1">IF(BBswitch=1,IF(ISBLANK($C109),"",IFERROR(IF(_xll.BDP($C109,O$72)="#N/A N/A","NA ",_xll.BDP($C109,O$72)/10^6),0)/P109),O109)</f>
        <v>0</v>
      </c>
      <c r="P109" s="349" cm="1">
        <f t="array" aca="1" ref="P109" ca="1">+IF(BBswitch=1,IF(ISBLANK($C109),"",IF(_xll.BDP("USD"&amp;Q109&amp;" BGN Curncy","px last")="#N/A Invalid Security",1,_xll.BDP("USD"&amp;Q109&amp;" BGN Curncy","px last"))),P109)</f>
        <v>1</v>
      </c>
      <c r="Q109" s="350" t="str">
        <f ca="1">IF(BBswitch=1,IF(ISBLANK($C109),"",IF(_xll.BDP($C109,Q$72)="#N/A N/A","NA ",_xll.BDP($C109,Q$72))),Q109)</f>
        <v>USD</v>
      </c>
      <c r="R109" s="351" t="str" cm="1">
        <f t="array" aca="1" ref="R109" ca="1">IF(BBswitch=1,IF(ISBLANK($C109),"",IF(OR(_xll.BDP($C109,R$72)="#N/A Field Not Applicable",_xll.BDP($C109,R$72)="#N/A N/A"),"",_xll.BDP($C109,R$72))),R109)</f>
        <v/>
      </c>
      <c r="S109" s="351" cm="1">
        <f t="array" aca="1" ref="S109" ca="1">IF(BBswitch=1,IF(ISBLANK($C109),"",IF(OR(_xll.BDP($C109,S$72)="#N/A Field Not Applicable",_xll.BDP($C109,S$72)="#N/A N/A"),"",_xll.BDP($C109,S$72))),S109)</f>
        <v>474.60908829660553</v>
      </c>
      <c r="T109" s="351" t="str" cm="1">
        <f t="array" aca="1" ref="T109" ca="1">IF(BBswitch=1,IF(ISBLANK($C109),"",IF(OR(_xll.BDP($C109,T$72)="#N/A Field Not Applicable",_xll.BDP($C109,T$72)="#N/A N/A"),"",_xll.BDP($C109,T$72))),T109)</f>
        <v/>
      </c>
      <c r="U109" s="351" cm="1">
        <f t="array" aca="1" ref="U109" ca="1">IF(BBswitch=1,IF(ISBLANK($C109),"",IF(OR(_xll.BDP($C109,U$72)="#N/A Field Not Applicable",_xll.BDP($C109,U$72)="#N/A N/A"),"",_xll.BDP($C109,U$72))),U109)</f>
        <v>2.2149998994264202</v>
      </c>
      <c r="V109" s="352" t="str">
        <f ca="1">IF(BBswitch=1,IF(ISBLANK($C109),"",IF(_xll.BDP($C109,V$72)="#N/A N/A","NA ",_xll.BDP($C109,V$72))),V109)</f>
        <v>3rd lien</v>
      </c>
      <c r="W109" s="353" t="str" cm="1">
        <f t="array" aca="1" ref="W109" ca="1">IF(BBswitch=1,IF(ISBLANK($C109),"",IF(_xll.BDP($C109,W$72)="#N/A N/A","NA ",_xll.BDP($C109,W$72))),W109)</f>
        <v>United Airlines 2016-2 Class B Pass Through Trust</v>
      </c>
      <c r="X109" s="343" t="str">
        <f ca="1">IF(BBswitch=1,IF(ISBLANK($C109),"",IF(_xll.BDP($C109,X$73)="#N/A N/A","NA ",_xll.BDP($C109,X$73))),X109)</f>
        <v>UAL 3.65 25</v>
      </c>
      <c r="AB109" s="883"/>
      <c r="AC109" s="883"/>
      <c r="AD109" s="883"/>
      <c r="AE109" s="883"/>
      <c r="AF109" s="883"/>
      <c r="AG109" s="883"/>
      <c r="AH109" s="883"/>
      <c r="AI109" s="883"/>
      <c r="AJ109" s="883"/>
      <c r="AK109" s="883"/>
    </row>
    <row r="110" spans="3:37" hidden="1" outlineLevel="1">
      <c r="C110" s="6" t="s">
        <v>1690</v>
      </c>
      <c r="D110" s="343" t="str">
        <f ca="1">IF(BBswitch=1,IF(ISBLANK($C110),"",IF(_xll.BDP($C110,D$73)="#N/A N/A","NA ",_xll.BDP($C110,D$73))),D110)</f>
        <v>UAL 3.1 28</v>
      </c>
      <c r="E110" s="344" t="str">
        <f ca="1">IF(BBswitch=1,IF(ISBLANK($C110),"",IF(_xll.BDP($C110,E$73)="#N/A N/A","NA ",_xll.BDP($C110,E$73))),E110)</f>
        <v xml:space="preserve">NA </v>
      </c>
      <c r="F110" s="354">
        <f ca="1">IF(BBswitch=1,IF(ISBLANK($C110),"",IF(_xll.BDP($C110,F$72)="#N/A N/A","NA ",_xll.BDP($C110,F$72)/10^6)/P110),F110)</f>
        <v>215.74203466</v>
      </c>
      <c r="G110" s="355">
        <f ca="1">IF(BBswitch=1,IF(ISBLANK($C110),"",IF(_xll.BDP($C110,G$72)="#N/A N/A","NA ",_xll.BDP($C110,G$72)/100)),G110)</f>
        <v>3.1E-2</v>
      </c>
      <c r="H110" s="355">
        <f ca="1">IF(BBswitch=1,IF(ISBLANK($C110),"",IF(_xll.BDP($C110,H$72)="#N/A N/A","NA ",_xll.BDP($C110,H$72)/100)),H110)</f>
        <v>0.85872999999999999</v>
      </c>
      <c r="I110" s="355">
        <f ca="1">IF(BBswitch=1,IF(ISBLANK($C110),"",IF(_xll.BDP($C110,I$72)="#N/A N/A","NA ",_xll.BDP($C110,I$72)/100)),I110)</f>
        <v>3.8634097706879367E-2</v>
      </c>
      <c r="J110" s="355">
        <f ca="1">IF(BBswitch=1,IF(ISBLANK($C110),"",IF(_xll.BDP($C110,J$72)="#N/A N/A","NA ",_xll.BDP($C110,J$72)/100)),J110)</f>
        <v>8.074728735444292E-2</v>
      </c>
      <c r="K110" s="345" t="str">
        <f ca="1">IF(BBswitch=1,IF(ISBLANK($C110),"",IF(_xll.BDP($C110,K$72)="#N/A N/A","NA ",_xll.BDP($C110,K$72))),K110)</f>
        <v>10/7/2028</v>
      </c>
      <c r="L110" s="346">
        <f t="shared" ca="1" si="12"/>
        <v>2028</v>
      </c>
      <c r="M110" s="345" t="str">
        <f ca="1">IF(BBswitch=1,IF(ISBLANK($C110),"",IF(_xll.BDP($C110,M$72)="#N/A N/A","NA ",_xll.BDP($C110,M$72))),M110)</f>
        <v>9/27/2016</v>
      </c>
      <c r="N110" s="347" t="str" cm="1">
        <f t="array" aca="1" ref="N110" ca="1">IF(BBswitch=1,IF(ISBLANK($C110),"",IF(_xll.BDP($C110,N$72)="#N/A Field Not Applicable","Notes",_xll.BDP($C110,N$72))),N110)</f>
        <v>Notes</v>
      </c>
      <c r="O110" s="348" cm="1">
        <f t="array" aca="1" ref="O110" ca="1">IF(BBswitch=1,IF(ISBLANK($C110),"",IFERROR(IF(_xll.BDP($C110,O$72)="#N/A N/A","NA ",_xll.BDP($C110,O$72)/10^6),0)/P110),O110)</f>
        <v>0</v>
      </c>
      <c r="P110" s="349" cm="1">
        <f t="array" aca="1" ref="P110" ca="1">+IF(BBswitch=1,IF(ISBLANK($C110),"",IF(_xll.BDP("USD"&amp;Q110&amp;" BGN Curncy","px last")="#N/A Invalid Security",1,_xll.BDP("USD"&amp;Q110&amp;" BGN Curncy","px last"))),P110)</f>
        <v>1</v>
      </c>
      <c r="Q110" s="350" t="str">
        <f ca="1">IF(BBswitch=1,IF(ISBLANK($C110),"",IF(_xll.BDP($C110,Q$72)="#N/A N/A","NA ",_xll.BDP($C110,Q$72))),Q110)</f>
        <v>USD</v>
      </c>
      <c r="R110" s="351" t="str" cm="1">
        <f t="array" aca="1" ref="R110" ca="1">IF(BBswitch=1,IF(ISBLANK($C110),"",IF(OR(_xll.BDP($C110,R$72)="#N/A Field Not Applicable",_xll.BDP($C110,R$72)="#N/A N/A"),"",_xll.BDP($C110,R$72))),R110)</f>
        <v/>
      </c>
      <c r="S110" s="351" cm="1">
        <f t="array" aca="1" ref="S110" ca="1">IF(BBswitch=1,IF(ISBLANK($C110),"",IF(OR(_xll.BDP($C110,S$72)="#N/A Field Not Applicable",_xll.BDP($C110,S$72)="#N/A N/A"),"",_xll.BDP($C110,S$72))),S110)</f>
        <v>411.58722078280829</v>
      </c>
      <c r="T110" s="351" t="str" cm="1">
        <f t="array" aca="1" ref="T110" ca="1">IF(BBswitch=1,IF(ISBLANK($C110),"",IF(OR(_xll.BDP($C110,T$72)="#N/A Field Not Applicable",_xll.BDP($C110,T$72)="#N/A N/A"),"",_xll.BDP($C110,T$72))),T110)</f>
        <v/>
      </c>
      <c r="U110" s="351" cm="1">
        <f t="array" aca="1" ref="U110" ca="1">IF(BBswitch=1,IF(ISBLANK($C110),"",IF(OR(_xll.BDP($C110,U$72)="#N/A Field Not Applicable",_xll.BDP($C110,U$72)="#N/A N/A"),"",_xll.BDP($C110,U$72))),U110)</f>
        <v>4.2735065928978813</v>
      </c>
      <c r="V110" s="352" t="str">
        <f ca="1">IF(BBswitch=1,IF(ISBLANK($C110),"",IF(_xll.BDP($C110,V$72)="#N/A N/A","NA ",_xll.BDP($C110,V$72))),V110)</f>
        <v>2nd lien</v>
      </c>
      <c r="W110" s="353" t="str" cm="1">
        <f t="array" aca="1" ref="W110" ca="1">IF(BBswitch=1,IF(ISBLANK($C110),"",IF(_xll.BDP($C110,W$72)="#N/A N/A","NA ",_xll.BDP($C110,W$72))),W110)</f>
        <v>United Airlines 2016-2 Class A Pass Through Trust</v>
      </c>
      <c r="X110" s="343" t="str">
        <f ca="1">IF(BBswitch=1,IF(ISBLANK($C110),"",IF(_xll.BDP($C110,X$73)="#N/A N/A","NA ",_xll.BDP($C110,X$73))),X110)</f>
        <v>UAL 3.1 28</v>
      </c>
      <c r="AB110" s="883"/>
      <c r="AC110" s="883"/>
      <c r="AD110" s="883"/>
      <c r="AE110" s="883"/>
      <c r="AF110" s="883"/>
      <c r="AG110" s="883"/>
      <c r="AH110" s="883"/>
      <c r="AI110" s="883"/>
      <c r="AJ110" s="883"/>
      <c r="AK110" s="883"/>
    </row>
    <row r="111" spans="3:37" hidden="1" outlineLevel="1">
      <c r="C111" s="6" t="s">
        <v>1691</v>
      </c>
      <c r="D111" s="343" t="str">
        <f ca="1">IF(BBswitch=1,IF(ISBLANK($C111),"",IF(_xll.BDP($C111,D$73)="#N/A N/A","NA ",_xll.BDP($C111,D$73))),D111)</f>
        <v>UAL 2.875 28</v>
      </c>
      <c r="E111" s="344" t="str">
        <f ca="1">IF(BBswitch=1,IF(ISBLANK($C111),"",IF(_xll.BDP($C111,E$73)="#N/A N/A","NA ",_xll.BDP($C111,E$73))),E111)</f>
        <v xml:space="preserve">NA </v>
      </c>
      <c r="F111" s="354">
        <f ca="1">IF(BBswitch=1,IF(ISBLANK($C111),"",IF(_xll.BDP($C111,F$72)="#N/A N/A","NA ",_xll.BDP($C111,F$72)/10^6)/P111),F111)</f>
        <v>485.09929292000004</v>
      </c>
      <c r="G111" s="355">
        <f ca="1">IF(BBswitch=1,IF(ISBLANK($C111),"",IF(_xll.BDP($C111,G$72)="#N/A N/A","NA ",_xll.BDP($C111,G$72)/100)),G111)</f>
        <v>2.8750000000000001E-2</v>
      </c>
      <c r="H111" s="355">
        <f ca="1">IF(BBswitch=1,IF(ISBLANK($C111),"",IF(_xll.BDP($C111,H$72)="#N/A N/A","NA ",_xll.BDP($C111,H$72)/100)),H111)</f>
        <v>0.89299000000000006</v>
      </c>
      <c r="I111" s="355">
        <f ca="1">IF(BBswitch=1,IF(ISBLANK($C111),"",IF(_xll.BDP($C111,I$72)="#N/A N/A","NA ",_xll.BDP($C111,I$72)/100)),I111)</f>
        <v>3.22750847571791E-2</v>
      </c>
      <c r="J111" s="355">
        <f ca="1">IF(BBswitch=1,IF(ISBLANK($C111),"",IF(_xll.BDP($C111,J$72)="#N/A N/A","NA ",_xll.BDP($C111,J$72)/100)),J111)</f>
        <v>5.4262071053684927E-2</v>
      </c>
      <c r="K111" s="345" t="str">
        <f ca="1">IF(BBswitch=1,IF(ISBLANK($C111),"",IF(_xll.BDP($C111,K$72)="#N/A N/A","NA ",_xll.BDP($C111,K$72))),K111)</f>
        <v>10/7/2028</v>
      </c>
      <c r="L111" s="346">
        <f t="shared" ca="1" si="12"/>
        <v>2028</v>
      </c>
      <c r="M111" s="345" t="str">
        <f ca="1">IF(BBswitch=1,IF(ISBLANK($C111),"",IF(_xll.BDP($C111,M$72)="#N/A N/A","NA ",_xll.BDP($C111,M$72))),M111)</f>
        <v>9/27/2016</v>
      </c>
      <c r="N111" s="347" t="str" cm="1">
        <f t="array" aca="1" ref="N111" ca="1">IF(BBswitch=1,IF(ISBLANK($C111),"",IF(_xll.BDP($C111,N$72)="#N/A Field Not Applicable","Notes",_xll.BDP($C111,N$72))),N111)</f>
        <v>Notes</v>
      </c>
      <c r="O111" s="348" cm="1">
        <f t="array" aca="1" ref="O111" ca="1">IF(BBswitch=1,IF(ISBLANK($C111),"",IFERROR(IF(_xll.BDP($C111,O$72)="#N/A N/A","NA ",_xll.BDP($C111,O$72)/10^6),0)/P111),O111)</f>
        <v>0</v>
      </c>
      <c r="P111" s="349" cm="1">
        <f t="array" aca="1" ref="P111" ca="1">+IF(BBswitch=1,IF(ISBLANK($C111),"",IF(_xll.BDP("USD"&amp;Q111&amp;" BGN Curncy","px last")="#N/A Invalid Security",1,_xll.BDP("USD"&amp;Q111&amp;" BGN Curncy","px last"))),P111)</f>
        <v>1</v>
      </c>
      <c r="Q111" s="350" t="str">
        <f ca="1">IF(BBswitch=1,IF(ISBLANK($C111),"",IF(_xll.BDP($C111,Q$72)="#N/A N/A","NA ",_xll.BDP($C111,Q$72))),Q111)</f>
        <v>USD</v>
      </c>
      <c r="R111" s="351" t="str" cm="1">
        <f t="array" aca="1" ref="R111" ca="1">IF(BBswitch=1,IF(ISBLANK($C111),"",IF(OR(_xll.BDP($C111,R$72)="#N/A Field Not Applicable",_xll.BDP($C111,R$72)="#N/A N/A"),"",_xll.BDP($C111,R$72))),R111)</f>
        <v/>
      </c>
      <c r="S111" s="351" cm="1">
        <f t="array" aca="1" ref="S111" ca="1">IF(BBswitch=1,IF(ISBLANK($C111),"",IF(OR(_xll.BDP($C111,S$72)="#N/A Field Not Applicable",_xll.BDP($C111,S$72)="#N/A N/A"),"",_xll.BDP($C111,S$72))),S111)</f>
        <v>224.11082777030165</v>
      </c>
      <c r="T111" s="351" t="str" cm="1">
        <f t="array" aca="1" ref="T111" ca="1">IF(BBswitch=1,IF(ISBLANK($C111),"",IF(OR(_xll.BDP($C111,T$72)="#N/A Field Not Applicable",_xll.BDP($C111,T$72)="#N/A N/A"),"",_xll.BDP($C111,T$72))),T111)</f>
        <v/>
      </c>
      <c r="U111" s="351" cm="1">
        <f t="array" aca="1" ref="U111" ca="1">IF(BBswitch=1,IF(ISBLANK($C111),"",IF(OR(_xll.BDP($C111,U$72)="#N/A Field Not Applicable",_xll.BDP($C111,U$72)="#N/A N/A"),"",_xll.BDP($C111,U$72))),U111)</f>
        <v>4.4138739216029759</v>
      </c>
      <c r="V111" s="352" t="str">
        <f ca="1">IF(BBswitch=1,IF(ISBLANK($C111),"",IF(_xll.BDP($C111,V$72)="#N/A N/A","NA ",_xll.BDP($C111,V$72))),V111)</f>
        <v>1st lien</v>
      </c>
      <c r="W111" s="353" t="str" cm="1">
        <f t="array" aca="1" ref="W111" ca="1">IF(BBswitch=1,IF(ISBLANK($C111),"",IF(_xll.BDP($C111,W$72)="#N/A N/A","NA ",_xll.BDP($C111,W$72))),W111)</f>
        <v>United Airlines 2016-2 Class AA Pass Through Trust</v>
      </c>
      <c r="X111" s="343" t="str">
        <f ca="1">IF(BBswitch=1,IF(ISBLANK($C111),"",IF(_xll.BDP($C111,X$73)="#N/A N/A","NA ",_xll.BDP($C111,X$73))),X111)</f>
        <v>UAL 2.875 28</v>
      </c>
      <c r="AB111" s="883"/>
      <c r="AC111" s="883"/>
      <c r="AD111" s="883"/>
      <c r="AE111" s="883"/>
      <c r="AF111" s="883"/>
      <c r="AG111" s="883"/>
      <c r="AH111" s="883"/>
      <c r="AI111" s="883"/>
      <c r="AJ111" s="883"/>
      <c r="AK111" s="883"/>
    </row>
    <row r="112" spans="3:37" hidden="1" outlineLevel="1">
      <c r="C112" s="6" t="s">
        <v>1692</v>
      </c>
      <c r="D112" s="343" t="str">
        <f ca="1">IF(BBswitch=1,IF(ISBLANK($C112),"",IF(_xll.BDP($C112,D$73)="#N/A N/A","NA ",_xll.BDP($C112,D$73))),D112)</f>
        <v>UAL 3.7 22</v>
      </c>
      <c r="E112" s="344" t="str">
        <f ca="1">IF(BBswitch=1,IF(ISBLANK($C112),"",IF(_xll.BDP($C112,E$73)="#N/A N/A","NA ",_xll.BDP($C112,E$73))),E112)</f>
        <v xml:space="preserve">NA </v>
      </c>
      <c r="F112" s="354">
        <f ca="1">IF(BBswitch=1,IF(ISBLANK($C112),"",IF(_xll.BDP($C112,F$72)="#N/A N/A","NA ",_xll.BDP($C112,F$72)/10^6)/P112),F112)</f>
        <v>100</v>
      </c>
      <c r="G112" s="355">
        <f ca="1">IF(BBswitch=1,IF(ISBLANK($C112),"",IF(_xll.BDP($C112,G$72)="#N/A N/A","NA ",_xll.BDP($C112,G$72)/100)),G112)</f>
        <v>3.7000000000000005E-2</v>
      </c>
      <c r="H112" s="355">
        <f ca="1">IF(BBswitch=1,IF(ISBLANK($C112),"",IF(_xll.BDP($C112,H$72)="#N/A N/A","NA ",_xll.BDP($C112,H$72)/100)),H112)</f>
        <v>0.99229000000000001</v>
      </c>
      <c r="I112" s="355">
        <f ca="1">IF(BBswitch=1,IF(ISBLANK($C112),"",IF(_xll.BDP($C112,I$72)="#N/A N/A","NA ",_xll.BDP($C112,I$72)/100)),I112)</f>
        <v>3.7474046690636552E-2</v>
      </c>
      <c r="J112" s="355">
        <f ca="1">IF(BBswitch=1,IF(ISBLANK($C112),"",IF(_xll.BDP($C112,J$72)="#N/A N/A","NA ",_xll.BDP($C112,J$72)/100)),J112)</f>
        <v>7.2841963124878589E-2</v>
      </c>
      <c r="K112" s="345" t="str">
        <f ca="1">IF(BBswitch=1,IF(ISBLANK($C112),"",IF(_xll.BDP($C112,K$72)="#N/A N/A","NA ",_xll.BDP($C112,K$72))),K112)</f>
        <v>12/1/2022</v>
      </c>
      <c r="L112" s="346">
        <f t="shared" ca="1" si="12"/>
        <v>2022</v>
      </c>
      <c r="M112" s="345" t="str">
        <f ca="1">IF(BBswitch=1,IF(ISBLANK($C112),"",IF(_xll.BDP($C112,M$72)="#N/A N/A","NA ",_xll.BDP($C112,M$72))),M112)</f>
        <v>11/17/2015</v>
      </c>
      <c r="N112" s="347" t="str" cm="1">
        <f t="array" aca="1" ref="N112" ca="1">IF(BBswitch=1,IF(ISBLANK($C112),"",IF(_xll.BDP($C112,N$72)="#N/A Field Not Applicable","Notes",_xll.BDP($C112,N$72))),N112)</f>
        <v>Notes</v>
      </c>
      <c r="O112" s="348" cm="1">
        <f t="array" aca="1" ref="O112" ca="1">IF(BBswitch=1,IF(ISBLANK($C112),"",IFERROR(IF(_xll.BDP($C112,O$72)="#N/A N/A","NA ",_xll.BDP($C112,O$72)/10^6),0)/P112),O112)</f>
        <v>0</v>
      </c>
      <c r="P112" s="349" cm="1">
        <f t="array" aca="1" ref="P112" ca="1">+IF(BBswitch=1,IF(ISBLANK($C112),"",IF(_xll.BDP("USD"&amp;Q112&amp;" BGN Curncy","px last")="#N/A Invalid Security",1,_xll.BDP("USD"&amp;Q112&amp;" BGN Curncy","px last"))),P112)</f>
        <v>1</v>
      </c>
      <c r="Q112" s="350" t="str">
        <f ca="1">IF(BBswitch=1,IF(ISBLANK($C112),"",IF(_xll.BDP($C112,Q$72)="#N/A N/A","NA ",_xll.BDP($C112,Q$72))),Q112)</f>
        <v>USD</v>
      </c>
      <c r="R112" s="351" t="str" cm="1">
        <f t="array" aca="1" ref="R112" ca="1">IF(BBswitch=1,IF(ISBLANK($C112),"",IF(OR(_xll.BDP($C112,R$72)="#N/A Field Not Applicable",_xll.BDP($C112,R$72)="#N/A N/A"),"",_xll.BDP($C112,R$72))),R112)</f>
        <v/>
      </c>
      <c r="S112" s="351" cm="1">
        <f t="array" aca="1" ref="S112" ca="1">IF(BBswitch=1,IF(ISBLANK($C112),"",IF(OR(_xll.BDP($C112,S$72)="#N/A Field Not Applicable",_xll.BDP($C112,S$72)="#N/A N/A"),"",_xll.BDP($C112,S$72))),S112)</f>
        <v>319.92297905521821</v>
      </c>
      <c r="T112" s="351" t="str" cm="1">
        <f t="array" aca="1" ref="T112" ca="1">IF(BBswitch=1,IF(ISBLANK($C112),"",IF(OR(_xll.BDP($C112,T$72)="#N/A Field Not Applicable",_xll.BDP($C112,T$72)="#N/A N/A"),"",_xll.BDP($C112,T$72))),T112)</f>
        <v/>
      </c>
      <c r="U112" s="351" cm="1">
        <f t="array" aca="1" ref="U112" ca="1">IF(BBswitch=1,IF(ISBLANK($C112),"",IF(OR(_xll.BDP($C112,U$72)="#N/A Field Not Applicable",_xll.BDP($C112,U$72)="#N/A N/A"),"",_xll.BDP($C112,U$72))),U112)</f>
        <v>0.35114095266269602</v>
      </c>
      <c r="V112" s="352" t="str">
        <f ca="1">IF(BBswitch=1,IF(ISBLANK($C112),"",IF(_xll.BDP($C112,V$72)="#N/A N/A","NA ",_xll.BDP($C112,V$72))),V112)</f>
        <v>2nd lien</v>
      </c>
      <c r="W112" s="353" t="str" cm="1">
        <f t="array" aca="1" ref="W112" ca="1">IF(BBswitch=1,IF(ISBLANK($C112),"",IF(_xll.BDP($C112,W$72)="#N/A N/A","NA ",_xll.BDP($C112,W$72))),W112)</f>
        <v>United Airlines 2015-1 Class A Pass Through Trust</v>
      </c>
      <c r="X112" s="343" t="str">
        <f ca="1">IF(BBswitch=1,IF(ISBLANK($C112),"",IF(_xll.BDP($C112,X$73)="#N/A N/A","NA ",_xll.BDP($C112,X$73))),X112)</f>
        <v>UAL 3.7 22</v>
      </c>
      <c r="AB112" s="883"/>
      <c r="AC112" s="883"/>
      <c r="AD112" s="883"/>
      <c r="AE112" s="883"/>
      <c r="AF112" s="883"/>
      <c r="AG112" s="883"/>
      <c r="AH112" s="883"/>
      <c r="AI112" s="883"/>
      <c r="AJ112" s="883"/>
      <c r="AK112" s="883"/>
    </row>
    <row r="113" spans="3:37" hidden="1" outlineLevel="1">
      <c r="C113" s="6" t="s">
        <v>1693</v>
      </c>
      <c r="D113" s="343" t="str">
        <f ca="1">IF(BBswitch=1,IF(ISBLANK($C113),"",IF(_xll.BDP($C113,D$73)="#N/A N/A","NA ",_xll.BDP($C113,D$73))),D113)</f>
        <v>UAL 3.45 27</v>
      </c>
      <c r="E113" s="344" t="str">
        <f ca="1">IF(BBswitch=1,IF(ISBLANK($C113),"",IF(_xll.BDP($C113,E$73)="#N/A N/A","NA ",_xll.BDP($C113,E$73))),E113)</f>
        <v xml:space="preserve">NA </v>
      </c>
      <c r="F113" s="354">
        <f ca="1">IF(BBswitch=1,IF(ISBLANK($C113),"",IF(_xll.BDP($C113,F$72)="#N/A N/A","NA ",_xll.BDP($C113,F$72)/10^6)/P113),F113)</f>
        <v>236.85382978000004</v>
      </c>
      <c r="G113" s="355">
        <f ca="1">IF(BBswitch=1,IF(ISBLANK($C113),"",IF(_xll.BDP($C113,G$72)="#N/A N/A","NA ",_xll.BDP($C113,G$72)/100)),G113)</f>
        <v>3.4500000000000003E-2</v>
      </c>
      <c r="H113" s="355">
        <f ca="1">IF(BBswitch=1,IF(ISBLANK($C113),"",IF(_xll.BDP($C113,H$72)="#N/A N/A","NA ",_xll.BDP($C113,H$72)/100)),H113)</f>
        <v>0.92105999999999999</v>
      </c>
      <c r="I113" s="355">
        <f ca="1">IF(BBswitch=1,IF(ISBLANK($C113),"",IF(_xll.BDP($C113,I$72)="#N/A N/A","NA ",_xll.BDP($C113,I$72)/100)),I113)</f>
        <v>3.7652246038328896E-2</v>
      </c>
      <c r="J113" s="355">
        <f ca="1">IF(BBswitch=1,IF(ISBLANK($C113),"",IF(_xll.BDP($C113,J$72)="#N/A N/A","NA ",_xll.BDP($C113,J$72)/100)),J113)</f>
        <v>5.6452257374453453E-2</v>
      </c>
      <c r="K113" s="345" t="str">
        <f ca="1">IF(BBswitch=1,IF(ISBLANK($C113),"",IF(_xll.BDP($C113,K$72)="#N/A N/A","NA ",_xll.BDP($C113,K$72))),K113)</f>
        <v>12/1/2027</v>
      </c>
      <c r="L113" s="346">
        <f t="shared" ca="1" si="12"/>
        <v>2027</v>
      </c>
      <c r="M113" s="345" t="str">
        <f ca="1">IF(BBswitch=1,IF(ISBLANK($C113),"",IF(_xll.BDP($C113,M$72)="#N/A N/A","NA ",_xll.BDP($C113,M$72))),M113)</f>
        <v>11/17/2015</v>
      </c>
      <c r="N113" s="347" t="str" cm="1">
        <f t="array" aca="1" ref="N113" ca="1">IF(BBswitch=1,IF(ISBLANK($C113),"",IF(_xll.BDP($C113,N$72)="#N/A Field Not Applicable","Notes",_xll.BDP($C113,N$72))),N113)</f>
        <v>Notes</v>
      </c>
      <c r="O113" s="348" cm="1">
        <f t="array" aca="1" ref="O113" ca="1">IF(BBswitch=1,IF(ISBLANK($C113),"",IFERROR(IF(_xll.BDP($C113,O$72)="#N/A N/A","NA ",_xll.BDP($C113,O$72)/10^6),0)/P113),O113)</f>
        <v>0</v>
      </c>
      <c r="P113" s="349" cm="1">
        <f t="array" aca="1" ref="P113" ca="1">+IF(BBswitch=1,IF(ISBLANK($C113),"",IF(_xll.BDP("USD"&amp;Q113&amp;" BGN Curncy","px last")="#N/A Invalid Security",1,_xll.BDP("USD"&amp;Q113&amp;" BGN Curncy","px last"))),P113)</f>
        <v>1</v>
      </c>
      <c r="Q113" s="350" t="str">
        <f ca="1">IF(BBswitch=1,IF(ISBLANK($C113),"",IF(_xll.BDP($C113,Q$72)="#N/A N/A","NA ",_xll.BDP($C113,Q$72))),Q113)</f>
        <v>USD</v>
      </c>
      <c r="R113" s="351" t="str" cm="1">
        <f t="array" aca="1" ref="R113" ca="1">IF(BBswitch=1,IF(ISBLANK($C113),"",IF(OR(_xll.BDP($C113,R$72)="#N/A Field Not Applicable",_xll.BDP($C113,R$72)="#N/A N/A"),"",_xll.BDP($C113,R$72))),R113)</f>
        <v/>
      </c>
      <c r="S113" s="351" cm="1">
        <f t="array" aca="1" ref="S113" ca="1">IF(BBswitch=1,IF(ISBLANK($C113),"",IF(OR(_xll.BDP($C113,S$72)="#N/A Field Not Applicable",_xll.BDP($C113,S$72)="#N/A N/A"),"",_xll.BDP($C113,S$72))),S113)</f>
        <v>237.29045001758968</v>
      </c>
      <c r="T113" s="351" t="str" cm="1">
        <f t="array" aca="1" ref="T113" ca="1">IF(BBswitch=1,IF(ISBLANK($C113),"",IF(OR(_xll.BDP($C113,T$72)="#N/A Field Not Applicable",_xll.BDP($C113,T$72)="#N/A N/A"),"",_xll.BDP($C113,T$72))),T113)</f>
        <v/>
      </c>
      <c r="U113" s="351" cm="1">
        <f t="array" aca="1" ref="U113" ca="1">IF(BBswitch=1,IF(ISBLANK($C113),"",IF(OR(_xll.BDP($C113,U$72)="#N/A Field Not Applicable",_xll.BDP($C113,U$72)="#N/A N/A"),"",_xll.BDP($C113,U$72))),U113)</f>
        <v>3.9153949798342311</v>
      </c>
      <c r="V113" s="352" t="str">
        <f ca="1">IF(BBswitch=1,IF(ISBLANK($C113),"",IF(_xll.BDP($C113,V$72)="#N/A N/A","NA ",_xll.BDP($C113,V$72))),V113)</f>
        <v>1st lien</v>
      </c>
      <c r="W113" s="353" t="str" cm="1">
        <f t="array" aca="1" ref="W113" ca="1">IF(BBswitch=1,IF(ISBLANK($C113),"",IF(_xll.BDP($C113,W$72)="#N/A N/A","NA ",_xll.BDP($C113,W$72))),W113)</f>
        <v>United Airlines 2015-1 Class AA Pass Through Trust</v>
      </c>
      <c r="X113" s="343" t="str">
        <f ca="1">IF(BBswitch=1,IF(ISBLANK($C113),"",IF(_xll.BDP($C113,X$73)="#N/A N/A","NA ",_xll.BDP($C113,X$73))),X113)</f>
        <v>UAL 3.45 27</v>
      </c>
      <c r="AB113" s="883"/>
      <c r="AC113" s="883"/>
      <c r="AD113" s="883"/>
      <c r="AE113" s="883"/>
      <c r="AF113" s="883"/>
      <c r="AG113" s="883"/>
      <c r="AH113" s="883"/>
      <c r="AI113" s="883"/>
      <c r="AJ113" s="883"/>
      <c r="AK113" s="883"/>
    </row>
    <row r="114" spans="3:37" hidden="1" outlineLevel="1">
      <c r="C114" s="6" t="s">
        <v>1694</v>
      </c>
      <c r="D114" s="343" t="str">
        <f ca="1">IF(BBswitch=1,IF(ISBLANK($C114),"",IF(_xll.BDP($C114,D$73)="#N/A N/A","NA ",_xll.BDP($C114,D$73))),D114)</f>
        <v>UAL 4.6 26</v>
      </c>
      <c r="E114" s="344" t="str">
        <f ca="1">IF(BBswitch=1,IF(ISBLANK($C114),"",IF(_xll.BDP($C114,E$73)="#N/A N/A","NA ",_xll.BDP($C114,E$73))),E114)</f>
        <v xml:space="preserve">NA </v>
      </c>
      <c r="F114" s="354">
        <f ca="1">IF(BBswitch=1,IF(ISBLANK($C114),"",IF(_xll.BDP($C114,F$72)="#N/A N/A","NA ",_xll.BDP($C114,F$72)/10^6)/P114),F114)</f>
        <v>153.59551886899999</v>
      </c>
      <c r="G114" s="355">
        <f ca="1">IF(BBswitch=1,IF(ISBLANK($C114),"",IF(_xll.BDP($C114,G$72)="#N/A N/A","NA ",_xll.BDP($C114,G$72)/100)),G114)</f>
        <v>4.5999999999999999E-2</v>
      </c>
      <c r="H114" s="355">
        <f ca="1">IF(BBswitch=1,IF(ISBLANK($C114),"",IF(_xll.BDP($C114,H$72)="#N/A N/A","NA ",_xll.BDP($C114,H$72)/100)),H114)</f>
        <v>0.90798000000000001</v>
      </c>
      <c r="I114" s="355">
        <f ca="1">IF(BBswitch=1,IF(ISBLANK($C114),"",IF(_xll.BDP($C114,I$72)="#N/A N/A","NA ",_xll.BDP($C114,I$72)/100)),I114)</f>
        <v>5.0735107591516206E-2</v>
      </c>
      <c r="J114" s="355">
        <f ca="1">IF(BBswitch=1,IF(ISBLANK($C114),"",IF(_xll.BDP($C114,J$72)="#N/A N/A","NA ",_xll.BDP($C114,J$72)/100)),J114)</f>
        <v>8.7412663476087518E-2</v>
      </c>
      <c r="K114" s="345" t="str">
        <f ca="1">IF(BBswitch=1,IF(ISBLANK($C114),"",IF(_xll.BDP($C114,K$72)="#N/A N/A","NA ",_xll.BDP($C114,K$72))),K114)</f>
        <v>3/1/2026</v>
      </c>
      <c r="L114" s="346">
        <f t="shared" ca="1" si="12"/>
        <v>2026</v>
      </c>
      <c r="M114" s="345" t="str">
        <f ca="1">IF(BBswitch=1,IF(ISBLANK($C114),"",IF(_xll.BDP($C114,M$72)="#N/A N/A","NA ",_xll.BDP($C114,M$72))),M114)</f>
        <v>5/23/2018</v>
      </c>
      <c r="N114" s="347" t="str" cm="1">
        <f t="array" aca="1" ref="N114" ca="1">IF(BBswitch=1,IF(ISBLANK($C114),"",IF(_xll.BDP($C114,N$72)="#N/A Field Not Applicable","Notes",_xll.BDP($C114,N$72))),N114)</f>
        <v>Notes</v>
      </c>
      <c r="O114" s="348" cm="1">
        <f t="array" aca="1" ref="O114" ca="1">IF(BBswitch=1,IF(ISBLANK($C114),"",IFERROR(IF(_xll.BDP($C114,O$72)="#N/A N/A","NA ",_xll.BDP($C114,O$72)/10^6),0)/P114),O114)</f>
        <v>0</v>
      </c>
      <c r="P114" s="349" cm="1">
        <f t="array" aca="1" ref="P114" ca="1">+IF(BBswitch=1,IF(ISBLANK($C114),"",IF(_xll.BDP("USD"&amp;Q114&amp;" BGN Curncy","px last")="#N/A Invalid Security",1,_xll.BDP("USD"&amp;Q114&amp;" BGN Curncy","px last"))),P114)</f>
        <v>1</v>
      </c>
      <c r="Q114" s="350" t="str">
        <f ca="1">IF(BBswitch=1,IF(ISBLANK($C114),"",IF(_xll.BDP($C114,Q$72)="#N/A N/A","NA ",_xll.BDP($C114,Q$72))),Q114)</f>
        <v>USD</v>
      </c>
      <c r="R114" s="351" t="str" cm="1">
        <f t="array" aca="1" ref="R114" ca="1">IF(BBswitch=1,IF(ISBLANK($C114),"",IF(OR(_xll.BDP($C114,R$72)="#N/A Field Not Applicable",_xll.BDP($C114,R$72)="#N/A N/A"),"",_xll.BDP($C114,R$72))),R114)</f>
        <v/>
      </c>
      <c r="S114" s="351" cm="1">
        <f t="array" aca="1" ref="S114" ca="1">IF(BBswitch=1,IF(ISBLANK($C114),"",IF(OR(_xll.BDP($C114,S$72)="#N/A Field Not Applicable",_xll.BDP($C114,S$72)="#N/A N/A"),"",_xll.BDP($C114,S$72))),S114)</f>
        <v>550.8883789560017</v>
      </c>
      <c r="T114" s="351" t="str" cm="1">
        <f t="array" aca="1" ref="T114" ca="1">IF(BBswitch=1,IF(ISBLANK($C114),"",IF(OR(_xll.BDP($C114,T$72)="#N/A Field Not Applicable",_xll.BDP($C114,T$72)="#N/A N/A"),"",_xll.BDP($C114,T$72))),T114)</f>
        <v/>
      </c>
      <c r="U114" s="351" cm="1">
        <f t="array" aca="1" ref="U114" ca="1">IF(BBswitch=1,IF(ISBLANK($C114),"",IF(OR(_xll.BDP($C114,U$72)="#N/A Field Not Applicable",_xll.BDP($C114,U$72)="#N/A N/A"),"",_xll.BDP($C114,U$72))),U114)</f>
        <v>2.2689069709132856</v>
      </c>
      <c r="V114" s="352" t="str">
        <f ca="1">IF(BBswitch=1,IF(ISBLANK($C114),"",IF(_xll.BDP($C114,V$72)="#N/A N/A","NA ",_xll.BDP($C114,V$72))),V114)</f>
        <v>3rd lien</v>
      </c>
      <c r="W114" s="353" t="str" cm="1">
        <f t="array" aca="1" ref="W114" ca="1">IF(BBswitch=1,IF(ISBLANK($C114),"",IF(_xll.BDP($C114,W$72)="#N/A N/A","NA ",_xll.BDP($C114,W$72))),W114)</f>
        <v>United Airlines 2018-1 Class B Pass Through Trust</v>
      </c>
      <c r="X114" s="343" t="str">
        <f ca="1">IF(BBswitch=1,IF(ISBLANK($C114),"",IF(_xll.BDP($C114,X$73)="#N/A N/A","NA ",_xll.BDP($C114,X$73))),X114)</f>
        <v>UAL 4.6 26</v>
      </c>
      <c r="AB114" s="883"/>
      <c r="AC114" s="883"/>
      <c r="AD114" s="883"/>
      <c r="AE114" s="883"/>
      <c r="AF114" s="883"/>
      <c r="AG114" s="883"/>
      <c r="AH114" s="883"/>
      <c r="AI114" s="883"/>
      <c r="AJ114" s="883"/>
      <c r="AK114" s="883"/>
    </row>
    <row r="115" spans="3:37" hidden="1" outlineLevel="1">
      <c r="C115" s="6" t="s">
        <v>1695</v>
      </c>
      <c r="D115" s="343" t="str">
        <f ca="1">IF(BBswitch=1,IF(ISBLANK($C115),"",IF(_xll.BDP($C115,D$73)="#N/A N/A","NA ",_xll.BDP($C115,D$73))),D115)</f>
        <v>UAL 3.7 30</v>
      </c>
      <c r="E115" s="344" t="str">
        <f ca="1">IF(BBswitch=1,IF(ISBLANK($C115),"",IF(_xll.BDP($C115,E$73)="#N/A N/A","NA ",_xll.BDP($C115,E$73))),E115)</f>
        <v xml:space="preserve">NA </v>
      </c>
      <c r="F115" s="354">
        <f ca="1">IF(BBswitch=1,IF(ISBLANK($C115),"",IF(_xll.BDP($C115,F$72)="#N/A N/A","NA ",_xll.BDP($C115,F$72)/10^6)/P115),F115)</f>
        <v>215.11603496000001</v>
      </c>
      <c r="G115" s="355">
        <f ca="1">IF(BBswitch=1,IF(ISBLANK($C115),"",IF(_xll.BDP($C115,G$72)="#N/A N/A","NA ",_xll.BDP($C115,G$72)/100)),G115)</f>
        <v>3.7000000000000005E-2</v>
      </c>
      <c r="H115" s="355">
        <f ca="1">IF(BBswitch=1,IF(ISBLANK($C115),"",IF(_xll.BDP($C115,H$72)="#N/A N/A","NA ",_xll.BDP($C115,H$72)/100)),H115)</f>
        <v>0.84787999999999997</v>
      </c>
      <c r="I115" s="355">
        <f ca="1">IF(BBswitch=1,IF(ISBLANK($C115),"",IF(_xll.BDP($C115,I$72)="#N/A N/A","NA ",_xll.BDP($C115,I$72)/100)),I115)</f>
        <v>4.3981646577752415E-2</v>
      </c>
      <c r="J115" s="355">
        <f ca="1">IF(BBswitch=1,IF(ISBLANK($C115),"",IF(_xll.BDP($C115,J$72)="#N/A N/A","NA ",_xll.BDP($C115,J$72)/100)),J115)</f>
        <v>7.2866076717532216E-2</v>
      </c>
      <c r="K115" s="345" t="str">
        <f ca="1">IF(BBswitch=1,IF(ISBLANK($C115),"",IF(_xll.BDP($C115,K$72)="#N/A N/A","NA ",_xll.BDP($C115,K$72))),K115)</f>
        <v>3/1/2030</v>
      </c>
      <c r="L115" s="346">
        <f t="shared" ca="1" si="12"/>
        <v>2030</v>
      </c>
      <c r="M115" s="345" t="str">
        <f ca="1">IF(BBswitch=1,IF(ISBLANK($C115),"",IF(_xll.BDP($C115,M$72)="#N/A N/A","NA ",_xll.BDP($C115,M$72))),M115)</f>
        <v>2/14/2018</v>
      </c>
      <c r="N115" s="347" t="str" cm="1">
        <f t="array" aca="1" ref="N115" ca="1">IF(BBswitch=1,IF(ISBLANK($C115),"",IF(_xll.BDP($C115,N$72)="#N/A Field Not Applicable","Notes",_xll.BDP($C115,N$72))),N115)</f>
        <v>Notes</v>
      </c>
      <c r="O115" s="348" cm="1">
        <f t="array" aca="1" ref="O115" ca="1">IF(BBswitch=1,IF(ISBLANK($C115),"",IFERROR(IF(_xll.BDP($C115,O$72)="#N/A N/A","NA ",_xll.BDP($C115,O$72)/10^6),0)/P115),O115)</f>
        <v>0</v>
      </c>
      <c r="P115" s="349" cm="1">
        <f t="array" aca="1" ref="P115" ca="1">+IF(BBswitch=1,IF(ISBLANK($C115),"",IF(_xll.BDP("USD"&amp;Q115&amp;" BGN Curncy","px last")="#N/A Invalid Security",1,_xll.BDP("USD"&amp;Q115&amp;" BGN Curncy","px last"))),P115)</f>
        <v>1</v>
      </c>
      <c r="Q115" s="350" t="str">
        <f ca="1">IF(BBswitch=1,IF(ISBLANK($C115),"",IF(_xll.BDP($C115,Q$72)="#N/A N/A","NA ",_xll.BDP($C115,Q$72))),Q115)</f>
        <v>USD</v>
      </c>
      <c r="R115" s="351" t="str" cm="1">
        <f t="array" aca="1" ref="R115" ca="1">IF(BBswitch=1,IF(ISBLANK($C115),"",IF(OR(_xll.BDP($C115,R$72)="#N/A Field Not Applicable",_xll.BDP($C115,R$72)="#N/A N/A"),"",_xll.BDP($C115,R$72))),R115)</f>
        <v/>
      </c>
      <c r="S115" s="351" cm="1">
        <f t="array" aca="1" ref="S115" ca="1">IF(BBswitch=1,IF(ISBLANK($C115),"",IF(OR(_xll.BDP($C115,S$72)="#N/A Field Not Applicable",_xll.BDP($C115,S$72)="#N/A N/A"),"",_xll.BDP($C115,S$72))),S115)</f>
        <v>400.66127195829972</v>
      </c>
      <c r="T115" s="351" t="str" cm="1">
        <f t="array" aca="1" ref="T115" ca="1">IF(BBswitch=1,IF(ISBLANK($C115),"",IF(OR(_xll.BDP($C115,T$72)="#N/A Field Not Applicable",_xll.BDP($C115,T$72)="#N/A N/A"),"",_xll.BDP($C115,T$72))),T115)</f>
        <v/>
      </c>
      <c r="U115" s="351" cm="1">
        <f t="array" aca="1" ref="U115" ca="1">IF(BBswitch=1,IF(ISBLANK($C115),"",IF(OR(_xll.BDP($C115,U$72)="#N/A Field Not Applicable",_xll.BDP($C115,U$72)="#N/A N/A"),"",_xll.BDP($C115,U$72))),U115)</f>
        <v>4.5962355691874697</v>
      </c>
      <c r="V115" s="352" t="str">
        <f ca="1">IF(BBswitch=1,IF(ISBLANK($C115),"",IF(_xll.BDP($C115,V$72)="#N/A N/A","NA ",_xll.BDP($C115,V$72))),V115)</f>
        <v>2nd lien</v>
      </c>
      <c r="W115" s="353" t="str" cm="1">
        <f t="array" aca="1" ref="W115" ca="1">IF(BBswitch=1,IF(ISBLANK($C115),"",IF(_xll.BDP($C115,W$72)="#N/A N/A","NA ",_xll.BDP($C115,W$72))),W115)</f>
        <v>United Airlines 2018-1 Class A Pass Through Trust</v>
      </c>
      <c r="X115" s="343" t="str">
        <f ca="1">IF(BBswitch=1,IF(ISBLANK($C115),"",IF(_xll.BDP($C115,X$73)="#N/A N/A","NA ",_xll.BDP($C115,X$73))),X115)</f>
        <v>UAL 3.7 30</v>
      </c>
      <c r="AB115" s="883"/>
      <c r="AC115" s="883"/>
      <c r="AD115" s="883"/>
      <c r="AE115" s="883"/>
      <c r="AF115" s="883"/>
      <c r="AG115" s="808"/>
      <c r="AH115" s="808"/>
      <c r="AI115" s="808"/>
      <c r="AJ115" s="808"/>
      <c r="AK115" s="808"/>
    </row>
    <row r="116" spans="3:37" hidden="1" outlineLevel="1">
      <c r="C116" s="6" t="s">
        <v>1696</v>
      </c>
      <c r="D116" s="343" t="str">
        <f ca="1">IF(BBswitch=1,IF(ISBLANK($C116),"",IF(_xll.BDP($C116,D$73)="#N/A N/A","NA ",_xll.BDP($C116,D$73))),D116)</f>
        <v>UAL 3.5 30</v>
      </c>
      <c r="E116" s="344" t="str">
        <f ca="1">IF(BBswitch=1,IF(ISBLANK($C116),"",IF(_xll.BDP($C116,E$73)="#N/A N/A","NA ",_xll.BDP($C116,E$73))),E116)</f>
        <v xml:space="preserve">NA </v>
      </c>
      <c r="F116" s="354">
        <f ca="1">IF(BBswitch=1,IF(ISBLANK($C116),"",IF(_xll.BDP($C116,F$72)="#N/A N/A","NA ",_xll.BDP($C116,F$72)/10^6)/P116),F116)</f>
        <v>564.6936637</v>
      </c>
      <c r="G116" s="355">
        <f ca="1">IF(BBswitch=1,IF(ISBLANK($C116),"",IF(_xll.BDP($C116,G$72)="#N/A N/A","NA ",_xll.BDP($C116,G$72)/100)),G116)</f>
        <v>3.5000000000000003E-2</v>
      </c>
      <c r="H116" s="355">
        <f ca="1">IF(BBswitch=1,IF(ISBLANK($C116),"",IF(_xll.BDP($C116,H$72)="#N/A N/A","NA ",_xll.BDP($C116,H$72)/100)),H116)</f>
        <v>0.89915999999999996</v>
      </c>
      <c r="I116" s="355">
        <f ca="1">IF(BBswitch=1,IF(ISBLANK($C116),"",IF(_xll.BDP($C116,I$72)="#N/A N/A","NA ",_xll.BDP($C116,I$72)/100)),I116)</f>
        <v>3.898896055431162E-2</v>
      </c>
      <c r="J116" s="355">
        <f ca="1">IF(BBswitch=1,IF(ISBLANK($C116),"",IF(_xll.BDP($C116,J$72)="#N/A N/A","NA ",_xll.BDP($C116,J$72)/100)),J116)</f>
        <v>5.6960998800642502E-2</v>
      </c>
      <c r="K116" s="345" t="str">
        <f ca="1">IF(BBswitch=1,IF(ISBLANK($C116),"",IF(_xll.BDP($C116,K$72)="#N/A N/A","NA ",_xll.BDP($C116,K$72))),K116)</f>
        <v>3/1/2030</v>
      </c>
      <c r="L116" s="346">
        <f t="shared" ca="1" si="12"/>
        <v>2030</v>
      </c>
      <c r="M116" s="345" t="str">
        <f ca="1">IF(BBswitch=1,IF(ISBLANK($C116),"",IF(_xll.BDP($C116,M$72)="#N/A N/A","NA ",_xll.BDP($C116,M$72))),M116)</f>
        <v>2/14/2018</v>
      </c>
      <c r="N116" s="347" t="str" cm="1">
        <f t="array" aca="1" ref="N116" ca="1">IF(BBswitch=1,IF(ISBLANK($C116),"",IF(_xll.BDP($C116,N$72)="#N/A Field Not Applicable","Notes",_xll.BDP($C116,N$72))),N116)</f>
        <v>Notes</v>
      </c>
      <c r="O116" s="348" cm="1">
        <f t="array" aca="1" ref="O116" ca="1">IF(BBswitch=1,IF(ISBLANK($C116),"",IFERROR(IF(_xll.BDP($C116,O$72)="#N/A N/A","NA ",_xll.BDP($C116,O$72)/10^6),0)/P116),O116)</f>
        <v>0</v>
      </c>
      <c r="P116" s="349" cm="1">
        <f t="array" aca="1" ref="P116" ca="1">+IF(BBswitch=1,IF(ISBLANK($C116),"",IF(_xll.BDP("USD"&amp;Q116&amp;" BGN Curncy","px last")="#N/A Invalid Security",1,_xll.BDP("USD"&amp;Q116&amp;" BGN Curncy","px last"))),P116)</f>
        <v>1</v>
      </c>
      <c r="Q116" s="350" t="str">
        <f ca="1">IF(BBswitch=1,IF(ISBLANK($C116),"",IF(_xll.BDP($C116,Q$72)="#N/A N/A","NA ",_xll.BDP($C116,Q$72))),Q116)</f>
        <v>USD</v>
      </c>
      <c r="R116" s="351" t="str" cm="1">
        <f t="array" aca="1" ref="R116" ca="1">IF(BBswitch=1,IF(ISBLANK($C116),"",IF(OR(_xll.BDP($C116,R$72)="#N/A Field Not Applicable",_xll.BDP($C116,R$72)="#N/A N/A"),"",_xll.BDP($C116,R$72))),R116)</f>
        <v/>
      </c>
      <c r="S116" s="351" cm="1">
        <f t="array" aca="1" ref="S116" ca="1">IF(BBswitch=1,IF(ISBLANK($C116),"",IF(OR(_xll.BDP($C116,S$72)="#N/A Field Not Applicable",_xll.BDP($C116,S$72)="#N/A N/A"),"",_xll.BDP($C116,S$72))),S116)</f>
        <v>255.22507760581337</v>
      </c>
      <c r="T116" s="351" t="str" cm="1">
        <f t="array" aca="1" ref="T116" ca="1">IF(BBswitch=1,IF(ISBLANK($C116),"",IF(OR(_xll.BDP($C116,T$72)="#N/A Field Not Applicable",_xll.BDP($C116,T$72)="#N/A N/A"),"",_xll.BDP($C116,T$72))),T116)</f>
        <v/>
      </c>
      <c r="U116" s="351" cm="1">
        <f t="array" aca="1" ref="U116" ca="1">IF(BBswitch=1,IF(ISBLANK($C116),"",IF(OR(_xll.BDP($C116,U$72)="#N/A Field Not Applicable",_xll.BDP($C116,U$72)="#N/A N/A"),"",_xll.BDP($C116,U$72))),U116)</f>
        <v>4.7455027270564631</v>
      </c>
      <c r="V116" s="352" t="str">
        <f ca="1">IF(BBswitch=1,IF(ISBLANK($C116),"",IF(_xll.BDP($C116,V$72)="#N/A N/A","NA ",_xll.BDP($C116,V$72))),V116)</f>
        <v>1st lien</v>
      </c>
      <c r="W116" s="353" t="str" cm="1">
        <f t="array" aca="1" ref="W116" ca="1">IF(BBswitch=1,IF(ISBLANK($C116),"",IF(_xll.BDP($C116,W$72)="#N/A N/A","NA ",_xll.BDP($C116,W$72))),W116)</f>
        <v>United Airlines 2018-1 Class AA Pass Through Trust</v>
      </c>
      <c r="X116" s="343" t="str">
        <f ca="1">IF(BBswitch=1,IF(ISBLANK($C116),"",IF(_xll.BDP($C116,X$73)="#N/A N/A","NA ",_xll.BDP($C116,X$73))),X116)</f>
        <v>UAL 3.5 30</v>
      </c>
    </row>
    <row r="117" spans="3:37" hidden="1" outlineLevel="1">
      <c r="C117" s="6" t="s">
        <v>1697</v>
      </c>
      <c r="D117" s="343" t="str">
        <f ca="1">IF(BBswitch=1,IF(ISBLANK($C117),"",IF(_xll.BDP($C117,D$73)="#N/A N/A","NA ",_xll.BDP($C117,D$73))),D117)</f>
        <v>UAL 9.3 49</v>
      </c>
      <c r="E117" s="344" t="str">
        <f ca="1">IF(BBswitch=1,IF(ISBLANK($C117),"",IF(_xll.BDP($C117,E$73)="#N/A N/A","NA ",_xll.BDP($C117,E$73))),E117)</f>
        <v xml:space="preserve">NA </v>
      </c>
      <c r="F117" s="354">
        <f ca="1">IF(BBswitch=1,IF(ISBLANK($C117),"",IF(_xll.BDP($C117,F$72)="#N/A N/A","NA ",_xll.BDP($C117,F$72)/10^6)/P117),F117)</f>
        <v>4.7790192929999993</v>
      </c>
      <c r="G117" s="355">
        <f ca="1">IF(BBswitch=1,IF(ISBLANK($C117),"",IF(_xll.BDP($C117,G$72)="#N/A N/A","NA ",_xll.BDP($C117,G$72)/100)),G117)</f>
        <v>9.3000000000000013E-2</v>
      </c>
      <c r="H117" s="355" t="str">
        <f ca="1">IF(BBswitch=1,IF(ISBLANK($C117),"",IF(_xll.BDP($C117,H$72)="#N/A N/A","NA ",_xll.BDP($C117,H$72)/100)),H117)</f>
        <v xml:space="preserve">NA </v>
      </c>
      <c r="I117" s="355" t="str">
        <f ca="1">IF(BBswitch=1,IF(ISBLANK($C117),"",IF(_xll.BDP($C117,I$72)="#N/A N/A","NA ",_xll.BDP($C117,I$72)/100)),I117)</f>
        <v xml:space="preserve">NA </v>
      </c>
      <c r="J117" s="355" t="str">
        <f ca="1">IF(BBswitch=1,IF(ISBLANK($C117),"",IF(_xll.BDP($C117,J$72)="#N/A N/A","NA ",_xll.BDP($C117,J$72)/100)),J117)</f>
        <v xml:space="preserve">NA </v>
      </c>
      <c r="K117" s="345" t="str">
        <f ca="1">IF(BBswitch=1,IF(ISBLANK($C117),"",IF(_xll.BDP($C117,K$72)="#N/A N/A","NA ",_xll.BDP($C117,K$72))),K117)</f>
        <v>3/29/2049</v>
      </c>
      <c r="L117" s="346" t="e">
        <f t="shared" ca="1" si="12"/>
        <v>#VALUE!</v>
      </c>
      <c r="M117" s="345" t="str">
        <f ca="1">IF(BBswitch=1,IF(ISBLANK($C117),"",IF(_xll.BDP($C117,M$72)="#N/A N/A","NA ",_xll.BDP($C117,M$72))),M117)</f>
        <v>10/18/1991</v>
      </c>
      <c r="N117" s="347" t="str" cm="1">
        <f t="array" aca="1" ref="N117" ca="1">IF(BBswitch=1,IF(ISBLANK($C117),"",IF(_xll.BDP($C117,N$72)="#N/A Field Not Applicable","Notes",_xll.BDP($C117,N$72))),N117)</f>
        <v>Notes</v>
      </c>
      <c r="O117" s="348" cm="1">
        <f t="array" aca="1" ref="O117" ca="1">IF(BBswitch=1,IF(ISBLANK($C117),"",IFERROR(IF(_xll.BDP($C117,O$72)="#N/A N/A","NA ",_xll.BDP($C117,O$72)/10^6),0)/P117),O117)</f>
        <v>0</v>
      </c>
      <c r="P117" s="349" cm="1">
        <f t="array" aca="1" ref="P117" ca="1">+IF(BBswitch=1,IF(ISBLANK($C117),"",IF(_xll.BDP("USD"&amp;Q117&amp;" BGN Curncy","px last")="#N/A Invalid Security",1,_xll.BDP("USD"&amp;Q117&amp;" BGN Curncy","px last"))),P117)</f>
        <v>1</v>
      </c>
      <c r="Q117" s="350" t="str">
        <f ca="1">IF(BBswitch=1,IF(ISBLANK($C117),"",IF(_xll.BDP($C117,Q$72)="#N/A N/A","NA ",_xll.BDP($C117,Q$72))),Q117)</f>
        <v>USD</v>
      </c>
      <c r="R117" s="351" t="str" cm="1">
        <f t="array" aca="1" ref="R117" ca="1">IF(BBswitch=1,IF(ISBLANK($C117),"",IF(OR(_xll.BDP($C117,R$72)="#N/A Field Not Applicable",_xll.BDP($C117,R$72)="#N/A N/A"),"",_xll.BDP($C117,R$72))),R117)</f>
        <v/>
      </c>
      <c r="S117" s="351" t="str" cm="1">
        <f t="array" aca="1" ref="S117" ca="1">IF(BBswitch=1,IF(ISBLANK($C117),"",IF(OR(_xll.BDP($C117,S$72)="#N/A Field Not Applicable",_xll.BDP($C117,S$72)="#N/A N/A"),"",_xll.BDP($C117,S$72))),S117)</f>
        <v/>
      </c>
      <c r="T117" s="351" t="str" cm="1">
        <f t="array" aca="1" ref="T117" ca="1">IF(BBswitch=1,IF(ISBLANK($C117),"",IF(OR(_xll.BDP($C117,T$72)="#N/A Field Not Applicable",_xll.BDP($C117,T$72)="#N/A N/A"),"",_xll.BDP($C117,T$72))),T117)</f>
        <v/>
      </c>
      <c r="U117" s="351" t="str" cm="1">
        <f t="array" aca="1" ref="U117" ca="1">IF(BBswitch=1,IF(ISBLANK($C117),"",IF(OR(_xll.BDP($C117,U$72)="#N/A Field Not Applicable",_xll.BDP($C117,U$72)="#N/A N/A"),"",_xll.BDP($C117,U$72))),U117)</f>
        <v/>
      </c>
      <c r="V117" s="352" t="str">
        <f ca="1">IF(BBswitch=1,IF(ISBLANK($C117),"",IF(_xll.BDP($C117,V$72)="#N/A N/A","NA ",_xll.BDP($C117,V$72))),V117)</f>
        <v>1st lien</v>
      </c>
      <c r="W117" s="353" t="str" cm="1">
        <f t="array" aca="1" ref="W117" ca="1">IF(BBswitch=1,IF(ISBLANK($C117),"",IF(_xll.BDP($C117,W$72)="#N/A N/A","NA ",_xll.BDP($C117,W$72))),W117)</f>
        <v>UAL 1991 Pass Through Trust AB</v>
      </c>
      <c r="X117" s="343" t="str">
        <f ca="1">IF(BBswitch=1,IF(ISBLANK($C117),"",IF(_xll.BDP($C117,X$73)="#N/A N/A","NA ",_xll.BDP($C117,X$73))),X117)</f>
        <v>UAL 9.3 49</v>
      </c>
    </row>
    <row r="118" spans="3:37" hidden="1" outlineLevel="1">
      <c r="C118" s="6" t="s">
        <v>1698</v>
      </c>
      <c r="D118" s="343" t="str">
        <f ca="1">IF(BBswitch=1,IF(ISBLANK($C118),"",IF(_xll.BDP($C118,D$73)="#N/A N/A","NA ",_xll.BDP($C118,D$73))),D118)</f>
        <v>UAL 4.15 24</v>
      </c>
      <c r="E118" s="344" t="str">
        <f ca="1">IF(BBswitch=1,IF(ISBLANK($C118),"",IF(_xll.BDP($C118,E$73)="#N/A N/A","NA ",_xll.BDP($C118,E$73))),E118)</f>
        <v xml:space="preserve">NA </v>
      </c>
      <c r="F118" s="354">
        <f ca="1">IF(BBswitch=1,IF(ISBLANK($C118),"",IF(_xll.BDP($C118,F$72)="#N/A N/A","NA ",_xll.BDP($C118,F$72)/10^6)/P118),F118)</f>
        <v>419.46424626000004</v>
      </c>
      <c r="G118" s="355">
        <f ca="1">IF(BBswitch=1,IF(ISBLANK($C118),"",IF(_xll.BDP($C118,G$72)="#N/A N/A","NA ",_xll.BDP($C118,G$72)/100)),G118)</f>
        <v>4.1500000000000002E-2</v>
      </c>
      <c r="H118" s="355">
        <f ca="1">IF(BBswitch=1,IF(ISBLANK($C118),"",IF(_xll.BDP($C118,H$72)="#N/A N/A","NA ",_xll.BDP($C118,H$72)/100)),H118)</f>
        <v>0.95078000000000007</v>
      </c>
      <c r="I118" s="355">
        <f ca="1">IF(BBswitch=1,IF(ISBLANK($C118),"",IF(_xll.BDP($C118,I$72)="#N/A N/A","NA ",_xll.BDP($C118,I$72)/100)),I118)</f>
        <v>4.3678693217698822E-2</v>
      </c>
      <c r="J118" s="355">
        <f ca="1">IF(BBswitch=1,IF(ISBLANK($C118),"",IF(_xll.BDP($C118,J$72)="#N/A N/A","NA ",_xll.BDP($C118,J$72)/100)),J118)</f>
        <v>7.5481803858473029E-2</v>
      </c>
      <c r="K118" s="345" t="str">
        <f ca="1">IF(BBswitch=1,IF(ISBLANK($C118),"",IF(_xll.BDP($C118,K$72)="#N/A N/A","NA ",_xll.BDP($C118,K$72))),K118)</f>
        <v>4/11/2024</v>
      </c>
      <c r="L118" s="346">
        <f t="shared" ca="1" si="12"/>
        <v>2024</v>
      </c>
      <c r="M118" s="345" t="str">
        <f ca="1">IF(BBswitch=1,IF(ISBLANK($C118),"",IF(_xll.BDP($C118,M$72)="#N/A N/A","NA ",_xll.BDP($C118,M$72))),M118)</f>
        <v>3/22/2012</v>
      </c>
      <c r="N118" s="347" t="str" cm="1">
        <f t="array" aca="1" ref="N118" ca="1">IF(BBswitch=1,IF(ISBLANK($C118),"",IF(_xll.BDP($C118,N$72)="#N/A Field Not Applicable","Notes",_xll.BDP($C118,N$72))),N118)</f>
        <v>Notes</v>
      </c>
      <c r="O118" s="348" cm="1">
        <f t="array" aca="1" ref="O118" ca="1">IF(BBswitch=1,IF(ISBLANK($C118),"",IFERROR(IF(_xll.BDP($C118,O$72)="#N/A N/A","NA ",_xll.BDP($C118,O$72)/10^6),0)/P118),O118)</f>
        <v>0</v>
      </c>
      <c r="P118" s="349" cm="1">
        <f t="array" aca="1" ref="P118" ca="1">+IF(BBswitch=1,IF(ISBLANK($C118),"",IF(_xll.BDP("USD"&amp;Q118&amp;" BGN Curncy","px last")="#N/A Invalid Security",1,_xll.BDP("USD"&amp;Q118&amp;" BGN Curncy","px last"))),P118)</f>
        <v>1</v>
      </c>
      <c r="Q118" s="350" t="str">
        <f ca="1">IF(BBswitch=1,IF(ISBLANK($C118),"",IF(_xll.BDP($C118,Q$72)="#N/A N/A","NA ",_xll.BDP($C118,Q$72))),Q118)</f>
        <v>USD</v>
      </c>
      <c r="R118" s="351" t="str" cm="1">
        <f t="array" aca="1" ref="R118" ca="1">IF(BBswitch=1,IF(ISBLANK($C118),"",IF(OR(_xll.BDP($C118,R$72)="#N/A Field Not Applicable",_xll.BDP($C118,R$72)="#N/A N/A"),"",_xll.BDP($C118,R$72))),R118)</f>
        <v/>
      </c>
      <c r="S118" s="351" cm="1">
        <f t="array" aca="1" ref="S118" ca="1">IF(BBswitch=1,IF(ISBLANK($C118),"",IF(OR(_xll.BDP($C118,S$72)="#N/A Field Not Applicable",_xll.BDP($C118,S$72)="#N/A N/A"),"",_xll.BDP($C118,S$72))),S118)</f>
        <v>431.65759874333287</v>
      </c>
      <c r="T118" s="351" t="str" cm="1">
        <f t="array" aca="1" ref="T118" ca="1">IF(BBswitch=1,IF(ISBLANK($C118),"",IF(OR(_xll.BDP($C118,T$72)="#N/A Field Not Applicable",_xll.BDP($C118,T$72)="#N/A N/A"),"",_xll.BDP($C118,T$72))),T118)</f>
        <v/>
      </c>
      <c r="U118" s="351" cm="1">
        <f t="array" aca="1" ref="U118" ca="1">IF(BBswitch=1,IF(ISBLANK($C118),"",IF(OR(_xll.BDP($C118,U$72)="#N/A Field Not Applicable",_xll.BDP($C118,U$72)="#N/A N/A"),"",_xll.BDP($C118,U$72))),U118)</f>
        <v>1.4748844297952106</v>
      </c>
      <c r="V118" s="352" t="str">
        <f ca="1">IF(BBswitch=1,IF(ISBLANK($C118),"",IF(_xll.BDP($C118,V$72)="#N/A N/A","NA ",_xll.BDP($C118,V$72))),V118)</f>
        <v>1st lien</v>
      </c>
      <c r="W118" s="353" t="str" cm="1">
        <f t="array" aca="1" ref="W118" ca="1">IF(BBswitch=1,IF(ISBLANK($C118),"",IF(_xll.BDP($C118,W$72)="#N/A N/A","NA ",_xll.BDP($C118,W$72))),W118)</f>
        <v>United Airlines 2012-1 Class A Pass Through Trust</v>
      </c>
      <c r="X118" s="343" t="str">
        <f ca="1">IF(BBswitch=1,IF(ISBLANK($C118),"",IF(_xll.BDP($C118,X$73)="#N/A N/A","NA ",_xll.BDP($C118,X$73))),X118)</f>
        <v>UAL 4.15 24</v>
      </c>
    </row>
    <row r="119" spans="3:37" hidden="1" outlineLevel="1">
      <c r="C119" s="6" t="s">
        <v>1699</v>
      </c>
      <c r="D119" s="343" t="str">
        <f ca="1">IF(BBswitch=1,IF(ISBLANK($C119),"",IF(_xll.BDP($C119,D$73)="#N/A N/A","NA ",_xll.BDP($C119,D$73))),D119)</f>
        <v>UAL 4 26</v>
      </c>
      <c r="E119" s="344" t="str">
        <f ca="1">IF(BBswitch=1,IF(ISBLANK($C119),"",IF(_xll.BDP($C119,E$73)="#N/A N/A","NA ",_xll.BDP($C119,E$73))),E119)</f>
        <v xml:space="preserve">NA </v>
      </c>
      <c r="F119" s="354">
        <f ca="1">IF(BBswitch=1,IF(ISBLANK($C119),"",IF(_xll.BDP($C119,F$72)="#N/A N/A","NA ",_xll.BDP($C119,F$72)/10^6)/P119),F119)</f>
        <v>453.43656561000006</v>
      </c>
      <c r="G119" s="355">
        <f ca="1">IF(BBswitch=1,IF(ISBLANK($C119),"",IF(_xll.BDP($C119,G$72)="#N/A N/A","NA ",_xll.BDP($C119,G$72)/100)),G119)</f>
        <v>0.04</v>
      </c>
      <c r="H119" s="355">
        <f ca="1">IF(BBswitch=1,IF(ISBLANK($C119),"",IF(_xll.BDP($C119,H$72)="#N/A N/A","NA ",_xll.BDP($C119,H$72)/100)),H119)</f>
        <v>0.92653000000000008</v>
      </c>
      <c r="I119" s="355">
        <f ca="1">IF(BBswitch=1,IF(ISBLANK($C119),"",IF(_xll.BDP($C119,I$72)="#N/A N/A","NA ",_xll.BDP($C119,I$72)/100)),I119)</f>
        <v>4.3216145551978211E-2</v>
      </c>
      <c r="J119" s="355">
        <f ca="1">IF(BBswitch=1,IF(ISBLANK($C119),"",IF(_xll.BDP($C119,J$72)="#N/A N/A","NA ",_xll.BDP($C119,J$72)/100)),J119)</f>
        <v>6.7188093606961402E-2</v>
      </c>
      <c r="K119" s="345" t="str">
        <f ca="1">IF(BBswitch=1,IF(ISBLANK($C119),"",IF(_xll.BDP($C119,K$72)="#N/A N/A","NA ",_xll.BDP($C119,K$72))),K119)</f>
        <v>4/11/2026</v>
      </c>
      <c r="L119" s="346">
        <f t="shared" ca="1" si="12"/>
        <v>2026</v>
      </c>
      <c r="M119" s="345" t="str">
        <f ca="1">IF(BBswitch=1,IF(ISBLANK($C119),"",IF(_xll.BDP($C119,M$72)="#N/A N/A","NA ",_xll.BDP($C119,M$72))),M119)</f>
        <v>4/7/2014</v>
      </c>
      <c r="N119" s="347" t="str" cm="1">
        <f t="array" aca="1" ref="N119" ca="1">IF(BBswitch=1,IF(ISBLANK($C119),"",IF(_xll.BDP($C119,N$72)="#N/A Field Not Applicable","Notes",_xll.BDP($C119,N$72))),N119)</f>
        <v>Notes</v>
      </c>
      <c r="O119" s="348" cm="1">
        <f t="array" aca="1" ref="O119" ca="1">IF(BBswitch=1,IF(ISBLANK($C119),"",IFERROR(IF(_xll.BDP($C119,O$72)="#N/A N/A","NA ",_xll.BDP($C119,O$72)/10^6),0)/P119),O119)</f>
        <v>0</v>
      </c>
      <c r="P119" s="349" cm="1">
        <f t="array" aca="1" ref="P119" ca="1">+IF(BBswitch=1,IF(ISBLANK($C119),"",IF(_xll.BDP("USD"&amp;Q119&amp;" BGN Curncy","px last")="#N/A Invalid Security",1,_xll.BDP("USD"&amp;Q119&amp;" BGN Curncy","px last"))),P119)</f>
        <v>1</v>
      </c>
      <c r="Q119" s="350" t="str">
        <f ca="1">IF(BBswitch=1,IF(ISBLANK($C119),"",IF(_xll.BDP($C119,Q$72)="#N/A N/A","NA ",_xll.BDP($C119,Q$72))),Q119)</f>
        <v>USD</v>
      </c>
      <c r="R119" s="351" t="str" cm="1">
        <f t="array" aca="1" ref="R119" ca="1">IF(BBswitch=1,IF(ISBLANK($C119),"",IF(OR(_xll.BDP($C119,R$72)="#N/A Field Not Applicable",_xll.BDP($C119,R$72)="#N/A N/A"),"",_xll.BDP($C119,R$72))),R119)</f>
        <v/>
      </c>
      <c r="S119" s="351" cm="1">
        <f t="array" aca="1" ref="S119" ca="1">IF(BBswitch=1,IF(ISBLANK($C119),"",IF(OR(_xll.BDP($C119,S$72)="#N/A Field Not Applicable",_xll.BDP($C119,S$72)="#N/A N/A"),"",_xll.BDP($C119,S$72))),S119)</f>
        <v>349.49006751754229</v>
      </c>
      <c r="T119" s="351" t="str" cm="1">
        <f t="array" aca="1" ref="T119" ca="1">IF(BBswitch=1,IF(ISBLANK($C119),"",IF(OR(_xll.BDP($C119,T$72)="#N/A Field Not Applicable",_xll.BDP($C119,T$72)="#N/A N/A"),"",_xll.BDP($C119,T$72))),T119)</f>
        <v/>
      </c>
      <c r="U119" s="351" cm="1">
        <f t="array" aca="1" ref="U119" ca="1">IF(BBswitch=1,IF(ISBLANK($C119),"",IF(OR(_xll.BDP($C119,U$72)="#N/A Field Not Applicable",_xll.BDP($C119,U$72)="#N/A N/A"),"",_xll.BDP($C119,U$72))),U119)</f>
        <v>2.775437909967871</v>
      </c>
      <c r="V119" s="352" t="str">
        <f ca="1">IF(BBswitch=1,IF(ISBLANK($C119),"",IF(_xll.BDP($C119,V$72)="#N/A N/A","NA ",_xll.BDP($C119,V$72))),V119)</f>
        <v>1st lien</v>
      </c>
      <c r="W119" s="353" t="str" cm="1">
        <f t="array" aca="1" ref="W119" ca="1">IF(BBswitch=1,IF(ISBLANK($C119),"",IF(_xll.BDP($C119,W$72)="#N/A N/A","NA ",_xll.BDP($C119,W$72))),W119)</f>
        <v>United Airlines 2014-1 Class A Pass Through Trust</v>
      </c>
      <c r="X119" s="343" t="str">
        <f ca="1">IF(BBswitch=1,IF(ISBLANK($C119),"",IF(_xll.BDP($C119,X$73)="#N/A N/A","NA ",_xll.BDP($C119,X$73))),X119)</f>
        <v>UAL 4 26</v>
      </c>
    </row>
    <row r="120" spans="3:37" hidden="1" outlineLevel="1">
      <c r="C120" s="6" t="s">
        <v>1700</v>
      </c>
      <c r="D120" s="343" t="str">
        <f ca="1">IF(BBswitch=1,IF(ISBLANK($C120),"",IF(_xll.BDP($C120,D$73)="#N/A N/A","NA ",_xll.BDP($C120,D$73))),D120)</f>
        <v>UAL 3.5 28</v>
      </c>
      <c r="E120" s="344" t="str">
        <f ca="1">IF(BBswitch=1,IF(ISBLANK($C120),"",IF(_xll.BDP($C120,E$73)="#N/A N/A","NA ",_xll.BDP($C120,E$73))),E120)</f>
        <v xml:space="preserve">NA </v>
      </c>
      <c r="F120" s="354">
        <f ca="1">IF(BBswitch=1,IF(ISBLANK($C120),"",IF(_xll.BDP($C120,F$72)="#N/A N/A","NA ",_xll.BDP($C120,F$72)/10^6)/P120),F120)</f>
        <v>180.185071666</v>
      </c>
      <c r="G120" s="355">
        <f ca="1">IF(BBswitch=1,IF(ISBLANK($C120),"",IF(_xll.BDP($C120,G$72)="#N/A N/A","NA ",_xll.BDP($C120,G$72)/100)),G120)</f>
        <v>3.5000000000000003E-2</v>
      </c>
      <c r="H120" s="355">
        <f ca="1">IF(BBswitch=1,IF(ISBLANK($C120),"",IF(_xll.BDP($C120,H$72)="#N/A N/A","NA ",_xll.BDP($C120,H$72)/100)),H120)</f>
        <v>0.86375000000000002</v>
      </c>
      <c r="I120" s="355">
        <f ca="1">IF(BBswitch=1,IF(ISBLANK($C120),"",IF(_xll.BDP($C120,I$72)="#N/A N/A","NA ",_xll.BDP($C120,I$72)/100)),I120)</f>
        <v>4.0520984081041968E-2</v>
      </c>
      <c r="J120" s="355">
        <f ca="1">IF(BBswitch=1,IF(ISBLANK($C120),"",IF(_xll.BDP($C120,J$72)="#N/A N/A","NA ",_xll.BDP($C120,J$72)/100)),J120)</f>
        <v>8.6361296926700429E-2</v>
      </c>
      <c r="K120" s="345" t="str">
        <f ca="1">IF(BBswitch=1,IF(ISBLANK($C120),"",IF(_xll.BDP($C120,K$72)="#N/A N/A","NA ",_xll.BDP($C120,K$72))),K120)</f>
        <v>5/1/2028</v>
      </c>
      <c r="L120" s="346">
        <f t="shared" ca="1" si="12"/>
        <v>2028</v>
      </c>
      <c r="M120" s="345" t="str">
        <f ca="1">IF(BBswitch=1,IF(ISBLANK($C120),"",IF(_xll.BDP($C120,M$72)="#N/A N/A","NA ",_xll.BDP($C120,M$72))),M120)</f>
        <v>9/13/2019</v>
      </c>
      <c r="N120" s="347" t="str" cm="1">
        <f t="array" aca="1" ref="N120" ca="1">IF(BBswitch=1,IF(ISBLANK($C120),"",IF(_xll.BDP($C120,N$72)="#N/A Field Not Applicable","Notes",_xll.BDP($C120,N$72))),N120)</f>
        <v>Notes</v>
      </c>
      <c r="O120" s="348" cm="1">
        <f t="array" aca="1" ref="O120" ca="1">IF(BBswitch=1,IF(ISBLANK($C120),"",IFERROR(IF(_xll.BDP($C120,O$72)="#N/A N/A","NA ",_xll.BDP($C120,O$72)/10^6),0)/P120),O120)</f>
        <v>0</v>
      </c>
      <c r="P120" s="349" cm="1">
        <f t="array" aca="1" ref="P120" ca="1">+IF(BBswitch=1,IF(ISBLANK($C120),"",IF(_xll.BDP("USD"&amp;Q120&amp;" BGN Curncy","px last")="#N/A Invalid Security",1,_xll.BDP("USD"&amp;Q120&amp;" BGN Curncy","px last"))),P120)</f>
        <v>1</v>
      </c>
      <c r="Q120" s="350" t="str">
        <f ca="1">IF(BBswitch=1,IF(ISBLANK($C120),"",IF(_xll.BDP($C120,Q$72)="#N/A N/A","NA ",_xll.BDP($C120,Q$72))),Q120)</f>
        <v>USD</v>
      </c>
      <c r="R120" s="351" t="str" cm="1">
        <f t="array" aca="1" ref="R120" ca="1">IF(BBswitch=1,IF(ISBLANK($C120),"",IF(OR(_xll.BDP($C120,R$72)="#N/A Field Not Applicable",_xll.BDP($C120,R$72)="#N/A N/A"),"",_xll.BDP($C120,R$72))),R120)</f>
        <v/>
      </c>
      <c r="S120" s="351" cm="1">
        <f t="array" aca="1" ref="S120" ca="1">IF(BBswitch=1,IF(ISBLANK($C120),"",IF(OR(_xll.BDP($C120,S$72)="#N/A Field Not Applicable",_xll.BDP($C120,S$72)="#N/A N/A"),"",_xll.BDP($C120,S$72))),S120)</f>
        <v>547.75852595735921</v>
      </c>
      <c r="T120" s="351" t="str" cm="1">
        <f t="array" aca="1" ref="T120" ca="1">IF(BBswitch=1,IF(ISBLANK($C120),"",IF(OR(_xll.BDP($C120,T$72)="#N/A Field Not Applicable",_xll.BDP($C120,T$72)="#N/A N/A"),"",_xll.BDP($C120,T$72))),T120)</f>
        <v/>
      </c>
      <c r="U120" s="351" cm="1">
        <f t="array" aca="1" ref="U120" ca="1">IF(BBswitch=1,IF(ISBLANK($C120),"",IF(OR(_xll.BDP($C120,U$72)="#N/A Field Not Applicable",_xll.BDP($C120,U$72)="#N/A N/A"),"",_xll.BDP($C120,U$72))),U120)</f>
        <v>2.7174582254776043</v>
      </c>
      <c r="V120" s="352" t="str">
        <f ca="1">IF(BBswitch=1,IF(ISBLANK($C120),"",IF(_xll.BDP($C120,V$72)="#N/A N/A","NA ",_xll.BDP($C120,V$72))),V120)</f>
        <v>3rd lien</v>
      </c>
      <c r="W120" s="353" t="str" cm="1">
        <f t="array" aca="1" ref="W120" ca="1">IF(BBswitch=1,IF(ISBLANK($C120),"",IF(_xll.BDP($C120,W$72)="#N/A N/A","NA ",_xll.BDP($C120,W$72))),W120)</f>
        <v>United Airlines 2019-2 Class B Pass Through Trust</v>
      </c>
      <c r="X120" s="343" t="str">
        <f ca="1">IF(BBswitch=1,IF(ISBLANK($C120),"",IF(_xll.BDP($C120,X$73)="#N/A N/A","NA ",_xll.BDP($C120,X$73))),X120)</f>
        <v>UAL 3.5 28</v>
      </c>
    </row>
    <row r="121" spans="3:37" hidden="1" outlineLevel="1">
      <c r="C121" s="6" t="s">
        <v>1701</v>
      </c>
      <c r="D121" s="343" t="str">
        <f ca="1">IF(BBswitch=1,IF(ISBLANK($C121),"",IF(_xll.BDP($C121,D$73)="#N/A N/A","NA ",_xll.BDP($C121,D$73))),D121)</f>
        <v>UAL 2.7 32</v>
      </c>
      <c r="E121" s="344" t="str">
        <f ca="1">IF(BBswitch=1,IF(ISBLANK($C121),"",IF(_xll.BDP($C121,E$73)="#N/A N/A","NA ",_xll.BDP($C121,E$73))),E121)</f>
        <v xml:space="preserve">NA </v>
      </c>
      <c r="F121" s="354">
        <f ca="1">IF(BBswitch=1,IF(ISBLANK($C121),"",IF(_xll.BDP($C121,F$72)="#N/A N/A","NA ",_xll.BDP($C121,F$72)/10^6)/P121),F121)</f>
        <v>638.98892000000001</v>
      </c>
      <c r="G121" s="355">
        <f ca="1">IF(BBswitch=1,IF(ISBLANK($C121),"",IF(_xll.BDP($C121,G$72)="#N/A N/A","NA ",_xll.BDP($C121,G$72)/100)),G121)</f>
        <v>2.7000000000000003E-2</v>
      </c>
      <c r="H121" s="355">
        <f ca="1">IF(BBswitch=1,IF(ISBLANK($C121),"",IF(_xll.BDP($C121,H$72)="#N/A N/A","NA ",_xll.BDP($C121,H$72)/100)),H121)</f>
        <v>0.83956000000000008</v>
      </c>
      <c r="I121" s="355">
        <f ca="1">IF(BBswitch=1,IF(ISBLANK($C121),"",IF(_xll.BDP($C121,I$72)="#N/A N/A","NA ",_xll.BDP($C121,I$72)/100)),I121)</f>
        <v>3.2233417697340151E-2</v>
      </c>
      <c r="J121" s="355">
        <f ca="1">IF(BBswitch=1,IF(ISBLANK($C121),"",IF(_xll.BDP($C121,J$72)="#N/A N/A","NA ",_xll.BDP($C121,J$72)/100)),J121)</f>
        <v>5.5973157335145546E-2</v>
      </c>
      <c r="K121" s="345" t="str">
        <f ca="1">IF(BBswitch=1,IF(ISBLANK($C121),"",IF(_xll.BDP($C121,K$72)="#N/A N/A","NA ",_xll.BDP($C121,K$72))),K121)</f>
        <v>5/1/2032</v>
      </c>
      <c r="L121" s="346">
        <f t="shared" ca="1" si="12"/>
        <v>2032</v>
      </c>
      <c r="M121" s="345" t="str">
        <f ca="1">IF(BBswitch=1,IF(ISBLANK($C121),"",IF(_xll.BDP($C121,M$72)="#N/A N/A","NA ",_xll.BDP($C121,M$72))),M121)</f>
        <v>9/13/2019</v>
      </c>
      <c r="N121" s="347" t="str" cm="1">
        <f t="array" aca="1" ref="N121" ca="1">IF(BBswitch=1,IF(ISBLANK($C121),"",IF(_xll.BDP($C121,N$72)="#N/A Field Not Applicable","Notes",_xll.BDP($C121,N$72))),N121)</f>
        <v>Notes</v>
      </c>
      <c r="O121" s="348" cm="1">
        <f t="array" aca="1" ref="O121" ca="1">IF(BBswitch=1,IF(ISBLANK($C121),"",IFERROR(IF(_xll.BDP($C121,O$72)="#N/A N/A","NA ",_xll.BDP($C121,O$72)/10^6),0)/P121),O121)</f>
        <v>0</v>
      </c>
      <c r="P121" s="349" cm="1">
        <f t="array" aca="1" ref="P121" ca="1">+IF(BBswitch=1,IF(ISBLANK($C121),"",IF(_xll.BDP("USD"&amp;Q121&amp;" BGN Curncy","px last")="#N/A Invalid Security",1,_xll.BDP("USD"&amp;Q121&amp;" BGN Curncy","px last"))),P121)</f>
        <v>1</v>
      </c>
      <c r="Q121" s="350" t="str">
        <f ca="1">IF(BBswitch=1,IF(ISBLANK($C121),"",IF(_xll.BDP($C121,Q$72)="#N/A N/A","NA ",_xll.BDP($C121,Q$72))),Q121)</f>
        <v>USD</v>
      </c>
      <c r="R121" s="351" t="str" cm="1">
        <f t="array" aca="1" ref="R121" ca="1">IF(BBswitch=1,IF(ISBLANK($C121),"",IF(OR(_xll.BDP($C121,R$72)="#N/A Field Not Applicable",_xll.BDP($C121,R$72)="#N/A N/A"),"",_xll.BDP($C121,R$72))),R121)</f>
        <v/>
      </c>
      <c r="S121" s="351" cm="1">
        <f t="array" aca="1" ref="S121" ca="1">IF(BBswitch=1,IF(ISBLANK($C121),"",IF(OR(_xll.BDP($C121,S$72)="#N/A Field Not Applicable",_xll.BDP($C121,S$72)="#N/A N/A"),"",_xll.BDP($C121,S$72))),S121)</f>
        <v>250.24411793718622</v>
      </c>
      <c r="T121" s="351" t="str" cm="1">
        <f t="array" aca="1" ref="T121" ca="1">IF(BBswitch=1,IF(ISBLANK($C121),"",IF(OR(_xll.BDP($C121,T$72)="#N/A Field Not Applicable",_xll.BDP($C121,T$72)="#N/A N/A"),"",_xll.BDP($C121,T$72))),T121)</f>
        <v/>
      </c>
      <c r="U121" s="351" cm="1">
        <f t="array" aca="1" ref="U121" ca="1">IF(BBswitch=1,IF(ISBLANK($C121),"",IF(OR(_xll.BDP($C121,U$72)="#N/A Field Not Applicable",_xll.BDP($C121,U$72)="#N/A N/A"),"",_xll.BDP($C121,U$72))),U121)</f>
        <v>5.8696650549638072</v>
      </c>
      <c r="V121" s="352" t="str">
        <f ca="1">IF(BBswitch=1,IF(ISBLANK($C121),"",IF(_xll.BDP($C121,V$72)="#N/A N/A","NA ",_xll.BDP($C121,V$72))),V121)</f>
        <v>1st lien</v>
      </c>
      <c r="W121" s="353" t="str" cm="1">
        <f t="array" aca="1" ref="W121" ca="1">IF(BBswitch=1,IF(ISBLANK($C121),"",IF(_xll.BDP($C121,W$72)="#N/A N/A","NA ",_xll.BDP($C121,W$72))),W121)</f>
        <v>United Airlines 2019-2 Class AA Pass Through Trust</v>
      </c>
      <c r="X121" s="343" t="str">
        <f ca="1">IF(BBswitch=1,IF(ISBLANK($C121),"",IF(_xll.BDP($C121,X$73)="#N/A N/A","NA ",_xll.BDP($C121,X$73))),X121)</f>
        <v>UAL 2.7 32</v>
      </c>
    </row>
    <row r="122" spans="3:37" hidden="1" outlineLevel="1">
      <c r="C122" s="6" t="s">
        <v>1702</v>
      </c>
      <c r="D122" s="343" t="str">
        <f ca="1">IF(BBswitch=1,IF(ISBLANK($C122),"",IF(_xll.BDP($C122,D$73)="#N/A N/A","NA ",_xll.BDP($C122,D$73))),D122)</f>
        <v>UAL 6.636 22</v>
      </c>
      <c r="E122" s="344" t="str">
        <f ca="1">IF(BBswitch=1,IF(ISBLANK($C122),"",IF(_xll.BDP($C122,E$73)="#N/A N/A","NA ",_xll.BDP($C122,E$73))),E122)</f>
        <v xml:space="preserve">NA </v>
      </c>
      <c r="F122" s="354">
        <f ca="1">IF(BBswitch=1,IF(ISBLANK($C122),"",IF(_xll.BDP($C122,F$72)="#N/A N/A","NA ",_xll.BDP($C122,F$72)/10^6)/P122),F122)</f>
        <v>0</v>
      </c>
      <c r="G122" s="355">
        <f ca="1">IF(BBswitch=1,IF(ISBLANK($C122),"",IF(_xll.BDP($C122,G$72)="#N/A N/A","NA ",_xll.BDP($C122,G$72)/100)),G122)</f>
        <v>6.6360000000000002E-2</v>
      </c>
      <c r="H122" s="355" t="str">
        <f ca="1">IF(BBswitch=1,IF(ISBLANK($C122),"",IF(_xll.BDP($C122,H$72)="#N/A N/A","NA ",_xll.BDP($C122,H$72)/100)),H122)</f>
        <v xml:space="preserve">NA </v>
      </c>
      <c r="I122" s="355" t="str">
        <f ca="1">IF(BBswitch=1,IF(ISBLANK($C122),"",IF(_xll.BDP($C122,I$72)="#N/A N/A","NA ",_xll.BDP($C122,I$72)/100)),I122)</f>
        <v xml:space="preserve">NA </v>
      </c>
      <c r="J122" s="355" t="str">
        <f ca="1">IF(BBswitch=1,IF(ISBLANK($C122),"",IF(_xll.BDP($C122,J$72)="#N/A N/A","NA ",_xll.BDP($C122,J$72)/100)),J122)</f>
        <v xml:space="preserve">NA </v>
      </c>
      <c r="K122" s="345" t="str">
        <f ca="1">IF(BBswitch=1,IF(ISBLANK($C122),"",IF(_xll.BDP($C122,K$72)="#N/A N/A","NA ",_xll.BDP($C122,K$72))),K122)</f>
        <v>7/2/2022</v>
      </c>
      <c r="L122" s="346">
        <f t="shared" ref="L122:L130" ca="1" si="13">IF(ISBLANK($C122),"",YEAR(K122))</f>
        <v>2022</v>
      </c>
      <c r="M122" s="345" t="str">
        <f ca="1">IF(BBswitch=1,IF(ISBLANK($C122),"",IF(_xll.BDP($C122,M$72)="#N/A N/A","NA ",_xll.BDP($C122,M$72))),M122)</f>
        <v>6/26/2007</v>
      </c>
      <c r="N122" s="347" t="str" cm="1">
        <f t="array" aca="1" ref="N122" ca="1">IF(BBswitch=1,IF(ISBLANK($C122),"",IF(_xll.BDP($C122,N$72)="#N/A Field Not Applicable","Notes",_xll.BDP($C122,N$72))),N122)</f>
        <v>Notes</v>
      </c>
      <c r="O122" s="348" cm="1">
        <f t="array" aca="1" ref="O122" ca="1">IF(BBswitch=1,IF(ISBLANK($C122),"",IFERROR(IF(_xll.BDP($C122,O$72)="#N/A N/A","NA ",_xll.BDP($C122,O$72)/10^6),0)/P122),O122)</f>
        <v>0</v>
      </c>
      <c r="P122" s="349" cm="1">
        <f t="array" aca="1" ref="P122" ca="1">+IF(BBswitch=1,IF(ISBLANK($C122),"",IF(_xll.BDP("USD"&amp;Q122&amp;" BGN Curncy","px last")="#N/A Invalid Security",1,_xll.BDP("USD"&amp;Q122&amp;" BGN Curncy","px last"))),P122)</f>
        <v>1</v>
      </c>
      <c r="Q122" s="350" t="str">
        <f ca="1">IF(BBswitch=1,IF(ISBLANK($C122),"",IF(_xll.BDP($C122,Q$72)="#N/A N/A","NA ",_xll.BDP($C122,Q$72))),Q122)</f>
        <v>USD</v>
      </c>
      <c r="R122" s="351" t="str" cm="1">
        <f t="array" aca="1" ref="R122" ca="1">IF(BBswitch=1,IF(ISBLANK($C122),"",IF(OR(_xll.BDP($C122,R$72)="#N/A Field Not Applicable",_xll.BDP($C122,R$72)="#N/A N/A"),"",_xll.BDP($C122,R$72))),R122)</f>
        <v/>
      </c>
      <c r="S122" s="351" t="str" cm="1">
        <f t="array" aca="1" ref="S122" ca="1">IF(BBswitch=1,IF(ISBLANK($C122),"",IF(OR(_xll.BDP($C122,S$72)="#N/A Field Not Applicable",_xll.BDP($C122,S$72)="#N/A N/A"),"",_xll.BDP($C122,S$72))),S122)</f>
        <v/>
      </c>
      <c r="T122" s="351" t="str" cm="1">
        <f t="array" aca="1" ref="T122" ca="1">IF(BBswitch=1,IF(ISBLANK($C122),"",IF(OR(_xll.BDP($C122,T$72)="#N/A Field Not Applicable",_xll.BDP($C122,T$72)="#N/A N/A"),"",_xll.BDP($C122,T$72))),T122)</f>
        <v/>
      </c>
      <c r="U122" s="351" t="str" cm="1">
        <f t="array" aca="1" ref="U122" ca="1">IF(BBswitch=1,IF(ISBLANK($C122),"",IF(OR(_xll.BDP($C122,U$72)="#N/A Field Not Applicable",_xll.BDP($C122,U$72)="#N/A N/A"),"",_xll.BDP($C122,U$72))),U122)</f>
        <v/>
      </c>
      <c r="V122" s="352" t="str">
        <f ca="1">IF(BBswitch=1,IF(ISBLANK($C122),"",IF(_xll.BDP($C122,V$72)="#N/A N/A","NA ",_xll.BDP($C122,V$72))),V122)</f>
        <v>1st lien</v>
      </c>
      <c r="W122" s="353" t="str" cm="1">
        <f t="array" aca="1" ref="W122" ca="1">IF(BBswitch=1,IF(ISBLANK($C122),"",IF(_xll.BDP($C122,W$72)="#N/A N/A","NA ",_xll.BDP($C122,W$72))),W122)</f>
        <v>UAL 2007-1 Pass Through Trust</v>
      </c>
      <c r="X122" s="343" t="str">
        <f ca="1">IF(BBswitch=1,IF(ISBLANK($C122),"",IF(_xll.BDP($C122,X$73)="#N/A N/A","NA ",_xll.BDP($C122,X$73))),X122)</f>
        <v>UAL 6.636 22</v>
      </c>
    </row>
    <row r="123" spans="3:37" hidden="1" outlineLevel="1">
      <c r="C123" s="6" t="s">
        <v>1703</v>
      </c>
      <c r="D123" s="343" t="str">
        <f ca="1">IF(BBswitch=1,IF(ISBLANK($C123),"",IF(_xll.BDP($C123,D$73)="#N/A N/A","NA ",_xll.BDP($C123,D$73))),D123)</f>
        <v>UAL 3.45 28</v>
      </c>
      <c r="E123" s="344" t="str">
        <f ca="1">IF(BBswitch=1,IF(ISBLANK($C123),"",IF(_xll.BDP($C123,E$73)="#N/A N/A","NA ",_xll.BDP($C123,E$73))),E123)</f>
        <v xml:space="preserve">NA </v>
      </c>
      <c r="F123" s="354">
        <f ca="1">IF(BBswitch=1,IF(ISBLANK($C123),"",IF(_xll.BDP($C123,F$72)="#N/A N/A","NA ",_xll.BDP($C123,F$72)/10^6)/P123),F123)</f>
        <v>238.58627823</v>
      </c>
      <c r="G123" s="355">
        <f ca="1">IF(BBswitch=1,IF(ISBLANK($C123),"",IF(_xll.BDP($C123,G$72)="#N/A N/A","NA ",_xll.BDP($C123,G$72)/100)),G123)</f>
        <v>3.4500000000000003E-2</v>
      </c>
      <c r="H123" s="355">
        <f ca="1">IF(BBswitch=1,IF(ISBLANK($C123),"",IF(_xll.BDP($C123,H$72)="#N/A N/A","NA ",_xll.BDP($C123,H$72)/100)),H123)</f>
        <v>0.79983000000000004</v>
      </c>
      <c r="I123" s="355">
        <f ca="1">IF(BBswitch=1,IF(ISBLANK($C123),"",IF(_xll.BDP($C123,I$72)="#N/A N/A","NA ",_xll.BDP($C123,I$72)/100)),I123)</f>
        <v>4.3607958136360182E-2</v>
      </c>
      <c r="J123" s="355">
        <f ca="1">IF(BBswitch=1,IF(ISBLANK($C123),"",IF(_xll.BDP($C123,J$72)="#N/A N/A","NA ",_xll.BDP($C123,J$72)/100)),J123)</f>
        <v>9.076663026564967E-2</v>
      </c>
      <c r="K123" s="345" t="str">
        <f ca="1">IF(BBswitch=1,IF(ISBLANK($C123),"",IF(_xll.BDP($C123,K$72)="#N/A N/A","NA ",_xll.BDP($C123,K$72))),K123)</f>
        <v>7/7/2028</v>
      </c>
      <c r="L123" s="346">
        <f t="shared" ca="1" si="13"/>
        <v>2028</v>
      </c>
      <c r="M123" s="345" t="str">
        <f ca="1">IF(BBswitch=1,IF(ISBLANK($C123),"",IF(_xll.BDP($C123,M$72)="#N/A N/A","NA ",_xll.BDP($C123,M$72))),M123)</f>
        <v>6/13/2016</v>
      </c>
      <c r="N123" s="347" t="str" cm="1">
        <f t="array" aca="1" ref="N123" ca="1">IF(BBswitch=1,IF(ISBLANK($C123),"",IF(_xll.BDP($C123,N$72)="#N/A Field Not Applicable","Notes",_xll.BDP($C123,N$72))),N123)</f>
        <v>Notes</v>
      </c>
      <c r="O123" s="348" cm="1">
        <f t="array" aca="1" ref="O123" ca="1">IF(BBswitch=1,IF(ISBLANK($C123),"",IFERROR(IF(_xll.BDP($C123,O$72)="#N/A N/A","NA ",_xll.BDP($C123,O$72)/10^6),0)/P123),O123)</f>
        <v>0</v>
      </c>
      <c r="P123" s="349" cm="1">
        <f t="array" aca="1" ref="P123" ca="1">+IF(BBswitch=1,IF(ISBLANK($C123),"",IF(_xll.BDP("USD"&amp;Q123&amp;" BGN Curncy","px last")="#N/A Invalid Security",1,_xll.BDP("USD"&amp;Q123&amp;" BGN Curncy","px last"))),P123)</f>
        <v>1</v>
      </c>
      <c r="Q123" s="350" t="str">
        <f ca="1">IF(BBswitch=1,IF(ISBLANK($C123),"",IF(_xll.BDP($C123,Q$72)="#N/A N/A","NA ",_xll.BDP($C123,Q$72))),Q123)</f>
        <v>USD</v>
      </c>
      <c r="R123" s="351" t="str" cm="1">
        <f t="array" aca="1" ref="R123" ca="1">IF(BBswitch=1,IF(ISBLANK($C123),"",IF(OR(_xll.BDP($C123,R$72)="#N/A Field Not Applicable",_xll.BDP($C123,R$72)="#N/A N/A"),"",_xll.BDP($C123,R$72))),R123)</f>
        <v/>
      </c>
      <c r="S123" s="351" cm="1">
        <f t="array" aca="1" ref="S123" ca="1">IF(BBswitch=1,IF(ISBLANK($C123),"",IF(OR(_xll.BDP($C123,S$72)="#N/A Field Not Applicable",_xll.BDP($C123,S$72)="#N/A N/A"),"",_xll.BDP($C123,S$72))),S123)</f>
        <v>572.36228425920524</v>
      </c>
      <c r="T123" s="351" t="str" cm="1">
        <f t="array" aca="1" ref="T123" ca="1">IF(BBswitch=1,IF(ISBLANK($C123),"",IF(OR(_xll.BDP($C123,T$72)="#N/A Field Not Applicable",_xll.BDP($C123,T$72)="#N/A N/A"),"",_xll.BDP($C123,T$72))),T123)</f>
        <v/>
      </c>
      <c r="U123" s="351" cm="1">
        <f t="array" aca="1" ref="U123" ca="1">IF(BBswitch=1,IF(ISBLANK($C123),"",IF(OR(_xll.BDP($C123,U$72)="#N/A Field Not Applicable",_xll.BDP($C123,U$72)="#N/A N/A"),"",_xll.BDP($C123,U$72))),U123)</f>
        <v>4.0113365083592125</v>
      </c>
      <c r="V123" s="352" t="str">
        <f ca="1">IF(BBswitch=1,IF(ISBLANK($C123),"",IF(_xll.BDP($C123,V$72)="#N/A N/A","NA ",_xll.BDP($C123,V$72))),V123)</f>
        <v>2nd lien</v>
      </c>
      <c r="W123" s="353" t="str" cm="1">
        <f t="array" aca="1" ref="W123" ca="1">IF(BBswitch=1,IF(ISBLANK($C123),"",IF(_xll.BDP($C123,W$72)="#N/A N/A","NA ",_xll.BDP($C123,W$72))),W123)</f>
        <v>United Airlines 2016-1 Class A Pass Through Trust</v>
      </c>
      <c r="X123" s="343" t="str">
        <f ca="1">IF(BBswitch=1,IF(ISBLANK($C123),"",IF(_xll.BDP($C123,X$73)="#N/A N/A","NA ",_xll.BDP($C123,X$73))),X123)</f>
        <v>UAL 3.45 28</v>
      </c>
    </row>
    <row r="124" spans="3:37" hidden="1" outlineLevel="1">
      <c r="C124" s="6" t="s">
        <v>1704</v>
      </c>
      <c r="D124" s="343" t="str">
        <f ca="1">IF(BBswitch=1,IF(ISBLANK($C124),"",IF(_xll.BDP($C124,D$73)="#N/A N/A","NA ",_xll.BDP($C124,D$73))),D124)</f>
        <v>UAL 3.1 28</v>
      </c>
      <c r="E124" s="344" t="str">
        <f ca="1">IF(BBswitch=1,IF(ISBLANK($C124),"",IF(_xll.BDP($C124,E$73)="#N/A N/A","NA ",_xll.BDP($C124,E$73))),E124)</f>
        <v xml:space="preserve">NA </v>
      </c>
      <c r="F124" s="354">
        <f ca="1">IF(BBswitch=1,IF(ISBLANK($C124),"",IF(_xll.BDP($C124,F$72)="#N/A N/A","NA ",_xll.BDP($C124,F$72)/10^6)/P124),F124)</f>
        <v>536.46618808878009</v>
      </c>
      <c r="G124" s="355">
        <f ca="1">IF(BBswitch=1,IF(ISBLANK($C124),"",IF(_xll.BDP($C124,G$72)="#N/A N/A","NA ",_xll.BDP($C124,G$72)/100)),G124)</f>
        <v>3.1E-2</v>
      </c>
      <c r="H124" s="355">
        <f ca="1">IF(BBswitch=1,IF(ISBLANK($C124),"",IF(_xll.BDP($C124,H$72)="#N/A N/A","NA ",_xll.BDP($C124,H$72)/100)),H124)</f>
        <v>0.89785999999999999</v>
      </c>
      <c r="I124" s="355">
        <f ca="1">IF(BBswitch=1,IF(ISBLANK($C124),"",IF(_xll.BDP($C124,I$72)="#N/A N/A","NA ",_xll.BDP($C124,I$72)/100)),I124)</f>
        <v>3.4555790881730025E-2</v>
      </c>
      <c r="J124" s="355">
        <f ca="1">IF(BBswitch=1,IF(ISBLANK($C124),"",IF(_xll.BDP($C124,J$72)="#N/A N/A","NA ",_xll.BDP($C124,J$72)/100)),J124)</f>
        <v>5.628771888767907E-2</v>
      </c>
      <c r="K124" s="345" t="str">
        <f ca="1">IF(BBswitch=1,IF(ISBLANK($C124),"",IF(_xll.BDP($C124,K$72)="#N/A N/A","NA ",_xll.BDP($C124,K$72))),K124)</f>
        <v>7/7/2028</v>
      </c>
      <c r="L124" s="346">
        <f t="shared" ca="1" si="13"/>
        <v>2028</v>
      </c>
      <c r="M124" s="345" t="str">
        <f ca="1">IF(BBswitch=1,IF(ISBLANK($C124),"",IF(_xll.BDP($C124,M$72)="#N/A N/A","NA ",_xll.BDP($C124,M$72))),M124)</f>
        <v>6/13/2016</v>
      </c>
      <c r="N124" s="347" t="str" cm="1">
        <f t="array" aca="1" ref="N124" ca="1">IF(BBswitch=1,IF(ISBLANK($C124),"",IF(_xll.BDP($C124,N$72)="#N/A Field Not Applicable","Notes",_xll.BDP($C124,N$72))),N124)</f>
        <v>Notes</v>
      </c>
      <c r="O124" s="348" cm="1">
        <f t="array" aca="1" ref="O124" ca="1">IF(BBswitch=1,IF(ISBLANK($C124),"",IFERROR(IF(_xll.BDP($C124,O$72)="#N/A N/A","NA ",_xll.BDP($C124,O$72)/10^6),0)/P124),O124)</f>
        <v>0</v>
      </c>
      <c r="P124" s="349" cm="1">
        <f t="array" aca="1" ref="P124" ca="1">+IF(BBswitch=1,IF(ISBLANK($C124),"",IF(_xll.BDP("USD"&amp;Q124&amp;" BGN Curncy","px last")="#N/A Invalid Security",1,_xll.BDP("USD"&amp;Q124&amp;" BGN Curncy","px last"))),P124)</f>
        <v>1</v>
      </c>
      <c r="Q124" s="350" t="str">
        <f ca="1">IF(BBswitch=1,IF(ISBLANK($C124),"",IF(_xll.BDP($C124,Q$72)="#N/A N/A","NA ",_xll.BDP($C124,Q$72))),Q124)</f>
        <v>USD</v>
      </c>
      <c r="R124" s="351" t="str" cm="1">
        <f t="array" aca="1" ref="R124" ca="1">IF(BBswitch=1,IF(ISBLANK($C124),"",IF(OR(_xll.BDP($C124,R$72)="#N/A Field Not Applicable",_xll.BDP($C124,R$72)="#N/A N/A"),"",_xll.BDP($C124,R$72))),R124)</f>
        <v/>
      </c>
      <c r="S124" s="351" cm="1">
        <f t="array" aca="1" ref="S124" ca="1">IF(BBswitch=1,IF(ISBLANK($C124),"",IF(OR(_xll.BDP($C124,S$72)="#N/A Field Not Applicable",_xll.BDP($C124,S$72)="#N/A N/A"),"",_xll.BDP($C124,S$72))),S124)</f>
        <v>247.3340509834224</v>
      </c>
      <c r="T124" s="351" t="str" cm="1">
        <f t="array" aca="1" ref="T124" ca="1">IF(BBswitch=1,IF(ISBLANK($C124),"",IF(OR(_xll.BDP($C124,T$72)="#N/A Field Not Applicable",_xll.BDP($C124,T$72)="#N/A N/A"),"",_xll.BDP($C124,T$72))),T124)</f>
        <v/>
      </c>
      <c r="U124" s="351" cm="1">
        <f t="array" aca="1" ref="U124" ca="1">IF(BBswitch=1,IF(ISBLANK($C124),"",IF(OR(_xll.BDP($C124,U$72)="#N/A Field Not Applicable",_xll.BDP($C124,U$72)="#N/A N/A"),"",_xll.BDP($C124,U$72))),U124)</f>
        <v>4.2177304769867972</v>
      </c>
      <c r="V124" s="352" t="str">
        <f ca="1">IF(BBswitch=1,IF(ISBLANK($C124),"",IF(_xll.BDP($C124,V$72)="#N/A N/A","NA ",_xll.BDP($C124,V$72))),V124)</f>
        <v>1st lien</v>
      </c>
      <c r="W124" s="353" t="str" cm="1">
        <f t="array" aca="1" ref="W124" ca="1">IF(BBswitch=1,IF(ISBLANK($C124),"",IF(_xll.BDP($C124,W$72)="#N/A N/A","NA ",_xll.BDP($C124,W$72))),W124)</f>
        <v>United Airlines 2016-1 Class AA Pass Through Trust</v>
      </c>
      <c r="X124" s="343" t="str">
        <f ca="1">IF(BBswitch=1,IF(ISBLANK($C124),"",IF(_xll.BDP($C124,X$73)="#N/A N/A","NA ",_xll.BDP($C124,X$73))),X124)</f>
        <v>UAL 3.1 28</v>
      </c>
    </row>
    <row r="125" spans="3:37" hidden="1" outlineLevel="1">
      <c r="C125" s="6" t="s">
        <v>1705</v>
      </c>
      <c r="D125" s="343" t="str">
        <f ca="1">IF(BBswitch=1,IF(ISBLANK($C125),"",IF(_xll.BDP($C125,D$73)="#N/A N/A","NA ",_xll.BDP($C125,D$73))),D125)</f>
        <v>UAL 4.3 25</v>
      </c>
      <c r="E125" s="344" t="str">
        <f ca="1">IF(BBswitch=1,IF(ISBLANK($C125),"",IF(_xll.BDP($C125,E$73)="#N/A N/A","NA ",_xll.BDP($C125,E$73))),E125)</f>
        <v xml:space="preserve">NA </v>
      </c>
      <c r="F125" s="354">
        <f ca="1">IF(BBswitch=1,IF(ISBLANK($C125),"",IF(_xll.BDP($C125,F$72)="#N/A N/A","NA ",_xll.BDP($C125,F$72)/10^6)/P125),F125)</f>
        <v>452.38205855000001</v>
      </c>
      <c r="G125" s="355">
        <f ca="1">IF(BBswitch=1,IF(ISBLANK($C125),"",IF(_xll.BDP($C125,G$72)="#N/A N/A","NA ",_xll.BDP($C125,G$72)/100)),G125)</f>
        <v>4.2999999999999997E-2</v>
      </c>
      <c r="H125" s="355">
        <f ca="1">IF(BBswitch=1,IF(ISBLANK($C125),"",IF(_xll.BDP($C125,H$72)="#N/A N/A","NA ",_xll.BDP($C125,H$72)/100)),H125)</f>
        <v>0.95299999999999996</v>
      </c>
      <c r="I125" s="355">
        <f ca="1">IF(BBswitch=1,IF(ISBLANK($C125),"",IF(_xll.BDP($C125,I$72)="#N/A N/A","NA ",_xll.BDP($C125,I$72)/100)),I125)</f>
        <v>4.5206530766723783E-2</v>
      </c>
      <c r="J125" s="355">
        <f ca="1">IF(BBswitch=1,IF(ISBLANK($C125),"",IF(_xll.BDP($C125,J$72)="#N/A N/A","NA ",_xll.BDP($C125,J$72)/100)),J125)</f>
        <v>6.3473970624411569E-2</v>
      </c>
      <c r="K125" s="345" t="str">
        <f ca="1">IF(BBswitch=1,IF(ISBLANK($C125),"",IF(_xll.BDP($C125,K$72)="#N/A N/A","NA ",_xll.BDP($C125,K$72))),K125)</f>
        <v>8/15/2025</v>
      </c>
      <c r="L125" s="346" t="e">
        <f t="shared" ca="1" si="13"/>
        <v>#VALUE!</v>
      </c>
      <c r="M125" s="345" t="str">
        <f ca="1">IF(BBswitch=1,IF(ISBLANK($C125),"",IF(_xll.BDP($C125,M$72)="#N/A N/A","NA ",_xll.BDP($C125,M$72))),M125)</f>
        <v>8/15/2013</v>
      </c>
      <c r="N125" s="347" t="str" cm="1">
        <f t="array" aca="1" ref="N125" ca="1">IF(BBswitch=1,IF(ISBLANK($C125),"",IF(_xll.BDP($C125,N$72)="#N/A Field Not Applicable","Notes",_xll.BDP($C125,N$72))),N125)</f>
        <v>Notes</v>
      </c>
      <c r="O125" s="348" cm="1">
        <f t="array" aca="1" ref="O125" ca="1">IF(BBswitch=1,IF(ISBLANK($C125),"",IFERROR(IF(_xll.BDP($C125,O$72)="#N/A N/A","NA ",_xll.BDP($C125,O$72)/10^6),0)/P125),O125)</f>
        <v>0</v>
      </c>
      <c r="P125" s="349" cm="1">
        <f t="array" aca="1" ref="P125" ca="1">+IF(BBswitch=1,IF(ISBLANK($C125),"",IF(_xll.BDP("USD"&amp;Q125&amp;" BGN Curncy","px last")="#N/A Invalid Security",1,_xll.BDP("USD"&amp;Q125&amp;" BGN Curncy","px last"))),P125)</f>
        <v>1</v>
      </c>
      <c r="Q125" s="350" t="str">
        <f ca="1">IF(BBswitch=1,IF(ISBLANK($C125),"",IF(_xll.BDP($C125,Q$72)="#N/A N/A","NA ",_xll.BDP($C125,Q$72))),Q125)</f>
        <v>USD</v>
      </c>
      <c r="R125" s="351" t="str" cm="1">
        <f t="array" aca="1" ref="R125" ca="1">IF(BBswitch=1,IF(ISBLANK($C125),"",IF(OR(_xll.BDP($C125,R$72)="#N/A Field Not Applicable",_xll.BDP($C125,R$72)="#N/A N/A"),"",_xll.BDP($C125,R$72))),R125)</f>
        <v/>
      </c>
      <c r="S125" s="351" cm="1">
        <f t="array" aca="1" ref="S125" ca="1">IF(BBswitch=1,IF(ISBLANK($C125),"",IF(OR(_xll.BDP($C125,S$72)="#N/A Field Not Applicable",_xll.BDP($C125,S$72)="#N/A N/A"),"",_xll.BDP($C125,S$72))),S125)</f>
        <v>306.39002552939053</v>
      </c>
      <c r="T125" s="351" t="str" cm="1">
        <f t="array" aca="1" ref="T125" ca="1">IF(BBswitch=1,IF(ISBLANK($C125),"",IF(OR(_xll.BDP($C125,T$72)="#N/A Field Not Applicable",_xll.BDP($C125,T$72)="#N/A N/A"),"",_xll.BDP($C125,T$72))),T125)</f>
        <v/>
      </c>
      <c r="U125" s="351" cm="1">
        <f t="array" aca="1" ref="U125" ca="1">IF(BBswitch=1,IF(ISBLANK($C125),"",IF(OR(_xll.BDP($C125,U$72)="#N/A Field Not Applicable",_xll.BDP($C125,U$72)="#N/A N/A"),"",_xll.BDP($C125,U$72))),U125)</f>
        <v>2.3808325876920278</v>
      </c>
      <c r="V125" s="352" t="str">
        <f ca="1">IF(BBswitch=1,IF(ISBLANK($C125),"",IF(_xll.BDP($C125,V$72)="#N/A N/A","NA ",_xll.BDP($C125,V$72))),V125)</f>
        <v>1st lien</v>
      </c>
      <c r="W125" s="353" t="str" cm="1">
        <f t="array" aca="1" ref="W125" ca="1">IF(BBswitch=1,IF(ISBLANK($C125),"",IF(_xll.BDP($C125,W$72)="#N/A N/A","NA ",_xll.BDP($C125,W$72))),W125)</f>
        <v>United Airlines 2013-1 Class A Pass Through Trust</v>
      </c>
      <c r="X125" s="343" t="str">
        <f ca="1">IF(BBswitch=1,IF(ISBLANK($C125),"",IF(_xll.BDP($C125,X$73)="#N/A N/A","NA ",_xll.BDP($C125,X$73))),X125)</f>
        <v>UAL 4.3 25</v>
      </c>
    </row>
    <row r="126" spans="3:37" hidden="1" outlineLevel="1">
      <c r="C126" s="6" t="s">
        <v>1706</v>
      </c>
      <c r="D126" s="343" t="str">
        <f ca="1">IF(BBswitch=1,IF(ISBLANK($C126),"",IF(_xll.BDP($C126,D$73)="#N/A N/A","NA ",_xll.BDP($C126,D$73))),D126)</f>
        <v>UAL 4.55 31</v>
      </c>
      <c r="E126" s="344" t="str">
        <f ca="1">IF(BBswitch=1,IF(ISBLANK($C126),"",IF(_xll.BDP($C126,E$73)="#N/A N/A","NA ",_xll.BDP($C126,E$73))),E126)</f>
        <v xml:space="preserve">NA </v>
      </c>
      <c r="F126" s="354">
        <f ca="1">IF(BBswitch=1,IF(ISBLANK($C126),"",IF(_xll.BDP($C126,F$72)="#N/A N/A","NA ",_xll.BDP($C126,F$72)/10^6)/P126),F126)</f>
        <v>236.32003458700001</v>
      </c>
      <c r="G126" s="355">
        <f ca="1">IF(BBswitch=1,IF(ISBLANK($C126),"",IF(_xll.BDP($C126,G$72)="#N/A N/A","NA ",_xll.BDP($C126,G$72)/100)),G126)</f>
        <v>4.5499999999999999E-2</v>
      </c>
      <c r="H126" s="355">
        <f ca="1">IF(BBswitch=1,IF(ISBLANK($C126),"",IF(_xll.BDP($C126,H$72)="#N/A N/A","NA ",_xll.BDP($C126,H$72)/100)),H126)</f>
        <v>0.88922000000000001</v>
      </c>
      <c r="I126" s="355">
        <f ca="1">IF(BBswitch=1,IF(ISBLANK($C126),"",IF(_xll.BDP($C126,I$72)="#N/A N/A","NA ",_xll.BDP($C126,I$72)/100)),I126)</f>
        <v>5.1222010829796577E-2</v>
      </c>
      <c r="J126" s="355">
        <f ca="1">IF(BBswitch=1,IF(ISBLANK($C126),"",IF(_xll.BDP($C126,J$72)="#N/A N/A","NA ",_xll.BDP($C126,J$72)/100)),J126)</f>
        <v>6.7559910124331143E-2</v>
      </c>
      <c r="K126" s="345" t="str">
        <f ca="1">IF(BBswitch=1,IF(ISBLANK($C126),"",IF(_xll.BDP($C126,K$72)="#N/A N/A","NA ",_xll.BDP($C126,K$72))),K126)</f>
        <v>8/25/2031</v>
      </c>
      <c r="L126" s="346" t="e">
        <f t="shared" ca="1" si="13"/>
        <v>#VALUE!</v>
      </c>
      <c r="M126" s="345" t="str">
        <f ca="1">IF(BBswitch=1,IF(ISBLANK($C126),"",IF(_xll.BDP($C126,M$72)="#N/A N/A","NA ",_xll.BDP($C126,M$72))),M126)</f>
        <v>2/11/2019</v>
      </c>
      <c r="N126" s="347" t="str" cm="1">
        <f t="array" aca="1" ref="N126" ca="1">IF(BBswitch=1,IF(ISBLANK($C126),"",IF(_xll.BDP($C126,N$72)="#N/A Field Not Applicable","Notes",_xll.BDP($C126,N$72))),N126)</f>
        <v>Notes</v>
      </c>
      <c r="O126" s="348" cm="1">
        <f t="array" aca="1" ref="O126" ca="1">IF(BBswitch=1,IF(ISBLANK($C126),"",IFERROR(IF(_xll.BDP($C126,O$72)="#N/A N/A","NA ",_xll.BDP($C126,O$72)/10^6),0)/P126),O126)</f>
        <v>0</v>
      </c>
      <c r="P126" s="349" cm="1">
        <f t="array" aca="1" ref="P126" ca="1">+IF(BBswitch=1,IF(ISBLANK($C126),"",IF(_xll.BDP("USD"&amp;Q126&amp;" BGN Curncy","px last")="#N/A Invalid Security",1,_xll.BDP("USD"&amp;Q126&amp;" BGN Curncy","px last"))),P126)</f>
        <v>1</v>
      </c>
      <c r="Q126" s="350" t="str">
        <f ca="1">IF(BBswitch=1,IF(ISBLANK($C126),"",IF(_xll.BDP($C126,Q$72)="#N/A N/A","NA ",_xll.BDP($C126,Q$72))),Q126)</f>
        <v>USD</v>
      </c>
      <c r="R126" s="351" t="str" cm="1">
        <f t="array" aca="1" ref="R126" ca="1">IF(BBswitch=1,IF(ISBLANK($C126),"",IF(OR(_xll.BDP($C126,R$72)="#N/A Field Not Applicable",_xll.BDP($C126,R$72)="#N/A N/A"),"",_xll.BDP($C126,R$72))),R126)</f>
        <v/>
      </c>
      <c r="S126" s="351" cm="1">
        <f t="array" aca="1" ref="S126" ca="1">IF(BBswitch=1,IF(ISBLANK($C126),"",IF(OR(_xll.BDP($C126,S$72)="#N/A Field Not Applicable",_xll.BDP($C126,S$72)="#N/A N/A"),"",_xll.BDP($C126,S$72))),S126)</f>
        <v>366.03719817644696</v>
      </c>
      <c r="T126" s="351" t="str" cm="1">
        <f t="array" aca="1" ref="T126" ca="1">IF(BBswitch=1,IF(ISBLANK($C126),"",IF(OR(_xll.BDP($C126,T$72)="#N/A Field Not Applicable",_xll.BDP($C126,T$72)="#N/A N/A"),"",_xll.BDP($C126,T$72))),T126)</f>
        <v/>
      </c>
      <c r="U126" s="351" cm="1">
        <f t="array" aca="1" ref="U126" ca="1">IF(BBswitch=1,IF(ISBLANK($C126),"",IF(OR(_xll.BDP($C126,U$72)="#N/A Field Not Applicable",_xll.BDP($C126,U$72)="#N/A N/A"),"",_xll.BDP($C126,U$72))),U126)</f>
        <v>5.1264911074620665</v>
      </c>
      <c r="V126" s="352" t="str">
        <f ca="1">IF(BBswitch=1,IF(ISBLANK($C126),"",IF(_xll.BDP($C126,V$72)="#N/A N/A","NA ",_xll.BDP($C126,V$72))),V126)</f>
        <v>2nd lien</v>
      </c>
      <c r="W126" s="353" t="str" cm="1">
        <f t="array" aca="1" ref="W126" ca="1">IF(BBswitch=1,IF(ISBLANK($C126),"",IF(_xll.BDP($C126,W$72)="#N/A N/A","NA ",_xll.BDP($C126,W$72))),W126)</f>
        <v>United Airlines 2019-1 Class A Pass Through Trust</v>
      </c>
      <c r="X126" s="343" t="str">
        <f ca="1">IF(BBswitch=1,IF(ISBLANK($C126),"",IF(_xll.BDP($C126,X$73)="#N/A N/A","NA ",_xll.BDP($C126,X$73))),X126)</f>
        <v>UAL 4.55 31</v>
      </c>
    </row>
    <row r="127" spans="3:37" hidden="1" outlineLevel="1">
      <c r="C127" s="6" t="s">
        <v>1707</v>
      </c>
      <c r="D127" s="343" t="str">
        <f ca="1">IF(BBswitch=1,IF(ISBLANK($C127),"",IF(_xll.BDP($C127,D$73)="#N/A N/A","NA ",_xll.BDP($C127,D$73))),D127)</f>
        <v>UAL 4.15 31</v>
      </c>
      <c r="E127" s="344" t="str">
        <f ca="1">IF(BBswitch=1,IF(ISBLANK($C127),"",IF(_xll.BDP($C127,E$73)="#N/A N/A","NA ",_xll.BDP($C127,E$73))),E127)</f>
        <v xml:space="preserve">NA </v>
      </c>
      <c r="F127" s="354">
        <f ca="1">IF(BBswitch=1,IF(ISBLANK($C127),"",IF(_xll.BDP($C127,F$72)="#N/A N/A","NA ",_xll.BDP($C127,F$72)/10^6)/P127),F127)</f>
        <v>570.67152038864208</v>
      </c>
      <c r="G127" s="355">
        <f ca="1">IF(BBswitch=1,IF(ISBLANK($C127),"",IF(_xll.BDP($C127,G$72)="#N/A N/A","NA ",_xll.BDP($C127,G$72)/100)),G127)</f>
        <v>4.1500000000000002E-2</v>
      </c>
      <c r="H127" s="355">
        <f ca="1">IF(BBswitch=1,IF(ISBLANK($C127),"",IF(_xll.BDP($C127,H$72)="#N/A N/A","NA ",_xll.BDP($C127,H$72)/100)),H127)</f>
        <v>0.93086000000000002</v>
      </c>
      <c r="I127" s="355">
        <f ca="1">IF(BBswitch=1,IF(ISBLANK($C127),"",IF(_xll.BDP($C127,I$72)="#N/A N/A","NA ",_xll.BDP($C127,I$72)/100)),I127)</f>
        <v>4.464814037805679E-2</v>
      </c>
      <c r="J127" s="355">
        <f ca="1">IF(BBswitch=1,IF(ISBLANK($C127),"",IF(_xll.BDP($C127,J$72)="#N/A N/A","NA ",_xll.BDP($C127,J$72)/100)),J127)</f>
        <v>5.4787223556092161E-2</v>
      </c>
      <c r="K127" s="345" t="str">
        <f ca="1">IF(BBswitch=1,IF(ISBLANK($C127),"",IF(_xll.BDP($C127,K$72)="#N/A N/A","NA ",_xll.BDP($C127,K$72))),K127)</f>
        <v>8/25/2031</v>
      </c>
      <c r="L127" s="346" t="e">
        <f t="shared" ca="1" si="13"/>
        <v>#VALUE!</v>
      </c>
      <c r="M127" s="345" t="str">
        <f ca="1">IF(BBswitch=1,IF(ISBLANK($C127),"",IF(_xll.BDP($C127,M$72)="#N/A N/A","NA ",_xll.BDP($C127,M$72))),M127)</f>
        <v>2/11/2019</v>
      </c>
      <c r="N127" s="347" t="str" cm="1">
        <f t="array" aca="1" ref="N127" ca="1">IF(BBswitch=1,IF(ISBLANK($C127),"",IF(_xll.BDP($C127,N$72)="#N/A Field Not Applicable","Notes",_xll.BDP($C127,N$72))),N127)</f>
        <v>Notes</v>
      </c>
      <c r="O127" s="348" cm="1">
        <f t="array" aca="1" ref="O127" ca="1">IF(BBswitch=1,IF(ISBLANK($C127),"",IFERROR(IF(_xll.BDP($C127,O$72)="#N/A N/A","NA ",_xll.BDP($C127,O$72)/10^6),0)/P127),O127)</f>
        <v>0</v>
      </c>
      <c r="P127" s="349" cm="1">
        <f t="array" aca="1" ref="P127" ca="1">+IF(BBswitch=1,IF(ISBLANK($C127),"",IF(_xll.BDP("USD"&amp;Q127&amp;" BGN Curncy","px last")="#N/A Invalid Security",1,_xll.BDP("USD"&amp;Q127&amp;" BGN Curncy","px last"))),P127)</f>
        <v>1</v>
      </c>
      <c r="Q127" s="350" t="str">
        <f ca="1">IF(BBswitch=1,IF(ISBLANK($C127),"",IF(_xll.BDP($C127,Q$72)="#N/A N/A","NA ",_xll.BDP($C127,Q$72))),Q127)</f>
        <v>USD</v>
      </c>
      <c r="R127" s="351" t="str" cm="1">
        <f t="array" aca="1" ref="R127" ca="1">IF(BBswitch=1,IF(ISBLANK($C127),"",IF(OR(_xll.BDP($C127,R$72)="#N/A Field Not Applicable",_xll.BDP($C127,R$72)="#N/A N/A"),"",_xll.BDP($C127,R$72))),R127)</f>
        <v/>
      </c>
      <c r="S127" s="351" cm="1">
        <f t="array" aca="1" ref="S127" ca="1">IF(BBswitch=1,IF(ISBLANK($C127),"",IF(OR(_xll.BDP($C127,S$72)="#N/A Field Not Applicable",_xll.BDP($C127,S$72)="#N/A N/A"),"",_xll.BDP($C127,S$72))),S127)</f>
        <v>237.62672626768639</v>
      </c>
      <c r="T127" s="351" t="str" cm="1">
        <f t="array" aca="1" ref="T127" ca="1">IF(BBswitch=1,IF(ISBLANK($C127),"",IF(OR(_xll.BDP($C127,T$72)="#N/A Field Not Applicable",_xll.BDP($C127,T$72)="#N/A N/A"),"",_xll.BDP($C127,T$72))),T127)</f>
        <v/>
      </c>
      <c r="U127" s="351" cm="1">
        <f t="array" aca="1" ref="U127" ca="1">IF(BBswitch=1,IF(ISBLANK($C127),"",IF(OR(_xll.BDP($C127,U$72)="#N/A Field Not Applicable",_xll.BDP($C127,U$72)="#N/A N/A"),"",_xll.BDP($C127,U$72))),U127)</f>
        <v>5.322060148520225</v>
      </c>
      <c r="V127" s="352" t="str">
        <f ca="1">IF(BBswitch=1,IF(ISBLANK($C127),"",IF(_xll.BDP($C127,V$72)="#N/A N/A","NA ",_xll.BDP($C127,V$72))),V127)</f>
        <v>1st lien</v>
      </c>
      <c r="W127" s="353" t="str" cm="1">
        <f t="array" aca="1" ref="W127" ca="1">IF(BBswitch=1,IF(ISBLANK($C127),"",IF(_xll.BDP($C127,W$72)="#N/A N/A","NA ",_xll.BDP($C127,W$72))),W127)</f>
        <v>United Airlines 2019-1 Class AA Pass Through Trust</v>
      </c>
      <c r="X127" s="343" t="str">
        <f ca="1">IF(BBswitch=1,IF(ISBLANK($C127),"",IF(_xll.BDP($C127,X$73)="#N/A N/A","NA ",_xll.BDP($C127,X$73))),X127)</f>
        <v>UAL 4.15 31</v>
      </c>
    </row>
    <row r="128" spans="3:37" hidden="1" outlineLevel="1">
      <c r="C128" s="6" t="s">
        <v>1708</v>
      </c>
      <c r="D128" s="343" t="str">
        <f ca="1">IF(BBswitch=1,IF(ISBLANK($C128),"",IF(_xll.BDP($C128,D$73)="#N/A N/A","NA ",_xll.BDP($C128,D$73))),D128)</f>
        <v>UAL 4.625 22</v>
      </c>
      <c r="E128" s="344" t="str">
        <f ca="1">IF(BBswitch=1,IF(ISBLANK($C128),"",IF(_xll.BDP($C128,E$73)="#N/A N/A","NA ",_xll.BDP($C128,E$73))),E128)</f>
        <v xml:space="preserve">NA </v>
      </c>
      <c r="F128" s="354">
        <f ca="1">IF(BBswitch=1,IF(ISBLANK($C128),"",IF(_xll.BDP($C128,F$72)="#N/A N/A","NA ",_xll.BDP($C128,F$72)/10^6)/P128),F128)</f>
        <v>95.286622909999991</v>
      </c>
      <c r="G128" s="355">
        <f ca="1">IF(BBswitch=1,IF(ISBLANK($C128),"",IF(_xll.BDP($C128,G$72)="#N/A N/A","NA ",_xll.BDP($C128,G$72)/100)),G128)</f>
        <v>4.6249999999999999E-2</v>
      </c>
      <c r="H128" s="355">
        <f ca="1">IF(BBswitch=1,IF(ISBLANK($C128),"",IF(_xll.BDP($C128,H$72)="#N/A N/A","NA ",_xll.BDP($C128,H$72)/100)),H128)</f>
        <v>0.99873999999999996</v>
      </c>
      <c r="I128" s="355">
        <f ca="1">IF(BBswitch=1,IF(ISBLANK($C128),"",IF(_xll.BDP($C128,I$72)="#N/A N/A","NA ",_xll.BDP($C128,I$72)/100)),I128)</f>
        <v>4.6391494056873463E-2</v>
      </c>
      <c r="J128" s="355">
        <f ca="1">IF(BBswitch=1,IF(ISBLANK($C128),"",IF(_xll.BDP($C128,J$72)="#N/A N/A","NA ",_xll.BDP($C128,J$72)/100)),J128)</f>
        <v>7.1964858172372498E-2</v>
      </c>
      <c r="K128" s="345" t="str">
        <f ca="1">IF(BBswitch=1,IF(ISBLANK($C128),"",IF(_xll.BDP($C128,K$72)="#N/A N/A","NA ",_xll.BDP($C128,K$72))),K128)</f>
        <v>9/3/2022</v>
      </c>
      <c r="L128" s="346">
        <f t="shared" ca="1" si="13"/>
        <v>2022</v>
      </c>
      <c r="M128" s="345" t="str">
        <f ca="1">IF(BBswitch=1,IF(ISBLANK($C128),"",IF(_xll.BDP($C128,M$72)="#N/A N/A","NA ",_xll.BDP($C128,M$72))),M128)</f>
        <v>8/11/2014</v>
      </c>
      <c r="N128" s="347" t="str" cm="1">
        <f t="array" aca="1" ref="N128" ca="1">IF(BBswitch=1,IF(ISBLANK($C128),"",IF(_xll.BDP($C128,N$72)="#N/A Field Not Applicable","Notes",_xll.BDP($C128,N$72))),N128)</f>
        <v>Notes</v>
      </c>
      <c r="O128" s="348" cm="1">
        <f t="array" aca="1" ref="O128" ca="1">IF(BBswitch=1,IF(ISBLANK($C128),"",IFERROR(IF(_xll.BDP($C128,O$72)="#N/A N/A","NA ",_xll.BDP($C128,O$72)/10^6),0)/P128),O128)</f>
        <v>0</v>
      </c>
      <c r="P128" s="349" cm="1">
        <f t="array" aca="1" ref="P128" ca="1">+IF(BBswitch=1,IF(ISBLANK($C128),"",IF(_xll.BDP("USD"&amp;Q128&amp;" BGN Curncy","px last")="#N/A Invalid Security",1,_xll.BDP("USD"&amp;Q128&amp;" BGN Curncy","px last"))),P128)</f>
        <v>1</v>
      </c>
      <c r="Q128" s="350" t="str">
        <f ca="1">IF(BBswitch=1,IF(ISBLANK($C128),"",IF(_xll.BDP($C128,Q$72)="#N/A N/A","NA ",_xll.BDP($C128,Q$72))),Q128)</f>
        <v>USD</v>
      </c>
      <c r="R128" s="351" t="str" cm="1">
        <f t="array" aca="1" ref="R128" ca="1">IF(BBswitch=1,IF(ISBLANK($C128),"",IF(OR(_xll.BDP($C128,R$72)="#N/A Field Not Applicable",_xll.BDP($C128,R$72)="#N/A N/A"),"",_xll.BDP($C128,R$72))),R128)</f>
        <v/>
      </c>
      <c r="S128" s="351" cm="1">
        <f t="array" aca="1" ref="S128" ca="1">IF(BBswitch=1,IF(ISBLANK($C128),"",IF(OR(_xll.BDP($C128,S$72)="#N/A Field Not Applicable",_xll.BDP($C128,S$72)="#N/A N/A"),"",_xll.BDP($C128,S$72))),S128)</f>
        <v>309.87749366115378</v>
      </c>
      <c r="T128" s="351" t="str" cm="1">
        <f t="array" aca="1" ref="T128" ca="1">IF(BBswitch=1,IF(ISBLANK($C128),"",IF(OR(_xll.BDP($C128,T$72)="#N/A Field Not Applicable",_xll.BDP($C128,T$72)="#N/A N/A"),"",_xll.BDP($C128,T$72))),T128)</f>
        <v/>
      </c>
      <c r="U128" s="351" cm="1">
        <f t="array" aca="1" ref="U128" ca="1">IF(BBswitch=1,IF(ISBLANK($C128),"",IF(OR(_xll.BDP($C128,U$72)="#N/A Field Not Applicable",_xll.BDP($C128,U$72)="#N/A N/A"),"",_xll.BDP($C128,U$72))),U128)</f>
        <v>0.1145729468262805</v>
      </c>
      <c r="V128" s="352" t="str">
        <f ca="1">IF(BBswitch=1,IF(ISBLANK($C128),"",IF(_xll.BDP($C128,V$72)="#N/A N/A","NA ",_xll.BDP($C128,V$72))),V128)</f>
        <v>2nd lien</v>
      </c>
      <c r="W128" s="353" t="str" cm="1">
        <f t="array" aca="1" ref="W128" ca="1">IF(BBswitch=1,IF(ISBLANK($C128),"",IF(_xll.BDP($C128,W$72)="#N/A N/A","NA ",_xll.BDP($C128,W$72))),W128)</f>
        <v>United Airlines 2014-2 Class B Pass Through Trust</v>
      </c>
      <c r="X128" s="343" t="str">
        <f ca="1">IF(BBswitch=1,IF(ISBLANK($C128),"",IF(_xll.BDP($C128,X$73)="#N/A N/A","NA ",_xll.BDP($C128,X$73))),X128)</f>
        <v>UAL 4.625 22</v>
      </c>
    </row>
    <row r="129" spans="3:24" hidden="1" outlineLevel="1">
      <c r="C129" s="6" t="s">
        <v>1709</v>
      </c>
      <c r="D129" s="343" t="str">
        <f ca="1">IF(BBswitch=1,IF(ISBLANK($C129),"",IF(_xll.BDP($C129,D$73)="#N/A N/A","NA ",_xll.BDP($C129,D$73))),D129)</f>
        <v>UAL 3.75 26</v>
      </c>
      <c r="E129" s="344" t="str">
        <f ca="1">IF(BBswitch=1,IF(ISBLANK($C129),"",IF(_xll.BDP($C129,E$73)="#N/A N/A","NA ",_xll.BDP($C129,E$73))),E129)</f>
        <v xml:space="preserve">NA </v>
      </c>
      <c r="F129" s="354">
        <f ca="1">IF(BBswitch=1,IF(ISBLANK($C129),"",IF(_xll.BDP($C129,F$72)="#N/A N/A","NA ",_xll.BDP($C129,F$72)/10^6)/P129),F129)</f>
        <v>522.94817490000003</v>
      </c>
      <c r="G129" s="355">
        <f ca="1">IF(BBswitch=1,IF(ISBLANK($C129),"",IF(_xll.BDP($C129,G$72)="#N/A N/A","NA ",_xll.BDP($C129,G$72)/100)),G129)</f>
        <v>3.7499999999999999E-2</v>
      </c>
      <c r="H129" s="355">
        <f ca="1">IF(BBswitch=1,IF(ISBLANK($C129),"",IF(_xll.BDP($C129,H$72)="#N/A N/A","NA ",_xll.BDP($C129,H$72)/100)),H129)</f>
        <v>0.92519999999999991</v>
      </c>
      <c r="I129" s="355">
        <f ca="1">IF(BBswitch=1,IF(ISBLANK($C129),"",IF(_xll.BDP($C129,I$72)="#N/A N/A","NA ",_xll.BDP($C129,I$72)/100)),I129)</f>
        <v>4.0927247724445025E-2</v>
      </c>
      <c r="J129" s="355">
        <f ca="1">IF(BBswitch=1,IF(ISBLANK($C129),"",IF(_xll.BDP($C129,J$72)="#N/A N/A","NA ",_xll.BDP($C129,J$72)/100)),J129)</f>
        <v>6.6234127229876746E-2</v>
      </c>
      <c r="K129" s="345" t="str">
        <f ca="1">IF(BBswitch=1,IF(ISBLANK($C129),"",IF(_xll.BDP($C129,K$72)="#N/A N/A","NA ",_xll.BDP($C129,K$72))),K129)</f>
        <v>9/3/2026</v>
      </c>
      <c r="L129" s="346">
        <f t="shared" ca="1" si="13"/>
        <v>2026</v>
      </c>
      <c r="M129" s="345" t="str">
        <f ca="1">IF(BBswitch=1,IF(ISBLANK($C129),"",IF(_xll.BDP($C129,M$72)="#N/A N/A","NA ",_xll.BDP($C129,M$72))),M129)</f>
        <v>8/11/2014</v>
      </c>
      <c r="N129" s="347" t="str" cm="1">
        <f t="array" aca="1" ref="N129" ca="1">IF(BBswitch=1,IF(ISBLANK($C129),"",IF(_xll.BDP($C129,N$72)="#N/A Field Not Applicable","Notes",_xll.BDP($C129,N$72))),N129)</f>
        <v>Notes</v>
      </c>
      <c r="O129" s="348" cm="1">
        <f t="array" aca="1" ref="O129" ca="1">IF(BBswitch=1,IF(ISBLANK($C129),"",IFERROR(IF(_xll.BDP($C129,O$72)="#N/A N/A","NA ",_xll.BDP($C129,O$72)/10^6),0)/P129),O129)</f>
        <v>0</v>
      </c>
      <c r="P129" s="349" cm="1">
        <f t="array" aca="1" ref="P129" ca="1">+IF(BBswitch=1,IF(ISBLANK($C129),"",IF(_xll.BDP("USD"&amp;Q129&amp;" BGN Curncy","px last")="#N/A Invalid Security",1,_xll.BDP("USD"&amp;Q129&amp;" BGN Curncy","px last"))),P129)</f>
        <v>1</v>
      </c>
      <c r="Q129" s="350" t="str">
        <f ca="1">IF(BBswitch=1,IF(ISBLANK($C129),"",IF(_xll.BDP($C129,Q$72)="#N/A N/A","NA ",_xll.BDP($C129,Q$72))),Q129)</f>
        <v>USD</v>
      </c>
      <c r="R129" s="351" t="str" cm="1">
        <f t="array" aca="1" ref="R129" ca="1">IF(BBswitch=1,IF(ISBLANK($C129),"",IF(OR(_xll.BDP($C129,R$72)="#N/A Field Not Applicable",_xll.BDP($C129,R$72)="#N/A N/A"),"",_xll.BDP($C129,R$72))),R129)</f>
        <v/>
      </c>
      <c r="S129" s="351" cm="1">
        <f t="array" aca="1" ref="S129" ca="1">IF(BBswitch=1,IF(ISBLANK($C129),"",IF(OR(_xll.BDP($C129,S$72)="#N/A Field Not Applicable",_xll.BDP($C129,S$72)="#N/A N/A"),"",_xll.BDP($C129,S$72))),S129)</f>
        <v>325.0673905272007</v>
      </c>
      <c r="T129" s="351" t="str" cm="1">
        <f t="array" aca="1" ref="T129" ca="1">IF(BBswitch=1,IF(ISBLANK($C129),"",IF(OR(_xll.BDP($C129,T$72)="#N/A Field Not Applicable",_xll.BDP($C129,T$72)="#N/A N/A"),"",_xll.BDP($C129,T$72))),T129)</f>
        <v/>
      </c>
      <c r="U129" s="351" cm="1">
        <f t="array" aca="1" ref="U129" ca="1">IF(BBswitch=1,IF(ISBLANK($C129),"",IF(OR(_xll.BDP($C129,U$72)="#N/A Field Not Applicable",_xll.BDP($C129,U$72)="#N/A N/A"),"",_xll.BDP($C129,U$72))),U129)</f>
        <v>2.9589149327290674</v>
      </c>
      <c r="V129" s="352" t="str">
        <f ca="1">IF(BBswitch=1,IF(ISBLANK($C129),"",IF(_xll.BDP($C129,V$72)="#N/A N/A","NA ",_xll.BDP($C129,V$72))),V129)</f>
        <v>1st lien</v>
      </c>
      <c r="W129" s="353" t="str" cm="1">
        <f t="array" aca="1" ref="W129" ca="1">IF(BBswitch=1,IF(ISBLANK($C129),"",IF(_xll.BDP($C129,W$72)="#N/A N/A","NA ",_xll.BDP($C129,W$72))),W129)</f>
        <v>United Airlines 2014-2 Class A Pass Through Trust</v>
      </c>
      <c r="X129" s="343" t="str">
        <f ca="1">IF(BBswitch=1,IF(ISBLANK($C129),"",IF(_xll.BDP($C129,X$73)="#N/A N/A","NA ",_xll.BDP($C129,X$73))),X129)</f>
        <v>UAL 3.75 26</v>
      </c>
    </row>
    <row r="130" spans="3:24" hidden="1" outlineLevel="1">
      <c r="D130" s="343" t="str">
        <f ca="1">IF(BBswitch=1,IF(ISBLANK($C130),"",IF(_xll.BDP($C130,D$73)="#N/A N/A","NA ",_xll.BDP($C130,D$73))),D130)</f>
        <v/>
      </c>
      <c r="E130" s="344" t="str">
        <f ca="1">IF(BBswitch=1,IF(ISBLANK($C130),"",IF(_xll.BDP($C130,E$73)="#N/A N/A","NA ",_xll.BDP($C130,E$73))),E130)</f>
        <v/>
      </c>
      <c r="F130" s="354" t="str">
        <f ca="1">IF(BBswitch=1,IF(ISBLANK($C130),"",IF(_xll.BDP($C130,F$72)="#N/A N/A","NA ",_xll.BDP($C130,F$72)/10^6)/P130),F130)</f>
        <v/>
      </c>
      <c r="G130" s="355" t="str">
        <f ca="1">IF(BBswitch=1,IF(ISBLANK($C130),"",IF(_xll.BDP($C130,G$72)="#N/A N/A","NA ",_xll.BDP($C130,G$72)/100)),G130)</f>
        <v/>
      </c>
      <c r="H130" s="355" t="str">
        <f ca="1">IF(BBswitch=1,IF(ISBLANK($C130),"",IF(_xll.BDP($C130,H$72)="#N/A N/A","NA ",_xll.BDP($C130,H$72)/100)),H130)</f>
        <v/>
      </c>
      <c r="I130" s="355" t="str">
        <f ca="1">IF(BBswitch=1,IF(ISBLANK($C130),"",IF(_xll.BDP($C130,I$72)="#N/A N/A","NA ",_xll.BDP($C130,I$72)/100)),I130)</f>
        <v/>
      </c>
      <c r="J130" s="355" t="str">
        <f ca="1">IF(BBswitch=1,IF(ISBLANK($C130),"",IF(_xll.BDP($C130,J$72)="#N/A N/A","NA ",_xll.BDP($C130,J$72)/100)),J130)</f>
        <v/>
      </c>
      <c r="K130" s="345" t="str">
        <f ca="1">IF(BBswitch=1,IF(ISBLANK($C130),"",IF(_xll.BDP($C130,K$72)="#N/A N/A","NA ",_xll.BDP($C130,K$72))),K130)</f>
        <v/>
      </c>
      <c r="L130" s="346" t="str">
        <f t="shared" si="13"/>
        <v/>
      </c>
      <c r="M130" s="345" t="str">
        <f ca="1">IF(BBswitch=1,IF(ISBLANK($C130),"",IF(_xll.BDP($C130,M$72)="#N/A N/A","NA ",_xll.BDP($C130,M$72))),M130)</f>
        <v/>
      </c>
      <c r="N130" s="347" t="str" cm="1">
        <f t="array" aca="1" ref="N130" ca="1">IF(BBswitch=1,IF(ISBLANK($C130),"",IF(_xll.BDP($C130,N$72)="#N/A Field Not Applicable","Notes",_xll.BDP($C130,N$72))),N130)</f>
        <v/>
      </c>
      <c r="O130" s="348" t="str" cm="1">
        <f t="array" aca="1" ref="O130" ca="1">IF(BBswitch=1,IF(ISBLANK($C130),"",IFERROR(IF(_xll.BDP($C130,O$72)="#N/A N/A","NA ",_xll.BDP($C130,O$72)/10^6),0)/P130),O130)</f>
        <v/>
      </c>
      <c r="P130" s="349" t="str" cm="1">
        <f t="array" aca="1" ref="P130" ca="1">+IF(BBswitch=1,IF(ISBLANK($C130),"",IF(_xll.BDP("USD"&amp;Q130&amp;" BGN Curncy","px last")="#N/A Invalid Security",1,_xll.BDP("USD"&amp;Q130&amp;" BGN Curncy","px last"))),P130)</f>
        <v/>
      </c>
      <c r="Q130" s="350" t="str">
        <f ca="1">IF(BBswitch=1,IF(ISBLANK($C130),"",IF(_xll.BDP($C130,Q$72)="#N/A N/A","NA ",_xll.BDP($C130,Q$72))),Q130)</f>
        <v/>
      </c>
      <c r="R130" s="351" t="str" cm="1">
        <f t="array" aca="1" ref="R130" ca="1">IF(BBswitch=1,IF(ISBLANK($C130),"",IF(OR(_xll.BDP($C130,R$72)="#N/A Field Not Applicable",_xll.BDP($C130,R$72)="#N/A N/A"),"",_xll.BDP($C130,R$72))),R130)</f>
        <v/>
      </c>
      <c r="S130" s="351" t="str" cm="1">
        <f t="array" aca="1" ref="S130" ca="1">IF(BBswitch=1,IF(ISBLANK($C130),"",IF(OR(_xll.BDP($C130,S$72)="#N/A Field Not Applicable",_xll.BDP($C130,S$72)="#N/A N/A"),"",_xll.BDP($C130,S$72))),S130)</f>
        <v/>
      </c>
      <c r="T130" s="351" t="str" cm="1">
        <f t="array" aca="1" ref="T130" ca="1">IF(BBswitch=1,IF(ISBLANK($C130),"",IF(OR(_xll.BDP($C130,T$72)="#N/A Field Not Applicable",_xll.BDP($C130,T$72)="#N/A N/A"),"",_xll.BDP($C130,T$72))),T130)</f>
        <v/>
      </c>
      <c r="U130" s="351" t="str" cm="1">
        <f t="array" aca="1" ref="U130" ca="1">IF(BBswitch=1,IF(ISBLANK($C130),"",IF(OR(_xll.BDP($C130,U$72)="#N/A Field Not Applicable",_xll.BDP($C130,U$72)="#N/A N/A"),"",_xll.BDP($C130,U$72))),U130)</f>
        <v/>
      </c>
      <c r="V130" s="352" t="str">
        <f ca="1">IF(BBswitch=1,IF(ISBLANK($C130),"",IF(_xll.BDP($C130,V$72)="#N/A N/A","NA ",_xll.BDP($C130,V$72))),V130)</f>
        <v/>
      </c>
      <c r="W130" s="353" t="str" cm="1">
        <f t="array" aca="1" ref="W130" ca="1">IF(BBswitch=1,IF(ISBLANK($C130),"",IF(_xll.BDP($C130,W$72)="#N/A N/A","NA ",_xll.BDP($C130,W$72))),W130)</f>
        <v/>
      </c>
      <c r="X130" s="343" t="str">
        <f ca="1">IF(BBswitch=1,IF(ISBLANK($C130),"",IF(_xll.BDP($C130,X$73)="#N/A N/A","NA ",_xll.BDP($C130,X$73))),X130)</f>
        <v/>
      </c>
    </row>
    <row r="131" spans="3:24" hidden="1" outlineLevel="1">
      <c r="D131" s="343"/>
      <c r="E131" s="344"/>
      <c r="F131" s="354"/>
      <c r="G131" s="355"/>
      <c r="H131" s="355"/>
      <c r="I131" s="355"/>
      <c r="J131" s="355"/>
      <c r="K131" s="345"/>
      <c r="L131" s="346"/>
      <c r="M131" s="345"/>
      <c r="N131" s="347"/>
      <c r="O131" s="348"/>
      <c r="P131" s="349"/>
      <c r="Q131" s="350"/>
      <c r="R131" s="351"/>
      <c r="S131" s="351"/>
      <c r="T131" s="351"/>
      <c r="U131" s="351"/>
      <c r="V131" s="352"/>
      <c r="W131" s="353"/>
      <c r="X131" s="343"/>
    </row>
    <row r="132" spans="3:24" hidden="1" outlineLevel="1">
      <c r="C132" s="363" t="str">
        <f ca="1">IF(BBswitch=1,_xll.BQL.Query("get(Name)for( loans(['"&amp;$D$3&amp;" Equity'], IssuedBy=credit_family) )with(Dates="&amp;TEXT(TODAY(),"yyyy-mm-dd")&amp;")","cols=2;rows=4"),C132)</f>
        <v>ID</v>
      </c>
      <c r="D132" s="162" t="s">
        <v>121</v>
      </c>
      <c r="E132" s="162" t="str">
        <f ca="1">+IF($C132="No new issued notes","",E$75)</f>
        <v>Rating</v>
      </c>
      <c r="F132" s="162" t="str">
        <f t="shared" ref="F132:X132" ca="1" si="14">+IF($C132="No new issued notes","",F$75)</f>
        <v>Outs.(mm)</v>
      </c>
      <c r="G132" s="162" t="str">
        <f t="shared" ca="1" si="14"/>
        <v>Coupon</v>
      </c>
      <c r="H132" s="162" t="str">
        <f t="shared" ca="1" si="14"/>
        <v>Price</v>
      </c>
      <c r="I132" s="162" t="str">
        <f t="shared" ca="1" si="14"/>
        <v>CY</v>
      </c>
      <c r="J132" s="162" t="str">
        <f t="shared" ca="1" si="14"/>
        <v>YTW</v>
      </c>
      <c r="K132" s="162" t="str">
        <f t="shared" ca="1" si="14"/>
        <v>Maturity</v>
      </c>
      <c r="L132" s="162" t="str">
        <f t="shared" ca="1" si="14"/>
        <v>Year</v>
      </c>
      <c r="M132" s="162" t="str">
        <f t="shared" ca="1" si="14"/>
        <v>Issue Date.</v>
      </c>
      <c r="N132" s="162" t="str">
        <f t="shared" ca="1" si="14"/>
        <v>Debt type</v>
      </c>
      <c r="O132" s="162" t="str">
        <f t="shared" ca="1" si="14"/>
        <v>Tranche</v>
      </c>
      <c r="P132" s="162" t="str">
        <f t="shared" ca="1" si="14"/>
        <v>Fx. rate</v>
      </c>
      <c r="Q132" s="162" t="str">
        <f t="shared" ca="1" si="14"/>
        <v>Currency</v>
      </c>
      <c r="R132" s="162" t="str">
        <f t="shared" ca="1" si="14"/>
        <v>Spread Duration</v>
      </c>
      <c r="S132" s="162" t="str">
        <f t="shared" ca="1" si="14"/>
        <v>OAS</v>
      </c>
      <c r="T132" s="162" t="str">
        <f t="shared" ca="1" si="14"/>
        <v>ST3</v>
      </c>
      <c r="U132" s="162" t="str">
        <f t="shared" ca="1" si="14"/>
        <v>OAD</v>
      </c>
      <c r="V132" s="162" t="str">
        <f t="shared" ca="1" si="14"/>
        <v>Payment Rank</v>
      </c>
      <c r="W132" s="162" t="str">
        <f t="shared" ca="1" si="14"/>
        <v>Issuer Name</v>
      </c>
      <c r="X132" s="162" t="str">
        <f t="shared" ca="1" si="14"/>
        <v>Name</v>
      </c>
    </row>
    <row r="133" spans="3:24" hidden="1" outlineLevel="1">
      <c r="C133" s="6" t="s">
        <v>1913</v>
      </c>
      <c r="D133" s="6" t="e">
        <v>#N/A</v>
      </c>
    </row>
    <row r="134" spans="3:24" hidden="1" outlineLevel="1">
      <c r="C134" s="363" t="s">
        <v>1914</v>
      </c>
      <c r="D134" s="162" t="e">
        <v>#N/A</v>
      </c>
      <c r="E134" s="162" t="str">
        <f>+IF($C134="No new issued notes","",E$75)</f>
        <v>Rating</v>
      </c>
      <c r="F134" s="162" t="str">
        <f t="shared" ref="F134:X134" si="15">+IF($C134="No new issued notes","",F$75)</f>
        <v>Outs.(mm)</v>
      </c>
      <c r="G134" s="162" t="str">
        <f t="shared" si="15"/>
        <v>Coupon</v>
      </c>
      <c r="H134" s="162" t="str">
        <f t="shared" si="15"/>
        <v>Price</v>
      </c>
      <c r="I134" s="162" t="str">
        <f t="shared" si="15"/>
        <v>CY</v>
      </c>
      <c r="J134" s="162" t="str">
        <f t="shared" si="15"/>
        <v>YTW</v>
      </c>
      <c r="K134" s="162" t="str">
        <f t="shared" si="15"/>
        <v>Maturity</v>
      </c>
      <c r="L134" s="162" t="str">
        <f t="shared" si="15"/>
        <v>Year</v>
      </c>
      <c r="M134" s="162" t="str">
        <f t="shared" si="15"/>
        <v>Issue Date.</v>
      </c>
      <c r="N134" s="162" t="str">
        <f t="shared" si="15"/>
        <v>Debt type</v>
      </c>
      <c r="O134" s="162" t="str">
        <f t="shared" si="15"/>
        <v>Tranche</v>
      </c>
      <c r="P134" s="162" t="str">
        <f t="shared" si="15"/>
        <v>Fx. rate</v>
      </c>
      <c r="Q134" s="162" t="str">
        <f t="shared" si="15"/>
        <v>Currency</v>
      </c>
      <c r="R134" s="162" t="str">
        <f t="shared" si="15"/>
        <v>Spread Duration</v>
      </c>
      <c r="S134" s="162" t="str">
        <f t="shared" si="15"/>
        <v>OAS</v>
      </c>
      <c r="T134" s="162" t="str">
        <f t="shared" si="15"/>
        <v>ST3</v>
      </c>
      <c r="U134" s="162" t="str">
        <f t="shared" si="15"/>
        <v>OAD</v>
      </c>
      <c r="V134" s="162" t="str">
        <f t="shared" si="15"/>
        <v>Payment Rank</v>
      </c>
      <c r="W134" s="162" t="str">
        <f t="shared" si="15"/>
        <v>Issuer Name</v>
      </c>
      <c r="X134" s="162" t="str">
        <f t="shared" si="15"/>
        <v>Name</v>
      </c>
    </row>
    <row r="135" spans="3:24" hidden="1" outlineLevel="1">
      <c r="C135" s="6" t="s">
        <v>1630</v>
      </c>
      <c r="D135" s="343" t="e">
        <v>#N/A</v>
      </c>
      <c r="E135" s="344" t="str">
        <f ca="1">IF(BBswitch=1,IF(ISBLANK($C135),"",IF(_xll.BDP($C135,E$73)="#N/A N/A","NA ",_xll.BDP($C135,E$73))),E135)</f>
        <v>B+</v>
      </c>
      <c r="F135" s="354">
        <f ca="1">IF(BBswitch=1,IF(ISBLANK($C135),"",IF(_xll.BDP($C135,F$72)="#N/A N/A","NA ",_xll.BDP($C135,F$72)/10^6)/P135),F135)</f>
        <v>0</v>
      </c>
      <c r="G135" s="355">
        <f ca="1">IF(BBswitch=1,IF(ISBLANK($C135),"",IF(_xll.BDP($C135,G$72)="#N/A N/A","NA ",_xll.BDP($C135,G$72)/100)),G135)</f>
        <v>5.6615700000000005E-2</v>
      </c>
      <c r="H135" s="355" t="str">
        <f ca="1">IF(BBswitch=1,IF(ISBLANK($C135),"",IF(_xll.BDP($C135,H$72)="#N/A N/A","NA ",_xll.BDP($C135,H$72)/100)),H135)</f>
        <v xml:space="preserve">NA </v>
      </c>
      <c r="I135" s="355" t="e">
        <f ca="1">IF(BBswitch=1,IF(ISBLANK($C135),"",IF(_xll.BDP($C135,I$72)="#N/A N/A","NA ",_xll.BDP($C135,I$72)/100)),I135)</f>
        <v>#VALUE!</v>
      </c>
      <c r="J135" s="355" t="str">
        <f ca="1">IF(BBswitch=1,IF(ISBLANK($C135),"",IF(_xll.BDP($C135,J$72)="#N/A N/A","NA ",_xll.BDP($C135,J$72)/100)),J135)</f>
        <v xml:space="preserve">NA </v>
      </c>
      <c r="K135" s="345" t="str">
        <f ca="1">IF(BBswitch=1,IF(ISBLANK($C135),"",IF(_xll.BDP($C135,K$72)="#N/A N/A","NA ",_xll.BDP($C135,K$72))),K135)</f>
        <v>4/21/2025</v>
      </c>
      <c r="L135" s="346" t="e">
        <f ca="1">IF(ISBLANK($C135),"",YEAR(K135))</f>
        <v>#VALUE!</v>
      </c>
      <c r="M135" s="345" t="str">
        <f ca="1">IF(BBswitch=1,IF(ISBLANK($C135),"",IF(_xll.BDP($C135,M$72)="#N/A N/A","NA ",_xll.BDP($C135,M$72))),M135)</f>
        <v>4/21/2021</v>
      </c>
      <c r="N135" s="347" t="str" cm="1">
        <f t="array" aca="1" ref="N135" ca="1">IF(BBswitch=1,IF(ISBLANK($C135),"",IF(_xll.BDP($C135,N$72)="#N/A Field Not Applicable","Notes",_xll.BDP($C135,N$72))),N135)</f>
        <v>REV</v>
      </c>
      <c r="O135" s="348" cm="1">
        <f t="array" aca="1" ref="O135" ca="1">IF(BBswitch=1,IF(ISBLANK($C135),"",IFERROR(IF(_xll.BDP($C135,O$72)="#N/A N/A","NA ",_xll.BDP($C135,O$72)/10^6),0)/P135),O135)</f>
        <v>1750</v>
      </c>
      <c r="P135" s="349" cm="1">
        <f t="array" aca="1" ref="P135" ca="1">+IF(BBswitch=1,IF(ISBLANK($C135),"",IF(_xll.BDP("USD"&amp;Q135&amp;" BGN Curncy","px last")="#N/A Invalid Security",1,_xll.BDP("USD"&amp;Q135&amp;" BGN Curncy","px last"))),P135)</f>
        <v>1</v>
      </c>
      <c r="Q135" s="350" t="str">
        <f ca="1">IF(BBswitch=1,IF(ISBLANK($C135),"",IF(_xll.BDP($C135,Q$72)="#N/A N/A","NA ",_xll.BDP($C135,Q$72))),Q135)</f>
        <v>USD</v>
      </c>
      <c r="R135" s="351" t="str" cm="1">
        <f t="array" aca="1" ref="R135" ca="1">IF(BBswitch=1,IF(ISBLANK($C135),"",IF(OR(_xll.BDP($C135,R$72)="#N/A Field Not Applicable",_xll.BDP($C135,R$72)="#N/A N/A"),"",_xll.BDP($C135,R$72))),R135)</f>
        <v/>
      </c>
      <c r="S135" s="351" t="str" cm="1">
        <f t="array" aca="1" ref="S135" ca="1">IF(BBswitch=1,IF(ISBLANK($C135),"",IF(OR(_xll.BDP($C135,S$72)="#N/A Field Not Applicable",_xll.BDP($C135,S$72)="#N/A N/A"),"",_xll.BDP($C135,S$72))),S135)</f>
        <v/>
      </c>
      <c r="T135" s="351" t="str" cm="1">
        <f t="array" aca="1" ref="T135" ca="1">IF(BBswitch=1,IF(ISBLANK($C135),"",IF(OR(_xll.BDP($C135,T$72)="#N/A Field Not Applicable",_xll.BDP($C135,T$72)="#N/A N/A"),"",_xll.BDP($C135,T$72))),T135)</f>
        <v/>
      </c>
      <c r="U135" s="351" t="str" cm="1">
        <f t="array" aca="1" ref="U135" ca="1">IF(BBswitch=1,IF(ISBLANK($C135),"",IF(OR(_xll.BDP($C135,U$72)="#N/A Field Not Applicable",_xll.BDP($C135,U$72)="#N/A N/A"),"",_xll.BDP($C135,U$72))),U135)</f>
        <v/>
      </c>
      <c r="V135" s="352" t="str">
        <f ca="1">IF(BBswitch=1,IF(ISBLANK($C135),"",IF(_xll.BDP($C135,V$72)="#N/A N/A","NA ",_xll.BDP($C135,V$72))),V135)</f>
        <v>1L Gtd Sr. Secd</v>
      </c>
      <c r="W135" s="353" t="str" cm="1">
        <f t="array" aca="1" ref="W135" ca="1">IF(BBswitch=1,IF(ISBLANK($C135),"",IF(_xll.BDP($C135,W$72)="#N/A N/A","NA ",_xll.BDP($C135,W$72))),W135)</f>
        <v>United Airlines Inc</v>
      </c>
      <c r="X135" s="343" t="str">
        <f ca="1">IF(BBswitch=1,IF(ISBLANK($C135),"",IF(_xll.BDP($C135,X$73)="#N/A N/A","NA ",_xll.BDP($C135,X$73))),X135)</f>
        <v>UAL REV 1L USD</v>
      </c>
    </row>
    <row r="136" spans="3:24" hidden="1" outlineLevel="1"/>
    <row r="137" spans="3:24" hidden="1" outlineLevel="1">
      <c r="C137" s="363" t="str">
        <f ca="1">IF(BBswitch=1,IF(_xll.BQL.Query("get(Name)for(filter(loans('"&amp;$D$3&amp;" equity'),issue_date&gt;" &amp; TEXT($W$3,"yyyy-mm-dd") &amp; "))")="#N/A N/A","No new issued notes",_xll.BQL.Query("get(Name)for(filter(loans('"&amp;$D$3&amp;" equity'),issue_date&gt;" &amp; TEXT($W$3,"yyyy-mm-dd") &amp; "))")),C137)</f>
        <v>#N/A Requesting Data...</v>
      </c>
      <c r="D137" s="162" t="str">
        <f ca="1">+IF($C137="No new issued loans","",D$75)</f>
        <v>Name</v>
      </c>
      <c r="E137" s="162" t="str">
        <f t="shared" ref="E137:X137" ca="1" si="16">+IF($C137="No new issued loans","",E$75)</f>
        <v>Rating</v>
      </c>
      <c r="F137" s="162" t="str">
        <f t="shared" ca="1" si="16"/>
        <v>Outs.(mm)</v>
      </c>
      <c r="G137" s="162" t="str">
        <f t="shared" ca="1" si="16"/>
        <v>Coupon</v>
      </c>
      <c r="H137" s="162" t="str">
        <f t="shared" ca="1" si="16"/>
        <v>Price</v>
      </c>
      <c r="I137" s="162" t="str">
        <f t="shared" ca="1" si="16"/>
        <v>CY</v>
      </c>
      <c r="J137" s="162" t="str">
        <f t="shared" ca="1" si="16"/>
        <v>YTW</v>
      </c>
      <c r="K137" s="162" t="str">
        <f t="shared" ca="1" si="16"/>
        <v>Maturity</v>
      </c>
      <c r="L137" s="162" t="str">
        <f t="shared" ca="1" si="16"/>
        <v>Year</v>
      </c>
      <c r="M137" s="162" t="str">
        <f t="shared" ca="1" si="16"/>
        <v>Issue Date.</v>
      </c>
      <c r="N137" s="162" t="str">
        <f t="shared" ca="1" si="16"/>
        <v>Debt type</v>
      </c>
      <c r="O137" s="162" t="str">
        <f t="shared" ca="1" si="16"/>
        <v>Tranche</v>
      </c>
      <c r="P137" s="162" t="str">
        <f t="shared" ca="1" si="16"/>
        <v>Fx. rate</v>
      </c>
      <c r="Q137" s="162" t="str">
        <f t="shared" ca="1" si="16"/>
        <v>Currency</v>
      </c>
      <c r="R137" s="162" t="str">
        <f t="shared" ca="1" si="16"/>
        <v>Spread Duration</v>
      </c>
      <c r="S137" s="162" t="str">
        <f t="shared" ca="1" si="16"/>
        <v>OAS</v>
      </c>
      <c r="T137" s="162" t="str">
        <f t="shared" ca="1" si="16"/>
        <v>ST3</v>
      </c>
      <c r="U137" s="162" t="str">
        <f t="shared" ca="1" si="16"/>
        <v>OAD</v>
      </c>
      <c r="V137" s="162" t="str">
        <f t="shared" ca="1" si="16"/>
        <v>Payment Rank</v>
      </c>
      <c r="W137" s="162" t="str">
        <f t="shared" ca="1" si="16"/>
        <v>Issuer Name</v>
      </c>
      <c r="X137" s="162" t="str">
        <f t="shared" ca="1" si="16"/>
        <v>Name</v>
      </c>
    </row>
    <row r="138" spans="3:24" hidden="1" outlineLevel="1"/>
    <row r="139" spans="3:24" hidden="1" outlineLevel="1"/>
    <row r="140" spans="3:24" hidden="1" outlineLevel="1"/>
    <row r="141" spans="3:24" hidden="1" outlineLevel="1">
      <c r="C141" s="6" t="s">
        <v>1608</v>
      </c>
      <c r="D141" s="343" t="str">
        <f ca="1">IF(BBswitch=1,IF(ISBLANK($C141),"",IF(_xll.BDP($C141,D$73)="#N/A N/A","NA ",_xll.BDP($C141,D$73))),D141)</f>
        <v>UAL 6.5 27</v>
      </c>
      <c r="E141" s="344" t="str">
        <f ca="1">IF(BBswitch=1,IF(ISBLANK($C141),"",IF(_xll.BDP($C141,E$73)="#N/A N/A","NA ",_xll.BDP($C141,E$73))),E141)</f>
        <v xml:space="preserve">NA </v>
      </c>
      <c r="F141" s="935">
        <f ca="1">IF(BBswitch=1,IF(ISBLANK($C141),"",IF(_xll.BDP($C141,F$72)="#N/A N/A","NA ",_xll.BDP($C141,F$72)/10^6)/P141),F141)</f>
        <v>3800</v>
      </c>
      <c r="G141" s="355">
        <f ca="1">IF(BBswitch=1,IF(ISBLANK($C141),"",IF(_xll.BDP($C141,G$72)="#N/A N/A","NA ",_xll.BDP($C141,G$72)/100)),G141)</f>
        <v>6.5000000000000002E-2</v>
      </c>
      <c r="H141" s="355">
        <f ca="1">IF(BBswitch=1,IF(ISBLANK($C141),"",IF(_xll.BDP($C141,H$72)="#N/A N/A","NA ",_xll.BDP($C141,H$72)/100)),H141)</f>
        <v>0.99352000000000007</v>
      </c>
      <c r="I141" s="355">
        <f ca="1">IF(BBswitch=1,IF(ISBLANK($C141),"",IF(_xll.BDP($C141,I$72)="#N/A N/A","NA ",_xll.BDP($C141,I$72)/100)),I141)</f>
        <v>6.5472053505776659E-2</v>
      </c>
      <c r="J141" s="355">
        <f ca="1">IF(BBswitch=1,IF(ISBLANK($C141),"",IF(_xll.BDP($C141,J$72)="#N/A N/A","NA ",_xll.BDP($C141,J$72)/100)),J141)</f>
        <v>6.8186445647317045E-2</v>
      </c>
      <c r="K141" s="345" t="str">
        <f ca="1">IF(BBswitch=1,IF(ISBLANK($C141),"",IF(_xll.BDP($C141,K$72)="#N/A N/A","NA ",_xll.BDP($C141,K$72))),K141)</f>
        <v>6/20/2027</v>
      </c>
      <c r="L141" s="346" t="e">
        <f t="shared" ref="L141:L146" ca="1" si="17">IF(ISBLANK($C141),"",YEAR(K141))</f>
        <v>#VALUE!</v>
      </c>
      <c r="M141" s="345" t="str">
        <f ca="1">IF(BBswitch=1,IF(ISBLANK($C141),"",IF(_xll.BDP($C141,M$72)="#N/A N/A","NA ",_xll.BDP($C141,M$72))),M141)</f>
        <v>7/2/2020</v>
      </c>
      <c r="N141" s="347" t="str" cm="1">
        <f t="array" aca="1" ref="N141" ca="1">IF(BBswitch=1,IF(ISBLANK($C141),"",IF(_xll.BDP($C141,N$72)="#N/A Field Not Applicable","Notes",_xll.BDP($C141,N$72))),N141)</f>
        <v>Notes</v>
      </c>
      <c r="O141" s="348" cm="1">
        <f t="array" aca="1" ref="O141" ca="1">IF(BBswitch=1,IF(ISBLANK($C141),"",IFERROR(IF(_xll.BDP($C141,O$72)="#N/A N/A","NA ",_xll.BDP($C141,O$72)/10^6),0)/P141),O141)</f>
        <v>0</v>
      </c>
      <c r="P141" s="349" cm="1">
        <f t="array" aca="1" ref="P141" ca="1">+IF(BBswitch=1,IF(ISBLANK($C141),"",IF(_xll.BDP("USD"&amp;Q141&amp;" BGN Curncy","px last")="#N/A Invalid Security",1,_xll.BDP("USD"&amp;Q141&amp;" BGN Curncy","px last"))),P141)</f>
        <v>1</v>
      </c>
      <c r="Q141" s="350" t="str">
        <f ca="1">IF(BBswitch=1,IF(ISBLANK($C141),"",IF(_xll.BDP($C141,Q$72)="#N/A N/A","NA ",_xll.BDP($C141,Q$72))),Q141)</f>
        <v>USD</v>
      </c>
      <c r="R141" s="351" t="str" cm="1">
        <f t="array" aca="1" ref="R141" ca="1">IF(BBswitch=1,IF(ISBLANK($C141),"",IF(OR(_xll.BDP($C141,R$72)="#N/A Field Not Applicable",_xll.BDP($C141,R$72)="#N/A N/A"),"",_xll.BDP($C141,R$72))),R141)</f>
        <v/>
      </c>
      <c r="S141" s="351" cm="1">
        <f t="array" aca="1" ref="S141" ca="1">IF(BBswitch=1,IF(ISBLANK($C141),"",IF(OR(_xll.BDP($C141,S$72)="#N/A Field Not Applicable",_xll.BDP($C141,S$72)="#N/A N/A"),"",_xll.BDP($C141,S$72))),S141)</f>
        <v>348.96752029314479</v>
      </c>
      <c r="T141" s="351" t="str" cm="1">
        <f t="array" aca="1" ref="T141" ca="1">IF(BBswitch=1,IF(ISBLANK($C141),"",IF(OR(_xll.BDP($C141,T$72)="#N/A Field Not Applicable",_xll.BDP($C141,T$72)="#N/A N/A"),"",_xll.BDP($C141,T$72))),T141)</f>
        <v/>
      </c>
      <c r="U141" s="351" cm="1">
        <f t="array" aca="1" ref="U141" ca="1">IF(BBswitch=1,IF(ISBLANK($C141),"",IF(OR(_xll.BDP($C141,U$72)="#N/A Field Not Applicable",_xll.BDP($C141,U$72)="#N/A N/A"),"",_xll.BDP($C141,U$72))),U141)</f>
        <v>2.0838282432148159</v>
      </c>
      <c r="V141" s="352" t="str">
        <f ca="1">IF(BBswitch=1,IF(ISBLANK($C141),"",IF(_xll.BDP($C141,V$72)="#N/A N/A","NA ",_xll.BDP($C141,V$72))),V141)</f>
        <v>1st lien</v>
      </c>
      <c r="W141" s="353" t="str" cm="1">
        <f t="array" aca="1" ref="W141" ca="1">IF(BBswitch=1,IF(ISBLANK($C141),"",IF(_xll.BDP($C141,W$72)="#N/A N/A","NA ",_xll.BDP($C141,W$72))),W141)</f>
        <v>Mileage Plus Holdings LLC / Mileage Plus Intellectual Property Assets Ltd</v>
      </c>
      <c r="X141" s="343" t="str">
        <f ca="1">IF(BBswitch=1,IF(ISBLANK($C141),"",IF(_xll.BDP($C141,X$73)="#N/A N/A","NA ",_xll.BDP($C141,X$73))),X141)</f>
        <v>UAL 6.5 27</v>
      </c>
    </row>
    <row r="142" spans="3:24" hidden="1" outlineLevel="1">
      <c r="C142" s="6" t="s">
        <v>1609</v>
      </c>
      <c r="D142" s="343" t="str">
        <f ca="1">IF(BBswitch=1,IF(ISBLANK($C142),"",IF(_xll.BDP($C142,D$73)="#N/A N/A","NA ",_xll.BDP($C142,D$73))),D142)</f>
        <v>UAL 4.375 26</v>
      </c>
      <c r="E142" s="344" t="str">
        <f ca="1">IF(BBswitch=1,IF(ISBLANK($C142),"",IF(_xll.BDP($C142,E$73)="#N/A N/A","NA ",_xll.BDP($C142,E$73))),E142)</f>
        <v>B+</v>
      </c>
      <c r="F142" s="935">
        <f ca="1">IF(BBswitch=1,IF(ISBLANK($C142),"",IF(_xll.BDP($C142,F$72)="#N/A N/A","NA ",_xll.BDP($C142,F$72)/10^6)/P142),F142)</f>
        <v>2000</v>
      </c>
      <c r="G142" s="355">
        <f ca="1">IF(BBswitch=1,IF(ISBLANK($C142),"",IF(_xll.BDP($C142,G$72)="#N/A N/A","NA ",_xll.BDP($C142,G$72)/100)),G142)</f>
        <v>4.3749999999999997E-2</v>
      </c>
      <c r="H142" s="355">
        <f ca="1">IF(BBswitch=1,IF(ISBLANK($C142),"",IF(_xll.BDP($C142,H$72)="#N/A N/A","NA ",_xll.BDP($C142,H$72)/100)),H142)</f>
        <v>0.93537999999999999</v>
      </c>
      <c r="I142" s="355">
        <f ca="1">IF(BBswitch=1,IF(ISBLANK($C142),"",IF(_xll.BDP($C142,I$72)="#N/A N/A","NA ",_xll.BDP($C142,I$72)/100)),I142)</f>
        <v>4.680796430825853E-2</v>
      </c>
      <c r="J142" s="355">
        <f ca="1">IF(BBswitch=1,IF(ISBLANK($C142),"",IF(_xll.BDP($C142,J$72)="#N/A N/A","NA ",_xll.BDP($C142,J$72)/100)),J142)</f>
        <v>6.3674336520908967E-2</v>
      </c>
      <c r="K142" s="345" t="str">
        <f ca="1">IF(BBswitch=1,IF(ISBLANK($C142),"",IF(_xll.BDP($C142,K$72)="#N/A N/A","NA ",_xll.BDP($C142,K$72))),K142)</f>
        <v>4/15/2026</v>
      </c>
      <c r="L142" s="346" t="e">
        <f t="shared" ca="1" si="17"/>
        <v>#VALUE!</v>
      </c>
      <c r="M142" s="345" t="str">
        <f ca="1">IF(BBswitch=1,IF(ISBLANK($C142),"",IF(_xll.BDP($C142,M$72)="#N/A N/A","NA ",_xll.BDP($C142,M$72))),M142)</f>
        <v>4/21/2021</v>
      </c>
      <c r="N142" s="347" t="str" cm="1">
        <f t="array" aca="1" ref="N142" ca="1">IF(BBswitch=1,IF(ISBLANK($C142),"",IF(_xll.BDP($C142,N$72)="#N/A Field Not Applicable","Notes",_xll.BDP($C142,N$72))),N142)</f>
        <v>Notes</v>
      </c>
      <c r="O142" s="348" cm="1">
        <f t="array" aca="1" ref="O142" ca="1">IF(BBswitch=1,IF(ISBLANK($C142),"",IFERROR(IF(_xll.BDP($C142,O$72)="#N/A N/A","NA ",_xll.BDP($C142,O$72)/10^6),0)/P142),O142)</f>
        <v>0</v>
      </c>
      <c r="P142" s="349" cm="1">
        <f t="array" aca="1" ref="P142" ca="1">+IF(BBswitch=1,IF(ISBLANK($C142),"",IF(_xll.BDP("USD"&amp;Q142&amp;" BGN Curncy","px last")="#N/A Invalid Security",1,_xll.BDP("USD"&amp;Q142&amp;" BGN Curncy","px last"))),P142)</f>
        <v>1</v>
      </c>
      <c r="Q142" s="350" t="str">
        <f ca="1">IF(BBswitch=1,IF(ISBLANK($C142),"",IF(_xll.BDP($C142,Q$72)="#N/A N/A","NA ",_xll.BDP($C142,Q$72))),Q142)</f>
        <v>USD</v>
      </c>
      <c r="R142" s="351" t="str" cm="1">
        <f t="array" aca="1" ref="R142" ca="1">IF(BBswitch=1,IF(ISBLANK($C142),"",IF(OR(_xll.BDP($C142,R$72)="#N/A Field Not Applicable",_xll.BDP($C142,R$72)="#N/A N/A"),"",_xll.BDP($C142,R$72))),R142)</f>
        <v/>
      </c>
      <c r="S142" s="351" cm="1">
        <f t="array" aca="1" ref="S142" ca="1">IF(BBswitch=1,IF(ISBLANK($C142),"",IF(OR(_xll.BDP($C142,S$72)="#N/A Field Not Applicable",_xll.BDP($C142,S$72)="#N/A N/A"),"",_xll.BDP($C142,S$72))),S142)</f>
        <v>314.85043130417165</v>
      </c>
      <c r="T142" s="351" t="str" cm="1">
        <f t="array" aca="1" ref="T142" ca="1">IF(BBswitch=1,IF(ISBLANK($C142),"",IF(OR(_xll.BDP($C142,T$72)="#N/A Field Not Applicable",_xll.BDP($C142,T$72)="#N/A N/A"),"",_xll.BDP($C142,T$72))),T142)</f>
        <v/>
      </c>
      <c r="U142" s="351" cm="1">
        <f t="array" aca="1" ref="U142" ca="1">IF(BBswitch=1,IF(ISBLANK($C142),"",IF(OR(_xll.BDP($C142,U$72)="#N/A Field Not Applicable",_xll.BDP($C142,U$72)="#N/A N/A"),"",_xll.BDP($C142,U$72))),U142)</f>
        <v>3.3115363508071924</v>
      </c>
      <c r="V142" s="352" t="str">
        <f ca="1">IF(BBswitch=1,IF(ISBLANK($C142),"",IF(_xll.BDP($C142,V$72)="#N/A N/A","NA ",_xll.BDP($C142,V$72))),V142)</f>
        <v>Secured</v>
      </c>
      <c r="W142" s="353" t="str" cm="1">
        <f t="array" aca="1" ref="W142" ca="1">IF(BBswitch=1,IF(ISBLANK($C142),"",IF(_xll.BDP($C142,W$72)="#N/A N/A","NA ",_xll.BDP($C142,W$72))),W142)</f>
        <v>United Airlines Inc</v>
      </c>
      <c r="X142" s="343" t="str">
        <f ca="1">IF(BBswitch=1,IF(ISBLANK($C142),"",IF(_xll.BDP($C142,X$73)="#N/A N/A","NA ",_xll.BDP($C142,X$73))),X142)</f>
        <v>UAL 4.375 26</v>
      </c>
    </row>
    <row r="143" spans="3:24" hidden="1" outlineLevel="1">
      <c r="C143" s="6" t="s">
        <v>1610</v>
      </c>
      <c r="D143" s="343" t="str">
        <f ca="1">IF(BBswitch=1,IF(ISBLANK($C143),"",IF(_xll.BDP($C143,D$73)="#N/A N/A","NA ",_xll.BDP($C143,D$73))),D143)</f>
        <v>UAL 4.625 29</v>
      </c>
      <c r="E143" s="344" t="str">
        <f ca="1">IF(BBswitch=1,IF(ISBLANK($C143),"",IF(_xll.BDP($C143,E$73)="#N/A N/A","NA ",_xll.BDP($C143,E$73))),E143)</f>
        <v>B+</v>
      </c>
      <c r="F143" s="935">
        <f ca="1">IF(BBswitch=1,IF(ISBLANK($C143),"",IF(_xll.BDP($C143,F$72)="#N/A N/A","NA ",_xll.BDP($C143,F$72)/10^6)/P143),F143)</f>
        <v>2000</v>
      </c>
      <c r="G143" s="355">
        <f ca="1">IF(BBswitch=1,IF(ISBLANK($C143),"",IF(_xll.BDP($C143,G$72)="#N/A N/A","NA ",_xll.BDP($C143,G$72)/100)),G143)</f>
        <v>4.6249999999999999E-2</v>
      </c>
      <c r="H143" s="355">
        <f ca="1">IF(BBswitch=1,IF(ISBLANK($C143),"",IF(_xll.BDP($C143,H$72)="#N/A N/A","NA ",_xll.BDP($C143,H$72)/100)),H143)</f>
        <v>0.90162000000000009</v>
      </c>
      <c r="I143" s="355">
        <f ca="1">IF(BBswitch=1,IF(ISBLANK($C143),"",IF(_xll.BDP($C143,I$72)="#N/A N/A","NA ",_xll.BDP($C143,I$72)/100)),I143)</f>
        <v>5.1353512025049411E-2</v>
      </c>
      <c r="J143" s="355">
        <f ca="1">IF(BBswitch=1,IF(ISBLANK($C143),"",IF(_xll.BDP($C143,J$72)="#N/A N/A","NA ",_xll.BDP($C143,J$72)/100)),J143)</f>
        <v>6.4678677851374849E-2</v>
      </c>
      <c r="K143" s="345" t="str">
        <f ca="1">IF(BBswitch=1,IF(ISBLANK($C143),"",IF(_xll.BDP($C143,K$72)="#N/A N/A","NA ",_xll.BDP($C143,K$72))),K143)</f>
        <v>4/15/2029</v>
      </c>
      <c r="L143" s="346" t="e">
        <f t="shared" ca="1" si="17"/>
        <v>#VALUE!</v>
      </c>
      <c r="M143" s="345" t="str">
        <f ca="1">IF(BBswitch=1,IF(ISBLANK($C143),"",IF(_xll.BDP($C143,M$72)="#N/A N/A","NA ",_xll.BDP($C143,M$72))),M143)</f>
        <v>4/21/2021</v>
      </c>
      <c r="N143" s="347" t="str" cm="1">
        <f t="array" aca="1" ref="N143" ca="1">IF(BBswitch=1,IF(ISBLANK($C143),"",IF(_xll.BDP($C143,N$72)="#N/A Field Not Applicable","Notes",_xll.BDP($C143,N$72))),N143)</f>
        <v>Notes</v>
      </c>
      <c r="O143" s="348" cm="1">
        <f t="array" aca="1" ref="O143" ca="1">IF(BBswitch=1,IF(ISBLANK($C143),"",IFERROR(IF(_xll.BDP($C143,O$72)="#N/A N/A","NA ",_xll.BDP($C143,O$72)/10^6),0)/P143),O143)</f>
        <v>0</v>
      </c>
      <c r="P143" s="349" cm="1">
        <f t="array" aca="1" ref="P143" ca="1">+IF(BBswitch=1,IF(ISBLANK($C143),"",IF(_xll.BDP("USD"&amp;Q143&amp;" BGN Curncy","px last")="#N/A Invalid Security",1,_xll.BDP("USD"&amp;Q143&amp;" BGN Curncy","px last"))),P143)</f>
        <v>1</v>
      </c>
      <c r="Q143" s="350" t="str">
        <f ca="1">IF(BBswitch=1,IF(ISBLANK($C143),"",IF(_xll.BDP($C143,Q$72)="#N/A N/A","NA ",_xll.BDP($C143,Q$72))),Q143)</f>
        <v>USD</v>
      </c>
      <c r="R143" s="351" t="str" cm="1">
        <f t="array" aca="1" ref="R143" ca="1">IF(BBswitch=1,IF(ISBLANK($C143),"",IF(OR(_xll.BDP($C143,R$72)="#N/A Field Not Applicable",_xll.BDP($C143,R$72)="#N/A N/A"),"",_xll.BDP($C143,R$72))),R143)</f>
        <v/>
      </c>
      <c r="S143" s="351" cm="1">
        <f t="array" aca="1" ref="S143" ca="1">IF(BBswitch=1,IF(ISBLANK($C143),"",IF(OR(_xll.BDP($C143,S$72)="#N/A Field Not Applicable",_xll.BDP($C143,S$72)="#N/A N/A"),"",_xll.BDP($C143,S$72))),S143)</f>
        <v>332.15178251603976</v>
      </c>
      <c r="T143" s="351" t="str" cm="1">
        <f t="array" aca="1" ref="T143" ca="1">IF(BBswitch=1,IF(ISBLANK($C143),"",IF(OR(_xll.BDP($C143,T$72)="#N/A Field Not Applicable",_xll.BDP($C143,T$72)="#N/A N/A"),"",_xll.BDP($C143,T$72))),T143)</f>
        <v/>
      </c>
      <c r="U143" s="351" cm="1">
        <f t="array" aca="1" ref="U143" ca="1">IF(BBswitch=1,IF(ISBLANK($C143),"",IF(OR(_xll.BDP($C143,U$72)="#N/A Field Not Applicable",_xll.BDP($C143,U$72)="#N/A N/A"),"",_xll.BDP($C143,U$72))),U143)</f>
        <v>5.5159027543734034</v>
      </c>
      <c r="V143" s="352" t="str">
        <f ca="1">IF(BBswitch=1,IF(ISBLANK($C143),"",IF(_xll.BDP($C143,V$72)="#N/A N/A","NA ",_xll.BDP($C143,V$72))),V143)</f>
        <v>Secured</v>
      </c>
      <c r="W143" s="353" t="str" cm="1">
        <f t="array" aca="1" ref="W143" ca="1">IF(BBswitch=1,IF(ISBLANK($C143),"",IF(_xll.BDP($C143,W$72)="#N/A N/A","NA ",_xll.BDP($C143,W$72))),W143)</f>
        <v>United Airlines Inc</v>
      </c>
      <c r="X143" s="343" t="str">
        <f ca="1">IF(BBswitch=1,IF(ISBLANK($C143),"",IF(_xll.BDP($C143,X$73)="#N/A N/A","NA ",_xll.BDP($C143,X$73))),X143)</f>
        <v>UAL 4.625 29</v>
      </c>
    </row>
    <row r="144" spans="3:24" hidden="1" outlineLevel="1">
      <c r="C144" s="6" t="s">
        <v>1611</v>
      </c>
      <c r="D144" s="343" t="str">
        <f ca="1">IF(BBswitch=1,IF(ISBLANK($C144),"",IF(_xll.BDP($C144,D$73)="#N/A N/A","NA ",_xll.BDP($C144,D$73))),D144)</f>
        <v>UAL 5 24</v>
      </c>
      <c r="E144" s="344" t="str">
        <f ca="1">IF(BBswitch=1,IF(ISBLANK($C144),"",IF(_xll.BDP($C144,E$73)="#N/A N/A","NA ",_xll.BDP($C144,E$73))),E144)</f>
        <v>B+</v>
      </c>
      <c r="F144" s="935">
        <f ca="1">IF(BBswitch=1,IF(ISBLANK($C144),"",IF(_xll.BDP($C144,F$72)="#N/A N/A","NA ",_xll.BDP($C144,F$72)/10^6)/P144),F144)</f>
        <v>300</v>
      </c>
      <c r="G144" s="355">
        <f ca="1">IF(BBswitch=1,IF(ISBLANK($C144),"",IF(_xll.BDP($C144,G$72)="#N/A N/A","NA ",_xll.BDP($C144,G$72)/100)),G144)</f>
        <v>0.05</v>
      </c>
      <c r="H144" s="355">
        <f ca="1">IF(BBswitch=1,IF(ISBLANK($C144),"",IF(_xll.BDP($C144,H$72)="#N/A N/A","NA ",_xll.BDP($C144,H$72)/100)),H144)</f>
        <v>0.99214000000000002</v>
      </c>
      <c r="I144" s="355">
        <f ca="1">IF(BBswitch=1,IF(ISBLANK($C144),"",IF(_xll.BDP($C144,I$72)="#N/A N/A","NA ",_xll.BDP($C144,I$72)/100)),I144)</f>
        <v>5.0583224579400489E-2</v>
      </c>
      <c r="J144" s="355">
        <f ca="1">IF(BBswitch=1,IF(ISBLANK($C144),"",IF(_xll.BDP($C144,J$72)="#N/A N/A","NA ",_xll.BDP($C144,J$72)/100)),J144)</f>
        <v>5.7997128660758367E-2</v>
      </c>
      <c r="K144" s="345" t="str">
        <f ca="1">IF(BBswitch=1,IF(ISBLANK($C144),"",IF(_xll.BDP($C144,K$72)="#N/A N/A","NA ",_xll.BDP($C144,K$72))),K144)</f>
        <v>2/1/2024</v>
      </c>
      <c r="L144" s="346">
        <f t="shared" ca="1" si="17"/>
        <v>2024</v>
      </c>
      <c r="M144" s="345" t="str">
        <f ca="1">IF(BBswitch=1,IF(ISBLANK($C144),"",IF(_xll.BDP($C144,M$72)="#N/A N/A","NA ",_xll.BDP($C144,M$72))),M144)</f>
        <v>1/26/2017</v>
      </c>
      <c r="N144" s="347" t="str" cm="1">
        <f t="array" aca="1" ref="N144" ca="1">IF(BBswitch=1,IF(ISBLANK($C144),"",IF(_xll.BDP($C144,N$72)="#N/A Field Not Applicable","Notes",_xll.BDP($C144,N$72))),N144)</f>
        <v>Notes</v>
      </c>
      <c r="O144" s="348" cm="1">
        <f t="array" aca="1" ref="O144" ca="1">IF(BBswitch=1,IF(ISBLANK($C144),"",IFERROR(IF(_xll.BDP($C144,O$72)="#N/A N/A","NA ",_xll.BDP($C144,O$72)/10^6),0)/P144),O144)</f>
        <v>0</v>
      </c>
      <c r="P144" s="349" cm="1">
        <f t="array" aca="1" ref="P144" ca="1">+IF(BBswitch=1,IF(ISBLANK($C144),"",IF(_xll.BDP("USD"&amp;Q144&amp;" BGN Curncy","px last")="#N/A Invalid Security",1,_xll.BDP("USD"&amp;Q144&amp;" BGN Curncy","px last"))),P144)</f>
        <v>1</v>
      </c>
      <c r="Q144" s="350" t="str">
        <f ca="1">IF(BBswitch=1,IF(ISBLANK($C144),"",IF(_xll.BDP($C144,Q$72)="#N/A N/A","NA ",_xll.BDP($C144,Q$72))),Q144)</f>
        <v>USD</v>
      </c>
      <c r="R144" s="351" t="str" cm="1">
        <f t="array" aca="1" ref="R144" ca="1">IF(BBswitch=1,IF(ISBLANK($C144),"",IF(OR(_xll.BDP($C144,R$72)="#N/A Field Not Applicable",_xll.BDP($C144,R$72)="#N/A N/A"),"",_xll.BDP($C144,R$72))),R144)</f>
        <v/>
      </c>
      <c r="S144" s="351" cm="1">
        <f t="array" aca="1" ref="S144" ca="1">IF(BBswitch=1,IF(ISBLANK($C144),"",IF(OR(_xll.BDP($C144,S$72)="#N/A Field Not Applicable",_xll.BDP($C144,S$72)="#N/A N/A"),"",_xll.BDP($C144,S$72))),S144)</f>
        <v>232.97833742233425</v>
      </c>
      <c r="T144" s="351" t="str" cm="1">
        <f t="array" aca="1" ref="T144" ca="1">IF(BBswitch=1,IF(ISBLANK($C144),"",IF(OR(_xll.BDP($C144,T$72)="#N/A Field Not Applicable",_xll.BDP($C144,T$72)="#N/A N/A"),"",_xll.BDP($C144,T$72))),T144)</f>
        <v/>
      </c>
      <c r="U144" s="351" cm="1">
        <f t="array" aca="1" ref="U144" ca="1">IF(BBswitch=1,IF(ISBLANK($C144),"",IF(OR(_xll.BDP($C144,U$72)="#N/A Field Not Applicable",_xll.BDP($C144,U$72)="#N/A N/A"),"",_xll.BDP($C144,U$72))),U144)</f>
        <v>1.4197737564690946</v>
      </c>
      <c r="V144" s="352" t="str">
        <f ca="1">IF(BBswitch=1,IF(ISBLANK($C144),"",IF(_xll.BDP($C144,V$72)="#N/A N/A","NA ",_xll.BDP($C144,V$72))),V144)</f>
        <v>Sr Unsecured</v>
      </c>
      <c r="W144" s="353" t="str" cm="1">
        <f t="array" aca="1" ref="W144" ca="1">IF(BBswitch=1,IF(ISBLANK($C144),"",IF(_xll.BDP($C144,W$72)="#N/A N/A","NA ",_xll.BDP($C144,W$72))),W144)</f>
        <v>United Airlines Holdings Inc</v>
      </c>
      <c r="X144" s="343" t="str">
        <f ca="1">IF(BBswitch=1,IF(ISBLANK($C144),"",IF(_xll.BDP($C144,X$73)="#N/A N/A","NA ",_xll.BDP($C144,X$73))),X144)</f>
        <v>UAL 5 24</v>
      </c>
    </row>
    <row r="145" spans="3:24" hidden="1" outlineLevel="1">
      <c r="C145" s="6" t="s">
        <v>1612</v>
      </c>
      <c r="D145" s="343" t="str">
        <f ca="1">IF(BBswitch=1,IF(ISBLANK($C145),"",IF(_xll.BDP($C145,D$73)="#N/A N/A","NA ",_xll.BDP($C145,D$73))),D145)</f>
        <v>UAL 4.875 25</v>
      </c>
      <c r="E145" s="344" t="str">
        <f ca="1">IF(BBswitch=1,IF(ISBLANK($C145),"",IF(_xll.BDP($C145,E$73)="#N/A N/A","NA ",_xll.BDP($C145,E$73))),E145)</f>
        <v>B+</v>
      </c>
      <c r="F145" s="935">
        <f ca="1">IF(BBswitch=1,IF(ISBLANK($C145),"",IF(_xll.BDP($C145,F$72)="#N/A N/A","NA ",_xll.BDP($C145,F$72)/10^6)/P145),F145)</f>
        <v>350</v>
      </c>
      <c r="G145" s="355">
        <f ca="1">IF(BBswitch=1,IF(ISBLANK($C145),"",IF(_xll.BDP($C145,G$72)="#N/A N/A","NA ",_xll.BDP($C145,G$72)/100)),G145)</f>
        <v>4.8750000000000002E-2</v>
      </c>
      <c r="H145" s="355">
        <f ca="1">IF(BBswitch=1,IF(ISBLANK($C145),"",IF(_xll.BDP($C145,H$72)="#N/A N/A","NA ",_xll.BDP($C145,H$72)/100)),H145)</f>
        <v>0.94803999999999999</v>
      </c>
      <c r="I145" s="355">
        <f ca="1">IF(BBswitch=1,IF(ISBLANK($C145),"",IF(_xll.BDP($C145,I$72)="#N/A N/A","NA ",_xll.BDP($C145,I$72)/100)),I145)</f>
        <v>5.160696138211382E-2</v>
      </c>
      <c r="J145" s="355">
        <f ca="1">IF(BBswitch=1,IF(ISBLANK($C145),"",IF(_xll.BDP($C145,J$72)="#N/A N/A","NA ",_xll.BDP($C145,J$72)/100)),J145)</f>
        <v>7.3565297326409873E-2</v>
      </c>
      <c r="K145" s="345" t="str">
        <f ca="1">IF(BBswitch=1,IF(ISBLANK($C145),"",IF(_xll.BDP($C145,K$72)="#N/A N/A","NA ",_xll.BDP($C145,K$72))),K145)</f>
        <v>1/15/2025</v>
      </c>
      <c r="L145" s="346" t="e">
        <f t="shared" ca="1" si="17"/>
        <v>#VALUE!</v>
      </c>
      <c r="M145" s="345" t="str">
        <f ca="1">IF(BBswitch=1,IF(ISBLANK($C145),"",IF(_xll.BDP($C145,M$72)="#N/A N/A","NA ",_xll.BDP($C145,M$72))),M145)</f>
        <v>5/9/2019</v>
      </c>
      <c r="N145" s="347" t="str" cm="1">
        <f t="array" aca="1" ref="N145" ca="1">IF(BBswitch=1,IF(ISBLANK($C145),"",IF(_xll.BDP($C145,N$72)="#N/A Field Not Applicable","Notes",_xll.BDP($C145,N$72))),N145)</f>
        <v>Notes</v>
      </c>
      <c r="O145" s="348" cm="1">
        <f t="array" aca="1" ref="O145" ca="1">IF(BBswitch=1,IF(ISBLANK($C145),"",IFERROR(IF(_xll.BDP($C145,O$72)="#N/A N/A","NA ",_xll.BDP($C145,O$72)/10^6),0)/P145),O145)</f>
        <v>0</v>
      </c>
      <c r="P145" s="349" cm="1">
        <f t="array" aca="1" ref="P145" ca="1">+IF(BBswitch=1,IF(ISBLANK($C145),"",IF(_xll.BDP("USD"&amp;Q145&amp;" BGN Curncy","px last")="#N/A Invalid Security",1,_xll.BDP("USD"&amp;Q145&amp;" BGN Curncy","px last"))),P145)</f>
        <v>1</v>
      </c>
      <c r="Q145" s="350" t="str">
        <f ca="1">IF(BBswitch=1,IF(ISBLANK($C145),"",IF(_xll.BDP($C145,Q$72)="#N/A N/A","NA ",_xll.BDP($C145,Q$72))),Q145)</f>
        <v>USD</v>
      </c>
      <c r="R145" s="351" t="str" cm="1">
        <f t="array" aca="1" ref="R145" ca="1">IF(BBswitch=1,IF(ISBLANK($C145),"",IF(OR(_xll.BDP($C145,R$72)="#N/A Field Not Applicable",_xll.BDP($C145,R$72)="#N/A N/A"),"",_xll.BDP($C145,R$72))),R145)</f>
        <v/>
      </c>
      <c r="S145" s="351" cm="1">
        <f t="array" aca="1" ref="S145" ca="1">IF(BBswitch=1,IF(ISBLANK($C145),"",IF(OR(_xll.BDP($C145,S$72)="#N/A Field Not Applicable",_xll.BDP($C145,S$72)="#N/A N/A"),"",_xll.BDP($C145,S$72))),S145)</f>
        <v>387.0916179129527</v>
      </c>
      <c r="T145" s="351" t="str" cm="1">
        <f t="array" aca="1" ref="T145" ca="1">IF(BBswitch=1,IF(ISBLANK($C145),"",IF(OR(_xll.BDP($C145,T$72)="#N/A Field Not Applicable",_xll.BDP($C145,T$72)="#N/A N/A"),"",_xll.BDP($C145,T$72))),T145)</f>
        <v/>
      </c>
      <c r="U145" s="351" cm="1">
        <f t="array" aca="1" ref="U145" ca="1">IF(BBswitch=1,IF(ISBLANK($C145),"",IF(OR(_xll.BDP($C145,U$72)="#N/A Field Not Applicable",_xll.BDP($C145,U$72)="#N/A N/A"),"",_xll.BDP($C145,U$72))),U145)</f>
        <v>2.2863483463037317</v>
      </c>
      <c r="V145" s="352" t="str">
        <f ca="1">IF(BBswitch=1,IF(ISBLANK($C145),"",IF(_xll.BDP($C145,V$72)="#N/A N/A","NA ",_xll.BDP($C145,V$72))),V145)</f>
        <v>Sr Unsecured</v>
      </c>
      <c r="W145" s="353" t="str" cm="1">
        <f t="array" aca="1" ref="W145" ca="1">IF(BBswitch=1,IF(ISBLANK($C145),"",IF(_xll.BDP($C145,W$72)="#N/A N/A","NA ",_xll.BDP($C145,W$72))),W145)</f>
        <v>United Airlines Holdings Inc</v>
      </c>
      <c r="X145" s="343" t="str">
        <f ca="1">IF(BBswitch=1,IF(ISBLANK($C145),"",IF(_xll.BDP($C145,X$73)="#N/A N/A","NA ",_xll.BDP($C145,X$73))),X145)</f>
        <v>UAL 4.875 25</v>
      </c>
    </row>
    <row r="146" spans="3:24" hidden="1" outlineLevel="1">
      <c r="C146" s="6" t="s">
        <v>1613</v>
      </c>
      <c r="D146" s="343" t="str">
        <f ca="1">IF(BBswitch=1,IF(ISBLANK($C146),"",IF(_xll.BDP($C146,D$73)="#N/A N/A","NA ",_xll.BDP($C146,D$73))),D146)</f>
        <v>UAL 13.25 T</v>
      </c>
      <c r="E146" s="344" t="str">
        <f ca="1">IF(BBswitch=1,IF(ISBLANK($C146),"",IF(_xll.BDP($C146,E$73)="#N/A N/A","NA ",_xll.BDP($C146,E$73))),E146)</f>
        <v xml:space="preserve">NA </v>
      </c>
      <c r="F146" s="935">
        <f ca="1">IF(BBswitch=1,IF(ISBLANK($C146),"",IF(_xll.BDP($C146,F$72)="#N/A N/A","NA ",_xll.BDP($C146,F$72)/10^6)/P146),F146)</f>
        <v>0</v>
      </c>
      <c r="G146" s="355">
        <f ca="1">IF(BBswitch=1,IF(ISBLANK($C146),"",IF(_xll.BDP($C146,G$72)="#N/A N/A","NA ",_xll.BDP($C146,G$72)/100)),G146)</f>
        <v>0.13250000000000001</v>
      </c>
      <c r="H146" s="355" t="str">
        <f ca="1">IF(BBswitch=1,IF(ISBLANK($C146),"",IF(_xll.BDP($C146,H$72)="#N/A N/A","NA ",_xll.BDP($C146,H$72)/100)),H146)</f>
        <v xml:space="preserve">NA </v>
      </c>
      <c r="I146" s="355" t="str">
        <f ca="1">IF(BBswitch=1,IF(ISBLANK($C146),"",IF(_xll.BDP($C146,I$72)="#N/A N/A","NA ",_xll.BDP($C146,I$72)/100)),I146)</f>
        <v xml:space="preserve">NA </v>
      </c>
      <c r="J146" s="355" t="str">
        <f ca="1">IF(BBswitch=1,IF(ISBLANK($C146),"",IF(_xll.BDP($C146,J$72)="#N/A N/A","NA ",_xll.BDP($C146,J$72)/100)),J146)</f>
        <v xml:space="preserve">NA </v>
      </c>
      <c r="K146" s="345" t="str">
        <f ca="1">IF(BBswitch=1,IF(ISBLANK($C146),"",IF(_xll.BDP($C146,K$72)="#N/A N/A","NA ",_xll.BDP($C146,K$72))),K146)</f>
        <v>#N/A Field Not Applicable</v>
      </c>
      <c r="L146" s="346" t="e">
        <f t="shared" ca="1" si="17"/>
        <v>#VALUE!</v>
      </c>
      <c r="M146" s="345" t="str">
        <f ca="1">IF(BBswitch=1,IF(ISBLANK($C146),"",IF(_xll.BDP($C146,M$72)="#N/A N/A","NA ",_xll.BDP($C146,M$72))),M146)</f>
        <v>12/30/1996</v>
      </c>
      <c r="N146" s="347" t="str" cm="1">
        <f t="array" aca="1" ref="N146" ca="1">IF(BBswitch=1,IF(ISBLANK($C146),"",IF(_xll.BDP($C146,N$72)="#N/A Field Not Applicable","Notes",_xll.BDP($C146,N$72))),N146)</f>
        <v>Notes</v>
      </c>
      <c r="O146" s="348" cm="1">
        <f t="array" aca="1" ref="O146" ca="1">IF(BBswitch=1,IF(ISBLANK($C146),"",IFERROR(IF(_xll.BDP($C146,O$72)="#N/A N/A","NA ",_xll.BDP($C146,O$72)/10^6),0)/P146),O146)</f>
        <v>0</v>
      </c>
      <c r="P146" s="349" cm="1">
        <f t="array" aca="1" ref="P146" ca="1">+IF(BBswitch=1,IF(ISBLANK($C146),"",IF(_xll.BDP("USD"&amp;Q146&amp;" BGN Curncy","px last")="#N/A Invalid Security",1,_xll.BDP("USD"&amp;Q146&amp;" BGN Curncy","px last"))),P146)</f>
        <v>1</v>
      </c>
      <c r="Q146" s="350" t="str">
        <f ca="1">IF(BBswitch=1,IF(ISBLANK($C146),"",IF(_xll.BDP($C146,Q$72)="#N/A N/A","NA ",_xll.BDP($C146,Q$72))),Q146)</f>
        <v>USD</v>
      </c>
      <c r="R146" s="351" t="str" cm="1">
        <f t="array" aca="1" ref="R146" ca="1">IF(BBswitch=1,IF(ISBLANK($C146),"",IF(OR(_xll.BDP($C146,R$72)="#N/A Field Not Applicable",_xll.BDP($C146,R$72)="#N/A N/A"),"",_xll.BDP($C146,R$72))),R146)</f>
        <v/>
      </c>
      <c r="S146" s="351" t="str" cm="1">
        <f t="array" aca="1" ref="S146" ca="1">IF(BBswitch=1,IF(ISBLANK($C146),"",IF(OR(_xll.BDP($C146,S$72)="#N/A Field Not Applicable",_xll.BDP($C146,S$72)="#N/A N/A"),"",_xll.BDP($C146,S$72))),S146)</f>
        <v/>
      </c>
      <c r="T146" s="351" t="str" cm="1">
        <f t="array" aca="1" ref="T146" ca="1">IF(BBswitch=1,IF(ISBLANK($C146),"",IF(OR(_xll.BDP($C146,T$72)="#N/A Field Not Applicable",_xll.BDP($C146,T$72)="#N/A N/A"),"",_xll.BDP($C146,T$72))),T146)</f>
        <v/>
      </c>
      <c r="U146" s="351" t="str" cm="1">
        <f t="array" aca="1" ref="U146" ca="1">IF(BBswitch=1,IF(ISBLANK($C146),"",IF(OR(_xll.BDP($C146,U$72)="#N/A Field Not Applicable",_xll.BDP($C146,U$72)="#N/A N/A"),"",_xll.BDP($C146,U$72))),U146)</f>
        <v/>
      </c>
      <c r="V146" s="352" t="str">
        <f ca="1">IF(BBswitch=1,IF(ISBLANK($C146),"",IF(_xll.BDP($C146,V$72)="#N/A N/A","NA ",_xll.BDP($C146,V$72))),V146)</f>
        <v>Preferred</v>
      </c>
      <c r="W146" s="353" t="str" cm="1">
        <f t="array" aca="1" ref="W146" ca="1">IF(BBswitch=1,IF(ISBLANK($C146),"",IF(_xll.BDP($C146,W$72)="#N/A N/A","NA ",_xll.BDP($C146,W$72))),W146)</f>
        <v>UAL Corp Capital Trust I</v>
      </c>
      <c r="X146" s="343" t="str">
        <f ca="1">IF(BBswitch=1,IF(ISBLANK($C146),"",IF(_xll.BDP($C146,X$73)="#N/A N/A","NA ",_xll.BDP($C146,X$73))),X146)</f>
        <v>UAL 13.25 T</v>
      </c>
    </row>
    <row r="147" spans="3:24" hidden="1" outlineLevel="1"/>
    <row r="148" spans="3:24" collapsed="1"/>
  </sheetData>
  <dataValidations disablePrompts="1" count="2">
    <dataValidation type="list" allowBlank="1" showInputMessage="1" showErrorMessage="1" sqref="S5" xr:uid="{DEE8BA3D-FDCB-4A09-8CC9-0643BD9F433F}">
      <formula1>$Z$7:$Z$12</formula1>
    </dataValidation>
    <dataValidation type="list" allowBlank="1" showInputMessage="1" showErrorMessage="1" sqref="S3" xr:uid="{7685D215-0F73-47DA-A5FF-E18DB25E7FA4}">
      <formula1>$Y$7:$Y$12</formula1>
    </dataValidation>
  </dataValidations>
  <pageMargins left="0" right="0" top="0" bottom="0" header="0" footer="0"/>
  <pageSetup scale="44" orientation="landscape" r:id="rId1"/>
  <rowBreaks count="1" manualBreakCount="1">
    <brk id="65" max="16383" man="1"/>
  </rowBreaks>
  <ignoredErrors>
    <ignoredError sqref="L90:Y91 L132:Z137 L105:Y105 L80:Y81 L78:Y78" formula="1"/>
    <ignoredError sqref="F30:I30 L32:O32 M28:O28 M29:O29 M30:O30 M31:O31 L35:O35 M33:O33 M34:O34" evalError="1"/>
  </ignoredError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169D-C175-41E4-B966-1586F8C2E04D}">
  <sheetPr codeName="Sheet2">
    <tabColor rgb="FF92D050"/>
  </sheetPr>
  <dimension ref="A1:W92"/>
  <sheetViews>
    <sheetView showGridLines="0" workbookViewId="0">
      <pane xSplit="5" ySplit="5" topLeftCell="F6" activePane="bottomRight" state="frozen"/>
      <selection activeCell="Z3" sqref="Z3"/>
      <selection pane="topRight" activeCell="Z3" sqref="Z3"/>
      <selection pane="bottomLeft" activeCell="Z3" sqref="Z3"/>
      <selection pane="bottomRight"/>
    </sheetView>
  </sheetViews>
  <sheetFormatPr defaultColWidth="9.19921875" defaultRowHeight="10.5" outlineLevelCol="1"/>
  <cols>
    <col min="1" max="2" width="1.796875" style="167" customWidth="1"/>
    <col min="3" max="3" width="30.796875" style="167" customWidth="1"/>
    <col min="4" max="5" width="17.796875" style="167" hidden="1" customWidth="1" outlineLevel="1"/>
    <col min="6" max="6" width="9.19921875" style="167" customWidth="1" collapsed="1"/>
    <col min="7" max="13" width="9.19921875" style="167"/>
    <col min="14" max="17" width="9.19921875" style="167" customWidth="1" outlineLevel="1"/>
    <col min="18" max="16384" width="9.19921875" style="167"/>
  </cols>
  <sheetData>
    <row r="1" spans="1:23">
      <c r="A1" s="378" t="str">
        <f ca="1">'UAL One Pager'!$D$2</f>
        <v>#N/A Requesting Data...</v>
      </c>
    </row>
    <row r="2" spans="1:23">
      <c r="A2" s="278" t="str">
        <f>'UAL Financials'!$A$2</f>
        <v>(All Values in US$ millions)</v>
      </c>
      <c r="F2" s="327"/>
      <c r="N2" s="327"/>
      <c r="O2" s="327"/>
      <c r="P2" s="327"/>
      <c r="Q2" s="327"/>
    </row>
    <row r="3" spans="1:23">
      <c r="F3" s="168"/>
      <c r="G3" s="169"/>
      <c r="H3" s="169"/>
      <c r="I3" s="169"/>
      <c r="J3" s="169"/>
      <c r="K3" s="169"/>
      <c r="L3" s="169"/>
      <c r="M3" s="169"/>
      <c r="N3" s="168"/>
      <c r="O3" s="168"/>
      <c r="P3" s="168"/>
      <c r="Q3" s="168"/>
      <c r="R3" s="169"/>
      <c r="S3" s="169"/>
      <c r="T3" s="169"/>
      <c r="U3" s="169"/>
      <c r="V3" s="169"/>
      <c r="W3" s="170"/>
    </row>
    <row r="4" spans="1:23">
      <c r="F4" s="171"/>
      <c r="G4" s="172"/>
      <c r="H4" s="172"/>
      <c r="I4" s="172"/>
      <c r="J4" s="172"/>
      <c r="K4" s="172"/>
      <c r="L4" s="172"/>
      <c r="M4" s="172"/>
      <c r="N4" s="171"/>
      <c r="O4" s="171"/>
      <c r="P4" s="171"/>
      <c r="Q4" s="171"/>
      <c r="R4" s="172"/>
      <c r="S4" s="172"/>
      <c r="T4" s="172"/>
      <c r="U4" s="172"/>
      <c r="V4" s="172"/>
      <c r="W4" s="170"/>
    </row>
    <row r="5" spans="1:23">
      <c r="B5" s="173" t="s">
        <v>133</v>
      </c>
      <c r="C5" s="328" t="s">
        <v>81</v>
      </c>
      <c r="D5" s="328" t="s">
        <v>134</v>
      </c>
      <c r="E5" s="328" t="s">
        <v>135</v>
      </c>
      <c r="F5" s="173" t="s">
        <v>136</v>
      </c>
      <c r="G5" s="173" t="s">
        <v>137</v>
      </c>
      <c r="H5" s="173" t="s">
        <v>138</v>
      </c>
      <c r="I5" s="173" t="s">
        <v>139</v>
      </c>
      <c r="J5" s="173" t="s">
        <v>140</v>
      </c>
      <c r="K5" s="173" t="s">
        <v>141</v>
      </c>
      <c r="L5" s="173" t="s">
        <v>142</v>
      </c>
      <c r="M5" s="174" t="s">
        <v>143</v>
      </c>
      <c r="N5" s="173" t="s">
        <v>144</v>
      </c>
      <c r="O5" s="173" t="s">
        <v>145</v>
      </c>
      <c r="P5" s="173" t="s">
        <v>146</v>
      </c>
      <c r="Q5" s="173" t="s">
        <v>147</v>
      </c>
      <c r="R5" s="173" t="s">
        <v>148</v>
      </c>
      <c r="S5" s="173" t="s">
        <v>149</v>
      </c>
      <c r="T5" s="173" t="s">
        <v>150</v>
      </c>
      <c r="U5" s="173" t="s">
        <v>1311</v>
      </c>
      <c r="V5" s="173" t="s">
        <v>1312</v>
      </c>
      <c r="W5" s="170"/>
    </row>
    <row r="6" spans="1:23">
      <c r="F6" s="175"/>
      <c r="G6" s="175"/>
      <c r="H6" s="175"/>
      <c r="I6" s="175"/>
      <c r="J6" s="175"/>
      <c r="K6" s="175"/>
      <c r="L6" s="175"/>
      <c r="M6" s="175"/>
      <c r="N6" s="175"/>
      <c r="O6" s="175"/>
      <c r="P6" s="175"/>
      <c r="Q6" s="175"/>
      <c r="R6" s="175"/>
      <c r="S6" s="175"/>
      <c r="T6" s="175"/>
      <c r="U6" s="175"/>
      <c r="V6" s="175"/>
      <c r="W6" s="170"/>
    </row>
    <row r="7" spans="1:23">
      <c r="C7" s="176" t="s">
        <v>151</v>
      </c>
      <c r="D7" s="176" t="s">
        <v>152</v>
      </c>
      <c r="E7" s="176" t="s">
        <v>153</v>
      </c>
      <c r="F7" s="506">
        <f>'UAL KPI'!V13</f>
        <v>37784</v>
      </c>
      <c r="G7" s="506">
        <f>'UAL KPI'!W13</f>
        <v>41303</v>
      </c>
      <c r="H7" s="506">
        <f>'UAL KPI'!X13</f>
        <v>43259</v>
      </c>
      <c r="I7" s="506">
        <f>'UAL KPI'!Y13</f>
        <v>15355</v>
      </c>
      <c r="J7" s="506">
        <f>'UAL KPI'!Z13</f>
        <v>24634</v>
      </c>
      <c r="K7" s="177">
        <f>+IFERROR(SUM(R7:U7)," NA")</f>
        <v>28979</v>
      </c>
      <c r="L7" s="506">
        <f>'UAL KPI'!AA13</f>
        <v>43084.056852334972</v>
      </c>
      <c r="M7" s="506">
        <f>'UAL KPI'!AB13</f>
        <v>48822.237694488678</v>
      </c>
      <c r="N7" s="506">
        <f>'UAL KPI'!J13</f>
        <v>1475</v>
      </c>
      <c r="O7" s="506">
        <f>'UAL KPI'!K13</f>
        <v>2489</v>
      </c>
      <c r="P7" s="506">
        <f>'UAL KPI'!L13</f>
        <v>3412</v>
      </c>
      <c r="Q7" s="506">
        <f>'UAL KPI'!M13</f>
        <v>3221</v>
      </c>
      <c r="R7" s="506">
        <f>'UAL KPI'!N13</f>
        <v>5471</v>
      </c>
      <c r="S7" s="506">
        <f>'UAL KPI'!O13</f>
        <v>7750</v>
      </c>
      <c r="T7" s="506">
        <f>'UAL KPI'!P13</f>
        <v>8192</v>
      </c>
      <c r="U7" s="506">
        <f>'UAL KPI'!Q13</f>
        <v>7566</v>
      </c>
      <c r="V7" s="506">
        <f>'UAL KPI'!R13</f>
        <v>11583.696193334967</v>
      </c>
    </row>
    <row r="8" spans="1:23">
      <c r="C8" s="176" t="s">
        <v>154</v>
      </c>
      <c r="D8" s="176" t="s">
        <v>155</v>
      </c>
      <c r="E8" s="176"/>
      <c r="F8" s="506">
        <f>'UAL KPI'!V22</f>
        <v>11789</v>
      </c>
      <c r="G8" s="506">
        <f>'UAL KPI'!W22</f>
        <v>12016</v>
      </c>
      <c r="H8" s="506">
        <f>'UAL KPI'!X22</f>
        <v>13601</v>
      </c>
      <c r="I8" s="506">
        <f>'UAL KPI'!Y22</f>
        <v>-3001</v>
      </c>
      <c r="J8" s="506">
        <f>'UAL KPI'!Z22</f>
        <v>2529</v>
      </c>
      <c r="K8" s="177">
        <f t="shared" ref="K8:K13" si="0">+IFERROR(SUM(R8:U8)," NA")</f>
        <v>4468</v>
      </c>
      <c r="L8" s="506">
        <f>'UAL KPI'!AA22</f>
        <v>8661.7264702759785</v>
      </c>
      <c r="M8" s="506">
        <f>'UAL KPI'!AB22</f>
        <v>12926.287873536108</v>
      </c>
      <c r="N8" s="506">
        <f>'UAL KPI'!J22</f>
        <v>-1940</v>
      </c>
      <c r="O8" s="506">
        <f>'UAL KPI'!K22</f>
        <v>-1391</v>
      </c>
      <c r="P8" s="506">
        <f>'UAL KPI'!L22</f>
        <v>-829</v>
      </c>
      <c r="Q8" s="506">
        <f>'UAL KPI'!M22</f>
        <v>-1261</v>
      </c>
      <c r="R8" s="506">
        <f>'UAL KPI'!N22</f>
        <v>359</v>
      </c>
      <c r="S8" s="506">
        <f>'UAL KPI'!O22</f>
        <v>1759</v>
      </c>
      <c r="T8" s="506">
        <f>'UAL KPI'!P22</f>
        <v>1672</v>
      </c>
      <c r="U8" s="506">
        <f>'UAL KPI'!Q22</f>
        <v>678</v>
      </c>
      <c r="V8" s="506">
        <f>'UAL KPI'!R22</f>
        <v>2494.6774037480936</v>
      </c>
    </row>
    <row r="9" spans="1:23">
      <c r="C9" s="176" t="s">
        <v>156</v>
      </c>
      <c r="D9" s="176"/>
      <c r="E9" s="176"/>
      <c r="F9" s="506"/>
      <c r="G9" s="506"/>
      <c r="H9" s="506"/>
      <c r="I9" s="506"/>
      <c r="J9" s="506"/>
      <c r="K9" s="177"/>
      <c r="L9" s="506"/>
      <c r="M9" s="506"/>
      <c r="N9" s="506"/>
      <c r="O9" s="506"/>
      <c r="P9" s="506"/>
      <c r="Q9" s="506"/>
      <c r="R9" s="506"/>
      <c r="S9" s="506"/>
      <c r="T9" s="506"/>
      <c r="U9" s="506"/>
      <c r="V9" s="506"/>
    </row>
    <row r="10" spans="1:23">
      <c r="C10" s="176" t="s">
        <v>157</v>
      </c>
      <c r="D10" s="176" t="s">
        <v>158</v>
      </c>
      <c r="E10" s="176" t="s">
        <v>159</v>
      </c>
      <c r="F10" s="506">
        <f>'UAL KPI'!V31</f>
        <v>3694</v>
      </c>
      <c r="G10" s="506">
        <f>'UAL KPI'!W31</f>
        <v>3644</v>
      </c>
      <c r="H10" s="506">
        <f>'UAL KPI'!X31</f>
        <v>4520</v>
      </c>
      <c r="I10" s="506">
        <f>'UAL KPI'!Y31</f>
        <v>-8918</v>
      </c>
      <c r="J10" s="506">
        <f>'UAL KPI'!Z31</f>
        <v>-4268</v>
      </c>
      <c r="K10" s="177">
        <f t="shared" si="0"/>
        <v>-2895</v>
      </c>
      <c r="L10" s="506">
        <f>'UAL KPI'!AA31</f>
        <v>-472.87454528023409</v>
      </c>
      <c r="M10" s="506">
        <f>'UAL KPI'!AB31</f>
        <v>3070.785391540393</v>
      </c>
      <c r="N10" s="506">
        <f>'UAL KPI'!J31</f>
        <v>-3062</v>
      </c>
      <c r="O10" s="506">
        <f>'UAL KPI'!K31</f>
        <v>-2692</v>
      </c>
      <c r="P10" s="506">
        <f>'UAL KPI'!L31</f>
        <v>-2253</v>
      </c>
      <c r="Q10" s="506">
        <f>'UAL KPI'!M31</f>
        <v>-2731</v>
      </c>
      <c r="R10" s="506">
        <f>'UAL KPI'!N31</f>
        <v>-1205</v>
      </c>
      <c r="S10" s="506">
        <f>'UAL KPI'!O31</f>
        <v>-53</v>
      </c>
      <c r="T10" s="506">
        <f>'UAL KPI'!P31</f>
        <v>-279</v>
      </c>
      <c r="U10" s="506">
        <f>'UAL KPI'!Q31</f>
        <v>-1358</v>
      </c>
      <c r="V10" s="506">
        <f>'UAL KPI'!R31</f>
        <v>137.08787483757851</v>
      </c>
    </row>
    <row r="11" spans="1:23">
      <c r="C11" s="176" t="s">
        <v>88</v>
      </c>
      <c r="D11" s="176" t="s">
        <v>88</v>
      </c>
      <c r="E11" s="176" t="s">
        <v>160</v>
      </c>
      <c r="F11" s="506">
        <f>'UAL KPI'!V28</f>
        <v>5790</v>
      </c>
      <c r="G11" s="506">
        <f>'UAL KPI'!W28</f>
        <v>5809</v>
      </c>
      <c r="H11" s="506">
        <f>'UAL KPI'!X28</f>
        <v>6808</v>
      </c>
      <c r="I11" s="506">
        <f>'UAL KPI'!Y28</f>
        <v>-6430</v>
      </c>
      <c r="J11" s="506">
        <f>'UAL KPI'!Z28</f>
        <v>-1783</v>
      </c>
      <c r="K11" s="177">
        <f t="shared" si="0"/>
        <v>-422</v>
      </c>
      <c r="L11" s="506">
        <f>'UAL KPI'!AA28</f>
        <v>2332.7302271760864</v>
      </c>
      <c r="M11" s="506">
        <f>'UAL KPI'!AB28</f>
        <v>5893.2643915403924</v>
      </c>
      <c r="N11" s="506">
        <f>'UAL KPI'!J28</f>
        <v>-2444</v>
      </c>
      <c r="O11" s="506">
        <f>'UAL KPI'!K28</f>
        <v>-2066</v>
      </c>
      <c r="P11" s="506">
        <f>'UAL KPI'!L28</f>
        <v>-1624</v>
      </c>
      <c r="Q11" s="506">
        <f>'UAL KPI'!M28</f>
        <v>-2108</v>
      </c>
      <c r="R11" s="506">
        <f>'UAL KPI'!N28</f>
        <v>-585</v>
      </c>
      <c r="S11" s="506">
        <f>'UAL KPI'!O28</f>
        <v>570</v>
      </c>
      <c r="T11" s="506">
        <f>'UAL KPI'!P28</f>
        <v>340</v>
      </c>
      <c r="U11" s="506">
        <f>'UAL KPI'!Q28</f>
        <v>-747</v>
      </c>
      <c r="V11" s="506">
        <f>'UAL KPI'!R28</f>
        <v>798.35144811609848</v>
      </c>
    </row>
    <row r="12" spans="1:23">
      <c r="C12" s="176"/>
      <c r="D12" s="176"/>
      <c r="E12" s="176"/>
      <c r="F12" s="337"/>
      <c r="G12" s="337"/>
      <c r="H12" s="337"/>
      <c r="I12" s="337"/>
      <c r="J12" s="337"/>
      <c r="K12" s="177"/>
      <c r="L12" s="337"/>
      <c r="M12" s="337"/>
      <c r="N12" s="337"/>
      <c r="O12" s="337"/>
      <c r="P12" s="337"/>
      <c r="Q12" s="337"/>
      <c r="R12" s="337"/>
      <c r="S12" s="337"/>
      <c r="T12" s="337"/>
      <c r="U12" s="337"/>
      <c r="V12" s="337"/>
    </row>
    <row r="13" spans="1:23">
      <c r="C13" s="176" t="s">
        <v>161</v>
      </c>
      <c r="D13" s="176" t="s">
        <v>162</v>
      </c>
      <c r="E13" s="176" t="s">
        <v>163</v>
      </c>
      <c r="F13" s="506">
        <f>'UAL Financials'!V61</f>
        <v>-396</v>
      </c>
      <c r="G13" s="506">
        <f>'UAL Financials'!W61</f>
        <v>2094</v>
      </c>
      <c r="H13" s="506">
        <f>'UAL Financials'!X61</f>
        <v>2381</v>
      </c>
      <c r="I13" s="506">
        <f>'UAL Financials'!Y61</f>
        <v>-5860</v>
      </c>
      <c r="J13" s="506">
        <f>'UAL Financials'!Z61</f>
        <v>-40</v>
      </c>
      <c r="K13" s="177">
        <f t="shared" si="0"/>
        <v>1031</v>
      </c>
      <c r="L13" s="506">
        <f ca="1">'UAL Financials'!AA61</f>
        <v>-1175.7821342738634</v>
      </c>
      <c r="M13" s="506">
        <f ca="1">'UAL Financials'!AB61</f>
        <v>-3132.2202159737772</v>
      </c>
      <c r="N13" s="506">
        <f>'UAL Financials'!J61</f>
        <v>-169</v>
      </c>
      <c r="O13" s="506">
        <f>'UAL Financials'!K61</f>
        <v>-1521</v>
      </c>
      <c r="P13" s="506">
        <f>'UAL Financials'!L61</f>
        <v>-2274</v>
      </c>
      <c r="Q13" s="506">
        <f>'UAL Financials'!M61</f>
        <v>3</v>
      </c>
      <c r="R13" s="506">
        <f>'UAL Financials'!N61</f>
        <v>1814</v>
      </c>
      <c r="S13" s="506">
        <f>'UAL Financials'!O61</f>
        <v>-1052</v>
      </c>
      <c r="T13" s="506">
        <f>'UAL Financials'!P61</f>
        <v>-805</v>
      </c>
      <c r="U13" s="506">
        <f>'UAL Financials'!Q61</f>
        <v>1074</v>
      </c>
      <c r="V13" s="506">
        <f ca="1">'UAL Financials'!R61</f>
        <v>374.51217819958697</v>
      </c>
    </row>
    <row r="14" spans="1:23">
      <c r="C14" s="176"/>
      <c r="D14" s="176"/>
      <c r="E14" s="176"/>
      <c r="F14" s="337"/>
      <c r="G14" s="337"/>
      <c r="H14" s="337"/>
      <c r="I14" s="337"/>
      <c r="J14" s="337"/>
      <c r="K14" s="177"/>
      <c r="L14" s="337"/>
      <c r="M14" s="337"/>
      <c r="N14" s="337"/>
      <c r="O14" s="337"/>
      <c r="P14" s="337"/>
      <c r="Q14" s="337"/>
      <c r="R14" s="337"/>
      <c r="S14" s="337"/>
      <c r="T14" s="337"/>
      <c r="U14" s="337"/>
      <c r="V14" s="337"/>
    </row>
    <row r="15" spans="1:23">
      <c r="C15" s="176" t="s">
        <v>164</v>
      </c>
      <c r="D15" s="176" t="s">
        <v>165</v>
      </c>
      <c r="E15" s="176"/>
      <c r="F15" s="506">
        <f>'UAL KPI'!V33</f>
        <v>626</v>
      </c>
      <c r="G15" s="506">
        <f>'UAL KPI'!W33</f>
        <v>644</v>
      </c>
      <c r="H15" s="506">
        <f>'UAL KPI'!X33</f>
        <v>667</v>
      </c>
      <c r="I15" s="506">
        <f>'UAL KPI'!Y33</f>
        <v>1063</v>
      </c>
      <c r="J15" s="506">
        <f>'UAL KPI'!Z33</f>
        <v>1657</v>
      </c>
      <c r="K15" s="177">
        <f t="shared" ref="K15:K21" si="1">+IFERROR(SUM(R15:U15)," NA")</f>
        <v>1728</v>
      </c>
      <c r="L15" s="506">
        <f ca="1">'UAL KPI'!AA33</f>
        <v>1458.0986378291366</v>
      </c>
      <c r="M15" s="506">
        <f ca="1">'UAL KPI'!AB33</f>
        <v>1501.6765299999997</v>
      </c>
      <c r="N15" s="506">
        <f>'UAL KPI'!J33</f>
        <v>196</v>
      </c>
      <c r="O15" s="506">
        <f>'UAL KPI'!K33</f>
        <v>345</v>
      </c>
      <c r="P15" s="506">
        <f>'UAL KPI'!L33</f>
        <v>351</v>
      </c>
      <c r="Q15" s="506">
        <f>'UAL KPI'!M33</f>
        <v>353</v>
      </c>
      <c r="R15" s="506">
        <f>'UAL KPI'!N33</f>
        <v>426</v>
      </c>
      <c r="S15" s="506">
        <f>'UAL KPI'!O33</f>
        <v>449</v>
      </c>
      <c r="T15" s="506">
        <f>'UAL KPI'!P33</f>
        <v>429</v>
      </c>
      <c r="U15" s="506">
        <f>'UAL KPI'!Q33</f>
        <v>424</v>
      </c>
      <c r="V15" s="506">
        <f ca="1">'UAL KPI'!R33</f>
        <v>337.23713837589924</v>
      </c>
    </row>
    <row r="16" spans="1:23">
      <c r="C16" s="176" t="s">
        <v>166</v>
      </c>
      <c r="D16" s="176"/>
      <c r="E16" s="176"/>
      <c r="F16" s="506">
        <f>'UAL KPI'!V38</f>
        <v>1122</v>
      </c>
      <c r="G16" s="506">
        <f>'UAL KPI'!W38</f>
        <v>647</v>
      </c>
      <c r="H16" s="506">
        <f>'UAL KPI'!X38</f>
        <v>940</v>
      </c>
      <c r="I16" s="506">
        <f>'UAL KPI'!Y38</f>
        <v>-2156</v>
      </c>
      <c r="J16" s="506">
        <f>'UAL KPI'!Z38</f>
        <v>-1361</v>
      </c>
      <c r="K16" s="177">
        <f t="shared" si="1"/>
        <v>-1051</v>
      </c>
      <c r="L16" s="506">
        <f ca="1">'UAL KPI'!AA38</f>
        <v>-375</v>
      </c>
      <c r="M16" s="506">
        <f ca="1">'UAL KPI'!AB38</f>
        <v>0</v>
      </c>
      <c r="N16" s="506">
        <f>'UAL KPI'!J38</f>
        <v>-617</v>
      </c>
      <c r="O16" s="506">
        <f>'UAL KPI'!K38</f>
        <v>-639</v>
      </c>
      <c r="P16" s="506">
        <f>'UAL KPI'!L38</f>
        <v>-505</v>
      </c>
      <c r="Q16" s="506">
        <f>'UAL KPI'!M38</f>
        <v>-685</v>
      </c>
      <c r="R16" s="506">
        <f>'UAL KPI'!N38</f>
        <v>-333</v>
      </c>
      <c r="S16" s="506">
        <f>'UAL KPI'!O38</f>
        <v>-144</v>
      </c>
      <c r="T16" s="506">
        <f>'UAL KPI'!P38</f>
        <v>-199</v>
      </c>
      <c r="U16" s="506">
        <f>'UAL KPI'!Q38</f>
        <v>-375</v>
      </c>
      <c r="V16" s="506">
        <f ca="1">'UAL KPI'!R38</f>
        <v>0</v>
      </c>
    </row>
    <row r="17" spans="3:22">
      <c r="C17" s="176" t="s">
        <v>167</v>
      </c>
      <c r="D17" s="176" t="s">
        <v>168</v>
      </c>
      <c r="E17" s="176" t="s">
        <v>169</v>
      </c>
      <c r="F17" s="506">
        <f>-'UAL Financials'!V233</f>
        <v>3870</v>
      </c>
      <c r="G17" s="506">
        <f>-'UAL Financials'!W233</f>
        <v>4070</v>
      </c>
      <c r="H17" s="506">
        <f>-'UAL Financials'!X233</f>
        <v>4528</v>
      </c>
      <c r="I17" s="506">
        <f>-'UAL Financials'!Y233</f>
        <v>1727</v>
      </c>
      <c r="J17" s="506">
        <f>-'UAL Financials'!Z233</f>
        <v>2107</v>
      </c>
      <c r="K17" s="177">
        <f t="shared" si="1"/>
        <v>2065</v>
      </c>
      <c r="L17" s="506">
        <f>-'UAL Financials'!AA233</f>
        <v>5802</v>
      </c>
      <c r="M17" s="506">
        <f>-'UAL Financials'!AB233</f>
        <v>7700</v>
      </c>
      <c r="N17" s="506">
        <f>-'UAL Financials'!J233</f>
        <v>39</v>
      </c>
      <c r="O17" s="506">
        <f>-'UAL Financials'!K233</f>
        <v>-368</v>
      </c>
      <c r="P17" s="506">
        <f>-'UAL Financials'!L233</f>
        <v>97</v>
      </c>
      <c r="Q17" s="506">
        <f>-'UAL Financials'!M233</f>
        <v>444</v>
      </c>
      <c r="R17" s="506">
        <f>-'UAL Financials'!N233</f>
        <v>861</v>
      </c>
      <c r="S17" s="506">
        <f>-'UAL Financials'!O233</f>
        <v>266</v>
      </c>
      <c r="T17" s="506">
        <f>-'UAL Financials'!P233</f>
        <v>536</v>
      </c>
      <c r="U17" s="506">
        <f>-'UAL Financials'!Q233</f>
        <v>402</v>
      </c>
      <c r="V17" s="506">
        <f>-'UAL Financials'!R233</f>
        <v>1587.2559095580677</v>
      </c>
    </row>
    <row r="18" spans="3:22">
      <c r="C18" s="176" t="s">
        <v>170</v>
      </c>
      <c r="D18" s="176" t="s">
        <v>171</v>
      </c>
      <c r="E18" s="176"/>
      <c r="F18" s="337">
        <v>0</v>
      </c>
      <c r="G18" s="337">
        <v>0</v>
      </c>
      <c r="H18" s="337">
        <v>0</v>
      </c>
      <c r="I18" s="337">
        <v>0</v>
      </c>
      <c r="J18" s="337">
        <v>0</v>
      </c>
      <c r="K18" s="177">
        <f t="shared" si="1"/>
        <v>0</v>
      </c>
      <c r="L18" s="337">
        <v>0</v>
      </c>
      <c r="M18" s="337">
        <v>0</v>
      </c>
      <c r="N18" s="337">
        <v>0</v>
      </c>
      <c r="O18" s="337">
        <v>0</v>
      </c>
      <c r="P18" s="337">
        <v>0</v>
      </c>
      <c r="Q18" s="337">
        <v>0</v>
      </c>
      <c r="R18" s="337">
        <v>0</v>
      </c>
      <c r="S18" s="337">
        <v>0</v>
      </c>
      <c r="T18" s="337">
        <v>0</v>
      </c>
      <c r="U18" s="337">
        <v>0</v>
      </c>
      <c r="V18" s="337">
        <v>0</v>
      </c>
    </row>
    <row r="19" spans="3:22">
      <c r="C19" s="176" t="s">
        <v>172</v>
      </c>
      <c r="D19" s="176" t="s">
        <v>173</v>
      </c>
      <c r="E19" s="176"/>
      <c r="F19" s="506">
        <f>-'UAL Financials'!V246</f>
        <v>1844</v>
      </c>
      <c r="G19" s="506">
        <f>-'UAL Financials'!W246</f>
        <v>1235</v>
      </c>
      <c r="H19" s="506">
        <f>-'UAL Financials'!X246</f>
        <v>1645</v>
      </c>
      <c r="I19" s="506">
        <f>-'UAL Financials'!Y246</f>
        <v>353</v>
      </c>
      <c r="J19" s="506">
        <f>-'UAL Financials'!Z246</f>
        <v>0</v>
      </c>
      <c r="K19" s="177">
        <f t="shared" si="1"/>
        <v>0</v>
      </c>
      <c r="L19" s="506">
        <f>-'UAL Financials'!AA246</f>
        <v>0</v>
      </c>
      <c r="M19" s="506">
        <f>-'UAL Financials'!AB246</f>
        <v>0</v>
      </c>
      <c r="N19" s="506">
        <f>-'UAL Financials'!J246</f>
        <v>0</v>
      </c>
      <c r="O19" s="506">
        <f>-'UAL Financials'!K246</f>
        <v>0</v>
      </c>
      <c r="P19" s="506">
        <f>-'UAL Financials'!L246</f>
        <v>0</v>
      </c>
      <c r="Q19" s="506">
        <f>-'UAL Financials'!M246</f>
        <v>0</v>
      </c>
      <c r="R19" s="506">
        <f>-'UAL Financials'!N246</f>
        <v>0</v>
      </c>
      <c r="S19" s="506">
        <f>-'UAL Financials'!O246</f>
        <v>0</v>
      </c>
      <c r="T19" s="506">
        <f>-'UAL Financials'!P246</f>
        <v>0</v>
      </c>
      <c r="U19" s="506">
        <f>-'UAL Financials'!Q246</f>
        <v>0</v>
      </c>
      <c r="V19" s="506">
        <f>-'UAL Financials'!R246</f>
        <v>0</v>
      </c>
    </row>
    <row r="20" spans="3:22">
      <c r="C20" s="176" t="s">
        <v>174</v>
      </c>
      <c r="D20" s="176"/>
      <c r="E20" s="176"/>
      <c r="F20" s="506">
        <f>-'UAL Financials'!V244</f>
        <v>985</v>
      </c>
      <c r="G20" s="506">
        <f>-'UAL Financials'!W244</f>
        <v>1806</v>
      </c>
      <c r="H20" s="506">
        <f>-'UAL Financials'!X244</f>
        <v>1391</v>
      </c>
      <c r="I20" s="506">
        <f>-'UAL Financials'!Y244</f>
        <v>4449</v>
      </c>
      <c r="J20" s="506">
        <f>-'UAL Financials'!Z244</f>
        <v>5205</v>
      </c>
      <c r="K20" s="177">
        <f t="shared" si="1"/>
        <v>5419</v>
      </c>
      <c r="L20" s="506">
        <f ca="1">-'UAL Financials'!AA244</f>
        <v>5778.6972095375158</v>
      </c>
      <c r="M20" s="506">
        <f ca="1">-'UAL Financials'!AB244</f>
        <v>0</v>
      </c>
      <c r="N20" s="506">
        <f>-'UAL Financials'!J244</f>
        <v>311</v>
      </c>
      <c r="O20" s="506">
        <f>-'UAL Financials'!K244</f>
        <v>453</v>
      </c>
      <c r="P20" s="506">
        <f>-'UAL Financials'!L244</f>
        <v>3432</v>
      </c>
      <c r="Q20" s="506">
        <f>-'UAL Financials'!M244</f>
        <v>569</v>
      </c>
      <c r="R20" s="506">
        <f>-'UAL Financials'!N244</f>
        <v>3503</v>
      </c>
      <c r="S20" s="506">
        <f>-'UAL Financials'!O244</f>
        <v>560</v>
      </c>
      <c r="T20" s="506">
        <f>-'UAL Financials'!P244</f>
        <v>573</v>
      </c>
      <c r="U20" s="506">
        <f>-'UAL Financials'!Q244</f>
        <v>783</v>
      </c>
      <c r="V20" s="506">
        <f ca="1">-'UAL Financials'!R244</f>
        <v>4995.6972095375158</v>
      </c>
    </row>
    <row r="21" spans="3:22">
      <c r="C21" s="176" t="s">
        <v>175</v>
      </c>
      <c r="D21" s="176"/>
      <c r="E21" s="176"/>
      <c r="F21" s="338">
        <f>SUM(F15:F20)</f>
        <v>8447</v>
      </c>
      <c r="G21" s="338">
        <f>SUM(G15:G20)</f>
        <v>8402</v>
      </c>
      <c r="H21" s="338">
        <f>SUM(H15:H20)</f>
        <v>9171</v>
      </c>
      <c r="I21" s="338">
        <f>SUM(I15:I20)</f>
        <v>5436</v>
      </c>
      <c r="J21" s="338">
        <f>SUM(J15:J20)</f>
        <v>7608</v>
      </c>
      <c r="K21" s="338">
        <f t="shared" si="1"/>
        <v>8161</v>
      </c>
      <c r="L21" s="338">
        <f ca="1">SUM(L15:L20)</f>
        <v>12663.795847366651</v>
      </c>
      <c r="M21" s="338">
        <f ca="1">SUM(M15:M20)</f>
        <v>9201.6765300000006</v>
      </c>
      <c r="N21" s="338">
        <f>SUM(N15:N20)</f>
        <v>-71</v>
      </c>
      <c r="O21" s="338">
        <f t="shared" ref="O21:V21" si="2">SUM(O15:O20)</f>
        <v>-209</v>
      </c>
      <c r="P21" s="338">
        <f t="shared" si="2"/>
        <v>3375</v>
      </c>
      <c r="Q21" s="338">
        <f t="shared" si="2"/>
        <v>681</v>
      </c>
      <c r="R21" s="338">
        <f t="shared" si="2"/>
        <v>4457</v>
      </c>
      <c r="S21" s="338">
        <f t="shared" si="2"/>
        <v>1131</v>
      </c>
      <c r="T21" s="338">
        <f t="shared" si="2"/>
        <v>1339</v>
      </c>
      <c r="U21" s="338">
        <f t="shared" si="2"/>
        <v>1234</v>
      </c>
      <c r="V21" s="338">
        <f t="shared" ca="1" si="2"/>
        <v>6920.1902574714823</v>
      </c>
    </row>
    <row r="22" spans="3:22">
      <c r="C22" s="176"/>
      <c r="D22" s="176"/>
      <c r="E22" s="176"/>
      <c r="F22" s="339"/>
      <c r="G22" s="339"/>
      <c r="H22" s="339"/>
      <c r="I22" s="339"/>
      <c r="J22" s="339"/>
      <c r="K22" s="177"/>
      <c r="L22" s="339"/>
      <c r="M22" s="339"/>
      <c r="N22" s="339"/>
      <c r="O22" s="339"/>
      <c r="P22" s="339"/>
      <c r="Q22" s="339"/>
      <c r="R22" s="339"/>
      <c r="S22" s="339"/>
      <c r="T22" s="339"/>
      <c r="U22" s="339"/>
      <c r="V22" s="339"/>
    </row>
    <row r="23" spans="3:22">
      <c r="C23" s="176" t="s">
        <v>69</v>
      </c>
      <c r="D23" s="176" t="s">
        <v>176</v>
      </c>
      <c r="E23" s="176"/>
      <c r="F23" s="506">
        <f>'UAL Financials'!V144</f>
        <v>13268</v>
      </c>
      <c r="G23" s="506">
        <f>'UAL Financials'!W144</f>
        <v>13445</v>
      </c>
      <c r="H23" s="506">
        <f>'UAL Financials'!X144</f>
        <v>14552</v>
      </c>
      <c r="I23" s="506">
        <f>'UAL Financials'!Y144</f>
        <v>26747</v>
      </c>
      <c r="J23" s="506">
        <f>'UAL Financials'!Z144</f>
        <v>33363</v>
      </c>
      <c r="K23" s="177">
        <f>+U23</f>
        <v>32659</v>
      </c>
      <c r="L23" s="506">
        <f ca="1">'UAL Financials'!AA144</f>
        <v>28644.533898947371</v>
      </c>
      <c r="M23" s="506">
        <f ca="1">'UAL Financials'!AB144</f>
        <v>30955.341764210527</v>
      </c>
      <c r="N23" s="506">
        <f>'UAL Financials'!J144</f>
        <v>18772</v>
      </c>
      <c r="O23" s="506">
        <f>'UAL Financials'!K144</f>
        <v>26881</v>
      </c>
      <c r="P23" s="506">
        <f>'UAL Financials'!L144</f>
        <v>26747</v>
      </c>
      <c r="Q23" s="506">
        <f>'UAL Financials'!M144</f>
        <v>27632</v>
      </c>
      <c r="R23" s="506">
        <f>'UAL Financials'!N144</f>
        <v>34184</v>
      </c>
      <c r="S23" s="506">
        <f>'UAL Financials'!O144</f>
        <v>33789</v>
      </c>
      <c r="T23" s="506">
        <f>'UAL Financials'!P144</f>
        <v>33363</v>
      </c>
      <c r="U23" s="506">
        <f>'UAL Financials'!Q144</f>
        <v>32659</v>
      </c>
      <c r="V23" s="506">
        <f ca="1">'UAL Financials'!R144</f>
        <v>27688.513316778273</v>
      </c>
    </row>
    <row r="24" spans="3:22">
      <c r="C24" s="176" t="s">
        <v>73</v>
      </c>
      <c r="D24" s="176" t="s">
        <v>177</v>
      </c>
      <c r="E24" s="176" t="s">
        <v>178</v>
      </c>
      <c r="F24" s="177">
        <f>F23-F26</f>
        <v>11786</v>
      </c>
      <c r="G24" s="177">
        <f>G23-G26</f>
        <v>11751</v>
      </c>
      <c r="H24" s="177">
        <f>H23-H26</f>
        <v>11790</v>
      </c>
      <c r="I24" s="177">
        <f>I23-I26</f>
        <v>15478</v>
      </c>
      <c r="J24" s="177">
        <f>J23-J26</f>
        <v>15080</v>
      </c>
      <c r="K24" s="177">
        <f t="shared" ref="K24:K32" si="3">+U24</f>
        <v>14191</v>
      </c>
      <c r="L24" s="177">
        <f ca="1">L23-L26</f>
        <v>16516.413713221235</v>
      </c>
      <c r="M24" s="177">
        <f ca="1">M23-M26</f>
        <v>19749.476034458166</v>
      </c>
      <c r="N24" s="177">
        <f>N23-N26</f>
        <v>12267</v>
      </c>
      <c r="O24" s="177">
        <f t="shared" ref="O24:V24" si="4">O23-O26</f>
        <v>13731</v>
      </c>
      <c r="P24" s="177">
        <f t="shared" si="4"/>
        <v>15478</v>
      </c>
      <c r="Q24" s="177">
        <f t="shared" si="4"/>
        <v>14966</v>
      </c>
      <c r="R24" s="177">
        <f t="shared" si="4"/>
        <v>13346</v>
      </c>
      <c r="S24" s="177">
        <f t="shared" si="4"/>
        <v>14533</v>
      </c>
      <c r="T24" s="177">
        <f t="shared" si="4"/>
        <v>15080</v>
      </c>
      <c r="U24" s="177">
        <f t="shared" si="4"/>
        <v>14191</v>
      </c>
      <c r="V24" s="177">
        <f t="shared" ca="1" si="4"/>
        <v>13841.698348116202</v>
      </c>
    </row>
    <row r="25" spans="3:22">
      <c r="C25" s="176" t="s">
        <v>179</v>
      </c>
      <c r="D25" s="176" t="s">
        <v>180</v>
      </c>
      <c r="E25" s="176"/>
      <c r="F25" s="506">
        <f>'UAL Financials'!V169</f>
        <v>8734</v>
      </c>
      <c r="G25" s="506">
        <f>'UAL Financials'!W169</f>
        <v>10042</v>
      </c>
      <c r="H25" s="506">
        <f>'UAL Financials'!X169</f>
        <v>11531</v>
      </c>
      <c r="I25" s="506">
        <f>'UAL Financials'!Y169</f>
        <v>5960</v>
      </c>
      <c r="J25" s="506">
        <f>'UAL Financials'!Z169</f>
        <v>5029</v>
      </c>
      <c r="K25" s="177">
        <f t="shared" si="3"/>
        <v>3624</v>
      </c>
      <c r="L25" s="506">
        <f ca="1">'UAL Financials'!AA169</f>
        <v>3492.7333887346958</v>
      </c>
      <c r="M25" s="506">
        <f ca="1">'UAL Financials'!AB169</f>
        <v>5087.5524854271152</v>
      </c>
      <c r="N25" s="506">
        <f>'UAL Financials'!J169</f>
        <v>8517</v>
      </c>
      <c r="O25" s="506">
        <f>'UAL Financials'!K169</f>
        <v>7003</v>
      </c>
      <c r="P25" s="506">
        <f>'UAL Financials'!L169</f>
        <v>5960</v>
      </c>
      <c r="Q25" s="506">
        <f>'UAL Financials'!M169</f>
        <v>5206</v>
      </c>
      <c r="R25" s="506">
        <f>'UAL Financials'!N169</f>
        <v>4904</v>
      </c>
      <c r="S25" s="506">
        <f>'UAL Financials'!O169</f>
        <v>5431</v>
      </c>
      <c r="T25" s="506">
        <f>'UAL Financials'!P169</f>
        <v>5029</v>
      </c>
      <c r="U25" s="506">
        <f>'UAL Financials'!Q169</f>
        <v>3624</v>
      </c>
      <c r="V25" s="506">
        <f ca="1">'UAL Financials'!R169</f>
        <v>3429.8261901466931</v>
      </c>
    </row>
    <row r="26" spans="3:22">
      <c r="C26" s="176" t="s">
        <v>181</v>
      </c>
      <c r="D26" s="176" t="s">
        <v>182</v>
      </c>
      <c r="E26" s="176"/>
      <c r="F26" s="506">
        <f>'UAL Financials'!V116</f>
        <v>1482</v>
      </c>
      <c r="G26" s="506">
        <f>'UAL Financials'!W116</f>
        <v>1694</v>
      </c>
      <c r="H26" s="506">
        <f>'UAL Financials'!X116</f>
        <v>2762</v>
      </c>
      <c r="I26" s="506">
        <f>'UAL Financials'!Y116</f>
        <v>11269</v>
      </c>
      <c r="J26" s="506">
        <f>'UAL Financials'!Z116</f>
        <v>18283</v>
      </c>
      <c r="K26" s="177">
        <f t="shared" si="3"/>
        <v>18468</v>
      </c>
      <c r="L26" s="506">
        <f ca="1">'UAL Financials'!AA116</f>
        <v>12128.120185726139</v>
      </c>
      <c r="M26" s="506">
        <f ca="1">'UAL Financials'!AB116</f>
        <v>11205.86572975236</v>
      </c>
      <c r="N26" s="506">
        <f>'UAL Financials'!J116</f>
        <v>6505</v>
      </c>
      <c r="O26" s="506">
        <f>'UAL Financials'!K116</f>
        <v>13150</v>
      </c>
      <c r="P26" s="506">
        <f>'UAL Financials'!L116</f>
        <v>11269</v>
      </c>
      <c r="Q26" s="506">
        <f>'UAL Financials'!M116</f>
        <v>12666</v>
      </c>
      <c r="R26" s="506">
        <f>'UAL Financials'!N116</f>
        <v>20838</v>
      </c>
      <c r="S26" s="506">
        <f>'UAL Financials'!O116</f>
        <v>19256</v>
      </c>
      <c r="T26" s="506">
        <f>'UAL Financials'!P116</f>
        <v>18283</v>
      </c>
      <c r="U26" s="506">
        <f>'UAL Financials'!Q116</f>
        <v>18468</v>
      </c>
      <c r="V26" s="506">
        <f ca="1">'UAL Financials'!R116</f>
        <v>13846.814968662071</v>
      </c>
    </row>
    <row r="27" spans="3:22">
      <c r="C27" s="176" t="s">
        <v>183</v>
      </c>
      <c r="D27" s="176" t="s">
        <v>184</v>
      </c>
      <c r="E27" s="176"/>
      <c r="F27" s="506">
        <f>'UAL Financials'!V134</f>
        <v>42346</v>
      </c>
      <c r="G27" s="506">
        <f>'UAL Financials'!W134</f>
        <v>49024</v>
      </c>
      <c r="H27" s="506">
        <f>'UAL Financials'!X134</f>
        <v>52611</v>
      </c>
      <c r="I27" s="506">
        <f>'UAL Financials'!Y134</f>
        <v>59548</v>
      </c>
      <c r="J27" s="506">
        <f>'UAL Financials'!Z134</f>
        <v>68175</v>
      </c>
      <c r="K27" s="177">
        <f t="shared" si="3"/>
        <v>69038</v>
      </c>
      <c r="L27" s="506">
        <f ca="1">'UAL Financials'!AA134</f>
        <v>65843.038694180868</v>
      </c>
      <c r="M27" s="506">
        <f ca="1">'UAL Financials'!AB134</f>
        <v>69539.971629728971</v>
      </c>
      <c r="N27" s="506">
        <f>'UAL Financials'!J134</f>
        <v>54901</v>
      </c>
      <c r="O27" s="506">
        <f>'UAL Financials'!K134</f>
        <v>61189</v>
      </c>
      <c r="P27" s="506">
        <f>'UAL Financials'!L134</f>
        <v>59548</v>
      </c>
      <c r="Q27" s="506">
        <f>'UAL Financials'!M134</f>
        <v>61662</v>
      </c>
      <c r="R27" s="506">
        <f>'UAL Financials'!N134</f>
        <v>71049</v>
      </c>
      <c r="S27" s="506">
        <f>'UAL Financials'!O134</f>
        <v>69294</v>
      </c>
      <c r="T27" s="506">
        <f>'UAL Financials'!P134</f>
        <v>68175</v>
      </c>
      <c r="U27" s="506">
        <f>'UAL Financials'!Q134</f>
        <v>69038</v>
      </c>
      <c r="V27" s="506">
        <f ca="1">'UAL Financials'!R134</f>
        <v>65385.3141687975</v>
      </c>
    </row>
    <row r="28" spans="3:22">
      <c r="C28" s="176"/>
      <c r="D28" s="176"/>
      <c r="E28" s="176"/>
      <c r="F28" s="177"/>
      <c r="G28" s="177"/>
      <c r="H28" s="177"/>
      <c r="I28" s="177"/>
      <c r="J28" s="177"/>
      <c r="K28" s="177"/>
      <c r="L28" s="177"/>
      <c r="M28" s="177"/>
      <c r="N28" s="177"/>
      <c r="O28" s="177"/>
      <c r="P28" s="177"/>
      <c r="Q28" s="177"/>
      <c r="R28" s="177"/>
      <c r="S28" s="177"/>
      <c r="T28" s="177"/>
      <c r="U28" s="177"/>
      <c r="V28" s="177"/>
    </row>
    <row r="29" spans="3:22">
      <c r="C29" s="176" t="s">
        <v>185</v>
      </c>
      <c r="D29" s="176"/>
      <c r="E29" s="176"/>
      <c r="F29" s="506">
        <f>'UAL Financials'!V121</f>
        <v>1340</v>
      </c>
      <c r="G29" s="506">
        <f>'UAL Financials'!W121</f>
        <v>1426</v>
      </c>
      <c r="H29" s="506">
        <f>'UAL Financials'!X121</f>
        <v>1364</v>
      </c>
      <c r="I29" s="506">
        <f>'UAL Financials'!Y121</f>
        <v>1295</v>
      </c>
      <c r="J29" s="506">
        <f>'UAL Financials'!Z121</f>
        <v>1663</v>
      </c>
      <c r="K29" s="177">
        <f t="shared" si="3"/>
        <v>2062</v>
      </c>
      <c r="L29" s="506">
        <f>'UAL Financials'!AA121</f>
        <v>2006.6547027114921</v>
      </c>
      <c r="M29" s="506">
        <f>'UAL Financials'!AB121</f>
        <v>1872.6337745831272</v>
      </c>
      <c r="N29" s="506">
        <f>'UAL Financials'!J121</f>
        <v>857</v>
      </c>
      <c r="O29" s="506">
        <f>'UAL Financials'!K121</f>
        <v>1171</v>
      </c>
      <c r="P29" s="506">
        <f>'UAL Financials'!L121</f>
        <v>1295</v>
      </c>
      <c r="Q29" s="506">
        <f>'UAL Financials'!M121</f>
        <v>1389</v>
      </c>
      <c r="R29" s="506">
        <f>'UAL Financials'!N121</f>
        <v>1793</v>
      </c>
      <c r="S29" s="506">
        <f>'UAL Financials'!O121</f>
        <v>1709</v>
      </c>
      <c r="T29" s="506">
        <f>'UAL Financials'!P121</f>
        <v>1663</v>
      </c>
      <c r="U29" s="506">
        <f>'UAL Financials'!Q121</f>
        <v>2062</v>
      </c>
      <c r="V29" s="506">
        <f>'UAL Financials'!R121</f>
        <v>2115.115934940738</v>
      </c>
    </row>
    <row r="30" spans="3:22">
      <c r="C30" s="176" t="s">
        <v>186</v>
      </c>
      <c r="D30" s="176"/>
      <c r="E30" s="176"/>
      <c r="F30" s="506">
        <f>'UAL Financials'!V122</f>
        <v>924</v>
      </c>
      <c r="G30" s="506">
        <f>'UAL Financials'!W122</f>
        <v>985</v>
      </c>
      <c r="H30" s="506">
        <f>'UAL Financials'!X122</f>
        <v>1072</v>
      </c>
      <c r="I30" s="506">
        <f>'UAL Financials'!Y122</f>
        <v>932</v>
      </c>
      <c r="J30" s="506">
        <f>'UAL Financials'!Z122</f>
        <v>983</v>
      </c>
      <c r="K30" s="177">
        <f t="shared" si="3"/>
        <v>1068</v>
      </c>
      <c r="L30" s="506">
        <f>'UAL Financials'!AA122</f>
        <v>1264.7758391192096</v>
      </c>
      <c r="M30" s="506">
        <f>'UAL Financials'!AB122</f>
        <v>1114.6890455159526</v>
      </c>
      <c r="N30" s="506">
        <f>'UAL Financials'!J122</f>
        <v>955</v>
      </c>
      <c r="O30" s="506">
        <f>'UAL Financials'!K122</f>
        <v>961</v>
      </c>
      <c r="P30" s="506">
        <f>'UAL Financials'!L122</f>
        <v>932</v>
      </c>
      <c r="Q30" s="506">
        <f>'UAL Financials'!M122</f>
        <v>918</v>
      </c>
      <c r="R30" s="506">
        <f>'UAL Financials'!N122</f>
        <v>912</v>
      </c>
      <c r="S30" s="506">
        <f>'UAL Financials'!O122</f>
        <v>955</v>
      </c>
      <c r="T30" s="506">
        <f>'UAL Financials'!P122</f>
        <v>983</v>
      </c>
      <c r="U30" s="506">
        <f>'UAL Financials'!Q122</f>
        <v>1068</v>
      </c>
      <c r="V30" s="506">
        <f>'UAL Financials'!R122</f>
        <v>1117.5570050484444</v>
      </c>
    </row>
    <row r="31" spans="3:22">
      <c r="C31" s="176" t="s">
        <v>187</v>
      </c>
      <c r="D31" s="176"/>
      <c r="E31" s="176"/>
      <c r="F31" s="506">
        <f>'UAL Financials'!V126</f>
        <v>26208</v>
      </c>
      <c r="G31" s="506">
        <f>'UAL Financials'!W126</f>
        <v>27399</v>
      </c>
      <c r="H31" s="506">
        <f>'UAL Financials'!X126</f>
        <v>30170</v>
      </c>
      <c r="I31" s="506">
        <f>'UAL Financials'!Y126</f>
        <v>31466</v>
      </c>
      <c r="J31" s="506">
        <f>'UAL Financials'!Z126</f>
        <v>32074</v>
      </c>
      <c r="K31" s="177">
        <f t="shared" si="3"/>
        <v>31881</v>
      </c>
      <c r="L31" s="506">
        <f>'UAL Financials'!AA126</f>
        <v>35116.395227543675</v>
      </c>
      <c r="M31" s="506">
        <f>'UAL Financials'!AB126</f>
        <v>40030.916227543668</v>
      </c>
      <c r="N31" s="506">
        <f>'UAL Financials'!J126</f>
        <v>31735</v>
      </c>
      <c r="O31" s="506">
        <f>'UAL Financials'!K126</f>
        <v>31650</v>
      </c>
      <c r="P31" s="506">
        <f>'UAL Financials'!L126</f>
        <v>31466</v>
      </c>
      <c r="Q31" s="506">
        <f>'UAL Financials'!M126</f>
        <v>31915</v>
      </c>
      <c r="R31" s="506">
        <f>'UAL Financials'!N126</f>
        <v>32331</v>
      </c>
      <c r="S31" s="506">
        <f>'UAL Financials'!O126</f>
        <v>32128</v>
      </c>
      <c r="T31" s="506">
        <f>'UAL Financials'!P126</f>
        <v>32074</v>
      </c>
      <c r="U31" s="506">
        <f>'UAL Financials'!Q126</f>
        <v>31881</v>
      </c>
      <c r="V31" s="506">
        <f>'UAL Financials'!R126</f>
        <v>32816.992336279545</v>
      </c>
    </row>
    <row r="32" spans="3:22">
      <c r="C32" s="176" t="s">
        <v>188</v>
      </c>
      <c r="D32" s="176" t="s">
        <v>189</v>
      </c>
      <c r="E32" s="176"/>
      <c r="F32" s="338">
        <f>SUM(F29:F31)</f>
        <v>28472</v>
      </c>
      <c r="G32" s="338">
        <f>SUM(G29:G31)</f>
        <v>29810</v>
      </c>
      <c r="H32" s="338">
        <f>SUM(H29:H31)</f>
        <v>32606</v>
      </c>
      <c r="I32" s="338">
        <f>SUM(I29:I31)</f>
        <v>33693</v>
      </c>
      <c r="J32" s="338">
        <f>SUM(J29:J31)</f>
        <v>34720</v>
      </c>
      <c r="K32" s="338">
        <f t="shared" si="3"/>
        <v>35011</v>
      </c>
      <c r="L32" s="338">
        <f>SUM(L29:L31)</f>
        <v>38387.82576937438</v>
      </c>
      <c r="M32" s="338">
        <f>SUM(M29:M31)</f>
        <v>43018.239047642746</v>
      </c>
      <c r="N32" s="338">
        <f>SUM(N29:N31)</f>
        <v>33547</v>
      </c>
      <c r="O32" s="338">
        <f t="shared" ref="O32:V32" si="5">SUM(O29:O31)</f>
        <v>33782</v>
      </c>
      <c r="P32" s="338">
        <f t="shared" si="5"/>
        <v>33693</v>
      </c>
      <c r="Q32" s="338">
        <f t="shared" si="5"/>
        <v>34222</v>
      </c>
      <c r="R32" s="338">
        <f t="shared" si="5"/>
        <v>35036</v>
      </c>
      <c r="S32" s="338">
        <f t="shared" si="5"/>
        <v>34792</v>
      </c>
      <c r="T32" s="338">
        <f t="shared" si="5"/>
        <v>34720</v>
      </c>
      <c r="U32" s="338">
        <f t="shared" si="5"/>
        <v>35011</v>
      </c>
      <c r="V32" s="338">
        <f t="shared" si="5"/>
        <v>36049.66527626873</v>
      </c>
    </row>
    <row r="33" spans="3:22">
      <c r="C33" s="176"/>
      <c r="D33" s="176"/>
      <c r="E33" s="176"/>
      <c r="F33" s="177"/>
      <c r="G33" s="177"/>
      <c r="H33" s="177"/>
      <c r="I33" s="177"/>
      <c r="J33" s="177"/>
      <c r="K33" s="177"/>
      <c r="L33" s="177"/>
      <c r="M33" s="177"/>
      <c r="N33" s="177"/>
      <c r="O33" s="177"/>
      <c r="P33" s="177"/>
      <c r="Q33" s="177"/>
      <c r="R33" s="177"/>
      <c r="S33" s="177"/>
      <c r="T33" s="177"/>
      <c r="U33" s="177"/>
      <c r="V33" s="177"/>
    </row>
    <row r="34" spans="3:22">
      <c r="C34" s="176" t="s">
        <v>190</v>
      </c>
      <c r="D34" s="176"/>
      <c r="E34" s="176"/>
      <c r="F34" s="507">
        <f>'UAL KPI'!V39</f>
        <v>0.35073460456392624</v>
      </c>
      <c r="G34" s="507">
        <f>'UAL KPI'!W39</f>
        <v>0.20435881238155401</v>
      </c>
      <c r="H34" s="507">
        <f>'UAL KPI'!X39</f>
        <v>0.2309014984033407</v>
      </c>
      <c r="I34" s="507">
        <f>'UAL KPI'!Y39</f>
        <v>-0.21866125760649088</v>
      </c>
      <c r="J34" s="507">
        <f>'UAL KPI'!Z39</f>
        <v>-0.23429161645722155</v>
      </c>
      <c r="K34" s="178">
        <f>+U34</f>
        <v>-0.23345179920035539</v>
      </c>
      <c r="L34" s="507">
        <f ca="1">'UAL KPI'!AA39</f>
        <v>-0.19901642249457685</v>
      </c>
      <c r="M34" s="507">
        <f>'UAL KPI'!AB39</f>
        <v>0</v>
      </c>
      <c r="N34" s="507" cm="1">
        <f t="array" ref="N34">SUM('UAL KPI'!G38:J38)/SUM(ABS('UAL KPI'!G36:J36))</f>
        <v>-7.165824529168581E-2</v>
      </c>
      <c r="O34" s="507" cm="1">
        <f t="array" ref="O34">SUM('UAL KPI'!H38:K38)/SUM(ABS('UAL KPI'!H36:K36))</f>
        <v>-0.17607444594098201</v>
      </c>
      <c r="P34" s="507" cm="1">
        <f t="array" ref="P34">SUM('UAL KPI'!I38:L38)/SUM(ABS('UAL KPI'!I36:L36))</f>
        <v>-0.21866125760649088</v>
      </c>
      <c r="Q34" s="507" cm="1">
        <f t="array" ref="Q34">SUM('UAL KPI'!J38:M38)/SUM(ABS('UAL KPI'!J36:M36))</f>
        <v>-0.2058056373580143</v>
      </c>
      <c r="R34" s="507" cm="1">
        <f t="array" ref="R34">SUM('UAL KPI'!K38:N38)/SUM(ABS('UAL KPI'!K36:N36))</f>
        <v>-0.21088568084276238</v>
      </c>
      <c r="S34" s="507" cm="1">
        <f t="array" ref="S34">SUM('UAL KPI'!L38:O38)/SUM(ABS('UAL KPI'!L36:O36))</f>
        <v>-0.21615663900414939</v>
      </c>
      <c r="T34" s="507" cm="1">
        <f t="array" ref="T34">SUM('UAL KPI'!M38:P38)/SUM(ABS('UAL KPI'!M36:P36))</f>
        <v>-0.23429161645722155</v>
      </c>
      <c r="U34" s="507" cm="1">
        <f t="array" ref="U34">SUM('UAL KPI'!N38:Q38)/SUM(ABS('UAL KPI'!N36:Q36))</f>
        <v>-0.23345179920035539</v>
      </c>
      <c r="V34" s="507" cm="1">
        <f t="array" aca="1" ref="V34" ca="1">SUM('UAL KPI'!O38:R38)/SUM(ABS('UAL KPI'!O36:R36))</f>
        <v>-0.23167464751968364</v>
      </c>
    </row>
    <row r="35" spans="3:22">
      <c r="C35" s="176"/>
      <c r="D35" s="176"/>
      <c r="E35" s="176"/>
      <c r="F35" s="177"/>
      <c r="G35" s="177"/>
      <c r="H35" s="177"/>
      <c r="I35" s="177"/>
      <c r="J35" s="177"/>
      <c r="K35" s="170"/>
      <c r="L35" s="170"/>
      <c r="M35" s="170"/>
      <c r="N35" s="177"/>
      <c r="O35" s="177"/>
      <c r="P35" s="177"/>
      <c r="Q35" s="177"/>
      <c r="R35" s="177"/>
      <c r="S35" s="177"/>
      <c r="T35" s="177"/>
      <c r="U35" s="177"/>
      <c r="V35" s="170"/>
    </row>
    <row r="36" spans="3:22" s="166" customFormat="1">
      <c r="C36" s="179" t="s">
        <v>151</v>
      </c>
      <c r="D36" s="179"/>
      <c r="E36" s="179"/>
      <c r="F36" s="180"/>
      <c r="G36" s="180">
        <f t="shared" ref="G36:V36" si="6">+G7</f>
        <v>41303</v>
      </c>
      <c r="H36" s="180">
        <f t="shared" si="6"/>
        <v>43259</v>
      </c>
      <c r="I36" s="180">
        <f t="shared" si="6"/>
        <v>15355</v>
      </c>
      <c r="J36" s="180">
        <f t="shared" si="6"/>
        <v>24634</v>
      </c>
      <c r="K36" s="180">
        <f t="shared" si="6"/>
        <v>28979</v>
      </c>
      <c r="L36" s="180">
        <f t="shared" si="6"/>
        <v>43084.056852334972</v>
      </c>
      <c r="M36" s="180">
        <f t="shared" si="6"/>
        <v>48822.237694488678</v>
      </c>
      <c r="N36" s="180">
        <f t="shared" si="6"/>
        <v>1475</v>
      </c>
      <c r="O36" s="180">
        <f t="shared" si="6"/>
        <v>2489</v>
      </c>
      <c r="P36" s="180">
        <f t="shared" si="6"/>
        <v>3412</v>
      </c>
      <c r="Q36" s="180">
        <f t="shared" si="6"/>
        <v>3221</v>
      </c>
      <c r="R36" s="180">
        <f t="shared" si="6"/>
        <v>5471</v>
      </c>
      <c r="S36" s="180">
        <f t="shared" si="6"/>
        <v>7750</v>
      </c>
      <c r="T36" s="180">
        <f t="shared" si="6"/>
        <v>8192</v>
      </c>
      <c r="U36" s="180">
        <f t="shared" si="6"/>
        <v>7566</v>
      </c>
      <c r="V36" s="180">
        <f t="shared" si="6"/>
        <v>11583.696193334967</v>
      </c>
    </row>
    <row r="37" spans="3:22">
      <c r="C37" s="176" t="s">
        <v>191</v>
      </c>
      <c r="D37" s="176"/>
      <c r="E37" s="176"/>
      <c r="F37" s="177"/>
      <c r="G37" s="178">
        <f>IFERROR(G36/F7-1," NA")</f>
        <v>9.3134660173618489E-2</v>
      </c>
      <c r="H37" s="178">
        <f>IFERROR(H36/G36-1," NA")</f>
        <v>4.7357334818294072E-2</v>
      </c>
      <c r="I37" s="178">
        <f>IFERROR(I36/H36-1," NA")</f>
        <v>-0.64504496174206527</v>
      </c>
      <c r="J37" s="178">
        <f>IFERROR(J36/I36-1," NA")</f>
        <v>0.60429827417779225</v>
      </c>
      <c r="K37" s="178">
        <f>+K36/SUM(N36:Q36)-1</f>
        <v>1.7346418797772953</v>
      </c>
      <c r="L37" s="178">
        <f>IFERROR(L36/J36-1," NA")</f>
        <v>0.74896715321648832</v>
      </c>
      <c r="M37" s="178">
        <f>IFERROR(M36/L36-1," NA")</f>
        <v>0.13318571326327455</v>
      </c>
      <c r="N37" s="177"/>
      <c r="O37" s="177"/>
      <c r="P37" s="177"/>
      <c r="Q37" s="177"/>
      <c r="R37" s="178">
        <f>IFERROR(R36/N36-1," NA")</f>
        <v>2.7091525423728813</v>
      </c>
      <c r="S37" s="178">
        <f>IFERROR(S36/O36-1," NA")</f>
        <v>2.1137002812374446</v>
      </c>
      <c r="T37" s="178">
        <f>IFERROR(T36/P36-1," NA")</f>
        <v>1.4009378663540444</v>
      </c>
      <c r="U37" s="178">
        <f>IFERROR(U36/Q36-1," NA")</f>
        <v>1.3489599503259857</v>
      </c>
      <c r="V37" s="178">
        <f>IFERROR(V36/R36-1," NA")</f>
        <v>1.1172904758426188</v>
      </c>
    </row>
    <row r="38" spans="3:22">
      <c r="C38" s="176" t="s">
        <v>192</v>
      </c>
      <c r="D38" s="176"/>
      <c r="E38" s="176" t="s">
        <v>193</v>
      </c>
      <c r="F38" s="181"/>
      <c r="G38" s="329">
        <f t="shared" ref="G38:M40" si="7">IFERROR(G8/G$7," NA")</f>
        <v>0.29092317749316032</v>
      </c>
      <c r="H38" s="329">
        <f t="shared" si="7"/>
        <v>0.31440856238008275</v>
      </c>
      <c r="I38" s="329">
        <f t="shared" si="7"/>
        <v>-0.19544122435688702</v>
      </c>
      <c r="J38" s="329">
        <f t="shared" si="7"/>
        <v>0.10266298611674921</v>
      </c>
      <c r="K38" s="329">
        <f t="shared" si="7"/>
        <v>0.15418061354774146</v>
      </c>
      <c r="L38" s="329">
        <f t="shared" si="7"/>
        <v>0.20104249931623025</v>
      </c>
      <c r="M38" s="329">
        <f t="shared" si="7"/>
        <v>0.26476229857435024</v>
      </c>
      <c r="N38" s="181"/>
      <c r="O38" s="181"/>
      <c r="P38" s="181"/>
      <c r="Q38" s="181"/>
      <c r="R38" s="329">
        <f t="shared" ref="R38:V40" si="8">IFERROR(R8/R$7," NA")</f>
        <v>6.5618716870773169E-2</v>
      </c>
      <c r="S38" s="329">
        <f t="shared" si="8"/>
        <v>0.22696774193548386</v>
      </c>
      <c r="T38" s="329">
        <f t="shared" si="8"/>
        <v>0.2041015625</v>
      </c>
      <c r="U38" s="329">
        <f t="shared" si="8"/>
        <v>8.9611419508326726E-2</v>
      </c>
      <c r="V38" s="329">
        <f t="shared" si="8"/>
        <v>0.21536108700636353</v>
      </c>
    </row>
    <row r="39" spans="3:22">
      <c r="C39" s="176" t="s">
        <v>194</v>
      </c>
      <c r="D39" s="176"/>
      <c r="E39" s="176"/>
      <c r="F39" s="182"/>
      <c r="G39" s="178">
        <f t="shared" si="7"/>
        <v>0</v>
      </c>
      <c r="H39" s="178">
        <f t="shared" si="7"/>
        <v>0</v>
      </c>
      <c r="I39" s="178">
        <f t="shared" si="7"/>
        <v>0</v>
      </c>
      <c r="J39" s="178">
        <f t="shared" si="7"/>
        <v>0</v>
      </c>
      <c r="K39" s="178">
        <f t="shared" si="7"/>
        <v>0</v>
      </c>
      <c r="L39" s="178">
        <f t="shared" si="7"/>
        <v>0</v>
      </c>
      <c r="M39" s="178">
        <f t="shared" si="7"/>
        <v>0</v>
      </c>
      <c r="N39" s="181"/>
      <c r="O39" s="181"/>
      <c r="P39" s="181"/>
      <c r="Q39" s="181"/>
      <c r="R39" s="178">
        <f t="shared" si="8"/>
        <v>0</v>
      </c>
      <c r="S39" s="178">
        <f t="shared" si="8"/>
        <v>0</v>
      </c>
      <c r="T39" s="178">
        <f t="shared" si="8"/>
        <v>0</v>
      </c>
      <c r="U39" s="178">
        <f t="shared" si="8"/>
        <v>0</v>
      </c>
      <c r="V39" s="178">
        <f t="shared" si="8"/>
        <v>0</v>
      </c>
    </row>
    <row r="40" spans="3:22">
      <c r="C40" s="176" t="s">
        <v>195</v>
      </c>
      <c r="D40" s="176"/>
      <c r="E40" s="176"/>
      <c r="F40" s="182"/>
      <c r="G40" s="178">
        <f t="shared" si="7"/>
        <v>8.8226036849623518E-2</v>
      </c>
      <c r="H40" s="178">
        <f t="shared" si="7"/>
        <v>0.10448692757576458</v>
      </c>
      <c r="I40" s="178">
        <f t="shared" si="7"/>
        <v>-0.5807880169325953</v>
      </c>
      <c r="J40" s="178">
        <f t="shared" si="7"/>
        <v>-0.17325647479093936</v>
      </c>
      <c r="K40" s="178">
        <f t="shared" si="7"/>
        <v>-9.9899927533731323E-2</v>
      </c>
      <c r="L40" s="178">
        <f t="shared" si="7"/>
        <v>-1.0975627176914894E-2</v>
      </c>
      <c r="M40" s="178">
        <f t="shared" si="7"/>
        <v>6.2897268469262316E-2</v>
      </c>
      <c r="N40" s="181"/>
      <c r="O40" s="181"/>
      <c r="P40" s="181"/>
      <c r="Q40" s="181"/>
      <c r="R40" s="178">
        <f t="shared" si="8"/>
        <v>-0.22025223907877903</v>
      </c>
      <c r="S40" s="178">
        <f t="shared" si="8"/>
        <v>-6.8387096774193551E-3</v>
      </c>
      <c r="T40" s="178">
        <f t="shared" si="8"/>
        <v>-3.40576171875E-2</v>
      </c>
      <c r="U40" s="178">
        <f t="shared" si="8"/>
        <v>-0.17948717948717949</v>
      </c>
      <c r="V40" s="178">
        <f t="shared" si="8"/>
        <v>1.1834553716667414E-2</v>
      </c>
    </row>
    <row r="41" spans="3:22" s="166" customFormat="1">
      <c r="C41" s="179" t="s">
        <v>88</v>
      </c>
      <c r="D41" s="179"/>
      <c r="E41" s="179"/>
      <c r="F41" s="183"/>
      <c r="G41" s="180">
        <f t="shared" ref="G41:M41" si="9">+G11</f>
        <v>5809</v>
      </c>
      <c r="H41" s="180">
        <f t="shared" si="9"/>
        <v>6808</v>
      </c>
      <c r="I41" s="180">
        <f t="shared" si="9"/>
        <v>-6430</v>
      </c>
      <c r="J41" s="180">
        <f t="shared" si="9"/>
        <v>-1783</v>
      </c>
      <c r="K41" s="180">
        <f t="shared" si="9"/>
        <v>-422</v>
      </c>
      <c r="L41" s="180">
        <f t="shared" si="9"/>
        <v>2332.7302271760864</v>
      </c>
      <c r="M41" s="180">
        <f t="shared" si="9"/>
        <v>5893.2643915403924</v>
      </c>
      <c r="N41" s="184"/>
      <c r="O41" s="184"/>
      <c r="P41" s="184"/>
      <c r="Q41" s="184"/>
      <c r="R41" s="180">
        <f>+R11</f>
        <v>-585</v>
      </c>
      <c r="S41" s="180">
        <f>+S11</f>
        <v>570</v>
      </c>
      <c r="T41" s="180">
        <f>+T11</f>
        <v>340</v>
      </c>
      <c r="U41" s="180">
        <f>+U11</f>
        <v>-747</v>
      </c>
      <c r="V41" s="180">
        <f>+V11</f>
        <v>798.35144811609848</v>
      </c>
    </row>
    <row r="42" spans="3:22">
      <c r="C42" s="176" t="s">
        <v>196</v>
      </c>
      <c r="D42" s="176"/>
      <c r="E42" s="176"/>
      <c r="F42" s="182"/>
      <c r="G42" s="178">
        <f t="shared" ref="G42:M42" si="10">IFERROR(G11/G$7," NA")</f>
        <v>0.14064353678909522</v>
      </c>
      <c r="H42" s="178">
        <f t="shared" si="10"/>
        <v>0.15737765551677108</v>
      </c>
      <c r="I42" s="178">
        <f t="shared" si="10"/>
        <v>-0.41875610550309345</v>
      </c>
      <c r="J42" s="178">
        <f t="shared" si="10"/>
        <v>-7.2379637898839E-2</v>
      </c>
      <c r="K42" s="178">
        <f t="shared" si="10"/>
        <v>-1.456226922944201E-2</v>
      </c>
      <c r="L42" s="178">
        <f t="shared" si="10"/>
        <v>5.4143699493555519E-2</v>
      </c>
      <c r="M42" s="178">
        <f t="shared" si="10"/>
        <v>0.12070860881916635</v>
      </c>
      <c r="N42" s="181"/>
      <c r="O42" s="181"/>
      <c r="P42" s="181"/>
      <c r="Q42" s="181"/>
      <c r="R42" s="178">
        <f>IFERROR(R11/R$7," NA")</f>
        <v>-0.10692743556936575</v>
      </c>
      <c r="S42" s="178">
        <f>IFERROR(S11/S$7," NA")</f>
        <v>7.3548387096774193E-2</v>
      </c>
      <c r="T42" s="178">
        <f>IFERROR(T11/T$7," NA")</f>
        <v>4.150390625E-2</v>
      </c>
      <c r="U42" s="178">
        <f>IFERROR(U11/U$7," NA")</f>
        <v>-9.8731165741475016E-2</v>
      </c>
      <c r="V42" s="178">
        <f>IFERROR(V11/V$7," NA")</f>
        <v>6.8920268176184935E-2</v>
      </c>
    </row>
    <row r="43" spans="3:22">
      <c r="C43" s="176" t="s">
        <v>197</v>
      </c>
      <c r="D43" s="176"/>
      <c r="E43" s="176"/>
      <c r="F43" s="182"/>
      <c r="G43" s="178">
        <f t="shared" ref="G43:M43" si="11">IFERROR(G17/G$7," NA")</f>
        <v>9.8540057622932956E-2</v>
      </c>
      <c r="H43" s="178">
        <f t="shared" si="11"/>
        <v>0.10467186019094292</v>
      </c>
      <c r="I43" s="178">
        <f t="shared" si="11"/>
        <v>0.11247150765223055</v>
      </c>
      <c r="J43" s="178">
        <f t="shared" si="11"/>
        <v>8.5532191280344241E-2</v>
      </c>
      <c r="K43" s="178">
        <f t="shared" si="11"/>
        <v>7.1258497532696086E-2</v>
      </c>
      <c r="L43" s="178">
        <f t="shared" si="11"/>
        <v>0.13466698412096159</v>
      </c>
      <c r="M43" s="178">
        <f t="shared" si="11"/>
        <v>0.15771501601757221</v>
      </c>
      <c r="N43" s="181"/>
      <c r="O43" s="181"/>
      <c r="P43" s="181"/>
      <c r="Q43" s="181"/>
      <c r="R43" s="178">
        <f>IFERROR(R17/R$7," NA")</f>
        <v>0.15737525132516908</v>
      </c>
      <c r="S43" s="178">
        <f>IFERROR(S17/S$7," NA")</f>
        <v>3.4322580645161291E-2</v>
      </c>
      <c r="T43" s="178">
        <f>IFERROR(T17/T$7," NA")</f>
        <v>6.54296875E-2</v>
      </c>
      <c r="U43" s="178">
        <f>IFERROR(U17/U$7," NA")</f>
        <v>5.3132434575733543E-2</v>
      </c>
      <c r="V43" s="178">
        <f>IFERROR(V17/V$7," NA")</f>
        <v>0.13702499470517399</v>
      </c>
    </row>
    <row r="44" spans="3:22">
      <c r="C44" s="176" t="s">
        <v>198</v>
      </c>
      <c r="D44" s="176"/>
      <c r="E44" s="176"/>
      <c r="F44" s="182"/>
      <c r="G44" s="178">
        <f t="shared" ref="G44:M44" si="12">IFERROR(G13/G$7," NA")</f>
        <v>5.0698496477253469E-2</v>
      </c>
      <c r="H44" s="178">
        <f t="shared" si="12"/>
        <v>5.5040569592454749E-2</v>
      </c>
      <c r="I44" s="178">
        <f t="shared" si="12"/>
        <v>-0.38163464669488767</v>
      </c>
      <c r="J44" s="178">
        <f t="shared" si="12"/>
        <v>-1.6237720224080538E-3</v>
      </c>
      <c r="K44" s="178">
        <f t="shared" si="12"/>
        <v>3.5577487145864249E-2</v>
      </c>
      <c r="L44" s="178">
        <f t="shared" ca="1" si="12"/>
        <v>-2.7290422958629559E-2</v>
      </c>
      <c r="M44" s="178">
        <f t="shared" ca="1" si="12"/>
        <v>-6.4155605393878934E-2</v>
      </c>
      <c r="N44" s="181"/>
      <c r="O44" s="181"/>
      <c r="P44" s="181"/>
      <c r="Q44" s="181"/>
      <c r="R44" s="178">
        <f>IFERROR(R13/R$7," NA")</f>
        <v>0.33156644123560591</v>
      </c>
      <c r="S44" s="178">
        <f>IFERROR(S13/S$7," NA")</f>
        <v>-0.13574193548387098</v>
      </c>
      <c r="T44" s="178">
        <f>IFERROR(T13/T$7," NA")</f>
        <v>-9.82666015625E-2</v>
      </c>
      <c r="U44" s="178">
        <f>IFERROR(U13/U$7," NA")</f>
        <v>0.14195083267248215</v>
      </c>
      <c r="V44" s="178">
        <f ca="1">IFERROR(V13/V$7," NA")</f>
        <v>3.2330973805673013E-2</v>
      </c>
    </row>
    <row r="45" spans="3:22">
      <c r="C45" s="176" t="s">
        <v>199</v>
      </c>
      <c r="D45" s="176"/>
      <c r="E45" s="176"/>
      <c r="F45" s="182"/>
      <c r="G45" s="178">
        <f t="shared" ref="G45:M45" si="13">IFERROR(G13/G$23," NA")</f>
        <v>0.15574563034585348</v>
      </c>
      <c r="H45" s="178">
        <f t="shared" si="13"/>
        <v>0.16362012094557449</v>
      </c>
      <c r="I45" s="178">
        <f t="shared" si="13"/>
        <v>-0.21908999140090477</v>
      </c>
      <c r="J45" s="178">
        <f t="shared" si="13"/>
        <v>-1.1989329496747895E-3</v>
      </c>
      <c r="K45" s="178">
        <f t="shared" si="13"/>
        <v>3.1568633454790412E-2</v>
      </c>
      <c r="L45" s="178">
        <f t="shared" ca="1" si="13"/>
        <v>-4.10473474074253E-2</v>
      </c>
      <c r="M45" s="178">
        <f t="shared" ca="1" si="13"/>
        <v>-0.10118512791207944</v>
      </c>
      <c r="N45" s="170"/>
      <c r="O45" s="170"/>
      <c r="P45" s="170"/>
      <c r="Q45" s="170"/>
      <c r="R45" s="178">
        <f>IFERROR(SUM(O13:R13)/R$23," NA")</f>
        <v>-5.7863327872688976E-2</v>
      </c>
      <c r="S45" s="178">
        <f>IFERROR(SUM(P13:S13)/S$23," NA")</f>
        <v>-4.4659504572494006E-2</v>
      </c>
      <c r="T45" s="178">
        <f>IFERROR(SUM(Q13:T13)/T$23," NA")</f>
        <v>-1.1989329496747895E-3</v>
      </c>
      <c r="U45" s="178">
        <f>IFERROR(SUM(R13:U13)/U$23," NA")</f>
        <v>3.1568633454790412E-2</v>
      </c>
      <c r="V45" s="178">
        <f ca="1">IFERROR(SUM(S13:V13)/V$23," NA")</f>
        <v>-1.4752970559559934E-2</v>
      </c>
    </row>
    <row r="46" spans="3:22">
      <c r="C46" s="176" t="s">
        <v>200</v>
      </c>
      <c r="D46" s="185"/>
      <c r="E46" s="185"/>
      <c r="F46" s="186"/>
      <c r="G46" s="178">
        <f t="shared" ref="G46:M46" si="14">IFERROR(SUM(G18,G19)/G$23," NA")</f>
        <v>9.1855708441799924E-2</v>
      </c>
      <c r="H46" s="178">
        <f t="shared" si="14"/>
        <v>0.11304288070368335</v>
      </c>
      <c r="I46" s="178">
        <f t="shared" si="14"/>
        <v>1.3197741802819008E-2</v>
      </c>
      <c r="J46" s="178">
        <f t="shared" si="14"/>
        <v>0</v>
      </c>
      <c r="K46" s="178">
        <f t="shared" si="14"/>
        <v>0</v>
      </c>
      <c r="L46" s="178">
        <f t="shared" ca="1" si="14"/>
        <v>0</v>
      </c>
      <c r="M46" s="178">
        <f t="shared" ca="1" si="14"/>
        <v>0</v>
      </c>
      <c r="N46" s="170"/>
      <c r="O46" s="170"/>
      <c r="P46" s="170"/>
      <c r="Q46" s="170"/>
      <c r="R46" s="178">
        <f>IFERROR(SUM(O18:R18,O19:R19)/R$23," NA")</f>
        <v>0</v>
      </c>
      <c r="S46" s="178">
        <f>IFERROR(SUM(P18:S18,P19:S19)/S$23," NA")</f>
        <v>0</v>
      </c>
      <c r="T46" s="178">
        <f>IFERROR(SUM(Q18:T18,Q19:T19)/T$23," NA")</f>
        <v>0</v>
      </c>
      <c r="U46" s="178">
        <f>IFERROR(SUM(R18:U18,R19:U19)/U$23," NA")</f>
        <v>0</v>
      </c>
      <c r="V46" s="178">
        <f ca="1">IFERROR(SUM(S18:V18,S19:V19)/V$23," NA")</f>
        <v>0</v>
      </c>
    </row>
    <row r="47" spans="3:22">
      <c r="C47" s="176" t="s">
        <v>201</v>
      </c>
      <c r="D47" s="176"/>
      <c r="E47" s="176"/>
      <c r="F47" s="182"/>
      <c r="G47" s="178">
        <f>IFERROR(G$10*(1-G$34)/AVERAGE(G27,F27)," NA")</f>
        <v>6.346320428327934E-2</v>
      </c>
      <c r="H47" s="178">
        <f>IFERROR(H$10*(1-H$34)/AVERAGE(H27,G27)," NA")</f>
        <v>6.8408033201493579E-2</v>
      </c>
      <c r="I47" s="178">
        <f>IFERROR(I$10*(1-I$34)/AVERAGE(I27,H27)," NA")</f>
        <v>-0.19379668319679536</v>
      </c>
      <c r="J47" s="178">
        <f>IFERROR(J$10*(1-J$34)/AVERAGE(J27,I27)," NA")</f>
        <v>-8.2490336416141521E-2</v>
      </c>
      <c r="K47" s="178">
        <f>IFERROR(K$10*(1-K$34)/AVERAGE(K27,Q27)," NA")</f>
        <v>-5.4641820331829051E-2</v>
      </c>
      <c r="L47" s="178">
        <f ca="1">IFERROR(L$10*(1-L$34)/AVERAGE(L27,J27)," NA")</f>
        <v>-8.4613138812525378E-3</v>
      </c>
      <c r="M47" s="178">
        <f ca="1">IFERROR(M$10*(1-M$34)/AVERAGE(M27,L27)," NA")</f>
        <v>4.5364412922912607E-2</v>
      </c>
      <c r="N47" s="170"/>
      <c r="O47" s="170"/>
      <c r="P47" s="170"/>
      <c r="Q47" s="170"/>
      <c r="R47" s="178">
        <f>IFERROR(SUM(O$10:R$10)*(1-R$34)/AVERAGE(R27,N27)," NA")</f>
        <v>-0.17076420375648388</v>
      </c>
      <c r="S47" s="178">
        <f>IFERROR(SUM(P$10:S$10)*(1-S$34)/AVERAGE(S27,O27)," NA")</f>
        <v>-0.11635614970017398</v>
      </c>
      <c r="T47" s="178">
        <f>IFERROR(SUM(Q$10:T$10)*(1-T$34)/AVERAGE(T27,P27)," NA")</f>
        <v>-8.2490336416141521E-2</v>
      </c>
      <c r="U47" s="178">
        <f>IFERROR(SUM(R$10:U$10)*(1-U$34)/AVERAGE(U27,Q27)," NA")</f>
        <v>-5.4641820331829051E-2</v>
      </c>
      <c r="V47" s="178">
        <f ca="1">IFERROR(SUM(S$10:V$10)*(1-V$34)/AVERAGE(V27,R27)," NA")</f>
        <v>-2.8038144304695721E-2</v>
      </c>
    </row>
    <row r="48" spans="3:22">
      <c r="C48" s="185" t="s">
        <v>202</v>
      </c>
      <c r="D48" s="176"/>
      <c r="E48" s="176"/>
      <c r="F48" s="182"/>
      <c r="G48" s="178">
        <f>IFERROR(G$10*(1-G34)/AVERAGE(G25+G24,F25+F24)," NA")</f>
        <v>0.13704140513230528</v>
      </c>
      <c r="H48" s="178">
        <f>IFERROR(H$10*(1-H34)/AVERAGE(H25+H24,G25+G24)," NA")</f>
        <v>0.15411292402433391</v>
      </c>
      <c r="I48" s="178">
        <f>IFERROR(I$10*(1-I34)/AVERAGE(I25+I24,H25+H24)," NA")</f>
        <v>-0.48562394581356533</v>
      </c>
      <c r="J48" s="178">
        <f>IFERROR(J$10*(1-J34)/AVERAGE(J25+J24,I25+I24)," NA")</f>
        <v>-0.25359022885115273</v>
      </c>
      <c r="K48" s="178">
        <f>IFERROR(K$10*(1-K34)/AVERAGE(K25+K24,Q25+Q24)," NA")</f>
        <v>-0.18800342004817588</v>
      </c>
      <c r="L48" s="178">
        <f ca="1">IFERROR(L$10*(1-L34)/AVERAGE(L25+L24,J25+J24)," NA")</f>
        <v>-2.8265729428117742E-2</v>
      </c>
      <c r="M48" s="178">
        <f ca="1">IFERROR(M$10*(1-M34)/AVERAGE(M25+M24,L25+L24)," NA")</f>
        <v>0.13694748098184958</v>
      </c>
      <c r="N48" s="170"/>
      <c r="O48" s="170"/>
      <c r="P48" s="170"/>
      <c r="Q48" s="170"/>
      <c r="R48" s="178">
        <f>IFERROR(SUM(O$10:R$10)*(1-R$34)/AVERAGE(R25+R24,N25+N24)," NA")</f>
        <v>-0.55100044738251641</v>
      </c>
      <c r="S48" s="178">
        <f>IFERROR(SUM(P$10:S$10)*(1-S$34)/AVERAGE(S25+S24,O25+O24)," NA")</f>
        <v>-0.37305271711946042</v>
      </c>
      <c r="T48" s="178">
        <f>IFERROR(SUM(Q$10:T$10)*(1-T$34)/AVERAGE(T25+T24,P25+P24)," NA")</f>
        <v>-0.25359022885115273</v>
      </c>
      <c r="U48" s="178">
        <f>IFERROR(SUM(R$10:U$10)*(1-U$34)/AVERAGE(U25+U24,Q25+Q24)," NA")</f>
        <v>-0.18800342004817588</v>
      </c>
      <c r="V48" s="178">
        <f ca="1">IFERROR(SUM(S$10:V$10)*(1-V$34)/AVERAGE(V25+V24,R25+R24)," NA")</f>
        <v>-0.10769146421788146</v>
      </c>
    </row>
    <row r="49" spans="2:23">
      <c r="C49" s="176" t="s">
        <v>203</v>
      </c>
      <c r="D49" s="176"/>
      <c r="E49" s="176"/>
      <c r="F49" s="182"/>
      <c r="G49" s="330">
        <f t="shared" ref="G49:M49" si="15">IFERROR(IF(G11&lt;0,"NM ",G23/G11)," NA")</f>
        <v>2.314511964193493</v>
      </c>
      <c r="H49" s="330">
        <f t="shared" si="15"/>
        <v>2.137485311398355</v>
      </c>
      <c r="I49" s="330" t="str">
        <f t="shared" si="15"/>
        <v xml:space="preserve">NM </v>
      </c>
      <c r="J49" s="330" t="str">
        <f t="shared" si="15"/>
        <v xml:space="preserve">NM </v>
      </c>
      <c r="K49" s="330" t="str">
        <f t="shared" si="15"/>
        <v xml:space="preserve">NM </v>
      </c>
      <c r="L49" s="330">
        <f t="shared" ca="1" si="15"/>
        <v>12.279402721001023</v>
      </c>
      <c r="M49" s="330">
        <f t="shared" ca="1" si="15"/>
        <v>5.2526646876128638</v>
      </c>
      <c r="N49" s="170"/>
      <c r="O49" s="170"/>
      <c r="P49" s="170"/>
      <c r="Q49" s="170"/>
      <c r="R49" s="330" t="str">
        <f>IFERROR(IF(SUM(O$11:R$11)&lt;0,"NM ",R23/SUM(O$11:R$11))," NA")</f>
        <v xml:space="preserve">NM </v>
      </c>
      <c r="S49" s="330" t="str">
        <f t="shared" ref="S49:V50" si="16">IFERROR(IF(SUM(P$11:S$11)&lt;0,"NM ",S23/SUM(P$11:S$11))," NA")</f>
        <v xml:space="preserve">NM </v>
      </c>
      <c r="T49" s="330" t="str">
        <f t="shared" si="16"/>
        <v xml:space="preserve">NM </v>
      </c>
      <c r="U49" s="330" t="str">
        <f t="shared" si="16"/>
        <v xml:space="preserve">NM </v>
      </c>
      <c r="V49" s="330">
        <f t="shared" ca="1" si="16"/>
        <v>28.80165559747973</v>
      </c>
    </row>
    <row r="50" spans="2:23">
      <c r="C50" s="176" t="s">
        <v>204</v>
      </c>
      <c r="D50" s="176"/>
      <c r="E50" s="176"/>
      <c r="F50" s="187"/>
      <c r="G50" s="188">
        <f t="shared" ref="G50:M50" si="17">IFERROR(IF(G11&lt;0,"NM ",G24/G11)," NA")</f>
        <v>2.0228955069719401</v>
      </c>
      <c r="H50" s="188">
        <f t="shared" si="17"/>
        <v>1.7317861339600471</v>
      </c>
      <c r="I50" s="188" t="str">
        <f t="shared" si="17"/>
        <v xml:space="preserve">NM </v>
      </c>
      <c r="J50" s="188" t="str">
        <f t="shared" si="17"/>
        <v xml:space="preserve">NM </v>
      </c>
      <c r="K50" s="188" t="str">
        <f t="shared" si="17"/>
        <v xml:space="preserve">NM </v>
      </c>
      <c r="L50" s="188">
        <f t="shared" ca="1" si="17"/>
        <v>7.0802930921057987</v>
      </c>
      <c r="M50" s="188">
        <f t="shared" ca="1" si="17"/>
        <v>3.3511946388843437</v>
      </c>
      <c r="N50" s="170"/>
      <c r="O50" s="170"/>
      <c r="P50" s="170"/>
      <c r="Q50" s="170"/>
      <c r="R50" s="188" t="str">
        <f>IFERROR(IF(SUM(O$11:R$11)&lt;0,"NM ",R24/SUM(O$11:R$11))," NA")</f>
        <v xml:space="preserve">NM </v>
      </c>
      <c r="S50" s="188" t="str">
        <f t="shared" si="16"/>
        <v xml:space="preserve">NM </v>
      </c>
      <c r="T50" s="188" t="str">
        <f t="shared" si="16"/>
        <v xml:space="preserve">NM </v>
      </c>
      <c r="U50" s="188" t="str">
        <f t="shared" si="16"/>
        <v xml:space="preserve">NM </v>
      </c>
      <c r="V50" s="188">
        <f t="shared" ca="1" si="16"/>
        <v>14.398166638476418</v>
      </c>
    </row>
    <row r="51" spans="2:23">
      <c r="C51" s="176" t="s">
        <v>205</v>
      </c>
      <c r="D51" s="176"/>
      <c r="E51" s="176"/>
      <c r="F51" s="188"/>
      <c r="G51" s="188">
        <f t="shared" ref="G51:M51" si="18">IFERROR(IF(G11&lt;0,"NM ",G11/G15)," NA")</f>
        <v>9.0201863354037268</v>
      </c>
      <c r="H51" s="188">
        <f t="shared" si="18"/>
        <v>10.206896551724139</v>
      </c>
      <c r="I51" s="188" t="str">
        <f t="shared" si="18"/>
        <v xml:space="preserve">NM </v>
      </c>
      <c r="J51" s="188" t="str">
        <f t="shared" si="18"/>
        <v xml:space="preserve">NM </v>
      </c>
      <c r="K51" s="188" t="str">
        <f t="shared" si="18"/>
        <v xml:space="preserve">NM </v>
      </c>
      <c r="L51" s="188">
        <f t="shared" ca="1" si="18"/>
        <v>1.5998439108681488</v>
      </c>
      <c r="M51" s="188">
        <f t="shared" ca="1" si="18"/>
        <v>3.9244566148612532</v>
      </c>
      <c r="N51" s="170"/>
      <c r="O51" s="170"/>
      <c r="P51" s="170"/>
      <c r="Q51" s="170"/>
      <c r="R51" s="188" t="str">
        <f>IFERROR(IF(SUM(O11:R11)&lt;0,"NM ",SUM(O11:R11)/SUM(O15:R15))," NA")</f>
        <v xml:space="preserve">NM </v>
      </c>
      <c r="S51" s="188" t="str">
        <f>IFERROR(IF(SUM(P11:S11)&lt;0,"NM ",SUM(P11:S11)/SUM(P15:S15))," NA")</f>
        <v xml:space="preserve">NM </v>
      </c>
      <c r="T51" s="188" t="str">
        <f>IFERROR(IF(SUM(Q11:T11)&lt;0,"NM ",SUM(Q11:T11)/SUM(Q15:T15))," NA")</f>
        <v xml:space="preserve">NM </v>
      </c>
      <c r="U51" s="188" t="str">
        <f>IFERROR(IF(SUM(R11:U11)&lt;0,"NM ",SUM(R11:U11)/SUM(R15:U15))," NA")</f>
        <v xml:space="preserve">NM </v>
      </c>
      <c r="V51" s="188">
        <f ca="1">IFERROR(IF(SUM(S11:V11)&lt;0,"NM ",SUM(S11:V11)/SUM(S15:V15))," NA")</f>
        <v>0.58646270610277473</v>
      </c>
    </row>
    <row r="52" spans="2:23">
      <c r="C52" s="176" t="s">
        <v>206</v>
      </c>
      <c r="D52" s="176"/>
      <c r="E52" s="176"/>
      <c r="F52" s="182"/>
      <c r="G52" s="188">
        <f t="shared" ref="G52:M52" si="19">IFERROR(IF(G10&lt;0,"NM ",G10/G15)," NA")</f>
        <v>5.658385093167702</v>
      </c>
      <c r="H52" s="188">
        <f t="shared" si="19"/>
        <v>6.7766116941529235</v>
      </c>
      <c r="I52" s="188" t="str">
        <f t="shared" si="19"/>
        <v xml:space="preserve">NM </v>
      </c>
      <c r="J52" s="188" t="str">
        <f t="shared" si="19"/>
        <v xml:space="preserve">NM </v>
      </c>
      <c r="K52" s="188" t="str">
        <f t="shared" si="19"/>
        <v xml:space="preserve">NM </v>
      </c>
      <c r="L52" s="188" t="str">
        <f t="shared" si="19"/>
        <v xml:space="preserve">NM </v>
      </c>
      <c r="M52" s="188">
        <f t="shared" ca="1" si="19"/>
        <v>2.0449046983110226</v>
      </c>
      <c r="N52" s="170"/>
      <c r="O52" s="170"/>
      <c r="P52" s="170"/>
      <c r="Q52" s="170"/>
      <c r="R52" s="188" t="str">
        <f>IFERROR(IF(SUM(O10:R10)&lt;0,"NM ",SUM(O10:R10)/SUM(O15:R15))," NA")</f>
        <v xml:space="preserve">NM </v>
      </c>
      <c r="S52" s="188" t="str">
        <f>IFERROR(IF(SUM(P10:S10)&lt;0,"NM ",SUM(P10:S10)/SUM(P15:S15))," NA")</f>
        <v xml:space="preserve">NM </v>
      </c>
      <c r="T52" s="188" t="str">
        <f>IFERROR(IF(SUM(Q10:T10)&lt;0,"NM ",SUM(Q10:T10)/SUM(Q15:T15))," NA")</f>
        <v xml:space="preserve">NM </v>
      </c>
      <c r="U52" s="188" t="str">
        <f>IFERROR(IF(SUM(R10:U10)&lt;0,"NM ",SUM(R10:U10)/SUM(R15:U15))," NA")</f>
        <v xml:space="preserve">NM </v>
      </c>
      <c r="V52" s="188" t="str">
        <f>IFERROR(IF(SUM(S10:V10)&lt;0,"NM ",SUM(S10:V10)/SUM(S15:V15))," NA")</f>
        <v xml:space="preserve">NM </v>
      </c>
    </row>
    <row r="53" spans="2:23">
      <c r="C53" s="176" t="s">
        <v>207</v>
      </c>
      <c r="D53" s="176"/>
      <c r="E53" s="176"/>
      <c r="F53" s="182"/>
      <c r="G53" s="188">
        <f t="shared" ref="G53:M53" si="20">IFERROR(IF(G11&lt;0,"NM ",G11/G21)," NA")</f>
        <v>0.69138300404665554</v>
      </c>
      <c r="H53" s="188">
        <f t="shared" si="20"/>
        <v>0.74233998473448914</v>
      </c>
      <c r="I53" s="188" t="str">
        <f t="shared" si="20"/>
        <v xml:space="preserve">NM </v>
      </c>
      <c r="J53" s="188" t="str">
        <f t="shared" si="20"/>
        <v xml:space="preserve">NM </v>
      </c>
      <c r="K53" s="188" t="str">
        <f t="shared" si="20"/>
        <v xml:space="preserve">NM </v>
      </c>
      <c r="L53" s="188">
        <f t="shared" ca="1" si="20"/>
        <v>0.18420466148474443</v>
      </c>
      <c r="M53" s="188">
        <f t="shared" ca="1" si="20"/>
        <v>0.64045550529044648</v>
      </c>
      <c r="N53" s="170"/>
      <c r="O53" s="170"/>
      <c r="P53" s="170"/>
      <c r="Q53" s="170"/>
      <c r="R53" s="188" t="str">
        <f>IFERROR(IF(SUM(O11:R11)&lt;0,"NM ",SUM(O11:R11)/SUM(O21:R21))," NA")</f>
        <v xml:space="preserve">NM </v>
      </c>
      <c r="S53" s="188" t="str">
        <f>IFERROR(IF(SUM(P11:S11)&lt;0,"NM ",SUM(P11:S11)/SUM(P21:S21))," NA")</f>
        <v xml:space="preserve">NM </v>
      </c>
      <c r="T53" s="188" t="str">
        <f>IFERROR(IF(SUM(Q11:T11)&lt;0,"NM ",SUM(Q11:T11)/SUM(Q21:T21))," NA")</f>
        <v xml:space="preserve">NM </v>
      </c>
      <c r="U53" s="188" t="str">
        <f>IFERROR(IF(SUM(R11:U11)&lt;0,"NM ",SUM(R11:U11)/SUM(R21:U21))," NA")</f>
        <v xml:space="preserve">NM </v>
      </c>
      <c r="V53" s="188">
        <f ca="1">IFERROR(IF(SUM(S11:V11)&lt;0,"NM ",SUM(S11:V11)/SUM(S21:V21))," NA")</f>
        <v>9.0487032406072199E-2</v>
      </c>
    </row>
    <row r="54" spans="2:23">
      <c r="C54" s="176" t="s">
        <v>208</v>
      </c>
      <c r="F54" s="170"/>
      <c r="G54" s="188">
        <f t="shared" ref="G54:M54" si="21">IFERROR(G23/(G23+G25)," NA")</f>
        <v>0.57244433090645885</v>
      </c>
      <c r="H54" s="188">
        <f t="shared" si="21"/>
        <v>0.55791128321128702</v>
      </c>
      <c r="I54" s="188">
        <f t="shared" si="21"/>
        <v>0.81777601125141408</v>
      </c>
      <c r="J54" s="188">
        <f t="shared" si="21"/>
        <v>0.86900916857678678</v>
      </c>
      <c r="K54" s="188">
        <f t="shared" si="21"/>
        <v>0.90011851280213873</v>
      </c>
      <c r="L54" s="188">
        <f t="shared" ca="1" si="21"/>
        <v>0.89131828299310845</v>
      </c>
      <c r="M54" s="188">
        <f t="shared" ca="1" si="21"/>
        <v>0.85884728206924554</v>
      </c>
      <c r="N54" s="189"/>
      <c r="O54" s="189"/>
      <c r="P54" s="189"/>
      <c r="Q54" s="189"/>
      <c r="R54" s="188">
        <f>IFERROR(R23/(R23+R25)," NA")</f>
        <v>0.87453950061399921</v>
      </c>
      <c r="S54" s="188">
        <f>IFERROR(S23/(S23+S25)," NA")</f>
        <v>0.86152473227944926</v>
      </c>
      <c r="T54" s="188">
        <f>IFERROR(T23/(T23+T25)," NA")</f>
        <v>0.86900916857678678</v>
      </c>
      <c r="U54" s="188">
        <f>IFERROR(U23/(U23+U25)," NA")</f>
        <v>0.90011851280213873</v>
      </c>
      <c r="V54" s="188">
        <f ca="1">IFERROR(V23/(V23+V25)," NA")</f>
        <v>0.88978119512503451</v>
      </c>
    </row>
    <row r="55" spans="2:23">
      <c r="C55" s="176" t="s">
        <v>209</v>
      </c>
      <c r="F55" s="170"/>
      <c r="G55" s="188">
        <f t="shared" ref="G55:M55" si="22">IFERROR(G24/G32," NA")</f>
        <v>0.39419657832941968</v>
      </c>
      <c r="H55" s="188">
        <f t="shared" si="22"/>
        <v>0.36158989143102499</v>
      </c>
      <c r="I55" s="188">
        <f t="shared" si="22"/>
        <v>0.45938325468198143</v>
      </c>
      <c r="J55" s="188">
        <f t="shared" si="22"/>
        <v>0.43433179723502302</v>
      </c>
      <c r="K55" s="188">
        <f t="shared" si="22"/>
        <v>0.40532975350604095</v>
      </c>
      <c r="L55" s="188">
        <f t="shared" ca="1" si="22"/>
        <v>0.43025134615459126</v>
      </c>
      <c r="M55" s="188">
        <f t="shared" ca="1" si="22"/>
        <v>0.45909540863784776</v>
      </c>
      <c r="N55" s="170"/>
      <c r="O55" s="170"/>
      <c r="P55" s="170"/>
      <c r="Q55" s="170"/>
      <c r="R55" s="188">
        <f>IFERROR(R24/R32," NA")</f>
        <v>0.3809224797351296</v>
      </c>
      <c r="S55" s="188">
        <f>IFERROR(S24/S32," NA")</f>
        <v>0.41771096803862956</v>
      </c>
      <c r="T55" s="188">
        <f>IFERROR(T24/T32," NA")</f>
        <v>0.43433179723502302</v>
      </c>
      <c r="U55" s="188">
        <f>IFERROR(U24/U32," NA")</f>
        <v>0.40532975350604095</v>
      </c>
      <c r="V55" s="188">
        <f ca="1">IFERROR(V24/V32," NA")</f>
        <v>0.38396191038223332</v>
      </c>
    </row>
    <row r="58" spans="2:23">
      <c r="B58" s="190" t="s">
        <v>133</v>
      </c>
      <c r="C58" s="191" t="s">
        <v>210</v>
      </c>
      <c r="D58" s="191" t="s">
        <v>211</v>
      </c>
      <c r="E58" s="191" t="s">
        <v>212</v>
      </c>
      <c r="F58" s="191" t="s">
        <v>213</v>
      </c>
      <c r="G58" s="191" t="s">
        <v>214</v>
      </c>
      <c r="H58" s="191" t="s">
        <v>215</v>
      </c>
      <c r="I58" s="191" t="s">
        <v>216</v>
      </c>
      <c r="J58" s="191" t="s">
        <v>217</v>
      </c>
      <c r="K58" s="191"/>
      <c r="L58" s="191"/>
      <c r="M58" s="191"/>
      <c r="N58" s="191"/>
      <c r="O58" s="191"/>
      <c r="P58" s="191"/>
      <c r="Q58" s="191"/>
      <c r="R58" s="191"/>
      <c r="S58" s="191"/>
      <c r="T58" s="191"/>
      <c r="U58" s="191"/>
      <c r="V58" s="191"/>
      <c r="W58" s="191"/>
    </row>
    <row r="59" spans="2:23">
      <c r="C59" s="166"/>
      <c r="D59" s="166"/>
      <c r="E59" s="166"/>
      <c r="F59" s="166"/>
      <c r="G59" s="166"/>
      <c r="H59" s="166"/>
      <c r="I59" s="166"/>
      <c r="J59" s="166"/>
      <c r="K59" s="166"/>
      <c r="L59" s="166"/>
      <c r="M59" s="166"/>
      <c r="N59" s="166"/>
      <c r="O59" s="166"/>
      <c r="P59" s="166"/>
      <c r="Q59" s="166"/>
      <c r="R59" s="166"/>
      <c r="S59" s="166"/>
      <c r="T59" s="166"/>
      <c r="U59" s="166"/>
      <c r="V59" s="166"/>
      <c r="W59" s="166"/>
    </row>
    <row r="60" spans="2:23">
      <c r="C60" s="192" t="str">
        <f ca="1">IF(BBswitch=1,_xll.BDS('UAL One Pager'!$D$3&amp;" EQUITY","TOP_20_HOLDERS_PUBLIC_FILINGS","cols=10;rows=20"),C60)</f>
        <v>VANGUARD GROUP</v>
      </c>
      <c r="D60" s="167" t="s">
        <v>218</v>
      </c>
      <c r="E60" s="167" t="s">
        <v>1925</v>
      </c>
      <c r="F60" s="167">
        <v>34550592</v>
      </c>
      <c r="G60" s="167">
        <v>10.57</v>
      </c>
      <c r="H60" s="167">
        <v>700850</v>
      </c>
      <c r="I60" s="193">
        <v>44651</v>
      </c>
      <c r="J60" s="167" t="s">
        <v>1926</v>
      </c>
      <c r="K60" s="167" t="s">
        <v>219</v>
      </c>
      <c r="L60" s="167" t="s">
        <v>1927</v>
      </c>
    </row>
    <row r="61" spans="2:23">
      <c r="C61" s="167" t="s">
        <v>1928</v>
      </c>
      <c r="D61" s="167" t="s">
        <v>1928</v>
      </c>
      <c r="E61" s="167" t="s">
        <v>1929</v>
      </c>
      <c r="F61" s="167">
        <v>25013798</v>
      </c>
      <c r="G61" s="167">
        <v>7.66</v>
      </c>
      <c r="H61" s="167">
        <v>-362040</v>
      </c>
      <c r="I61" s="193">
        <v>44651</v>
      </c>
      <c r="J61" s="167" t="s">
        <v>1926</v>
      </c>
      <c r="K61" s="167" t="s">
        <v>219</v>
      </c>
      <c r="L61" s="167" t="s">
        <v>222</v>
      </c>
    </row>
    <row r="62" spans="2:23">
      <c r="C62" s="167" t="s">
        <v>1930</v>
      </c>
      <c r="D62" s="167" t="s">
        <v>218</v>
      </c>
      <c r="E62" s="167" t="s">
        <v>1925</v>
      </c>
      <c r="F62" s="167">
        <v>16672700</v>
      </c>
      <c r="G62" s="167">
        <v>5.0999999999999996</v>
      </c>
      <c r="H62" s="167">
        <v>-470190</v>
      </c>
      <c r="I62" s="193">
        <v>44712</v>
      </c>
      <c r="J62" s="167" t="s">
        <v>1926</v>
      </c>
      <c r="K62" s="167" t="s">
        <v>219</v>
      </c>
      <c r="L62" s="167" t="s">
        <v>220</v>
      </c>
    </row>
    <row r="63" spans="2:23">
      <c r="C63" s="194" t="s">
        <v>1931</v>
      </c>
      <c r="D63" s="195" t="s">
        <v>218</v>
      </c>
      <c r="E63" s="167" t="s">
        <v>1925</v>
      </c>
      <c r="F63" s="167">
        <v>10475633</v>
      </c>
      <c r="G63" s="167">
        <v>3.21</v>
      </c>
      <c r="H63" s="167">
        <v>-20596</v>
      </c>
      <c r="I63" s="193">
        <v>44651</v>
      </c>
      <c r="J63" s="167" t="s">
        <v>1926</v>
      </c>
      <c r="K63" s="167" t="s">
        <v>219</v>
      </c>
      <c r="L63" s="167" t="s">
        <v>1932</v>
      </c>
    </row>
    <row r="64" spans="2:23">
      <c r="C64" s="167" t="s">
        <v>1933</v>
      </c>
      <c r="D64" s="167" t="s">
        <v>1933</v>
      </c>
      <c r="E64" s="167" t="s">
        <v>1929</v>
      </c>
      <c r="F64" s="167">
        <v>8690336</v>
      </c>
      <c r="G64" s="167">
        <v>2.66</v>
      </c>
      <c r="H64" s="167">
        <v>1286491</v>
      </c>
      <c r="I64" s="193">
        <v>44651</v>
      </c>
      <c r="J64" s="167" t="s">
        <v>1926</v>
      </c>
      <c r="K64" s="167" t="s">
        <v>219</v>
      </c>
      <c r="L64" s="167" t="s">
        <v>1934</v>
      </c>
    </row>
    <row r="65" spans="3:20">
      <c r="C65" s="167" t="s">
        <v>1962</v>
      </c>
      <c r="D65" s="167" t="s">
        <v>1963</v>
      </c>
      <c r="E65" s="167" t="s">
        <v>1929</v>
      </c>
      <c r="F65" s="167">
        <v>8678348</v>
      </c>
      <c r="G65" s="167">
        <v>2.66</v>
      </c>
      <c r="H65" s="167">
        <v>8462220</v>
      </c>
      <c r="I65" s="193">
        <v>44651</v>
      </c>
      <c r="J65" s="167" t="s">
        <v>1926</v>
      </c>
      <c r="K65" s="193" t="s">
        <v>219</v>
      </c>
      <c r="L65" s="167" t="s">
        <v>222</v>
      </c>
    </row>
    <row r="66" spans="3:20">
      <c r="C66" s="167" t="s">
        <v>1937</v>
      </c>
      <c r="D66" s="167" t="s">
        <v>1937</v>
      </c>
      <c r="E66" s="167" t="s">
        <v>1929</v>
      </c>
      <c r="F66" s="167">
        <v>6298330</v>
      </c>
      <c r="G66" s="167">
        <v>1.93</v>
      </c>
      <c r="H66" s="167">
        <v>271686</v>
      </c>
      <c r="I66" s="193">
        <v>44651</v>
      </c>
      <c r="J66" s="167" t="s">
        <v>1926</v>
      </c>
      <c r="K66" s="167" t="s">
        <v>219</v>
      </c>
      <c r="L66" s="167" t="s">
        <v>1932</v>
      </c>
      <c r="N66" s="167" t="s">
        <v>108</v>
      </c>
      <c r="S66" s="193" t="s">
        <v>219</v>
      </c>
    </row>
    <row r="67" spans="3:20">
      <c r="C67" s="194" t="s">
        <v>1964</v>
      </c>
      <c r="D67" s="195" t="s">
        <v>218</v>
      </c>
      <c r="E67" s="167" t="s">
        <v>1925</v>
      </c>
      <c r="F67" s="167">
        <v>5670013</v>
      </c>
      <c r="G67" s="167">
        <v>1.74</v>
      </c>
      <c r="H67" s="167">
        <v>105805</v>
      </c>
      <c r="I67" s="193">
        <v>44651</v>
      </c>
      <c r="J67" s="167" t="s">
        <v>1926</v>
      </c>
      <c r="K67" s="167" t="s">
        <v>219</v>
      </c>
      <c r="L67" s="167" t="s">
        <v>1932</v>
      </c>
      <c r="N67" s="194"/>
      <c r="O67" s="195"/>
      <c r="T67" s="193" t="s">
        <v>219</v>
      </c>
    </row>
    <row r="68" spans="3:20">
      <c r="C68" s="194" t="s">
        <v>1950</v>
      </c>
      <c r="D68" s="195" t="s">
        <v>1950</v>
      </c>
      <c r="E68" s="167" t="s">
        <v>1929</v>
      </c>
      <c r="F68" s="167">
        <v>5505255</v>
      </c>
      <c r="G68" s="167">
        <v>1.68</v>
      </c>
      <c r="H68" s="167">
        <v>1448947</v>
      </c>
      <c r="I68" s="193">
        <v>44651</v>
      </c>
      <c r="J68" s="167" t="s">
        <v>1926</v>
      </c>
      <c r="K68" s="167" t="s">
        <v>219</v>
      </c>
      <c r="L68" s="167" t="s">
        <v>220</v>
      </c>
      <c r="N68" s="194"/>
      <c r="O68" s="195"/>
      <c r="T68" s="193" t="s">
        <v>219</v>
      </c>
    </row>
    <row r="69" spans="3:20" s="194" customFormat="1">
      <c r="C69" s="194" t="s">
        <v>1965</v>
      </c>
      <c r="D69" s="195" t="s">
        <v>1965</v>
      </c>
      <c r="E69" s="167" t="s">
        <v>1929</v>
      </c>
      <c r="F69" s="167">
        <v>4138651</v>
      </c>
      <c r="G69" s="167">
        <v>1.27</v>
      </c>
      <c r="H69" s="167">
        <v>-47956</v>
      </c>
      <c r="I69" s="193">
        <v>44651</v>
      </c>
      <c r="J69" s="167" t="s">
        <v>1926</v>
      </c>
      <c r="K69" s="167" t="s">
        <v>219</v>
      </c>
      <c r="L69" s="167" t="s">
        <v>220</v>
      </c>
      <c r="M69" s="167"/>
      <c r="N69" s="194" t="s">
        <v>122</v>
      </c>
      <c r="O69" s="195" t="s">
        <v>123</v>
      </c>
      <c r="P69" s="167" t="s">
        <v>124</v>
      </c>
      <c r="Q69" s="167"/>
      <c r="R69" s="167" t="s">
        <v>125</v>
      </c>
      <c r="S69" s="167" t="s">
        <v>219</v>
      </c>
      <c r="T69" s="193"/>
    </row>
    <row r="70" spans="3:20">
      <c r="C70" s="194" t="s">
        <v>1938</v>
      </c>
      <c r="D70" s="195" t="s">
        <v>218</v>
      </c>
      <c r="E70" s="167" t="s">
        <v>1925</v>
      </c>
      <c r="F70" s="167">
        <v>3839469</v>
      </c>
      <c r="G70" s="167">
        <v>1.18</v>
      </c>
      <c r="H70" s="167">
        <v>2049977</v>
      </c>
      <c r="I70" s="193">
        <v>44651</v>
      </c>
      <c r="J70" s="167" t="s">
        <v>1939</v>
      </c>
      <c r="K70" s="167" t="s">
        <v>219</v>
      </c>
      <c r="L70" s="167" t="s">
        <v>1927</v>
      </c>
      <c r="N70" s="194" t="s">
        <v>220</v>
      </c>
      <c r="O70" s="195"/>
      <c r="S70" s="167" t="s">
        <v>219</v>
      </c>
      <c r="T70" s="193"/>
    </row>
    <row r="71" spans="3:20">
      <c r="C71" s="194" t="s">
        <v>1966</v>
      </c>
      <c r="D71" s="195" t="s">
        <v>1967</v>
      </c>
      <c r="E71" s="167" t="s">
        <v>1929</v>
      </c>
      <c r="F71" s="167">
        <v>3746784</v>
      </c>
      <c r="G71" s="167">
        <v>1.1499999999999999</v>
      </c>
      <c r="H71" s="167">
        <v>-175197</v>
      </c>
      <c r="I71" s="193">
        <v>44651</v>
      </c>
      <c r="J71" s="167" t="s">
        <v>1968</v>
      </c>
      <c r="K71" s="167" t="s">
        <v>1969</v>
      </c>
      <c r="L71" s="167" t="s">
        <v>1970</v>
      </c>
      <c r="N71" s="194" t="s">
        <v>222</v>
      </c>
      <c r="O71" s="195"/>
      <c r="S71" s="167" t="s">
        <v>219</v>
      </c>
      <c r="T71" s="193"/>
    </row>
    <row r="72" spans="3:20">
      <c r="C72" s="194" t="s">
        <v>1943</v>
      </c>
      <c r="D72" s="195" t="s">
        <v>218</v>
      </c>
      <c r="E72" s="167" t="s">
        <v>1925</v>
      </c>
      <c r="F72" s="167">
        <v>3168419</v>
      </c>
      <c r="G72" s="167">
        <v>0.97</v>
      </c>
      <c r="H72" s="167">
        <v>428756</v>
      </c>
      <c r="I72" s="193">
        <v>44651</v>
      </c>
      <c r="J72" s="167" t="s">
        <v>1926</v>
      </c>
      <c r="K72" s="167" t="s">
        <v>219</v>
      </c>
      <c r="L72" s="167" t="s">
        <v>1944</v>
      </c>
      <c r="N72" s="194" t="s">
        <v>223</v>
      </c>
      <c r="O72" s="195"/>
      <c r="S72" s="167" t="s">
        <v>224</v>
      </c>
      <c r="T72" s="193"/>
    </row>
    <row r="73" spans="3:20">
      <c r="C73" s="194" t="s">
        <v>1971</v>
      </c>
      <c r="D73" s="195" t="s">
        <v>1971</v>
      </c>
      <c r="E73" s="167" t="s">
        <v>1929</v>
      </c>
      <c r="F73" s="167">
        <v>3100000</v>
      </c>
      <c r="G73" s="167">
        <v>0.95</v>
      </c>
      <c r="H73" s="167">
        <v>-301893</v>
      </c>
      <c r="I73" s="193">
        <v>44651</v>
      </c>
      <c r="J73" s="167" t="s">
        <v>1936</v>
      </c>
      <c r="K73" s="167" t="s">
        <v>219</v>
      </c>
      <c r="L73" s="167" t="s">
        <v>1932</v>
      </c>
      <c r="N73" s="194" t="s">
        <v>225</v>
      </c>
      <c r="O73" s="195"/>
      <c r="S73" s="167" t="s">
        <v>219</v>
      </c>
      <c r="T73" s="193"/>
    </row>
    <row r="74" spans="3:20">
      <c r="C74" s="194" t="s">
        <v>1972</v>
      </c>
      <c r="D74" s="195" t="s">
        <v>1972</v>
      </c>
      <c r="E74" s="167" t="s">
        <v>1929</v>
      </c>
      <c r="F74" s="167">
        <v>2857294</v>
      </c>
      <c r="G74" s="167">
        <v>0.87</v>
      </c>
      <c r="H74" s="167">
        <v>89856</v>
      </c>
      <c r="I74" s="193">
        <v>44651</v>
      </c>
      <c r="J74" s="167" t="s">
        <v>1926</v>
      </c>
      <c r="K74" s="167" t="s">
        <v>219</v>
      </c>
      <c r="L74" s="167" t="s">
        <v>1949</v>
      </c>
      <c r="N74" s="194" t="s">
        <v>222</v>
      </c>
      <c r="O74" s="195"/>
      <c r="S74" s="167" t="s">
        <v>219</v>
      </c>
      <c r="T74" s="193"/>
    </row>
    <row r="75" spans="3:20">
      <c r="C75" s="194" t="s">
        <v>1946</v>
      </c>
      <c r="D75" s="195" t="s">
        <v>218</v>
      </c>
      <c r="E75" s="167" t="s">
        <v>1925</v>
      </c>
      <c r="F75" s="167">
        <v>2765883</v>
      </c>
      <c r="G75" s="167">
        <v>0.85</v>
      </c>
      <c r="H75" s="167">
        <v>-101542</v>
      </c>
      <c r="I75" s="193">
        <v>44651</v>
      </c>
      <c r="J75" s="167" t="s">
        <v>1926</v>
      </c>
      <c r="K75" s="167" t="s">
        <v>219</v>
      </c>
      <c r="L75" s="167" t="s">
        <v>220</v>
      </c>
      <c r="N75" s="194" t="s">
        <v>221</v>
      </c>
      <c r="O75" s="195"/>
      <c r="S75" s="167" t="s">
        <v>218</v>
      </c>
      <c r="T75" s="193"/>
    </row>
    <row r="76" spans="3:20">
      <c r="C76" s="194" t="s">
        <v>1947</v>
      </c>
      <c r="D76" s="195" t="s">
        <v>1947</v>
      </c>
      <c r="E76" s="167" t="s">
        <v>1929</v>
      </c>
      <c r="F76" s="167">
        <v>2556071</v>
      </c>
      <c r="G76" s="167">
        <v>0.78</v>
      </c>
      <c r="H76" s="167">
        <v>-29610</v>
      </c>
      <c r="I76" s="193">
        <v>44651</v>
      </c>
      <c r="J76" s="167" t="s">
        <v>1948</v>
      </c>
      <c r="K76" s="167" t="s">
        <v>219</v>
      </c>
      <c r="L76" s="167" t="s">
        <v>1949</v>
      </c>
      <c r="N76" s="194" t="s">
        <v>220</v>
      </c>
      <c r="O76" s="195"/>
      <c r="S76" s="167" t="s">
        <v>219</v>
      </c>
      <c r="T76" s="193"/>
    </row>
    <row r="77" spans="3:20">
      <c r="C77" s="194" t="s">
        <v>1951</v>
      </c>
      <c r="D77" s="195" t="s">
        <v>218</v>
      </c>
      <c r="E77" s="167" t="s">
        <v>1925</v>
      </c>
      <c r="F77" s="167">
        <v>2401125</v>
      </c>
      <c r="G77" s="167">
        <v>0.73</v>
      </c>
      <c r="H77" s="167">
        <v>65344</v>
      </c>
      <c r="I77" s="193">
        <v>44651</v>
      </c>
      <c r="J77" s="167" t="s">
        <v>1952</v>
      </c>
      <c r="K77" s="167" t="s">
        <v>219</v>
      </c>
      <c r="L77" s="167" t="s">
        <v>1953</v>
      </c>
      <c r="N77" s="194" t="s">
        <v>226</v>
      </c>
      <c r="O77" s="195"/>
      <c r="S77" s="167" t="s">
        <v>227</v>
      </c>
      <c r="T77" s="193"/>
    </row>
    <row r="78" spans="3:20">
      <c r="C78" s="194" t="s">
        <v>1973</v>
      </c>
      <c r="D78" s="195" t="s">
        <v>1973</v>
      </c>
      <c r="E78" s="167" t="s">
        <v>1929</v>
      </c>
      <c r="F78" s="167">
        <v>2347027</v>
      </c>
      <c r="G78" s="167">
        <v>0.72</v>
      </c>
      <c r="H78" s="167">
        <v>-37065</v>
      </c>
      <c r="I78" s="193">
        <v>44651</v>
      </c>
      <c r="J78" s="167" t="s">
        <v>1926</v>
      </c>
      <c r="K78" s="167" t="s">
        <v>219</v>
      </c>
      <c r="L78" s="167" t="s">
        <v>1974</v>
      </c>
      <c r="N78" s="194" t="s">
        <v>220</v>
      </c>
      <c r="O78" s="195"/>
      <c r="S78" s="167" t="s">
        <v>219</v>
      </c>
      <c r="T78" s="193"/>
    </row>
    <row r="79" spans="3:20">
      <c r="C79" s="194" t="s">
        <v>1975</v>
      </c>
      <c r="D79" s="195" t="s">
        <v>1975</v>
      </c>
      <c r="E79" s="167" t="s">
        <v>1929</v>
      </c>
      <c r="F79" s="167">
        <v>2250000</v>
      </c>
      <c r="G79" s="167">
        <v>0.69</v>
      </c>
      <c r="H79" s="167">
        <v>2250000</v>
      </c>
      <c r="I79" s="193">
        <v>44651</v>
      </c>
      <c r="J79" s="167" t="s">
        <v>1936</v>
      </c>
      <c r="K79" s="167" t="s">
        <v>219</v>
      </c>
      <c r="L79" s="167" t="s">
        <v>1932</v>
      </c>
      <c r="N79" s="194" t="s">
        <v>228</v>
      </c>
      <c r="O79" s="195"/>
      <c r="S79" s="167" t="s">
        <v>219</v>
      </c>
      <c r="T79" s="193"/>
    </row>
    <row r="80" spans="3:20">
      <c r="E80" s="196"/>
      <c r="F80" s="196"/>
      <c r="G80" s="196"/>
      <c r="H80" s="196"/>
      <c r="I80" s="196"/>
      <c r="J80" s="196"/>
      <c r="K80" s="193"/>
      <c r="L80" s="193"/>
      <c r="M80" s="193"/>
      <c r="N80" s="193"/>
    </row>
    <row r="81" spans="2:23">
      <c r="B81" s="190" t="s">
        <v>133</v>
      </c>
      <c r="C81" s="191" t="s">
        <v>229</v>
      </c>
      <c r="D81" s="191"/>
      <c r="E81" s="197"/>
      <c r="F81" s="197"/>
      <c r="G81" s="197"/>
      <c r="H81" s="197"/>
      <c r="I81" s="197"/>
      <c r="J81" s="197"/>
      <c r="K81" s="191"/>
      <c r="L81" s="191"/>
      <c r="M81" s="191"/>
      <c r="N81" s="191"/>
      <c r="O81" s="191"/>
      <c r="P81" s="191"/>
      <c r="Q81" s="191"/>
      <c r="R81" s="191"/>
      <c r="S81" s="191"/>
      <c r="V81" s="191"/>
      <c r="W81" s="191"/>
    </row>
    <row r="82" spans="2:23">
      <c r="E82" s="196"/>
      <c r="F82" s="196"/>
      <c r="G82" s="196"/>
      <c r="H82" s="196"/>
      <c r="I82" s="196"/>
      <c r="J82" s="196"/>
      <c r="K82" s="193"/>
      <c r="L82" s="193"/>
      <c r="M82" s="193"/>
      <c r="N82" s="193"/>
    </row>
    <row r="83" spans="2:23">
      <c r="C83" s="192" t="str">
        <f ca="1">IF(BBswitch=1,_xll.BDS('UAL One Pager'!$D$3&amp;" EQUITY","BLOOMBERG_PEERS","cols=1;rows=7"),C83)</f>
        <v>AAL US</v>
      </c>
      <c r="E83" s="196"/>
      <c r="F83" s="196"/>
      <c r="G83" s="196"/>
      <c r="H83" s="196"/>
      <c r="I83" s="196"/>
      <c r="J83" s="196"/>
      <c r="L83" s="193"/>
      <c r="M83" s="193"/>
    </row>
    <row r="84" spans="2:23">
      <c r="C84" s="167" t="s">
        <v>1049</v>
      </c>
      <c r="E84" s="196"/>
      <c r="F84" s="198"/>
      <c r="G84" s="196"/>
      <c r="H84" s="196"/>
      <c r="I84" s="196"/>
      <c r="J84" s="196"/>
      <c r="K84" s="193"/>
      <c r="L84" s="193"/>
      <c r="M84" s="193"/>
      <c r="N84" s="193"/>
    </row>
    <row r="85" spans="2:23">
      <c r="C85" s="167" t="s">
        <v>1879</v>
      </c>
      <c r="E85" s="196"/>
      <c r="F85" s="196"/>
      <c r="G85" s="196"/>
      <c r="H85" s="196"/>
      <c r="I85" s="196"/>
      <c r="J85" s="196"/>
      <c r="K85" s="193"/>
      <c r="N85" s="193"/>
    </row>
    <row r="86" spans="2:23">
      <c r="C86" s="167" t="s">
        <v>1880</v>
      </c>
      <c r="E86" s="196"/>
      <c r="F86" s="196"/>
      <c r="G86" s="196"/>
      <c r="H86" s="196"/>
      <c r="I86" s="196"/>
      <c r="J86" s="369" t="str">
        <f ca="1">IF(BBswitch=1,_xll.BDS('UAL One Pager'!$D$3&amp;" EQUITY","CIE_DES_BULK","cols=1;rows=3"),"Business Description")</f>
        <v>Business Description</v>
      </c>
      <c r="K86" s="193"/>
      <c r="N86" s="193"/>
    </row>
    <row r="87" spans="2:23">
      <c r="C87" s="167" t="s">
        <v>1881</v>
      </c>
      <c r="E87" s="196"/>
      <c r="F87" s="196"/>
      <c r="G87" s="196"/>
      <c r="H87" s="196"/>
      <c r="I87" s="196"/>
      <c r="J87" s="196" t="s">
        <v>1889</v>
      </c>
      <c r="K87" s="193"/>
      <c r="N87" s="193"/>
    </row>
    <row r="88" spans="2:23">
      <c r="C88" s="167" t="s">
        <v>1882</v>
      </c>
      <c r="E88" s="196"/>
      <c r="F88" s="196"/>
      <c r="G88" s="196"/>
      <c r="H88" s="196"/>
      <c r="I88" s="196"/>
      <c r="J88" s="196" t="s">
        <v>1890</v>
      </c>
      <c r="K88" s="193"/>
      <c r="N88" s="193"/>
    </row>
    <row r="89" spans="2:23">
      <c r="C89" s="167" t="s">
        <v>1883</v>
      </c>
      <c r="E89" s="196"/>
      <c r="F89" s="196"/>
      <c r="G89" s="196"/>
      <c r="H89" s="196"/>
      <c r="I89" s="196"/>
      <c r="J89" s="196"/>
      <c r="K89" s="193"/>
      <c r="N89" s="193"/>
    </row>
    <row r="90" spans="2:23">
      <c r="E90" s="196"/>
      <c r="F90" s="196"/>
      <c r="G90" s="196"/>
      <c r="H90" s="196"/>
      <c r="I90" s="196"/>
      <c r="J90" s="196"/>
      <c r="K90" s="193"/>
      <c r="N90" s="193"/>
    </row>
    <row r="91" spans="2:23">
      <c r="E91" s="196"/>
      <c r="F91" s="196"/>
      <c r="G91" s="196"/>
      <c r="H91" s="196"/>
      <c r="I91" s="196"/>
      <c r="J91" s="196"/>
      <c r="K91" s="193"/>
      <c r="N91" s="193"/>
    </row>
    <row r="92" spans="2:23">
      <c r="E92" s="196"/>
      <c r="F92" s="196"/>
      <c r="G92" s="196"/>
      <c r="H92" s="196"/>
      <c r="I92" s="196"/>
      <c r="J92" s="196"/>
      <c r="K92" s="193"/>
      <c r="N92" s="193"/>
    </row>
  </sheetData>
  <pageMargins left="0.7" right="0.7" top="0.75" bottom="0.75" header="0.3" footer="0.3"/>
  <pageSetup orientation="portrait" r:id="rId1"/>
  <ignoredErrors>
    <ignoredError sqref="K7:K8 K10:K20" formulaRange="1"/>
    <ignoredError sqref="G43:V44 K35:L36" formula="1"/>
    <ignoredError sqref="K21:K34" formula="1" formulaRange="1"/>
    <ignoredError sqref="K37:L37" evalError="1" formula="1"/>
    <ignoredError sqref="K38:L41" evalError="1"/>
  </ignoredError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R257"/>
  <sheetViews>
    <sheetView showGridLines="0" zoomScaleNormal="100" workbookViewId="0">
      <pane xSplit="4" ySplit="6" topLeftCell="E54" activePane="bottomRight" state="frozen"/>
      <selection activeCell="Z3" sqref="Z3"/>
      <selection pane="topRight" activeCell="Z3" sqref="Z3"/>
      <selection pane="bottomLeft" activeCell="Z3" sqref="Z3"/>
      <selection pane="bottomRight" activeCell="R87" sqref="R87"/>
    </sheetView>
  </sheetViews>
  <sheetFormatPr defaultColWidth="9.19921875" defaultRowHeight="11.25" customHeight="1" outlineLevelRow="1" outlineLevelCol="1"/>
  <cols>
    <col min="1" max="2" width="1.796875" style="253" customWidth="1"/>
    <col min="3" max="3" width="35.796875" style="253" customWidth="1"/>
    <col min="4" max="4" width="9.19921875" style="253" hidden="1" customWidth="1" outlineLevel="1"/>
    <col min="5" max="5" width="9.19921875" style="253" customWidth="1" collapsed="1"/>
    <col min="6" max="17" width="9.19921875" style="253" customWidth="1"/>
    <col min="18" max="20" width="9.19921875" style="253" customWidth="1" outlineLevel="1"/>
    <col min="21" max="26" width="9.19921875" style="253" customWidth="1"/>
    <col min="27" max="30" width="9.19921875" style="253" customWidth="1" outlineLevel="1"/>
    <col min="31" max="44" width="9.19921875" style="253" customWidth="1"/>
    <col min="45" max="16384" width="9.19921875" style="253"/>
  </cols>
  <sheetData>
    <row r="1" spans="1:44" ht="11.25" customHeight="1">
      <c r="A1" s="378" t="str">
        <f ca="1">'UAL One Pager'!$D$2</f>
        <v>#N/A Requesting Data...</v>
      </c>
      <c r="P1" s="386"/>
    </row>
    <row r="2" spans="1:44" ht="11.25" customHeight="1">
      <c r="A2" s="332" t="s">
        <v>230</v>
      </c>
    </row>
    <row r="3" spans="1:44" s="293" customFormat="1" ht="11.25" customHeight="1">
      <c r="C3" s="334" t="s">
        <v>327</v>
      </c>
      <c r="E3" s="284">
        <f t="shared" ref="E3:T3" si="0">E173</f>
        <v>0</v>
      </c>
      <c r="F3" s="284">
        <f t="shared" si="0"/>
        <v>0</v>
      </c>
      <c r="G3" s="284">
        <f t="shared" si="0"/>
        <v>0</v>
      </c>
      <c r="H3" s="284">
        <f t="shared" si="0"/>
        <v>0</v>
      </c>
      <c r="I3" s="284">
        <f t="shared" si="0"/>
        <v>0</v>
      </c>
      <c r="J3" s="284">
        <f t="shared" si="0"/>
        <v>0</v>
      </c>
      <c r="K3" s="284">
        <f t="shared" si="0"/>
        <v>0</v>
      </c>
      <c r="L3" s="284">
        <f t="shared" si="0"/>
        <v>0</v>
      </c>
      <c r="M3" s="284">
        <f t="shared" si="0"/>
        <v>0</v>
      </c>
      <c r="N3" s="284">
        <f t="shared" si="0"/>
        <v>0</v>
      </c>
      <c r="O3" s="284">
        <f t="shared" si="0"/>
        <v>0</v>
      </c>
      <c r="P3" s="284">
        <f t="shared" si="0"/>
        <v>0</v>
      </c>
      <c r="Q3" s="284">
        <f t="shared" si="0"/>
        <v>0</v>
      </c>
      <c r="R3" s="284">
        <f t="shared" ca="1" si="0"/>
        <v>0</v>
      </c>
      <c r="S3" s="284">
        <f t="shared" ca="1" si="0"/>
        <v>0</v>
      </c>
      <c r="T3" s="284">
        <f t="shared" ca="1" si="0"/>
        <v>0</v>
      </c>
      <c r="V3" s="284">
        <f t="shared" ref="V3:AD3" si="1">V173</f>
        <v>0</v>
      </c>
      <c r="W3" s="284">
        <f t="shared" si="1"/>
        <v>0</v>
      </c>
      <c r="X3" s="284">
        <f t="shared" si="1"/>
        <v>0</v>
      </c>
      <c r="Y3" s="284">
        <f t="shared" si="1"/>
        <v>0</v>
      </c>
      <c r="Z3" s="284">
        <f t="shared" si="1"/>
        <v>0</v>
      </c>
      <c r="AA3" s="284">
        <f t="shared" ca="1" si="1"/>
        <v>0</v>
      </c>
      <c r="AB3" s="284">
        <f t="shared" ca="1" si="1"/>
        <v>0</v>
      </c>
      <c r="AC3" s="284">
        <f t="shared" ca="1" si="1"/>
        <v>0</v>
      </c>
      <c r="AD3" s="284">
        <f t="shared" ca="1" si="1"/>
        <v>0</v>
      </c>
    </row>
    <row r="4" spans="1:44" s="293" customFormat="1" ht="11.25" customHeight="1">
      <c r="C4" s="334" t="s">
        <v>382</v>
      </c>
      <c r="E4" s="284">
        <f>E255</f>
        <v>0</v>
      </c>
      <c r="F4" s="284">
        <f t="shared" ref="F4:AD4" si="2">F255</f>
        <v>0</v>
      </c>
      <c r="G4" s="284">
        <f t="shared" si="2"/>
        <v>0</v>
      </c>
      <c r="H4" s="284">
        <f t="shared" si="2"/>
        <v>0</v>
      </c>
      <c r="I4" s="284">
        <f t="shared" si="2"/>
        <v>0</v>
      </c>
      <c r="J4" s="284">
        <f t="shared" si="2"/>
        <v>0</v>
      </c>
      <c r="K4" s="284">
        <f t="shared" si="2"/>
        <v>0</v>
      </c>
      <c r="L4" s="284">
        <f t="shared" si="2"/>
        <v>0</v>
      </c>
      <c r="M4" s="284">
        <f t="shared" si="2"/>
        <v>0</v>
      </c>
      <c r="N4" s="284">
        <f t="shared" si="2"/>
        <v>0</v>
      </c>
      <c r="O4" s="284">
        <f t="shared" si="2"/>
        <v>0</v>
      </c>
      <c r="P4" s="284">
        <f t="shared" si="2"/>
        <v>0</v>
      </c>
      <c r="Q4" s="284">
        <f t="shared" si="2"/>
        <v>0</v>
      </c>
      <c r="R4" s="284">
        <f t="shared" ca="1" si="2"/>
        <v>0</v>
      </c>
      <c r="S4" s="284">
        <f t="shared" ca="1" si="2"/>
        <v>0</v>
      </c>
      <c r="T4" s="284">
        <f t="shared" ca="1" si="2"/>
        <v>0</v>
      </c>
      <c r="U4" s="284"/>
      <c r="V4" s="284">
        <f t="shared" si="2"/>
        <v>0</v>
      </c>
      <c r="W4" s="284">
        <f t="shared" si="2"/>
        <v>0</v>
      </c>
      <c r="X4" s="284">
        <f t="shared" si="2"/>
        <v>0</v>
      </c>
      <c r="Y4" s="284">
        <f t="shared" si="2"/>
        <v>0</v>
      </c>
      <c r="Z4" s="284">
        <f t="shared" si="2"/>
        <v>0</v>
      </c>
      <c r="AA4" s="284">
        <f t="shared" ca="1" si="2"/>
        <v>1.8189894035458565E-12</v>
      </c>
      <c r="AB4" s="284">
        <f t="shared" ca="1" si="2"/>
        <v>0</v>
      </c>
      <c r="AC4" s="284">
        <f t="shared" ca="1" si="2"/>
        <v>0</v>
      </c>
      <c r="AD4" s="284">
        <f t="shared" ca="1" si="2"/>
        <v>0</v>
      </c>
    </row>
    <row r="5" spans="1:44" ht="12.75" customHeight="1">
      <c r="B5" s="276"/>
      <c r="C5" s="276" t="s">
        <v>65</v>
      </c>
      <c r="D5" s="276"/>
      <c r="E5" s="275">
        <f t="shared" ref="E5:T5" si="3">YEAR(E6)</f>
        <v>2019</v>
      </c>
      <c r="F5" s="274">
        <f t="shared" si="3"/>
        <v>2019</v>
      </c>
      <c r="G5" s="273">
        <f t="shared" si="3"/>
        <v>2019</v>
      </c>
      <c r="H5" s="272">
        <f t="shared" si="3"/>
        <v>2019</v>
      </c>
      <c r="I5" s="275">
        <f t="shared" si="3"/>
        <v>2020</v>
      </c>
      <c r="J5" s="274">
        <f t="shared" si="3"/>
        <v>2020</v>
      </c>
      <c r="K5" s="273">
        <f t="shared" si="3"/>
        <v>2020</v>
      </c>
      <c r="L5" s="272">
        <f t="shared" si="3"/>
        <v>2020</v>
      </c>
      <c r="M5" s="275">
        <f t="shared" si="3"/>
        <v>2021</v>
      </c>
      <c r="N5" s="274">
        <f t="shared" si="3"/>
        <v>2021</v>
      </c>
      <c r="O5" s="273">
        <f t="shared" si="3"/>
        <v>2021</v>
      </c>
      <c r="P5" s="272">
        <f t="shared" si="3"/>
        <v>2021</v>
      </c>
      <c r="Q5" s="275">
        <f t="shared" si="3"/>
        <v>2022</v>
      </c>
      <c r="R5" s="364">
        <f t="shared" si="3"/>
        <v>2022</v>
      </c>
      <c r="S5" s="365">
        <f t="shared" si="3"/>
        <v>2022</v>
      </c>
      <c r="T5" s="366">
        <f t="shared" si="3"/>
        <v>2022</v>
      </c>
      <c r="U5" s="265"/>
      <c r="V5" s="271">
        <f t="shared" ref="V5:AD5" si="4">YEAR(V6)</f>
        <v>2017</v>
      </c>
      <c r="W5" s="271">
        <f t="shared" si="4"/>
        <v>2018</v>
      </c>
      <c r="X5" s="271">
        <f t="shared" si="4"/>
        <v>2019</v>
      </c>
      <c r="Y5" s="271">
        <f t="shared" si="4"/>
        <v>2020</v>
      </c>
      <c r="Z5" s="271">
        <f t="shared" si="4"/>
        <v>2021</v>
      </c>
      <c r="AA5" s="270">
        <f t="shared" si="4"/>
        <v>2022</v>
      </c>
      <c r="AB5" s="270">
        <f t="shared" si="4"/>
        <v>2023</v>
      </c>
      <c r="AC5" s="270">
        <f t="shared" si="4"/>
        <v>2024</v>
      </c>
      <c r="AD5" s="270">
        <f t="shared" si="4"/>
        <v>2025</v>
      </c>
      <c r="AE5" s="269"/>
      <c r="AF5" s="268" t="s">
        <v>231</v>
      </c>
      <c r="AG5" s="267"/>
      <c r="AH5" s="267"/>
      <c r="AI5" s="267"/>
      <c r="AJ5" s="267"/>
      <c r="AK5" s="267"/>
      <c r="AL5" s="267"/>
      <c r="AM5" s="267"/>
      <c r="AN5" s="267"/>
      <c r="AO5" s="267"/>
      <c r="AP5" s="267"/>
      <c r="AQ5" s="267"/>
      <c r="AR5" s="267"/>
    </row>
    <row r="6" spans="1:44" s="260" customFormat="1" ht="12.75" customHeight="1">
      <c r="A6" s="253"/>
      <c r="B6" s="262"/>
      <c r="C6" s="262" t="s">
        <v>232</v>
      </c>
      <c r="D6" s="262"/>
      <c r="E6" s="262">
        <v>43555</v>
      </c>
      <c r="F6" s="262">
        <f t="shared" ref="F6:T6" si="5">+EOMONTH(E6,3)</f>
        <v>43646</v>
      </c>
      <c r="G6" s="262">
        <f t="shared" si="5"/>
        <v>43738</v>
      </c>
      <c r="H6" s="262">
        <f t="shared" si="5"/>
        <v>43830</v>
      </c>
      <c r="I6" s="262">
        <f t="shared" si="5"/>
        <v>43921</v>
      </c>
      <c r="J6" s="262">
        <f t="shared" si="5"/>
        <v>44012</v>
      </c>
      <c r="K6" s="262">
        <f t="shared" si="5"/>
        <v>44104</v>
      </c>
      <c r="L6" s="262">
        <f t="shared" si="5"/>
        <v>44196</v>
      </c>
      <c r="M6" s="262">
        <f t="shared" si="5"/>
        <v>44286</v>
      </c>
      <c r="N6" s="262">
        <f t="shared" si="5"/>
        <v>44377</v>
      </c>
      <c r="O6" s="264">
        <f t="shared" si="5"/>
        <v>44469</v>
      </c>
      <c r="P6" s="262">
        <f t="shared" si="5"/>
        <v>44561</v>
      </c>
      <c r="Q6" s="388">
        <f t="shared" si="5"/>
        <v>44651</v>
      </c>
      <c r="R6" s="262">
        <f t="shared" si="5"/>
        <v>44742</v>
      </c>
      <c r="S6" s="262">
        <f t="shared" si="5"/>
        <v>44834</v>
      </c>
      <c r="T6" s="262">
        <f t="shared" si="5"/>
        <v>44926</v>
      </c>
      <c r="U6" s="265"/>
      <c r="V6" s="261">
        <v>43100</v>
      </c>
      <c r="W6" s="261">
        <f t="shared" ref="W6:AD6" si="6">EOMONTH(V6,12)</f>
        <v>43465</v>
      </c>
      <c r="X6" s="261">
        <f t="shared" si="6"/>
        <v>43830</v>
      </c>
      <c r="Y6" s="261">
        <f t="shared" si="6"/>
        <v>44196</v>
      </c>
      <c r="Z6" s="261">
        <f t="shared" si="6"/>
        <v>44561</v>
      </c>
      <c r="AA6" s="261">
        <f t="shared" si="6"/>
        <v>44926</v>
      </c>
      <c r="AB6" s="264">
        <f t="shared" si="6"/>
        <v>45291</v>
      </c>
      <c r="AC6" s="264">
        <f t="shared" si="6"/>
        <v>45657</v>
      </c>
      <c r="AD6" s="264">
        <f t="shared" si="6"/>
        <v>46022</v>
      </c>
      <c r="AE6" s="263"/>
      <c r="AF6" s="262">
        <v>43555</v>
      </c>
      <c r="AG6" s="261">
        <f t="shared" ref="AG6:AR6" si="7">+EOMONTH(AF6,3)</f>
        <v>43646</v>
      </c>
      <c r="AH6" s="261">
        <f t="shared" si="7"/>
        <v>43738</v>
      </c>
      <c r="AI6" s="261">
        <f t="shared" si="7"/>
        <v>43830</v>
      </c>
      <c r="AJ6" s="261">
        <f t="shared" si="7"/>
        <v>43921</v>
      </c>
      <c r="AK6" s="261">
        <f t="shared" si="7"/>
        <v>44012</v>
      </c>
      <c r="AL6" s="261">
        <f t="shared" si="7"/>
        <v>44104</v>
      </c>
      <c r="AM6" s="261">
        <f t="shared" si="7"/>
        <v>44196</v>
      </c>
      <c r="AN6" s="262">
        <f t="shared" si="7"/>
        <v>44286</v>
      </c>
      <c r="AO6" s="262">
        <f t="shared" si="7"/>
        <v>44377</v>
      </c>
      <c r="AP6" s="262">
        <f t="shared" si="7"/>
        <v>44469</v>
      </c>
      <c r="AQ6" s="261">
        <f t="shared" si="7"/>
        <v>44561</v>
      </c>
      <c r="AR6" s="261">
        <f t="shared" si="7"/>
        <v>44651</v>
      </c>
    </row>
    <row r="7" spans="1:44" ht="11.25" customHeight="1">
      <c r="E7" s="255"/>
      <c r="F7" s="255"/>
      <c r="G7" s="255"/>
      <c r="H7" s="255"/>
      <c r="I7" s="255"/>
      <c r="J7" s="255"/>
      <c r="K7" s="255"/>
      <c r="L7" s="255"/>
      <c r="M7" s="255"/>
      <c r="N7" s="255"/>
      <c r="O7" s="255"/>
      <c r="P7" s="255"/>
      <c r="Q7" s="255"/>
      <c r="R7" s="255"/>
      <c r="S7" s="255"/>
      <c r="T7" s="255"/>
    </row>
    <row r="8" spans="1:44" s="255" customFormat="1" ht="11.25" customHeight="1">
      <c r="B8" s="258" t="s">
        <v>133</v>
      </c>
      <c r="C8" s="259" t="s">
        <v>348</v>
      </c>
      <c r="D8" s="259"/>
      <c r="E8" s="258"/>
      <c r="F8" s="258"/>
      <c r="G8" s="258"/>
      <c r="H8" s="258"/>
      <c r="I8" s="258"/>
      <c r="J8" s="258"/>
      <c r="K8" s="258"/>
      <c r="L8" s="258"/>
      <c r="M8" s="258"/>
      <c r="N8" s="258"/>
      <c r="O8" s="258"/>
      <c r="P8" s="258"/>
      <c r="Q8" s="258"/>
      <c r="R8" s="258"/>
      <c r="S8" s="258"/>
      <c r="T8" s="258"/>
      <c r="U8" s="280"/>
      <c r="V8" s="258"/>
      <c r="W8" s="258"/>
      <c r="X8" s="258"/>
      <c r="Y8" s="258"/>
      <c r="Z8" s="258"/>
      <c r="AA8" s="258"/>
      <c r="AB8" s="258"/>
      <c r="AC8" s="258"/>
      <c r="AD8" s="258"/>
    </row>
    <row r="10" spans="1:44" ht="11.25" customHeight="1">
      <c r="C10" s="253" t="s">
        <v>284</v>
      </c>
      <c r="E10" s="277">
        <v>8725</v>
      </c>
      <c r="F10" s="277">
        <v>10486</v>
      </c>
      <c r="G10" s="277">
        <v>10481</v>
      </c>
      <c r="H10" s="277">
        <v>9933</v>
      </c>
      <c r="I10" s="277">
        <v>7065</v>
      </c>
      <c r="J10" s="277">
        <v>681</v>
      </c>
      <c r="K10" s="277">
        <v>1649</v>
      </c>
      <c r="L10" s="277">
        <v>2410</v>
      </c>
      <c r="M10" s="277">
        <v>2316</v>
      </c>
      <c r="N10" s="277">
        <v>4366</v>
      </c>
      <c r="O10" s="277">
        <v>6637</v>
      </c>
      <c r="P10" s="277">
        <v>6878</v>
      </c>
      <c r="Q10" s="277">
        <v>6348</v>
      </c>
      <c r="R10" s="287">
        <f>'UAL KPI'!R10</f>
        <v>10088.515773701803</v>
      </c>
      <c r="S10" s="287">
        <f>'UAL KPI'!S10</f>
        <v>10637.838600000001</v>
      </c>
      <c r="T10" s="287">
        <f>'UAL KPI'!T10</f>
        <v>10316.181500000002</v>
      </c>
      <c r="V10" s="277">
        <v>34460</v>
      </c>
      <c r="W10" s="277">
        <v>37706</v>
      </c>
      <c r="X10" s="255">
        <f t="shared" ref="X10:AA12" si="8">SUMIF($E$5:$T$5,X$5,$E10:$T10)</f>
        <v>39625</v>
      </c>
      <c r="Y10" s="255">
        <f t="shared" si="8"/>
        <v>11805</v>
      </c>
      <c r="Z10" s="255">
        <f t="shared" si="8"/>
        <v>20197</v>
      </c>
      <c r="AA10" s="255">
        <f t="shared" si="8"/>
        <v>37390.53587370181</v>
      </c>
      <c r="AB10" s="287">
        <f>'UAL KPI'!AB10</f>
        <v>43279.233455173897</v>
      </c>
      <c r="AC10" s="287">
        <f>'UAL KPI'!AC10</f>
        <v>46011.713891739513</v>
      </c>
      <c r="AD10" s="287">
        <f>'UAL KPI'!AD10</f>
        <v>46500.886315926742</v>
      </c>
    </row>
    <row r="11" spans="1:44" ht="11.25" customHeight="1">
      <c r="C11" s="253" t="s">
        <v>285</v>
      </c>
      <c r="E11" s="277">
        <v>286</v>
      </c>
      <c r="F11" s="277">
        <v>295</v>
      </c>
      <c r="G11" s="277">
        <v>282</v>
      </c>
      <c r="H11" s="277">
        <v>316</v>
      </c>
      <c r="I11" s="277">
        <v>264</v>
      </c>
      <c r="J11" s="277">
        <v>402</v>
      </c>
      <c r="K11" s="277">
        <v>422</v>
      </c>
      <c r="L11" s="277">
        <v>560</v>
      </c>
      <c r="M11" s="277">
        <v>497</v>
      </c>
      <c r="N11" s="277">
        <v>606</v>
      </c>
      <c r="O11" s="277">
        <v>519</v>
      </c>
      <c r="P11" s="277">
        <v>727</v>
      </c>
      <c r="Q11" s="277">
        <v>627</v>
      </c>
      <c r="R11" s="287">
        <f>'UAL KPI'!R11</f>
        <v>587.21400000000006</v>
      </c>
      <c r="S11" s="287">
        <f>'UAL KPI'!S11</f>
        <v>554.68124999999998</v>
      </c>
      <c r="T11" s="287">
        <f>'UAL KPI'!T11</f>
        <v>539.7974999999999</v>
      </c>
      <c r="V11" s="277">
        <v>1114</v>
      </c>
      <c r="W11" s="277">
        <v>1237</v>
      </c>
      <c r="X11" s="255">
        <f t="shared" si="8"/>
        <v>1179</v>
      </c>
      <c r="Y11" s="255">
        <f t="shared" si="8"/>
        <v>1648</v>
      </c>
      <c r="Z11" s="255">
        <f t="shared" si="8"/>
        <v>2349</v>
      </c>
      <c r="AA11" s="255">
        <f t="shared" si="8"/>
        <v>2308.6927500000002</v>
      </c>
      <c r="AB11" s="287">
        <f>'UAL KPI'!AB11</f>
        <v>1864.2693956250002</v>
      </c>
      <c r="AC11" s="287">
        <f>'UAL KPI'!AC11</f>
        <v>1505.3975369671875</v>
      </c>
      <c r="AD11" s="287">
        <f>'UAL KPI'!AD11</f>
        <v>1215.6085111010041</v>
      </c>
    </row>
    <row r="12" spans="1:44" ht="11.25" customHeight="1">
      <c r="C12" s="253" t="s">
        <v>286</v>
      </c>
      <c r="E12" s="277">
        <v>578</v>
      </c>
      <c r="F12" s="277">
        <v>621</v>
      </c>
      <c r="G12" s="277">
        <v>617</v>
      </c>
      <c r="H12" s="277">
        <v>639</v>
      </c>
      <c r="I12" s="277">
        <v>650</v>
      </c>
      <c r="J12" s="277">
        <v>392</v>
      </c>
      <c r="K12" s="277">
        <v>418</v>
      </c>
      <c r="L12" s="277">
        <v>442</v>
      </c>
      <c r="M12" s="277">
        <v>408</v>
      </c>
      <c r="N12" s="277">
        <v>499</v>
      </c>
      <c r="O12" s="277">
        <v>594</v>
      </c>
      <c r="P12" s="277">
        <v>587</v>
      </c>
      <c r="Q12" s="277">
        <v>591</v>
      </c>
      <c r="R12" s="287">
        <f>'UAL KPI'!R12</f>
        <v>907.96641963316233</v>
      </c>
      <c r="S12" s="287">
        <f>'UAL KPI'!S12</f>
        <v>957.40547400000003</v>
      </c>
      <c r="T12" s="287">
        <f>'UAL KPI'!T12</f>
        <v>928.45633500000019</v>
      </c>
      <c r="V12" s="277">
        <v>2210</v>
      </c>
      <c r="W12" s="277">
        <v>2360</v>
      </c>
      <c r="X12" s="255">
        <f t="shared" si="8"/>
        <v>2455</v>
      </c>
      <c r="Y12" s="255">
        <f t="shared" si="8"/>
        <v>1902</v>
      </c>
      <c r="Z12" s="255">
        <f t="shared" si="8"/>
        <v>2088</v>
      </c>
      <c r="AA12" s="255">
        <f t="shared" si="8"/>
        <v>3384.8282286331628</v>
      </c>
      <c r="AB12" s="287">
        <f>'UAL KPI'!AB12</f>
        <v>3678.7348436897814</v>
      </c>
      <c r="AC12" s="287">
        <f>'UAL KPI'!AC12</f>
        <v>3910.9956807978588</v>
      </c>
      <c r="AD12" s="287">
        <f>'UAL KPI'!AD12</f>
        <v>3952.5753368537735</v>
      </c>
    </row>
    <row r="13" spans="1:44" ht="11.25" customHeight="1">
      <c r="C13" s="289" t="s">
        <v>287</v>
      </c>
      <c r="E13" s="358">
        <f t="shared" ref="E13:T13" si="9">SUM(E10:E12)</f>
        <v>9589</v>
      </c>
      <c r="F13" s="358">
        <f t="shared" si="9"/>
        <v>11402</v>
      </c>
      <c r="G13" s="358">
        <f t="shared" si="9"/>
        <v>11380</v>
      </c>
      <c r="H13" s="358">
        <f t="shared" si="9"/>
        <v>10888</v>
      </c>
      <c r="I13" s="358">
        <f t="shared" si="9"/>
        <v>7979</v>
      </c>
      <c r="J13" s="358">
        <f t="shared" si="9"/>
        <v>1475</v>
      </c>
      <c r="K13" s="358">
        <f t="shared" si="9"/>
        <v>2489</v>
      </c>
      <c r="L13" s="358">
        <f t="shared" si="9"/>
        <v>3412</v>
      </c>
      <c r="M13" s="358">
        <f t="shared" si="9"/>
        <v>3221</v>
      </c>
      <c r="N13" s="358">
        <f t="shared" si="9"/>
        <v>5471</v>
      </c>
      <c r="O13" s="358">
        <f t="shared" si="9"/>
        <v>7750</v>
      </c>
      <c r="P13" s="358">
        <f t="shared" si="9"/>
        <v>8192</v>
      </c>
      <c r="Q13" s="358">
        <f>SUM(Q10:Q12)</f>
        <v>7566</v>
      </c>
      <c r="R13" s="358">
        <f t="shared" si="9"/>
        <v>11583.696193334967</v>
      </c>
      <c r="S13" s="358">
        <f t="shared" si="9"/>
        <v>12149.925324</v>
      </c>
      <c r="T13" s="358">
        <f t="shared" si="9"/>
        <v>11784.435335000004</v>
      </c>
      <c r="V13" s="358">
        <f t="shared" ref="V13:AD13" si="10">SUM(V10:V12)</f>
        <v>37784</v>
      </c>
      <c r="W13" s="358">
        <f t="shared" si="10"/>
        <v>41303</v>
      </c>
      <c r="X13" s="358">
        <f t="shared" si="10"/>
        <v>43259</v>
      </c>
      <c r="Y13" s="358">
        <f t="shared" si="10"/>
        <v>15355</v>
      </c>
      <c r="Z13" s="358">
        <f t="shared" si="10"/>
        <v>24634</v>
      </c>
      <c r="AA13" s="358">
        <f t="shared" si="10"/>
        <v>43084.056852334972</v>
      </c>
      <c r="AB13" s="358">
        <f t="shared" si="10"/>
        <v>48822.237694488678</v>
      </c>
      <c r="AC13" s="358">
        <f t="shared" si="10"/>
        <v>51428.107109504563</v>
      </c>
      <c r="AD13" s="358">
        <f t="shared" si="10"/>
        <v>51669.070163881523</v>
      </c>
    </row>
    <row r="14" spans="1:44" ht="11.25" customHeight="1">
      <c r="C14" s="289"/>
      <c r="E14" s="255"/>
      <c r="F14" s="255"/>
      <c r="G14" s="255"/>
      <c r="H14" s="255"/>
      <c r="I14" s="255"/>
      <c r="J14" s="255"/>
      <c r="K14" s="255"/>
      <c r="L14" s="255"/>
      <c r="M14" s="255"/>
      <c r="N14" s="255"/>
      <c r="O14" s="255"/>
      <c r="P14" s="255"/>
      <c r="Q14" s="255"/>
      <c r="V14" s="255"/>
      <c r="W14" s="255"/>
      <c r="X14" s="255"/>
      <c r="Y14" s="255"/>
      <c r="Z14" s="255"/>
      <c r="AA14" s="255"/>
    </row>
    <row r="15" spans="1:44" ht="11.25" customHeight="1">
      <c r="C15" s="253" t="s">
        <v>289</v>
      </c>
      <c r="E15" s="277">
        <v>2023</v>
      </c>
      <c r="F15" s="277">
        <v>2385</v>
      </c>
      <c r="G15" s="277">
        <v>2296</v>
      </c>
      <c r="H15" s="277">
        <v>2249</v>
      </c>
      <c r="I15" s="277">
        <v>1726</v>
      </c>
      <c r="J15" s="277">
        <v>240</v>
      </c>
      <c r="K15" s="277">
        <v>508</v>
      </c>
      <c r="L15" s="277">
        <v>679</v>
      </c>
      <c r="M15" s="277">
        <v>851</v>
      </c>
      <c r="N15" s="277">
        <v>1232</v>
      </c>
      <c r="O15" s="277">
        <v>1710</v>
      </c>
      <c r="P15" s="277">
        <v>1962</v>
      </c>
      <c r="Q15" s="277">
        <v>2230</v>
      </c>
      <c r="R15" s="287">
        <f>'UAL KPI'!R15</f>
        <v>4046.9830937239549</v>
      </c>
      <c r="S15" s="287">
        <f>'UAL KPI'!S15</f>
        <v>3893.5381361959298</v>
      </c>
      <c r="T15" s="287">
        <f>'UAL KPI'!T15</f>
        <v>3407.2193959186893</v>
      </c>
      <c r="V15" s="277">
        <v>6913</v>
      </c>
      <c r="W15" s="277">
        <v>9307</v>
      </c>
      <c r="X15" s="255">
        <f t="shared" ref="X15:AA21" si="11">SUMIF($E$5:$T$5,X$5,$E15:$T15)</f>
        <v>8953</v>
      </c>
      <c r="Y15" s="255">
        <f t="shared" si="11"/>
        <v>3153</v>
      </c>
      <c r="Z15" s="255">
        <f t="shared" si="11"/>
        <v>5755</v>
      </c>
      <c r="AA15" s="255">
        <f t="shared" si="11"/>
        <v>13577.740625838574</v>
      </c>
      <c r="AB15" s="287">
        <f>'UAL KPI'!AB15</f>
        <v>13562.050053777422</v>
      </c>
      <c r="AC15" s="287">
        <f>'UAL KPI'!AC15</f>
        <v>12389.637423269909</v>
      </c>
      <c r="AD15" s="287">
        <f>'UAL KPI'!AD15</f>
        <v>12399.244025654214</v>
      </c>
    </row>
    <row r="16" spans="1:44" ht="11.25" customHeight="1">
      <c r="C16" s="253" t="s">
        <v>288</v>
      </c>
      <c r="E16" s="277">
        <f>2873-E26</f>
        <v>2840</v>
      </c>
      <c r="F16" s="277">
        <f>3057-F26</f>
        <v>2896</v>
      </c>
      <c r="G16" s="277">
        <f>3063-G26</f>
        <v>2889</v>
      </c>
      <c r="H16" s="277">
        <f>3078-H26</f>
        <v>2955</v>
      </c>
      <c r="I16" s="277">
        <v>2955</v>
      </c>
      <c r="J16" s="277">
        <v>2170</v>
      </c>
      <c r="K16" s="277">
        <v>2229</v>
      </c>
      <c r="L16" s="277">
        <v>2168</v>
      </c>
      <c r="M16" s="277">
        <v>2224</v>
      </c>
      <c r="N16" s="277">
        <v>2276</v>
      </c>
      <c r="O16" s="277">
        <v>2487</v>
      </c>
      <c r="P16" s="277">
        <v>2579</v>
      </c>
      <c r="Q16" s="277">
        <v>2787</v>
      </c>
      <c r="R16" s="287">
        <f>'UAL KPI'!R16</f>
        <v>2785.9520000000002</v>
      </c>
      <c r="S16" s="287">
        <f>'UAL KPI'!S16</f>
        <v>3169.95525</v>
      </c>
      <c r="T16" s="287">
        <f>'UAL KPI'!T16</f>
        <v>3257.8875000000003</v>
      </c>
      <c r="V16" s="277">
        <f>10941-V26</f>
        <v>10592</v>
      </c>
      <c r="W16" s="277">
        <f>11458-W26</f>
        <v>11124</v>
      </c>
      <c r="X16" s="255">
        <f t="shared" si="11"/>
        <v>11580</v>
      </c>
      <c r="Y16" s="255">
        <f t="shared" si="11"/>
        <v>9522</v>
      </c>
      <c r="Z16" s="255">
        <f t="shared" si="11"/>
        <v>9566</v>
      </c>
      <c r="AA16" s="255">
        <f t="shared" si="11"/>
        <v>12000.794750000001</v>
      </c>
      <c r="AB16" s="287">
        <f>'UAL KPI'!AB16</f>
        <v>12387.936599999999</v>
      </c>
      <c r="AC16" s="287">
        <f>'UAL KPI'!AC16</f>
        <v>12481.873559999998</v>
      </c>
      <c r="AD16" s="287">
        <f>'UAL KPI'!AD16</f>
        <v>12949.334999999999</v>
      </c>
    </row>
    <row r="17" spans="3:30" ht="11.25" customHeight="1">
      <c r="C17" s="253" t="s">
        <v>290</v>
      </c>
      <c r="E17" s="277">
        <v>588</v>
      </c>
      <c r="F17" s="277">
        <v>660</v>
      </c>
      <c r="G17" s="277">
        <v>645</v>
      </c>
      <c r="H17" s="277">
        <v>650</v>
      </c>
      <c r="I17" s="277">
        <v>623</v>
      </c>
      <c r="J17" s="277">
        <v>429</v>
      </c>
      <c r="K17" s="277">
        <v>500</v>
      </c>
      <c r="L17" s="277">
        <v>575</v>
      </c>
      <c r="M17" s="277">
        <v>519</v>
      </c>
      <c r="N17" s="277">
        <v>564</v>
      </c>
      <c r="O17" s="277">
        <v>652</v>
      </c>
      <c r="P17" s="277">
        <v>681</v>
      </c>
      <c r="Q17" s="277">
        <v>612</v>
      </c>
      <c r="R17" s="287">
        <f>'UAL KPI'!R17</f>
        <v>746.90633806663027</v>
      </c>
      <c r="S17" s="287">
        <f>'UAL KPI'!S17</f>
        <v>683.62701695615101</v>
      </c>
      <c r="T17" s="287">
        <f>'UAL KPI'!T17</f>
        <v>697.60139186069409</v>
      </c>
      <c r="V17" s="277">
        <v>2310</v>
      </c>
      <c r="W17" s="277">
        <v>2449</v>
      </c>
      <c r="X17" s="255">
        <f t="shared" si="11"/>
        <v>2543</v>
      </c>
      <c r="Y17" s="255">
        <f t="shared" si="11"/>
        <v>2127</v>
      </c>
      <c r="Z17" s="255">
        <f t="shared" si="11"/>
        <v>2416</v>
      </c>
      <c r="AA17" s="255">
        <f t="shared" si="11"/>
        <v>2740.1347468834756</v>
      </c>
      <c r="AB17" s="287">
        <f>'UAL KPI'!AB17</f>
        <v>2885.8228321239726</v>
      </c>
      <c r="AC17" s="287">
        <f>'UAL KPI'!AC17</f>
        <v>3112.4938209256875</v>
      </c>
      <c r="AD17" s="287">
        <f>'UAL KPI'!AD17</f>
        <v>3114.9071676233957</v>
      </c>
    </row>
    <row r="18" spans="3:30" ht="11.25" customHeight="1">
      <c r="C18" s="253" t="s">
        <v>292</v>
      </c>
      <c r="E18" s="277">
        <v>688</v>
      </c>
      <c r="F18" s="277">
        <v>715</v>
      </c>
      <c r="G18" s="277">
        <v>721</v>
      </c>
      <c r="H18" s="277">
        <v>725</v>
      </c>
      <c r="I18" s="277">
        <v>737</v>
      </c>
      <c r="J18" s="277">
        <v>388</v>
      </c>
      <c r="K18" s="277">
        <v>425</v>
      </c>
      <c r="L18" s="277">
        <v>489</v>
      </c>
      <c r="M18" s="277">
        <v>479</v>
      </c>
      <c r="N18" s="277">
        <v>547</v>
      </c>
      <c r="O18" s="277">
        <v>520</v>
      </c>
      <c r="P18" s="277">
        <v>601</v>
      </c>
      <c r="Q18" s="277">
        <v>565</v>
      </c>
      <c r="R18" s="287">
        <f>'UAL KPI'!R18</f>
        <v>634.87038735663577</v>
      </c>
      <c r="S18" s="287">
        <f>'UAL KPI'!S18</f>
        <v>677.79303108849706</v>
      </c>
      <c r="T18" s="287">
        <f>'UAL KPI'!T18</f>
        <v>690.13542378726879</v>
      </c>
      <c r="V18" s="277">
        <v>2268</v>
      </c>
      <c r="W18" s="277">
        <v>2649</v>
      </c>
      <c r="X18" s="255">
        <f t="shared" si="11"/>
        <v>2849</v>
      </c>
      <c r="Y18" s="255">
        <f t="shared" si="11"/>
        <v>2039</v>
      </c>
      <c r="Z18" s="255">
        <f t="shared" si="11"/>
        <v>2147</v>
      </c>
      <c r="AA18" s="255">
        <f t="shared" si="11"/>
        <v>2567.7988422324015</v>
      </c>
      <c r="AB18" s="287">
        <f>'UAL KPI'!AB18</f>
        <v>3086.1168666776025</v>
      </c>
      <c r="AC18" s="287">
        <f>'UAL KPI'!AC18</f>
        <v>3335.4115766721989</v>
      </c>
      <c r="AD18" s="287">
        <f>'UAL KPI'!AD18</f>
        <v>3337.9977679956773</v>
      </c>
    </row>
    <row r="19" spans="3:30" ht="11.25" customHeight="1">
      <c r="C19" s="253" t="s">
        <v>305</v>
      </c>
      <c r="E19" s="277">
        <v>408</v>
      </c>
      <c r="F19" s="277">
        <v>421</v>
      </c>
      <c r="G19" s="277">
        <v>490</v>
      </c>
      <c r="H19" s="277">
        <v>475</v>
      </c>
      <c r="I19" s="277">
        <v>434</v>
      </c>
      <c r="J19" s="277">
        <v>110</v>
      </c>
      <c r="K19" s="277">
        <v>115</v>
      </c>
      <c r="L19" s="277">
        <v>199</v>
      </c>
      <c r="M19" s="277">
        <v>269</v>
      </c>
      <c r="N19" s="277">
        <v>302</v>
      </c>
      <c r="O19" s="277">
        <v>346</v>
      </c>
      <c r="P19" s="277">
        <v>399</v>
      </c>
      <c r="Q19" s="277">
        <v>407</v>
      </c>
      <c r="R19" s="287">
        <f>'UAL KPI'!R19</f>
        <v>458.1112592162753</v>
      </c>
      <c r="S19" s="287">
        <f>'UAL KPI'!S19</f>
        <v>508.05445648409602</v>
      </c>
      <c r="T19" s="287">
        <f>'UAL KPI'!T19</f>
        <v>531.95022523156604</v>
      </c>
      <c r="V19" s="277">
        <v>1856</v>
      </c>
      <c r="W19" s="277">
        <v>1767</v>
      </c>
      <c r="X19" s="255">
        <f t="shared" si="11"/>
        <v>1794</v>
      </c>
      <c r="Y19" s="255">
        <f t="shared" si="11"/>
        <v>858</v>
      </c>
      <c r="Z19" s="255">
        <f t="shared" si="11"/>
        <v>1316</v>
      </c>
      <c r="AA19" s="255">
        <f t="shared" si="11"/>
        <v>1905.1159409319375</v>
      </c>
      <c r="AB19" s="287">
        <f>'UAL KPI'!AB19</f>
        <v>2035.8498469643755</v>
      </c>
      <c r="AC19" s="287">
        <f>'UAL KPI'!AC19</f>
        <v>2195.7585193632253</v>
      </c>
      <c r="AD19" s="287">
        <f>'UAL KPI'!AD19</f>
        <v>2197.4610533686082</v>
      </c>
    </row>
    <row r="20" spans="3:30" ht="11.25" customHeight="1">
      <c r="C20" s="253" t="s">
        <v>293</v>
      </c>
      <c r="E20" s="277">
        <v>360</v>
      </c>
      <c r="F20" s="277">
        <v>442</v>
      </c>
      <c r="G20" s="277">
        <v>432</v>
      </c>
      <c r="H20" s="277">
        <v>417</v>
      </c>
      <c r="I20" s="277">
        <v>295</v>
      </c>
      <c r="J20" s="277">
        <v>31</v>
      </c>
      <c r="K20" s="277">
        <v>53</v>
      </c>
      <c r="L20" s="277">
        <v>80</v>
      </c>
      <c r="M20" s="277">
        <v>85</v>
      </c>
      <c r="N20" s="277">
        <v>139</v>
      </c>
      <c r="O20" s="277">
        <v>218</v>
      </c>
      <c r="P20" s="277">
        <v>235</v>
      </c>
      <c r="Q20" s="277">
        <v>226</v>
      </c>
      <c r="R20" s="287">
        <f>'UAL KPI'!R20</f>
        <v>346.29293855816491</v>
      </c>
      <c r="S20" s="287">
        <f>'UAL KPI'!S20</f>
        <v>382.22284660876971</v>
      </c>
      <c r="T20" s="287">
        <f>'UAL KPI'!T20</f>
        <v>408.62176511866886</v>
      </c>
      <c r="V20" s="277">
        <v>1435</v>
      </c>
      <c r="W20" s="277">
        <v>1558</v>
      </c>
      <c r="X20" s="255">
        <f t="shared" si="11"/>
        <v>1651</v>
      </c>
      <c r="Y20" s="255">
        <f t="shared" si="11"/>
        <v>459</v>
      </c>
      <c r="Z20" s="255">
        <f t="shared" si="11"/>
        <v>677</v>
      </c>
      <c r="AA20" s="255">
        <f t="shared" si="11"/>
        <v>1363.1375502856035</v>
      </c>
      <c r="AB20" s="287">
        <f>'UAL KPI'!AB20</f>
        <v>1635.1173474433244</v>
      </c>
      <c r="AC20" s="287">
        <f>'UAL KPI'!AC20</f>
        <v>1845.0182643798753</v>
      </c>
      <c r="AD20" s="287">
        <f>'UAL KPI'!AD20</f>
        <v>1846.4488435205042</v>
      </c>
    </row>
    <row r="21" spans="3:30" ht="11.25" customHeight="1">
      <c r="C21" s="253" t="s">
        <v>294</v>
      </c>
      <c r="E21" s="277">
        <v>81</v>
      </c>
      <c r="F21" s="277">
        <v>73</v>
      </c>
      <c r="G21" s="277">
        <v>67</v>
      </c>
      <c r="H21" s="277">
        <v>67</v>
      </c>
      <c r="I21" s="277">
        <v>50</v>
      </c>
      <c r="J21" s="277">
        <v>47</v>
      </c>
      <c r="K21" s="277">
        <v>50</v>
      </c>
      <c r="L21" s="277">
        <v>51</v>
      </c>
      <c r="M21" s="277">
        <v>55</v>
      </c>
      <c r="N21" s="277">
        <v>52</v>
      </c>
      <c r="O21" s="277">
        <v>58</v>
      </c>
      <c r="P21" s="277">
        <v>63</v>
      </c>
      <c r="Q21" s="277">
        <v>61</v>
      </c>
      <c r="R21" s="287">
        <f>'UAL KPI'!R21</f>
        <v>69.902772665210279</v>
      </c>
      <c r="S21" s="287">
        <f>'UAL KPI'!S21</f>
        <v>67.924922345356705</v>
      </c>
      <c r="T21" s="287">
        <f>'UAL KPI'!T21</f>
        <v>68.780230876432313</v>
      </c>
      <c r="V21" s="277">
        <v>621</v>
      </c>
      <c r="W21" s="277">
        <v>433</v>
      </c>
      <c r="X21" s="255">
        <f t="shared" si="11"/>
        <v>288</v>
      </c>
      <c r="Y21" s="255">
        <f t="shared" si="11"/>
        <v>198</v>
      </c>
      <c r="Z21" s="255">
        <f t="shared" si="11"/>
        <v>228</v>
      </c>
      <c r="AA21" s="255">
        <f t="shared" si="11"/>
        <v>267.60792588699928</v>
      </c>
      <c r="AB21" s="287">
        <f>'UAL KPI'!AB21</f>
        <v>303.05627396587352</v>
      </c>
      <c r="AC21" s="287">
        <f>'UAL KPI'!AC21</f>
        <v>321.84449433155908</v>
      </c>
      <c r="AD21" s="287">
        <f>'UAL KPI'!AD21</f>
        <v>322.09404417559364</v>
      </c>
    </row>
    <row r="22" spans="3:30" s="279" customFormat="1" ht="11.25" customHeight="1">
      <c r="C22" s="289" t="s">
        <v>418</v>
      </c>
      <c r="E22" s="357">
        <f t="shared" ref="E22:T22" si="12">E13-SUM(E15:E21)</f>
        <v>2601</v>
      </c>
      <c r="F22" s="357">
        <f t="shared" si="12"/>
        <v>3810</v>
      </c>
      <c r="G22" s="357">
        <f t="shared" si="12"/>
        <v>3840</v>
      </c>
      <c r="H22" s="357">
        <f t="shared" si="12"/>
        <v>3350</v>
      </c>
      <c r="I22" s="357">
        <f t="shared" si="12"/>
        <v>1159</v>
      </c>
      <c r="J22" s="357">
        <f t="shared" si="12"/>
        <v>-1940</v>
      </c>
      <c r="K22" s="357">
        <f t="shared" si="12"/>
        <v>-1391</v>
      </c>
      <c r="L22" s="357">
        <f t="shared" si="12"/>
        <v>-829</v>
      </c>
      <c r="M22" s="357">
        <f t="shared" si="12"/>
        <v>-1261</v>
      </c>
      <c r="N22" s="357">
        <f t="shared" si="12"/>
        <v>359</v>
      </c>
      <c r="O22" s="357">
        <f t="shared" si="12"/>
        <v>1759</v>
      </c>
      <c r="P22" s="357">
        <f t="shared" si="12"/>
        <v>1672</v>
      </c>
      <c r="Q22" s="357">
        <f>Q13-SUM(Q15:Q21)</f>
        <v>678</v>
      </c>
      <c r="R22" s="357">
        <f t="shared" si="12"/>
        <v>2494.6774037480936</v>
      </c>
      <c r="S22" s="357">
        <f t="shared" si="12"/>
        <v>2766.8096643211993</v>
      </c>
      <c r="T22" s="357">
        <f t="shared" si="12"/>
        <v>2722.2394022066837</v>
      </c>
      <c r="U22" s="253"/>
      <c r="V22" s="357">
        <f t="shared" ref="V22:AD22" si="13">V13-SUM(V15:V21)</f>
        <v>11789</v>
      </c>
      <c r="W22" s="357">
        <f t="shared" si="13"/>
        <v>12016</v>
      </c>
      <c r="X22" s="357">
        <f t="shared" si="13"/>
        <v>13601</v>
      </c>
      <c r="Y22" s="357">
        <f t="shared" si="13"/>
        <v>-3001</v>
      </c>
      <c r="Z22" s="357">
        <f t="shared" si="13"/>
        <v>2529</v>
      </c>
      <c r="AA22" s="357">
        <f t="shared" si="13"/>
        <v>8661.7264702759785</v>
      </c>
      <c r="AB22" s="357">
        <f t="shared" si="13"/>
        <v>12926.287873536108</v>
      </c>
      <c r="AC22" s="357">
        <f t="shared" si="13"/>
        <v>15746.069450562107</v>
      </c>
      <c r="AD22" s="357">
        <f t="shared" si="13"/>
        <v>15501.582261543532</v>
      </c>
    </row>
    <row r="23" spans="3:30" ht="11.25" customHeight="1">
      <c r="E23" s="277"/>
      <c r="F23" s="277"/>
      <c r="G23" s="277"/>
      <c r="H23" s="277"/>
      <c r="I23" s="277"/>
      <c r="J23" s="277"/>
      <c r="K23" s="277"/>
      <c r="L23" s="277"/>
      <c r="M23" s="277"/>
      <c r="N23" s="277"/>
      <c r="O23" s="277"/>
      <c r="P23" s="277"/>
      <c r="Q23" s="277"/>
      <c r="R23" s="287"/>
      <c r="S23" s="287"/>
      <c r="T23" s="287"/>
      <c r="V23" s="277"/>
      <c r="W23" s="277"/>
      <c r="X23" s="255"/>
      <c r="Y23" s="255"/>
      <c r="Z23" s="255"/>
      <c r="AA23" s="255"/>
      <c r="AB23" s="287"/>
      <c r="AC23" s="287"/>
      <c r="AD23" s="287"/>
    </row>
    <row r="24" spans="3:30" ht="11.25" customHeight="1">
      <c r="C24" s="253" t="s">
        <v>296</v>
      </c>
      <c r="E24" s="277">
        <v>1508</v>
      </c>
      <c r="F24" s="277">
        <v>1546</v>
      </c>
      <c r="G24" s="277">
        <v>1591</v>
      </c>
      <c r="H24" s="277">
        <v>1630</v>
      </c>
      <c r="I24" s="277">
        <v>1453</v>
      </c>
      <c r="J24" s="277">
        <v>528</v>
      </c>
      <c r="K24" s="277">
        <v>679</v>
      </c>
      <c r="L24" s="277">
        <v>826</v>
      </c>
      <c r="M24" s="277">
        <v>874</v>
      </c>
      <c r="N24" s="277">
        <v>957</v>
      </c>
      <c r="O24" s="277">
        <v>1197</v>
      </c>
      <c r="P24" s="277">
        <v>1405</v>
      </c>
      <c r="Q24" s="277">
        <v>1451</v>
      </c>
      <c r="R24" s="287">
        <f>'UAL KPI'!R24+R69</f>
        <v>1680.6661404287274</v>
      </c>
      <c r="S24" s="287">
        <f>'UAL KPI'!S24+S69</f>
        <v>1523.895184568526</v>
      </c>
      <c r="T24" s="287">
        <f>'UAL KPI'!T24+T69</f>
        <v>1613.0761829096161</v>
      </c>
      <c r="V24" s="277">
        <v>5550</v>
      </c>
      <c r="W24" s="277">
        <v>5801</v>
      </c>
      <c r="X24" s="255">
        <f t="shared" ref="X24:AA27" si="14">SUMIF($E$5:$T$5,X$5,$E24:$T24)</f>
        <v>6275</v>
      </c>
      <c r="Y24" s="255">
        <f t="shared" si="14"/>
        <v>3486</v>
      </c>
      <c r="Z24" s="255">
        <f t="shared" si="14"/>
        <v>4433</v>
      </c>
      <c r="AA24" s="255">
        <f t="shared" si="14"/>
        <v>6268.6375079068703</v>
      </c>
      <c r="AB24" s="287">
        <f>'UAL KPI'!AB24+AB69</f>
        <v>6753.9406943255362</v>
      </c>
      <c r="AC24" s="287">
        <f>'UAL KPI'!AC24+AC69</f>
        <v>7450.8107398914854</v>
      </c>
      <c r="AD24" s="287">
        <f>'UAL KPI'!AD24+AD69</f>
        <v>7456.4803860876136</v>
      </c>
    </row>
    <row r="25" spans="3:30" ht="11.25" customHeight="1">
      <c r="C25" s="253" t="s">
        <v>291</v>
      </c>
      <c r="E25" s="277">
        <v>547</v>
      </c>
      <c r="F25" s="277">
        <v>560</v>
      </c>
      <c r="G25" s="277">
        <v>575</v>
      </c>
      <c r="H25" s="277">
        <v>606</v>
      </c>
      <c r="I25" s="277">
        <v>615</v>
      </c>
      <c r="J25" s="277">
        <v>618</v>
      </c>
      <c r="K25" s="277">
        <v>626</v>
      </c>
      <c r="L25" s="277">
        <v>629</v>
      </c>
      <c r="M25" s="277">
        <v>623</v>
      </c>
      <c r="N25" s="277">
        <v>620</v>
      </c>
      <c r="O25" s="277">
        <v>623</v>
      </c>
      <c r="P25" s="277">
        <v>619</v>
      </c>
      <c r="Q25" s="277">
        <v>611</v>
      </c>
      <c r="R25" s="255">
        <f>R187+R198</f>
        <v>661.26357327851997</v>
      </c>
      <c r="S25" s="255">
        <f>S187+S198</f>
        <v>751.5653991778006</v>
      </c>
      <c r="T25" s="255">
        <f>T187+T198</f>
        <v>781.77579999999989</v>
      </c>
      <c r="V25" s="277">
        <v>2096</v>
      </c>
      <c r="W25" s="277">
        <v>2165</v>
      </c>
      <c r="X25" s="255">
        <f t="shared" si="14"/>
        <v>2288</v>
      </c>
      <c r="Y25" s="255">
        <f t="shared" si="14"/>
        <v>2488</v>
      </c>
      <c r="Z25" s="255">
        <f t="shared" si="14"/>
        <v>2485</v>
      </c>
      <c r="AA25" s="255">
        <f t="shared" si="14"/>
        <v>2805.6047724563205</v>
      </c>
      <c r="AB25" s="255">
        <f>AB187+AB198</f>
        <v>2822.4789999999994</v>
      </c>
      <c r="AC25" s="255">
        <f>AC187+AC198</f>
        <v>3173.047</v>
      </c>
      <c r="AD25" s="255">
        <f>AD187+AD198</f>
        <v>3259.096</v>
      </c>
    </row>
    <row r="26" spans="3:30" ht="11.25" customHeight="1">
      <c r="C26" s="253" t="s">
        <v>525</v>
      </c>
      <c r="E26" s="277">
        <v>33</v>
      </c>
      <c r="F26" s="277">
        <v>161</v>
      </c>
      <c r="G26" s="277">
        <v>174</v>
      </c>
      <c r="H26" s="277">
        <v>123</v>
      </c>
      <c r="I26" s="277">
        <v>0</v>
      </c>
      <c r="J26" s="277">
        <v>0</v>
      </c>
      <c r="K26" s="277">
        <v>0</v>
      </c>
      <c r="L26" s="277">
        <v>0</v>
      </c>
      <c r="M26" s="277">
        <v>0</v>
      </c>
      <c r="N26" s="277">
        <v>0</v>
      </c>
      <c r="O26" s="277">
        <v>0</v>
      </c>
      <c r="P26" s="277">
        <v>0</v>
      </c>
      <c r="Q26" s="277">
        <v>0</v>
      </c>
      <c r="R26" s="287">
        <f>'UAL KPI'!R26</f>
        <v>15.659815203267645</v>
      </c>
      <c r="S26" s="287">
        <f>'UAL KPI'!S26</f>
        <v>41.841259779323153</v>
      </c>
      <c r="T26" s="287">
        <f>'UAL KPI'!T26</f>
        <v>28.857660210432076</v>
      </c>
      <c r="V26" s="277">
        <v>349</v>
      </c>
      <c r="W26" s="277">
        <v>334</v>
      </c>
      <c r="X26" s="255">
        <f t="shared" si="14"/>
        <v>491</v>
      </c>
      <c r="Y26" s="255">
        <f t="shared" si="14"/>
        <v>0</v>
      </c>
      <c r="Z26" s="255">
        <f t="shared" si="14"/>
        <v>0</v>
      </c>
      <c r="AA26" s="255">
        <f t="shared" si="14"/>
        <v>86.358735193022866</v>
      </c>
      <c r="AB26" s="287">
        <f>'UAL KPI'!AB26</f>
        <v>279.08278767017941</v>
      </c>
      <c r="AC26" s="287">
        <f>'UAL KPI'!AC26</f>
        <v>447.17466207366988</v>
      </c>
      <c r="AD26" s="287">
        <f>'UAL KPI'!AD26</f>
        <v>393.97380336980683</v>
      </c>
    </row>
    <row r="27" spans="3:30" ht="11.25" customHeight="1">
      <c r="C27" s="253" t="s">
        <v>295</v>
      </c>
      <c r="E27" s="277">
        <v>18</v>
      </c>
      <c r="F27" s="277">
        <v>71</v>
      </c>
      <c r="G27" s="277">
        <v>27</v>
      </c>
      <c r="H27" s="277">
        <v>130</v>
      </c>
      <c r="I27" s="277">
        <v>63</v>
      </c>
      <c r="J27" s="277">
        <v>-1449</v>
      </c>
      <c r="K27" s="277">
        <v>-1081</v>
      </c>
      <c r="L27" s="277">
        <v>-149</v>
      </c>
      <c r="M27" s="277">
        <v>-1377</v>
      </c>
      <c r="N27" s="277">
        <v>-948</v>
      </c>
      <c r="O27" s="277">
        <v>-1098</v>
      </c>
      <c r="P27" s="277">
        <v>56</v>
      </c>
      <c r="Q27" s="277">
        <v>-8</v>
      </c>
      <c r="R27" s="277">
        <v>0</v>
      </c>
      <c r="S27" s="277">
        <v>0</v>
      </c>
      <c r="T27" s="277">
        <v>0</v>
      </c>
      <c r="V27" s="277">
        <v>176</v>
      </c>
      <c r="W27" s="277">
        <v>487</v>
      </c>
      <c r="X27" s="255">
        <f t="shared" si="14"/>
        <v>246</v>
      </c>
      <c r="Y27" s="255">
        <f t="shared" si="14"/>
        <v>-2616</v>
      </c>
      <c r="Z27" s="255">
        <f t="shared" si="14"/>
        <v>-3367</v>
      </c>
      <c r="AA27" s="255">
        <f t="shared" si="14"/>
        <v>-8</v>
      </c>
      <c r="AB27" s="277">
        <v>0</v>
      </c>
      <c r="AC27" s="277">
        <v>0</v>
      </c>
      <c r="AD27" s="277">
        <v>0</v>
      </c>
    </row>
    <row r="28" spans="3:30" ht="11.25" customHeight="1">
      <c r="C28" s="289" t="s">
        <v>297</v>
      </c>
      <c r="E28" s="358">
        <f t="shared" ref="E28:T28" si="15">E22-SUM(E24:E27)</f>
        <v>495</v>
      </c>
      <c r="F28" s="358">
        <f t="shared" si="15"/>
        <v>1472</v>
      </c>
      <c r="G28" s="358">
        <f t="shared" si="15"/>
        <v>1473</v>
      </c>
      <c r="H28" s="358">
        <f t="shared" si="15"/>
        <v>861</v>
      </c>
      <c r="I28" s="358">
        <f t="shared" si="15"/>
        <v>-972</v>
      </c>
      <c r="J28" s="358">
        <f t="shared" si="15"/>
        <v>-1637</v>
      </c>
      <c r="K28" s="358">
        <f t="shared" si="15"/>
        <v>-1615</v>
      </c>
      <c r="L28" s="358">
        <f t="shared" si="15"/>
        <v>-2135</v>
      </c>
      <c r="M28" s="358">
        <f t="shared" si="15"/>
        <v>-1381</v>
      </c>
      <c r="N28" s="358">
        <f t="shared" si="15"/>
        <v>-270</v>
      </c>
      <c r="O28" s="358">
        <f t="shared" si="15"/>
        <v>1037</v>
      </c>
      <c r="P28" s="358">
        <f t="shared" si="15"/>
        <v>-408</v>
      </c>
      <c r="Q28" s="358">
        <f>Q22-SUM(Q24:Q27)</f>
        <v>-1376</v>
      </c>
      <c r="R28" s="358">
        <f t="shared" si="15"/>
        <v>137.08787483757897</v>
      </c>
      <c r="S28" s="358">
        <f t="shared" si="15"/>
        <v>449.50782079554938</v>
      </c>
      <c r="T28" s="358">
        <f t="shared" si="15"/>
        <v>298.52975908663575</v>
      </c>
      <c r="V28" s="358">
        <f t="shared" ref="V28:AD28" si="16">V22-SUM(V24:V27)</f>
        <v>3618</v>
      </c>
      <c r="W28" s="358">
        <f t="shared" si="16"/>
        <v>3229</v>
      </c>
      <c r="X28" s="358">
        <f t="shared" si="16"/>
        <v>4301</v>
      </c>
      <c r="Y28" s="358">
        <f t="shared" si="16"/>
        <v>-6359</v>
      </c>
      <c r="Z28" s="358">
        <f t="shared" si="16"/>
        <v>-1022</v>
      </c>
      <c r="AA28" s="358">
        <f t="shared" si="16"/>
        <v>-490.87454528023591</v>
      </c>
      <c r="AB28" s="358">
        <f t="shared" si="16"/>
        <v>3070.7853915403939</v>
      </c>
      <c r="AC28" s="358">
        <f t="shared" si="16"/>
        <v>4675.0370485969506</v>
      </c>
      <c r="AD28" s="358">
        <f t="shared" si="16"/>
        <v>4392.0320720861109</v>
      </c>
    </row>
    <row r="29" spans="3:30" ht="11.25" customHeight="1">
      <c r="C29" s="289"/>
      <c r="E29" s="255"/>
      <c r="F29" s="255"/>
      <c r="G29" s="255"/>
      <c r="H29" s="255"/>
      <c r="I29" s="255"/>
      <c r="J29" s="255"/>
      <c r="K29" s="255"/>
      <c r="L29" s="255"/>
      <c r="M29" s="255"/>
      <c r="N29" s="255"/>
      <c r="O29" s="255"/>
      <c r="P29" s="255"/>
      <c r="Q29" s="255"/>
      <c r="V29" s="255"/>
      <c r="W29" s="255"/>
      <c r="X29" s="255"/>
      <c r="Y29" s="255"/>
      <c r="Z29" s="255"/>
      <c r="AA29" s="255"/>
    </row>
    <row r="30" spans="3:30" ht="11.25" customHeight="1">
      <c r="C30" s="253" t="s">
        <v>298</v>
      </c>
      <c r="E30" s="277">
        <v>188</v>
      </c>
      <c r="F30" s="277">
        <v>191</v>
      </c>
      <c r="G30" s="277">
        <v>191</v>
      </c>
      <c r="H30" s="277">
        <v>161</v>
      </c>
      <c r="I30" s="277">
        <v>171</v>
      </c>
      <c r="J30" s="277">
        <v>196</v>
      </c>
      <c r="K30" s="277">
        <v>345</v>
      </c>
      <c r="L30" s="277">
        <v>351</v>
      </c>
      <c r="M30" s="277">
        <v>353</v>
      </c>
      <c r="N30" s="277">
        <v>426</v>
      </c>
      <c r="O30" s="277">
        <v>449</v>
      </c>
      <c r="P30" s="277">
        <v>429</v>
      </c>
      <c r="Q30" s="277">
        <v>424</v>
      </c>
      <c r="R30" s="254">
        <f ca="1">R85</f>
        <v>337.23713837589924</v>
      </c>
      <c r="S30" s="254">
        <f ca="1">S85</f>
        <v>344.65161278956839</v>
      </c>
      <c r="T30" s="254">
        <f ca="1">T85</f>
        <v>352.20988666366901</v>
      </c>
      <c r="V30" s="277">
        <v>626</v>
      </c>
      <c r="W30" s="277">
        <v>670</v>
      </c>
      <c r="X30" s="255">
        <f t="shared" ref="X30:AA34" si="17">SUMIF($E$5:$T$5,X$5,$E30:$T30)</f>
        <v>731</v>
      </c>
      <c r="Y30" s="255">
        <f t="shared" si="17"/>
        <v>1063</v>
      </c>
      <c r="Z30" s="255">
        <f t="shared" si="17"/>
        <v>1657</v>
      </c>
      <c r="AA30" s="255">
        <f t="shared" ca="1" si="17"/>
        <v>1458.0986378291366</v>
      </c>
      <c r="AB30" s="254">
        <f ca="1">AB85</f>
        <v>1501.6765299999997</v>
      </c>
      <c r="AC30" s="254">
        <f ca="1">AC85</f>
        <v>1575.5263940000004</v>
      </c>
      <c r="AD30" s="254">
        <f ca="1">AD85</f>
        <v>1576.3843830000001</v>
      </c>
    </row>
    <row r="31" spans="3:30" ht="11.25" customHeight="1">
      <c r="C31" s="253" t="s">
        <v>299</v>
      </c>
      <c r="E31" s="277">
        <v>-22</v>
      </c>
      <c r="F31" s="277">
        <v>-21</v>
      </c>
      <c r="G31" s="277">
        <v>-22</v>
      </c>
      <c r="H31" s="277">
        <v>-20</v>
      </c>
      <c r="I31" s="277">
        <v>-21</v>
      </c>
      <c r="J31" s="277">
        <v>-17</v>
      </c>
      <c r="K31" s="277">
        <v>-16</v>
      </c>
      <c r="L31" s="277">
        <v>-17</v>
      </c>
      <c r="M31" s="277">
        <v>-17</v>
      </c>
      <c r="N31" s="277">
        <v>-22</v>
      </c>
      <c r="O31" s="277">
        <v>-18</v>
      </c>
      <c r="P31" s="277">
        <v>-23</v>
      </c>
      <c r="Q31" s="277">
        <v>-24</v>
      </c>
      <c r="R31" s="255">
        <v>0</v>
      </c>
      <c r="S31" s="255">
        <v>0</v>
      </c>
      <c r="T31" s="255">
        <v>0</v>
      </c>
      <c r="V31" s="277">
        <v>-74</v>
      </c>
      <c r="W31" s="277">
        <v>-65</v>
      </c>
      <c r="X31" s="255">
        <f t="shared" si="17"/>
        <v>-85</v>
      </c>
      <c r="Y31" s="255">
        <f t="shared" si="17"/>
        <v>-71</v>
      </c>
      <c r="Z31" s="255">
        <f t="shared" si="17"/>
        <v>-80</v>
      </c>
      <c r="AA31" s="255">
        <f t="shared" si="17"/>
        <v>-24</v>
      </c>
      <c r="AB31" s="255">
        <v>0</v>
      </c>
      <c r="AC31" s="255">
        <v>0</v>
      </c>
      <c r="AD31" s="255">
        <v>0</v>
      </c>
    </row>
    <row r="32" spans="3:30" ht="11.25" customHeight="1">
      <c r="C32" s="253" t="s">
        <v>300</v>
      </c>
      <c r="E32" s="277">
        <v>-29</v>
      </c>
      <c r="F32" s="277">
        <v>-38</v>
      </c>
      <c r="G32" s="277">
        <v>-36</v>
      </c>
      <c r="H32" s="277">
        <v>-30</v>
      </c>
      <c r="I32" s="277">
        <v>-26</v>
      </c>
      <c r="J32" s="277">
        <v>-11</v>
      </c>
      <c r="K32" s="277">
        <v>-8</v>
      </c>
      <c r="L32" s="277">
        <v>-5</v>
      </c>
      <c r="M32" s="277">
        <v>-7</v>
      </c>
      <c r="N32" s="277">
        <v>-12</v>
      </c>
      <c r="O32" s="277">
        <v>-11</v>
      </c>
      <c r="P32" s="277">
        <v>-6</v>
      </c>
      <c r="Q32" s="277">
        <v>-5</v>
      </c>
      <c r="R32" s="287">
        <f ca="1">'UAL KPI'!R35</f>
        <v>-5.9754536850134805</v>
      </c>
      <c r="S32" s="287">
        <f ca="1">'UAL KPI'!S35</f>
        <v>-6.0659732625845741</v>
      </c>
      <c r="T32" s="287">
        <f ca="1">'UAL KPI'!T35</f>
        <v>-5.6651448964701601</v>
      </c>
      <c r="V32" s="277">
        <v>-57</v>
      </c>
      <c r="W32" s="277">
        <v>-101</v>
      </c>
      <c r="X32" s="255">
        <f t="shared" si="17"/>
        <v>-133</v>
      </c>
      <c r="Y32" s="255">
        <f t="shared" si="17"/>
        <v>-50</v>
      </c>
      <c r="Z32" s="255">
        <f t="shared" si="17"/>
        <v>-36</v>
      </c>
      <c r="AA32" s="255">
        <f t="shared" ca="1" si="17"/>
        <v>-22.706571844068215</v>
      </c>
      <c r="AB32" s="287">
        <f ca="1">'UAL KPI'!AB35</f>
        <v>-25.710235152025234</v>
      </c>
      <c r="AC32" s="287">
        <f ca="1">'UAL KPI'!AC35</f>
        <v>-32.114839782366055</v>
      </c>
      <c r="AD32" s="287">
        <f ca="1">'UAL KPI'!AD35</f>
        <v>-40.242557311552481</v>
      </c>
    </row>
    <row r="33" spans="2:30" ht="11.25" customHeight="1">
      <c r="C33" s="253" t="s">
        <v>306</v>
      </c>
      <c r="E33" s="277">
        <v>-17</v>
      </c>
      <c r="F33" s="277">
        <v>-34</v>
      </c>
      <c r="G33" s="277">
        <v>-21</v>
      </c>
      <c r="H33" s="277">
        <v>-81</v>
      </c>
      <c r="I33" s="277">
        <v>319</v>
      </c>
      <c r="J33" s="277">
        <v>-9</v>
      </c>
      <c r="K33" s="277">
        <v>-15</v>
      </c>
      <c r="L33" s="277">
        <v>-101</v>
      </c>
      <c r="M33" s="277">
        <v>22</v>
      </c>
      <c r="N33" s="277">
        <v>-147</v>
      </c>
      <c r="O33" s="277">
        <v>34</v>
      </c>
      <c r="P33" s="277">
        <v>125</v>
      </c>
      <c r="Q33" s="277">
        <v>0</v>
      </c>
      <c r="R33" s="255">
        <v>0</v>
      </c>
      <c r="S33" s="255">
        <v>0</v>
      </c>
      <c r="T33" s="255">
        <v>0</v>
      </c>
      <c r="V33" s="277">
        <v>0</v>
      </c>
      <c r="W33" s="277">
        <v>5</v>
      </c>
      <c r="X33" s="255">
        <f t="shared" si="17"/>
        <v>-153</v>
      </c>
      <c r="Y33" s="255">
        <f t="shared" si="17"/>
        <v>194</v>
      </c>
      <c r="Z33" s="255">
        <f t="shared" si="17"/>
        <v>34</v>
      </c>
      <c r="AA33" s="255">
        <f t="shared" si="17"/>
        <v>0</v>
      </c>
      <c r="AB33" s="255">
        <v>0</v>
      </c>
      <c r="AC33" s="255">
        <v>0</v>
      </c>
      <c r="AD33" s="255">
        <v>0</v>
      </c>
    </row>
    <row r="34" spans="2:30" ht="11.25" customHeight="1">
      <c r="C34" s="253" t="s">
        <v>301</v>
      </c>
      <c r="E34" s="277">
        <v>8</v>
      </c>
      <c r="F34" s="277">
        <v>20</v>
      </c>
      <c r="G34" s="277">
        <v>12</v>
      </c>
      <c r="H34" s="277">
        <v>-13</v>
      </c>
      <c r="I34" s="277">
        <v>699</v>
      </c>
      <c r="J34" s="277">
        <v>207</v>
      </c>
      <c r="K34" s="277">
        <v>411</v>
      </c>
      <c r="L34" s="277">
        <v>10</v>
      </c>
      <c r="M34" s="277">
        <v>19</v>
      </c>
      <c r="N34" s="277">
        <v>49</v>
      </c>
      <c r="O34" s="277">
        <v>-20</v>
      </c>
      <c r="P34" s="277">
        <v>-88</v>
      </c>
      <c r="Q34" s="277">
        <v>-19</v>
      </c>
      <c r="R34" s="277">
        <v>0</v>
      </c>
      <c r="S34" s="277">
        <v>0</v>
      </c>
      <c r="T34" s="277">
        <v>0</v>
      </c>
      <c r="V34" s="277">
        <v>100</v>
      </c>
      <c r="W34" s="277">
        <v>72</v>
      </c>
      <c r="X34" s="255">
        <f t="shared" si="17"/>
        <v>27</v>
      </c>
      <c r="Y34" s="255">
        <f t="shared" si="17"/>
        <v>1327</v>
      </c>
      <c r="Z34" s="255">
        <f t="shared" si="17"/>
        <v>-40</v>
      </c>
      <c r="AA34" s="255">
        <f t="shared" si="17"/>
        <v>-19</v>
      </c>
      <c r="AB34" s="277">
        <v>0</v>
      </c>
      <c r="AC34" s="277">
        <v>0</v>
      </c>
      <c r="AD34" s="277">
        <v>0</v>
      </c>
    </row>
    <row r="35" spans="2:30" ht="11.25" customHeight="1">
      <c r="C35" s="289" t="s">
        <v>302</v>
      </c>
      <c r="E35" s="358">
        <f t="shared" ref="E35:T35" si="18">E28-SUM(E30:E34)</f>
        <v>367</v>
      </c>
      <c r="F35" s="358">
        <f t="shared" si="18"/>
        <v>1354</v>
      </c>
      <c r="G35" s="358">
        <f t="shared" si="18"/>
        <v>1349</v>
      </c>
      <c r="H35" s="358">
        <f t="shared" si="18"/>
        <v>844</v>
      </c>
      <c r="I35" s="358">
        <f t="shared" si="18"/>
        <v>-2114</v>
      </c>
      <c r="J35" s="358">
        <f t="shared" si="18"/>
        <v>-2003</v>
      </c>
      <c r="K35" s="358">
        <f t="shared" si="18"/>
        <v>-2332</v>
      </c>
      <c r="L35" s="358">
        <f t="shared" si="18"/>
        <v>-2373</v>
      </c>
      <c r="M35" s="358">
        <f t="shared" si="18"/>
        <v>-1751</v>
      </c>
      <c r="N35" s="358">
        <f t="shared" si="18"/>
        <v>-564</v>
      </c>
      <c r="O35" s="358">
        <f t="shared" si="18"/>
        <v>603</v>
      </c>
      <c r="P35" s="358">
        <f t="shared" si="18"/>
        <v>-845</v>
      </c>
      <c r="Q35" s="358">
        <f>Q28-SUM(Q30:Q34)</f>
        <v>-1752</v>
      </c>
      <c r="R35" s="358">
        <f t="shared" ca="1" si="18"/>
        <v>-194.17380985330681</v>
      </c>
      <c r="S35" s="358">
        <f t="shared" ca="1" si="18"/>
        <v>110.92218126856557</v>
      </c>
      <c r="T35" s="358">
        <f t="shared" ca="1" si="18"/>
        <v>-48.014982680563094</v>
      </c>
      <c r="V35" s="358">
        <f t="shared" ref="V35:AD35" si="19">V28-SUM(V30:V34)</f>
        <v>3023</v>
      </c>
      <c r="W35" s="358">
        <f t="shared" si="19"/>
        <v>2648</v>
      </c>
      <c r="X35" s="358">
        <f t="shared" si="19"/>
        <v>3914</v>
      </c>
      <c r="Y35" s="358">
        <f t="shared" si="19"/>
        <v>-8822</v>
      </c>
      <c r="Z35" s="358">
        <f t="shared" si="19"/>
        <v>-2557</v>
      </c>
      <c r="AA35" s="358">
        <f t="shared" ca="1" si="19"/>
        <v>-1883.2666112653042</v>
      </c>
      <c r="AB35" s="358">
        <f t="shared" ca="1" si="19"/>
        <v>1594.8190966924194</v>
      </c>
      <c r="AC35" s="358">
        <f t="shared" ca="1" si="19"/>
        <v>3131.6254943793165</v>
      </c>
      <c r="AD35" s="358">
        <f t="shared" ca="1" si="19"/>
        <v>2855.8902463976633</v>
      </c>
    </row>
    <row r="36" spans="2:30" ht="11.25" customHeight="1">
      <c r="C36" s="289"/>
      <c r="E36" s="283"/>
      <c r="F36" s="283"/>
      <c r="G36" s="283"/>
      <c r="H36" s="283"/>
      <c r="I36" s="283"/>
      <c r="J36" s="283"/>
      <c r="K36" s="283"/>
      <c r="L36" s="283"/>
      <c r="M36" s="283"/>
      <c r="N36" s="283"/>
      <c r="O36" s="283"/>
      <c r="P36" s="283"/>
      <c r="Q36" s="283"/>
      <c r="V36" s="283"/>
      <c r="W36" s="283"/>
      <c r="X36" s="255"/>
      <c r="Y36" s="255"/>
      <c r="Z36" s="255"/>
      <c r="AA36" s="255"/>
    </row>
    <row r="37" spans="2:30" ht="11.25" customHeight="1">
      <c r="C37" s="253" t="s">
        <v>303</v>
      </c>
      <c r="E37" s="277">
        <v>75</v>
      </c>
      <c r="F37" s="277">
        <v>302</v>
      </c>
      <c r="G37" s="277">
        <v>325</v>
      </c>
      <c r="H37" s="277">
        <v>203</v>
      </c>
      <c r="I37" s="277">
        <v>-409</v>
      </c>
      <c r="J37" s="277">
        <v>-376</v>
      </c>
      <c r="K37" s="277">
        <v>-491</v>
      </c>
      <c r="L37" s="277">
        <v>-476</v>
      </c>
      <c r="M37" s="277">
        <v>-394</v>
      </c>
      <c r="N37" s="277">
        <v>-130</v>
      </c>
      <c r="O37" s="277">
        <v>130</v>
      </c>
      <c r="P37" s="277">
        <v>-199</v>
      </c>
      <c r="Q37" s="277">
        <v>-375</v>
      </c>
      <c r="R37" s="254">
        <f ca="1">R98</f>
        <v>0</v>
      </c>
      <c r="S37" s="254">
        <f ca="1">S98</f>
        <v>0</v>
      </c>
      <c r="T37" s="254">
        <f ca="1">T98</f>
        <v>0</v>
      </c>
      <c r="V37" s="277">
        <v>880</v>
      </c>
      <c r="W37" s="277">
        <v>526</v>
      </c>
      <c r="X37" s="255">
        <f>SUMIF($E$5:$T$5,X$5,$E37:$T37)</f>
        <v>905</v>
      </c>
      <c r="Y37" s="255">
        <f>SUMIF($E$5:$T$5,Y$5,$E37:$T37)</f>
        <v>-1752</v>
      </c>
      <c r="Z37" s="255">
        <f>SUMIF($E$5:$T$5,Z$5,$E37:$T37)</f>
        <v>-593</v>
      </c>
      <c r="AA37" s="255">
        <f ca="1">SUMIF($E$5:$T$5,AA$5,$E37:$T37)</f>
        <v>-375</v>
      </c>
      <c r="AB37" s="287">
        <f ca="1">'UAL KPI'!AB38</f>
        <v>0</v>
      </c>
      <c r="AC37" s="287">
        <f ca="1">'UAL KPI'!AC38</f>
        <v>0</v>
      </c>
      <c r="AD37" s="287">
        <f ca="1">'UAL KPI'!AD38</f>
        <v>0</v>
      </c>
    </row>
    <row r="38" spans="2:30" ht="11.25" customHeight="1">
      <c r="C38" s="289" t="s">
        <v>304</v>
      </c>
      <c r="E38" s="358">
        <f t="shared" ref="E38:T38" si="20">E35-E37</f>
        <v>292</v>
      </c>
      <c r="F38" s="358">
        <f t="shared" si="20"/>
        <v>1052</v>
      </c>
      <c r="G38" s="358">
        <f t="shared" si="20"/>
        <v>1024</v>
      </c>
      <c r="H38" s="358">
        <f t="shared" si="20"/>
        <v>641</v>
      </c>
      <c r="I38" s="358">
        <f t="shared" si="20"/>
        <v>-1705</v>
      </c>
      <c r="J38" s="358">
        <f t="shared" si="20"/>
        <v>-1627</v>
      </c>
      <c r="K38" s="358">
        <f t="shared" si="20"/>
        <v>-1841</v>
      </c>
      <c r="L38" s="358">
        <f t="shared" si="20"/>
        <v>-1897</v>
      </c>
      <c r="M38" s="358">
        <f t="shared" si="20"/>
        <v>-1357</v>
      </c>
      <c r="N38" s="358">
        <f t="shared" si="20"/>
        <v>-434</v>
      </c>
      <c r="O38" s="358">
        <f t="shared" si="20"/>
        <v>473</v>
      </c>
      <c r="P38" s="358">
        <f t="shared" si="20"/>
        <v>-646</v>
      </c>
      <c r="Q38" s="358">
        <f>Q35-Q37</f>
        <v>-1377</v>
      </c>
      <c r="R38" s="358">
        <f t="shared" ca="1" si="20"/>
        <v>-194.17380985330681</v>
      </c>
      <c r="S38" s="358">
        <f t="shared" ca="1" si="20"/>
        <v>110.92218126856557</v>
      </c>
      <c r="T38" s="358">
        <f t="shared" ca="1" si="20"/>
        <v>-48.014982680563094</v>
      </c>
      <c r="V38" s="358">
        <f t="shared" ref="V38:AD38" si="21">V35-V37</f>
        <v>2143</v>
      </c>
      <c r="W38" s="358">
        <f t="shared" si="21"/>
        <v>2122</v>
      </c>
      <c r="X38" s="358">
        <f t="shared" si="21"/>
        <v>3009</v>
      </c>
      <c r="Y38" s="358">
        <f t="shared" si="21"/>
        <v>-7070</v>
      </c>
      <c r="Z38" s="358">
        <f t="shared" si="21"/>
        <v>-1964</v>
      </c>
      <c r="AA38" s="358">
        <f t="shared" ca="1" si="21"/>
        <v>-1508.2666112653042</v>
      </c>
      <c r="AB38" s="358">
        <f t="shared" ca="1" si="21"/>
        <v>1594.8190966924194</v>
      </c>
      <c r="AC38" s="358">
        <f t="shared" ca="1" si="21"/>
        <v>3131.6254943793165</v>
      </c>
      <c r="AD38" s="358">
        <f t="shared" ca="1" si="21"/>
        <v>2855.8902463976633</v>
      </c>
    </row>
    <row r="39" spans="2:30" ht="11.25" customHeight="1">
      <c r="E39" s="255"/>
      <c r="F39" s="255"/>
      <c r="G39" s="255"/>
      <c r="H39" s="255"/>
      <c r="I39" s="255"/>
      <c r="J39" s="255"/>
      <c r="K39" s="255"/>
      <c r="L39" s="255"/>
      <c r="M39" s="255"/>
      <c r="N39" s="255"/>
      <c r="O39" s="255"/>
      <c r="P39" s="255"/>
      <c r="Q39" s="255"/>
    </row>
    <row r="40" spans="2:30" ht="11.25" customHeight="1">
      <c r="C40" s="253" t="s">
        <v>484</v>
      </c>
      <c r="E40" s="421">
        <f t="shared" ref="E40:T40" si="22">E$38/E43</f>
        <v>1.0936329588014981</v>
      </c>
      <c r="F40" s="421">
        <f t="shared" si="22"/>
        <v>4.0337423312883436</v>
      </c>
      <c r="G40" s="421">
        <f t="shared" si="22"/>
        <v>4.0109674892283582</v>
      </c>
      <c r="H40" s="421">
        <f t="shared" si="22"/>
        <v>2.5295974743488556</v>
      </c>
      <c r="I40" s="421">
        <f t="shared" si="22"/>
        <v>-6.8611670020120723</v>
      </c>
      <c r="J40" s="421">
        <f t="shared" si="22"/>
        <v>-5.7962237263982903</v>
      </c>
      <c r="K40" s="421">
        <f t="shared" si="22"/>
        <v>-6.3264604810996561</v>
      </c>
      <c r="L40" s="421">
        <f t="shared" si="22"/>
        <v>-6.3872053872053876</v>
      </c>
      <c r="M40" s="421">
        <f t="shared" si="22"/>
        <v>-4.2861655085281107</v>
      </c>
      <c r="N40" s="421">
        <f t="shared" si="22"/>
        <v>-1.3411619283065512</v>
      </c>
      <c r="O40" s="421">
        <f t="shared" si="22"/>
        <v>1.4612295335186902</v>
      </c>
      <c r="P40" s="421">
        <f t="shared" si="22"/>
        <v>-1.9950586781964175</v>
      </c>
      <c r="Q40" s="421">
        <f>Q$38/Q43</f>
        <v>-4.2369230769230768</v>
      </c>
      <c r="R40" s="421">
        <f t="shared" ca="1" si="22"/>
        <v>-0.59745787647171322</v>
      </c>
      <c r="S40" s="421">
        <f t="shared" ca="1" si="22"/>
        <v>0.34129901928789402</v>
      </c>
      <c r="T40" s="421">
        <f t="shared" ca="1" si="22"/>
        <v>-0.14773840824788645</v>
      </c>
      <c r="V40" s="421">
        <f t="shared" ref="V40:AD40" si="23">V$38/V43</f>
        <v>7.0796167822926996</v>
      </c>
      <c r="W40" s="421">
        <f t="shared" si="23"/>
        <v>7.702359346642468</v>
      </c>
      <c r="X40" s="421">
        <f t="shared" si="23"/>
        <v>11.626738794435857</v>
      </c>
      <c r="Y40" s="421">
        <f t="shared" si="23"/>
        <v>-25.304223335719399</v>
      </c>
      <c r="Z40" s="421">
        <f t="shared" si="23"/>
        <v>-6.1012736874805844</v>
      </c>
      <c r="AA40" s="421">
        <f t="shared" ca="1" si="23"/>
        <v>-4.6408203423547825</v>
      </c>
      <c r="AB40" s="421">
        <f t="shared" ca="1" si="23"/>
        <v>4.9071356821305212</v>
      </c>
      <c r="AC40" s="421">
        <f t="shared" ca="1" si="23"/>
        <v>9.6357707519363576</v>
      </c>
      <c r="AD40" s="421">
        <f t="shared" ca="1" si="23"/>
        <v>8.7873546043005017</v>
      </c>
    </row>
    <row r="41" spans="2:30" ht="11.25" customHeight="1">
      <c r="C41" s="253" t="s">
        <v>485</v>
      </c>
      <c r="E41" s="421">
        <f t="shared" ref="E41:T41" si="24">E$38/E44</f>
        <v>1.0883339545285129</v>
      </c>
      <c r="F41" s="421">
        <f t="shared" si="24"/>
        <v>4.0214067278287455</v>
      </c>
      <c r="G41" s="421">
        <f t="shared" si="24"/>
        <v>3.9937597503900157</v>
      </c>
      <c r="H41" s="421">
        <f t="shared" si="24"/>
        <v>2.5295974743488556</v>
      </c>
      <c r="I41" s="421">
        <f t="shared" si="24"/>
        <v>-6.8611670020120723</v>
      </c>
      <c r="J41" s="421">
        <f t="shared" si="24"/>
        <v>-5.7962237263982903</v>
      </c>
      <c r="K41" s="421">
        <f t="shared" si="24"/>
        <v>-6.3264604810996561</v>
      </c>
      <c r="L41" s="421">
        <f t="shared" si="24"/>
        <v>-6.3872053872053876</v>
      </c>
      <c r="M41" s="421">
        <f t="shared" si="24"/>
        <v>-4.2861655085281107</v>
      </c>
      <c r="N41" s="421">
        <f t="shared" si="24"/>
        <v>-1.3411619283065512</v>
      </c>
      <c r="O41" s="421">
        <f t="shared" si="24"/>
        <v>1.4376899696048633</v>
      </c>
      <c r="P41" s="421">
        <f t="shared" si="24"/>
        <v>-1.9950586781964175</v>
      </c>
      <c r="Q41" s="421">
        <f>Q$38/Q44</f>
        <v>-4.2369230769230768</v>
      </c>
      <c r="R41" s="421">
        <f t="shared" ca="1" si="24"/>
        <v>-0.59745787647171322</v>
      </c>
      <c r="S41" s="421">
        <f t="shared" ca="1" si="24"/>
        <v>0.34129901928789402</v>
      </c>
      <c r="T41" s="421">
        <f t="shared" ca="1" si="24"/>
        <v>-0.14773840824788645</v>
      </c>
      <c r="V41" s="421">
        <f t="shared" ref="V41:AD41" si="25">V$38/V44</f>
        <v>7.0586297760210801</v>
      </c>
      <c r="W41" s="421">
        <f t="shared" si="25"/>
        <v>7.6689555475243951</v>
      </c>
      <c r="X41" s="421">
        <f t="shared" si="25"/>
        <v>11.577529819161217</v>
      </c>
      <c r="Y41" s="421">
        <f t="shared" si="25"/>
        <v>-25.304223335719399</v>
      </c>
      <c r="Z41" s="421">
        <f t="shared" si="25"/>
        <v>-6.1012736874805844</v>
      </c>
      <c r="AA41" s="421">
        <f t="shared" ca="1" si="25"/>
        <v>-4.6408203423547825</v>
      </c>
      <c r="AB41" s="421">
        <f t="shared" ca="1" si="25"/>
        <v>4.9071356821305212</v>
      </c>
      <c r="AC41" s="421">
        <f t="shared" ca="1" si="25"/>
        <v>9.6357707519363576</v>
      </c>
      <c r="AD41" s="421">
        <f t="shared" ca="1" si="25"/>
        <v>8.7873546043005017</v>
      </c>
    </row>
    <row r="43" spans="2:30" ht="11.25" customHeight="1">
      <c r="C43" s="253" t="s">
        <v>482</v>
      </c>
      <c r="E43" s="277">
        <v>267</v>
      </c>
      <c r="F43" s="277">
        <v>260.8</v>
      </c>
      <c r="G43" s="277">
        <v>255.3</v>
      </c>
      <c r="H43" s="277">
        <v>253.4</v>
      </c>
      <c r="I43" s="277">
        <v>248.5</v>
      </c>
      <c r="J43" s="277">
        <v>280.7</v>
      </c>
      <c r="K43" s="277">
        <v>291</v>
      </c>
      <c r="L43" s="277">
        <v>297</v>
      </c>
      <c r="M43" s="277">
        <v>316.60000000000002</v>
      </c>
      <c r="N43" s="277">
        <v>323.60000000000002</v>
      </c>
      <c r="O43" s="277">
        <v>323.7</v>
      </c>
      <c r="P43" s="277">
        <v>323.8</v>
      </c>
      <c r="Q43" s="277">
        <v>325</v>
      </c>
      <c r="R43" s="422">
        <f t="shared" ref="R43:T44" si="26">Q43</f>
        <v>325</v>
      </c>
      <c r="S43" s="422">
        <f t="shared" si="26"/>
        <v>325</v>
      </c>
      <c r="T43" s="422">
        <f t="shared" si="26"/>
        <v>325</v>
      </c>
      <c r="U43" s="277"/>
      <c r="V43" s="277">
        <v>302.7</v>
      </c>
      <c r="W43" s="277">
        <v>275.5</v>
      </c>
      <c r="X43" s="277">
        <v>258.8</v>
      </c>
      <c r="Y43" s="277">
        <v>279.39999999999998</v>
      </c>
      <c r="Z43" s="277">
        <v>321.89999999999998</v>
      </c>
      <c r="AA43" s="255">
        <f>AVERAGEIF($E$5:$T$5,AA$5,$E43:$T43)</f>
        <v>325</v>
      </c>
      <c r="AB43" s="422">
        <f t="shared" ref="AB43:AD44" si="27">AA43</f>
        <v>325</v>
      </c>
      <c r="AC43" s="422">
        <f t="shared" si="27"/>
        <v>325</v>
      </c>
      <c r="AD43" s="422">
        <f t="shared" si="27"/>
        <v>325</v>
      </c>
    </row>
    <row r="44" spans="2:30" ht="11.25" customHeight="1">
      <c r="C44" s="253" t="s">
        <v>483</v>
      </c>
      <c r="E44" s="277">
        <v>268.3</v>
      </c>
      <c r="F44" s="277">
        <v>261.60000000000002</v>
      </c>
      <c r="G44" s="277">
        <v>256.39999999999998</v>
      </c>
      <c r="H44" s="277">
        <v>253.4</v>
      </c>
      <c r="I44" s="277">
        <v>248.5</v>
      </c>
      <c r="J44" s="277">
        <v>280.7</v>
      </c>
      <c r="K44" s="277">
        <v>291</v>
      </c>
      <c r="L44" s="277">
        <v>297</v>
      </c>
      <c r="M44" s="277">
        <v>316.60000000000002</v>
      </c>
      <c r="N44" s="277">
        <v>323.60000000000002</v>
      </c>
      <c r="O44" s="277">
        <v>329</v>
      </c>
      <c r="P44" s="277">
        <v>323.8</v>
      </c>
      <c r="Q44" s="277">
        <v>325</v>
      </c>
      <c r="R44" s="422">
        <f t="shared" si="26"/>
        <v>325</v>
      </c>
      <c r="S44" s="422">
        <f t="shared" si="26"/>
        <v>325</v>
      </c>
      <c r="T44" s="422">
        <f t="shared" si="26"/>
        <v>325</v>
      </c>
      <c r="U44" s="277"/>
      <c r="V44" s="277">
        <v>303.60000000000002</v>
      </c>
      <c r="W44" s="277">
        <v>276.7</v>
      </c>
      <c r="X44" s="277">
        <v>259.89999999999998</v>
      </c>
      <c r="Y44" s="277">
        <v>279.39999999999998</v>
      </c>
      <c r="Z44" s="277">
        <v>321.89999999999998</v>
      </c>
      <c r="AA44" s="255">
        <f>AVERAGEIF($E$5:$T$5,AA$5,$E44:$T44)</f>
        <v>325</v>
      </c>
      <c r="AB44" s="422">
        <f t="shared" si="27"/>
        <v>325</v>
      </c>
      <c r="AC44" s="422">
        <f t="shared" si="27"/>
        <v>325</v>
      </c>
      <c r="AD44" s="422">
        <f t="shared" si="27"/>
        <v>325</v>
      </c>
    </row>
    <row r="46" spans="2:30" s="255" customFormat="1" ht="11.25" customHeight="1">
      <c r="B46" s="258" t="s">
        <v>133</v>
      </c>
      <c r="C46" s="259" t="s">
        <v>356</v>
      </c>
      <c r="D46" s="259"/>
      <c r="E46" s="258"/>
      <c r="F46" s="258"/>
      <c r="G46" s="258"/>
      <c r="H46" s="258"/>
      <c r="I46" s="258"/>
      <c r="J46" s="258"/>
      <c r="K46" s="258"/>
      <c r="L46" s="258"/>
      <c r="M46" s="258"/>
      <c r="N46" s="258"/>
      <c r="O46" s="258"/>
      <c r="P46" s="258"/>
      <c r="Q46" s="258"/>
      <c r="R46" s="258"/>
      <c r="S46" s="258"/>
      <c r="T46" s="258"/>
      <c r="U46" s="280"/>
      <c r="V46" s="258"/>
      <c r="W46" s="258"/>
      <c r="X46" s="258"/>
      <c r="Y46" s="258"/>
      <c r="Z46" s="258"/>
      <c r="AA46" s="258"/>
      <c r="AB46" s="258"/>
      <c r="AC46" s="258"/>
      <c r="AD46" s="258"/>
    </row>
    <row r="48" spans="2:30" ht="11.25" customHeight="1">
      <c r="C48" s="253" t="s">
        <v>304</v>
      </c>
      <c r="E48" s="255">
        <f t="shared" ref="E48:T48" si="28">E38</f>
        <v>292</v>
      </c>
      <c r="F48" s="255">
        <f t="shared" si="28"/>
        <v>1052</v>
      </c>
      <c r="G48" s="255">
        <f t="shared" si="28"/>
        <v>1024</v>
      </c>
      <c r="H48" s="255">
        <f t="shared" si="28"/>
        <v>641</v>
      </c>
      <c r="I48" s="255">
        <f t="shared" si="28"/>
        <v>-1705</v>
      </c>
      <c r="J48" s="255">
        <f t="shared" si="28"/>
        <v>-1627</v>
      </c>
      <c r="K48" s="255">
        <f t="shared" si="28"/>
        <v>-1841</v>
      </c>
      <c r="L48" s="255">
        <f t="shared" si="28"/>
        <v>-1897</v>
      </c>
      <c r="M48" s="255">
        <f t="shared" si="28"/>
        <v>-1357</v>
      </c>
      <c r="N48" s="255">
        <f t="shared" si="28"/>
        <v>-434</v>
      </c>
      <c r="O48" s="255">
        <f t="shared" si="28"/>
        <v>473</v>
      </c>
      <c r="P48" s="255">
        <f t="shared" si="28"/>
        <v>-646</v>
      </c>
      <c r="Q48" s="255">
        <f t="shared" si="28"/>
        <v>-1377</v>
      </c>
      <c r="R48" s="255">
        <f t="shared" ca="1" si="28"/>
        <v>-194.17380985330681</v>
      </c>
      <c r="S48" s="255">
        <f t="shared" ca="1" si="28"/>
        <v>110.92218126856557</v>
      </c>
      <c r="T48" s="255">
        <f t="shared" ca="1" si="28"/>
        <v>-48.014982680563094</v>
      </c>
      <c r="V48" s="255">
        <f>V38</f>
        <v>2143</v>
      </c>
      <c r="W48" s="255">
        <f>W38</f>
        <v>2122</v>
      </c>
      <c r="X48" s="255">
        <f t="shared" ref="X48:AA56" si="29">SUMIF($E$5:$T$5,X$5,$E48:$T48)</f>
        <v>3009</v>
      </c>
      <c r="Y48" s="255">
        <f t="shared" si="29"/>
        <v>-7070</v>
      </c>
      <c r="Z48" s="255">
        <f t="shared" si="29"/>
        <v>-1964</v>
      </c>
      <c r="AA48" s="255">
        <f t="shared" ca="1" si="29"/>
        <v>-1508.2666112653046</v>
      </c>
      <c r="AB48" s="255">
        <f ca="1">AB38</f>
        <v>1594.8190966924194</v>
      </c>
      <c r="AC48" s="255">
        <f ca="1">AC38</f>
        <v>3131.6254943793165</v>
      </c>
      <c r="AD48" s="255">
        <f ca="1">AD38</f>
        <v>2855.8902463976633</v>
      </c>
    </row>
    <row r="49" spans="2:30" ht="11.25" customHeight="1">
      <c r="C49" s="384" t="s">
        <v>454</v>
      </c>
      <c r="E49" s="254">
        <f t="shared" ref="E49:T49" si="30">E37</f>
        <v>75</v>
      </c>
      <c r="F49" s="254">
        <f t="shared" si="30"/>
        <v>302</v>
      </c>
      <c r="G49" s="254">
        <f t="shared" si="30"/>
        <v>325</v>
      </c>
      <c r="H49" s="254">
        <f t="shared" si="30"/>
        <v>203</v>
      </c>
      <c r="I49" s="254">
        <f t="shared" si="30"/>
        <v>-409</v>
      </c>
      <c r="J49" s="254">
        <f t="shared" si="30"/>
        <v>-376</v>
      </c>
      <c r="K49" s="254">
        <f t="shared" si="30"/>
        <v>-491</v>
      </c>
      <c r="L49" s="254">
        <f t="shared" si="30"/>
        <v>-476</v>
      </c>
      <c r="M49" s="254">
        <f t="shared" si="30"/>
        <v>-394</v>
      </c>
      <c r="N49" s="254">
        <f t="shared" si="30"/>
        <v>-130</v>
      </c>
      <c r="O49" s="254">
        <f t="shared" si="30"/>
        <v>130</v>
      </c>
      <c r="P49" s="254">
        <f t="shared" si="30"/>
        <v>-199</v>
      </c>
      <c r="Q49" s="254">
        <f t="shared" si="30"/>
        <v>-375</v>
      </c>
      <c r="R49" s="254">
        <f t="shared" ca="1" si="30"/>
        <v>0</v>
      </c>
      <c r="S49" s="254">
        <f t="shared" ca="1" si="30"/>
        <v>0</v>
      </c>
      <c r="T49" s="254">
        <f t="shared" ca="1" si="30"/>
        <v>0</v>
      </c>
      <c r="V49" s="254">
        <f>V37</f>
        <v>880</v>
      </c>
      <c r="W49" s="254">
        <f>W37</f>
        <v>526</v>
      </c>
      <c r="X49" s="255">
        <f t="shared" si="29"/>
        <v>905</v>
      </c>
      <c r="Y49" s="255">
        <f t="shared" si="29"/>
        <v>-1752</v>
      </c>
      <c r="Z49" s="255">
        <f t="shared" si="29"/>
        <v>-593</v>
      </c>
      <c r="AA49" s="255">
        <f t="shared" ca="1" si="29"/>
        <v>-375</v>
      </c>
      <c r="AB49" s="254">
        <f ca="1">AB37</f>
        <v>0</v>
      </c>
      <c r="AC49" s="254">
        <f ca="1">AC37</f>
        <v>0</v>
      </c>
      <c r="AD49" s="254">
        <f ca="1">AD37</f>
        <v>0</v>
      </c>
    </row>
    <row r="50" spans="2:30" ht="11.25" customHeight="1">
      <c r="C50" s="384" t="s">
        <v>455</v>
      </c>
      <c r="E50" s="254">
        <f t="shared" ref="E50:T50" si="31">E33</f>
        <v>-17</v>
      </c>
      <c r="F50" s="254">
        <f t="shared" si="31"/>
        <v>-34</v>
      </c>
      <c r="G50" s="254">
        <f t="shared" si="31"/>
        <v>-21</v>
      </c>
      <c r="H50" s="254">
        <f t="shared" si="31"/>
        <v>-81</v>
      </c>
      <c r="I50" s="254">
        <f t="shared" si="31"/>
        <v>319</v>
      </c>
      <c r="J50" s="254">
        <f t="shared" si="31"/>
        <v>-9</v>
      </c>
      <c r="K50" s="254">
        <f t="shared" si="31"/>
        <v>-15</v>
      </c>
      <c r="L50" s="254">
        <f t="shared" si="31"/>
        <v>-101</v>
      </c>
      <c r="M50" s="254">
        <f t="shared" si="31"/>
        <v>22</v>
      </c>
      <c r="N50" s="254">
        <f t="shared" si="31"/>
        <v>-147</v>
      </c>
      <c r="O50" s="254">
        <f t="shared" si="31"/>
        <v>34</v>
      </c>
      <c r="P50" s="254">
        <f t="shared" si="31"/>
        <v>125</v>
      </c>
      <c r="Q50" s="254">
        <f t="shared" si="31"/>
        <v>0</v>
      </c>
      <c r="R50" s="254">
        <f t="shared" si="31"/>
        <v>0</v>
      </c>
      <c r="S50" s="254">
        <f t="shared" si="31"/>
        <v>0</v>
      </c>
      <c r="T50" s="254">
        <f t="shared" si="31"/>
        <v>0</v>
      </c>
      <c r="V50" s="254">
        <f>V33</f>
        <v>0</v>
      </c>
      <c r="W50" s="254">
        <f>W33</f>
        <v>5</v>
      </c>
      <c r="X50" s="255">
        <f t="shared" si="29"/>
        <v>-153</v>
      </c>
      <c r="Y50" s="255">
        <f t="shared" si="29"/>
        <v>194</v>
      </c>
      <c r="Z50" s="255">
        <f t="shared" si="29"/>
        <v>34</v>
      </c>
      <c r="AA50" s="255">
        <f t="shared" si="29"/>
        <v>0</v>
      </c>
      <c r="AB50" s="254">
        <f>AB33</f>
        <v>0</v>
      </c>
      <c r="AC50" s="254">
        <f>AC33</f>
        <v>0</v>
      </c>
      <c r="AD50" s="254">
        <f>AD33</f>
        <v>0</v>
      </c>
    </row>
    <row r="51" spans="2:30" ht="11.25" customHeight="1">
      <c r="C51" s="384" t="s">
        <v>453</v>
      </c>
      <c r="E51" s="254">
        <f t="shared" ref="E51:T51" si="32">SUM(E30:E32)</f>
        <v>137</v>
      </c>
      <c r="F51" s="254">
        <f t="shared" si="32"/>
        <v>132</v>
      </c>
      <c r="G51" s="254">
        <f t="shared" si="32"/>
        <v>133</v>
      </c>
      <c r="H51" s="254">
        <f t="shared" si="32"/>
        <v>111</v>
      </c>
      <c r="I51" s="254">
        <f t="shared" si="32"/>
        <v>124</v>
      </c>
      <c r="J51" s="254">
        <f t="shared" si="32"/>
        <v>168</v>
      </c>
      <c r="K51" s="254">
        <f t="shared" si="32"/>
        <v>321</v>
      </c>
      <c r="L51" s="254">
        <f t="shared" si="32"/>
        <v>329</v>
      </c>
      <c r="M51" s="254">
        <f t="shared" si="32"/>
        <v>329</v>
      </c>
      <c r="N51" s="254">
        <f t="shared" si="32"/>
        <v>392</v>
      </c>
      <c r="O51" s="254">
        <f t="shared" si="32"/>
        <v>420</v>
      </c>
      <c r="P51" s="254">
        <f t="shared" si="32"/>
        <v>400</v>
      </c>
      <c r="Q51" s="254">
        <f t="shared" si="32"/>
        <v>395</v>
      </c>
      <c r="R51" s="254">
        <f t="shared" ca="1" si="32"/>
        <v>331.26168469088577</v>
      </c>
      <c r="S51" s="254">
        <f t="shared" ca="1" si="32"/>
        <v>338.58563952698381</v>
      </c>
      <c r="T51" s="254">
        <f t="shared" ca="1" si="32"/>
        <v>346.54474176719884</v>
      </c>
      <c r="V51" s="254">
        <f>SUM(V30:V32)</f>
        <v>495</v>
      </c>
      <c r="W51" s="254">
        <f>SUM(W30:W32)</f>
        <v>504</v>
      </c>
      <c r="X51" s="255">
        <f t="shared" si="29"/>
        <v>513</v>
      </c>
      <c r="Y51" s="255">
        <f t="shared" si="29"/>
        <v>942</v>
      </c>
      <c r="Z51" s="255">
        <f t="shared" si="29"/>
        <v>1541</v>
      </c>
      <c r="AA51" s="255">
        <f t="shared" ca="1" si="29"/>
        <v>1411.3920659850683</v>
      </c>
      <c r="AB51" s="254">
        <f ca="1">SUM(AB30:AB32)</f>
        <v>1475.9662948479745</v>
      </c>
      <c r="AC51" s="254">
        <f ca="1">SUM(AC30:AC32)</f>
        <v>1543.4115542176344</v>
      </c>
      <c r="AD51" s="254">
        <f ca="1">SUM(AD30:AD32)</f>
        <v>1536.1418256884476</v>
      </c>
    </row>
    <row r="52" spans="2:30" ht="11.25" customHeight="1">
      <c r="C52" s="384" t="s">
        <v>431</v>
      </c>
      <c r="E52" s="254">
        <f t="shared" ref="E52:T52" si="33">E27</f>
        <v>18</v>
      </c>
      <c r="F52" s="254">
        <f t="shared" si="33"/>
        <v>71</v>
      </c>
      <c r="G52" s="254">
        <f t="shared" si="33"/>
        <v>27</v>
      </c>
      <c r="H52" s="254">
        <f t="shared" si="33"/>
        <v>130</v>
      </c>
      <c r="I52" s="254">
        <f t="shared" si="33"/>
        <v>63</v>
      </c>
      <c r="J52" s="254">
        <f t="shared" si="33"/>
        <v>-1449</v>
      </c>
      <c r="K52" s="254">
        <f t="shared" si="33"/>
        <v>-1081</v>
      </c>
      <c r="L52" s="254">
        <f t="shared" si="33"/>
        <v>-149</v>
      </c>
      <c r="M52" s="254">
        <f t="shared" si="33"/>
        <v>-1377</v>
      </c>
      <c r="N52" s="254">
        <f t="shared" si="33"/>
        <v>-948</v>
      </c>
      <c r="O52" s="254">
        <f t="shared" si="33"/>
        <v>-1098</v>
      </c>
      <c r="P52" s="254">
        <f t="shared" si="33"/>
        <v>56</v>
      </c>
      <c r="Q52" s="254">
        <f t="shared" si="33"/>
        <v>-8</v>
      </c>
      <c r="R52" s="254">
        <f t="shared" si="33"/>
        <v>0</v>
      </c>
      <c r="S52" s="254">
        <f t="shared" si="33"/>
        <v>0</v>
      </c>
      <c r="T52" s="254">
        <f t="shared" si="33"/>
        <v>0</v>
      </c>
      <c r="V52" s="254">
        <f>V27</f>
        <v>176</v>
      </c>
      <c r="W52" s="254">
        <f>W27</f>
        <v>487</v>
      </c>
      <c r="X52" s="255">
        <f t="shared" si="29"/>
        <v>246</v>
      </c>
      <c r="Y52" s="255">
        <f t="shared" si="29"/>
        <v>-2616</v>
      </c>
      <c r="Z52" s="255">
        <f t="shared" si="29"/>
        <v>-3367</v>
      </c>
      <c r="AA52" s="255">
        <f t="shared" si="29"/>
        <v>-8</v>
      </c>
      <c r="AB52" s="254">
        <f>AB27</f>
        <v>0</v>
      </c>
      <c r="AC52" s="254">
        <f>AC27</f>
        <v>0</v>
      </c>
      <c r="AD52" s="254">
        <f>AD27</f>
        <v>0</v>
      </c>
    </row>
    <row r="53" spans="2:30" ht="11.25" customHeight="1">
      <c r="C53" s="384" t="s">
        <v>452</v>
      </c>
      <c r="E53" s="254">
        <f t="shared" ref="E53:T53" si="34">E25</f>
        <v>547</v>
      </c>
      <c r="F53" s="254">
        <f t="shared" si="34"/>
        <v>560</v>
      </c>
      <c r="G53" s="254">
        <f t="shared" si="34"/>
        <v>575</v>
      </c>
      <c r="H53" s="254">
        <f t="shared" si="34"/>
        <v>606</v>
      </c>
      <c r="I53" s="254">
        <f t="shared" si="34"/>
        <v>615</v>
      </c>
      <c r="J53" s="254">
        <f t="shared" si="34"/>
        <v>618</v>
      </c>
      <c r="K53" s="254">
        <f t="shared" si="34"/>
        <v>626</v>
      </c>
      <c r="L53" s="254">
        <f t="shared" si="34"/>
        <v>629</v>
      </c>
      <c r="M53" s="254">
        <f t="shared" si="34"/>
        <v>623</v>
      </c>
      <c r="N53" s="254">
        <f t="shared" si="34"/>
        <v>620</v>
      </c>
      <c r="O53" s="254">
        <f t="shared" si="34"/>
        <v>623</v>
      </c>
      <c r="P53" s="254">
        <f t="shared" si="34"/>
        <v>619</v>
      </c>
      <c r="Q53" s="254">
        <f t="shared" si="34"/>
        <v>611</v>
      </c>
      <c r="R53" s="254">
        <f t="shared" si="34"/>
        <v>661.26357327851997</v>
      </c>
      <c r="S53" s="254">
        <f t="shared" si="34"/>
        <v>751.5653991778006</v>
      </c>
      <c r="T53" s="254">
        <f t="shared" si="34"/>
        <v>781.77579999999989</v>
      </c>
      <c r="V53" s="254">
        <f>V25</f>
        <v>2096</v>
      </c>
      <c r="W53" s="254">
        <f>W25</f>
        <v>2165</v>
      </c>
      <c r="X53" s="255">
        <f t="shared" si="29"/>
        <v>2288</v>
      </c>
      <c r="Y53" s="255">
        <f t="shared" si="29"/>
        <v>2488</v>
      </c>
      <c r="Z53" s="255">
        <f t="shared" si="29"/>
        <v>2485</v>
      </c>
      <c r="AA53" s="255">
        <f t="shared" si="29"/>
        <v>2805.6047724563205</v>
      </c>
      <c r="AB53" s="254">
        <f>AB25</f>
        <v>2822.4789999999994</v>
      </c>
      <c r="AC53" s="254">
        <f>AC25</f>
        <v>3173.047</v>
      </c>
      <c r="AD53" s="254">
        <f>AD25</f>
        <v>3259.096</v>
      </c>
    </row>
    <row r="54" spans="2:30" ht="11.25" customHeight="1">
      <c r="C54" s="384" t="s">
        <v>456</v>
      </c>
      <c r="E54" s="277">
        <v>0</v>
      </c>
      <c r="F54" s="277">
        <v>0</v>
      </c>
      <c r="G54" s="277">
        <v>0</v>
      </c>
      <c r="H54" s="277">
        <v>0</v>
      </c>
      <c r="I54" s="277">
        <v>0</v>
      </c>
      <c r="J54" s="277">
        <v>0</v>
      </c>
      <c r="K54" s="277">
        <v>0</v>
      </c>
      <c r="L54" s="277">
        <v>0</v>
      </c>
      <c r="M54" s="277">
        <v>0</v>
      </c>
      <c r="N54" s="277">
        <v>62</v>
      </c>
      <c r="O54" s="277">
        <v>-12</v>
      </c>
      <c r="P54" s="277">
        <v>0</v>
      </c>
      <c r="Q54" s="277">
        <v>7</v>
      </c>
      <c r="R54" s="277">
        <v>0</v>
      </c>
      <c r="S54" s="277">
        <v>0</v>
      </c>
      <c r="T54" s="277">
        <v>0</v>
      </c>
      <c r="V54" s="390"/>
      <c r="W54" s="390"/>
      <c r="X54" s="255">
        <f t="shared" si="29"/>
        <v>0</v>
      </c>
      <c r="Y54" s="255">
        <f t="shared" si="29"/>
        <v>0</v>
      </c>
      <c r="Z54" s="255">
        <f t="shared" si="29"/>
        <v>50</v>
      </c>
      <c r="AA54" s="255">
        <f t="shared" si="29"/>
        <v>7</v>
      </c>
      <c r="AB54" s="277">
        <v>0</v>
      </c>
      <c r="AC54" s="277">
        <v>0</v>
      </c>
      <c r="AD54" s="277">
        <v>0</v>
      </c>
    </row>
    <row r="55" spans="2:30" ht="11.25" customHeight="1">
      <c r="C55" s="384" t="s">
        <v>457</v>
      </c>
      <c r="E55" s="277">
        <v>0</v>
      </c>
      <c r="F55" s="277">
        <v>0</v>
      </c>
      <c r="G55" s="277">
        <v>0</v>
      </c>
      <c r="H55" s="277">
        <v>0</v>
      </c>
      <c r="I55" s="277">
        <v>0</v>
      </c>
      <c r="J55" s="277">
        <v>231</v>
      </c>
      <c r="K55" s="277">
        <v>415</v>
      </c>
      <c r="L55" s="277">
        <v>41</v>
      </c>
      <c r="M55" s="277">
        <v>46</v>
      </c>
      <c r="N55" s="277">
        <v>0</v>
      </c>
      <c r="O55" s="277">
        <v>0</v>
      </c>
      <c r="P55" s="277">
        <v>-15</v>
      </c>
      <c r="Q55" s="277">
        <v>0</v>
      </c>
      <c r="R55" s="277">
        <v>0</v>
      </c>
      <c r="S55" s="277">
        <v>0</v>
      </c>
      <c r="T55" s="277">
        <v>0</v>
      </c>
      <c r="V55" s="390"/>
      <c r="W55" s="390"/>
      <c r="X55" s="255">
        <f t="shared" si="29"/>
        <v>0</v>
      </c>
      <c r="Y55" s="255">
        <f t="shared" si="29"/>
        <v>687</v>
      </c>
      <c r="Z55" s="255">
        <f t="shared" si="29"/>
        <v>31</v>
      </c>
      <c r="AA55" s="255">
        <f t="shared" si="29"/>
        <v>0</v>
      </c>
      <c r="AB55" s="277">
        <v>0</v>
      </c>
      <c r="AC55" s="277">
        <v>0</v>
      </c>
      <c r="AD55" s="277">
        <v>0</v>
      </c>
    </row>
    <row r="56" spans="2:30" ht="11.25" customHeight="1">
      <c r="C56" s="384" t="s">
        <v>458</v>
      </c>
      <c r="E56" s="277">
        <v>0</v>
      </c>
      <c r="F56" s="277">
        <v>0</v>
      </c>
      <c r="G56" s="277">
        <v>0</v>
      </c>
      <c r="H56" s="277">
        <v>0</v>
      </c>
      <c r="I56" s="277">
        <v>697</v>
      </c>
      <c r="J56" s="277">
        <v>0</v>
      </c>
      <c r="K56" s="277">
        <v>0</v>
      </c>
      <c r="L56" s="277">
        <v>0</v>
      </c>
      <c r="M56" s="277">
        <v>0</v>
      </c>
      <c r="N56" s="277">
        <v>0</v>
      </c>
      <c r="O56" s="277">
        <v>0</v>
      </c>
      <c r="P56" s="277">
        <v>0</v>
      </c>
      <c r="Q56" s="277">
        <v>0</v>
      </c>
      <c r="R56" s="277">
        <v>0</v>
      </c>
      <c r="S56" s="277">
        <v>0</v>
      </c>
      <c r="T56" s="277">
        <v>0</v>
      </c>
      <c r="V56" s="390"/>
      <c r="W56" s="390"/>
      <c r="X56" s="255">
        <f t="shared" si="29"/>
        <v>0</v>
      </c>
      <c r="Y56" s="255">
        <f t="shared" si="29"/>
        <v>697</v>
      </c>
      <c r="Z56" s="255">
        <f t="shared" si="29"/>
        <v>0</v>
      </c>
      <c r="AA56" s="255">
        <f t="shared" si="29"/>
        <v>0</v>
      </c>
      <c r="AB56" s="277">
        <v>0</v>
      </c>
      <c r="AC56" s="277">
        <v>0</v>
      </c>
      <c r="AD56" s="277">
        <v>0</v>
      </c>
    </row>
    <row r="57" spans="2:30" ht="11.25" customHeight="1">
      <c r="C57" s="289" t="s">
        <v>355</v>
      </c>
      <c r="E57" s="358">
        <f t="shared" ref="E57:T57" si="35">SUM(E48:E56)</f>
        <v>1052</v>
      </c>
      <c r="F57" s="358">
        <f t="shared" si="35"/>
        <v>2083</v>
      </c>
      <c r="G57" s="358">
        <f t="shared" si="35"/>
        <v>2063</v>
      </c>
      <c r="H57" s="358">
        <f t="shared" si="35"/>
        <v>1610</v>
      </c>
      <c r="I57" s="358">
        <f t="shared" si="35"/>
        <v>-296</v>
      </c>
      <c r="J57" s="358">
        <f t="shared" si="35"/>
        <v>-2444</v>
      </c>
      <c r="K57" s="358">
        <f t="shared" si="35"/>
        <v>-2066</v>
      </c>
      <c r="L57" s="358">
        <f t="shared" si="35"/>
        <v>-1624</v>
      </c>
      <c r="M57" s="358">
        <f t="shared" si="35"/>
        <v>-2108</v>
      </c>
      <c r="N57" s="358">
        <f t="shared" si="35"/>
        <v>-585</v>
      </c>
      <c r="O57" s="358">
        <f t="shared" si="35"/>
        <v>570</v>
      </c>
      <c r="P57" s="358">
        <f t="shared" si="35"/>
        <v>340</v>
      </c>
      <c r="Q57" s="358">
        <f t="shared" si="35"/>
        <v>-747</v>
      </c>
      <c r="R57" s="358">
        <f t="shared" ca="1" si="35"/>
        <v>798.35144811609894</v>
      </c>
      <c r="S57" s="358">
        <f t="shared" ca="1" si="35"/>
        <v>1201.07321997335</v>
      </c>
      <c r="T57" s="358">
        <f t="shared" ca="1" si="35"/>
        <v>1080.3055590866356</v>
      </c>
      <c r="V57" s="358">
        <f t="shared" ref="V57:AD57" si="36">SUM(V48:V56)</f>
        <v>5790</v>
      </c>
      <c r="W57" s="358">
        <f t="shared" si="36"/>
        <v>5809</v>
      </c>
      <c r="X57" s="358">
        <f t="shared" si="36"/>
        <v>6808</v>
      </c>
      <c r="Y57" s="358">
        <f t="shared" si="36"/>
        <v>-6430</v>
      </c>
      <c r="Z57" s="358">
        <f t="shared" si="36"/>
        <v>-1783</v>
      </c>
      <c r="AA57" s="358">
        <f t="shared" ca="1" si="36"/>
        <v>2332.7302271760841</v>
      </c>
      <c r="AB57" s="358">
        <f t="shared" ca="1" si="36"/>
        <v>5893.2643915403933</v>
      </c>
      <c r="AC57" s="358">
        <f t="shared" ca="1" si="36"/>
        <v>7848.0840485969511</v>
      </c>
      <c r="AD57" s="358">
        <f t="shared" ca="1" si="36"/>
        <v>7651.1280720861105</v>
      </c>
    </row>
    <row r="59" spans="2:30" ht="11.25" customHeight="1">
      <c r="C59" s="253" t="s">
        <v>339</v>
      </c>
      <c r="E59" s="255">
        <f>E231</f>
        <v>1915</v>
      </c>
      <c r="F59" s="255">
        <f t="shared" ref="F59:AD59" si="37">F231</f>
        <v>2710</v>
      </c>
      <c r="G59" s="255">
        <f t="shared" si="37"/>
        <v>1103</v>
      </c>
      <c r="H59" s="255">
        <f t="shared" si="37"/>
        <v>1181</v>
      </c>
      <c r="I59" s="255">
        <f t="shared" si="37"/>
        <v>63</v>
      </c>
      <c r="J59" s="255">
        <f t="shared" si="37"/>
        <v>-130</v>
      </c>
      <c r="K59" s="255">
        <f t="shared" si="37"/>
        <v>-1889</v>
      </c>
      <c r="L59" s="255">
        <f t="shared" si="37"/>
        <v>-2177</v>
      </c>
      <c r="M59" s="255">
        <f t="shared" si="37"/>
        <v>447</v>
      </c>
      <c r="N59" s="255">
        <f t="shared" si="37"/>
        <v>2675</v>
      </c>
      <c r="O59" s="255">
        <f t="shared" si="37"/>
        <v>-786</v>
      </c>
      <c r="P59" s="255">
        <f t="shared" si="37"/>
        <v>-269</v>
      </c>
      <c r="Q59" s="255">
        <f t="shared" si="37"/>
        <v>1476</v>
      </c>
      <c r="R59" s="255">
        <f t="shared" ca="1" si="37"/>
        <v>1961.7680877576547</v>
      </c>
      <c r="S59" s="255">
        <f t="shared" ca="1" si="37"/>
        <v>620.35541885083762</v>
      </c>
      <c r="T59" s="255">
        <f t="shared" ca="1" si="37"/>
        <v>568.09435911764399</v>
      </c>
      <c r="V59" s="255">
        <f t="shared" si="37"/>
        <v>3474</v>
      </c>
      <c r="W59" s="255">
        <f t="shared" si="37"/>
        <v>6164</v>
      </c>
      <c r="X59" s="255">
        <f t="shared" si="37"/>
        <v>6909</v>
      </c>
      <c r="Y59" s="255">
        <f t="shared" si="37"/>
        <v>-4133</v>
      </c>
      <c r="Z59" s="255">
        <f t="shared" si="37"/>
        <v>2067</v>
      </c>
      <c r="AA59" s="255">
        <f t="shared" ca="1" si="37"/>
        <v>4626.2178657261366</v>
      </c>
      <c r="AB59" s="255">
        <f t="shared" ca="1" si="37"/>
        <v>4567.7797840262228</v>
      </c>
      <c r="AC59" s="255">
        <f t="shared" ca="1" si="37"/>
        <v>7241.0424914407868</v>
      </c>
      <c r="AD59" s="255">
        <f t="shared" ca="1" si="37"/>
        <v>7141.6740851570521</v>
      </c>
    </row>
    <row r="60" spans="2:30" ht="11.25" customHeight="1">
      <c r="C60" s="253" t="s">
        <v>340</v>
      </c>
      <c r="E60" s="255">
        <f>-E233</f>
        <v>1609</v>
      </c>
      <c r="F60" s="255">
        <f t="shared" ref="F60:AD60" si="38">-F233</f>
        <v>858</v>
      </c>
      <c r="G60" s="255">
        <f t="shared" si="38"/>
        <v>869</v>
      </c>
      <c r="H60" s="255">
        <f t="shared" si="38"/>
        <v>1192</v>
      </c>
      <c r="I60" s="255">
        <f t="shared" si="38"/>
        <v>1959</v>
      </c>
      <c r="J60" s="255">
        <f t="shared" si="38"/>
        <v>39</v>
      </c>
      <c r="K60" s="255">
        <f t="shared" si="38"/>
        <v>-368</v>
      </c>
      <c r="L60" s="255">
        <f t="shared" si="38"/>
        <v>97</v>
      </c>
      <c r="M60" s="255">
        <f t="shared" si="38"/>
        <v>444</v>
      </c>
      <c r="N60" s="255">
        <f t="shared" si="38"/>
        <v>861</v>
      </c>
      <c r="O60" s="255">
        <f t="shared" si="38"/>
        <v>266</v>
      </c>
      <c r="P60" s="255">
        <f t="shared" si="38"/>
        <v>536</v>
      </c>
      <c r="Q60" s="255">
        <f t="shared" si="38"/>
        <v>402</v>
      </c>
      <c r="R60" s="255">
        <f t="shared" si="38"/>
        <v>1587.2559095580677</v>
      </c>
      <c r="S60" s="255">
        <f t="shared" si="38"/>
        <v>1607.6053442959919</v>
      </c>
      <c r="T60" s="255">
        <f t="shared" si="38"/>
        <v>2205.1387461459403</v>
      </c>
      <c r="V60" s="255">
        <f t="shared" si="38"/>
        <v>3870</v>
      </c>
      <c r="W60" s="255">
        <f t="shared" si="38"/>
        <v>4070</v>
      </c>
      <c r="X60" s="255">
        <f t="shared" si="38"/>
        <v>4528</v>
      </c>
      <c r="Y60" s="255">
        <f t="shared" si="38"/>
        <v>1727</v>
      </c>
      <c r="Z60" s="255">
        <f t="shared" si="38"/>
        <v>2107</v>
      </c>
      <c r="AA60" s="255">
        <f t="shared" si="38"/>
        <v>5802</v>
      </c>
      <c r="AB60" s="255">
        <f t="shared" si="38"/>
        <v>7700</v>
      </c>
      <c r="AC60" s="255">
        <f t="shared" si="38"/>
        <v>5000</v>
      </c>
      <c r="AD60" s="255">
        <f t="shared" si="38"/>
        <v>4400</v>
      </c>
    </row>
    <row r="61" spans="2:30" s="283" customFormat="1" ht="11.25" customHeight="1">
      <c r="C61" s="286" t="s">
        <v>161</v>
      </c>
      <c r="E61" s="358">
        <f t="shared" ref="E61:T61" si="39">E59-E60</f>
        <v>306</v>
      </c>
      <c r="F61" s="358">
        <f t="shared" si="39"/>
        <v>1852</v>
      </c>
      <c r="G61" s="358">
        <f t="shared" si="39"/>
        <v>234</v>
      </c>
      <c r="H61" s="358">
        <f t="shared" si="39"/>
        <v>-11</v>
      </c>
      <c r="I61" s="358">
        <f t="shared" si="39"/>
        <v>-1896</v>
      </c>
      <c r="J61" s="358">
        <f t="shared" si="39"/>
        <v>-169</v>
      </c>
      <c r="K61" s="358">
        <f t="shared" si="39"/>
        <v>-1521</v>
      </c>
      <c r="L61" s="358">
        <f t="shared" si="39"/>
        <v>-2274</v>
      </c>
      <c r="M61" s="358">
        <f t="shared" si="39"/>
        <v>3</v>
      </c>
      <c r="N61" s="358">
        <f t="shared" si="39"/>
        <v>1814</v>
      </c>
      <c r="O61" s="358">
        <f t="shared" si="39"/>
        <v>-1052</v>
      </c>
      <c r="P61" s="358">
        <f t="shared" si="39"/>
        <v>-805</v>
      </c>
      <c r="Q61" s="358">
        <f t="shared" si="39"/>
        <v>1074</v>
      </c>
      <c r="R61" s="358">
        <f t="shared" ca="1" si="39"/>
        <v>374.51217819958697</v>
      </c>
      <c r="S61" s="358">
        <f t="shared" ca="1" si="39"/>
        <v>-987.2499254451543</v>
      </c>
      <c r="T61" s="358">
        <f t="shared" ca="1" si="39"/>
        <v>-1637.0443870282963</v>
      </c>
      <c r="U61" s="255"/>
      <c r="V61" s="358">
        <f t="shared" ref="V61:AD61" si="40">V59-V60</f>
        <v>-396</v>
      </c>
      <c r="W61" s="358">
        <f t="shared" si="40"/>
        <v>2094</v>
      </c>
      <c r="X61" s="358">
        <f t="shared" si="40"/>
        <v>2381</v>
      </c>
      <c r="Y61" s="358">
        <f t="shared" si="40"/>
        <v>-5860</v>
      </c>
      <c r="Z61" s="358">
        <f t="shared" si="40"/>
        <v>-40</v>
      </c>
      <c r="AA61" s="358">
        <f t="shared" ca="1" si="40"/>
        <v>-1175.7821342738634</v>
      </c>
      <c r="AB61" s="358">
        <f t="shared" ca="1" si="40"/>
        <v>-3132.2202159737772</v>
      </c>
      <c r="AC61" s="358">
        <f t="shared" ca="1" si="40"/>
        <v>2241.0424914407868</v>
      </c>
      <c r="AD61" s="358">
        <f t="shared" ca="1" si="40"/>
        <v>2741.6740851570521</v>
      </c>
    </row>
    <row r="63" spans="2:30" s="255" customFormat="1" ht="11.25" customHeight="1">
      <c r="B63" s="258" t="s">
        <v>133</v>
      </c>
      <c r="C63" s="259" t="s">
        <v>556</v>
      </c>
      <c r="D63" s="259"/>
      <c r="E63" s="258"/>
      <c r="F63" s="258"/>
      <c r="G63" s="258"/>
      <c r="H63" s="258"/>
      <c r="I63" s="258"/>
      <c r="J63" s="258"/>
      <c r="K63" s="258"/>
      <c r="L63" s="258"/>
      <c r="M63" s="258"/>
      <c r="N63" s="258"/>
      <c r="O63" s="258"/>
      <c r="P63" s="258"/>
      <c r="Q63" s="258"/>
      <c r="R63" s="258"/>
      <c r="S63" s="258"/>
      <c r="T63" s="258"/>
      <c r="U63" s="280"/>
      <c r="V63" s="258"/>
      <c r="W63" s="258"/>
      <c r="X63" s="258"/>
      <c r="Y63" s="258"/>
      <c r="Z63" s="258"/>
      <c r="AA63" s="258"/>
      <c r="AB63" s="258"/>
      <c r="AC63" s="258"/>
      <c r="AD63" s="258"/>
    </row>
    <row r="65" spans="3:30" ht="11.25" customHeight="1">
      <c r="C65" s="397" t="s">
        <v>365</v>
      </c>
      <c r="E65" s="254">
        <f t="shared" ref="E65:T65" si="41">SUM(E$15:E$21,E24:E27)</f>
        <v>9094</v>
      </c>
      <c r="F65" s="254">
        <f t="shared" si="41"/>
        <v>9930</v>
      </c>
      <c r="G65" s="254">
        <f t="shared" si="41"/>
        <v>9907</v>
      </c>
      <c r="H65" s="254">
        <f t="shared" si="41"/>
        <v>10027</v>
      </c>
      <c r="I65" s="254">
        <f t="shared" si="41"/>
        <v>8951</v>
      </c>
      <c r="J65" s="254">
        <f t="shared" si="41"/>
        <v>3112</v>
      </c>
      <c r="K65" s="254">
        <f t="shared" si="41"/>
        <v>4104</v>
      </c>
      <c r="L65" s="254">
        <f t="shared" si="41"/>
        <v>5547</v>
      </c>
      <c r="M65" s="254">
        <f t="shared" si="41"/>
        <v>4602</v>
      </c>
      <c r="N65" s="254">
        <f t="shared" si="41"/>
        <v>5741</v>
      </c>
      <c r="O65" s="254">
        <f t="shared" si="41"/>
        <v>6713</v>
      </c>
      <c r="P65" s="254">
        <f t="shared" si="41"/>
        <v>8600</v>
      </c>
      <c r="Q65" s="254">
        <f t="shared" si="41"/>
        <v>8942</v>
      </c>
      <c r="R65" s="254">
        <f t="shared" si="41"/>
        <v>11446.608318497389</v>
      </c>
      <c r="S65" s="254">
        <f t="shared" si="41"/>
        <v>11700.41750320445</v>
      </c>
      <c r="T65" s="254">
        <f t="shared" si="41"/>
        <v>11485.905575913366</v>
      </c>
      <c r="V65" s="254">
        <f t="shared" ref="V65:AD65" si="42">SUM(V$15:V$21,V24:V27)</f>
        <v>34166</v>
      </c>
      <c r="W65" s="254">
        <f t="shared" si="42"/>
        <v>38074</v>
      </c>
      <c r="X65" s="254">
        <f t="shared" si="42"/>
        <v>38958</v>
      </c>
      <c r="Y65" s="254">
        <f t="shared" si="42"/>
        <v>21714</v>
      </c>
      <c r="Z65" s="254">
        <f t="shared" si="42"/>
        <v>25656</v>
      </c>
      <c r="AA65" s="254">
        <f t="shared" si="42"/>
        <v>43574.931397615204</v>
      </c>
      <c r="AB65" s="254">
        <f t="shared" si="42"/>
        <v>45751.452302948288</v>
      </c>
      <c r="AC65" s="254">
        <f t="shared" si="42"/>
        <v>46753.070060907608</v>
      </c>
      <c r="AD65" s="254">
        <f t="shared" si="42"/>
        <v>47277.03809179541</v>
      </c>
    </row>
    <row r="66" spans="3:30" ht="11.25" customHeight="1">
      <c r="C66" s="384" t="s">
        <v>445</v>
      </c>
      <c r="E66" s="254">
        <f t="shared" ref="E66:T66" si="43">E$27</f>
        <v>18</v>
      </c>
      <c r="F66" s="254">
        <f t="shared" si="43"/>
        <v>71</v>
      </c>
      <c r="G66" s="254">
        <f t="shared" si="43"/>
        <v>27</v>
      </c>
      <c r="H66" s="254">
        <f t="shared" si="43"/>
        <v>130</v>
      </c>
      <c r="I66" s="254">
        <f t="shared" si="43"/>
        <v>63</v>
      </c>
      <c r="J66" s="254">
        <f t="shared" si="43"/>
        <v>-1449</v>
      </c>
      <c r="K66" s="254">
        <f t="shared" si="43"/>
        <v>-1081</v>
      </c>
      <c r="L66" s="254">
        <f t="shared" si="43"/>
        <v>-149</v>
      </c>
      <c r="M66" s="254">
        <f t="shared" si="43"/>
        <v>-1377</v>
      </c>
      <c r="N66" s="254">
        <f t="shared" si="43"/>
        <v>-948</v>
      </c>
      <c r="O66" s="254">
        <f t="shared" si="43"/>
        <v>-1098</v>
      </c>
      <c r="P66" s="254">
        <f t="shared" si="43"/>
        <v>56</v>
      </c>
      <c r="Q66" s="254">
        <f t="shared" si="43"/>
        <v>-8</v>
      </c>
      <c r="R66" s="254">
        <f t="shared" si="43"/>
        <v>0</v>
      </c>
      <c r="S66" s="254">
        <f t="shared" si="43"/>
        <v>0</v>
      </c>
      <c r="T66" s="254">
        <f t="shared" si="43"/>
        <v>0</v>
      </c>
      <c r="V66" s="254">
        <f>V$27</f>
        <v>176</v>
      </c>
      <c r="W66" s="254">
        <f>W$27</f>
        <v>487</v>
      </c>
      <c r="X66" s="255">
        <f>SUMIF($E$5:$T$5,X$5,$E66:$T66)</f>
        <v>246</v>
      </c>
      <c r="Y66" s="255">
        <f>SUMIF($E$5:$T$5,Y$5,$E66:$T66)</f>
        <v>-2616</v>
      </c>
      <c r="Z66" s="255">
        <f>SUMIF($E$5:$T$5,Z$5,$E66:$T66)</f>
        <v>-3367</v>
      </c>
      <c r="AA66" s="255">
        <f>SUMIF($E$5:$T$5,AA$5,$E66:$T66)</f>
        <v>-8</v>
      </c>
      <c r="AB66" s="254">
        <f>AB$27</f>
        <v>0</v>
      </c>
      <c r="AC66" s="254">
        <f>AC$27</f>
        <v>0</v>
      </c>
      <c r="AD66" s="254">
        <f>AD$27</f>
        <v>0</v>
      </c>
    </row>
    <row r="67" spans="3:30" ht="11.25" customHeight="1">
      <c r="C67" s="289" t="s">
        <v>368</v>
      </c>
      <c r="E67" s="358">
        <f t="shared" ref="E67:T67" si="44">E65-E66</f>
        <v>9076</v>
      </c>
      <c r="F67" s="358">
        <f t="shared" si="44"/>
        <v>9859</v>
      </c>
      <c r="G67" s="358">
        <f t="shared" si="44"/>
        <v>9880</v>
      </c>
      <c r="H67" s="358">
        <f t="shared" si="44"/>
        <v>9897</v>
      </c>
      <c r="I67" s="358">
        <f t="shared" si="44"/>
        <v>8888</v>
      </c>
      <c r="J67" s="358">
        <f t="shared" si="44"/>
        <v>4561</v>
      </c>
      <c r="K67" s="358">
        <f t="shared" si="44"/>
        <v>5185</v>
      </c>
      <c r="L67" s="358">
        <f t="shared" si="44"/>
        <v>5696</v>
      </c>
      <c r="M67" s="358">
        <f t="shared" si="44"/>
        <v>5979</v>
      </c>
      <c r="N67" s="358">
        <f t="shared" si="44"/>
        <v>6689</v>
      </c>
      <c r="O67" s="358">
        <f t="shared" si="44"/>
        <v>7811</v>
      </c>
      <c r="P67" s="358">
        <f t="shared" si="44"/>
        <v>8544</v>
      </c>
      <c r="Q67" s="358">
        <f t="shared" si="44"/>
        <v>8950</v>
      </c>
      <c r="R67" s="358">
        <f t="shared" si="44"/>
        <v>11446.608318497389</v>
      </c>
      <c r="S67" s="358">
        <f t="shared" si="44"/>
        <v>11700.41750320445</v>
      </c>
      <c r="T67" s="358">
        <f t="shared" si="44"/>
        <v>11485.905575913366</v>
      </c>
      <c r="V67" s="358">
        <f t="shared" ref="V67:AD67" si="45">V65-V66</f>
        <v>33990</v>
      </c>
      <c r="W67" s="358">
        <f t="shared" si="45"/>
        <v>37587</v>
      </c>
      <c r="X67" s="358">
        <f t="shared" si="45"/>
        <v>38712</v>
      </c>
      <c r="Y67" s="358">
        <f t="shared" si="45"/>
        <v>24330</v>
      </c>
      <c r="Z67" s="358">
        <f t="shared" si="45"/>
        <v>29023</v>
      </c>
      <c r="AA67" s="358">
        <f t="shared" si="45"/>
        <v>43582.931397615204</v>
      </c>
      <c r="AB67" s="358">
        <f t="shared" si="45"/>
        <v>45751.452302948288</v>
      </c>
      <c r="AC67" s="358">
        <f t="shared" si="45"/>
        <v>46753.070060907608</v>
      </c>
      <c r="AD67" s="358">
        <f t="shared" si="45"/>
        <v>47277.03809179541</v>
      </c>
    </row>
    <row r="68" spans="3:30" ht="11.25" customHeight="1">
      <c r="C68" s="289"/>
      <c r="E68" s="283"/>
      <c r="F68" s="283"/>
      <c r="G68" s="283"/>
      <c r="H68" s="283"/>
      <c r="I68" s="283"/>
      <c r="J68" s="283"/>
      <c r="K68" s="283"/>
      <c r="L68" s="283"/>
      <c r="M68" s="283"/>
      <c r="N68" s="283"/>
      <c r="O68" s="283"/>
      <c r="P68" s="283"/>
      <c r="V68" s="283"/>
      <c r="W68" s="283"/>
      <c r="X68" s="283"/>
      <c r="Y68" s="283"/>
      <c r="Z68" s="283"/>
      <c r="AA68" s="283"/>
    </row>
    <row r="69" spans="3:30" ht="11.25" customHeight="1">
      <c r="C69" s="384" t="s">
        <v>446</v>
      </c>
      <c r="E69" s="277">
        <v>30</v>
      </c>
      <c r="F69" s="277">
        <v>41</v>
      </c>
      <c r="G69" s="277">
        <v>49</v>
      </c>
      <c r="H69" s="277">
        <v>48</v>
      </c>
      <c r="I69" s="277">
        <v>44</v>
      </c>
      <c r="J69" s="277">
        <v>58</v>
      </c>
      <c r="K69" s="277">
        <v>13</v>
      </c>
      <c r="L69" s="277">
        <v>22</v>
      </c>
      <c r="M69" s="277">
        <v>26</v>
      </c>
      <c r="N69" s="277">
        <v>30</v>
      </c>
      <c r="O69" s="277">
        <v>33</v>
      </c>
      <c r="P69" s="277">
        <v>30</v>
      </c>
      <c r="Q69" s="277">
        <v>34</v>
      </c>
      <c r="R69" s="650">
        <f>AVERAGE(F69,J69,N69)</f>
        <v>43</v>
      </c>
      <c r="S69" s="650">
        <f>AVERAGE(G69,K69,O69)</f>
        <v>31.666666666666668</v>
      </c>
      <c r="T69" s="650">
        <f>AVERAGE(H69,L69,P69)</f>
        <v>33.333333333333336</v>
      </c>
      <c r="V69" s="277">
        <v>145</v>
      </c>
      <c r="W69" s="277">
        <v>121</v>
      </c>
      <c r="X69" s="255">
        <f t="shared" ref="X69:AA71" si="46">SUMIF($E$5:$T$5,X$5,$E69:$T69)</f>
        <v>168</v>
      </c>
      <c r="Y69" s="255">
        <f t="shared" si="46"/>
        <v>137</v>
      </c>
      <c r="Z69" s="255">
        <f t="shared" si="46"/>
        <v>119</v>
      </c>
      <c r="AA69" s="255">
        <f t="shared" si="46"/>
        <v>142</v>
      </c>
      <c r="AB69" s="650">
        <f>AVERAGE(V69:AA69)</f>
        <v>138.66666666666666</v>
      </c>
      <c r="AC69" s="650">
        <f>AB69</f>
        <v>138.66666666666666</v>
      </c>
      <c r="AD69" s="650">
        <f>AC69</f>
        <v>138.66666666666666</v>
      </c>
    </row>
    <row r="70" spans="3:30" ht="11.25" customHeight="1">
      <c r="C70" s="384" t="s">
        <v>447</v>
      </c>
      <c r="E70" s="254">
        <f t="shared" ref="E70:T70" si="47">E15</f>
        <v>2023</v>
      </c>
      <c r="F70" s="254">
        <f t="shared" si="47"/>
        <v>2385</v>
      </c>
      <c r="G70" s="254">
        <f t="shared" si="47"/>
        <v>2296</v>
      </c>
      <c r="H70" s="254">
        <f t="shared" si="47"/>
        <v>2249</v>
      </c>
      <c r="I70" s="254">
        <f t="shared" si="47"/>
        <v>1726</v>
      </c>
      <c r="J70" s="254">
        <f t="shared" si="47"/>
        <v>240</v>
      </c>
      <c r="K70" s="254">
        <f t="shared" si="47"/>
        <v>508</v>
      </c>
      <c r="L70" s="254">
        <f t="shared" si="47"/>
        <v>679</v>
      </c>
      <c r="M70" s="254">
        <f t="shared" si="47"/>
        <v>851</v>
      </c>
      <c r="N70" s="254">
        <f t="shared" si="47"/>
        <v>1232</v>
      </c>
      <c r="O70" s="254">
        <f t="shared" si="47"/>
        <v>1710</v>
      </c>
      <c r="P70" s="254">
        <f t="shared" si="47"/>
        <v>1962</v>
      </c>
      <c r="Q70" s="254">
        <f t="shared" si="47"/>
        <v>2230</v>
      </c>
      <c r="R70" s="254">
        <f t="shared" si="47"/>
        <v>4046.9830937239549</v>
      </c>
      <c r="S70" s="254">
        <f t="shared" si="47"/>
        <v>3893.5381361959298</v>
      </c>
      <c r="T70" s="254">
        <f t="shared" si="47"/>
        <v>3407.2193959186893</v>
      </c>
      <c r="V70" s="254">
        <f>V15</f>
        <v>6913</v>
      </c>
      <c r="W70" s="254">
        <f>W15</f>
        <v>9307</v>
      </c>
      <c r="X70" s="255">
        <f t="shared" si="46"/>
        <v>8953</v>
      </c>
      <c r="Y70" s="255">
        <f t="shared" si="46"/>
        <v>3153</v>
      </c>
      <c r="Z70" s="255">
        <f t="shared" si="46"/>
        <v>5755</v>
      </c>
      <c r="AA70" s="255">
        <f t="shared" si="46"/>
        <v>13577.740625838574</v>
      </c>
      <c r="AB70" s="254">
        <f>AB15</f>
        <v>13562.050053777422</v>
      </c>
      <c r="AC70" s="254">
        <f>AC15</f>
        <v>12389.637423269909</v>
      </c>
      <c r="AD70" s="254">
        <f>AD15</f>
        <v>12399.244025654214</v>
      </c>
    </row>
    <row r="71" spans="3:30" ht="11.25" customHeight="1">
      <c r="C71" s="384" t="s">
        <v>448</v>
      </c>
      <c r="E71" s="254">
        <f t="shared" ref="E71:T71" si="48">E26</f>
        <v>33</v>
      </c>
      <c r="F71" s="254">
        <f t="shared" si="48"/>
        <v>161</v>
      </c>
      <c r="G71" s="254">
        <f t="shared" si="48"/>
        <v>174</v>
      </c>
      <c r="H71" s="254">
        <f t="shared" si="48"/>
        <v>123</v>
      </c>
      <c r="I71" s="254">
        <f t="shared" si="48"/>
        <v>0</v>
      </c>
      <c r="J71" s="254">
        <f t="shared" si="48"/>
        <v>0</v>
      </c>
      <c r="K71" s="254">
        <f t="shared" si="48"/>
        <v>0</v>
      </c>
      <c r="L71" s="254">
        <f t="shared" si="48"/>
        <v>0</v>
      </c>
      <c r="M71" s="254">
        <f t="shared" si="48"/>
        <v>0</v>
      </c>
      <c r="N71" s="254">
        <f t="shared" si="48"/>
        <v>0</v>
      </c>
      <c r="O71" s="254">
        <f t="shared" si="48"/>
        <v>0</v>
      </c>
      <c r="P71" s="254">
        <f t="shared" si="48"/>
        <v>0</v>
      </c>
      <c r="Q71" s="254">
        <f t="shared" si="48"/>
        <v>0</v>
      </c>
      <c r="R71" s="254">
        <f t="shared" si="48"/>
        <v>15.659815203267645</v>
      </c>
      <c r="S71" s="254">
        <f t="shared" si="48"/>
        <v>41.841259779323153</v>
      </c>
      <c r="T71" s="254">
        <f t="shared" si="48"/>
        <v>28.857660210432076</v>
      </c>
      <c r="V71" s="254">
        <f>V26</f>
        <v>349</v>
      </c>
      <c r="W71" s="254">
        <f>W26</f>
        <v>334</v>
      </c>
      <c r="X71" s="255">
        <f t="shared" si="46"/>
        <v>491</v>
      </c>
      <c r="Y71" s="255">
        <f t="shared" si="46"/>
        <v>0</v>
      </c>
      <c r="Z71" s="255">
        <f t="shared" si="46"/>
        <v>0</v>
      </c>
      <c r="AA71" s="255">
        <f t="shared" si="46"/>
        <v>86.358735193022866</v>
      </c>
      <c r="AB71" s="254">
        <f>AB26</f>
        <v>279.08278767017941</v>
      </c>
      <c r="AC71" s="254">
        <f>AC26</f>
        <v>447.17466207366988</v>
      </c>
      <c r="AD71" s="254">
        <f>AD26</f>
        <v>393.97380336980683</v>
      </c>
    </row>
    <row r="72" spans="3:30" ht="11.25" customHeight="1">
      <c r="C72" s="289" t="s">
        <v>561</v>
      </c>
      <c r="E72" s="358">
        <f t="shared" ref="E72:T72" si="49">E67-SUM(E69:E71)</f>
        <v>6990</v>
      </c>
      <c r="F72" s="358">
        <f t="shared" si="49"/>
        <v>7272</v>
      </c>
      <c r="G72" s="358">
        <f t="shared" si="49"/>
        <v>7361</v>
      </c>
      <c r="H72" s="358">
        <f t="shared" si="49"/>
        <v>7477</v>
      </c>
      <c r="I72" s="358">
        <f t="shared" si="49"/>
        <v>7118</v>
      </c>
      <c r="J72" s="358">
        <f t="shared" si="49"/>
        <v>4263</v>
      </c>
      <c r="K72" s="358">
        <f t="shared" si="49"/>
        <v>4664</v>
      </c>
      <c r="L72" s="358">
        <f t="shared" si="49"/>
        <v>4995</v>
      </c>
      <c r="M72" s="358">
        <f t="shared" si="49"/>
        <v>5102</v>
      </c>
      <c r="N72" s="358">
        <f t="shared" si="49"/>
        <v>5427</v>
      </c>
      <c r="O72" s="358">
        <f t="shared" si="49"/>
        <v>6068</v>
      </c>
      <c r="P72" s="358">
        <f t="shared" si="49"/>
        <v>6552</v>
      </c>
      <c r="Q72" s="358">
        <f t="shared" si="49"/>
        <v>6686</v>
      </c>
      <c r="R72" s="358">
        <f t="shared" si="49"/>
        <v>7340.9654095701662</v>
      </c>
      <c r="S72" s="358">
        <f t="shared" si="49"/>
        <v>7733.3714405625306</v>
      </c>
      <c r="T72" s="358">
        <f t="shared" si="49"/>
        <v>8016.4951864509112</v>
      </c>
      <c r="V72" s="358">
        <f t="shared" ref="V72:AD72" si="50">V67-SUM(V69:V71)</f>
        <v>26583</v>
      </c>
      <c r="W72" s="358">
        <f t="shared" si="50"/>
        <v>27825</v>
      </c>
      <c r="X72" s="358">
        <f t="shared" si="50"/>
        <v>29100</v>
      </c>
      <c r="Y72" s="358">
        <f t="shared" si="50"/>
        <v>21040</v>
      </c>
      <c r="Z72" s="358">
        <f t="shared" si="50"/>
        <v>23149</v>
      </c>
      <c r="AA72" s="358">
        <f t="shared" si="50"/>
        <v>29776.832036583604</v>
      </c>
      <c r="AB72" s="358">
        <f t="shared" si="50"/>
        <v>31771.652794834023</v>
      </c>
      <c r="AC72" s="358">
        <f t="shared" si="50"/>
        <v>33777.591308897361</v>
      </c>
      <c r="AD72" s="358">
        <f t="shared" si="50"/>
        <v>34345.153596104719</v>
      </c>
    </row>
    <row r="73" spans="3:30" s="293" customFormat="1" ht="11.25" customHeight="1">
      <c r="C73" s="400"/>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row>
    <row r="74" spans="3:30" ht="11.25" customHeight="1">
      <c r="C74" s="253" t="s">
        <v>367</v>
      </c>
      <c r="E74" s="254">
        <f t="shared" ref="E74:T74" si="51">E13-E65</f>
        <v>495</v>
      </c>
      <c r="F74" s="254">
        <f t="shared" si="51"/>
        <v>1472</v>
      </c>
      <c r="G74" s="254">
        <f t="shared" si="51"/>
        <v>1473</v>
      </c>
      <c r="H74" s="254">
        <f t="shared" si="51"/>
        <v>861</v>
      </c>
      <c r="I74" s="254">
        <f t="shared" si="51"/>
        <v>-972</v>
      </c>
      <c r="J74" s="254">
        <f t="shared" si="51"/>
        <v>-1637</v>
      </c>
      <c r="K74" s="254">
        <f t="shared" si="51"/>
        <v>-1615</v>
      </c>
      <c r="L74" s="254">
        <f t="shared" si="51"/>
        <v>-2135</v>
      </c>
      <c r="M74" s="254">
        <f t="shared" si="51"/>
        <v>-1381</v>
      </c>
      <c r="N74" s="254">
        <f t="shared" si="51"/>
        <v>-270</v>
      </c>
      <c r="O74" s="254">
        <f t="shared" si="51"/>
        <v>1037</v>
      </c>
      <c r="P74" s="254">
        <f t="shared" si="51"/>
        <v>-408</v>
      </c>
      <c r="Q74" s="254">
        <f t="shared" si="51"/>
        <v>-1376</v>
      </c>
      <c r="R74" s="254">
        <f t="shared" si="51"/>
        <v>137.08787483757806</v>
      </c>
      <c r="S74" s="254">
        <f t="shared" si="51"/>
        <v>449.50782079555029</v>
      </c>
      <c r="T74" s="254">
        <f t="shared" si="51"/>
        <v>298.52975908663757</v>
      </c>
      <c r="V74" s="254">
        <f>V13-V65</f>
        <v>3618</v>
      </c>
      <c r="W74" s="254">
        <f>W13-W65</f>
        <v>3229</v>
      </c>
      <c r="X74" s="255">
        <f t="shared" ref="X74:AA75" si="52">SUMIF($E$5:$T$5,X$5,$E74:$T74)</f>
        <v>4301</v>
      </c>
      <c r="Y74" s="255">
        <f t="shared" si="52"/>
        <v>-6359</v>
      </c>
      <c r="Z74" s="255">
        <f t="shared" si="52"/>
        <v>-1022</v>
      </c>
      <c r="AA74" s="255">
        <f t="shared" si="52"/>
        <v>-490.87454528023409</v>
      </c>
      <c r="AB74" s="254">
        <f>AB13-AB65</f>
        <v>3070.7853915403903</v>
      </c>
      <c r="AC74" s="254">
        <f>AC13-AC65</f>
        <v>4675.0370485969543</v>
      </c>
      <c r="AD74" s="254">
        <f>AD13-AD65</f>
        <v>4392.0320720861127</v>
      </c>
    </row>
    <row r="75" spans="3:30" ht="11.25" customHeight="1">
      <c r="C75" s="253" t="s">
        <v>295</v>
      </c>
      <c r="E75" s="254">
        <f t="shared" ref="E75:T75" si="53">E$27</f>
        <v>18</v>
      </c>
      <c r="F75" s="254">
        <f t="shared" si="53"/>
        <v>71</v>
      </c>
      <c r="G75" s="254">
        <f t="shared" si="53"/>
        <v>27</v>
      </c>
      <c r="H75" s="254">
        <f t="shared" si="53"/>
        <v>130</v>
      </c>
      <c r="I75" s="254">
        <f t="shared" si="53"/>
        <v>63</v>
      </c>
      <c r="J75" s="254">
        <f t="shared" si="53"/>
        <v>-1449</v>
      </c>
      <c r="K75" s="254">
        <f t="shared" si="53"/>
        <v>-1081</v>
      </c>
      <c r="L75" s="254">
        <f t="shared" si="53"/>
        <v>-149</v>
      </c>
      <c r="M75" s="254">
        <f t="shared" si="53"/>
        <v>-1377</v>
      </c>
      <c r="N75" s="254">
        <f t="shared" si="53"/>
        <v>-948</v>
      </c>
      <c r="O75" s="254">
        <f t="shared" si="53"/>
        <v>-1098</v>
      </c>
      <c r="P75" s="254">
        <f t="shared" si="53"/>
        <v>56</v>
      </c>
      <c r="Q75" s="254">
        <f t="shared" si="53"/>
        <v>-8</v>
      </c>
      <c r="R75" s="254">
        <f t="shared" si="53"/>
        <v>0</v>
      </c>
      <c r="S75" s="254">
        <f t="shared" si="53"/>
        <v>0</v>
      </c>
      <c r="T75" s="254">
        <f t="shared" si="53"/>
        <v>0</v>
      </c>
      <c r="V75" s="254">
        <f>V$27</f>
        <v>176</v>
      </c>
      <c r="W75" s="254">
        <f>W$27</f>
        <v>487</v>
      </c>
      <c r="X75" s="255">
        <f t="shared" si="52"/>
        <v>246</v>
      </c>
      <c r="Y75" s="255">
        <f t="shared" si="52"/>
        <v>-2616</v>
      </c>
      <c r="Z75" s="255">
        <f t="shared" si="52"/>
        <v>-3367</v>
      </c>
      <c r="AA75" s="255">
        <f t="shared" si="52"/>
        <v>-8</v>
      </c>
      <c r="AB75" s="254">
        <f>AB$27</f>
        <v>0</v>
      </c>
      <c r="AC75" s="254">
        <f>AC$27</f>
        <v>0</v>
      </c>
      <c r="AD75" s="254">
        <f>AD$27</f>
        <v>0</v>
      </c>
    </row>
    <row r="76" spans="3:30" ht="11.25" customHeight="1">
      <c r="C76" s="289" t="s">
        <v>560</v>
      </c>
      <c r="E76" s="358">
        <f t="shared" ref="E76:T76" si="54">SUM(E74:E75)</f>
        <v>513</v>
      </c>
      <c r="F76" s="358">
        <f t="shared" si="54"/>
        <v>1543</v>
      </c>
      <c r="G76" s="358">
        <f t="shared" si="54"/>
        <v>1500</v>
      </c>
      <c r="H76" s="358">
        <f t="shared" si="54"/>
        <v>991</v>
      </c>
      <c r="I76" s="358">
        <f t="shared" si="54"/>
        <v>-909</v>
      </c>
      <c r="J76" s="358">
        <f t="shared" si="54"/>
        <v>-3086</v>
      </c>
      <c r="K76" s="358">
        <f t="shared" si="54"/>
        <v>-2696</v>
      </c>
      <c r="L76" s="358">
        <f t="shared" si="54"/>
        <v>-2284</v>
      </c>
      <c r="M76" s="358">
        <f t="shared" si="54"/>
        <v>-2758</v>
      </c>
      <c r="N76" s="358">
        <f t="shared" si="54"/>
        <v>-1218</v>
      </c>
      <c r="O76" s="358">
        <f t="shared" si="54"/>
        <v>-61</v>
      </c>
      <c r="P76" s="358">
        <f t="shared" si="54"/>
        <v>-352</v>
      </c>
      <c r="Q76" s="358">
        <f t="shared" si="54"/>
        <v>-1384</v>
      </c>
      <c r="R76" s="358">
        <f t="shared" si="54"/>
        <v>137.08787483757806</v>
      </c>
      <c r="S76" s="358">
        <f t="shared" si="54"/>
        <v>449.50782079555029</v>
      </c>
      <c r="T76" s="358">
        <f t="shared" si="54"/>
        <v>298.52975908663757</v>
      </c>
      <c r="V76" s="358">
        <f t="shared" ref="V76:AD76" si="55">SUM(V74:V75)</f>
        <v>3794</v>
      </c>
      <c r="W76" s="358">
        <f t="shared" si="55"/>
        <v>3716</v>
      </c>
      <c r="X76" s="358">
        <f t="shared" si="55"/>
        <v>4547</v>
      </c>
      <c r="Y76" s="358">
        <f t="shared" si="55"/>
        <v>-8975</v>
      </c>
      <c r="Z76" s="358">
        <f t="shared" si="55"/>
        <v>-4389</v>
      </c>
      <c r="AA76" s="358">
        <f t="shared" si="55"/>
        <v>-498.87454528023409</v>
      </c>
      <c r="AB76" s="358">
        <f t="shared" si="55"/>
        <v>3070.7853915403903</v>
      </c>
      <c r="AC76" s="358">
        <f t="shared" si="55"/>
        <v>4675.0370485969543</v>
      </c>
      <c r="AD76" s="358">
        <f t="shared" si="55"/>
        <v>4392.0320720861127</v>
      </c>
    </row>
    <row r="77" spans="3:30" ht="3" customHeight="1">
      <c r="E77" s="254"/>
      <c r="F77" s="254"/>
      <c r="G77" s="254"/>
      <c r="H77" s="254"/>
      <c r="I77" s="254"/>
      <c r="J77" s="254"/>
      <c r="K77" s="254"/>
      <c r="L77" s="254"/>
      <c r="M77" s="254"/>
      <c r="N77" s="254"/>
      <c r="O77" s="254"/>
      <c r="P77" s="254"/>
      <c r="Q77" s="255"/>
      <c r="R77" s="255"/>
      <c r="S77" s="255"/>
      <c r="T77" s="255"/>
      <c r="V77" s="255"/>
      <c r="W77" s="255"/>
      <c r="AB77" s="255"/>
      <c r="AC77" s="255"/>
      <c r="AD77" s="255"/>
    </row>
    <row r="78" spans="3:30" ht="11.25" customHeight="1">
      <c r="E78" s="254"/>
      <c r="F78" s="254"/>
      <c r="G78" s="254"/>
      <c r="H78" s="254"/>
      <c r="I78" s="254"/>
      <c r="J78" s="254"/>
      <c r="K78" s="254"/>
      <c r="L78" s="254"/>
      <c r="M78" s="254"/>
      <c r="N78" s="254"/>
      <c r="O78" s="254"/>
      <c r="P78" s="254"/>
      <c r="Q78" s="255"/>
      <c r="R78" s="255"/>
      <c r="S78" s="255"/>
      <c r="T78" s="255"/>
      <c r="V78" s="255"/>
      <c r="W78" s="255"/>
      <c r="AB78" s="255"/>
      <c r="AC78" s="255"/>
      <c r="AD78" s="255"/>
    </row>
    <row r="79" spans="3:30" ht="11.25" customHeight="1">
      <c r="C79" s="397" t="s">
        <v>301</v>
      </c>
      <c r="E79" s="254">
        <f t="shared" ref="E79:Q79" si="56">E34</f>
        <v>8</v>
      </c>
      <c r="F79" s="254">
        <f t="shared" si="56"/>
        <v>20</v>
      </c>
      <c r="G79" s="254">
        <f t="shared" si="56"/>
        <v>12</v>
      </c>
      <c r="H79" s="254">
        <f t="shared" si="56"/>
        <v>-13</v>
      </c>
      <c r="I79" s="254">
        <f t="shared" si="56"/>
        <v>699</v>
      </c>
      <c r="J79" s="254">
        <f t="shared" si="56"/>
        <v>207</v>
      </c>
      <c r="K79" s="254">
        <f t="shared" si="56"/>
        <v>411</v>
      </c>
      <c r="L79" s="254">
        <f t="shared" si="56"/>
        <v>10</v>
      </c>
      <c r="M79" s="254">
        <f t="shared" si="56"/>
        <v>19</v>
      </c>
      <c r="N79" s="254">
        <f t="shared" si="56"/>
        <v>49</v>
      </c>
      <c r="O79" s="254">
        <f t="shared" si="56"/>
        <v>-20</v>
      </c>
      <c r="P79" s="254">
        <f t="shared" si="56"/>
        <v>-88</v>
      </c>
      <c r="Q79" s="254">
        <f t="shared" si="56"/>
        <v>-19</v>
      </c>
      <c r="R79" s="255">
        <f>SUM(R80:R83)</f>
        <v>0</v>
      </c>
      <c r="S79" s="255">
        <f>SUM(S80:S83)</f>
        <v>0</v>
      </c>
      <c r="T79" s="255">
        <f>SUM(T80:T83)</f>
        <v>0</v>
      </c>
      <c r="V79" s="254">
        <f t="shared" ref="V79:AA79" si="57">V34</f>
        <v>100</v>
      </c>
      <c r="W79" s="254">
        <f t="shared" si="57"/>
        <v>72</v>
      </c>
      <c r="X79" s="254">
        <f t="shared" si="57"/>
        <v>27</v>
      </c>
      <c r="Y79" s="254">
        <f t="shared" si="57"/>
        <v>1327</v>
      </c>
      <c r="Z79" s="254">
        <f t="shared" si="57"/>
        <v>-40</v>
      </c>
      <c r="AA79" s="254">
        <f t="shared" si="57"/>
        <v>-19</v>
      </c>
      <c r="AB79" s="255">
        <f>SUM(AB80:AB83)</f>
        <v>0</v>
      </c>
      <c r="AC79" s="255">
        <f>SUM(AC80:AC83)</f>
        <v>0</v>
      </c>
      <c r="AD79" s="255">
        <f>SUM(AD80:AD83)</f>
        <v>0</v>
      </c>
    </row>
    <row r="80" spans="3:30" ht="11.25" customHeight="1">
      <c r="C80" s="384" t="s">
        <v>449</v>
      </c>
      <c r="E80" s="254">
        <f t="shared" ref="E80:P80" si="58">E93</f>
        <v>0</v>
      </c>
      <c r="F80" s="254">
        <f t="shared" si="58"/>
        <v>0</v>
      </c>
      <c r="G80" s="254">
        <f t="shared" si="58"/>
        <v>0</v>
      </c>
      <c r="H80" s="254">
        <f t="shared" si="58"/>
        <v>0</v>
      </c>
      <c r="I80" s="254">
        <f t="shared" si="58"/>
        <v>0</v>
      </c>
      <c r="J80" s="254">
        <f t="shared" si="58"/>
        <v>231</v>
      </c>
      <c r="K80" s="254">
        <f t="shared" si="58"/>
        <v>415</v>
      </c>
      <c r="L80" s="254">
        <f t="shared" si="58"/>
        <v>41</v>
      </c>
      <c r="M80" s="254">
        <f t="shared" si="58"/>
        <v>46</v>
      </c>
      <c r="N80" s="254">
        <f t="shared" si="58"/>
        <v>0</v>
      </c>
      <c r="O80" s="254">
        <f t="shared" si="58"/>
        <v>0</v>
      </c>
      <c r="P80" s="254">
        <f t="shared" si="58"/>
        <v>-15</v>
      </c>
      <c r="Q80" s="254">
        <f>Q93</f>
        <v>0</v>
      </c>
      <c r="R80" s="277">
        <v>0</v>
      </c>
      <c r="S80" s="277">
        <v>0</v>
      </c>
      <c r="T80" s="277">
        <v>0</v>
      </c>
      <c r="V80" s="254">
        <f t="shared" ref="V80:AA80" si="59">V93</f>
        <v>0</v>
      </c>
      <c r="W80" s="254">
        <f t="shared" si="59"/>
        <v>0</v>
      </c>
      <c r="X80" s="254">
        <f t="shared" si="59"/>
        <v>0</v>
      </c>
      <c r="Y80" s="254">
        <f t="shared" si="59"/>
        <v>687</v>
      </c>
      <c r="Z80" s="254">
        <f t="shared" si="59"/>
        <v>31</v>
      </c>
      <c r="AA80" s="254">
        <f t="shared" si="59"/>
        <v>0</v>
      </c>
      <c r="AB80" s="277">
        <v>0</v>
      </c>
      <c r="AC80" s="277">
        <v>0</v>
      </c>
      <c r="AD80" s="277">
        <v>0</v>
      </c>
    </row>
    <row r="81" spans="3:30" ht="11.25" customHeight="1">
      <c r="C81" s="384" t="s">
        <v>430</v>
      </c>
      <c r="E81" s="254">
        <f t="shared" ref="E81:P81" si="60">E92</f>
        <v>0</v>
      </c>
      <c r="F81" s="254">
        <f t="shared" si="60"/>
        <v>0</v>
      </c>
      <c r="G81" s="254">
        <f t="shared" si="60"/>
        <v>0</v>
      </c>
      <c r="H81" s="254">
        <f t="shared" si="60"/>
        <v>0</v>
      </c>
      <c r="I81" s="254">
        <f t="shared" si="60"/>
        <v>0</v>
      </c>
      <c r="J81" s="254">
        <f t="shared" si="60"/>
        <v>0</v>
      </c>
      <c r="K81" s="254">
        <f t="shared" si="60"/>
        <v>0</v>
      </c>
      <c r="L81" s="254">
        <f t="shared" si="60"/>
        <v>0</v>
      </c>
      <c r="M81" s="254">
        <f t="shared" si="60"/>
        <v>0</v>
      </c>
      <c r="N81" s="254">
        <f t="shared" si="60"/>
        <v>62</v>
      </c>
      <c r="O81" s="254">
        <f t="shared" si="60"/>
        <v>-12</v>
      </c>
      <c r="P81" s="254">
        <f t="shared" si="60"/>
        <v>0</v>
      </c>
      <c r="Q81" s="254">
        <f>Q92</f>
        <v>7</v>
      </c>
      <c r="R81" s="277">
        <v>0</v>
      </c>
      <c r="S81" s="277">
        <v>0</v>
      </c>
      <c r="T81" s="277">
        <v>0</v>
      </c>
      <c r="V81" s="254">
        <f t="shared" ref="V81:AA81" si="61">V92</f>
        <v>0</v>
      </c>
      <c r="W81" s="254">
        <f t="shared" si="61"/>
        <v>0</v>
      </c>
      <c r="X81" s="254">
        <f t="shared" si="61"/>
        <v>0</v>
      </c>
      <c r="Y81" s="254">
        <f t="shared" si="61"/>
        <v>0</v>
      </c>
      <c r="Z81" s="254">
        <f t="shared" si="61"/>
        <v>50</v>
      </c>
      <c r="AA81" s="254">
        <f t="shared" si="61"/>
        <v>7</v>
      </c>
      <c r="AB81" s="277">
        <v>0</v>
      </c>
      <c r="AC81" s="277">
        <v>0</v>
      </c>
      <c r="AD81" s="277">
        <v>0</v>
      </c>
    </row>
    <row r="82" spans="3:30" ht="11.25" customHeight="1">
      <c r="C82" s="384" t="s">
        <v>450</v>
      </c>
      <c r="E82" s="254">
        <f t="shared" ref="E82:P82" si="62">E94</f>
        <v>0</v>
      </c>
      <c r="F82" s="254">
        <f t="shared" si="62"/>
        <v>0</v>
      </c>
      <c r="G82" s="254">
        <f t="shared" si="62"/>
        <v>0</v>
      </c>
      <c r="H82" s="254">
        <f t="shared" si="62"/>
        <v>0</v>
      </c>
      <c r="I82" s="254">
        <f t="shared" si="62"/>
        <v>697</v>
      </c>
      <c r="J82" s="254">
        <f t="shared" si="62"/>
        <v>0</v>
      </c>
      <c r="K82" s="254">
        <f t="shared" si="62"/>
        <v>0</v>
      </c>
      <c r="L82" s="254">
        <f t="shared" si="62"/>
        <v>0</v>
      </c>
      <c r="M82" s="254">
        <f t="shared" si="62"/>
        <v>0</v>
      </c>
      <c r="N82" s="254">
        <f t="shared" si="62"/>
        <v>0</v>
      </c>
      <c r="O82" s="254">
        <f t="shared" si="62"/>
        <v>0</v>
      </c>
      <c r="P82" s="254">
        <f t="shared" si="62"/>
        <v>0</v>
      </c>
      <c r="Q82" s="254">
        <f>Q94</f>
        <v>0</v>
      </c>
      <c r="R82" s="277">
        <v>0</v>
      </c>
      <c r="S82" s="277">
        <v>0</v>
      </c>
      <c r="T82" s="277">
        <v>0</v>
      </c>
      <c r="V82" s="254">
        <f t="shared" ref="V82:AA82" si="63">V94</f>
        <v>0</v>
      </c>
      <c r="W82" s="254">
        <f t="shared" si="63"/>
        <v>0</v>
      </c>
      <c r="X82" s="254">
        <f t="shared" si="63"/>
        <v>0</v>
      </c>
      <c r="Y82" s="254">
        <f t="shared" si="63"/>
        <v>697</v>
      </c>
      <c r="Z82" s="254">
        <f t="shared" si="63"/>
        <v>0</v>
      </c>
      <c r="AA82" s="254">
        <f t="shared" si="63"/>
        <v>0</v>
      </c>
      <c r="AB82" s="277">
        <v>0</v>
      </c>
      <c r="AC82" s="277">
        <v>0</v>
      </c>
      <c r="AD82" s="277">
        <v>0</v>
      </c>
    </row>
    <row r="83" spans="3:30" ht="11.25" customHeight="1">
      <c r="C83" s="289" t="s">
        <v>420</v>
      </c>
      <c r="E83" s="357">
        <f t="shared" ref="E83:P83" si="64">E79-SUM(E80:E82)</f>
        <v>8</v>
      </c>
      <c r="F83" s="357">
        <f t="shared" si="64"/>
        <v>20</v>
      </c>
      <c r="G83" s="357">
        <f t="shared" si="64"/>
        <v>12</v>
      </c>
      <c r="H83" s="357">
        <f t="shared" si="64"/>
        <v>-13</v>
      </c>
      <c r="I83" s="357">
        <f t="shared" si="64"/>
        <v>2</v>
      </c>
      <c r="J83" s="357">
        <f t="shared" si="64"/>
        <v>-24</v>
      </c>
      <c r="K83" s="357">
        <f t="shared" si="64"/>
        <v>-4</v>
      </c>
      <c r="L83" s="357">
        <f t="shared" si="64"/>
        <v>-31</v>
      </c>
      <c r="M83" s="357">
        <f t="shared" si="64"/>
        <v>-27</v>
      </c>
      <c r="N83" s="357">
        <f t="shared" si="64"/>
        <v>-13</v>
      </c>
      <c r="O83" s="357">
        <f t="shared" si="64"/>
        <v>-8</v>
      </c>
      <c r="P83" s="357">
        <f t="shared" si="64"/>
        <v>-73</v>
      </c>
      <c r="Q83" s="357">
        <f>Q79-SUM(Q80:Q82)</f>
        <v>-26</v>
      </c>
      <c r="R83" s="482">
        <f>'UAL KPI'!R27</f>
        <v>0</v>
      </c>
      <c r="S83" s="482">
        <f>'UAL KPI'!S27</f>
        <v>0</v>
      </c>
      <c r="T83" s="482">
        <f>'UAL KPI'!T27</f>
        <v>0</v>
      </c>
      <c r="V83" s="357">
        <f t="shared" ref="V83:AA83" si="65">V79-SUM(V80:V82)</f>
        <v>100</v>
      </c>
      <c r="W83" s="357">
        <f t="shared" si="65"/>
        <v>72</v>
      </c>
      <c r="X83" s="357">
        <f t="shared" si="65"/>
        <v>27</v>
      </c>
      <c r="Y83" s="357">
        <f t="shared" si="65"/>
        <v>-57</v>
      </c>
      <c r="Z83" s="357">
        <f t="shared" si="65"/>
        <v>-121</v>
      </c>
      <c r="AA83" s="357">
        <f t="shared" si="65"/>
        <v>-26</v>
      </c>
      <c r="AB83" s="482">
        <f>'UAL KPI'!AB27</f>
        <v>0</v>
      </c>
      <c r="AC83" s="482">
        <f>'UAL KPI'!AC27</f>
        <v>0</v>
      </c>
      <c r="AD83" s="482">
        <f>'UAL KPI'!AD27</f>
        <v>0</v>
      </c>
    </row>
    <row r="84" spans="3:30" ht="11.25" customHeight="1">
      <c r="E84" s="484"/>
      <c r="F84" s="484"/>
      <c r="G84" s="484"/>
      <c r="H84" s="484"/>
      <c r="I84" s="484"/>
      <c r="J84" s="484"/>
      <c r="K84" s="484"/>
      <c r="L84" s="484"/>
      <c r="M84" s="484"/>
      <c r="N84" s="484"/>
      <c r="O84" s="484"/>
      <c r="P84" s="484"/>
      <c r="Q84" s="484"/>
      <c r="V84" s="484"/>
      <c r="W84" s="484"/>
      <c r="X84" s="484"/>
      <c r="Y84" s="484"/>
      <c r="Z84" s="484"/>
      <c r="AA84" s="484"/>
    </row>
    <row r="85" spans="3:30" ht="11.25" customHeight="1">
      <c r="C85" s="397" t="s">
        <v>298</v>
      </c>
      <c r="E85" s="254">
        <f t="shared" ref="E85:Q85" si="66">E30</f>
        <v>188</v>
      </c>
      <c r="F85" s="254">
        <f t="shared" si="66"/>
        <v>191</v>
      </c>
      <c r="G85" s="254">
        <f t="shared" si="66"/>
        <v>191</v>
      </c>
      <c r="H85" s="254">
        <f t="shared" si="66"/>
        <v>161</v>
      </c>
      <c r="I85" s="254">
        <f t="shared" si="66"/>
        <v>171</v>
      </c>
      <c r="J85" s="254">
        <f t="shared" si="66"/>
        <v>196</v>
      </c>
      <c r="K85" s="254">
        <f t="shared" si="66"/>
        <v>345</v>
      </c>
      <c r="L85" s="254">
        <f t="shared" si="66"/>
        <v>351</v>
      </c>
      <c r="M85" s="254">
        <f t="shared" si="66"/>
        <v>353</v>
      </c>
      <c r="N85" s="254">
        <f t="shared" si="66"/>
        <v>426</v>
      </c>
      <c r="O85" s="254">
        <f t="shared" si="66"/>
        <v>449</v>
      </c>
      <c r="P85" s="254">
        <f t="shared" si="66"/>
        <v>429</v>
      </c>
      <c r="Q85" s="254">
        <f t="shared" si="66"/>
        <v>424</v>
      </c>
      <c r="R85" s="255">
        <f ca="1">SUM(R86:R87)</f>
        <v>337.23713837589924</v>
      </c>
      <c r="S85" s="255">
        <f ca="1">SUM(S86:S87)</f>
        <v>344.65161278956839</v>
      </c>
      <c r="T85" s="255">
        <f ca="1">SUM(T86:T87)</f>
        <v>352.20988666366901</v>
      </c>
      <c r="V85" s="254">
        <f t="shared" ref="V85:AA85" si="67">V30</f>
        <v>626</v>
      </c>
      <c r="W85" s="254">
        <f t="shared" si="67"/>
        <v>670</v>
      </c>
      <c r="X85" s="254">
        <f t="shared" si="67"/>
        <v>731</v>
      </c>
      <c r="Y85" s="254">
        <f t="shared" si="67"/>
        <v>1063</v>
      </c>
      <c r="Z85" s="254">
        <f t="shared" si="67"/>
        <v>1657</v>
      </c>
      <c r="AA85" s="254">
        <f t="shared" ca="1" si="67"/>
        <v>1458.0986378291366</v>
      </c>
      <c r="AB85" s="255">
        <f ca="1">SUM(AB86:AB87)</f>
        <v>1501.6765299999997</v>
      </c>
      <c r="AC85" s="255">
        <f ca="1">SUM(AC86:AC87)</f>
        <v>1575.5263940000004</v>
      </c>
      <c r="AD85" s="255">
        <f ca="1">SUM(AD86:AD87)</f>
        <v>1576.3843830000001</v>
      </c>
    </row>
    <row r="86" spans="3:30" ht="11.25" customHeight="1">
      <c r="C86" s="384" t="s">
        <v>451</v>
      </c>
      <c r="E86" s="254">
        <f t="shared" ref="E86:P86" si="68">E95</f>
        <v>21</v>
      </c>
      <c r="F86" s="254">
        <f t="shared" si="68"/>
        <v>25</v>
      </c>
      <c r="G86" s="254">
        <f t="shared" si="68"/>
        <v>22</v>
      </c>
      <c r="H86" s="254">
        <f t="shared" si="68"/>
        <v>-4</v>
      </c>
      <c r="I86" s="254">
        <f t="shared" si="68"/>
        <v>0</v>
      </c>
      <c r="J86" s="254">
        <f t="shared" si="68"/>
        <v>0</v>
      </c>
      <c r="K86" s="254">
        <f t="shared" si="68"/>
        <v>0</v>
      </c>
      <c r="L86" s="254">
        <f t="shared" si="68"/>
        <v>0</v>
      </c>
      <c r="M86" s="254">
        <f t="shared" si="68"/>
        <v>0</v>
      </c>
      <c r="N86" s="254">
        <f t="shared" si="68"/>
        <v>0</v>
      </c>
      <c r="O86" s="254">
        <f t="shared" si="68"/>
        <v>0</v>
      </c>
      <c r="P86" s="254">
        <f t="shared" si="68"/>
        <v>0</v>
      </c>
      <c r="Q86" s="254">
        <f>Q95</f>
        <v>0</v>
      </c>
      <c r="R86" s="277">
        <v>0</v>
      </c>
      <c r="S86" s="277">
        <v>0</v>
      </c>
      <c r="T86" s="277">
        <v>0</v>
      </c>
      <c r="V86" s="254">
        <f t="shared" ref="V86:AA86" si="69">V95</f>
        <v>0</v>
      </c>
      <c r="W86" s="254">
        <f t="shared" si="69"/>
        <v>26</v>
      </c>
      <c r="X86" s="254">
        <f t="shared" si="69"/>
        <v>64</v>
      </c>
      <c r="Y86" s="254">
        <f t="shared" si="69"/>
        <v>0</v>
      </c>
      <c r="Z86" s="254">
        <f t="shared" si="69"/>
        <v>0</v>
      </c>
      <c r="AA86" s="254">
        <f t="shared" si="69"/>
        <v>0</v>
      </c>
      <c r="AB86" s="277">
        <v>0</v>
      </c>
      <c r="AC86" s="277">
        <v>0</v>
      </c>
      <c r="AD86" s="277">
        <v>0</v>
      </c>
    </row>
    <row r="87" spans="3:30" s="279" customFormat="1" ht="11.25" customHeight="1">
      <c r="C87" s="289" t="s">
        <v>422</v>
      </c>
      <c r="E87" s="485">
        <f t="shared" ref="E87:P87" si="70">E85-E86</f>
        <v>167</v>
      </c>
      <c r="F87" s="485">
        <f t="shared" si="70"/>
        <v>166</v>
      </c>
      <c r="G87" s="485">
        <f t="shared" si="70"/>
        <v>169</v>
      </c>
      <c r="H87" s="485">
        <f t="shared" si="70"/>
        <v>165</v>
      </c>
      <c r="I87" s="485">
        <f t="shared" si="70"/>
        <v>171</v>
      </c>
      <c r="J87" s="485">
        <f t="shared" si="70"/>
        <v>196</v>
      </c>
      <c r="K87" s="485">
        <f t="shared" si="70"/>
        <v>345</v>
      </c>
      <c r="L87" s="485">
        <f t="shared" si="70"/>
        <v>351</v>
      </c>
      <c r="M87" s="485">
        <f t="shared" si="70"/>
        <v>353</v>
      </c>
      <c r="N87" s="485">
        <f t="shared" si="70"/>
        <v>426</v>
      </c>
      <c r="O87" s="485">
        <f t="shared" si="70"/>
        <v>449</v>
      </c>
      <c r="P87" s="485">
        <f t="shared" si="70"/>
        <v>429</v>
      </c>
      <c r="Q87" s="485">
        <f>Q85-Q86</f>
        <v>424</v>
      </c>
      <c r="R87" s="482">
        <f ca="1">'UAL Debt'!R117</f>
        <v>337.23713837589924</v>
      </c>
      <c r="S87" s="482">
        <f ca="1">'UAL Debt'!S117</f>
        <v>344.65161278956839</v>
      </c>
      <c r="T87" s="482">
        <f ca="1">'UAL Debt'!T117</f>
        <v>352.20988666366901</v>
      </c>
      <c r="V87" s="485">
        <f t="shared" ref="V87:AA87" si="71">V85-V86</f>
        <v>626</v>
      </c>
      <c r="W87" s="485">
        <f t="shared" si="71"/>
        <v>644</v>
      </c>
      <c r="X87" s="485">
        <f t="shared" si="71"/>
        <v>667</v>
      </c>
      <c r="Y87" s="485">
        <f t="shared" si="71"/>
        <v>1063</v>
      </c>
      <c r="Z87" s="485">
        <f t="shared" si="71"/>
        <v>1657</v>
      </c>
      <c r="AA87" s="485">
        <f t="shared" ca="1" si="71"/>
        <v>1458.0986378291366</v>
      </c>
      <c r="AB87" s="482">
        <f ca="1">'UAL Debt'!AB117</f>
        <v>1501.6765299999997</v>
      </c>
      <c r="AC87" s="482">
        <f ca="1">'UAL Debt'!AC117</f>
        <v>1575.5263940000004</v>
      </c>
      <c r="AD87" s="482">
        <f ca="1">'UAL Debt'!AD117</f>
        <v>1576.3843830000001</v>
      </c>
    </row>
    <row r="88" spans="3:30" ht="11.25" customHeight="1">
      <c r="E88" s="484"/>
      <c r="F88" s="484"/>
      <c r="G88" s="484"/>
      <c r="H88" s="484"/>
      <c r="I88" s="484"/>
      <c r="J88" s="484"/>
      <c r="K88" s="484"/>
      <c r="L88" s="484"/>
      <c r="M88" s="484"/>
      <c r="N88" s="484"/>
      <c r="O88" s="484"/>
      <c r="P88" s="484"/>
      <c r="Q88" s="484"/>
      <c r="V88" s="484"/>
      <c r="W88" s="484"/>
      <c r="X88" s="484"/>
      <c r="Y88" s="484"/>
      <c r="Z88" s="484"/>
      <c r="AA88" s="484"/>
    </row>
    <row r="89" spans="3:30" ht="11.25" customHeight="1">
      <c r="C89" s="397" t="s">
        <v>369</v>
      </c>
      <c r="E89" s="254">
        <f t="shared" ref="E89:T89" si="72">E35</f>
        <v>367</v>
      </c>
      <c r="F89" s="254">
        <f t="shared" si="72"/>
        <v>1354</v>
      </c>
      <c r="G89" s="254">
        <f t="shared" si="72"/>
        <v>1349</v>
      </c>
      <c r="H89" s="254">
        <f t="shared" si="72"/>
        <v>844</v>
      </c>
      <c r="I89" s="254">
        <f t="shared" si="72"/>
        <v>-2114</v>
      </c>
      <c r="J89" s="254">
        <f t="shared" si="72"/>
        <v>-2003</v>
      </c>
      <c r="K89" s="254">
        <f t="shared" si="72"/>
        <v>-2332</v>
      </c>
      <c r="L89" s="254">
        <f t="shared" si="72"/>
        <v>-2373</v>
      </c>
      <c r="M89" s="254">
        <f t="shared" si="72"/>
        <v>-1751</v>
      </c>
      <c r="N89" s="254">
        <f t="shared" si="72"/>
        <v>-564</v>
      </c>
      <c r="O89" s="254">
        <f t="shared" si="72"/>
        <v>603</v>
      </c>
      <c r="P89" s="254">
        <f t="shared" si="72"/>
        <v>-845</v>
      </c>
      <c r="Q89" s="254">
        <f t="shared" si="72"/>
        <v>-1752</v>
      </c>
      <c r="R89" s="254">
        <f t="shared" ca="1" si="72"/>
        <v>-194.17380985330681</v>
      </c>
      <c r="S89" s="254">
        <f t="shared" ca="1" si="72"/>
        <v>110.92218126856557</v>
      </c>
      <c r="T89" s="254">
        <f t="shared" ca="1" si="72"/>
        <v>-48.014982680563094</v>
      </c>
      <c r="V89" s="254">
        <f>V35</f>
        <v>3023</v>
      </c>
      <c r="W89" s="254">
        <f>W35</f>
        <v>2648</v>
      </c>
      <c r="X89" s="255">
        <f t="shared" ref="X89:AA95" si="73">SUMIF($E$5:$T$5,X$5,$E89:$T89)</f>
        <v>3914</v>
      </c>
      <c r="Y89" s="255">
        <f t="shared" si="73"/>
        <v>-8822</v>
      </c>
      <c r="Z89" s="255">
        <f t="shared" si="73"/>
        <v>-2557</v>
      </c>
      <c r="AA89" s="255">
        <f t="shared" ca="1" si="73"/>
        <v>-1883.2666112653046</v>
      </c>
      <c r="AB89" s="254">
        <f ca="1">AB35</f>
        <v>1594.8190966924194</v>
      </c>
      <c r="AC89" s="254">
        <f ca="1">AC35</f>
        <v>3131.6254943793165</v>
      </c>
      <c r="AD89" s="254">
        <f ca="1">AD35</f>
        <v>2855.8902463976633</v>
      </c>
    </row>
    <row r="90" spans="3:30" ht="11.25" customHeight="1">
      <c r="C90" s="384" t="s">
        <v>438</v>
      </c>
      <c r="E90" s="254">
        <f t="shared" ref="E90:T90" si="74">E$33</f>
        <v>-17</v>
      </c>
      <c r="F90" s="254">
        <f t="shared" si="74"/>
        <v>-34</v>
      </c>
      <c r="G90" s="254">
        <f t="shared" si="74"/>
        <v>-21</v>
      </c>
      <c r="H90" s="254">
        <f t="shared" si="74"/>
        <v>-81</v>
      </c>
      <c r="I90" s="254">
        <f t="shared" si="74"/>
        <v>319</v>
      </c>
      <c r="J90" s="254">
        <f t="shared" si="74"/>
        <v>-9</v>
      </c>
      <c r="K90" s="254">
        <f t="shared" si="74"/>
        <v>-15</v>
      </c>
      <c r="L90" s="254">
        <f t="shared" si="74"/>
        <v>-101</v>
      </c>
      <c r="M90" s="254">
        <f t="shared" si="74"/>
        <v>22</v>
      </c>
      <c r="N90" s="254">
        <f t="shared" si="74"/>
        <v>-147</v>
      </c>
      <c r="O90" s="254">
        <f t="shared" si="74"/>
        <v>34</v>
      </c>
      <c r="P90" s="254">
        <f t="shared" si="74"/>
        <v>125</v>
      </c>
      <c r="Q90" s="254">
        <f t="shared" si="74"/>
        <v>0</v>
      </c>
      <c r="R90" s="254">
        <f t="shared" si="74"/>
        <v>0</v>
      </c>
      <c r="S90" s="254">
        <f t="shared" si="74"/>
        <v>0</v>
      </c>
      <c r="T90" s="254">
        <f t="shared" si="74"/>
        <v>0</v>
      </c>
      <c r="V90" s="254">
        <f>V$33</f>
        <v>0</v>
      </c>
      <c r="W90" s="254">
        <f>W$33</f>
        <v>5</v>
      </c>
      <c r="X90" s="255">
        <f t="shared" si="73"/>
        <v>-153</v>
      </c>
      <c r="Y90" s="255">
        <f t="shared" si="73"/>
        <v>194</v>
      </c>
      <c r="Z90" s="255">
        <f t="shared" si="73"/>
        <v>34</v>
      </c>
      <c r="AA90" s="255">
        <f t="shared" si="73"/>
        <v>0</v>
      </c>
      <c r="AB90" s="254">
        <f>AB$33</f>
        <v>0</v>
      </c>
      <c r="AC90" s="254">
        <f>AC$33</f>
        <v>0</v>
      </c>
      <c r="AD90" s="254">
        <f>AD$33</f>
        <v>0</v>
      </c>
    </row>
    <row r="91" spans="3:30" ht="11.25" customHeight="1">
      <c r="C91" s="384" t="s">
        <v>431</v>
      </c>
      <c r="E91" s="254">
        <f t="shared" ref="E91:T91" si="75">E$27</f>
        <v>18</v>
      </c>
      <c r="F91" s="254">
        <f t="shared" si="75"/>
        <v>71</v>
      </c>
      <c r="G91" s="254">
        <f t="shared" si="75"/>
        <v>27</v>
      </c>
      <c r="H91" s="254">
        <f t="shared" si="75"/>
        <v>130</v>
      </c>
      <c r="I91" s="254">
        <f t="shared" si="75"/>
        <v>63</v>
      </c>
      <c r="J91" s="254">
        <f t="shared" si="75"/>
        <v>-1449</v>
      </c>
      <c r="K91" s="254">
        <f t="shared" si="75"/>
        <v>-1081</v>
      </c>
      <c r="L91" s="254">
        <f t="shared" si="75"/>
        <v>-149</v>
      </c>
      <c r="M91" s="254">
        <f t="shared" si="75"/>
        <v>-1377</v>
      </c>
      <c r="N91" s="254">
        <f t="shared" si="75"/>
        <v>-948</v>
      </c>
      <c r="O91" s="254">
        <f t="shared" si="75"/>
        <v>-1098</v>
      </c>
      <c r="P91" s="254">
        <f t="shared" si="75"/>
        <v>56</v>
      </c>
      <c r="Q91" s="254">
        <f t="shared" si="75"/>
        <v>-8</v>
      </c>
      <c r="R91" s="254">
        <f t="shared" si="75"/>
        <v>0</v>
      </c>
      <c r="S91" s="254">
        <f t="shared" si="75"/>
        <v>0</v>
      </c>
      <c r="T91" s="254">
        <f t="shared" si="75"/>
        <v>0</v>
      </c>
      <c r="V91" s="254">
        <f>V$27</f>
        <v>176</v>
      </c>
      <c r="W91" s="254">
        <f>W$27</f>
        <v>487</v>
      </c>
      <c r="X91" s="255">
        <f t="shared" si="73"/>
        <v>246</v>
      </c>
      <c r="Y91" s="255">
        <f t="shared" si="73"/>
        <v>-2616</v>
      </c>
      <c r="Z91" s="255">
        <f t="shared" si="73"/>
        <v>-3367</v>
      </c>
      <c r="AA91" s="255">
        <f t="shared" si="73"/>
        <v>-8</v>
      </c>
      <c r="AB91" s="254">
        <f>AB$27</f>
        <v>0</v>
      </c>
      <c r="AC91" s="254">
        <f>AC$27</f>
        <v>0</v>
      </c>
      <c r="AD91" s="254">
        <f>AD$27</f>
        <v>0</v>
      </c>
    </row>
    <row r="92" spans="3:30" ht="11.25" customHeight="1">
      <c r="C92" s="384" t="s">
        <v>439</v>
      </c>
      <c r="E92" s="254">
        <f t="shared" ref="E92:T92" si="76">E54</f>
        <v>0</v>
      </c>
      <c r="F92" s="254">
        <f t="shared" si="76"/>
        <v>0</v>
      </c>
      <c r="G92" s="254">
        <f t="shared" si="76"/>
        <v>0</v>
      </c>
      <c r="H92" s="254">
        <f t="shared" si="76"/>
        <v>0</v>
      </c>
      <c r="I92" s="254">
        <f t="shared" si="76"/>
        <v>0</v>
      </c>
      <c r="J92" s="254">
        <f t="shared" si="76"/>
        <v>0</v>
      </c>
      <c r="K92" s="254">
        <f t="shared" si="76"/>
        <v>0</v>
      </c>
      <c r="L92" s="254">
        <f t="shared" si="76"/>
        <v>0</v>
      </c>
      <c r="M92" s="254">
        <f t="shared" si="76"/>
        <v>0</v>
      </c>
      <c r="N92" s="254">
        <f t="shared" si="76"/>
        <v>62</v>
      </c>
      <c r="O92" s="254">
        <f t="shared" si="76"/>
        <v>-12</v>
      </c>
      <c r="P92" s="254">
        <f t="shared" si="76"/>
        <v>0</v>
      </c>
      <c r="Q92" s="254">
        <f t="shared" si="76"/>
        <v>7</v>
      </c>
      <c r="R92" s="254">
        <f t="shared" si="76"/>
        <v>0</v>
      </c>
      <c r="S92" s="254">
        <f t="shared" si="76"/>
        <v>0</v>
      </c>
      <c r="T92" s="254">
        <f t="shared" si="76"/>
        <v>0</v>
      </c>
      <c r="V92" s="254">
        <f>V54</f>
        <v>0</v>
      </c>
      <c r="W92" s="254">
        <f>W54</f>
        <v>0</v>
      </c>
      <c r="X92" s="255">
        <f t="shared" si="73"/>
        <v>0</v>
      </c>
      <c r="Y92" s="255">
        <f t="shared" si="73"/>
        <v>0</v>
      </c>
      <c r="Z92" s="255">
        <f t="shared" si="73"/>
        <v>50</v>
      </c>
      <c r="AA92" s="255">
        <f t="shared" si="73"/>
        <v>7</v>
      </c>
      <c r="AB92" s="254">
        <f t="shared" ref="AB92:AD94" si="77">AB54</f>
        <v>0</v>
      </c>
      <c r="AC92" s="254">
        <f t="shared" si="77"/>
        <v>0</v>
      </c>
      <c r="AD92" s="254">
        <f t="shared" si="77"/>
        <v>0</v>
      </c>
    </row>
    <row r="93" spans="3:30" ht="11.25" customHeight="1">
      <c r="C93" s="384" t="s">
        <v>440</v>
      </c>
      <c r="E93" s="254">
        <f t="shared" ref="E93:T93" si="78">E55</f>
        <v>0</v>
      </c>
      <c r="F93" s="254">
        <f t="shared" si="78"/>
        <v>0</v>
      </c>
      <c r="G93" s="254">
        <f t="shared" si="78"/>
        <v>0</v>
      </c>
      <c r="H93" s="254">
        <f t="shared" si="78"/>
        <v>0</v>
      </c>
      <c r="I93" s="254">
        <f t="shared" si="78"/>
        <v>0</v>
      </c>
      <c r="J93" s="254">
        <f t="shared" si="78"/>
        <v>231</v>
      </c>
      <c r="K93" s="254">
        <f t="shared" si="78"/>
        <v>415</v>
      </c>
      <c r="L93" s="254">
        <f t="shared" si="78"/>
        <v>41</v>
      </c>
      <c r="M93" s="254">
        <f t="shared" si="78"/>
        <v>46</v>
      </c>
      <c r="N93" s="254">
        <f t="shared" si="78"/>
        <v>0</v>
      </c>
      <c r="O93" s="254">
        <f t="shared" si="78"/>
        <v>0</v>
      </c>
      <c r="P93" s="254">
        <f t="shared" si="78"/>
        <v>-15</v>
      </c>
      <c r="Q93" s="254">
        <f t="shared" si="78"/>
        <v>0</v>
      </c>
      <c r="R93" s="254">
        <f t="shared" si="78"/>
        <v>0</v>
      </c>
      <c r="S93" s="254">
        <f t="shared" si="78"/>
        <v>0</v>
      </c>
      <c r="T93" s="254">
        <f t="shared" si="78"/>
        <v>0</v>
      </c>
      <c r="V93" s="254">
        <f>V55</f>
        <v>0</v>
      </c>
      <c r="W93" s="254">
        <f>W55</f>
        <v>0</v>
      </c>
      <c r="X93" s="255">
        <f t="shared" si="73"/>
        <v>0</v>
      </c>
      <c r="Y93" s="255">
        <f t="shared" si="73"/>
        <v>687</v>
      </c>
      <c r="Z93" s="255">
        <f t="shared" si="73"/>
        <v>31</v>
      </c>
      <c r="AA93" s="255">
        <f t="shared" si="73"/>
        <v>0</v>
      </c>
      <c r="AB93" s="254">
        <f t="shared" si="77"/>
        <v>0</v>
      </c>
      <c r="AC93" s="254">
        <f t="shared" si="77"/>
        <v>0</v>
      </c>
      <c r="AD93" s="254">
        <f t="shared" si="77"/>
        <v>0</v>
      </c>
    </row>
    <row r="94" spans="3:30" ht="11.25" customHeight="1">
      <c r="C94" s="384" t="s">
        <v>441</v>
      </c>
      <c r="E94" s="254">
        <f t="shared" ref="E94:T94" si="79">E56</f>
        <v>0</v>
      </c>
      <c r="F94" s="254">
        <f t="shared" si="79"/>
        <v>0</v>
      </c>
      <c r="G94" s="254">
        <f t="shared" si="79"/>
        <v>0</v>
      </c>
      <c r="H94" s="254">
        <f t="shared" si="79"/>
        <v>0</v>
      </c>
      <c r="I94" s="254">
        <f t="shared" si="79"/>
        <v>697</v>
      </c>
      <c r="J94" s="254">
        <f t="shared" si="79"/>
        <v>0</v>
      </c>
      <c r="K94" s="254">
        <f t="shared" si="79"/>
        <v>0</v>
      </c>
      <c r="L94" s="254">
        <f t="shared" si="79"/>
        <v>0</v>
      </c>
      <c r="M94" s="254">
        <f t="shared" si="79"/>
        <v>0</v>
      </c>
      <c r="N94" s="254">
        <f t="shared" si="79"/>
        <v>0</v>
      </c>
      <c r="O94" s="254">
        <f t="shared" si="79"/>
        <v>0</v>
      </c>
      <c r="P94" s="254">
        <f t="shared" si="79"/>
        <v>0</v>
      </c>
      <c r="Q94" s="254">
        <f t="shared" si="79"/>
        <v>0</v>
      </c>
      <c r="R94" s="254">
        <f t="shared" si="79"/>
        <v>0</v>
      </c>
      <c r="S94" s="254">
        <f t="shared" si="79"/>
        <v>0</v>
      </c>
      <c r="T94" s="254">
        <f t="shared" si="79"/>
        <v>0</v>
      </c>
      <c r="V94" s="277">
        <v>0</v>
      </c>
      <c r="W94" s="277">
        <v>0</v>
      </c>
      <c r="X94" s="255">
        <f t="shared" si="73"/>
        <v>0</v>
      </c>
      <c r="Y94" s="255">
        <f t="shared" si="73"/>
        <v>697</v>
      </c>
      <c r="Z94" s="255">
        <f t="shared" si="73"/>
        <v>0</v>
      </c>
      <c r="AA94" s="255">
        <f t="shared" si="73"/>
        <v>0</v>
      </c>
      <c r="AB94" s="254">
        <f t="shared" si="77"/>
        <v>0</v>
      </c>
      <c r="AC94" s="254">
        <f t="shared" si="77"/>
        <v>0</v>
      </c>
      <c r="AD94" s="254">
        <f t="shared" si="77"/>
        <v>0</v>
      </c>
    </row>
    <row r="95" spans="3:30" ht="11.25" customHeight="1">
      <c r="C95" s="384" t="s">
        <v>442</v>
      </c>
      <c r="E95" s="277">
        <v>21</v>
      </c>
      <c r="F95" s="277">
        <v>25</v>
      </c>
      <c r="G95" s="277">
        <v>22</v>
      </c>
      <c r="H95" s="277">
        <v>-4</v>
      </c>
      <c r="I95" s="277">
        <v>0</v>
      </c>
      <c r="J95" s="277">
        <v>0</v>
      </c>
      <c r="K95" s="277">
        <v>0</v>
      </c>
      <c r="L95" s="277">
        <v>0</v>
      </c>
      <c r="M95" s="277">
        <v>0</v>
      </c>
      <c r="N95" s="277">
        <v>0</v>
      </c>
      <c r="O95" s="277">
        <v>0</v>
      </c>
      <c r="P95" s="277">
        <v>0</v>
      </c>
      <c r="Q95" s="277">
        <v>0</v>
      </c>
      <c r="R95" s="277">
        <v>0</v>
      </c>
      <c r="S95" s="277">
        <v>0</v>
      </c>
      <c r="T95" s="277">
        <v>0</v>
      </c>
      <c r="V95" s="277">
        <v>0</v>
      </c>
      <c r="W95" s="277">
        <v>26</v>
      </c>
      <c r="X95" s="255">
        <f t="shared" si="73"/>
        <v>64</v>
      </c>
      <c r="Y95" s="255">
        <f t="shared" si="73"/>
        <v>0</v>
      </c>
      <c r="Z95" s="255">
        <f t="shared" si="73"/>
        <v>0</v>
      </c>
      <c r="AA95" s="255">
        <f t="shared" si="73"/>
        <v>0</v>
      </c>
      <c r="AB95" s="277">
        <v>0</v>
      </c>
      <c r="AC95" s="277">
        <v>0</v>
      </c>
      <c r="AD95" s="277">
        <v>0</v>
      </c>
    </row>
    <row r="96" spans="3:30" s="381" customFormat="1" ht="11.25" customHeight="1">
      <c r="C96" s="289" t="s">
        <v>559</v>
      </c>
      <c r="E96" s="358">
        <f t="shared" ref="E96:T96" si="80">SUM(E89:E95)</f>
        <v>389</v>
      </c>
      <c r="F96" s="358">
        <f t="shared" si="80"/>
        <v>1416</v>
      </c>
      <c r="G96" s="358">
        <f t="shared" si="80"/>
        <v>1377</v>
      </c>
      <c r="H96" s="358">
        <f t="shared" si="80"/>
        <v>889</v>
      </c>
      <c r="I96" s="358">
        <f t="shared" si="80"/>
        <v>-1035</v>
      </c>
      <c r="J96" s="358">
        <f t="shared" si="80"/>
        <v>-3230</v>
      </c>
      <c r="K96" s="358">
        <f t="shared" si="80"/>
        <v>-3013</v>
      </c>
      <c r="L96" s="358">
        <f t="shared" si="80"/>
        <v>-2582</v>
      </c>
      <c r="M96" s="358">
        <f t="shared" si="80"/>
        <v>-3060</v>
      </c>
      <c r="N96" s="358">
        <f t="shared" si="80"/>
        <v>-1597</v>
      </c>
      <c r="O96" s="358">
        <f t="shared" si="80"/>
        <v>-473</v>
      </c>
      <c r="P96" s="358">
        <f t="shared" si="80"/>
        <v>-679</v>
      </c>
      <c r="Q96" s="358">
        <f>SUM(Q89:Q95)</f>
        <v>-1753</v>
      </c>
      <c r="R96" s="358">
        <f t="shared" ca="1" si="80"/>
        <v>-194.17380985330681</v>
      </c>
      <c r="S96" s="358">
        <f t="shared" ca="1" si="80"/>
        <v>110.92218126856557</v>
      </c>
      <c r="T96" s="358">
        <f t="shared" ca="1" si="80"/>
        <v>-48.014982680563094</v>
      </c>
      <c r="V96" s="358">
        <f t="shared" ref="V96:AD96" si="81">SUM(V89:V95)</f>
        <v>3199</v>
      </c>
      <c r="W96" s="358">
        <f t="shared" si="81"/>
        <v>3166</v>
      </c>
      <c r="X96" s="358">
        <f t="shared" si="81"/>
        <v>4071</v>
      </c>
      <c r="Y96" s="358">
        <f t="shared" si="81"/>
        <v>-9860</v>
      </c>
      <c r="Z96" s="358">
        <f t="shared" si="81"/>
        <v>-5809</v>
      </c>
      <c r="AA96" s="358">
        <f t="shared" ca="1" si="81"/>
        <v>-1884.2666112653046</v>
      </c>
      <c r="AB96" s="358">
        <f t="shared" ca="1" si="81"/>
        <v>1594.8190966924194</v>
      </c>
      <c r="AC96" s="358">
        <f t="shared" ca="1" si="81"/>
        <v>3131.6254943793165</v>
      </c>
      <c r="AD96" s="358">
        <f t="shared" ca="1" si="81"/>
        <v>2855.8902463976633</v>
      </c>
    </row>
    <row r="97" spans="3:30" ht="11.25" customHeight="1">
      <c r="E97" s="255"/>
      <c r="F97" s="255"/>
      <c r="G97" s="255"/>
      <c r="H97" s="255"/>
      <c r="I97" s="255"/>
      <c r="J97" s="255"/>
      <c r="K97" s="255"/>
      <c r="L97" s="255"/>
      <c r="M97" s="255"/>
      <c r="N97" s="255"/>
      <c r="O97" s="255"/>
      <c r="P97" s="255"/>
      <c r="Q97" s="255"/>
      <c r="R97" s="255"/>
      <c r="S97" s="255"/>
      <c r="T97" s="255"/>
      <c r="V97" s="255"/>
      <c r="W97" s="255"/>
      <c r="AB97" s="255"/>
      <c r="AC97" s="255"/>
      <c r="AD97" s="255"/>
    </row>
    <row r="98" spans="3:30" ht="11.25" customHeight="1">
      <c r="C98" s="397" t="s">
        <v>303</v>
      </c>
      <c r="E98" s="254">
        <f t="shared" ref="E98:Q98" si="82">E37</f>
        <v>75</v>
      </c>
      <c r="F98" s="254">
        <f t="shared" si="82"/>
        <v>302</v>
      </c>
      <c r="G98" s="254">
        <f t="shared" si="82"/>
        <v>325</v>
      </c>
      <c r="H98" s="254">
        <f t="shared" si="82"/>
        <v>203</v>
      </c>
      <c r="I98" s="254">
        <f t="shared" si="82"/>
        <v>-409</v>
      </c>
      <c r="J98" s="254">
        <f t="shared" si="82"/>
        <v>-376</v>
      </c>
      <c r="K98" s="254">
        <f t="shared" si="82"/>
        <v>-491</v>
      </c>
      <c r="L98" s="254">
        <f t="shared" si="82"/>
        <v>-476</v>
      </c>
      <c r="M98" s="254">
        <f t="shared" si="82"/>
        <v>-394</v>
      </c>
      <c r="N98" s="254">
        <f t="shared" si="82"/>
        <v>-130</v>
      </c>
      <c r="O98" s="254">
        <f t="shared" si="82"/>
        <v>130</v>
      </c>
      <c r="P98" s="254">
        <f t="shared" si="82"/>
        <v>-199</v>
      </c>
      <c r="Q98" s="254">
        <f t="shared" si="82"/>
        <v>-375</v>
      </c>
      <c r="R98" s="255">
        <f ca="1">SUM(R99:R101)</f>
        <v>0</v>
      </c>
      <c r="S98" s="255">
        <f ca="1">SUM(S99:S101)</f>
        <v>0</v>
      </c>
      <c r="T98" s="255">
        <f ca="1">SUM(T99:T101)</f>
        <v>0</v>
      </c>
      <c r="V98" s="254">
        <f t="shared" ref="V98:AA98" si="83">V37</f>
        <v>880</v>
      </c>
      <c r="W98" s="254">
        <f t="shared" si="83"/>
        <v>526</v>
      </c>
      <c r="X98" s="254">
        <f t="shared" si="83"/>
        <v>905</v>
      </c>
      <c r="Y98" s="254">
        <f t="shared" si="83"/>
        <v>-1752</v>
      </c>
      <c r="Z98" s="254">
        <f t="shared" si="83"/>
        <v>-593</v>
      </c>
      <c r="AA98" s="254">
        <f t="shared" ca="1" si="83"/>
        <v>-375</v>
      </c>
      <c r="AB98" s="255">
        <f ca="1">SUM(AB99:AB101)</f>
        <v>0</v>
      </c>
      <c r="AC98" s="255">
        <f ca="1">SUM(AC99:AC101)</f>
        <v>0</v>
      </c>
      <c r="AD98" s="255">
        <f ca="1">SUM(AD99:AD101)</f>
        <v>0</v>
      </c>
    </row>
    <row r="99" spans="3:30" ht="11.25" customHeight="1">
      <c r="C99" s="384" t="s">
        <v>443</v>
      </c>
      <c r="E99" s="254">
        <f t="shared" ref="E99:T99" si="84">E110</f>
        <v>-5</v>
      </c>
      <c r="F99" s="254">
        <f t="shared" si="84"/>
        <v>-14</v>
      </c>
      <c r="G99" s="254">
        <f t="shared" si="84"/>
        <v>-6</v>
      </c>
      <c r="H99" s="254">
        <f t="shared" si="84"/>
        <v>-10</v>
      </c>
      <c r="I99" s="254">
        <f t="shared" si="84"/>
        <v>-14</v>
      </c>
      <c r="J99" s="254">
        <f t="shared" si="84"/>
        <v>241</v>
      </c>
      <c r="K99" s="254">
        <f t="shared" si="84"/>
        <v>148</v>
      </c>
      <c r="L99" s="254">
        <f t="shared" si="84"/>
        <v>29</v>
      </c>
      <c r="M99" s="254">
        <f t="shared" si="84"/>
        <v>291</v>
      </c>
      <c r="N99" s="254">
        <f t="shared" si="84"/>
        <v>203</v>
      </c>
      <c r="O99" s="254">
        <f t="shared" si="84"/>
        <v>274</v>
      </c>
      <c r="P99" s="254">
        <f t="shared" si="84"/>
        <v>0</v>
      </c>
      <c r="Q99" s="254">
        <f>Q110</f>
        <v>0</v>
      </c>
      <c r="R99" s="254">
        <f t="shared" si="84"/>
        <v>0</v>
      </c>
      <c r="S99" s="254">
        <f t="shared" si="84"/>
        <v>0</v>
      </c>
      <c r="T99" s="254">
        <f t="shared" si="84"/>
        <v>0</v>
      </c>
      <c r="V99" s="254">
        <f t="shared" ref="V99:AA100" si="85">V110</f>
        <v>-63</v>
      </c>
      <c r="W99" s="254">
        <f t="shared" si="85"/>
        <v>-116</v>
      </c>
      <c r="X99" s="254">
        <f t="shared" si="85"/>
        <v>-35</v>
      </c>
      <c r="Y99" s="254">
        <f t="shared" si="85"/>
        <v>404</v>
      </c>
      <c r="Z99" s="254">
        <f t="shared" si="85"/>
        <v>768</v>
      </c>
      <c r="AA99" s="254">
        <f t="shared" si="85"/>
        <v>0</v>
      </c>
      <c r="AB99" s="277">
        <v>0</v>
      </c>
      <c r="AC99" s="277">
        <v>0</v>
      </c>
      <c r="AD99" s="277">
        <v>0</v>
      </c>
    </row>
    <row r="100" spans="3:30" ht="11.25" customHeight="1">
      <c r="C100" s="384" t="s">
        <v>444</v>
      </c>
      <c r="E100" s="254">
        <f t="shared" ref="E100:T100" si="86">E111</f>
        <v>0</v>
      </c>
      <c r="F100" s="254">
        <f t="shared" si="86"/>
        <v>0</v>
      </c>
      <c r="G100" s="254">
        <f t="shared" si="86"/>
        <v>0</v>
      </c>
      <c r="H100" s="254">
        <f t="shared" si="86"/>
        <v>0</v>
      </c>
      <c r="I100" s="254">
        <f t="shared" si="86"/>
        <v>0</v>
      </c>
      <c r="J100" s="254">
        <f t="shared" si="86"/>
        <v>0</v>
      </c>
      <c r="K100" s="254">
        <f t="shared" si="86"/>
        <v>0</v>
      </c>
      <c r="L100" s="254">
        <f t="shared" si="86"/>
        <v>0</v>
      </c>
      <c r="M100" s="254">
        <f t="shared" si="86"/>
        <v>0</v>
      </c>
      <c r="N100" s="254">
        <f t="shared" si="86"/>
        <v>0</v>
      </c>
      <c r="O100" s="254">
        <f t="shared" si="86"/>
        <v>0</v>
      </c>
      <c r="P100" s="254">
        <f t="shared" si="86"/>
        <v>0</v>
      </c>
      <c r="Q100" s="254">
        <f>Q111</f>
        <v>0</v>
      </c>
      <c r="R100" s="254">
        <f t="shared" si="86"/>
        <v>0</v>
      </c>
      <c r="S100" s="254">
        <f t="shared" si="86"/>
        <v>0</v>
      </c>
      <c r="T100" s="254">
        <f t="shared" si="86"/>
        <v>0</v>
      </c>
      <c r="V100" s="254">
        <f t="shared" si="85"/>
        <v>-179</v>
      </c>
      <c r="W100" s="254">
        <f t="shared" si="85"/>
        <v>-5</v>
      </c>
      <c r="X100" s="254">
        <f t="shared" si="85"/>
        <v>0</v>
      </c>
      <c r="Y100" s="254">
        <f t="shared" si="85"/>
        <v>0</v>
      </c>
      <c r="Z100" s="254">
        <f t="shared" si="85"/>
        <v>0</v>
      </c>
      <c r="AA100" s="254">
        <f t="shared" si="85"/>
        <v>0</v>
      </c>
      <c r="AB100" s="277">
        <v>0</v>
      </c>
      <c r="AC100" s="277">
        <v>0</v>
      </c>
      <c r="AD100" s="277">
        <v>0</v>
      </c>
    </row>
    <row r="101" spans="3:30" ht="11.25" customHeight="1">
      <c r="C101" s="289" t="s">
        <v>427</v>
      </c>
      <c r="E101" s="358">
        <f t="shared" ref="E101:P101" si="87">E98-SUM(E99:E100)</f>
        <v>80</v>
      </c>
      <c r="F101" s="358">
        <f t="shared" si="87"/>
        <v>316</v>
      </c>
      <c r="G101" s="358">
        <f t="shared" si="87"/>
        <v>331</v>
      </c>
      <c r="H101" s="358">
        <f t="shared" si="87"/>
        <v>213</v>
      </c>
      <c r="I101" s="358">
        <f t="shared" si="87"/>
        <v>-395</v>
      </c>
      <c r="J101" s="358">
        <f t="shared" si="87"/>
        <v>-617</v>
      </c>
      <c r="K101" s="358">
        <f t="shared" si="87"/>
        <v>-639</v>
      </c>
      <c r="L101" s="358">
        <f t="shared" si="87"/>
        <v>-505</v>
      </c>
      <c r="M101" s="358">
        <f t="shared" si="87"/>
        <v>-685</v>
      </c>
      <c r="N101" s="358">
        <f t="shared" si="87"/>
        <v>-333</v>
      </c>
      <c r="O101" s="358">
        <f t="shared" si="87"/>
        <v>-144</v>
      </c>
      <c r="P101" s="358">
        <f t="shared" si="87"/>
        <v>-199</v>
      </c>
      <c r="Q101" s="358">
        <f>Q98-SUM(Q99:Q100)</f>
        <v>-375</v>
      </c>
      <c r="R101" s="482">
        <f ca="1">'UAL KPI'!R38</f>
        <v>0</v>
      </c>
      <c r="S101" s="482">
        <f ca="1">'UAL KPI'!S38</f>
        <v>0</v>
      </c>
      <c r="T101" s="482">
        <f ca="1">'UAL KPI'!T38</f>
        <v>0</v>
      </c>
      <c r="V101" s="357">
        <f t="shared" ref="V101:AA101" si="88">V98-SUM(V99:V100)</f>
        <v>1122</v>
      </c>
      <c r="W101" s="357">
        <f t="shared" si="88"/>
        <v>647</v>
      </c>
      <c r="X101" s="357">
        <f t="shared" si="88"/>
        <v>940</v>
      </c>
      <c r="Y101" s="357">
        <f t="shared" si="88"/>
        <v>-2156</v>
      </c>
      <c r="Z101" s="357">
        <f t="shared" si="88"/>
        <v>-1361</v>
      </c>
      <c r="AA101" s="357">
        <f t="shared" ca="1" si="88"/>
        <v>-375</v>
      </c>
      <c r="AB101" s="482">
        <f ca="1">'UAL KPI'!AB38</f>
        <v>0</v>
      </c>
      <c r="AC101" s="482">
        <f ca="1">'UAL KPI'!AC38</f>
        <v>0</v>
      </c>
      <c r="AD101" s="482">
        <f ca="1">'UAL KPI'!AD38</f>
        <v>0</v>
      </c>
    </row>
    <row r="103" spans="3:30" ht="11.25" customHeight="1">
      <c r="C103" s="397" t="s">
        <v>370</v>
      </c>
      <c r="E103" s="254">
        <f t="shared" ref="E103:T103" si="89">E38</f>
        <v>292</v>
      </c>
      <c r="F103" s="254">
        <f t="shared" si="89"/>
        <v>1052</v>
      </c>
      <c r="G103" s="254">
        <f t="shared" si="89"/>
        <v>1024</v>
      </c>
      <c r="H103" s="254">
        <f t="shared" si="89"/>
        <v>641</v>
      </c>
      <c r="I103" s="254">
        <f t="shared" si="89"/>
        <v>-1705</v>
      </c>
      <c r="J103" s="254">
        <f t="shared" si="89"/>
        <v>-1627</v>
      </c>
      <c r="K103" s="254">
        <f t="shared" si="89"/>
        <v>-1841</v>
      </c>
      <c r="L103" s="254">
        <f t="shared" si="89"/>
        <v>-1897</v>
      </c>
      <c r="M103" s="254">
        <f t="shared" si="89"/>
        <v>-1357</v>
      </c>
      <c r="N103" s="254">
        <f t="shared" si="89"/>
        <v>-434</v>
      </c>
      <c r="O103" s="254">
        <f t="shared" si="89"/>
        <v>473</v>
      </c>
      <c r="P103" s="254">
        <f t="shared" si="89"/>
        <v>-646</v>
      </c>
      <c r="Q103" s="254">
        <f t="shared" si="89"/>
        <v>-1377</v>
      </c>
      <c r="R103" s="254">
        <f t="shared" ca="1" si="89"/>
        <v>-194.17380985330681</v>
      </c>
      <c r="S103" s="254">
        <f t="shared" ca="1" si="89"/>
        <v>110.92218126856557</v>
      </c>
      <c r="T103" s="254">
        <f t="shared" ca="1" si="89"/>
        <v>-48.014982680563094</v>
      </c>
      <c r="V103" s="254">
        <f>V38</f>
        <v>2143</v>
      </c>
      <c r="W103" s="254">
        <f>W38</f>
        <v>2122</v>
      </c>
      <c r="X103" s="255">
        <f t="shared" ref="X103:AA111" si="90">SUMIF($E$5:$T$5,X$5,$E103:$T103)</f>
        <v>3009</v>
      </c>
      <c r="Y103" s="255">
        <f t="shared" si="90"/>
        <v>-7070</v>
      </c>
      <c r="Z103" s="255">
        <f t="shared" si="90"/>
        <v>-1964</v>
      </c>
      <c r="AA103" s="255">
        <f t="shared" ca="1" si="90"/>
        <v>-1508.2666112653046</v>
      </c>
      <c r="AB103" s="254">
        <f ca="1">AB38</f>
        <v>1594.8190966924194</v>
      </c>
      <c r="AC103" s="254">
        <f ca="1">AC38</f>
        <v>3131.6254943793165</v>
      </c>
      <c r="AD103" s="254">
        <f ca="1">AD38</f>
        <v>2855.8902463976633</v>
      </c>
    </row>
    <row r="104" spans="3:30" ht="11.25" customHeight="1">
      <c r="C104" s="384" t="s">
        <v>431</v>
      </c>
      <c r="E104" s="254">
        <f t="shared" ref="E104:T104" si="91">E$27</f>
        <v>18</v>
      </c>
      <c r="F104" s="254">
        <f t="shared" si="91"/>
        <v>71</v>
      </c>
      <c r="G104" s="254">
        <f t="shared" si="91"/>
        <v>27</v>
      </c>
      <c r="H104" s="254">
        <f t="shared" si="91"/>
        <v>130</v>
      </c>
      <c r="I104" s="254">
        <f t="shared" si="91"/>
        <v>63</v>
      </c>
      <c r="J104" s="254">
        <f t="shared" si="91"/>
        <v>-1449</v>
      </c>
      <c r="K104" s="254">
        <f t="shared" si="91"/>
        <v>-1081</v>
      </c>
      <c r="L104" s="254">
        <f t="shared" si="91"/>
        <v>-149</v>
      </c>
      <c r="M104" s="254">
        <f t="shared" si="91"/>
        <v>-1377</v>
      </c>
      <c r="N104" s="254">
        <f t="shared" si="91"/>
        <v>-948</v>
      </c>
      <c r="O104" s="254">
        <f t="shared" si="91"/>
        <v>-1098</v>
      </c>
      <c r="P104" s="254">
        <f t="shared" si="91"/>
        <v>56</v>
      </c>
      <c r="Q104" s="254">
        <f t="shared" si="91"/>
        <v>-8</v>
      </c>
      <c r="R104" s="254">
        <f t="shared" si="91"/>
        <v>0</v>
      </c>
      <c r="S104" s="254">
        <f t="shared" si="91"/>
        <v>0</v>
      </c>
      <c r="T104" s="254">
        <f t="shared" si="91"/>
        <v>0</v>
      </c>
      <c r="V104" s="254">
        <f>V$27</f>
        <v>176</v>
      </c>
      <c r="W104" s="254">
        <f>W$27</f>
        <v>487</v>
      </c>
      <c r="X104" s="255">
        <f t="shared" si="90"/>
        <v>246</v>
      </c>
      <c r="Y104" s="255">
        <f t="shared" si="90"/>
        <v>-2616</v>
      </c>
      <c r="Z104" s="255">
        <f t="shared" si="90"/>
        <v>-3367</v>
      </c>
      <c r="AA104" s="255">
        <f t="shared" si="90"/>
        <v>-8</v>
      </c>
      <c r="AB104" s="254">
        <f>AB$27</f>
        <v>0</v>
      </c>
      <c r="AC104" s="254">
        <f>AC$27</f>
        <v>0</v>
      </c>
      <c r="AD104" s="254">
        <f>AD$27</f>
        <v>0</v>
      </c>
    </row>
    <row r="105" spans="3:30" ht="11.25" customHeight="1">
      <c r="C105" s="384" t="s">
        <v>438</v>
      </c>
      <c r="E105" s="254">
        <f t="shared" ref="E105:T105" si="92">E$33</f>
        <v>-17</v>
      </c>
      <c r="F105" s="254">
        <f t="shared" si="92"/>
        <v>-34</v>
      </c>
      <c r="G105" s="254">
        <f t="shared" si="92"/>
        <v>-21</v>
      </c>
      <c r="H105" s="254">
        <f t="shared" si="92"/>
        <v>-81</v>
      </c>
      <c r="I105" s="254">
        <f t="shared" si="92"/>
        <v>319</v>
      </c>
      <c r="J105" s="254">
        <f t="shared" si="92"/>
        <v>-9</v>
      </c>
      <c r="K105" s="254">
        <f t="shared" si="92"/>
        <v>-15</v>
      </c>
      <c r="L105" s="254">
        <f t="shared" si="92"/>
        <v>-101</v>
      </c>
      <c r="M105" s="254">
        <f t="shared" si="92"/>
        <v>22</v>
      </c>
      <c r="N105" s="254">
        <f t="shared" si="92"/>
        <v>-147</v>
      </c>
      <c r="O105" s="254">
        <f t="shared" si="92"/>
        <v>34</v>
      </c>
      <c r="P105" s="254">
        <f t="shared" si="92"/>
        <v>125</v>
      </c>
      <c r="Q105" s="254">
        <f t="shared" si="92"/>
        <v>0</v>
      </c>
      <c r="R105" s="254">
        <f t="shared" si="92"/>
        <v>0</v>
      </c>
      <c r="S105" s="254">
        <f t="shared" si="92"/>
        <v>0</v>
      </c>
      <c r="T105" s="254">
        <f t="shared" si="92"/>
        <v>0</v>
      </c>
      <c r="V105" s="254">
        <f>V$33</f>
        <v>0</v>
      </c>
      <c r="W105" s="254">
        <f>W$33</f>
        <v>5</v>
      </c>
      <c r="X105" s="255">
        <f t="shared" si="90"/>
        <v>-153</v>
      </c>
      <c r="Y105" s="255">
        <f t="shared" si="90"/>
        <v>194</v>
      </c>
      <c r="Z105" s="255">
        <f t="shared" si="90"/>
        <v>34</v>
      </c>
      <c r="AA105" s="255">
        <f t="shared" si="90"/>
        <v>0</v>
      </c>
      <c r="AB105" s="254">
        <f>AB$33</f>
        <v>0</v>
      </c>
      <c r="AC105" s="254">
        <f>AC$33</f>
        <v>0</v>
      </c>
      <c r="AD105" s="254">
        <f>AD$33</f>
        <v>0</v>
      </c>
    </row>
    <row r="106" spans="3:30" ht="11.25" customHeight="1">
      <c r="C106" s="384" t="s">
        <v>439</v>
      </c>
      <c r="E106" s="254">
        <f t="shared" ref="E106:T106" si="93">E92</f>
        <v>0</v>
      </c>
      <c r="F106" s="254">
        <f t="shared" si="93"/>
        <v>0</v>
      </c>
      <c r="G106" s="254">
        <f t="shared" si="93"/>
        <v>0</v>
      </c>
      <c r="H106" s="254">
        <f t="shared" si="93"/>
        <v>0</v>
      </c>
      <c r="I106" s="254">
        <f t="shared" si="93"/>
        <v>0</v>
      </c>
      <c r="J106" s="254">
        <f t="shared" si="93"/>
        <v>0</v>
      </c>
      <c r="K106" s="254">
        <f t="shared" si="93"/>
        <v>0</v>
      </c>
      <c r="L106" s="254">
        <f t="shared" si="93"/>
        <v>0</v>
      </c>
      <c r="M106" s="254">
        <f t="shared" si="93"/>
        <v>0</v>
      </c>
      <c r="N106" s="254">
        <f t="shared" si="93"/>
        <v>62</v>
      </c>
      <c r="O106" s="254">
        <f t="shared" si="93"/>
        <v>-12</v>
      </c>
      <c r="P106" s="254">
        <f t="shared" si="93"/>
        <v>0</v>
      </c>
      <c r="Q106" s="254">
        <f>Q92</f>
        <v>7</v>
      </c>
      <c r="R106" s="254">
        <f t="shared" si="93"/>
        <v>0</v>
      </c>
      <c r="S106" s="254">
        <f t="shared" si="93"/>
        <v>0</v>
      </c>
      <c r="T106" s="254">
        <f t="shared" si="93"/>
        <v>0</v>
      </c>
      <c r="V106" s="254">
        <f t="shared" ref="V106:W109" si="94">V92</f>
        <v>0</v>
      </c>
      <c r="W106" s="254">
        <f t="shared" si="94"/>
        <v>0</v>
      </c>
      <c r="X106" s="255">
        <f t="shared" si="90"/>
        <v>0</v>
      </c>
      <c r="Y106" s="255">
        <f t="shared" si="90"/>
        <v>0</v>
      </c>
      <c r="Z106" s="255">
        <f t="shared" si="90"/>
        <v>50</v>
      </c>
      <c r="AA106" s="255">
        <f t="shared" si="90"/>
        <v>7</v>
      </c>
      <c r="AB106" s="254">
        <f t="shared" ref="AB106:AD109" si="95">AB92</f>
        <v>0</v>
      </c>
      <c r="AC106" s="254">
        <f t="shared" si="95"/>
        <v>0</v>
      </c>
      <c r="AD106" s="254">
        <f t="shared" si="95"/>
        <v>0</v>
      </c>
    </row>
    <row r="107" spans="3:30" ht="11.25" customHeight="1">
      <c r="C107" s="384" t="s">
        <v>440</v>
      </c>
      <c r="E107" s="254">
        <f t="shared" ref="E107:T107" si="96">E93</f>
        <v>0</v>
      </c>
      <c r="F107" s="254">
        <f t="shared" si="96"/>
        <v>0</v>
      </c>
      <c r="G107" s="254">
        <f t="shared" si="96"/>
        <v>0</v>
      </c>
      <c r="H107" s="254">
        <f t="shared" si="96"/>
        <v>0</v>
      </c>
      <c r="I107" s="254">
        <f t="shared" si="96"/>
        <v>0</v>
      </c>
      <c r="J107" s="254">
        <f t="shared" si="96"/>
        <v>231</v>
      </c>
      <c r="K107" s="254">
        <f t="shared" si="96"/>
        <v>415</v>
      </c>
      <c r="L107" s="254">
        <f t="shared" si="96"/>
        <v>41</v>
      </c>
      <c r="M107" s="254">
        <f t="shared" si="96"/>
        <v>46</v>
      </c>
      <c r="N107" s="254">
        <f t="shared" si="96"/>
        <v>0</v>
      </c>
      <c r="O107" s="254">
        <f t="shared" si="96"/>
        <v>0</v>
      </c>
      <c r="P107" s="254">
        <f t="shared" si="96"/>
        <v>-15</v>
      </c>
      <c r="Q107" s="254">
        <f>Q93</f>
        <v>0</v>
      </c>
      <c r="R107" s="254">
        <f t="shared" si="96"/>
        <v>0</v>
      </c>
      <c r="S107" s="254">
        <f t="shared" si="96"/>
        <v>0</v>
      </c>
      <c r="T107" s="254">
        <f t="shared" si="96"/>
        <v>0</v>
      </c>
      <c r="V107" s="254">
        <f t="shared" si="94"/>
        <v>0</v>
      </c>
      <c r="W107" s="254">
        <f t="shared" si="94"/>
        <v>0</v>
      </c>
      <c r="X107" s="255">
        <f t="shared" si="90"/>
        <v>0</v>
      </c>
      <c r="Y107" s="255">
        <f t="shared" si="90"/>
        <v>687</v>
      </c>
      <c r="Z107" s="255">
        <f t="shared" si="90"/>
        <v>31</v>
      </c>
      <c r="AA107" s="255">
        <f t="shared" si="90"/>
        <v>0</v>
      </c>
      <c r="AB107" s="254">
        <f t="shared" si="95"/>
        <v>0</v>
      </c>
      <c r="AC107" s="254">
        <f t="shared" si="95"/>
        <v>0</v>
      </c>
      <c r="AD107" s="254">
        <f t="shared" si="95"/>
        <v>0</v>
      </c>
    </row>
    <row r="108" spans="3:30" ht="11.25" customHeight="1">
      <c r="C108" s="384" t="s">
        <v>441</v>
      </c>
      <c r="E108" s="254">
        <f t="shared" ref="E108:T108" si="97">E94</f>
        <v>0</v>
      </c>
      <c r="F108" s="254">
        <f t="shared" si="97"/>
        <v>0</v>
      </c>
      <c r="G108" s="254">
        <f t="shared" si="97"/>
        <v>0</v>
      </c>
      <c r="H108" s="254">
        <f t="shared" si="97"/>
        <v>0</v>
      </c>
      <c r="I108" s="254">
        <f t="shared" si="97"/>
        <v>697</v>
      </c>
      <c r="J108" s="254">
        <f t="shared" si="97"/>
        <v>0</v>
      </c>
      <c r="K108" s="254">
        <f t="shared" si="97"/>
        <v>0</v>
      </c>
      <c r="L108" s="254">
        <f t="shared" si="97"/>
        <v>0</v>
      </c>
      <c r="M108" s="254">
        <f t="shared" si="97"/>
        <v>0</v>
      </c>
      <c r="N108" s="254">
        <f t="shared" si="97"/>
        <v>0</v>
      </c>
      <c r="O108" s="254">
        <f t="shared" si="97"/>
        <v>0</v>
      </c>
      <c r="P108" s="254">
        <f t="shared" si="97"/>
        <v>0</v>
      </c>
      <c r="Q108" s="254">
        <f>Q94</f>
        <v>0</v>
      </c>
      <c r="R108" s="254">
        <f t="shared" si="97"/>
        <v>0</v>
      </c>
      <c r="S108" s="254">
        <f t="shared" si="97"/>
        <v>0</v>
      </c>
      <c r="T108" s="254">
        <f t="shared" si="97"/>
        <v>0</v>
      </c>
      <c r="V108" s="254">
        <f t="shared" si="94"/>
        <v>0</v>
      </c>
      <c r="W108" s="254">
        <f t="shared" si="94"/>
        <v>0</v>
      </c>
      <c r="X108" s="255">
        <f t="shared" si="90"/>
        <v>0</v>
      </c>
      <c r="Y108" s="255">
        <f t="shared" si="90"/>
        <v>697</v>
      </c>
      <c r="Z108" s="255">
        <f t="shared" si="90"/>
        <v>0</v>
      </c>
      <c r="AA108" s="255">
        <f t="shared" si="90"/>
        <v>0</v>
      </c>
      <c r="AB108" s="254">
        <f t="shared" si="95"/>
        <v>0</v>
      </c>
      <c r="AC108" s="254">
        <f t="shared" si="95"/>
        <v>0</v>
      </c>
      <c r="AD108" s="254">
        <f t="shared" si="95"/>
        <v>0</v>
      </c>
    </row>
    <row r="109" spans="3:30" ht="11.25" customHeight="1">
      <c r="C109" s="384" t="s">
        <v>442</v>
      </c>
      <c r="E109" s="254">
        <f t="shared" ref="E109:T109" si="98">E95</f>
        <v>21</v>
      </c>
      <c r="F109" s="254">
        <f t="shared" si="98"/>
        <v>25</v>
      </c>
      <c r="G109" s="254">
        <f t="shared" si="98"/>
        <v>22</v>
      </c>
      <c r="H109" s="254">
        <f t="shared" si="98"/>
        <v>-4</v>
      </c>
      <c r="I109" s="254">
        <f t="shared" si="98"/>
        <v>0</v>
      </c>
      <c r="J109" s="254">
        <f t="shared" si="98"/>
        <v>0</v>
      </c>
      <c r="K109" s="254">
        <f t="shared" si="98"/>
        <v>0</v>
      </c>
      <c r="L109" s="254">
        <f t="shared" si="98"/>
        <v>0</v>
      </c>
      <c r="M109" s="254">
        <f t="shared" si="98"/>
        <v>0</v>
      </c>
      <c r="N109" s="254">
        <f t="shared" si="98"/>
        <v>0</v>
      </c>
      <c r="O109" s="254">
        <f t="shared" si="98"/>
        <v>0</v>
      </c>
      <c r="P109" s="254">
        <f t="shared" si="98"/>
        <v>0</v>
      </c>
      <c r="Q109" s="254">
        <f>Q95</f>
        <v>0</v>
      </c>
      <c r="R109" s="254">
        <f t="shared" si="98"/>
        <v>0</v>
      </c>
      <c r="S109" s="254">
        <f t="shared" si="98"/>
        <v>0</v>
      </c>
      <c r="T109" s="254">
        <f t="shared" si="98"/>
        <v>0</v>
      </c>
      <c r="V109" s="254">
        <f t="shared" si="94"/>
        <v>0</v>
      </c>
      <c r="W109" s="254">
        <f t="shared" si="94"/>
        <v>26</v>
      </c>
      <c r="X109" s="255">
        <f t="shared" si="90"/>
        <v>64</v>
      </c>
      <c r="Y109" s="255">
        <f t="shared" si="90"/>
        <v>0</v>
      </c>
      <c r="Z109" s="255">
        <f t="shared" si="90"/>
        <v>0</v>
      </c>
      <c r="AA109" s="255">
        <f t="shared" si="90"/>
        <v>0</v>
      </c>
      <c r="AB109" s="254">
        <f t="shared" si="95"/>
        <v>0</v>
      </c>
      <c r="AC109" s="254">
        <f t="shared" si="95"/>
        <v>0</v>
      </c>
      <c r="AD109" s="254">
        <f t="shared" si="95"/>
        <v>0</v>
      </c>
    </row>
    <row r="110" spans="3:30" ht="11.25" customHeight="1">
      <c r="C110" s="384" t="s">
        <v>443</v>
      </c>
      <c r="E110" s="277">
        <v>-5</v>
      </c>
      <c r="F110" s="277">
        <v>-14</v>
      </c>
      <c r="G110" s="277">
        <v>-6</v>
      </c>
      <c r="H110" s="277">
        <v>-10</v>
      </c>
      <c r="I110" s="277">
        <v>-14</v>
      </c>
      <c r="J110" s="277">
        <v>241</v>
      </c>
      <c r="K110" s="277">
        <v>148</v>
      </c>
      <c r="L110" s="277">
        <v>29</v>
      </c>
      <c r="M110" s="277">
        <v>291</v>
      </c>
      <c r="N110" s="277">
        <v>203</v>
      </c>
      <c r="O110" s="277">
        <v>274</v>
      </c>
      <c r="P110" s="277">
        <v>0</v>
      </c>
      <c r="Q110" s="277">
        <v>0</v>
      </c>
      <c r="R110" s="277">
        <v>0</v>
      </c>
      <c r="S110" s="277">
        <v>0</v>
      </c>
      <c r="T110" s="277">
        <v>0</v>
      </c>
      <c r="V110" s="277">
        <v>-63</v>
      </c>
      <c r="W110" s="277">
        <v>-116</v>
      </c>
      <c r="X110" s="255">
        <f t="shared" si="90"/>
        <v>-35</v>
      </c>
      <c r="Y110" s="255">
        <f t="shared" si="90"/>
        <v>404</v>
      </c>
      <c r="Z110" s="255">
        <f t="shared" si="90"/>
        <v>768</v>
      </c>
      <c r="AA110" s="255">
        <f t="shared" si="90"/>
        <v>0</v>
      </c>
      <c r="AB110" s="277">
        <v>0</v>
      </c>
      <c r="AC110" s="277">
        <v>0</v>
      </c>
      <c r="AD110" s="277">
        <v>0</v>
      </c>
    </row>
    <row r="111" spans="3:30" ht="11.25" customHeight="1">
      <c r="C111" s="384" t="s">
        <v>444</v>
      </c>
      <c r="E111" s="277">
        <v>0</v>
      </c>
      <c r="F111" s="277">
        <v>0</v>
      </c>
      <c r="G111" s="277">
        <v>0</v>
      </c>
      <c r="H111" s="277">
        <v>0</v>
      </c>
      <c r="I111" s="277">
        <v>0</v>
      </c>
      <c r="J111" s="277">
        <v>0</v>
      </c>
      <c r="K111" s="277">
        <v>0</v>
      </c>
      <c r="L111" s="277">
        <v>0</v>
      </c>
      <c r="M111" s="277">
        <v>0</v>
      </c>
      <c r="N111" s="277">
        <v>0</v>
      </c>
      <c r="O111" s="277">
        <v>0</v>
      </c>
      <c r="P111" s="277">
        <v>0</v>
      </c>
      <c r="Q111" s="277">
        <v>0</v>
      </c>
      <c r="R111" s="277">
        <v>0</v>
      </c>
      <c r="S111" s="277">
        <v>0</v>
      </c>
      <c r="T111" s="277">
        <v>0</v>
      </c>
      <c r="V111" s="277">
        <v>-179</v>
      </c>
      <c r="W111" s="277">
        <v>-5</v>
      </c>
      <c r="X111" s="255">
        <f t="shared" si="90"/>
        <v>0</v>
      </c>
      <c r="Y111" s="255">
        <f t="shared" si="90"/>
        <v>0</v>
      </c>
      <c r="Z111" s="255">
        <f t="shared" si="90"/>
        <v>0</v>
      </c>
      <c r="AA111" s="255">
        <f t="shared" si="90"/>
        <v>0</v>
      </c>
      <c r="AB111" s="277">
        <v>0</v>
      </c>
      <c r="AC111" s="277">
        <v>0</v>
      </c>
      <c r="AD111" s="277">
        <v>0</v>
      </c>
    </row>
    <row r="112" spans="3:30" ht="11.25" customHeight="1">
      <c r="C112" s="289" t="s">
        <v>558</v>
      </c>
      <c r="E112" s="358">
        <f t="shared" ref="E112:T112" si="99">SUM(E103:E111)</f>
        <v>309</v>
      </c>
      <c r="F112" s="358">
        <f t="shared" si="99"/>
        <v>1100</v>
      </c>
      <c r="G112" s="358">
        <f t="shared" si="99"/>
        <v>1046</v>
      </c>
      <c r="H112" s="358">
        <f t="shared" si="99"/>
        <v>676</v>
      </c>
      <c r="I112" s="358">
        <f t="shared" si="99"/>
        <v>-640</v>
      </c>
      <c r="J112" s="358">
        <f t="shared" si="99"/>
        <v>-2613</v>
      </c>
      <c r="K112" s="358">
        <f t="shared" si="99"/>
        <v>-2374</v>
      </c>
      <c r="L112" s="358">
        <f t="shared" si="99"/>
        <v>-2077</v>
      </c>
      <c r="M112" s="358">
        <f t="shared" si="99"/>
        <v>-2375</v>
      </c>
      <c r="N112" s="358">
        <f t="shared" si="99"/>
        <v>-1264</v>
      </c>
      <c r="O112" s="358">
        <f t="shared" si="99"/>
        <v>-329</v>
      </c>
      <c r="P112" s="358">
        <f t="shared" si="99"/>
        <v>-480</v>
      </c>
      <c r="Q112" s="358">
        <f>SUM(Q103:Q111)</f>
        <v>-1378</v>
      </c>
      <c r="R112" s="358">
        <f t="shared" ca="1" si="99"/>
        <v>-194.17380985330681</v>
      </c>
      <c r="S112" s="358">
        <f t="shared" ca="1" si="99"/>
        <v>110.92218126856557</v>
      </c>
      <c r="T112" s="358">
        <f t="shared" ca="1" si="99"/>
        <v>-48.014982680563094</v>
      </c>
      <c r="V112" s="358">
        <f t="shared" ref="V112:AD112" si="100">SUM(V103:V111)</f>
        <v>2077</v>
      </c>
      <c r="W112" s="358">
        <f t="shared" si="100"/>
        <v>2519</v>
      </c>
      <c r="X112" s="358">
        <f t="shared" si="100"/>
        <v>3131</v>
      </c>
      <c r="Y112" s="358">
        <f t="shared" si="100"/>
        <v>-7704</v>
      </c>
      <c r="Z112" s="358">
        <f t="shared" si="100"/>
        <v>-4448</v>
      </c>
      <c r="AA112" s="358">
        <f t="shared" ca="1" si="100"/>
        <v>-1509.2666112653046</v>
      </c>
      <c r="AB112" s="358">
        <f t="shared" ca="1" si="100"/>
        <v>1594.8190966924194</v>
      </c>
      <c r="AC112" s="358">
        <f t="shared" ca="1" si="100"/>
        <v>3131.6254943793165</v>
      </c>
      <c r="AD112" s="358">
        <f t="shared" ca="1" si="100"/>
        <v>2855.8902463976633</v>
      </c>
    </row>
    <row r="114" spans="2:30" s="255" customFormat="1" ht="11.25" customHeight="1">
      <c r="B114" s="258" t="s">
        <v>133</v>
      </c>
      <c r="C114" s="259" t="s">
        <v>307</v>
      </c>
      <c r="D114" s="259"/>
      <c r="E114" s="258"/>
      <c r="F114" s="258"/>
      <c r="G114" s="258"/>
      <c r="H114" s="258"/>
      <c r="I114" s="258"/>
      <c r="J114" s="258"/>
      <c r="K114" s="258"/>
      <c r="L114" s="258"/>
      <c r="M114" s="258"/>
      <c r="N114" s="258"/>
      <c r="O114" s="258"/>
      <c r="P114" s="258"/>
      <c r="Q114" s="258"/>
      <c r="R114" s="258"/>
      <c r="S114" s="258"/>
      <c r="T114" s="258"/>
      <c r="U114" s="280"/>
      <c r="V114" s="258"/>
      <c r="W114" s="258"/>
      <c r="X114" s="258"/>
      <c r="Y114" s="258"/>
      <c r="Z114" s="258"/>
      <c r="AA114" s="258"/>
      <c r="AB114" s="258"/>
      <c r="AC114" s="258"/>
      <c r="AD114" s="258"/>
    </row>
    <row r="115" spans="2:30" ht="11.25" customHeight="1">
      <c r="P115" s="387"/>
      <c r="Q115" s="255"/>
    </row>
    <row r="116" spans="2:30" ht="11.25" customHeight="1">
      <c r="C116" s="253" t="s">
        <v>308</v>
      </c>
      <c r="E116" s="277">
        <v>1848</v>
      </c>
      <c r="F116" s="277">
        <v>3221</v>
      </c>
      <c r="G116" s="277">
        <v>2959</v>
      </c>
      <c r="H116" s="277">
        <v>2762</v>
      </c>
      <c r="I116" s="277">
        <v>3442</v>
      </c>
      <c r="J116" s="277">
        <v>6505</v>
      </c>
      <c r="K116" s="277">
        <v>13150</v>
      </c>
      <c r="L116" s="277">
        <v>11269</v>
      </c>
      <c r="M116" s="277">
        <v>12666</v>
      </c>
      <c r="N116" s="277">
        <v>20838</v>
      </c>
      <c r="O116" s="277">
        <v>19256</v>
      </c>
      <c r="P116" s="277">
        <v>18283</v>
      </c>
      <c r="Q116" s="277">
        <v>18468</v>
      </c>
      <c r="R116" s="254">
        <f ca="1">R253-R117</f>
        <v>13846.814968662071</v>
      </c>
      <c r="S116" s="254">
        <f ca="1">S253-S117</f>
        <v>13124.252440736618</v>
      </c>
      <c r="T116" s="254">
        <f ca="1">T253-T117</f>
        <v>12128.120185726139</v>
      </c>
      <c r="V116" s="277">
        <v>1482</v>
      </c>
      <c r="W116" s="277">
        <v>1694</v>
      </c>
      <c r="X116" s="255">
        <f>SUMIF($E$6:$T$6,X$6,$E116:$T116)</f>
        <v>2762</v>
      </c>
      <c r="Y116" s="255">
        <f>SUMIF($E$6:$T$6,Y$6,$E116:$T116)</f>
        <v>11269</v>
      </c>
      <c r="Z116" s="255">
        <f>SUMIF($E$6:$T$6,Z$6,$E116:$T116)</f>
        <v>18283</v>
      </c>
      <c r="AA116" s="255">
        <f ca="1">SUMIF($E$6:$T$6,AA$6,$E116:$T116)</f>
        <v>12128.120185726139</v>
      </c>
      <c r="AB116" s="254">
        <f ca="1">AB253-AB117</f>
        <v>11205.86572975236</v>
      </c>
      <c r="AC116" s="254">
        <f ca="1">AC253-AC117</f>
        <v>13222.873981193141</v>
      </c>
      <c r="AD116" s="254">
        <f ca="1">AD253-AD117</f>
        <v>15653.513826350201</v>
      </c>
    </row>
    <row r="117" spans="2:30" ht="11.25" customHeight="1">
      <c r="C117" s="253" t="s">
        <v>310</v>
      </c>
      <c r="E117" s="254">
        <f t="shared" ref="E117:AD117" si="101">SUM(E118:E119)</f>
        <v>103</v>
      </c>
      <c r="F117" s="254">
        <f t="shared" si="101"/>
        <v>105</v>
      </c>
      <c r="G117" s="254">
        <f t="shared" si="101"/>
        <v>104</v>
      </c>
      <c r="H117" s="254">
        <f t="shared" si="101"/>
        <v>106</v>
      </c>
      <c r="I117" s="254">
        <f t="shared" si="101"/>
        <v>106</v>
      </c>
      <c r="J117" s="254">
        <f t="shared" si="101"/>
        <v>107</v>
      </c>
      <c r="K117" s="254">
        <f t="shared" si="101"/>
        <v>248</v>
      </c>
      <c r="L117" s="254">
        <f t="shared" si="101"/>
        <v>473</v>
      </c>
      <c r="M117" s="254">
        <f t="shared" si="101"/>
        <v>472</v>
      </c>
      <c r="N117" s="254">
        <f t="shared" si="101"/>
        <v>470</v>
      </c>
      <c r="O117" s="254">
        <f t="shared" si="101"/>
        <v>469</v>
      </c>
      <c r="P117" s="254">
        <f t="shared" si="101"/>
        <v>250</v>
      </c>
      <c r="Q117" s="254">
        <f>SUM(Q118:Q119)</f>
        <v>255</v>
      </c>
      <c r="R117" s="254">
        <f t="shared" si="101"/>
        <v>255</v>
      </c>
      <c r="S117" s="254">
        <f t="shared" si="101"/>
        <v>255</v>
      </c>
      <c r="T117" s="254">
        <f t="shared" si="101"/>
        <v>255</v>
      </c>
      <c r="U117" s="254"/>
      <c r="V117" s="254">
        <f t="shared" si="101"/>
        <v>109</v>
      </c>
      <c r="W117" s="254">
        <f t="shared" si="101"/>
        <v>105</v>
      </c>
      <c r="X117" s="254">
        <f t="shared" si="101"/>
        <v>106</v>
      </c>
      <c r="Y117" s="254">
        <f t="shared" si="101"/>
        <v>473</v>
      </c>
      <c r="Z117" s="254">
        <f t="shared" si="101"/>
        <v>250</v>
      </c>
      <c r="AA117" s="254">
        <f t="shared" si="101"/>
        <v>255</v>
      </c>
      <c r="AB117" s="254">
        <f t="shared" si="101"/>
        <v>255</v>
      </c>
      <c r="AC117" s="254">
        <f t="shared" si="101"/>
        <v>255</v>
      </c>
      <c r="AD117" s="254">
        <f t="shared" si="101"/>
        <v>255</v>
      </c>
    </row>
    <row r="118" spans="2:30" ht="11.25" hidden="1" customHeight="1" outlineLevel="1">
      <c r="C118" s="390" t="s">
        <v>562</v>
      </c>
      <c r="D118" s="390"/>
      <c r="E118" s="385">
        <v>0</v>
      </c>
      <c r="F118" s="385">
        <v>0</v>
      </c>
      <c r="G118" s="385">
        <v>4</v>
      </c>
      <c r="H118" s="385">
        <v>0</v>
      </c>
      <c r="I118" s="385">
        <v>0</v>
      </c>
      <c r="J118" s="385">
        <v>34</v>
      </c>
      <c r="K118" s="385">
        <v>76</v>
      </c>
      <c r="L118" s="385">
        <v>255</v>
      </c>
      <c r="M118" s="385">
        <v>254</v>
      </c>
      <c r="N118" s="385">
        <v>254</v>
      </c>
      <c r="O118" s="385">
        <v>254</v>
      </c>
      <c r="P118" s="385">
        <v>37</v>
      </c>
      <c r="Q118" s="385">
        <v>41</v>
      </c>
      <c r="R118" s="420">
        <f t="shared" ref="R118:T120" si="102">Q118</f>
        <v>41</v>
      </c>
      <c r="S118" s="420">
        <f t="shared" si="102"/>
        <v>41</v>
      </c>
      <c r="T118" s="420">
        <f t="shared" si="102"/>
        <v>41</v>
      </c>
      <c r="V118" s="385">
        <v>18</v>
      </c>
      <c r="W118" s="385">
        <v>0</v>
      </c>
      <c r="X118" s="395">
        <f t="shared" ref="X118:AA123" si="103">SUMIF($E$6:$T$6,X$6,$E118:$T118)</f>
        <v>0</v>
      </c>
      <c r="Y118" s="395">
        <f t="shared" si="103"/>
        <v>255</v>
      </c>
      <c r="Z118" s="395">
        <f t="shared" si="103"/>
        <v>37</v>
      </c>
      <c r="AA118" s="395">
        <f t="shared" si="103"/>
        <v>41</v>
      </c>
      <c r="AB118" s="420">
        <f t="shared" ref="AB118:AD120" si="104">AA118</f>
        <v>41</v>
      </c>
      <c r="AC118" s="420">
        <f t="shared" si="104"/>
        <v>41</v>
      </c>
      <c r="AD118" s="420">
        <f t="shared" si="104"/>
        <v>41</v>
      </c>
    </row>
    <row r="119" spans="2:30" ht="11.25" hidden="1" customHeight="1" outlineLevel="1">
      <c r="C119" s="390" t="s">
        <v>562</v>
      </c>
      <c r="D119" s="390"/>
      <c r="E119" s="385">
        <v>103</v>
      </c>
      <c r="F119" s="385">
        <v>105</v>
      </c>
      <c r="G119" s="385">
        <v>100</v>
      </c>
      <c r="H119" s="385">
        <v>106</v>
      </c>
      <c r="I119" s="385">
        <v>106</v>
      </c>
      <c r="J119" s="385">
        <v>73</v>
      </c>
      <c r="K119" s="385">
        <v>172</v>
      </c>
      <c r="L119" s="385">
        <v>218</v>
      </c>
      <c r="M119" s="385">
        <v>218</v>
      </c>
      <c r="N119" s="385">
        <v>216</v>
      </c>
      <c r="O119" s="385">
        <v>215</v>
      </c>
      <c r="P119" s="385">
        <v>213</v>
      </c>
      <c r="Q119" s="385">
        <v>214</v>
      </c>
      <c r="R119" s="420">
        <f t="shared" si="102"/>
        <v>214</v>
      </c>
      <c r="S119" s="420">
        <f t="shared" si="102"/>
        <v>214</v>
      </c>
      <c r="T119" s="420">
        <f t="shared" si="102"/>
        <v>214</v>
      </c>
      <c r="V119" s="385">
        <v>91</v>
      </c>
      <c r="W119" s="385">
        <v>105</v>
      </c>
      <c r="X119" s="395">
        <f t="shared" si="103"/>
        <v>106</v>
      </c>
      <c r="Y119" s="395">
        <f t="shared" si="103"/>
        <v>218</v>
      </c>
      <c r="Z119" s="395">
        <f t="shared" si="103"/>
        <v>213</v>
      </c>
      <c r="AA119" s="395">
        <f t="shared" si="103"/>
        <v>214</v>
      </c>
      <c r="AB119" s="420">
        <f t="shared" si="104"/>
        <v>214</v>
      </c>
      <c r="AC119" s="420">
        <f t="shared" si="104"/>
        <v>214</v>
      </c>
      <c r="AD119" s="420">
        <f t="shared" si="104"/>
        <v>214</v>
      </c>
    </row>
    <row r="120" spans="2:30" ht="11.25" customHeight="1" collapsed="1">
      <c r="C120" s="253" t="s">
        <v>309</v>
      </c>
      <c r="E120" s="277">
        <v>2219</v>
      </c>
      <c r="F120" s="277">
        <v>2223</v>
      </c>
      <c r="G120" s="277">
        <v>2163</v>
      </c>
      <c r="H120" s="277">
        <v>2182</v>
      </c>
      <c r="I120" s="277">
        <v>1779</v>
      </c>
      <c r="J120" s="277">
        <v>924</v>
      </c>
      <c r="K120" s="277">
        <v>552</v>
      </c>
      <c r="L120" s="277">
        <v>414</v>
      </c>
      <c r="M120" s="277">
        <v>309</v>
      </c>
      <c r="N120" s="277">
        <v>230</v>
      </c>
      <c r="O120" s="277">
        <v>166</v>
      </c>
      <c r="P120" s="277">
        <v>123</v>
      </c>
      <c r="Q120" s="277">
        <v>211</v>
      </c>
      <c r="R120" s="288">
        <f t="shared" si="102"/>
        <v>211</v>
      </c>
      <c r="S120" s="288">
        <f t="shared" si="102"/>
        <v>211</v>
      </c>
      <c r="T120" s="288">
        <f t="shared" si="102"/>
        <v>211</v>
      </c>
      <c r="V120" s="277">
        <v>2316</v>
      </c>
      <c r="W120" s="277">
        <v>2256</v>
      </c>
      <c r="X120" s="255">
        <f t="shared" si="103"/>
        <v>2182</v>
      </c>
      <c r="Y120" s="255">
        <f t="shared" si="103"/>
        <v>414</v>
      </c>
      <c r="Z120" s="255">
        <f t="shared" si="103"/>
        <v>123</v>
      </c>
      <c r="AA120" s="255">
        <f t="shared" si="103"/>
        <v>211</v>
      </c>
      <c r="AB120" s="288">
        <f t="shared" si="104"/>
        <v>211</v>
      </c>
      <c r="AC120" s="288">
        <f t="shared" si="104"/>
        <v>211</v>
      </c>
      <c r="AD120" s="288">
        <f t="shared" si="104"/>
        <v>211</v>
      </c>
    </row>
    <row r="121" spans="2:30" ht="11.25" customHeight="1">
      <c r="C121" s="253" t="s">
        <v>373</v>
      </c>
      <c r="E121" s="277">
        <v>1789</v>
      </c>
      <c r="F121" s="277">
        <v>1762</v>
      </c>
      <c r="G121" s="277">
        <v>1617</v>
      </c>
      <c r="H121" s="277">
        <v>1364</v>
      </c>
      <c r="I121" s="277">
        <v>792</v>
      </c>
      <c r="J121" s="277">
        <v>857</v>
      </c>
      <c r="K121" s="277">
        <v>1171</v>
      </c>
      <c r="L121" s="277">
        <v>1295</v>
      </c>
      <c r="M121" s="277">
        <v>1389</v>
      </c>
      <c r="N121" s="277">
        <v>1793</v>
      </c>
      <c r="O121" s="277">
        <v>1709</v>
      </c>
      <c r="P121" s="277">
        <v>1663</v>
      </c>
      <c r="Q121" s="277">
        <v>2062</v>
      </c>
      <c r="R121" s="254">
        <f>(SUM(O13:R13)/365)*R203</f>
        <v>2115.115934940738</v>
      </c>
      <c r="S121" s="254">
        <f>(SUM(P13:S13)/365)*S203</f>
        <v>2055.7282433681212</v>
      </c>
      <c r="T121" s="254">
        <f>(SUM(Q13:T13)/365)*T203</f>
        <v>2006.6547027114921</v>
      </c>
      <c r="V121" s="277">
        <v>1340</v>
      </c>
      <c r="W121" s="277">
        <v>1426</v>
      </c>
      <c r="X121" s="255">
        <f t="shared" si="103"/>
        <v>1364</v>
      </c>
      <c r="Y121" s="255">
        <f t="shared" si="103"/>
        <v>1295</v>
      </c>
      <c r="Z121" s="255">
        <f t="shared" si="103"/>
        <v>1663</v>
      </c>
      <c r="AA121" s="255">
        <f t="shared" si="103"/>
        <v>2006.6547027114921</v>
      </c>
      <c r="AB121" s="254">
        <f>(AB13/365)*AB203</f>
        <v>1872.6337745831272</v>
      </c>
      <c r="AC121" s="254">
        <f>(AC13/365)*AC203</f>
        <v>1831.6860066398885</v>
      </c>
      <c r="AD121" s="254">
        <f>(AD13/365)*AD203</f>
        <v>1698.7091560728172</v>
      </c>
    </row>
    <row r="122" spans="2:30" ht="11.25" customHeight="1">
      <c r="C122" s="253" t="s">
        <v>375</v>
      </c>
      <c r="E122" s="277">
        <v>972</v>
      </c>
      <c r="F122" s="277">
        <v>996</v>
      </c>
      <c r="G122" s="277">
        <v>1065</v>
      </c>
      <c r="H122" s="277">
        <v>1072</v>
      </c>
      <c r="I122" s="277">
        <v>1070</v>
      </c>
      <c r="J122" s="277">
        <v>955</v>
      </c>
      <c r="K122" s="277">
        <v>961</v>
      </c>
      <c r="L122" s="277">
        <v>932</v>
      </c>
      <c r="M122" s="277">
        <v>918</v>
      </c>
      <c r="N122" s="277">
        <v>912</v>
      </c>
      <c r="O122" s="277">
        <v>955</v>
      </c>
      <c r="P122" s="277">
        <v>983</v>
      </c>
      <c r="Q122" s="277">
        <v>1068</v>
      </c>
      <c r="R122" s="254">
        <f>R204*(SUM(O15:R15)/365)</f>
        <v>1117.5570050484444</v>
      </c>
      <c r="S122" s="254">
        <f>S204*(SUM(P15:S15)/365)</f>
        <v>1196.6322308962078</v>
      </c>
      <c r="T122" s="254">
        <f>T204*(SUM(Q15:T15)/365)</f>
        <v>1264.7758391192096</v>
      </c>
      <c r="V122" s="277">
        <v>924</v>
      </c>
      <c r="W122" s="277">
        <v>985</v>
      </c>
      <c r="X122" s="255">
        <f t="shared" si="103"/>
        <v>1072</v>
      </c>
      <c r="Y122" s="255">
        <f t="shared" si="103"/>
        <v>932</v>
      </c>
      <c r="Z122" s="255">
        <f t="shared" si="103"/>
        <v>983</v>
      </c>
      <c r="AA122" s="255">
        <f t="shared" si="103"/>
        <v>1264.7758391192096</v>
      </c>
      <c r="AB122" s="254">
        <f>AB204*AB15/365</f>
        <v>1114.6890455159526</v>
      </c>
      <c r="AC122" s="254">
        <f>AC204*AC15/365</f>
        <v>1018.3263635564308</v>
      </c>
      <c r="AD122" s="254">
        <f>AD204*AD15/365</f>
        <v>1019.115947314045</v>
      </c>
    </row>
    <row r="123" spans="2:30" ht="11.25" customHeight="1">
      <c r="C123" s="253" t="s">
        <v>311</v>
      </c>
      <c r="E123" s="277">
        <v>780</v>
      </c>
      <c r="F123" s="277">
        <v>708</v>
      </c>
      <c r="G123" s="277">
        <v>725</v>
      </c>
      <c r="H123" s="277">
        <v>814</v>
      </c>
      <c r="I123" s="277">
        <v>822</v>
      </c>
      <c r="J123" s="277">
        <v>766</v>
      </c>
      <c r="K123" s="277">
        <v>566</v>
      </c>
      <c r="L123" s="277">
        <v>635</v>
      </c>
      <c r="M123" s="277">
        <v>483</v>
      </c>
      <c r="N123" s="277">
        <v>646</v>
      </c>
      <c r="O123" s="277">
        <v>717</v>
      </c>
      <c r="P123" s="277">
        <v>745</v>
      </c>
      <c r="Q123" s="277">
        <v>762</v>
      </c>
      <c r="R123" s="254">
        <f>SUM(O13:R13)*R209</f>
        <v>701.83392386669937</v>
      </c>
      <c r="S123" s="254">
        <f>SUM(P13:S13)*S209</f>
        <v>631.8659442773594</v>
      </c>
      <c r="T123" s="254">
        <f>SUM(Q13:T13)*T209</f>
        <v>560.09273908035459</v>
      </c>
      <c r="V123" s="277">
        <v>1053</v>
      </c>
      <c r="W123" s="277">
        <v>733</v>
      </c>
      <c r="X123" s="255">
        <f t="shared" si="103"/>
        <v>814</v>
      </c>
      <c r="Y123" s="255">
        <f t="shared" si="103"/>
        <v>635</v>
      </c>
      <c r="Z123" s="255">
        <f t="shared" si="103"/>
        <v>745</v>
      </c>
      <c r="AA123" s="255">
        <f t="shared" si="103"/>
        <v>560.09273908035459</v>
      </c>
      <c r="AB123" s="254">
        <f>AB13*AB209</f>
        <v>585.86685233386413</v>
      </c>
      <c r="AC123" s="254">
        <f>AC13*AC209</f>
        <v>617.13728531405479</v>
      </c>
      <c r="AD123" s="254">
        <f>AD13*AD209</f>
        <v>620.02884196657828</v>
      </c>
    </row>
    <row r="124" spans="2:30" ht="11.25" customHeight="1">
      <c r="C124" s="289" t="s">
        <v>312</v>
      </c>
      <c r="E124" s="358">
        <f t="shared" ref="E124:T124" si="105">SUM(E116:E117,E120:E123)</f>
        <v>7711</v>
      </c>
      <c r="F124" s="358">
        <f t="shared" si="105"/>
        <v>9015</v>
      </c>
      <c r="G124" s="358">
        <f t="shared" si="105"/>
        <v>8633</v>
      </c>
      <c r="H124" s="358">
        <f t="shared" si="105"/>
        <v>8300</v>
      </c>
      <c r="I124" s="358">
        <f t="shared" si="105"/>
        <v>8011</v>
      </c>
      <c r="J124" s="358">
        <f t="shared" si="105"/>
        <v>10114</v>
      </c>
      <c r="K124" s="358">
        <f t="shared" si="105"/>
        <v>16648</v>
      </c>
      <c r="L124" s="358">
        <f t="shared" si="105"/>
        <v>15018</v>
      </c>
      <c r="M124" s="358">
        <f t="shared" si="105"/>
        <v>16237</v>
      </c>
      <c r="N124" s="358">
        <f t="shared" si="105"/>
        <v>24889</v>
      </c>
      <c r="O124" s="358">
        <f t="shared" si="105"/>
        <v>23272</v>
      </c>
      <c r="P124" s="358">
        <f t="shared" si="105"/>
        <v>22047</v>
      </c>
      <c r="Q124" s="358">
        <f t="shared" si="105"/>
        <v>22826</v>
      </c>
      <c r="R124" s="358">
        <f t="shared" ca="1" si="105"/>
        <v>18247.321832517955</v>
      </c>
      <c r="S124" s="358">
        <f t="shared" ca="1" si="105"/>
        <v>17474.478859278308</v>
      </c>
      <c r="T124" s="358">
        <f t="shared" ca="1" si="105"/>
        <v>16425.643466637193</v>
      </c>
      <c r="V124" s="358">
        <f t="shared" ref="V124:AD124" si="106">SUM(V116:V117,V120:V123)</f>
        <v>7224</v>
      </c>
      <c r="W124" s="358">
        <f t="shared" si="106"/>
        <v>7199</v>
      </c>
      <c r="X124" s="358">
        <f t="shared" si="106"/>
        <v>8300</v>
      </c>
      <c r="Y124" s="358">
        <f t="shared" si="106"/>
        <v>15018</v>
      </c>
      <c r="Z124" s="358">
        <f t="shared" si="106"/>
        <v>22047</v>
      </c>
      <c r="AA124" s="358">
        <f t="shared" ca="1" si="106"/>
        <v>16425.643466637193</v>
      </c>
      <c r="AB124" s="358">
        <f t="shared" ca="1" si="106"/>
        <v>15245.055402185304</v>
      </c>
      <c r="AC124" s="358">
        <f t="shared" ca="1" si="106"/>
        <v>17156.023636703518</v>
      </c>
      <c r="AD124" s="358">
        <f t="shared" ca="1" si="106"/>
        <v>19457.367771703641</v>
      </c>
    </row>
    <row r="125" spans="2:30" ht="11.25" customHeight="1">
      <c r="C125" s="289"/>
      <c r="E125" s="255"/>
      <c r="F125" s="255"/>
      <c r="G125" s="255"/>
      <c r="H125" s="255"/>
      <c r="I125" s="255"/>
      <c r="J125" s="255"/>
      <c r="K125" s="255"/>
      <c r="L125" s="255"/>
      <c r="M125" s="255"/>
      <c r="N125" s="255"/>
      <c r="O125" s="255"/>
      <c r="P125" s="255"/>
      <c r="Q125" s="255"/>
      <c r="V125" s="255"/>
      <c r="W125" s="255"/>
    </row>
    <row r="126" spans="2:30" ht="11.25" customHeight="1">
      <c r="C126" s="253" t="s">
        <v>313</v>
      </c>
      <c r="E126" s="277">
        <v>28586</v>
      </c>
      <c r="F126" s="277">
        <v>28918</v>
      </c>
      <c r="G126" s="277">
        <v>29332</v>
      </c>
      <c r="H126" s="277">
        <v>30170</v>
      </c>
      <c r="I126" s="277">
        <v>31811</v>
      </c>
      <c r="J126" s="277">
        <v>31735</v>
      </c>
      <c r="K126" s="277">
        <v>31650</v>
      </c>
      <c r="L126" s="277">
        <v>31466</v>
      </c>
      <c r="M126" s="277">
        <v>31915</v>
      </c>
      <c r="N126" s="277">
        <v>32331</v>
      </c>
      <c r="O126" s="277">
        <v>32128</v>
      </c>
      <c r="P126" s="277">
        <v>32074</v>
      </c>
      <c r="Q126" s="277">
        <v>31881</v>
      </c>
      <c r="R126" s="254">
        <f>R185</f>
        <v>32816.992336279545</v>
      </c>
      <c r="S126" s="254">
        <f>S185</f>
        <v>33683.032281397733</v>
      </c>
      <c r="T126" s="254">
        <f>T185</f>
        <v>35116.395227543675</v>
      </c>
      <c r="V126" s="277">
        <v>26208</v>
      </c>
      <c r="W126" s="277">
        <v>27399</v>
      </c>
      <c r="X126" s="255">
        <f t="shared" ref="X126:AA133" si="107">SUMIF($E$6:$T$6,X$6,$E126:$T126)</f>
        <v>30170</v>
      </c>
      <c r="Y126" s="255">
        <f t="shared" si="107"/>
        <v>31466</v>
      </c>
      <c r="Z126" s="255">
        <f t="shared" si="107"/>
        <v>32074</v>
      </c>
      <c r="AA126" s="255">
        <f t="shared" si="107"/>
        <v>35116.395227543675</v>
      </c>
      <c r="AB126" s="254">
        <f>AB185</f>
        <v>40030.916227543668</v>
      </c>
      <c r="AC126" s="254">
        <f>AC185</f>
        <v>41889.869227543677</v>
      </c>
      <c r="AD126" s="254">
        <f>AD185</f>
        <v>43058.773227543679</v>
      </c>
    </row>
    <row r="127" spans="2:30" ht="11.25" customHeight="1">
      <c r="C127" s="253" t="s">
        <v>330</v>
      </c>
      <c r="E127" s="277">
        <v>3144</v>
      </c>
      <c r="F127" s="277">
        <v>3129</v>
      </c>
      <c r="G127" s="277">
        <v>3114</v>
      </c>
      <c r="H127" s="277">
        <v>3009</v>
      </c>
      <c r="I127" s="277">
        <v>2945</v>
      </c>
      <c r="J127" s="277">
        <v>2852</v>
      </c>
      <c r="K127" s="277">
        <v>2852</v>
      </c>
      <c r="L127" s="277">
        <v>2838</v>
      </c>
      <c r="M127" s="277">
        <v>2840</v>
      </c>
      <c r="N127" s="277">
        <v>2827</v>
      </c>
      <c r="O127" s="277">
        <v>2815</v>
      </c>
      <c r="P127" s="277">
        <v>2803</v>
      </c>
      <c r="Q127" s="277">
        <v>2792</v>
      </c>
      <c r="R127" s="254">
        <f>R196</f>
        <v>2782</v>
      </c>
      <c r="S127" s="254">
        <f>S196</f>
        <v>2772</v>
      </c>
      <c r="T127" s="254">
        <f>T196</f>
        <v>2762</v>
      </c>
      <c r="V127" s="277">
        <v>3539</v>
      </c>
      <c r="W127" s="277">
        <v>3159</v>
      </c>
      <c r="X127" s="255">
        <f t="shared" ref="X127:AA128" si="108">SUMIF($E$6:$T$6,X$6,$E127:$T127)</f>
        <v>3009</v>
      </c>
      <c r="Y127" s="255">
        <f t="shared" si="108"/>
        <v>2838</v>
      </c>
      <c r="Z127" s="255">
        <f t="shared" si="108"/>
        <v>2803</v>
      </c>
      <c r="AA127" s="255">
        <f t="shared" si="108"/>
        <v>2762</v>
      </c>
      <c r="AB127" s="254">
        <f>AB196</f>
        <v>2725</v>
      </c>
      <c r="AC127" s="254">
        <f>AC196</f>
        <v>2693</v>
      </c>
      <c r="AD127" s="254">
        <f>AD196</f>
        <v>2665</v>
      </c>
    </row>
    <row r="128" spans="2:30" ht="11.25" customHeight="1">
      <c r="C128" s="253" t="s">
        <v>1128</v>
      </c>
      <c r="E128" s="277">
        <v>0</v>
      </c>
      <c r="F128" s="277">
        <v>0</v>
      </c>
      <c r="G128" s="277">
        <v>0</v>
      </c>
      <c r="H128" s="277">
        <v>0</v>
      </c>
      <c r="I128" s="277">
        <v>0</v>
      </c>
      <c r="J128" s="277">
        <v>0</v>
      </c>
      <c r="K128" s="277">
        <v>0</v>
      </c>
      <c r="L128" s="277">
        <v>131</v>
      </c>
      <c r="M128" s="277">
        <v>520</v>
      </c>
      <c r="N128" s="277">
        <v>647</v>
      </c>
      <c r="O128" s="277">
        <v>519</v>
      </c>
      <c r="P128" s="277">
        <v>659</v>
      </c>
      <c r="Q128" s="277">
        <v>1032</v>
      </c>
      <c r="R128" s="254">
        <f ca="1">-R218+Q128</f>
        <v>1032</v>
      </c>
      <c r="S128" s="254">
        <f ca="1">-S218+R128</f>
        <v>1032</v>
      </c>
      <c r="T128" s="254">
        <f ca="1">-T218+S128</f>
        <v>1032</v>
      </c>
      <c r="V128" s="277">
        <v>0</v>
      </c>
      <c r="W128" s="277">
        <v>0</v>
      </c>
      <c r="X128" s="255">
        <f t="shared" si="108"/>
        <v>0</v>
      </c>
      <c r="Y128" s="255">
        <f t="shared" si="108"/>
        <v>131</v>
      </c>
      <c r="Z128" s="255">
        <f t="shared" si="108"/>
        <v>659</v>
      </c>
      <c r="AA128" s="255">
        <f t="shared" ca="1" si="108"/>
        <v>1032</v>
      </c>
      <c r="AB128" s="254">
        <f ca="1">-AB218+AA128</f>
        <v>1032</v>
      </c>
      <c r="AC128" s="254">
        <f ca="1">-AC218+AB128</f>
        <v>1032</v>
      </c>
      <c r="AD128" s="254">
        <f ca="1">-AD218+AC128</f>
        <v>1032</v>
      </c>
    </row>
    <row r="129" spans="3:30" ht="11.25" customHeight="1">
      <c r="C129" s="253" t="s">
        <v>379</v>
      </c>
      <c r="E129" s="254">
        <f t="shared" ref="E129:T129" si="109">SUM(E130:E133)</f>
        <v>11198</v>
      </c>
      <c r="F129" s="254">
        <f t="shared" si="109"/>
        <v>11088</v>
      </c>
      <c r="G129" s="254">
        <f t="shared" si="109"/>
        <v>11120</v>
      </c>
      <c r="H129" s="254">
        <f t="shared" si="109"/>
        <v>11132</v>
      </c>
      <c r="I129" s="254">
        <f t="shared" si="109"/>
        <v>10288</v>
      </c>
      <c r="J129" s="254">
        <f t="shared" si="109"/>
        <v>10200</v>
      </c>
      <c r="K129" s="254">
        <f t="shared" si="109"/>
        <v>10039</v>
      </c>
      <c r="L129" s="254">
        <f t="shared" si="109"/>
        <v>10095</v>
      </c>
      <c r="M129" s="254">
        <f t="shared" si="109"/>
        <v>10150</v>
      </c>
      <c r="N129" s="254">
        <f t="shared" si="109"/>
        <v>10355</v>
      </c>
      <c r="O129" s="254">
        <f t="shared" si="109"/>
        <v>10560</v>
      </c>
      <c r="P129" s="254">
        <f t="shared" si="109"/>
        <v>10592</v>
      </c>
      <c r="Q129" s="254">
        <f t="shared" si="109"/>
        <v>10507</v>
      </c>
      <c r="R129" s="254">
        <f t="shared" si="109"/>
        <v>10507</v>
      </c>
      <c r="S129" s="254">
        <f t="shared" si="109"/>
        <v>10507</v>
      </c>
      <c r="T129" s="254">
        <f t="shared" si="109"/>
        <v>10507</v>
      </c>
      <c r="U129" s="254"/>
      <c r="V129" s="254">
        <f t="shared" ref="V129:AD129" si="110">SUM(V130:V133)</f>
        <v>5375</v>
      </c>
      <c r="W129" s="254">
        <f t="shared" si="110"/>
        <v>11267</v>
      </c>
      <c r="X129" s="254">
        <f t="shared" si="110"/>
        <v>11132</v>
      </c>
      <c r="Y129" s="254">
        <f t="shared" si="110"/>
        <v>10095</v>
      </c>
      <c r="Z129" s="254">
        <f t="shared" si="110"/>
        <v>10592</v>
      </c>
      <c r="AA129" s="254">
        <f t="shared" si="110"/>
        <v>10507</v>
      </c>
      <c r="AB129" s="254">
        <f t="shared" si="110"/>
        <v>10507</v>
      </c>
      <c r="AC129" s="254">
        <f t="shared" si="110"/>
        <v>10507</v>
      </c>
      <c r="AD129" s="254">
        <f t="shared" si="110"/>
        <v>10507</v>
      </c>
    </row>
    <row r="130" spans="3:30" ht="11.25" hidden="1" customHeight="1" outlineLevel="1">
      <c r="C130" s="390" t="s">
        <v>610</v>
      </c>
      <c r="D130" s="390"/>
      <c r="E130" s="385">
        <v>4523</v>
      </c>
      <c r="F130" s="385">
        <v>4523</v>
      </c>
      <c r="G130" s="385">
        <v>4523</v>
      </c>
      <c r="H130" s="385">
        <v>4523</v>
      </c>
      <c r="I130" s="385">
        <v>4523</v>
      </c>
      <c r="J130" s="385">
        <v>4523</v>
      </c>
      <c r="K130" s="385">
        <v>4527</v>
      </c>
      <c r="L130" s="385">
        <v>4527</v>
      </c>
      <c r="M130" s="385">
        <v>4527</v>
      </c>
      <c r="N130" s="385">
        <v>4527</v>
      </c>
      <c r="O130" s="385">
        <v>4527</v>
      </c>
      <c r="P130" s="385">
        <v>4527</v>
      </c>
      <c r="Q130" s="385">
        <v>4527</v>
      </c>
      <c r="R130" s="420">
        <f t="shared" ref="R130:T130" si="111">Q130</f>
        <v>4527</v>
      </c>
      <c r="S130" s="420">
        <f t="shared" si="111"/>
        <v>4527</v>
      </c>
      <c r="T130" s="420">
        <f t="shared" si="111"/>
        <v>4527</v>
      </c>
      <c r="V130" s="385">
        <v>4523</v>
      </c>
      <c r="W130" s="385">
        <v>4523</v>
      </c>
      <c r="X130" s="395">
        <f t="shared" si="107"/>
        <v>4523</v>
      </c>
      <c r="Y130" s="395">
        <f t="shared" si="107"/>
        <v>4527</v>
      </c>
      <c r="Z130" s="395">
        <f t="shared" si="107"/>
        <v>4527</v>
      </c>
      <c r="AA130" s="395">
        <f t="shared" si="107"/>
        <v>4527</v>
      </c>
      <c r="AB130" s="420">
        <f t="shared" ref="AB130:AD130" si="112">AA130</f>
        <v>4527</v>
      </c>
      <c r="AC130" s="420">
        <f t="shared" si="112"/>
        <v>4527</v>
      </c>
      <c r="AD130" s="420">
        <f t="shared" si="112"/>
        <v>4527</v>
      </c>
    </row>
    <row r="131" spans="3:30" ht="11.25" hidden="1" customHeight="1" outlineLevel="1">
      <c r="C131" s="390" t="s">
        <v>1271</v>
      </c>
      <c r="D131" s="390"/>
      <c r="E131" s="385">
        <v>5065</v>
      </c>
      <c r="F131" s="385">
        <v>4908</v>
      </c>
      <c r="G131" s="385">
        <v>4937</v>
      </c>
      <c r="H131" s="385">
        <v>4758</v>
      </c>
      <c r="I131" s="385">
        <v>4853</v>
      </c>
      <c r="J131" s="385">
        <v>4738</v>
      </c>
      <c r="K131" s="385">
        <v>4544</v>
      </c>
      <c r="L131" s="385">
        <v>4537</v>
      </c>
      <c r="M131" s="385">
        <v>4516</v>
      </c>
      <c r="N131" s="385">
        <v>4421</v>
      </c>
      <c r="O131" s="385">
        <v>4697</v>
      </c>
      <c r="P131" s="385">
        <v>4645</v>
      </c>
      <c r="Q131" s="385">
        <v>4579</v>
      </c>
      <c r="R131" s="420">
        <f>Q131</f>
        <v>4579</v>
      </c>
      <c r="S131" s="420">
        <f>R131</f>
        <v>4579</v>
      </c>
      <c r="T131" s="420">
        <f>S131</f>
        <v>4579</v>
      </c>
      <c r="V131" s="385">
        <v>0</v>
      </c>
      <c r="W131" s="385">
        <v>5262</v>
      </c>
      <c r="X131" s="395">
        <f>SUMIF($E$6:$T$6,X$6,$E131:$T131)</f>
        <v>4758</v>
      </c>
      <c r="Y131" s="395">
        <f>SUMIF($E$6:$T$6,Y$6,$E131:$T131)</f>
        <v>4537</v>
      </c>
      <c r="Z131" s="395">
        <f>SUMIF($E$6:$T$6,Z$6,$E131:$T131)</f>
        <v>4645</v>
      </c>
      <c r="AA131" s="395">
        <f>SUMIF($E$6:$T$6,AA$6,$E131:$T131)</f>
        <v>4579</v>
      </c>
      <c r="AB131" s="420">
        <f>AA131</f>
        <v>4579</v>
      </c>
      <c r="AC131" s="420">
        <f>AB131</f>
        <v>4579</v>
      </c>
      <c r="AD131" s="420">
        <f>AC131</f>
        <v>4579</v>
      </c>
    </row>
    <row r="132" spans="3:30" ht="11.25" hidden="1" customHeight="1" outlineLevel="1">
      <c r="C132" s="390" t="s">
        <v>611</v>
      </c>
      <c r="D132" s="390"/>
      <c r="E132" s="385">
        <v>512</v>
      </c>
      <c r="F132" s="385">
        <v>518</v>
      </c>
      <c r="G132" s="385">
        <v>529</v>
      </c>
      <c r="H132" s="385">
        <v>671</v>
      </c>
      <c r="I132" s="385">
        <v>149</v>
      </c>
      <c r="J132" s="385">
        <v>141</v>
      </c>
      <c r="K132" s="385">
        <v>144</v>
      </c>
      <c r="L132" s="385">
        <v>31</v>
      </c>
      <c r="M132" s="385">
        <v>0</v>
      </c>
      <c r="N132" s="385">
        <v>0</v>
      </c>
      <c r="O132" s="385">
        <v>0</v>
      </c>
      <c r="P132" s="385">
        <v>76</v>
      </c>
      <c r="Q132" s="385">
        <v>0</v>
      </c>
      <c r="R132" s="420">
        <f t="shared" ref="R132:T133" si="113">Q132</f>
        <v>0</v>
      </c>
      <c r="S132" s="420">
        <f t="shared" si="113"/>
        <v>0</v>
      </c>
      <c r="T132" s="420">
        <f t="shared" si="113"/>
        <v>0</v>
      </c>
      <c r="V132" s="385">
        <v>46</v>
      </c>
      <c r="W132" s="385">
        <v>516</v>
      </c>
      <c r="X132" s="395">
        <f t="shared" si="107"/>
        <v>671</v>
      </c>
      <c r="Y132" s="395">
        <f t="shared" si="107"/>
        <v>31</v>
      </c>
      <c r="Z132" s="395">
        <f t="shared" si="107"/>
        <v>76</v>
      </c>
      <c r="AA132" s="395">
        <f t="shared" si="107"/>
        <v>0</v>
      </c>
      <c r="AB132" s="420">
        <f t="shared" ref="AB132:AD133" si="114">AA132</f>
        <v>0</v>
      </c>
      <c r="AC132" s="420">
        <f t="shared" si="114"/>
        <v>0</v>
      </c>
      <c r="AD132" s="420">
        <f t="shared" si="114"/>
        <v>0</v>
      </c>
    </row>
    <row r="133" spans="3:30" ht="11.25" hidden="1" customHeight="1" outlineLevel="1">
      <c r="C133" s="390" t="s">
        <v>612</v>
      </c>
      <c r="D133" s="390"/>
      <c r="E133" s="385">
        <v>1098</v>
      </c>
      <c r="F133" s="385">
        <v>1139</v>
      </c>
      <c r="G133" s="385">
        <v>1131</v>
      </c>
      <c r="H133" s="385">
        <v>1180</v>
      </c>
      <c r="I133" s="385">
        <v>763</v>
      </c>
      <c r="J133" s="385">
        <v>798</v>
      </c>
      <c r="K133" s="385">
        <v>824</v>
      </c>
      <c r="L133" s="385">
        <v>1000</v>
      </c>
      <c r="M133" s="385">
        <v>1107</v>
      </c>
      <c r="N133" s="385">
        <v>1407</v>
      </c>
      <c r="O133" s="385">
        <v>1336</v>
      </c>
      <c r="P133" s="385">
        <v>1344</v>
      </c>
      <c r="Q133" s="385">
        <v>1401</v>
      </c>
      <c r="R133" s="420">
        <f t="shared" si="113"/>
        <v>1401</v>
      </c>
      <c r="S133" s="420">
        <f t="shared" si="113"/>
        <v>1401</v>
      </c>
      <c r="T133" s="420">
        <f t="shared" si="113"/>
        <v>1401</v>
      </c>
      <c r="V133" s="385">
        <v>806</v>
      </c>
      <c r="W133" s="385">
        <v>966</v>
      </c>
      <c r="X133" s="395">
        <f t="shared" si="107"/>
        <v>1180</v>
      </c>
      <c r="Y133" s="395">
        <f t="shared" si="107"/>
        <v>1000</v>
      </c>
      <c r="Z133" s="395">
        <f t="shared" si="107"/>
        <v>1344</v>
      </c>
      <c r="AA133" s="395">
        <f t="shared" si="107"/>
        <v>1401</v>
      </c>
      <c r="AB133" s="420">
        <f t="shared" si="114"/>
        <v>1401</v>
      </c>
      <c r="AC133" s="420">
        <f t="shared" si="114"/>
        <v>1401</v>
      </c>
      <c r="AD133" s="420">
        <f t="shared" si="114"/>
        <v>1401</v>
      </c>
    </row>
    <row r="134" spans="3:30" s="289" customFormat="1" ht="11.25" customHeight="1" collapsed="1">
      <c r="C134" s="289" t="s">
        <v>315</v>
      </c>
      <c r="E134" s="358">
        <f t="shared" ref="E134:T134" si="115">E124+SUM(E126:E129)</f>
        <v>50639</v>
      </c>
      <c r="F134" s="358">
        <f t="shared" si="115"/>
        <v>52150</v>
      </c>
      <c r="G134" s="358">
        <f t="shared" si="115"/>
        <v>52199</v>
      </c>
      <c r="H134" s="358">
        <f t="shared" si="115"/>
        <v>52611</v>
      </c>
      <c r="I134" s="358">
        <f t="shared" si="115"/>
        <v>53055</v>
      </c>
      <c r="J134" s="358">
        <f t="shared" si="115"/>
        <v>54901</v>
      </c>
      <c r="K134" s="358">
        <f t="shared" si="115"/>
        <v>61189</v>
      </c>
      <c r="L134" s="358">
        <f t="shared" si="115"/>
        <v>59548</v>
      </c>
      <c r="M134" s="358">
        <f t="shared" si="115"/>
        <v>61662</v>
      </c>
      <c r="N134" s="358">
        <f t="shared" si="115"/>
        <v>71049</v>
      </c>
      <c r="O134" s="358">
        <f t="shared" si="115"/>
        <v>69294</v>
      </c>
      <c r="P134" s="358">
        <f t="shared" si="115"/>
        <v>68175</v>
      </c>
      <c r="Q134" s="358">
        <f t="shared" si="115"/>
        <v>69038</v>
      </c>
      <c r="R134" s="358">
        <f t="shared" ca="1" si="115"/>
        <v>65385.3141687975</v>
      </c>
      <c r="S134" s="358">
        <f t="shared" ca="1" si="115"/>
        <v>65468.511140676041</v>
      </c>
      <c r="T134" s="358">
        <f t="shared" ca="1" si="115"/>
        <v>65843.038694180868</v>
      </c>
      <c r="V134" s="358">
        <f t="shared" ref="V134:AD134" si="116">V124+SUM(V126:V129)</f>
        <v>42346</v>
      </c>
      <c r="W134" s="358">
        <f t="shared" si="116"/>
        <v>49024</v>
      </c>
      <c r="X134" s="358">
        <f t="shared" si="116"/>
        <v>52611</v>
      </c>
      <c r="Y134" s="358">
        <f t="shared" si="116"/>
        <v>59548</v>
      </c>
      <c r="Z134" s="358">
        <f t="shared" si="116"/>
        <v>68175</v>
      </c>
      <c r="AA134" s="358">
        <f t="shared" ca="1" si="116"/>
        <v>65843.038694180868</v>
      </c>
      <c r="AB134" s="358">
        <f t="shared" ca="1" si="116"/>
        <v>69539.971629728971</v>
      </c>
      <c r="AC134" s="358">
        <f t="shared" ca="1" si="116"/>
        <v>73277.892864247202</v>
      </c>
      <c r="AD134" s="358">
        <f t="shared" ca="1" si="116"/>
        <v>76720.14099924732</v>
      </c>
    </row>
    <row r="135" spans="3:30" ht="11.25" customHeight="1">
      <c r="E135" s="255"/>
      <c r="F135" s="255"/>
      <c r="G135" s="255"/>
      <c r="H135" s="255"/>
      <c r="I135" s="255"/>
      <c r="J135" s="255"/>
      <c r="K135" s="255"/>
      <c r="L135" s="255"/>
      <c r="M135" s="255"/>
      <c r="N135" s="255"/>
      <c r="O135" s="255"/>
      <c r="P135" s="255"/>
      <c r="Q135" s="255"/>
      <c r="R135" s="255"/>
      <c r="S135" s="255"/>
      <c r="T135" s="255"/>
      <c r="V135" s="255"/>
      <c r="W135" s="255"/>
      <c r="X135" s="255"/>
      <c r="Y135" s="255"/>
      <c r="Z135" s="255"/>
      <c r="AA135" s="255"/>
      <c r="AB135" s="255"/>
      <c r="AC135" s="255"/>
      <c r="AD135" s="255"/>
    </row>
    <row r="136" spans="3:30" ht="11.25" customHeight="1">
      <c r="C136" s="253" t="s">
        <v>316</v>
      </c>
      <c r="E136" s="277">
        <v>2707</v>
      </c>
      <c r="F136" s="277">
        <v>3033</v>
      </c>
      <c r="G136" s="277">
        <v>2848</v>
      </c>
      <c r="H136" s="277">
        <v>2703</v>
      </c>
      <c r="I136" s="277">
        <v>2436</v>
      </c>
      <c r="J136" s="277">
        <v>1725</v>
      </c>
      <c r="K136" s="277">
        <v>1831</v>
      </c>
      <c r="L136" s="277">
        <v>1595</v>
      </c>
      <c r="M136" s="277">
        <v>1838</v>
      </c>
      <c r="N136" s="277">
        <v>2218</v>
      </c>
      <c r="O136" s="277">
        <v>2199</v>
      </c>
      <c r="P136" s="277">
        <v>2562</v>
      </c>
      <c r="Q136" s="277">
        <v>2966</v>
      </c>
      <c r="R136" s="254">
        <f>R205*(SUM(O15:R21)/365)</f>
        <v>3121.9746618725339</v>
      </c>
      <c r="S136" s="254">
        <f>S205*(SUM(P15:S21)/365)</f>
        <v>3231.6848619803559</v>
      </c>
      <c r="T136" s="254">
        <f>T205*(SUM(Q15:T21)/365)</f>
        <v>3300.7714064988081</v>
      </c>
      <c r="V136" s="277">
        <v>2196</v>
      </c>
      <c r="W136" s="277">
        <v>2363</v>
      </c>
      <c r="X136" s="255">
        <f t="shared" ref="X136:AA141" si="117">SUMIF($E$6:$T$6,X$6,$E136:$T136)</f>
        <v>2703</v>
      </c>
      <c r="Y136" s="255">
        <f t="shared" si="117"/>
        <v>1595</v>
      </c>
      <c r="Z136" s="255">
        <f t="shared" si="117"/>
        <v>2562</v>
      </c>
      <c r="AA136" s="255">
        <f t="shared" si="117"/>
        <v>3300.7714064988081</v>
      </c>
      <c r="AB136" s="254">
        <f>AB205*(SUM(AB15:AB21)/365)</f>
        <v>3442.0773800913421</v>
      </c>
      <c r="AC136" s="254">
        <f>AC205*(SUM(AC15:AC21)/365)</f>
        <v>3421.5652549670849</v>
      </c>
      <c r="AD136" s="254">
        <f>AD205*(SUM(AD15:AD21)/365)</f>
        <v>3468.1152783063826</v>
      </c>
    </row>
    <row r="137" spans="3:30" ht="11.25" customHeight="1">
      <c r="C137" s="253" t="s">
        <v>317</v>
      </c>
      <c r="E137" s="277">
        <v>6006</v>
      </c>
      <c r="F137" s="277">
        <v>6126</v>
      </c>
      <c r="G137" s="277">
        <v>5515</v>
      </c>
      <c r="H137" s="277">
        <v>4819</v>
      </c>
      <c r="I137" s="277">
        <v>5309</v>
      </c>
      <c r="J137" s="277">
        <v>4950</v>
      </c>
      <c r="K137" s="277">
        <v>4907</v>
      </c>
      <c r="L137" s="277">
        <v>4833</v>
      </c>
      <c r="M137" s="277">
        <v>5502</v>
      </c>
      <c r="N137" s="277">
        <v>6960</v>
      </c>
      <c r="O137" s="277">
        <v>6363</v>
      </c>
      <c r="P137" s="277">
        <v>6354</v>
      </c>
      <c r="Q137" s="277">
        <v>8904</v>
      </c>
      <c r="R137" s="254">
        <f>R212+Q137</f>
        <v>10154</v>
      </c>
      <c r="S137" s="254">
        <f>S212+R137</f>
        <v>9654</v>
      </c>
      <c r="T137" s="254">
        <f>T212+S137</f>
        <v>9254</v>
      </c>
      <c r="V137" s="277">
        <v>3940</v>
      </c>
      <c r="W137" s="277">
        <v>4381</v>
      </c>
      <c r="X137" s="255">
        <f>SUMIF($E$6:$T$6,X$6,$E137:$T137)</f>
        <v>4819</v>
      </c>
      <c r="Y137" s="255">
        <f>SUMIF($E$6:$T$6,Y$6,$E137:$T137)</f>
        <v>4833</v>
      </c>
      <c r="Z137" s="255">
        <f>SUMIF($E$6:$T$6,Z$6,$E137:$T137)</f>
        <v>6354</v>
      </c>
      <c r="AA137" s="255">
        <f>SUMIF($E$6:$T$6,AA$6,$E137:$T137)</f>
        <v>9254</v>
      </c>
      <c r="AB137" s="254">
        <f>AB212+AA137</f>
        <v>8504</v>
      </c>
      <c r="AC137" s="254">
        <f>AC212+AB137</f>
        <v>8904</v>
      </c>
      <c r="AD137" s="254">
        <f>AD212+AC137</f>
        <v>9304</v>
      </c>
    </row>
    <row r="138" spans="3:30" ht="11.25" customHeight="1">
      <c r="C138" s="253" t="s">
        <v>381</v>
      </c>
      <c r="E138" s="254">
        <f>SUM(E139:E141)</f>
        <v>2261</v>
      </c>
      <c r="F138" s="254">
        <f t="shared" ref="F138:AD138" si="118">SUM(F139:F141)</f>
        <v>2475</v>
      </c>
      <c r="G138" s="254">
        <f t="shared" si="118"/>
        <v>2678</v>
      </c>
      <c r="H138" s="254">
        <f t="shared" si="118"/>
        <v>2837</v>
      </c>
      <c r="I138" s="254">
        <f t="shared" si="118"/>
        <v>2185</v>
      </c>
      <c r="J138" s="254">
        <f t="shared" si="118"/>
        <v>3735</v>
      </c>
      <c r="K138" s="254">
        <f t="shared" si="118"/>
        <v>2938</v>
      </c>
      <c r="L138" s="254">
        <f t="shared" si="118"/>
        <v>2684</v>
      </c>
      <c r="M138" s="254">
        <f t="shared" si="118"/>
        <v>2991</v>
      </c>
      <c r="N138" s="254">
        <f t="shared" si="118"/>
        <v>4179</v>
      </c>
      <c r="O138" s="254">
        <f t="shared" si="118"/>
        <v>3290</v>
      </c>
      <c r="P138" s="254">
        <f t="shared" si="118"/>
        <v>2681</v>
      </c>
      <c r="Q138" s="254">
        <f t="shared" si="118"/>
        <v>2621</v>
      </c>
      <c r="R138" s="254">
        <f t="shared" si="118"/>
        <v>2621</v>
      </c>
      <c r="S138" s="254">
        <f t="shared" si="118"/>
        <v>2621</v>
      </c>
      <c r="T138" s="254">
        <f t="shared" si="118"/>
        <v>2621</v>
      </c>
      <c r="U138" s="254">
        <f t="shared" si="118"/>
        <v>0</v>
      </c>
      <c r="V138" s="254">
        <f t="shared" si="118"/>
        <v>2742</v>
      </c>
      <c r="W138" s="254">
        <f t="shared" si="118"/>
        <v>2737</v>
      </c>
      <c r="X138" s="254">
        <f t="shared" si="118"/>
        <v>2837</v>
      </c>
      <c r="Y138" s="254">
        <f t="shared" si="118"/>
        <v>2684</v>
      </c>
      <c r="Z138" s="254">
        <f t="shared" si="118"/>
        <v>2681</v>
      </c>
      <c r="AA138" s="254">
        <f t="shared" si="118"/>
        <v>2621</v>
      </c>
      <c r="AB138" s="254">
        <f t="shared" si="118"/>
        <v>2621</v>
      </c>
      <c r="AC138" s="254">
        <f t="shared" si="118"/>
        <v>2621</v>
      </c>
      <c r="AD138" s="254">
        <f t="shared" si="118"/>
        <v>2621</v>
      </c>
    </row>
    <row r="139" spans="3:30" ht="11.25" hidden="1" customHeight="1" outlineLevel="1">
      <c r="C139" s="390" t="s">
        <v>1824</v>
      </c>
      <c r="D139" s="390"/>
      <c r="E139" s="385">
        <v>1660</v>
      </c>
      <c r="F139" s="385">
        <v>1871</v>
      </c>
      <c r="G139" s="385">
        <v>2104</v>
      </c>
      <c r="H139" s="385">
        <v>2271</v>
      </c>
      <c r="I139" s="385">
        <v>1647</v>
      </c>
      <c r="J139" s="385">
        <v>1669</v>
      </c>
      <c r="K139" s="385">
        <v>1994</v>
      </c>
      <c r="L139" s="385">
        <v>1960</v>
      </c>
      <c r="M139" s="385">
        <v>2267</v>
      </c>
      <c r="N139" s="385">
        <v>2228</v>
      </c>
      <c r="O139" s="385">
        <v>2207</v>
      </c>
      <c r="P139" s="385">
        <v>2121</v>
      </c>
      <c r="Q139" s="385">
        <v>2008</v>
      </c>
      <c r="R139" s="420">
        <f>Q139</f>
        <v>2008</v>
      </c>
      <c r="S139" s="420">
        <f>R139</f>
        <v>2008</v>
      </c>
      <c r="T139" s="420">
        <f>S139</f>
        <v>2008</v>
      </c>
      <c r="U139" s="390"/>
      <c r="V139" s="385">
        <v>2166</v>
      </c>
      <c r="W139" s="385">
        <v>2184</v>
      </c>
      <c r="X139" s="395">
        <f t="shared" si="117"/>
        <v>2271</v>
      </c>
      <c r="Y139" s="395">
        <f t="shared" si="117"/>
        <v>1960</v>
      </c>
      <c r="Z139" s="395">
        <f t="shared" si="117"/>
        <v>2121</v>
      </c>
      <c r="AA139" s="395">
        <f t="shared" si="117"/>
        <v>2008</v>
      </c>
      <c r="AB139" s="420">
        <f>AA139</f>
        <v>2008</v>
      </c>
      <c r="AC139" s="420">
        <f>AB139</f>
        <v>2008</v>
      </c>
      <c r="AD139" s="420">
        <f>AC139</f>
        <v>2008</v>
      </c>
    </row>
    <row r="140" spans="3:30" ht="11.25" hidden="1" customHeight="1" outlineLevel="1">
      <c r="C140" s="390" t="s">
        <v>1825</v>
      </c>
      <c r="D140" s="390"/>
      <c r="E140" s="385">
        <v>0</v>
      </c>
      <c r="F140" s="385">
        <v>0</v>
      </c>
      <c r="G140" s="385">
        <v>0</v>
      </c>
      <c r="H140" s="385">
        <v>0</v>
      </c>
      <c r="I140" s="385">
        <v>0</v>
      </c>
      <c r="J140" s="385">
        <v>1508</v>
      </c>
      <c r="K140" s="385">
        <v>0</v>
      </c>
      <c r="L140" s="385">
        <v>0</v>
      </c>
      <c r="M140" s="385">
        <v>0</v>
      </c>
      <c r="N140" s="385">
        <v>1132</v>
      </c>
      <c r="O140" s="385">
        <v>0</v>
      </c>
      <c r="P140" s="385">
        <v>0</v>
      </c>
      <c r="Q140" s="385">
        <v>0</v>
      </c>
      <c r="R140" s="420">
        <f t="shared" ref="R140:T141" si="119">Q140</f>
        <v>0</v>
      </c>
      <c r="S140" s="420">
        <f t="shared" si="119"/>
        <v>0</v>
      </c>
      <c r="T140" s="420">
        <f t="shared" si="119"/>
        <v>0</v>
      </c>
      <c r="U140" s="390"/>
      <c r="V140" s="385">
        <v>0</v>
      </c>
      <c r="W140" s="385">
        <v>0</v>
      </c>
      <c r="X140" s="395">
        <f t="shared" si="117"/>
        <v>0</v>
      </c>
      <c r="Y140" s="395">
        <f t="shared" si="117"/>
        <v>0</v>
      </c>
      <c r="Z140" s="395">
        <f t="shared" si="117"/>
        <v>0</v>
      </c>
      <c r="AA140" s="395">
        <f t="shared" si="117"/>
        <v>0</v>
      </c>
      <c r="AB140" s="420">
        <f t="shared" ref="AB140:AD141" si="120">AA140</f>
        <v>0</v>
      </c>
      <c r="AC140" s="420">
        <f t="shared" si="120"/>
        <v>0</v>
      </c>
      <c r="AD140" s="420">
        <f t="shared" si="120"/>
        <v>0</v>
      </c>
    </row>
    <row r="141" spans="3:30" ht="11.25" hidden="1" customHeight="1" outlineLevel="1">
      <c r="C141" s="390" t="s">
        <v>609</v>
      </c>
      <c r="D141" s="390"/>
      <c r="E141" s="385">
        <v>601</v>
      </c>
      <c r="F141" s="385">
        <v>604</v>
      </c>
      <c r="G141" s="385">
        <v>574</v>
      </c>
      <c r="H141" s="385">
        <v>566</v>
      </c>
      <c r="I141" s="385">
        <v>538</v>
      </c>
      <c r="J141" s="385">
        <v>558</v>
      </c>
      <c r="K141" s="385">
        <v>944</v>
      </c>
      <c r="L141" s="385">
        <v>724</v>
      </c>
      <c r="M141" s="385">
        <v>724</v>
      </c>
      <c r="N141" s="385">
        <v>819</v>
      </c>
      <c r="O141" s="385">
        <v>1083</v>
      </c>
      <c r="P141" s="385">
        <v>560</v>
      </c>
      <c r="Q141" s="385">
        <v>613</v>
      </c>
      <c r="R141" s="420">
        <f t="shared" si="119"/>
        <v>613</v>
      </c>
      <c r="S141" s="420">
        <f t="shared" si="119"/>
        <v>613</v>
      </c>
      <c r="T141" s="420">
        <f t="shared" si="119"/>
        <v>613</v>
      </c>
      <c r="U141" s="390"/>
      <c r="V141" s="385">
        <v>576</v>
      </c>
      <c r="W141" s="385">
        <v>553</v>
      </c>
      <c r="X141" s="395">
        <f t="shared" si="117"/>
        <v>566</v>
      </c>
      <c r="Y141" s="395">
        <f t="shared" si="117"/>
        <v>724</v>
      </c>
      <c r="Z141" s="395">
        <f t="shared" si="117"/>
        <v>560</v>
      </c>
      <c r="AA141" s="395">
        <f t="shared" si="117"/>
        <v>613</v>
      </c>
      <c r="AB141" s="420">
        <f t="shared" si="120"/>
        <v>613</v>
      </c>
      <c r="AC141" s="420">
        <f t="shared" si="120"/>
        <v>613</v>
      </c>
      <c r="AD141" s="420">
        <f t="shared" si="120"/>
        <v>613</v>
      </c>
    </row>
    <row r="142" spans="3:30" ht="11.25" customHeight="1" collapsed="1">
      <c r="C142" s="289" t="s">
        <v>322</v>
      </c>
      <c r="E142" s="358">
        <f>SUM(E136:E138)</f>
        <v>10974</v>
      </c>
      <c r="F142" s="358">
        <f t="shared" ref="F142:AD142" si="121">SUM(F136:F138)</f>
        <v>11634</v>
      </c>
      <c r="G142" s="358">
        <f t="shared" si="121"/>
        <v>11041</v>
      </c>
      <c r="H142" s="358">
        <f t="shared" si="121"/>
        <v>10359</v>
      </c>
      <c r="I142" s="358">
        <f t="shared" si="121"/>
        <v>9930</v>
      </c>
      <c r="J142" s="358">
        <f t="shared" si="121"/>
        <v>10410</v>
      </c>
      <c r="K142" s="358">
        <f t="shared" si="121"/>
        <v>9676</v>
      </c>
      <c r="L142" s="358">
        <f t="shared" si="121"/>
        <v>9112</v>
      </c>
      <c r="M142" s="358">
        <f t="shared" si="121"/>
        <v>10331</v>
      </c>
      <c r="N142" s="358">
        <f t="shared" si="121"/>
        <v>13357</v>
      </c>
      <c r="O142" s="358">
        <f t="shared" si="121"/>
        <v>11852</v>
      </c>
      <c r="P142" s="358">
        <f t="shared" si="121"/>
        <v>11597</v>
      </c>
      <c r="Q142" s="358">
        <f t="shared" si="121"/>
        <v>14491</v>
      </c>
      <c r="R142" s="358">
        <f t="shared" si="121"/>
        <v>15896.974661872533</v>
      </c>
      <c r="S142" s="358">
        <f t="shared" si="121"/>
        <v>15506.684861980357</v>
      </c>
      <c r="T142" s="358">
        <f t="shared" si="121"/>
        <v>15175.771406498809</v>
      </c>
      <c r="V142" s="358">
        <f t="shared" si="121"/>
        <v>8878</v>
      </c>
      <c r="W142" s="358">
        <f t="shared" si="121"/>
        <v>9481</v>
      </c>
      <c r="X142" s="358">
        <f t="shared" si="121"/>
        <v>10359</v>
      </c>
      <c r="Y142" s="358">
        <f t="shared" si="121"/>
        <v>9112</v>
      </c>
      <c r="Z142" s="358">
        <f t="shared" si="121"/>
        <v>11597</v>
      </c>
      <c r="AA142" s="358">
        <f t="shared" si="121"/>
        <v>15175.771406498809</v>
      </c>
      <c r="AB142" s="358">
        <f t="shared" si="121"/>
        <v>14567.077380091341</v>
      </c>
      <c r="AC142" s="358">
        <f t="shared" si="121"/>
        <v>14946.565254967085</v>
      </c>
      <c r="AD142" s="358">
        <f t="shared" si="121"/>
        <v>15393.115278306383</v>
      </c>
    </row>
    <row r="143" spans="3:30" ht="11.25" customHeight="1">
      <c r="C143" s="289"/>
      <c r="E143" s="277"/>
      <c r="F143" s="277"/>
      <c r="G143" s="277"/>
      <c r="H143" s="277"/>
      <c r="I143" s="277"/>
      <c r="J143" s="277"/>
      <c r="K143" s="277"/>
      <c r="L143" s="277"/>
      <c r="M143" s="277"/>
      <c r="N143" s="277"/>
      <c r="O143" s="277"/>
      <c r="P143" s="277"/>
      <c r="Q143" s="277"/>
      <c r="R143" s="255"/>
      <c r="S143" s="255"/>
      <c r="T143" s="255"/>
      <c r="U143" s="632"/>
      <c r="V143" s="255"/>
      <c r="W143" s="277"/>
      <c r="X143" s="277"/>
      <c r="Y143" s="277"/>
      <c r="Z143" s="277"/>
      <c r="AA143" s="277"/>
      <c r="AB143" s="277"/>
      <c r="AC143" s="255"/>
      <c r="AD143" s="255"/>
    </row>
    <row r="144" spans="3:30" ht="11.25" customHeight="1">
      <c r="C144" s="381" t="s">
        <v>276</v>
      </c>
      <c r="E144" s="255">
        <f t="shared" ref="E144:P144" si="122">SUM(E145:E146)</f>
        <v>13935</v>
      </c>
      <c r="F144" s="255">
        <f t="shared" si="122"/>
        <v>14193</v>
      </c>
      <c r="G144" s="255">
        <f t="shared" si="122"/>
        <v>14143</v>
      </c>
      <c r="H144" s="255">
        <f t="shared" si="122"/>
        <v>14552</v>
      </c>
      <c r="I144" s="255">
        <f t="shared" si="122"/>
        <v>17253</v>
      </c>
      <c r="J144" s="255">
        <f t="shared" si="122"/>
        <v>18772</v>
      </c>
      <c r="K144" s="255">
        <f t="shared" si="122"/>
        <v>26881</v>
      </c>
      <c r="L144" s="255">
        <f t="shared" si="122"/>
        <v>26747</v>
      </c>
      <c r="M144" s="255">
        <f t="shared" si="122"/>
        <v>27632</v>
      </c>
      <c r="N144" s="255">
        <f t="shared" si="122"/>
        <v>34184</v>
      </c>
      <c r="O144" s="255">
        <f t="shared" si="122"/>
        <v>33789</v>
      </c>
      <c r="P144" s="255">
        <f t="shared" si="122"/>
        <v>33363</v>
      </c>
      <c r="Q144" s="255">
        <f>SUM(Q145:Q146)</f>
        <v>32659</v>
      </c>
      <c r="R144" s="287">
        <f ca="1">'UAL Debt'!R35</f>
        <v>27688.513316778273</v>
      </c>
      <c r="S144" s="287">
        <f ca="1">'UAL Debt'!S35</f>
        <v>27978.411240613765</v>
      </c>
      <c r="T144" s="287">
        <f ca="1">'UAL Debt'!T35</f>
        <v>28644.533898947371</v>
      </c>
      <c r="U144" s="632"/>
      <c r="V144" s="255">
        <f>SUM(V145:V146)</f>
        <v>13268</v>
      </c>
      <c r="W144" s="255">
        <f>SUM(W145:W146)</f>
        <v>13445</v>
      </c>
      <c r="X144" s="255">
        <f t="shared" ref="X144:AA161" si="123">SUMIF($E$6:$T$6,X$6,$E144:$T144)</f>
        <v>14552</v>
      </c>
      <c r="Y144" s="255">
        <f t="shared" si="123"/>
        <v>26747</v>
      </c>
      <c r="Z144" s="255">
        <f t="shared" si="123"/>
        <v>33363</v>
      </c>
      <c r="AA144" s="255">
        <f t="shared" ca="1" si="123"/>
        <v>28644.533898947371</v>
      </c>
      <c r="AB144" s="287">
        <f ca="1">'UAL Debt'!AB35</f>
        <v>30955.341764210527</v>
      </c>
      <c r="AC144" s="287">
        <f ca="1">'UAL Debt'!AC35</f>
        <v>30832.149629473679</v>
      </c>
      <c r="AD144" s="287">
        <f ca="1">'UAL Debt'!AD35</f>
        <v>30621.957494736846</v>
      </c>
    </row>
    <row r="145" spans="3:30" ht="11.25" hidden="1" customHeight="1" outlineLevel="1">
      <c r="C145" s="390" t="s">
        <v>478</v>
      </c>
      <c r="D145" s="390"/>
      <c r="E145" s="385">
        <v>12734</v>
      </c>
      <c r="F145" s="385">
        <v>12938</v>
      </c>
      <c r="G145" s="385">
        <v>12900</v>
      </c>
      <c r="H145" s="385">
        <v>13145</v>
      </c>
      <c r="I145" s="385">
        <v>13198</v>
      </c>
      <c r="J145" s="385">
        <v>14318</v>
      </c>
      <c r="K145" s="385">
        <v>22297</v>
      </c>
      <c r="L145" s="385">
        <v>24836</v>
      </c>
      <c r="M145" s="385">
        <v>25849</v>
      </c>
      <c r="N145" s="385">
        <v>32303</v>
      </c>
      <c r="O145" s="385">
        <v>31520</v>
      </c>
      <c r="P145" s="385">
        <v>30361</v>
      </c>
      <c r="Q145" s="385">
        <v>29665</v>
      </c>
      <c r="R145" s="420"/>
      <c r="S145" s="420"/>
      <c r="T145" s="420"/>
      <c r="U145" s="632"/>
      <c r="V145" s="385">
        <v>11703</v>
      </c>
      <c r="W145" s="385">
        <v>12215</v>
      </c>
      <c r="X145" s="395">
        <f t="shared" si="123"/>
        <v>13145</v>
      </c>
      <c r="Y145" s="395">
        <f t="shared" si="123"/>
        <v>24836</v>
      </c>
      <c r="Z145" s="395">
        <f t="shared" si="123"/>
        <v>30361</v>
      </c>
      <c r="AA145" s="395">
        <f t="shared" si="123"/>
        <v>0</v>
      </c>
      <c r="AB145" s="420"/>
      <c r="AC145" s="420"/>
      <c r="AD145" s="420"/>
    </row>
    <row r="146" spans="3:30" ht="11.25" hidden="1" customHeight="1" outlineLevel="1">
      <c r="C146" s="390" t="s">
        <v>479</v>
      </c>
      <c r="D146" s="390"/>
      <c r="E146" s="385">
        <v>1201</v>
      </c>
      <c r="F146" s="385">
        <v>1255</v>
      </c>
      <c r="G146" s="385">
        <v>1243</v>
      </c>
      <c r="H146" s="385">
        <v>1407</v>
      </c>
      <c r="I146" s="385">
        <v>4055</v>
      </c>
      <c r="J146" s="385">
        <v>4454</v>
      </c>
      <c r="K146" s="385">
        <v>4584</v>
      </c>
      <c r="L146" s="385">
        <v>1911</v>
      </c>
      <c r="M146" s="385">
        <v>1783</v>
      </c>
      <c r="N146" s="385">
        <v>1881</v>
      </c>
      <c r="O146" s="385">
        <v>2269</v>
      </c>
      <c r="P146" s="385">
        <v>3002</v>
      </c>
      <c r="Q146" s="385">
        <v>2994</v>
      </c>
      <c r="R146" s="420"/>
      <c r="S146" s="420"/>
      <c r="T146" s="420"/>
      <c r="V146" s="385">
        <v>1565</v>
      </c>
      <c r="W146" s="385">
        <v>1230</v>
      </c>
      <c r="X146" s="395">
        <f t="shared" si="123"/>
        <v>1407</v>
      </c>
      <c r="Y146" s="395">
        <f t="shared" si="123"/>
        <v>1911</v>
      </c>
      <c r="Z146" s="395">
        <f t="shared" si="123"/>
        <v>3002</v>
      </c>
      <c r="AA146" s="395">
        <f t="shared" si="123"/>
        <v>0</v>
      </c>
      <c r="AB146" s="420"/>
      <c r="AC146" s="420"/>
      <c r="AD146" s="420"/>
    </row>
    <row r="147" spans="3:30" ht="11.25" customHeight="1" collapsed="1">
      <c r="C147" s="381" t="s">
        <v>480</v>
      </c>
      <c r="E147" s="254">
        <f t="shared" ref="E147:P147" si="124">SUM(E148:E149)</f>
        <v>5784</v>
      </c>
      <c r="F147" s="254">
        <f t="shared" si="124"/>
        <v>5671</v>
      </c>
      <c r="G147" s="254">
        <f t="shared" si="124"/>
        <v>5719</v>
      </c>
      <c r="H147" s="254">
        <f t="shared" si="124"/>
        <v>5632</v>
      </c>
      <c r="I147" s="254">
        <f t="shared" si="124"/>
        <v>5748</v>
      </c>
      <c r="J147" s="254">
        <f t="shared" si="124"/>
        <v>5711</v>
      </c>
      <c r="K147" s="254">
        <f t="shared" si="124"/>
        <v>5566</v>
      </c>
      <c r="L147" s="254">
        <f t="shared" si="124"/>
        <v>5598</v>
      </c>
      <c r="M147" s="254">
        <f t="shared" si="124"/>
        <v>5608</v>
      </c>
      <c r="N147" s="254">
        <f t="shared" si="124"/>
        <v>5503</v>
      </c>
      <c r="O147" s="254">
        <f t="shared" si="124"/>
        <v>5732</v>
      </c>
      <c r="P147" s="254">
        <f t="shared" si="124"/>
        <v>5708</v>
      </c>
      <c r="Q147" s="254">
        <f>SUM(Q148:Q149)</f>
        <v>5681</v>
      </c>
      <c r="R147" s="288">
        <f>Q147</f>
        <v>5681</v>
      </c>
      <c r="S147" s="288">
        <f>R147</f>
        <v>5681</v>
      </c>
      <c r="T147" s="288">
        <f>S147</f>
        <v>5681</v>
      </c>
      <c r="V147" s="254">
        <f>SUM(V148:V149)</f>
        <v>0</v>
      </c>
      <c r="W147" s="254">
        <f>SUM(W148:W149)</f>
        <v>5995</v>
      </c>
      <c r="X147" s="255">
        <f t="shared" si="123"/>
        <v>5632</v>
      </c>
      <c r="Y147" s="255">
        <f t="shared" si="123"/>
        <v>5598</v>
      </c>
      <c r="Z147" s="255">
        <f t="shared" si="123"/>
        <v>5708</v>
      </c>
      <c r="AA147" s="255">
        <f t="shared" si="123"/>
        <v>5681</v>
      </c>
      <c r="AB147" s="288">
        <f>AA147</f>
        <v>5681</v>
      </c>
      <c r="AC147" s="288">
        <f>AB147</f>
        <v>5681</v>
      </c>
      <c r="AD147" s="288">
        <f>AC147</f>
        <v>5681</v>
      </c>
    </row>
    <row r="148" spans="3:30" ht="11.25" hidden="1" customHeight="1" outlineLevel="1">
      <c r="C148" s="390" t="s">
        <v>323</v>
      </c>
      <c r="D148" s="390"/>
      <c r="E148" s="385">
        <v>5145</v>
      </c>
      <c r="F148" s="385">
        <v>5034</v>
      </c>
      <c r="G148" s="385">
        <v>4941</v>
      </c>
      <c r="H148" s="385">
        <v>4946</v>
      </c>
      <c r="I148" s="385">
        <v>5060</v>
      </c>
      <c r="J148" s="385">
        <v>5113</v>
      </c>
      <c r="K148" s="385">
        <v>4943</v>
      </c>
      <c r="L148" s="385">
        <v>4986</v>
      </c>
      <c r="M148" s="385">
        <v>4985</v>
      </c>
      <c r="N148" s="385">
        <v>4920</v>
      </c>
      <c r="O148" s="385">
        <v>5163</v>
      </c>
      <c r="P148" s="385">
        <v>5152</v>
      </c>
      <c r="Q148" s="385">
        <v>5143</v>
      </c>
      <c r="R148" s="420"/>
      <c r="S148" s="420"/>
      <c r="T148" s="420"/>
      <c r="V148" s="385">
        <v>0</v>
      </c>
      <c r="W148" s="385">
        <v>5276</v>
      </c>
      <c r="X148" s="395">
        <f t="shared" si="123"/>
        <v>4946</v>
      </c>
      <c r="Y148" s="395">
        <f t="shared" si="123"/>
        <v>4986</v>
      </c>
      <c r="Z148" s="395">
        <f t="shared" si="123"/>
        <v>5152</v>
      </c>
      <c r="AA148" s="395">
        <f t="shared" si="123"/>
        <v>0</v>
      </c>
      <c r="AB148" s="420"/>
      <c r="AC148" s="420"/>
      <c r="AD148" s="420"/>
    </row>
    <row r="149" spans="3:30" ht="11.25" hidden="1" customHeight="1" outlineLevel="1">
      <c r="C149" s="390" t="s">
        <v>319</v>
      </c>
      <c r="D149" s="390"/>
      <c r="E149" s="385">
        <v>639</v>
      </c>
      <c r="F149" s="385">
        <v>637</v>
      </c>
      <c r="G149" s="385">
        <v>778</v>
      </c>
      <c r="H149" s="385">
        <v>686</v>
      </c>
      <c r="I149" s="385">
        <v>688</v>
      </c>
      <c r="J149" s="385">
        <v>598</v>
      </c>
      <c r="K149" s="385">
        <v>623</v>
      </c>
      <c r="L149" s="385">
        <v>612</v>
      </c>
      <c r="M149" s="385">
        <v>623</v>
      </c>
      <c r="N149" s="385">
        <v>583</v>
      </c>
      <c r="O149" s="385">
        <v>569</v>
      </c>
      <c r="P149" s="385">
        <v>556</v>
      </c>
      <c r="Q149" s="385">
        <v>538</v>
      </c>
      <c r="R149" s="420"/>
      <c r="S149" s="420"/>
      <c r="T149" s="420"/>
      <c r="V149" s="385">
        <v>0</v>
      </c>
      <c r="W149" s="385">
        <v>719</v>
      </c>
      <c r="X149" s="395">
        <f t="shared" si="123"/>
        <v>686</v>
      </c>
      <c r="Y149" s="395">
        <f t="shared" si="123"/>
        <v>612</v>
      </c>
      <c r="Z149" s="395">
        <f t="shared" si="123"/>
        <v>556</v>
      </c>
      <c r="AA149" s="395">
        <f t="shared" si="123"/>
        <v>0</v>
      </c>
      <c r="AB149" s="420"/>
      <c r="AC149" s="420"/>
      <c r="AD149" s="420"/>
    </row>
    <row r="150" spans="3:30" ht="11.25" customHeight="1" collapsed="1">
      <c r="C150" s="253" t="s">
        <v>481</v>
      </c>
      <c r="E150" s="254">
        <f t="shared" ref="E150:P150" si="125">SUM(E151:E152)</f>
        <v>369</v>
      </c>
      <c r="F150" s="254">
        <f t="shared" si="125"/>
        <v>319</v>
      </c>
      <c r="G150" s="254">
        <f t="shared" si="125"/>
        <v>278</v>
      </c>
      <c r="H150" s="254">
        <f t="shared" si="125"/>
        <v>266</v>
      </c>
      <c r="I150" s="254">
        <f t="shared" si="125"/>
        <v>428</v>
      </c>
      <c r="J150" s="254">
        <f t="shared" si="125"/>
        <v>409</v>
      </c>
      <c r="K150" s="254">
        <f t="shared" si="125"/>
        <v>414</v>
      </c>
      <c r="L150" s="254">
        <f t="shared" si="125"/>
        <v>406</v>
      </c>
      <c r="M150" s="254">
        <f t="shared" si="125"/>
        <v>419</v>
      </c>
      <c r="N150" s="254">
        <f t="shared" si="125"/>
        <v>394</v>
      </c>
      <c r="O150" s="254">
        <f t="shared" si="125"/>
        <v>366</v>
      </c>
      <c r="P150" s="254">
        <f t="shared" si="125"/>
        <v>295</v>
      </c>
      <c r="Q150" s="254">
        <f>SUM(Q151:Q152)</f>
        <v>274</v>
      </c>
      <c r="R150" s="288">
        <f>Q150</f>
        <v>274</v>
      </c>
      <c r="S150" s="288">
        <f>R150</f>
        <v>274</v>
      </c>
      <c r="T150" s="288">
        <f>S150</f>
        <v>274</v>
      </c>
      <c r="V150" s="254">
        <f>SUM(V151:V152)</f>
        <v>1124</v>
      </c>
      <c r="W150" s="254">
        <f>SUM(W151:W152)</f>
        <v>347</v>
      </c>
      <c r="X150" s="255">
        <f t="shared" si="123"/>
        <v>266</v>
      </c>
      <c r="Y150" s="255">
        <f t="shared" si="123"/>
        <v>406</v>
      </c>
      <c r="Z150" s="255">
        <f t="shared" si="123"/>
        <v>295</v>
      </c>
      <c r="AA150" s="255">
        <f t="shared" si="123"/>
        <v>274</v>
      </c>
      <c r="AB150" s="288">
        <f>AA150</f>
        <v>274</v>
      </c>
      <c r="AC150" s="288">
        <f>AB150</f>
        <v>274</v>
      </c>
      <c r="AD150" s="288">
        <f>AC150</f>
        <v>274</v>
      </c>
    </row>
    <row r="151" spans="3:30" ht="11.25" hidden="1" customHeight="1" outlineLevel="1">
      <c r="C151" s="390" t="s">
        <v>324</v>
      </c>
      <c r="D151" s="390"/>
      <c r="E151" s="385">
        <v>236</v>
      </c>
      <c r="F151" s="385">
        <v>202</v>
      </c>
      <c r="G151" s="385">
        <v>186</v>
      </c>
      <c r="H151" s="385">
        <v>220</v>
      </c>
      <c r="I151" s="385">
        <v>369</v>
      </c>
      <c r="J151" s="385">
        <v>316</v>
      </c>
      <c r="K151" s="385">
        <v>278</v>
      </c>
      <c r="L151" s="385">
        <v>224</v>
      </c>
      <c r="M151" s="385">
        <v>240</v>
      </c>
      <c r="N151" s="385">
        <v>250</v>
      </c>
      <c r="O151" s="385">
        <v>250</v>
      </c>
      <c r="P151" s="385">
        <v>219</v>
      </c>
      <c r="Q151" s="385">
        <v>210</v>
      </c>
      <c r="R151" s="420"/>
      <c r="S151" s="420"/>
      <c r="T151" s="420"/>
      <c r="V151" s="385">
        <v>996</v>
      </c>
      <c r="W151" s="385">
        <v>224</v>
      </c>
      <c r="X151" s="395">
        <f t="shared" si="123"/>
        <v>220</v>
      </c>
      <c r="Y151" s="395">
        <f t="shared" si="123"/>
        <v>224</v>
      </c>
      <c r="Z151" s="395">
        <f t="shared" si="123"/>
        <v>219</v>
      </c>
      <c r="AA151" s="395">
        <f t="shared" si="123"/>
        <v>0</v>
      </c>
      <c r="AB151" s="420"/>
      <c r="AC151" s="420"/>
      <c r="AD151" s="420"/>
    </row>
    <row r="152" spans="3:30" ht="11.25" hidden="1" customHeight="1" outlineLevel="1">
      <c r="C152" s="390" t="s">
        <v>320</v>
      </c>
      <c r="D152" s="390"/>
      <c r="E152" s="385">
        <v>133</v>
      </c>
      <c r="F152" s="385">
        <v>117</v>
      </c>
      <c r="G152" s="385">
        <v>92</v>
      </c>
      <c r="H152" s="385">
        <v>46</v>
      </c>
      <c r="I152" s="385">
        <v>59</v>
      </c>
      <c r="J152" s="385">
        <v>93</v>
      </c>
      <c r="K152" s="385">
        <v>136</v>
      </c>
      <c r="L152" s="385">
        <v>182</v>
      </c>
      <c r="M152" s="385">
        <v>179</v>
      </c>
      <c r="N152" s="385">
        <v>144</v>
      </c>
      <c r="O152" s="385">
        <v>116</v>
      </c>
      <c r="P152" s="385">
        <v>76</v>
      </c>
      <c r="Q152" s="385">
        <v>64</v>
      </c>
      <c r="R152" s="420"/>
      <c r="S152" s="420"/>
      <c r="T152" s="420"/>
      <c r="V152" s="385">
        <v>128</v>
      </c>
      <c r="W152" s="385">
        <v>123</v>
      </c>
      <c r="X152" s="395">
        <f t="shared" si="123"/>
        <v>46</v>
      </c>
      <c r="Y152" s="395">
        <f t="shared" si="123"/>
        <v>182</v>
      </c>
      <c r="Z152" s="395">
        <f t="shared" si="123"/>
        <v>76</v>
      </c>
      <c r="AA152" s="395">
        <f t="shared" si="123"/>
        <v>0</v>
      </c>
      <c r="AB152" s="420"/>
      <c r="AC152" s="420"/>
      <c r="AD152" s="420"/>
    </row>
    <row r="153" spans="3:30" ht="11.25" hidden="1" customHeight="1" outlineLevel="1">
      <c r="C153" s="253" t="s">
        <v>1745</v>
      </c>
      <c r="E153" s="254">
        <f>SUM(E154:E155)</f>
        <v>5138</v>
      </c>
      <c r="F153" s="254">
        <f t="shared" ref="F153:Z153" si="126">SUM(F154:F155)</f>
        <v>5198</v>
      </c>
      <c r="G153" s="254">
        <f t="shared" si="126"/>
        <v>5219</v>
      </c>
      <c r="H153" s="254">
        <f t="shared" si="126"/>
        <v>5276</v>
      </c>
      <c r="I153" s="254">
        <f t="shared" si="126"/>
        <v>5488</v>
      </c>
      <c r="J153" s="254">
        <f t="shared" si="126"/>
        <v>5670</v>
      </c>
      <c r="K153" s="254">
        <f t="shared" si="126"/>
        <v>5835</v>
      </c>
      <c r="L153" s="254">
        <f t="shared" si="126"/>
        <v>5975</v>
      </c>
      <c r="M153" s="254">
        <f t="shared" si="126"/>
        <v>6109</v>
      </c>
      <c r="N153" s="254">
        <f t="shared" si="126"/>
        <v>6185</v>
      </c>
      <c r="O153" s="254">
        <f t="shared" si="126"/>
        <v>6217</v>
      </c>
      <c r="P153" s="254">
        <f t="shared" si="126"/>
        <v>6282</v>
      </c>
      <c r="Q153" s="254">
        <f t="shared" si="126"/>
        <v>6417</v>
      </c>
      <c r="R153" s="254">
        <f>R213+Q153</f>
        <v>6523</v>
      </c>
      <c r="S153" s="254">
        <f>S213+R153</f>
        <v>6595.666666666667</v>
      </c>
      <c r="T153" s="254">
        <f>T213+S153</f>
        <v>6683</v>
      </c>
      <c r="U153" s="254"/>
      <c r="V153" s="254">
        <f t="shared" si="126"/>
        <v>4783</v>
      </c>
      <c r="W153" s="254">
        <f t="shared" si="126"/>
        <v>5005</v>
      </c>
      <c r="X153" s="254">
        <f t="shared" si="126"/>
        <v>5276</v>
      </c>
      <c r="Y153" s="254">
        <f t="shared" si="126"/>
        <v>5975</v>
      </c>
      <c r="Z153" s="254">
        <f t="shared" si="126"/>
        <v>6282</v>
      </c>
      <c r="AA153" s="254">
        <f t="shared" ref="X153:AA155" si="127">SUMIF($E$6:$T$6,AA$6,$E153:$T153)</f>
        <v>6683</v>
      </c>
      <c r="AB153" s="254">
        <f>AB213+AA153</f>
        <v>7083</v>
      </c>
      <c r="AC153" s="254">
        <f>AC213+AB153</f>
        <v>7433</v>
      </c>
      <c r="AD153" s="254">
        <f>AD213+AC153</f>
        <v>7783</v>
      </c>
    </row>
    <row r="154" spans="3:30" ht="11.25" hidden="1" customHeight="1" outlineLevel="1">
      <c r="C154" s="390" t="s">
        <v>604</v>
      </c>
      <c r="D154" s="390"/>
      <c r="E154" s="385">
        <v>2750</v>
      </c>
      <c r="F154" s="385">
        <v>2763</v>
      </c>
      <c r="G154" s="385">
        <v>2682</v>
      </c>
      <c r="H154" s="385">
        <v>2836</v>
      </c>
      <c r="I154" s="385">
        <v>4133</v>
      </c>
      <c r="J154" s="385">
        <v>4830</v>
      </c>
      <c r="K154" s="385">
        <v>5063</v>
      </c>
      <c r="L154" s="385">
        <v>5067</v>
      </c>
      <c r="M154" s="385">
        <v>4858</v>
      </c>
      <c r="N154" s="385">
        <v>4086</v>
      </c>
      <c r="O154" s="385">
        <v>4088</v>
      </c>
      <c r="P154" s="385">
        <v>4043</v>
      </c>
      <c r="Q154" s="385">
        <v>3901</v>
      </c>
      <c r="R154" s="385">
        <v>0</v>
      </c>
      <c r="S154" s="385">
        <v>0</v>
      </c>
      <c r="T154" s="385">
        <v>0</v>
      </c>
      <c r="V154" s="385">
        <v>2591</v>
      </c>
      <c r="W154" s="385">
        <v>2719</v>
      </c>
      <c r="X154" s="395">
        <f t="shared" si="127"/>
        <v>2836</v>
      </c>
      <c r="Y154" s="395">
        <f t="shared" si="127"/>
        <v>5067</v>
      </c>
      <c r="Z154" s="395">
        <f t="shared" si="127"/>
        <v>4043</v>
      </c>
      <c r="AA154" s="395">
        <v>0</v>
      </c>
      <c r="AB154" s="420">
        <f t="shared" ref="AB154:AD155" si="128">AA154</f>
        <v>0</v>
      </c>
      <c r="AC154" s="420">
        <f t="shared" si="128"/>
        <v>0</v>
      </c>
      <c r="AD154" s="420">
        <f t="shared" si="128"/>
        <v>0</v>
      </c>
    </row>
    <row r="155" spans="3:30" ht="11.25" hidden="1" customHeight="1" outlineLevel="1">
      <c r="C155" s="390" t="s">
        <v>1744</v>
      </c>
      <c r="D155" s="390"/>
      <c r="E155" s="385">
        <v>2388</v>
      </c>
      <c r="F155" s="385">
        <v>2435</v>
      </c>
      <c r="G155" s="385">
        <v>2537</v>
      </c>
      <c r="H155" s="385">
        <v>2440</v>
      </c>
      <c r="I155" s="385">
        <v>1355</v>
      </c>
      <c r="J155" s="385">
        <v>840</v>
      </c>
      <c r="K155" s="385">
        <v>772</v>
      </c>
      <c r="L155" s="385">
        <v>908</v>
      </c>
      <c r="M155" s="385">
        <v>1251</v>
      </c>
      <c r="N155" s="385">
        <v>2099</v>
      </c>
      <c r="O155" s="385">
        <v>2129</v>
      </c>
      <c r="P155" s="385">
        <v>2239</v>
      </c>
      <c r="Q155" s="385">
        <v>2516</v>
      </c>
      <c r="R155" s="385">
        <v>0</v>
      </c>
      <c r="S155" s="385">
        <v>0</v>
      </c>
      <c r="T155" s="385">
        <v>0</v>
      </c>
      <c r="V155" s="385">
        <v>2192</v>
      </c>
      <c r="W155" s="385">
        <v>2286</v>
      </c>
      <c r="X155" s="395">
        <f t="shared" si="127"/>
        <v>2440</v>
      </c>
      <c r="Y155" s="395">
        <f t="shared" si="127"/>
        <v>908</v>
      </c>
      <c r="Z155" s="395">
        <f t="shared" si="127"/>
        <v>2239</v>
      </c>
      <c r="AA155" s="395">
        <v>0</v>
      </c>
      <c r="AB155" s="420">
        <f t="shared" si="128"/>
        <v>0</v>
      </c>
      <c r="AC155" s="420">
        <f t="shared" si="128"/>
        <v>0</v>
      </c>
      <c r="AD155" s="420">
        <f t="shared" si="128"/>
        <v>0</v>
      </c>
    </row>
    <row r="156" spans="3:30" ht="11.25" customHeight="1" collapsed="1">
      <c r="C156" s="253" t="s">
        <v>381</v>
      </c>
      <c r="E156" s="254">
        <f>SUM(E157:E161)</f>
        <v>4637</v>
      </c>
      <c r="F156" s="254">
        <f t="shared" ref="F156:T156" si="129">SUM(F157:F161)</f>
        <v>4815</v>
      </c>
      <c r="G156" s="254">
        <f t="shared" si="129"/>
        <v>4498</v>
      </c>
      <c r="H156" s="254">
        <f t="shared" si="129"/>
        <v>4995</v>
      </c>
      <c r="I156" s="254">
        <f t="shared" si="129"/>
        <v>4790</v>
      </c>
      <c r="J156" s="254">
        <f t="shared" si="129"/>
        <v>5412</v>
      </c>
      <c r="K156" s="254">
        <f t="shared" si="129"/>
        <v>5814</v>
      </c>
      <c r="L156" s="254">
        <f t="shared" si="129"/>
        <v>5750</v>
      </c>
      <c r="M156" s="254">
        <f t="shared" si="129"/>
        <v>6357</v>
      </c>
      <c r="N156" s="254">
        <f t="shared" si="129"/>
        <v>6522</v>
      </c>
      <c r="O156" s="254">
        <f t="shared" si="129"/>
        <v>5907</v>
      </c>
      <c r="P156" s="254">
        <f t="shared" si="129"/>
        <v>5901</v>
      </c>
      <c r="Q156" s="254">
        <f t="shared" si="129"/>
        <v>5892</v>
      </c>
      <c r="R156" s="254">
        <f t="shared" si="129"/>
        <v>5892</v>
      </c>
      <c r="S156" s="254">
        <f t="shared" si="129"/>
        <v>5892</v>
      </c>
      <c r="T156" s="254">
        <f t="shared" si="129"/>
        <v>5892</v>
      </c>
      <c r="V156" s="254">
        <f t="shared" ref="V156:AD156" si="130">SUM(V157:V161)</f>
        <v>5559</v>
      </c>
      <c r="W156" s="254">
        <f t="shared" si="130"/>
        <v>4709</v>
      </c>
      <c r="X156" s="254">
        <f t="shared" si="130"/>
        <v>4995</v>
      </c>
      <c r="Y156" s="254">
        <f t="shared" si="130"/>
        <v>5750</v>
      </c>
      <c r="Z156" s="254">
        <f t="shared" si="130"/>
        <v>5901</v>
      </c>
      <c r="AA156" s="254">
        <f t="shared" si="130"/>
        <v>5892</v>
      </c>
      <c r="AB156" s="254">
        <f t="shared" si="130"/>
        <v>5892</v>
      </c>
      <c r="AC156" s="254">
        <f t="shared" si="130"/>
        <v>5892</v>
      </c>
      <c r="AD156" s="254">
        <f t="shared" si="130"/>
        <v>5892</v>
      </c>
    </row>
    <row r="157" spans="3:30" ht="11.25" hidden="1" customHeight="1" outlineLevel="1">
      <c r="C157" s="390" t="s">
        <v>605</v>
      </c>
      <c r="D157" s="390"/>
      <c r="E157" s="385">
        <v>1454</v>
      </c>
      <c r="F157" s="385">
        <v>1366</v>
      </c>
      <c r="G157" s="385">
        <v>1087</v>
      </c>
      <c r="H157" s="385">
        <v>1446</v>
      </c>
      <c r="I157" s="385">
        <v>1514</v>
      </c>
      <c r="J157" s="385">
        <v>2221</v>
      </c>
      <c r="K157" s="385">
        <v>2282</v>
      </c>
      <c r="L157" s="385">
        <v>2460</v>
      </c>
      <c r="M157" s="385">
        <v>2478</v>
      </c>
      <c r="N157" s="385">
        <v>2501</v>
      </c>
      <c r="O157" s="385">
        <v>2180</v>
      </c>
      <c r="P157" s="385">
        <v>1920</v>
      </c>
      <c r="Q157" s="385">
        <v>1929</v>
      </c>
      <c r="R157" s="420">
        <f t="shared" ref="R157:T161" si="131">Q157</f>
        <v>1929</v>
      </c>
      <c r="S157" s="420">
        <f t="shared" si="131"/>
        <v>1929</v>
      </c>
      <c r="T157" s="420">
        <f t="shared" si="131"/>
        <v>1929</v>
      </c>
      <c r="V157" s="385">
        <v>1921</v>
      </c>
      <c r="W157" s="385">
        <v>1576</v>
      </c>
      <c r="X157" s="395">
        <f t="shared" si="123"/>
        <v>1446</v>
      </c>
      <c r="Y157" s="395">
        <f t="shared" si="123"/>
        <v>2460</v>
      </c>
      <c r="Z157" s="395">
        <f t="shared" si="123"/>
        <v>1920</v>
      </c>
      <c r="AA157" s="395">
        <f t="shared" si="123"/>
        <v>1929</v>
      </c>
      <c r="AB157" s="420">
        <f t="shared" ref="AB157:AD161" si="132">AA157</f>
        <v>1929</v>
      </c>
      <c r="AC157" s="420">
        <f t="shared" si="132"/>
        <v>1929</v>
      </c>
      <c r="AD157" s="420">
        <f t="shared" si="132"/>
        <v>1929</v>
      </c>
    </row>
    <row r="158" spans="3:30" ht="11.25" hidden="1" customHeight="1" outlineLevel="1">
      <c r="C158" s="390" t="s">
        <v>606</v>
      </c>
      <c r="D158" s="390"/>
      <c r="E158" s="385">
        <v>1287</v>
      </c>
      <c r="F158" s="385">
        <v>1277</v>
      </c>
      <c r="G158" s="385">
        <v>836</v>
      </c>
      <c r="H158" s="385">
        <v>789</v>
      </c>
      <c r="I158" s="385">
        <v>775</v>
      </c>
      <c r="J158" s="385">
        <v>957</v>
      </c>
      <c r="K158" s="385">
        <v>1012</v>
      </c>
      <c r="L158" s="385">
        <v>994</v>
      </c>
      <c r="M158" s="385">
        <v>1013</v>
      </c>
      <c r="N158" s="385">
        <v>988</v>
      </c>
      <c r="O158" s="385">
        <v>961</v>
      </c>
      <c r="P158" s="385">
        <v>1000</v>
      </c>
      <c r="Q158" s="385">
        <v>986</v>
      </c>
      <c r="R158" s="420">
        <f t="shared" si="131"/>
        <v>986</v>
      </c>
      <c r="S158" s="420">
        <f t="shared" si="131"/>
        <v>986</v>
      </c>
      <c r="T158" s="420">
        <f t="shared" si="131"/>
        <v>986</v>
      </c>
      <c r="V158" s="385">
        <v>1602</v>
      </c>
      <c r="W158" s="385">
        <v>1295</v>
      </c>
      <c r="X158" s="395">
        <f t="shared" si="123"/>
        <v>789</v>
      </c>
      <c r="Y158" s="395">
        <f t="shared" si="123"/>
        <v>994</v>
      </c>
      <c r="Z158" s="395">
        <f t="shared" si="123"/>
        <v>1000</v>
      </c>
      <c r="AA158" s="395">
        <f t="shared" si="123"/>
        <v>986</v>
      </c>
      <c r="AB158" s="420">
        <f t="shared" si="132"/>
        <v>986</v>
      </c>
      <c r="AC158" s="420">
        <f t="shared" si="132"/>
        <v>986</v>
      </c>
      <c r="AD158" s="420">
        <f t="shared" si="132"/>
        <v>986</v>
      </c>
    </row>
    <row r="159" spans="3:30" ht="11.25" hidden="1" customHeight="1" outlineLevel="1">
      <c r="C159" s="390" t="s">
        <v>607</v>
      </c>
      <c r="D159" s="390"/>
      <c r="E159" s="385">
        <v>898</v>
      </c>
      <c r="F159" s="385">
        <v>1192</v>
      </c>
      <c r="G159" s="385">
        <v>1594</v>
      </c>
      <c r="H159" s="385">
        <v>1736</v>
      </c>
      <c r="I159" s="385">
        <v>1322</v>
      </c>
      <c r="J159" s="385">
        <v>804</v>
      </c>
      <c r="K159" s="385">
        <v>389</v>
      </c>
      <c r="L159" s="385">
        <v>0</v>
      </c>
      <c r="M159" s="385">
        <v>0</v>
      </c>
      <c r="N159" s="385">
        <v>0</v>
      </c>
      <c r="O159" s="385">
        <v>0</v>
      </c>
      <c r="P159" s="385">
        <v>0</v>
      </c>
      <c r="Q159" s="385">
        <v>0</v>
      </c>
      <c r="R159" s="420">
        <f t="shared" si="131"/>
        <v>0</v>
      </c>
      <c r="S159" s="420">
        <f t="shared" si="131"/>
        <v>0</v>
      </c>
      <c r="T159" s="420">
        <f t="shared" si="131"/>
        <v>0</v>
      </c>
      <c r="V159" s="385">
        <v>204</v>
      </c>
      <c r="W159" s="385">
        <v>828</v>
      </c>
      <c r="X159" s="395">
        <f t="shared" si="123"/>
        <v>1736</v>
      </c>
      <c r="Y159" s="395">
        <f t="shared" si="123"/>
        <v>0</v>
      </c>
      <c r="Z159" s="395">
        <f t="shared" si="123"/>
        <v>0</v>
      </c>
      <c r="AA159" s="395">
        <f t="shared" si="123"/>
        <v>0</v>
      </c>
      <c r="AB159" s="420">
        <f t="shared" si="132"/>
        <v>0</v>
      </c>
      <c r="AC159" s="420">
        <f t="shared" si="132"/>
        <v>0</v>
      </c>
      <c r="AD159" s="420">
        <f t="shared" si="132"/>
        <v>0</v>
      </c>
    </row>
    <row r="160" spans="3:30" ht="11.25" hidden="1" customHeight="1" outlineLevel="1">
      <c r="C160" s="390" t="s">
        <v>608</v>
      </c>
      <c r="D160" s="390"/>
      <c r="E160" s="385">
        <v>0</v>
      </c>
      <c r="F160" s="385">
        <v>0</v>
      </c>
      <c r="G160" s="385">
        <v>0</v>
      </c>
      <c r="H160" s="385">
        <v>0</v>
      </c>
      <c r="I160" s="385">
        <v>0</v>
      </c>
      <c r="J160" s="385">
        <v>0</v>
      </c>
      <c r="K160" s="385">
        <v>957</v>
      </c>
      <c r="L160" s="385">
        <v>1140</v>
      </c>
      <c r="M160" s="385">
        <v>1568</v>
      </c>
      <c r="N160" s="385">
        <v>1683</v>
      </c>
      <c r="O160" s="385">
        <v>1406</v>
      </c>
      <c r="P160" s="385">
        <f>863+834</f>
        <v>1697</v>
      </c>
      <c r="Q160" s="385">
        <f>499+1185</f>
        <v>1684</v>
      </c>
      <c r="R160" s="420">
        <f t="shared" si="131"/>
        <v>1684</v>
      </c>
      <c r="S160" s="420">
        <f t="shared" si="131"/>
        <v>1684</v>
      </c>
      <c r="T160" s="420">
        <f t="shared" si="131"/>
        <v>1684</v>
      </c>
      <c r="V160" s="385">
        <v>0</v>
      </c>
      <c r="W160" s="385">
        <v>0</v>
      </c>
      <c r="X160" s="395">
        <f t="shared" si="123"/>
        <v>0</v>
      </c>
      <c r="Y160" s="395">
        <f t="shared" si="123"/>
        <v>1140</v>
      </c>
      <c r="Z160" s="395">
        <f t="shared" si="123"/>
        <v>1697</v>
      </c>
      <c r="AA160" s="395">
        <f t="shared" si="123"/>
        <v>1684</v>
      </c>
      <c r="AB160" s="420">
        <f t="shared" si="132"/>
        <v>1684</v>
      </c>
      <c r="AC160" s="420">
        <f t="shared" si="132"/>
        <v>1684</v>
      </c>
      <c r="AD160" s="420">
        <f t="shared" si="132"/>
        <v>1684</v>
      </c>
    </row>
    <row r="161" spans="3:30" ht="11.25" hidden="1" customHeight="1" outlineLevel="1">
      <c r="C161" s="390" t="s">
        <v>609</v>
      </c>
      <c r="D161" s="390"/>
      <c r="E161" s="385">
        <v>998</v>
      </c>
      <c r="F161" s="385">
        <v>980</v>
      </c>
      <c r="G161" s="385">
        <v>981</v>
      </c>
      <c r="H161" s="385">
        <v>1024</v>
      </c>
      <c r="I161" s="385">
        <v>1179</v>
      </c>
      <c r="J161" s="385">
        <v>1430</v>
      </c>
      <c r="K161" s="385">
        <v>1174</v>
      </c>
      <c r="L161" s="385">
        <v>1156</v>
      </c>
      <c r="M161" s="385">
        <v>1298</v>
      </c>
      <c r="N161" s="385">
        <v>1350</v>
      </c>
      <c r="O161" s="385">
        <v>1360</v>
      </c>
      <c r="P161" s="385">
        <v>1284</v>
      </c>
      <c r="Q161" s="385">
        <v>1293</v>
      </c>
      <c r="R161" s="420">
        <f t="shared" si="131"/>
        <v>1293</v>
      </c>
      <c r="S161" s="420">
        <f t="shared" si="131"/>
        <v>1293</v>
      </c>
      <c r="T161" s="420">
        <f t="shared" si="131"/>
        <v>1293</v>
      </c>
      <c r="V161" s="385">
        <v>1832</v>
      </c>
      <c r="W161" s="385">
        <v>1010</v>
      </c>
      <c r="X161" s="395">
        <f t="shared" si="123"/>
        <v>1024</v>
      </c>
      <c r="Y161" s="395">
        <f t="shared" si="123"/>
        <v>1156</v>
      </c>
      <c r="Z161" s="395">
        <f t="shared" si="123"/>
        <v>1284</v>
      </c>
      <c r="AA161" s="395">
        <f t="shared" si="123"/>
        <v>1293</v>
      </c>
      <c r="AB161" s="420">
        <f t="shared" si="132"/>
        <v>1293</v>
      </c>
      <c r="AC161" s="420">
        <f t="shared" si="132"/>
        <v>1293</v>
      </c>
      <c r="AD161" s="420">
        <f t="shared" si="132"/>
        <v>1293</v>
      </c>
    </row>
    <row r="162" spans="3:30" ht="11.25" customHeight="1" collapsed="1">
      <c r="C162" s="289" t="s">
        <v>328</v>
      </c>
      <c r="E162" s="358">
        <f t="shared" ref="E162:T162" si="133">E142+E144+E147+E150+E153+E156</f>
        <v>40837</v>
      </c>
      <c r="F162" s="358">
        <f t="shared" si="133"/>
        <v>41830</v>
      </c>
      <c r="G162" s="358">
        <f t="shared" si="133"/>
        <v>40898</v>
      </c>
      <c r="H162" s="358">
        <f t="shared" si="133"/>
        <v>41080</v>
      </c>
      <c r="I162" s="358">
        <f t="shared" si="133"/>
        <v>43637</v>
      </c>
      <c r="J162" s="358">
        <f t="shared" si="133"/>
        <v>46384</v>
      </c>
      <c r="K162" s="358">
        <f t="shared" si="133"/>
        <v>54186</v>
      </c>
      <c r="L162" s="358">
        <f t="shared" si="133"/>
        <v>53588</v>
      </c>
      <c r="M162" s="358">
        <f t="shared" si="133"/>
        <v>56456</v>
      </c>
      <c r="N162" s="358">
        <f t="shared" si="133"/>
        <v>66145</v>
      </c>
      <c r="O162" s="358">
        <f t="shared" si="133"/>
        <v>63863</v>
      </c>
      <c r="P162" s="358">
        <f t="shared" si="133"/>
        <v>63146</v>
      </c>
      <c r="Q162" s="358">
        <f t="shared" si="133"/>
        <v>65414</v>
      </c>
      <c r="R162" s="358">
        <f t="shared" ca="1" si="133"/>
        <v>61955.48797865081</v>
      </c>
      <c r="S162" s="358">
        <f t="shared" ca="1" si="133"/>
        <v>61927.762769260786</v>
      </c>
      <c r="T162" s="358">
        <f t="shared" ca="1" si="133"/>
        <v>62350.305305446178</v>
      </c>
      <c r="V162" s="358">
        <f t="shared" ref="V162:AD162" si="134">V142+V144+V147+V150+V153+V156</f>
        <v>33612</v>
      </c>
      <c r="W162" s="358">
        <f t="shared" si="134"/>
        <v>38982</v>
      </c>
      <c r="X162" s="358">
        <f t="shared" si="134"/>
        <v>41080</v>
      </c>
      <c r="Y162" s="358">
        <f t="shared" si="134"/>
        <v>53588</v>
      </c>
      <c r="Z162" s="358">
        <f t="shared" si="134"/>
        <v>63146</v>
      </c>
      <c r="AA162" s="358">
        <f t="shared" ca="1" si="134"/>
        <v>62350.305305446178</v>
      </c>
      <c r="AB162" s="358">
        <f t="shared" ca="1" si="134"/>
        <v>64452.419144301864</v>
      </c>
      <c r="AC162" s="358">
        <f t="shared" ca="1" si="134"/>
        <v>65058.714884440764</v>
      </c>
      <c r="AD162" s="358">
        <f t="shared" ca="1" si="134"/>
        <v>65645.072773043226</v>
      </c>
    </row>
    <row r="163" spans="3:30" ht="11.25" customHeight="1">
      <c r="C163" s="289"/>
      <c r="E163" s="255"/>
      <c r="F163" s="255"/>
      <c r="G163" s="255"/>
      <c r="H163" s="255"/>
      <c r="I163" s="255"/>
      <c r="J163" s="255"/>
      <c r="K163" s="255"/>
      <c r="L163" s="255"/>
      <c r="M163" s="255"/>
      <c r="N163" s="255"/>
      <c r="O163" s="255"/>
      <c r="P163" s="255"/>
      <c r="Q163" s="255"/>
      <c r="R163" s="255"/>
      <c r="S163" s="255"/>
      <c r="T163" s="255"/>
      <c r="V163" s="255"/>
      <c r="W163" s="255"/>
      <c r="AB163" s="255"/>
      <c r="AC163" s="255"/>
      <c r="AD163" s="255"/>
    </row>
    <row r="164" spans="3:30" ht="11.25" customHeight="1">
      <c r="C164" s="381" t="s">
        <v>337</v>
      </c>
      <c r="E164" s="277">
        <v>3</v>
      </c>
      <c r="F164" s="277">
        <v>3</v>
      </c>
      <c r="G164" s="277">
        <v>3</v>
      </c>
      <c r="H164" s="277">
        <v>3</v>
      </c>
      <c r="I164" s="277">
        <v>3</v>
      </c>
      <c r="J164" s="277">
        <v>3</v>
      </c>
      <c r="K164" s="277">
        <v>3</v>
      </c>
      <c r="L164" s="277">
        <v>4</v>
      </c>
      <c r="M164" s="277">
        <v>4</v>
      </c>
      <c r="N164" s="277">
        <v>4</v>
      </c>
      <c r="O164" s="277">
        <v>4</v>
      </c>
      <c r="P164" s="277">
        <v>4</v>
      </c>
      <c r="Q164" s="277">
        <v>4</v>
      </c>
      <c r="R164" s="288">
        <f t="shared" ref="R164:T166" si="135">Q164</f>
        <v>4</v>
      </c>
      <c r="S164" s="288">
        <f t="shared" si="135"/>
        <v>4</v>
      </c>
      <c r="T164" s="288">
        <f t="shared" si="135"/>
        <v>4</v>
      </c>
      <c r="V164" s="277">
        <v>3</v>
      </c>
      <c r="W164" s="277">
        <v>3</v>
      </c>
      <c r="X164" s="255">
        <f t="shared" ref="X164:AA168" si="136">SUMIF($E$6:$T$6,X$6,$E164:$T164)</f>
        <v>3</v>
      </c>
      <c r="Y164" s="255">
        <f t="shared" si="136"/>
        <v>4</v>
      </c>
      <c r="Z164" s="255">
        <f t="shared" si="136"/>
        <v>4</v>
      </c>
      <c r="AA164" s="255">
        <f t="shared" si="136"/>
        <v>4</v>
      </c>
      <c r="AB164" s="288">
        <f t="shared" ref="AB164:AD166" si="137">AA164</f>
        <v>4</v>
      </c>
      <c r="AC164" s="288">
        <f t="shared" si="137"/>
        <v>4</v>
      </c>
      <c r="AD164" s="288">
        <f t="shared" si="137"/>
        <v>4</v>
      </c>
    </row>
    <row r="165" spans="3:30" ht="11.25" customHeight="1">
      <c r="C165" s="381" t="s">
        <v>333</v>
      </c>
      <c r="E165" s="277">
        <v>6080</v>
      </c>
      <c r="F165" s="277">
        <v>6096</v>
      </c>
      <c r="G165" s="277">
        <v>6111</v>
      </c>
      <c r="H165" s="277">
        <v>6129</v>
      </c>
      <c r="I165" s="277">
        <v>6096</v>
      </c>
      <c r="J165" s="277">
        <v>7307</v>
      </c>
      <c r="K165" s="277">
        <v>7383</v>
      </c>
      <c r="L165" s="277">
        <v>8366</v>
      </c>
      <c r="M165" s="277">
        <v>8923</v>
      </c>
      <c r="N165" s="277">
        <v>9042</v>
      </c>
      <c r="O165" s="277">
        <v>9094</v>
      </c>
      <c r="P165" s="277">
        <v>9156</v>
      </c>
      <c r="Q165" s="277">
        <v>8953</v>
      </c>
      <c r="R165" s="288">
        <f t="shared" si="135"/>
        <v>8953</v>
      </c>
      <c r="S165" s="288">
        <f t="shared" si="135"/>
        <v>8953</v>
      </c>
      <c r="T165" s="288">
        <f t="shared" si="135"/>
        <v>8953</v>
      </c>
      <c r="V165" s="277">
        <v>6098</v>
      </c>
      <c r="W165" s="277">
        <v>6120</v>
      </c>
      <c r="X165" s="255">
        <f t="shared" si="136"/>
        <v>6129</v>
      </c>
      <c r="Y165" s="255">
        <f t="shared" si="136"/>
        <v>8366</v>
      </c>
      <c r="Z165" s="255">
        <f t="shared" si="136"/>
        <v>9156</v>
      </c>
      <c r="AA165" s="255">
        <f t="shared" si="136"/>
        <v>8953</v>
      </c>
      <c r="AB165" s="288">
        <f t="shared" si="137"/>
        <v>8953</v>
      </c>
      <c r="AC165" s="288">
        <f t="shared" si="137"/>
        <v>8953</v>
      </c>
      <c r="AD165" s="288">
        <f t="shared" si="137"/>
        <v>8953</v>
      </c>
    </row>
    <row r="166" spans="3:30" ht="11.25" customHeight="1">
      <c r="C166" s="381" t="s">
        <v>334</v>
      </c>
      <c r="E166" s="277">
        <v>-2487</v>
      </c>
      <c r="F166" s="277">
        <v>-3022</v>
      </c>
      <c r="G166" s="277">
        <v>-3384</v>
      </c>
      <c r="H166" s="277">
        <v>-3599</v>
      </c>
      <c r="I166" s="277">
        <v>-3901</v>
      </c>
      <c r="J166" s="277">
        <v>-3899</v>
      </c>
      <c r="K166" s="277">
        <v>-3898</v>
      </c>
      <c r="L166" s="277">
        <v>-3897</v>
      </c>
      <c r="M166" s="277">
        <v>-3834</v>
      </c>
      <c r="N166" s="277">
        <v>-3832</v>
      </c>
      <c r="O166" s="277">
        <v>-3814</v>
      </c>
      <c r="P166" s="277">
        <v>-3814</v>
      </c>
      <c r="Q166" s="277">
        <v>-3552</v>
      </c>
      <c r="R166" s="288">
        <f t="shared" si="135"/>
        <v>-3552</v>
      </c>
      <c r="S166" s="288">
        <f t="shared" si="135"/>
        <v>-3552</v>
      </c>
      <c r="T166" s="288">
        <f t="shared" si="135"/>
        <v>-3552</v>
      </c>
      <c r="V166" s="277">
        <v>-769</v>
      </c>
      <c r="W166" s="277">
        <v>-1993</v>
      </c>
      <c r="X166" s="255">
        <f t="shared" si="136"/>
        <v>-3599</v>
      </c>
      <c r="Y166" s="255">
        <f t="shared" si="136"/>
        <v>-3897</v>
      </c>
      <c r="Z166" s="255">
        <f t="shared" si="136"/>
        <v>-3814</v>
      </c>
      <c r="AA166" s="255">
        <f t="shared" si="136"/>
        <v>-3552</v>
      </c>
      <c r="AB166" s="288">
        <f t="shared" si="137"/>
        <v>-3552</v>
      </c>
      <c r="AC166" s="288">
        <f t="shared" si="137"/>
        <v>-3552</v>
      </c>
      <c r="AD166" s="288">
        <f t="shared" si="137"/>
        <v>-3552</v>
      </c>
    </row>
    <row r="167" spans="3:30" ht="11.25" customHeight="1">
      <c r="C167" s="381" t="s">
        <v>335</v>
      </c>
      <c r="E167" s="277">
        <v>6999</v>
      </c>
      <c r="F167" s="277">
        <v>8050</v>
      </c>
      <c r="G167" s="277">
        <v>9075</v>
      </c>
      <c r="H167" s="277">
        <v>9716</v>
      </c>
      <c r="I167" s="277">
        <v>7991</v>
      </c>
      <c r="J167" s="277">
        <v>6365</v>
      </c>
      <c r="K167" s="277">
        <v>4524</v>
      </c>
      <c r="L167" s="277">
        <v>2626</v>
      </c>
      <c r="M167" s="277">
        <v>1239</v>
      </c>
      <c r="N167" s="277">
        <v>804</v>
      </c>
      <c r="O167" s="277">
        <v>1271</v>
      </c>
      <c r="P167" s="277">
        <v>625</v>
      </c>
      <c r="Q167" s="277">
        <v>-844</v>
      </c>
      <c r="R167" s="254">
        <f ca="1">Q167+R38</f>
        <v>-1038.1738098533069</v>
      </c>
      <c r="S167" s="254">
        <f ca="1">R167+S38</f>
        <v>-927.25162858474141</v>
      </c>
      <c r="T167" s="254">
        <f ca="1">S167+T38</f>
        <v>-975.2666112653045</v>
      </c>
      <c r="V167" s="277">
        <v>4549</v>
      </c>
      <c r="W167" s="277">
        <v>6715</v>
      </c>
      <c r="X167" s="255">
        <f t="shared" si="136"/>
        <v>9716</v>
      </c>
      <c r="Y167" s="255">
        <f t="shared" si="136"/>
        <v>2626</v>
      </c>
      <c r="Z167" s="255">
        <f t="shared" si="136"/>
        <v>625</v>
      </c>
      <c r="AA167" s="255">
        <f t="shared" ca="1" si="136"/>
        <v>-975.2666112653045</v>
      </c>
      <c r="AB167" s="254">
        <f ca="1">AA167+AB38</f>
        <v>619.5524854271149</v>
      </c>
      <c r="AC167" s="254">
        <f ca="1">AB167+AC38</f>
        <v>3751.1779798064313</v>
      </c>
      <c r="AD167" s="254">
        <f ca="1">AC167+AD38</f>
        <v>6607.0682262040946</v>
      </c>
    </row>
    <row r="168" spans="3:30" ht="11.25" customHeight="1">
      <c r="C168" s="381" t="s">
        <v>336</v>
      </c>
      <c r="E168" s="277">
        <v>-793</v>
      </c>
      <c r="F168" s="277">
        <v>-807</v>
      </c>
      <c r="G168" s="277">
        <v>-504</v>
      </c>
      <c r="H168" s="277">
        <v>-718</v>
      </c>
      <c r="I168" s="277">
        <v>-771</v>
      </c>
      <c r="J168" s="277">
        <v>-1259</v>
      </c>
      <c r="K168" s="277">
        <v>-1009</v>
      </c>
      <c r="L168" s="277">
        <v>-1139</v>
      </c>
      <c r="M168" s="277">
        <v>-1126</v>
      </c>
      <c r="N168" s="277">
        <v>-1114</v>
      </c>
      <c r="O168" s="277">
        <v>-1124</v>
      </c>
      <c r="P168" s="277">
        <v>-942</v>
      </c>
      <c r="Q168" s="277">
        <v>-937</v>
      </c>
      <c r="R168" s="288">
        <f>Q168</f>
        <v>-937</v>
      </c>
      <c r="S168" s="288">
        <f>R168</f>
        <v>-937</v>
      </c>
      <c r="T168" s="288">
        <f>S168</f>
        <v>-937</v>
      </c>
      <c r="V168" s="277">
        <v>-1147</v>
      </c>
      <c r="W168" s="277">
        <v>-803</v>
      </c>
      <c r="X168" s="255">
        <f t="shared" si="136"/>
        <v>-718</v>
      </c>
      <c r="Y168" s="255">
        <f t="shared" si="136"/>
        <v>-1139</v>
      </c>
      <c r="Z168" s="255">
        <f t="shared" si="136"/>
        <v>-942</v>
      </c>
      <c r="AA168" s="255">
        <f t="shared" si="136"/>
        <v>-937</v>
      </c>
      <c r="AB168" s="288">
        <f>AA168</f>
        <v>-937</v>
      </c>
      <c r="AC168" s="288">
        <f>AB168</f>
        <v>-937</v>
      </c>
      <c r="AD168" s="288">
        <f>AC168</f>
        <v>-937</v>
      </c>
    </row>
    <row r="169" spans="3:30" ht="11.25" customHeight="1">
      <c r="C169" s="289" t="s">
        <v>325</v>
      </c>
      <c r="E169" s="358">
        <f t="shared" ref="E169:P169" si="138">SUM(E164:E168)</f>
        <v>9802</v>
      </c>
      <c r="F169" s="358">
        <f t="shared" si="138"/>
        <v>10320</v>
      </c>
      <c r="G169" s="358">
        <f t="shared" si="138"/>
        <v>11301</v>
      </c>
      <c r="H169" s="358">
        <f t="shared" si="138"/>
        <v>11531</v>
      </c>
      <c r="I169" s="358">
        <f t="shared" si="138"/>
        <v>9418</v>
      </c>
      <c r="J169" s="358">
        <f t="shared" si="138"/>
        <v>8517</v>
      </c>
      <c r="K169" s="358">
        <f t="shared" si="138"/>
        <v>7003</v>
      </c>
      <c r="L169" s="358">
        <f t="shared" si="138"/>
        <v>5960</v>
      </c>
      <c r="M169" s="358">
        <f t="shared" si="138"/>
        <v>5206</v>
      </c>
      <c r="N169" s="358">
        <f t="shared" si="138"/>
        <v>4904</v>
      </c>
      <c r="O169" s="358">
        <f t="shared" si="138"/>
        <v>5431</v>
      </c>
      <c r="P169" s="358">
        <f t="shared" si="138"/>
        <v>5029</v>
      </c>
      <c r="Q169" s="358">
        <f>SUM(Q164:Q168)</f>
        <v>3624</v>
      </c>
      <c r="R169" s="358">
        <f ca="1">SUM(R164:R168)</f>
        <v>3429.8261901466931</v>
      </c>
      <c r="S169" s="358">
        <f ca="1">SUM(S164:S168)</f>
        <v>3540.7483714152586</v>
      </c>
      <c r="T169" s="358">
        <f ca="1">SUM(T164:T168)</f>
        <v>3492.7333887346958</v>
      </c>
      <c r="V169" s="358">
        <f t="shared" ref="V169:AD169" si="139">SUM(V164:V168)</f>
        <v>8734</v>
      </c>
      <c r="W169" s="358">
        <f t="shared" si="139"/>
        <v>10042</v>
      </c>
      <c r="X169" s="358">
        <f t="shared" si="139"/>
        <v>11531</v>
      </c>
      <c r="Y169" s="358">
        <f t="shared" si="139"/>
        <v>5960</v>
      </c>
      <c r="Z169" s="358">
        <f t="shared" si="139"/>
        <v>5029</v>
      </c>
      <c r="AA169" s="358">
        <f t="shared" ca="1" si="139"/>
        <v>3492.7333887346958</v>
      </c>
      <c r="AB169" s="358">
        <f t="shared" ca="1" si="139"/>
        <v>5087.5524854271152</v>
      </c>
      <c r="AC169" s="358">
        <f t="shared" ca="1" si="139"/>
        <v>8219.1779798064308</v>
      </c>
      <c r="AD169" s="358">
        <f t="shared" ca="1" si="139"/>
        <v>11075.068226204094</v>
      </c>
    </row>
    <row r="170" spans="3:30" ht="2.2000000000000002" customHeight="1">
      <c r="C170" s="289"/>
      <c r="E170" s="277"/>
      <c r="F170" s="277"/>
      <c r="G170" s="277"/>
      <c r="H170" s="277"/>
      <c r="I170" s="277"/>
      <c r="J170" s="277"/>
      <c r="K170" s="277"/>
      <c r="L170" s="277"/>
      <c r="M170" s="277"/>
      <c r="N170" s="277"/>
      <c r="O170" s="277"/>
      <c r="P170" s="277"/>
      <c r="Q170" s="277"/>
      <c r="R170" s="255"/>
      <c r="S170" s="255"/>
      <c r="T170" s="255"/>
      <c r="V170" s="277"/>
      <c r="W170" s="277"/>
      <c r="X170" s="277"/>
      <c r="Y170" s="277"/>
      <c r="Z170" s="277"/>
      <c r="AA170" s="277"/>
      <c r="AB170" s="255"/>
      <c r="AC170" s="255"/>
      <c r="AD170" s="255"/>
    </row>
    <row r="171" spans="3:30" ht="11.25" customHeight="1">
      <c r="C171" s="289" t="s">
        <v>326</v>
      </c>
      <c r="E171" s="358">
        <f t="shared" ref="E171:T171" si="140">E162+E169</f>
        <v>50639</v>
      </c>
      <c r="F171" s="358">
        <f t="shared" si="140"/>
        <v>52150</v>
      </c>
      <c r="G171" s="358">
        <f t="shared" si="140"/>
        <v>52199</v>
      </c>
      <c r="H171" s="358">
        <f t="shared" si="140"/>
        <v>52611</v>
      </c>
      <c r="I171" s="358">
        <f t="shared" si="140"/>
        <v>53055</v>
      </c>
      <c r="J171" s="358">
        <f t="shared" si="140"/>
        <v>54901</v>
      </c>
      <c r="K171" s="358">
        <f t="shared" si="140"/>
        <v>61189</v>
      </c>
      <c r="L171" s="358">
        <f t="shared" si="140"/>
        <v>59548</v>
      </c>
      <c r="M171" s="358">
        <f t="shared" si="140"/>
        <v>61662</v>
      </c>
      <c r="N171" s="358">
        <f t="shared" si="140"/>
        <v>71049</v>
      </c>
      <c r="O171" s="358">
        <f t="shared" si="140"/>
        <v>69294</v>
      </c>
      <c r="P171" s="358">
        <f t="shared" si="140"/>
        <v>68175</v>
      </c>
      <c r="Q171" s="358">
        <f>Q162+Q169</f>
        <v>69038</v>
      </c>
      <c r="R171" s="358">
        <f t="shared" ca="1" si="140"/>
        <v>65385.3141687975</v>
      </c>
      <c r="S171" s="358">
        <f t="shared" ca="1" si="140"/>
        <v>65468.511140676041</v>
      </c>
      <c r="T171" s="358">
        <f t="shared" ca="1" si="140"/>
        <v>65843.038694180868</v>
      </c>
      <c r="V171" s="358">
        <f t="shared" ref="V171:AD171" si="141">V162+V169</f>
        <v>42346</v>
      </c>
      <c r="W171" s="358">
        <f t="shared" si="141"/>
        <v>49024</v>
      </c>
      <c r="X171" s="358">
        <f t="shared" si="141"/>
        <v>52611</v>
      </c>
      <c r="Y171" s="358">
        <f t="shared" si="141"/>
        <v>59548</v>
      </c>
      <c r="Z171" s="358">
        <f t="shared" si="141"/>
        <v>68175</v>
      </c>
      <c r="AA171" s="358">
        <f t="shared" ca="1" si="141"/>
        <v>65843.038694180868</v>
      </c>
      <c r="AB171" s="358">
        <f t="shared" ca="1" si="141"/>
        <v>69539.971629728985</v>
      </c>
      <c r="AC171" s="358">
        <f t="shared" ca="1" si="141"/>
        <v>73277.892864247202</v>
      </c>
      <c r="AD171" s="358">
        <f t="shared" ca="1" si="141"/>
        <v>76720.14099924732</v>
      </c>
    </row>
    <row r="172" spans="3:30" ht="11.25" customHeight="1">
      <c r="R172" s="255"/>
      <c r="S172" s="255"/>
      <c r="T172" s="255"/>
    </row>
    <row r="173" spans="3:30" s="293" customFormat="1" ht="11.25" customHeight="1">
      <c r="C173" s="293" t="s">
        <v>233</v>
      </c>
      <c r="E173" s="284">
        <f t="shared" ref="E173:T173" si="142">E134-E171</f>
        <v>0</v>
      </c>
      <c r="F173" s="284">
        <f t="shared" si="142"/>
        <v>0</v>
      </c>
      <c r="G173" s="284">
        <f t="shared" si="142"/>
        <v>0</v>
      </c>
      <c r="H173" s="284">
        <f t="shared" si="142"/>
        <v>0</v>
      </c>
      <c r="I173" s="284">
        <f t="shared" si="142"/>
        <v>0</v>
      </c>
      <c r="J173" s="284">
        <f t="shared" si="142"/>
        <v>0</v>
      </c>
      <c r="K173" s="284">
        <f t="shared" si="142"/>
        <v>0</v>
      </c>
      <c r="L173" s="284">
        <f t="shared" si="142"/>
        <v>0</v>
      </c>
      <c r="M173" s="284">
        <f t="shared" si="142"/>
        <v>0</v>
      </c>
      <c r="N173" s="284">
        <f t="shared" si="142"/>
        <v>0</v>
      </c>
      <c r="O173" s="284">
        <f t="shared" si="142"/>
        <v>0</v>
      </c>
      <c r="P173" s="284">
        <f t="shared" si="142"/>
        <v>0</v>
      </c>
      <c r="Q173" s="284">
        <f t="shared" si="142"/>
        <v>0</v>
      </c>
      <c r="R173" s="284">
        <f t="shared" ca="1" si="142"/>
        <v>0</v>
      </c>
      <c r="S173" s="284">
        <f t="shared" ca="1" si="142"/>
        <v>0</v>
      </c>
      <c r="T173" s="284">
        <f t="shared" ca="1" si="142"/>
        <v>0</v>
      </c>
      <c r="V173" s="284">
        <f t="shared" ref="V173:AD173" si="143">V134-V171</f>
        <v>0</v>
      </c>
      <c r="W173" s="284">
        <f t="shared" si="143"/>
        <v>0</v>
      </c>
      <c r="X173" s="284">
        <f t="shared" si="143"/>
        <v>0</v>
      </c>
      <c r="Y173" s="284">
        <f t="shared" si="143"/>
        <v>0</v>
      </c>
      <c r="Z173" s="284">
        <f t="shared" si="143"/>
        <v>0</v>
      </c>
      <c r="AA173" s="284">
        <f t="shared" ca="1" si="143"/>
        <v>0</v>
      </c>
      <c r="AB173" s="284">
        <f t="shared" ca="1" si="143"/>
        <v>0</v>
      </c>
      <c r="AC173" s="284">
        <f t="shared" ca="1" si="143"/>
        <v>0</v>
      </c>
      <c r="AD173" s="284">
        <f t="shared" ca="1" si="143"/>
        <v>0</v>
      </c>
    </row>
    <row r="175" spans="3:30" ht="11.25" hidden="1" customHeight="1" outlineLevel="1">
      <c r="C175" s="390" t="s">
        <v>1454</v>
      </c>
      <c r="E175" s="277">
        <v>11175</v>
      </c>
      <c r="F175" s="277">
        <v>11175</v>
      </c>
      <c r="G175" s="277">
        <v>11175</v>
      </c>
      <c r="H175" s="277">
        <v>11192</v>
      </c>
      <c r="I175" s="277">
        <v>13692</v>
      </c>
      <c r="J175" s="277">
        <v>13942</v>
      </c>
      <c r="K175" s="277">
        <v>23219</v>
      </c>
      <c r="L175" s="277">
        <v>21328</v>
      </c>
      <c r="M175" s="277">
        <v>21712</v>
      </c>
      <c r="N175" s="277">
        <v>27907</v>
      </c>
      <c r="O175" s="277">
        <v>27630</v>
      </c>
      <c r="P175" s="277">
        <v>27050</v>
      </c>
      <c r="Q175" s="277">
        <v>27050</v>
      </c>
      <c r="R175" s="288">
        <f>Q175</f>
        <v>27050</v>
      </c>
      <c r="S175" s="288">
        <f>R175</f>
        <v>27050</v>
      </c>
      <c r="T175" s="288">
        <f>S175</f>
        <v>27050</v>
      </c>
      <c r="U175" s="632"/>
      <c r="V175" s="277">
        <v>12030</v>
      </c>
      <c r="W175" s="277">
        <v>5180</v>
      </c>
      <c r="X175" s="255">
        <f t="shared" ref="X175:AA176" si="144">SUMIF($E$6:$T$6,X$6,$E175:$T175)</f>
        <v>11192</v>
      </c>
      <c r="Y175" s="255">
        <f t="shared" si="144"/>
        <v>21328</v>
      </c>
      <c r="Z175" s="255">
        <f t="shared" si="144"/>
        <v>27050</v>
      </c>
      <c r="AA175" s="255">
        <f t="shared" si="144"/>
        <v>27050</v>
      </c>
      <c r="AB175" s="255"/>
      <c r="AC175" s="255"/>
      <c r="AD175" s="255"/>
    </row>
    <row r="176" spans="3:30" ht="11.25" hidden="1" customHeight="1" outlineLevel="1">
      <c r="C176" s="390" t="s">
        <v>1453</v>
      </c>
      <c r="E176" s="255">
        <f t="shared" ref="E176:R176" si="145">E144-E175</f>
        <v>2760</v>
      </c>
      <c r="F176" s="255">
        <f t="shared" si="145"/>
        <v>3018</v>
      </c>
      <c r="G176" s="255">
        <f t="shared" si="145"/>
        <v>2968</v>
      </c>
      <c r="H176" s="255">
        <f t="shared" si="145"/>
        <v>3360</v>
      </c>
      <c r="I176" s="255">
        <f t="shared" si="145"/>
        <v>3561</v>
      </c>
      <c r="J176" s="255">
        <f t="shared" si="145"/>
        <v>4830</v>
      </c>
      <c r="K176" s="255">
        <f t="shared" si="145"/>
        <v>3662</v>
      </c>
      <c r="L176" s="255">
        <f t="shared" si="145"/>
        <v>5419</v>
      </c>
      <c r="M176" s="255">
        <f t="shared" si="145"/>
        <v>5920</v>
      </c>
      <c r="N176" s="255">
        <f t="shared" si="145"/>
        <v>6277</v>
      </c>
      <c r="O176" s="255">
        <f t="shared" si="145"/>
        <v>6159</v>
      </c>
      <c r="P176" s="255">
        <f t="shared" si="145"/>
        <v>6313</v>
      </c>
      <c r="Q176" s="255">
        <f t="shared" si="145"/>
        <v>5609</v>
      </c>
      <c r="R176" s="255">
        <f t="shared" ca="1" si="145"/>
        <v>638.51331677827329</v>
      </c>
      <c r="S176" s="255">
        <f ca="1">S144-S175</f>
        <v>928.41124061376468</v>
      </c>
      <c r="T176" s="255">
        <f ca="1">T144-T175</f>
        <v>1594.5338989473712</v>
      </c>
      <c r="U176" s="632"/>
      <c r="V176" s="255">
        <f>V144-V175</f>
        <v>1238</v>
      </c>
      <c r="W176" s="255">
        <f>W144-W175</f>
        <v>8265</v>
      </c>
      <c r="X176" s="255">
        <f t="shared" si="144"/>
        <v>3360</v>
      </c>
      <c r="Y176" s="255">
        <f t="shared" si="144"/>
        <v>5419</v>
      </c>
      <c r="Z176" s="255">
        <f t="shared" si="144"/>
        <v>6313</v>
      </c>
      <c r="AA176" s="255">
        <f t="shared" ca="1" si="144"/>
        <v>1594.5338989473712</v>
      </c>
      <c r="AB176" s="255"/>
      <c r="AC176" s="255"/>
      <c r="AD176" s="255"/>
    </row>
    <row r="177" spans="2:30" ht="11.25" hidden="1" customHeight="1" outlineLevel="1">
      <c r="C177" s="289"/>
      <c r="E177" s="255"/>
      <c r="F177" s="255"/>
      <c r="G177" s="255"/>
      <c r="H177" s="255"/>
      <c r="I177" s="255"/>
      <c r="J177" s="255"/>
      <c r="K177" s="255"/>
      <c r="L177" s="255"/>
      <c r="M177" s="255"/>
      <c r="N177" s="255"/>
      <c r="O177" s="255"/>
      <c r="P177" s="255"/>
      <c r="Q177" s="255"/>
      <c r="R177" s="255"/>
      <c r="S177" s="255"/>
      <c r="T177" s="255"/>
      <c r="U177" s="632"/>
      <c r="V177" s="255"/>
      <c r="W177" s="255"/>
      <c r="AB177" s="255"/>
      <c r="AC177" s="255"/>
      <c r="AD177" s="255"/>
    </row>
    <row r="178" spans="2:30" s="255" customFormat="1" ht="11.25" customHeight="1" collapsed="1">
      <c r="B178" s="258" t="s">
        <v>133</v>
      </c>
      <c r="C178" s="259" t="s">
        <v>329</v>
      </c>
      <c r="D178" s="259"/>
      <c r="E178" s="258"/>
      <c r="F178" s="258"/>
      <c r="G178" s="258"/>
      <c r="H178" s="258"/>
      <c r="I178" s="258"/>
      <c r="J178" s="258"/>
      <c r="K178" s="258"/>
      <c r="L178" s="258"/>
      <c r="M178" s="258"/>
      <c r="N178" s="258"/>
      <c r="O178" s="258"/>
      <c r="P178" s="258"/>
      <c r="Q178" s="258"/>
      <c r="R178" s="258"/>
      <c r="S178" s="258"/>
      <c r="T178" s="258"/>
      <c r="U178" s="280"/>
      <c r="V178" s="258"/>
      <c r="W178" s="258"/>
      <c r="X178" s="258"/>
      <c r="Y178" s="258"/>
      <c r="Z178" s="258"/>
      <c r="AA178" s="258"/>
      <c r="AB178" s="258"/>
      <c r="AC178" s="258"/>
      <c r="AD178" s="258"/>
    </row>
    <row r="179" spans="2:30" ht="11.25" customHeight="1">
      <c r="F179" s="383"/>
      <c r="G179" s="383"/>
      <c r="H179" s="383"/>
      <c r="I179" s="383"/>
      <c r="J179" s="383"/>
      <c r="K179" s="383"/>
      <c r="L179" s="383"/>
      <c r="M179" s="383"/>
      <c r="N179" s="383"/>
      <c r="O179" s="383"/>
      <c r="P179" s="383"/>
      <c r="Q179" s="383"/>
      <c r="V179" s="383"/>
      <c r="Y179" s="383"/>
      <c r="Z179" s="383"/>
    </row>
    <row r="180" spans="2:30" s="255" customFormat="1" ht="10.5" customHeight="1" outlineLevel="1">
      <c r="C180" s="395" t="s">
        <v>1831</v>
      </c>
      <c r="D180" s="395"/>
      <c r="E180" s="385">
        <v>33705</v>
      </c>
      <c r="F180" s="385">
        <v>33890</v>
      </c>
      <c r="G180" s="385">
        <v>34413</v>
      </c>
      <c r="H180" s="385">
        <v>35421</v>
      </c>
      <c r="I180" s="385">
        <v>36763</v>
      </c>
      <c r="J180" s="385">
        <v>37339</v>
      </c>
      <c r="K180" s="385">
        <v>38167</v>
      </c>
      <c r="L180" s="385">
        <v>38218</v>
      </c>
      <c r="M180" s="385">
        <v>38851</v>
      </c>
      <c r="N180" s="385">
        <v>39109</v>
      </c>
      <c r="O180" s="385">
        <v>39312</v>
      </c>
      <c r="P180" s="385">
        <v>39584</v>
      </c>
      <c r="Q180" s="385">
        <v>39733</v>
      </c>
      <c r="R180" s="395"/>
      <c r="S180" s="395"/>
      <c r="T180" s="395"/>
      <c r="U180" s="395"/>
      <c r="V180" s="385">
        <v>29854</v>
      </c>
      <c r="W180" s="385">
        <v>32599</v>
      </c>
      <c r="X180" s="641">
        <f t="shared" ref="X180:Z182" si="146">SUMIF($E$6:$T$6,X$6,$E180:$T180)</f>
        <v>35421</v>
      </c>
      <c r="Y180" s="641">
        <f t="shared" si="146"/>
        <v>38218</v>
      </c>
      <c r="Z180" s="641">
        <f t="shared" si="146"/>
        <v>39584</v>
      </c>
      <c r="AA180" s="395"/>
      <c r="AB180" s="395"/>
      <c r="AC180" s="395"/>
      <c r="AD180" s="395"/>
    </row>
    <row r="181" spans="2:30" s="255" customFormat="1" ht="10.5" customHeight="1" outlineLevel="1">
      <c r="C181" s="395" t="s">
        <v>1832</v>
      </c>
      <c r="D181" s="395"/>
      <c r="E181" s="385">
        <v>7165</v>
      </c>
      <c r="F181" s="385">
        <v>7371</v>
      </c>
      <c r="G181" s="385">
        <v>7626</v>
      </c>
      <c r="H181" s="385">
        <v>7926</v>
      </c>
      <c r="I181" s="385">
        <v>8200</v>
      </c>
      <c r="J181" s="385">
        <v>8350</v>
      </c>
      <c r="K181" s="385">
        <v>8470</v>
      </c>
      <c r="L181" s="385">
        <v>8511</v>
      </c>
      <c r="M181" s="385">
        <v>8581</v>
      </c>
      <c r="N181" s="385">
        <v>8683</v>
      </c>
      <c r="O181" s="385">
        <v>8633</v>
      </c>
      <c r="P181" s="385">
        <v>8764</v>
      </c>
      <c r="Q181" s="385">
        <v>8941</v>
      </c>
      <c r="R181" s="395"/>
      <c r="S181" s="395"/>
      <c r="T181" s="395"/>
      <c r="U181" s="395"/>
      <c r="V181" s="385">
        <v>6946</v>
      </c>
      <c r="W181" s="385">
        <v>6889</v>
      </c>
      <c r="X181" s="641">
        <f t="shared" si="146"/>
        <v>7926</v>
      </c>
      <c r="Y181" s="641">
        <f t="shared" si="146"/>
        <v>8511</v>
      </c>
      <c r="Z181" s="641">
        <f t="shared" si="146"/>
        <v>8764</v>
      </c>
      <c r="AA181" s="395"/>
      <c r="AB181" s="395"/>
      <c r="AC181" s="395"/>
      <c r="AD181" s="395"/>
    </row>
    <row r="182" spans="2:30" s="255" customFormat="1" ht="10.5" customHeight="1" outlineLevel="1">
      <c r="C182" s="395" t="s">
        <v>1833</v>
      </c>
      <c r="D182" s="395"/>
      <c r="E182" s="385">
        <v>1455</v>
      </c>
      <c r="F182" s="385">
        <v>1351</v>
      </c>
      <c r="G182" s="385">
        <v>1446</v>
      </c>
      <c r="H182" s="385">
        <v>1360</v>
      </c>
      <c r="I182" s="385">
        <v>1859</v>
      </c>
      <c r="J182" s="385">
        <v>1624</v>
      </c>
      <c r="K182" s="385">
        <v>1174</v>
      </c>
      <c r="L182" s="385">
        <v>1166</v>
      </c>
      <c r="M182" s="385">
        <v>1439</v>
      </c>
      <c r="N182" s="385">
        <v>1980</v>
      </c>
      <c r="O182" s="385">
        <v>2179</v>
      </c>
      <c r="P182" s="385">
        <v>2215</v>
      </c>
      <c r="Q182" s="385">
        <v>2260</v>
      </c>
      <c r="R182" s="395"/>
      <c r="S182" s="395"/>
      <c r="T182" s="395"/>
      <c r="U182" s="395"/>
      <c r="V182" s="385">
        <v>1344</v>
      </c>
      <c r="W182" s="385">
        <v>1177</v>
      </c>
      <c r="X182" s="641">
        <f t="shared" si="146"/>
        <v>1360</v>
      </c>
      <c r="Y182" s="641">
        <f t="shared" si="146"/>
        <v>1166</v>
      </c>
      <c r="Z182" s="641">
        <f t="shared" si="146"/>
        <v>2215</v>
      </c>
      <c r="AA182" s="395"/>
      <c r="AB182" s="395"/>
      <c r="AC182" s="395"/>
      <c r="AD182" s="395"/>
    </row>
    <row r="183" spans="2:30" ht="11.25" customHeight="1">
      <c r="C183" s="253" t="s">
        <v>857</v>
      </c>
      <c r="E183" s="254">
        <f>SUM(E180:E182)</f>
        <v>42325</v>
      </c>
      <c r="F183" s="254">
        <f t="shared" ref="F183:Q183" si="147">SUM(F180:F182)</f>
        <v>42612</v>
      </c>
      <c r="G183" s="254">
        <f t="shared" si="147"/>
        <v>43485</v>
      </c>
      <c r="H183" s="254">
        <f t="shared" si="147"/>
        <v>44707</v>
      </c>
      <c r="I183" s="254">
        <f t="shared" si="147"/>
        <v>46822</v>
      </c>
      <c r="J183" s="254">
        <f t="shared" si="147"/>
        <v>47313</v>
      </c>
      <c r="K183" s="254">
        <f t="shared" si="147"/>
        <v>47811</v>
      </c>
      <c r="L183" s="254">
        <f t="shared" si="147"/>
        <v>47895</v>
      </c>
      <c r="M183" s="254">
        <f t="shared" si="147"/>
        <v>48871</v>
      </c>
      <c r="N183" s="254">
        <f t="shared" si="147"/>
        <v>49772</v>
      </c>
      <c r="O183" s="254">
        <f t="shared" si="147"/>
        <v>50124</v>
      </c>
      <c r="P183" s="254">
        <f t="shared" si="147"/>
        <v>50563</v>
      </c>
      <c r="Q183" s="254">
        <f t="shared" si="147"/>
        <v>50934</v>
      </c>
      <c r="R183" s="383">
        <f>R190+Q183+R191</f>
        <v>52521.255909558065</v>
      </c>
      <c r="S183" s="383">
        <f t="shared" ref="S183:T183" si="148">S190+R183+S191</f>
        <v>54128.861253854055</v>
      </c>
      <c r="T183" s="383">
        <f t="shared" si="148"/>
        <v>56333.999999999993</v>
      </c>
      <c r="V183" s="254">
        <f t="shared" ref="V183" si="149">SUM(V180:V182)</f>
        <v>38144</v>
      </c>
      <c r="W183" s="254">
        <f t="shared" ref="W183" si="150">SUM(W180:W182)</f>
        <v>40665</v>
      </c>
      <c r="X183" s="255">
        <f t="shared" ref="X183:AA184" si="151">SUMIF($E$6:$T$6,X$6,$E183:$T183)</f>
        <v>44707</v>
      </c>
      <c r="Y183" s="255">
        <f t="shared" si="151"/>
        <v>47895</v>
      </c>
      <c r="Z183" s="255">
        <f t="shared" si="151"/>
        <v>50563</v>
      </c>
      <c r="AA183" s="255">
        <f t="shared" si="151"/>
        <v>56333.999999999993</v>
      </c>
      <c r="AB183" s="383">
        <f t="shared" ref="AB183:AD183" si="152">AB190+AA183+AB191</f>
        <v>64033.999999999993</v>
      </c>
      <c r="AC183" s="383">
        <f t="shared" si="152"/>
        <v>69034</v>
      </c>
      <c r="AD183" s="383">
        <f t="shared" si="152"/>
        <v>73434</v>
      </c>
    </row>
    <row r="184" spans="2:30" ht="11.25" customHeight="1">
      <c r="C184" s="384" t="s">
        <v>372</v>
      </c>
      <c r="E184" s="277">
        <v>-13739</v>
      </c>
      <c r="F184" s="277">
        <v>-13694</v>
      </c>
      <c r="G184" s="277">
        <v>-14153</v>
      </c>
      <c r="H184" s="277">
        <v>-14537</v>
      </c>
      <c r="I184" s="277">
        <v>-15011</v>
      </c>
      <c r="J184" s="277">
        <v>-15578</v>
      </c>
      <c r="K184" s="277">
        <v>-16161</v>
      </c>
      <c r="L184" s="277">
        <v>-16429</v>
      </c>
      <c r="M184" s="277">
        <v>-16956</v>
      </c>
      <c r="N184" s="277">
        <v>-17441</v>
      </c>
      <c r="O184" s="277">
        <v>-17996</v>
      </c>
      <c r="P184" s="277">
        <v>-18489</v>
      </c>
      <c r="Q184" s="682">
        <v>-19053</v>
      </c>
      <c r="R184" s="383">
        <f>Q184-R187</f>
        <v>-19704.26357327852</v>
      </c>
      <c r="S184" s="383">
        <f>R184-S187</f>
        <v>-20445.828972456322</v>
      </c>
      <c r="T184" s="383">
        <f>S184-T187</f>
        <v>-21217.604772456321</v>
      </c>
      <c r="V184" s="277">
        <f>-11159-777</f>
        <v>-11936</v>
      </c>
      <c r="W184" s="277">
        <v>-13266</v>
      </c>
      <c r="X184" s="255">
        <f t="shared" si="151"/>
        <v>-14537</v>
      </c>
      <c r="Y184" s="255">
        <f t="shared" si="151"/>
        <v>-16429</v>
      </c>
      <c r="Z184" s="255">
        <f t="shared" si="151"/>
        <v>-18489</v>
      </c>
      <c r="AA184" s="255">
        <f t="shared" si="151"/>
        <v>-21217.604772456321</v>
      </c>
      <c r="AB184" s="383">
        <f>AA184-AB187</f>
        <v>-24003.083772456321</v>
      </c>
      <c r="AC184" s="383">
        <f>AB184-AC187</f>
        <v>-27144.130772456319</v>
      </c>
      <c r="AD184" s="383">
        <f>AC184-AD187</f>
        <v>-30375.226772456321</v>
      </c>
    </row>
    <row r="185" spans="2:30" ht="11.25" customHeight="1">
      <c r="C185" s="289" t="s">
        <v>858</v>
      </c>
      <c r="E185" s="358">
        <f t="shared" ref="E185:T185" si="153">SUM(E183:E184)</f>
        <v>28586</v>
      </c>
      <c r="F185" s="358">
        <f t="shared" si="153"/>
        <v>28918</v>
      </c>
      <c r="G185" s="358">
        <f t="shared" si="153"/>
        <v>29332</v>
      </c>
      <c r="H185" s="358">
        <f t="shared" si="153"/>
        <v>30170</v>
      </c>
      <c r="I185" s="358">
        <f t="shared" si="153"/>
        <v>31811</v>
      </c>
      <c r="J185" s="358">
        <f t="shared" si="153"/>
        <v>31735</v>
      </c>
      <c r="K185" s="358">
        <f t="shared" si="153"/>
        <v>31650</v>
      </c>
      <c r="L185" s="358">
        <f t="shared" si="153"/>
        <v>31466</v>
      </c>
      <c r="M185" s="358">
        <f t="shared" si="153"/>
        <v>31915</v>
      </c>
      <c r="N185" s="358">
        <f t="shared" si="153"/>
        <v>32331</v>
      </c>
      <c r="O185" s="358">
        <f t="shared" si="153"/>
        <v>32128</v>
      </c>
      <c r="P185" s="358">
        <f t="shared" si="153"/>
        <v>32074</v>
      </c>
      <c r="Q185" s="358">
        <f t="shared" si="153"/>
        <v>31881</v>
      </c>
      <c r="R185" s="358">
        <f t="shared" si="153"/>
        <v>32816.992336279545</v>
      </c>
      <c r="S185" s="358">
        <f t="shared" si="153"/>
        <v>33683.032281397733</v>
      </c>
      <c r="T185" s="358">
        <f t="shared" si="153"/>
        <v>35116.395227543675</v>
      </c>
      <c r="V185" s="358">
        <f t="shared" ref="V185:AD185" si="154">SUM(V183:V184)</f>
        <v>26208</v>
      </c>
      <c r="W185" s="358">
        <f t="shared" si="154"/>
        <v>27399</v>
      </c>
      <c r="X185" s="358">
        <f t="shared" si="154"/>
        <v>30170</v>
      </c>
      <c r="Y185" s="358">
        <f t="shared" si="154"/>
        <v>31466</v>
      </c>
      <c r="Z185" s="358">
        <f t="shared" si="154"/>
        <v>32074</v>
      </c>
      <c r="AA185" s="358">
        <f t="shared" si="154"/>
        <v>35116.395227543675</v>
      </c>
      <c r="AB185" s="358">
        <f t="shared" si="154"/>
        <v>40030.916227543668</v>
      </c>
      <c r="AC185" s="358">
        <f t="shared" si="154"/>
        <v>41889.869227543677</v>
      </c>
      <c r="AD185" s="358">
        <f t="shared" si="154"/>
        <v>43058.773227543679</v>
      </c>
    </row>
    <row r="186" spans="2:30" ht="11.25" customHeight="1">
      <c r="E186" s="255"/>
      <c r="F186" s="255"/>
      <c r="G186" s="255"/>
      <c r="H186" s="255"/>
      <c r="I186" s="255"/>
      <c r="J186" s="255"/>
      <c r="K186" s="255"/>
      <c r="L186" s="255"/>
      <c r="M186" s="255"/>
      <c r="N186" s="255"/>
      <c r="O186" s="255"/>
      <c r="P186" s="255"/>
      <c r="V186" s="255"/>
      <c r="W186" s="255"/>
      <c r="Z186" s="383"/>
    </row>
    <row r="187" spans="2:30" ht="11.25" customHeight="1">
      <c r="C187" s="253" t="s">
        <v>384</v>
      </c>
      <c r="E187" s="255"/>
      <c r="F187" s="255">
        <f t="shared" ref="F187:Q187" si="155">F25-F198</f>
        <v>545</v>
      </c>
      <c r="G187" s="255">
        <f t="shared" si="155"/>
        <v>560</v>
      </c>
      <c r="H187" s="255">
        <f t="shared" si="155"/>
        <v>591</v>
      </c>
      <c r="I187" s="255">
        <f t="shared" si="155"/>
        <v>601</v>
      </c>
      <c r="J187" s="255">
        <f t="shared" si="155"/>
        <v>605</v>
      </c>
      <c r="K187" s="255">
        <f t="shared" si="155"/>
        <v>612</v>
      </c>
      <c r="L187" s="255">
        <f t="shared" si="155"/>
        <v>615</v>
      </c>
      <c r="M187" s="255">
        <f t="shared" si="155"/>
        <v>611</v>
      </c>
      <c r="N187" s="255">
        <f t="shared" si="155"/>
        <v>608</v>
      </c>
      <c r="O187" s="255">
        <f t="shared" si="155"/>
        <v>610</v>
      </c>
      <c r="P187" s="255">
        <f t="shared" si="155"/>
        <v>607</v>
      </c>
      <c r="Q187" s="255">
        <f t="shared" si="155"/>
        <v>601</v>
      </c>
      <c r="R187" s="255">
        <f>R188*R183</f>
        <v>651.26357327851997</v>
      </c>
      <c r="S187" s="255">
        <f>S188*S183</f>
        <v>741.5653991778006</v>
      </c>
      <c r="T187" s="255">
        <f>T188*T183</f>
        <v>771.77579999999989</v>
      </c>
      <c r="V187" s="255">
        <f t="shared" ref="V187:AA187" si="156">V25-V198</f>
        <v>783</v>
      </c>
      <c r="W187" s="255">
        <f t="shared" si="156"/>
        <v>2098</v>
      </c>
      <c r="X187" s="255">
        <f t="shared" si="156"/>
        <v>2228</v>
      </c>
      <c r="Y187" s="255">
        <f t="shared" si="156"/>
        <v>2433</v>
      </c>
      <c r="Z187" s="255">
        <f t="shared" si="156"/>
        <v>2436</v>
      </c>
      <c r="AA187" s="255">
        <f t="shared" si="156"/>
        <v>2765.6047724563205</v>
      </c>
      <c r="AB187" s="255">
        <f>AB188*AB183</f>
        <v>2785.4789999999994</v>
      </c>
      <c r="AC187" s="255">
        <f>AC188*AC183</f>
        <v>3141.047</v>
      </c>
      <c r="AD187" s="255">
        <f>AD188*AD183</f>
        <v>3231.096</v>
      </c>
    </row>
    <row r="188" spans="2:30" s="278" customFormat="1" ht="11.25" customHeight="1">
      <c r="C188" s="298" t="s">
        <v>386</v>
      </c>
      <c r="E188" s="441"/>
      <c r="F188" s="297">
        <f t="shared" ref="F188:P188" si="157">F187/F183</f>
        <v>1.2789824462592697E-2</v>
      </c>
      <c r="G188" s="297">
        <f t="shared" si="157"/>
        <v>1.2878003909394043E-2</v>
      </c>
      <c r="H188" s="297">
        <f t="shared" si="157"/>
        <v>1.321940635694634E-2</v>
      </c>
      <c r="I188" s="297">
        <f t="shared" si="157"/>
        <v>1.2835846396992867E-2</v>
      </c>
      <c r="J188" s="297">
        <f t="shared" si="157"/>
        <v>1.278718322659734E-2</v>
      </c>
      <c r="K188" s="297">
        <f t="shared" si="157"/>
        <v>1.2800401581226077E-2</v>
      </c>
      <c r="L188" s="297">
        <f t="shared" si="157"/>
        <v>1.2840588787973693E-2</v>
      </c>
      <c r="M188" s="297">
        <f t="shared" si="157"/>
        <v>1.2502301978678562E-2</v>
      </c>
      <c r="N188" s="297">
        <f t="shared" si="157"/>
        <v>1.2215703608454552E-2</v>
      </c>
      <c r="O188" s="297">
        <f t="shared" si="157"/>
        <v>1.216981884925385E-2</v>
      </c>
      <c r="P188" s="297">
        <f t="shared" si="157"/>
        <v>1.2004825663034235E-2</v>
      </c>
      <c r="Q188" s="297">
        <f>Q187/Q183</f>
        <v>1.1799583775081479E-2</v>
      </c>
      <c r="R188" s="296">
        <v>1.24E-2</v>
      </c>
      <c r="S188" s="296">
        <v>1.37E-2</v>
      </c>
      <c r="T188" s="296">
        <v>1.37E-2</v>
      </c>
      <c r="V188" s="297">
        <f t="shared" ref="V188:AA188" si="158">V187/V183</f>
        <v>2.0527474832214766E-2</v>
      </c>
      <c r="W188" s="297">
        <f t="shared" si="158"/>
        <v>5.1592278372064426E-2</v>
      </c>
      <c r="X188" s="297">
        <f t="shared" si="158"/>
        <v>4.9835596215357776E-2</v>
      </c>
      <c r="Y188" s="297">
        <f t="shared" si="158"/>
        <v>5.0798621985593484E-2</v>
      </c>
      <c r="Z188" s="297">
        <f t="shared" si="158"/>
        <v>4.8177521112275773E-2</v>
      </c>
      <c r="AA188" s="297">
        <f t="shared" si="158"/>
        <v>4.9092994860232199E-2</v>
      </c>
      <c r="AB188" s="296">
        <v>4.3499999999999997E-2</v>
      </c>
      <c r="AC188" s="296">
        <v>4.5499999999999999E-2</v>
      </c>
      <c r="AD188" s="296">
        <v>4.3999999999999997E-2</v>
      </c>
    </row>
    <row r="189" spans="2:30" ht="11.25" customHeight="1">
      <c r="E189" s="255"/>
      <c r="F189" s="255"/>
      <c r="G189" s="255"/>
      <c r="H189" s="255"/>
      <c r="I189" s="255"/>
      <c r="J189" s="255"/>
      <c r="K189" s="255"/>
      <c r="L189" s="255"/>
      <c r="M189" s="255"/>
      <c r="N189" s="255"/>
      <c r="O189" s="255"/>
      <c r="P189" s="255"/>
      <c r="U189" s="284">
        <f>Consensus!H137</f>
        <v>0</v>
      </c>
      <c r="V189" s="284"/>
      <c r="W189" s="284"/>
      <c r="X189" s="284"/>
      <c r="Y189" s="284"/>
      <c r="Z189" s="284"/>
      <c r="AA189" s="284"/>
      <c r="AB189" s="284"/>
    </row>
    <row r="190" spans="2:30" ht="11.25" customHeight="1">
      <c r="C190" s="253" t="s">
        <v>942</v>
      </c>
      <c r="E190" s="255">
        <f>-E233</f>
        <v>1609</v>
      </c>
      <c r="F190" s="255">
        <f t="shared" ref="F190:Q190" si="159">-F233</f>
        <v>858</v>
      </c>
      <c r="G190" s="255">
        <f t="shared" si="159"/>
        <v>869</v>
      </c>
      <c r="H190" s="255">
        <f t="shared" si="159"/>
        <v>1192</v>
      </c>
      <c r="I190" s="255">
        <f t="shared" si="159"/>
        <v>1959</v>
      </c>
      <c r="J190" s="255">
        <f t="shared" si="159"/>
        <v>39</v>
      </c>
      <c r="K190" s="255">
        <f t="shared" si="159"/>
        <v>-368</v>
      </c>
      <c r="L190" s="255">
        <f t="shared" si="159"/>
        <v>97</v>
      </c>
      <c r="M190" s="255">
        <f t="shared" si="159"/>
        <v>444</v>
      </c>
      <c r="N190" s="255">
        <f t="shared" si="159"/>
        <v>861</v>
      </c>
      <c r="O190" s="255">
        <f t="shared" si="159"/>
        <v>266</v>
      </c>
      <c r="P190" s="255">
        <f t="shared" si="159"/>
        <v>536</v>
      </c>
      <c r="Q190" s="255">
        <f t="shared" si="159"/>
        <v>402</v>
      </c>
      <c r="R190" s="255">
        <f>(2000)*(F190/SUM($F$190:$H$190))</f>
        <v>587.87255909558064</v>
      </c>
      <c r="S190" s="255">
        <f t="shared" ref="S190:T190" si="160">(2000)*(G190/SUM($F$190:$H$190))</f>
        <v>595.40938677629333</v>
      </c>
      <c r="T190" s="255">
        <f t="shared" si="160"/>
        <v>816.71805412812603</v>
      </c>
      <c r="V190" s="255">
        <f>-V233</f>
        <v>3870</v>
      </c>
      <c r="W190" s="255">
        <f>-W233</f>
        <v>4070</v>
      </c>
      <c r="X190" s="255">
        <f>-X233</f>
        <v>4528</v>
      </c>
      <c r="Y190" s="255">
        <f>-Y233</f>
        <v>1727</v>
      </c>
      <c r="Z190" s="255">
        <f>-Z233</f>
        <v>2107</v>
      </c>
      <c r="AA190" s="255">
        <f t="shared" ref="AA190:AA191" si="161">SUMIF($E$5:$T$5,AA$5,$E190:$T190)</f>
        <v>2402</v>
      </c>
      <c r="AB190" s="333">
        <v>2500</v>
      </c>
      <c r="AC190" s="333">
        <v>2000</v>
      </c>
      <c r="AD190" s="333">
        <v>1500</v>
      </c>
    </row>
    <row r="191" spans="2:30" ht="11.25" customHeight="1">
      <c r="C191" s="253" t="s">
        <v>1834</v>
      </c>
      <c r="E191" s="255"/>
      <c r="F191" s="255"/>
      <c r="G191" s="255"/>
      <c r="H191" s="255"/>
      <c r="I191" s="255"/>
      <c r="J191" s="255"/>
      <c r="K191" s="255"/>
      <c r="L191" s="255"/>
      <c r="M191" s="255"/>
      <c r="N191" s="255"/>
      <c r="O191" s="255"/>
      <c r="P191" s="255"/>
      <c r="Q191" s="255"/>
      <c r="R191" s="255">
        <f>(3400)*(F190/SUM($F$190:$H$190))</f>
        <v>999.3833504624871</v>
      </c>
      <c r="S191" s="255">
        <f t="shared" ref="S191:T191" si="162">(3400)*(G190/SUM($F$190:$H$190))</f>
        <v>1012.1959575196986</v>
      </c>
      <c r="T191" s="255">
        <f t="shared" si="162"/>
        <v>1388.4206920178142</v>
      </c>
      <c r="V191" s="255"/>
      <c r="W191" s="675">
        <f>W180-V180</f>
        <v>2745</v>
      </c>
      <c r="X191" s="675">
        <f>X180-W180</f>
        <v>2822</v>
      </c>
      <c r="Y191" s="255"/>
      <c r="Z191" s="255"/>
      <c r="AA191" s="255">
        <f t="shared" si="161"/>
        <v>3400</v>
      </c>
      <c r="AB191" s="333">
        <f>7700-AB190</f>
        <v>5200</v>
      </c>
      <c r="AC191" s="333">
        <f>5000-AC190</f>
        <v>3000</v>
      </c>
      <c r="AD191" s="333">
        <f>4400-AD190</f>
        <v>2900</v>
      </c>
    </row>
    <row r="192" spans="2:30" s="278" customFormat="1" ht="11.25" customHeight="1">
      <c r="C192" s="298" t="s">
        <v>385</v>
      </c>
      <c r="E192" s="297">
        <f t="shared" ref="E192:T192" si="163">-E233/E13</f>
        <v>0.16779643341328607</v>
      </c>
      <c r="F192" s="297">
        <f t="shared" si="163"/>
        <v>7.5249956148044209E-2</v>
      </c>
      <c r="G192" s="297">
        <f t="shared" si="163"/>
        <v>7.6362038664323381E-2</v>
      </c>
      <c r="H192" s="297">
        <f t="shared" si="163"/>
        <v>0.10947832476120499</v>
      </c>
      <c r="I192" s="297">
        <f t="shared" si="163"/>
        <v>0.24551948865772652</v>
      </c>
      <c r="J192" s="297">
        <f t="shared" si="163"/>
        <v>2.6440677966101694E-2</v>
      </c>
      <c r="K192" s="297">
        <f t="shared" si="163"/>
        <v>-0.14785054238650061</v>
      </c>
      <c r="L192" s="297">
        <f t="shared" si="163"/>
        <v>2.8429073856975382E-2</v>
      </c>
      <c r="M192" s="297">
        <f t="shared" si="163"/>
        <v>0.13784538963054951</v>
      </c>
      <c r="N192" s="297">
        <f t="shared" si="163"/>
        <v>0.15737525132516908</v>
      </c>
      <c r="O192" s="297">
        <f t="shared" si="163"/>
        <v>3.4322580645161291E-2</v>
      </c>
      <c r="P192" s="297">
        <f t="shared" si="163"/>
        <v>6.54296875E-2</v>
      </c>
      <c r="Q192" s="297">
        <f t="shared" si="163"/>
        <v>5.3132434575733543E-2</v>
      </c>
      <c r="R192" s="297">
        <f t="shared" si="163"/>
        <v>0.13702499470517399</v>
      </c>
      <c r="S192" s="297">
        <f t="shared" si="163"/>
        <v>0.13231401028617482</v>
      </c>
      <c r="T192" s="297">
        <f t="shared" si="163"/>
        <v>0.18712298752207795</v>
      </c>
      <c r="V192" s="297">
        <f t="shared" ref="V192:AD192" si="164">-V233/V13</f>
        <v>0.1024243065847978</v>
      </c>
      <c r="W192" s="297">
        <f t="shared" si="164"/>
        <v>9.8540057622932956E-2</v>
      </c>
      <c r="X192" s="297">
        <f t="shared" si="164"/>
        <v>0.10467186019094292</v>
      </c>
      <c r="Y192" s="297">
        <f t="shared" si="164"/>
        <v>0.11247150765223055</v>
      </c>
      <c r="Z192" s="297">
        <f t="shared" si="164"/>
        <v>8.5532191280344241E-2</v>
      </c>
      <c r="AA192" s="297">
        <f t="shared" si="164"/>
        <v>0.13466698412096159</v>
      </c>
      <c r="AB192" s="297">
        <f t="shared" si="164"/>
        <v>0.15771501601757221</v>
      </c>
      <c r="AC192" s="297">
        <f t="shared" si="164"/>
        <v>9.722309999381519E-2</v>
      </c>
      <c r="AD192" s="297">
        <f t="shared" si="164"/>
        <v>8.5157328863172635E-2</v>
      </c>
    </row>
    <row r="193" spans="2:30" ht="11.25" customHeight="1">
      <c r="E193" s="255"/>
      <c r="F193" s="255"/>
      <c r="G193" s="255"/>
      <c r="H193" s="255"/>
      <c r="I193" s="255"/>
      <c r="J193" s="255"/>
      <c r="K193" s="255"/>
      <c r="L193" s="255"/>
      <c r="M193" s="255"/>
      <c r="N193" s="255"/>
      <c r="O193" s="255"/>
      <c r="P193" s="255"/>
      <c r="V193" s="257"/>
      <c r="W193" s="257"/>
      <c r="X193" s="257"/>
    </row>
    <row r="194" spans="2:30" ht="11.25" customHeight="1">
      <c r="C194" s="253" t="s">
        <v>331</v>
      </c>
      <c r="E194" s="255">
        <f t="shared" ref="E194:Q194" si="165">E195+E196</f>
        <v>4539</v>
      </c>
      <c r="F194" s="255">
        <f t="shared" si="165"/>
        <v>4539</v>
      </c>
      <c r="G194" s="255">
        <f t="shared" si="165"/>
        <v>4539</v>
      </c>
      <c r="H194" s="255">
        <f t="shared" si="165"/>
        <v>4449</v>
      </c>
      <c r="I194" s="255">
        <f t="shared" si="165"/>
        <v>4399</v>
      </c>
      <c r="J194" s="255">
        <f t="shared" si="165"/>
        <v>4319</v>
      </c>
      <c r="K194" s="255">
        <f t="shared" si="165"/>
        <v>4333</v>
      </c>
      <c r="L194" s="255">
        <f t="shared" si="165"/>
        <v>4333</v>
      </c>
      <c r="M194" s="255">
        <f t="shared" si="165"/>
        <v>4347</v>
      </c>
      <c r="N194" s="255">
        <f t="shared" si="165"/>
        <v>4346</v>
      </c>
      <c r="O194" s="255">
        <f t="shared" si="165"/>
        <v>4347</v>
      </c>
      <c r="P194" s="255">
        <f t="shared" si="165"/>
        <v>4347</v>
      </c>
      <c r="Q194" s="255">
        <f t="shared" si="165"/>
        <v>4346</v>
      </c>
      <c r="R194" s="255">
        <f>Q194</f>
        <v>4346</v>
      </c>
      <c r="S194" s="255">
        <f>R194</f>
        <v>4346</v>
      </c>
      <c r="T194" s="255">
        <f>S194</f>
        <v>4346</v>
      </c>
      <c r="V194" s="255">
        <f>V195+V196</f>
        <v>4852</v>
      </c>
      <c r="W194" s="255">
        <f>W195+W196</f>
        <v>4539</v>
      </c>
      <c r="X194" s="255">
        <f t="shared" ref="X194:AA195" si="166">SUMIF($E$6:$T$6,X$6,$E194:$T194)</f>
        <v>4449</v>
      </c>
      <c r="Y194" s="255">
        <f t="shared" si="166"/>
        <v>4333</v>
      </c>
      <c r="Z194" s="255">
        <f t="shared" si="166"/>
        <v>4347</v>
      </c>
      <c r="AA194" s="255">
        <f t="shared" si="166"/>
        <v>4346</v>
      </c>
      <c r="AB194" s="255">
        <f>AA194</f>
        <v>4346</v>
      </c>
      <c r="AC194" s="255">
        <f>AB194</f>
        <v>4346</v>
      </c>
      <c r="AD194" s="255">
        <f>AC194</f>
        <v>4346</v>
      </c>
    </row>
    <row r="195" spans="2:30" ht="11.25" customHeight="1">
      <c r="C195" s="384" t="s">
        <v>349</v>
      </c>
      <c r="E195" s="277">
        <v>1395</v>
      </c>
      <c r="F195" s="277">
        <v>1410</v>
      </c>
      <c r="G195" s="277">
        <v>1425</v>
      </c>
      <c r="H195" s="277">
        <v>1440</v>
      </c>
      <c r="I195" s="277">
        <v>1454</v>
      </c>
      <c r="J195" s="277">
        <v>1467</v>
      </c>
      <c r="K195" s="277">
        <v>1481</v>
      </c>
      <c r="L195" s="277">
        <v>1495</v>
      </c>
      <c r="M195" s="277">
        <v>1507</v>
      </c>
      <c r="N195" s="277">
        <v>1519</v>
      </c>
      <c r="O195" s="277">
        <v>1532</v>
      </c>
      <c r="P195" s="277">
        <v>1544</v>
      </c>
      <c r="Q195" s="682">
        <v>1554</v>
      </c>
      <c r="R195" s="383">
        <f>Q195+R198</f>
        <v>1564</v>
      </c>
      <c r="S195" s="383">
        <f>R195+S198</f>
        <v>1574</v>
      </c>
      <c r="T195" s="383">
        <f>S195+T198</f>
        <v>1584</v>
      </c>
      <c r="V195" s="277">
        <v>1313</v>
      </c>
      <c r="W195" s="277">
        <v>1380</v>
      </c>
      <c r="X195" s="255">
        <f t="shared" si="166"/>
        <v>1440</v>
      </c>
      <c r="Y195" s="255">
        <f t="shared" si="166"/>
        <v>1495</v>
      </c>
      <c r="Z195" s="255">
        <f t="shared" si="166"/>
        <v>1544</v>
      </c>
      <c r="AA195" s="255">
        <f t="shared" si="166"/>
        <v>1584</v>
      </c>
      <c r="AB195" s="255">
        <f>AA195+AB198</f>
        <v>1621</v>
      </c>
      <c r="AC195" s="255">
        <f>AB195+AC198</f>
        <v>1653</v>
      </c>
      <c r="AD195" s="255">
        <f>AC195+AD198</f>
        <v>1681</v>
      </c>
    </row>
    <row r="196" spans="2:30" ht="11.25" customHeight="1">
      <c r="C196" s="289" t="s">
        <v>332</v>
      </c>
      <c r="E196" s="357">
        <f t="shared" ref="E196:Q196" si="167">E127</f>
        <v>3144</v>
      </c>
      <c r="F196" s="357">
        <f t="shared" si="167"/>
        <v>3129</v>
      </c>
      <c r="G196" s="357">
        <f t="shared" si="167"/>
        <v>3114</v>
      </c>
      <c r="H196" s="357">
        <f t="shared" si="167"/>
        <v>3009</v>
      </c>
      <c r="I196" s="357">
        <f t="shared" si="167"/>
        <v>2945</v>
      </c>
      <c r="J196" s="357">
        <f t="shared" si="167"/>
        <v>2852</v>
      </c>
      <c r="K196" s="357">
        <f t="shared" si="167"/>
        <v>2852</v>
      </c>
      <c r="L196" s="357">
        <f t="shared" si="167"/>
        <v>2838</v>
      </c>
      <c r="M196" s="357">
        <f t="shared" si="167"/>
        <v>2840</v>
      </c>
      <c r="N196" s="357">
        <f t="shared" si="167"/>
        <v>2827</v>
      </c>
      <c r="O196" s="357">
        <f t="shared" si="167"/>
        <v>2815</v>
      </c>
      <c r="P196" s="357">
        <f t="shared" si="167"/>
        <v>2803</v>
      </c>
      <c r="Q196" s="357">
        <f t="shared" si="167"/>
        <v>2792</v>
      </c>
      <c r="R196" s="396">
        <f>R194-R195</f>
        <v>2782</v>
      </c>
      <c r="S196" s="396">
        <f>S194-S195</f>
        <v>2772</v>
      </c>
      <c r="T196" s="396">
        <f>T194-T195</f>
        <v>2762</v>
      </c>
      <c r="V196" s="357">
        <f>V127</f>
        <v>3539</v>
      </c>
      <c r="W196" s="357">
        <f>W127</f>
        <v>3159</v>
      </c>
      <c r="X196" s="358">
        <f t="shared" ref="X196:AD196" si="168">X194-X195</f>
        <v>3009</v>
      </c>
      <c r="Y196" s="358">
        <f t="shared" si="168"/>
        <v>2838</v>
      </c>
      <c r="Z196" s="358">
        <f t="shared" si="168"/>
        <v>2803</v>
      </c>
      <c r="AA196" s="358">
        <f t="shared" si="168"/>
        <v>2762</v>
      </c>
      <c r="AB196" s="358">
        <f t="shared" si="168"/>
        <v>2725</v>
      </c>
      <c r="AC196" s="358">
        <f t="shared" si="168"/>
        <v>2693</v>
      </c>
      <c r="AD196" s="358">
        <f t="shared" si="168"/>
        <v>2665</v>
      </c>
    </row>
    <row r="197" spans="2:30" ht="11.25" customHeight="1">
      <c r="C197" s="289"/>
      <c r="E197" s="285"/>
      <c r="F197" s="285"/>
      <c r="G197" s="285"/>
      <c r="H197" s="285"/>
      <c r="I197" s="285"/>
      <c r="J197" s="285"/>
      <c r="K197" s="285"/>
      <c r="L197" s="285"/>
      <c r="M197" s="285"/>
      <c r="N197" s="285"/>
      <c r="O197" s="285"/>
      <c r="P197" s="285"/>
      <c r="V197" s="285"/>
      <c r="W197" s="285"/>
    </row>
    <row r="198" spans="2:30" ht="11.25" customHeight="1">
      <c r="C198" s="253" t="s">
        <v>383</v>
      </c>
      <c r="F198" s="383">
        <f t="shared" ref="F198:Q198" si="169">F195-E195</f>
        <v>15</v>
      </c>
      <c r="G198" s="383">
        <f t="shared" si="169"/>
        <v>15</v>
      </c>
      <c r="H198" s="383">
        <f t="shared" si="169"/>
        <v>15</v>
      </c>
      <c r="I198" s="383">
        <f t="shared" si="169"/>
        <v>14</v>
      </c>
      <c r="J198" s="383">
        <f t="shared" si="169"/>
        <v>13</v>
      </c>
      <c r="K198" s="383">
        <f t="shared" si="169"/>
        <v>14</v>
      </c>
      <c r="L198" s="383">
        <f t="shared" si="169"/>
        <v>14</v>
      </c>
      <c r="M198" s="383">
        <f t="shared" si="169"/>
        <v>12</v>
      </c>
      <c r="N198" s="383">
        <f t="shared" si="169"/>
        <v>12</v>
      </c>
      <c r="O198" s="383">
        <f t="shared" si="169"/>
        <v>13</v>
      </c>
      <c r="P198" s="383">
        <f t="shared" si="169"/>
        <v>12</v>
      </c>
      <c r="Q198" s="383">
        <f t="shared" si="169"/>
        <v>10</v>
      </c>
      <c r="R198" s="333">
        <f>(40-$Q$198)/3</f>
        <v>10</v>
      </c>
      <c r="S198" s="333">
        <f>(40-$Q$198)/3</f>
        <v>10</v>
      </c>
      <c r="T198" s="333">
        <f>(40-$Q$198)/3</f>
        <v>10</v>
      </c>
      <c r="V198" s="383">
        <f t="shared" ref="V198:AA198" si="170">V195-U195</f>
        <v>1313</v>
      </c>
      <c r="W198" s="383">
        <f t="shared" si="170"/>
        <v>67</v>
      </c>
      <c r="X198" s="383">
        <f t="shared" si="170"/>
        <v>60</v>
      </c>
      <c r="Y198" s="383">
        <f t="shared" si="170"/>
        <v>55</v>
      </c>
      <c r="Z198" s="383">
        <f t="shared" si="170"/>
        <v>49</v>
      </c>
      <c r="AA198" s="383">
        <f t="shared" si="170"/>
        <v>40</v>
      </c>
      <c r="AB198" s="333">
        <v>37</v>
      </c>
      <c r="AC198" s="333">
        <v>32</v>
      </c>
      <c r="AD198" s="333">
        <v>28</v>
      </c>
    </row>
    <row r="199" spans="2:30" s="278" customFormat="1" ht="11.25" customHeight="1">
      <c r="C199" s="298" t="s">
        <v>387</v>
      </c>
      <c r="F199" s="297">
        <f t="shared" ref="F199:T199" si="171">F198/F194</f>
        <v>3.3046926635822869E-3</v>
      </c>
      <c r="G199" s="297">
        <f t="shared" si="171"/>
        <v>3.3046926635822869E-3</v>
      </c>
      <c r="H199" s="297">
        <f t="shared" si="171"/>
        <v>3.3715441672285905E-3</v>
      </c>
      <c r="I199" s="297">
        <f t="shared" si="171"/>
        <v>3.1825414867015229E-3</v>
      </c>
      <c r="J199" s="297">
        <f t="shared" si="171"/>
        <v>3.0099560083352629E-3</v>
      </c>
      <c r="K199" s="297">
        <f t="shared" si="171"/>
        <v>3.2310177705977385E-3</v>
      </c>
      <c r="L199" s="297">
        <f t="shared" si="171"/>
        <v>3.2310177705977385E-3</v>
      </c>
      <c r="M199" s="297">
        <f t="shared" si="171"/>
        <v>2.7605244996549345E-3</v>
      </c>
      <c r="N199" s="297">
        <f t="shared" si="171"/>
        <v>2.7611596870685687E-3</v>
      </c>
      <c r="O199" s="297">
        <f t="shared" si="171"/>
        <v>2.9905682079595123E-3</v>
      </c>
      <c r="P199" s="297">
        <f t="shared" si="171"/>
        <v>2.7605244996549345E-3</v>
      </c>
      <c r="Q199" s="297">
        <f t="shared" si="171"/>
        <v>2.3009664058904738E-3</v>
      </c>
      <c r="R199" s="297">
        <f t="shared" si="171"/>
        <v>2.3009664058904738E-3</v>
      </c>
      <c r="S199" s="297">
        <f t="shared" si="171"/>
        <v>2.3009664058904738E-3</v>
      </c>
      <c r="T199" s="297">
        <f t="shared" si="171"/>
        <v>2.3009664058904738E-3</v>
      </c>
      <c r="V199" s="297">
        <f t="shared" ref="V199:AD199" si="172">V198/V194</f>
        <v>0.2706100577081616</v>
      </c>
      <c r="W199" s="297">
        <f t="shared" si="172"/>
        <v>1.4760960564000881E-2</v>
      </c>
      <c r="X199" s="297">
        <f t="shared" si="172"/>
        <v>1.3486176668914362E-2</v>
      </c>
      <c r="Y199" s="297">
        <f t="shared" si="172"/>
        <v>1.269328409877683E-2</v>
      </c>
      <c r="Z199" s="297">
        <f t="shared" si="172"/>
        <v>1.1272141706924315E-2</v>
      </c>
      <c r="AA199" s="297">
        <f t="shared" si="172"/>
        <v>9.2038656235618951E-3</v>
      </c>
      <c r="AB199" s="297">
        <f t="shared" si="172"/>
        <v>8.5135757017947532E-3</v>
      </c>
      <c r="AC199" s="297">
        <f t="shared" si="172"/>
        <v>7.3630924988495172E-3</v>
      </c>
      <c r="AD199" s="297">
        <f t="shared" si="172"/>
        <v>6.4427059364933273E-3</v>
      </c>
    </row>
    <row r="200" spans="2:30" ht="11.25" customHeight="1">
      <c r="F200" s="383"/>
      <c r="G200" s="383"/>
      <c r="H200" s="383"/>
      <c r="I200" s="383"/>
      <c r="J200" s="383"/>
      <c r="K200" s="383"/>
      <c r="L200" s="383"/>
      <c r="M200" s="383"/>
      <c r="N200" s="383"/>
      <c r="O200" s="383"/>
      <c r="P200" s="383"/>
    </row>
    <row r="201" spans="2:30" s="255" customFormat="1" ht="11.25" customHeight="1">
      <c r="B201" s="258" t="s">
        <v>133</v>
      </c>
      <c r="C201" s="259" t="s">
        <v>374</v>
      </c>
      <c r="D201" s="259"/>
      <c r="E201" s="258"/>
      <c r="F201" s="258"/>
      <c r="G201" s="258"/>
      <c r="H201" s="258"/>
      <c r="I201" s="258"/>
      <c r="J201" s="258"/>
      <c r="K201" s="258"/>
      <c r="L201" s="258"/>
      <c r="M201" s="258"/>
      <c r="N201" s="258"/>
      <c r="O201" s="258"/>
      <c r="P201" s="258"/>
      <c r="Q201" s="258"/>
      <c r="R201" s="258"/>
      <c r="S201" s="258"/>
      <c r="T201" s="258"/>
      <c r="U201" s="280"/>
      <c r="V201" s="258"/>
      <c r="W201" s="258"/>
      <c r="X201" s="258"/>
      <c r="Y201" s="258"/>
      <c r="Z201" s="258"/>
      <c r="AA201" s="258"/>
      <c r="AB201" s="258"/>
      <c r="AC201" s="258"/>
      <c r="AD201" s="258"/>
    </row>
    <row r="202" spans="2:30" ht="11.25" customHeight="1">
      <c r="F202" s="383"/>
      <c r="G202" s="383"/>
      <c r="H202" s="383"/>
      <c r="I202" s="383"/>
      <c r="J202" s="383"/>
      <c r="K202" s="383"/>
      <c r="L202" s="383"/>
      <c r="M202" s="383"/>
      <c r="N202" s="383"/>
      <c r="O202" s="383"/>
      <c r="P202" s="383"/>
    </row>
    <row r="203" spans="2:30" ht="11.25" customHeight="1">
      <c r="C203" s="253" t="s">
        <v>376</v>
      </c>
      <c r="F203" s="383"/>
      <c r="G203" s="383"/>
      <c r="H203" s="391">
        <f t="shared" ref="H203:Q203" si="173">365/(SUM(E13:H13)/H121)</f>
        <v>11.508818974086317</v>
      </c>
      <c r="I203" s="391">
        <f t="shared" si="173"/>
        <v>6.9408629258805732</v>
      </c>
      <c r="J203" s="391">
        <f t="shared" si="173"/>
        <v>9.8608221423617675</v>
      </c>
      <c r="K203" s="391">
        <f t="shared" si="173"/>
        <v>18.72081818580001</v>
      </c>
      <c r="L203" s="391">
        <f t="shared" si="173"/>
        <v>30.783132530120479</v>
      </c>
      <c r="M203" s="391">
        <f t="shared" si="173"/>
        <v>47.842313862413889</v>
      </c>
      <c r="N203" s="391">
        <f t="shared" si="173"/>
        <v>44.846501747413143</v>
      </c>
      <c r="O203" s="391">
        <f t="shared" si="173"/>
        <v>31.418605822504283</v>
      </c>
      <c r="P203" s="391">
        <f t="shared" si="173"/>
        <v>24.640537468539417</v>
      </c>
      <c r="Q203" s="391">
        <f t="shared" si="173"/>
        <v>25.971565616480902</v>
      </c>
      <c r="R203" s="394">
        <v>22</v>
      </c>
      <c r="S203" s="394">
        <v>19</v>
      </c>
      <c r="T203" s="394">
        <v>17</v>
      </c>
      <c r="U203" s="391"/>
      <c r="V203" s="391">
        <f t="shared" ref="V203:AA203" si="174">365/(V13/V121)</f>
        <v>12.944632648740207</v>
      </c>
      <c r="W203" s="391">
        <f t="shared" si="174"/>
        <v>12.601748057041862</v>
      </c>
      <c r="X203" s="391">
        <f t="shared" si="174"/>
        <v>11.508818974086317</v>
      </c>
      <c r="Y203" s="391">
        <f t="shared" si="174"/>
        <v>30.783132530120479</v>
      </c>
      <c r="Z203" s="391">
        <f t="shared" si="174"/>
        <v>24.640537468539417</v>
      </c>
      <c r="AA203" s="391">
        <f t="shared" si="174"/>
        <v>17</v>
      </c>
      <c r="AB203" s="394">
        <v>14</v>
      </c>
      <c r="AC203" s="394">
        <f>AB203-1</f>
        <v>13</v>
      </c>
      <c r="AD203" s="394">
        <f>AC203-1</f>
        <v>12</v>
      </c>
    </row>
    <row r="204" spans="2:30" ht="11.25" customHeight="1">
      <c r="C204" s="253" t="s">
        <v>378</v>
      </c>
      <c r="F204" s="383"/>
      <c r="G204" s="383"/>
      <c r="H204" s="391">
        <f t="shared" ref="H204:Q204" si="175">365/(SUM(E15:H15)/H122)</f>
        <v>43.703786440299346</v>
      </c>
      <c r="I204" s="391">
        <f t="shared" si="175"/>
        <v>45.118992606284664</v>
      </c>
      <c r="J204" s="391">
        <f t="shared" si="175"/>
        <v>53.536323145446168</v>
      </c>
      <c r="K204" s="391">
        <f t="shared" si="175"/>
        <v>74.267414778742335</v>
      </c>
      <c r="L204" s="391">
        <f t="shared" si="175"/>
        <v>107.89089755788139</v>
      </c>
      <c r="M204" s="391">
        <f t="shared" si="175"/>
        <v>147.08955223880596</v>
      </c>
      <c r="N204" s="391">
        <f t="shared" si="175"/>
        <v>101.79816513761467</v>
      </c>
      <c r="O204" s="391">
        <f t="shared" si="175"/>
        <v>77.946109123434709</v>
      </c>
      <c r="P204" s="391">
        <f t="shared" si="175"/>
        <v>62.344917463075589</v>
      </c>
      <c r="Q204" s="391">
        <f t="shared" si="175"/>
        <v>54.642556770395288</v>
      </c>
      <c r="R204" s="394">
        <v>41</v>
      </c>
      <c r="S204" s="394">
        <v>36</v>
      </c>
      <c r="T204" s="394">
        <v>34</v>
      </c>
      <c r="U204" s="391"/>
      <c r="V204" s="391">
        <f t="shared" ref="V204:AA204" si="176">365/(V15/V122)</f>
        <v>48.786344568204832</v>
      </c>
      <c r="W204" s="391">
        <f t="shared" si="176"/>
        <v>38.629526163103037</v>
      </c>
      <c r="X204" s="391">
        <f t="shared" si="176"/>
        <v>43.703786440299346</v>
      </c>
      <c r="Y204" s="391">
        <f t="shared" si="176"/>
        <v>107.89089755788139</v>
      </c>
      <c r="Z204" s="391">
        <f t="shared" si="176"/>
        <v>62.344917463075589</v>
      </c>
      <c r="AA204" s="391">
        <f t="shared" si="176"/>
        <v>34</v>
      </c>
      <c r="AB204" s="394">
        <v>30</v>
      </c>
      <c r="AC204" s="394">
        <v>30</v>
      </c>
      <c r="AD204" s="394">
        <v>30</v>
      </c>
    </row>
    <row r="205" spans="2:30" ht="11.25" customHeight="1">
      <c r="C205" s="253" t="s">
        <v>377</v>
      </c>
      <c r="F205" s="383"/>
      <c r="G205" s="383"/>
      <c r="H205" s="391">
        <f t="shared" ref="H205:Q205" si="177">365/(SUM(E15:H21)/H136)</f>
        <v>33.265729314181669</v>
      </c>
      <c r="I205" s="391">
        <f t="shared" si="177"/>
        <v>30.15055951169888</v>
      </c>
      <c r="J205" s="391">
        <f t="shared" si="177"/>
        <v>24.873582744044562</v>
      </c>
      <c r="K205" s="391">
        <f t="shared" si="177"/>
        <v>30.864776243476655</v>
      </c>
      <c r="L205" s="391">
        <f t="shared" si="177"/>
        <v>31.715787753323163</v>
      </c>
      <c r="M205" s="391">
        <f t="shared" si="177"/>
        <v>41.882257460357103</v>
      </c>
      <c r="N205" s="391">
        <f t="shared" si="177"/>
        <v>45.699689528648037</v>
      </c>
      <c r="O205" s="391">
        <f t="shared" si="177"/>
        <v>40.483960455966916</v>
      </c>
      <c r="P205" s="391">
        <f t="shared" si="177"/>
        <v>42.304003619090707</v>
      </c>
      <c r="Q205" s="391">
        <f t="shared" si="177"/>
        <v>44.167516625188689</v>
      </c>
      <c r="R205" s="394">
        <v>40</v>
      </c>
      <c r="S205" s="394">
        <v>37</v>
      </c>
      <c r="T205" s="394">
        <v>35</v>
      </c>
      <c r="U205" s="391"/>
      <c r="V205" s="391">
        <f t="shared" ref="V205:AA205" si="178">365/((SUM(V15:V21)/V136))</f>
        <v>30.834391229082517</v>
      </c>
      <c r="W205" s="391">
        <f t="shared" si="178"/>
        <v>29.449755864376687</v>
      </c>
      <c r="X205" s="391">
        <f t="shared" si="178"/>
        <v>33.265729314181669</v>
      </c>
      <c r="Y205" s="391">
        <f t="shared" si="178"/>
        <v>31.715787753323163</v>
      </c>
      <c r="Z205" s="391">
        <f t="shared" si="178"/>
        <v>42.304003619090707</v>
      </c>
      <c r="AA205" s="391">
        <f t="shared" si="178"/>
        <v>35.000000000000007</v>
      </c>
      <c r="AB205" s="394">
        <v>35</v>
      </c>
      <c r="AC205" s="394">
        <v>35</v>
      </c>
      <c r="AD205" s="394">
        <v>35</v>
      </c>
    </row>
    <row r="206" spans="2:30" s="279" customFormat="1" ht="11.25" customHeight="1">
      <c r="C206" s="289" t="s">
        <v>859</v>
      </c>
      <c r="F206" s="602"/>
      <c r="G206" s="602"/>
      <c r="H206" s="603">
        <f t="shared" ref="H206:T206" si="179">H203+H204-H205</f>
        <v>21.946876100203994</v>
      </c>
      <c r="I206" s="603">
        <f t="shared" si="179"/>
        <v>21.909296020466357</v>
      </c>
      <c r="J206" s="603">
        <f t="shared" si="179"/>
        <v>38.523562543763376</v>
      </c>
      <c r="K206" s="603">
        <f t="shared" si="179"/>
        <v>62.123456721065693</v>
      </c>
      <c r="L206" s="603">
        <f t="shared" si="179"/>
        <v>106.95824233467872</v>
      </c>
      <c r="M206" s="603">
        <f t="shared" si="179"/>
        <v>153.04960864086274</v>
      </c>
      <c r="N206" s="603">
        <f t="shared" si="179"/>
        <v>100.94497735637978</v>
      </c>
      <c r="O206" s="603">
        <f t="shared" si="179"/>
        <v>68.880754489972077</v>
      </c>
      <c r="P206" s="603">
        <f t="shared" si="179"/>
        <v>44.681451312524302</v>
      </c>
      <c r="Q206" s="603">
        <f>Q203+Q204-Q205</f>
        <v>36.446605761687501</v>
      </c>
      <c r="R206" s="603">
        <f t="shared" si="179"/>
        <v>23</v>
      </c>
      <c r="S206" s="603">
        <f t="shared" si="179"/>
        <v>18</v>
      </c>
      <c r="T206" s="603">
        <f t="shared" si="179"/>
        <v>16</v>
      </c>
      <c r="U206" s="391"/>
      <c r="V206" s="603">
        <f t="shared" ref="V206:AD206" si="180">V203+V204-V205</f>
        <v>30.896585987862519</v>
      </c>
      <c r="W206" s="603">
        <f t="shared" si="180"/>
        <v>21.78151835576821</v>
      </c>
      <c r="X206" s="603">
        <f t="shared" si="180"/>
        <v>21.946876100203994</v>
      </c>
      <c r="Y206" s="603">
        <f t="shared" si="180"/>
        <v>106.95824233467872</v>
      </c>
      <c r="Z206" s="603">
        <f t="shared" si="180"/>
        <v>44.681451312524302</v>
      </c>
      <c r="AA206" s="603">
        <f t="shared" si="180"/>
        <v>15.999999999999993</v>
      </c>
      <c r="AB206" s="603">
        <f t="shared" si="180"/>
        <v>9</v>
      </c>
      <c r="AC206" s="603">
        <f t="shared" si="180"/>
        <v>8</v>
      </c>
      <c r="AD206" s="603">
        <f t="shared" si="180"/>
        <v>7</v>
      </c>
    </row>
    <row r="207" spans="2:30" ht="11.25" customHeight="1">
      <c r="F207" s="383"/>
      <c r="G207" s="383"/>
      <c r="H207" s="391"/>
      <c r="I207" s="391"/>
      <c r="J207" s="391"/>
      <c r="K207" s="391"/>
      <c r="L207" s="391"/>
      <c r="M207" s="391"/>
      <c r="N207" s="391"/>
      <c r="O207" s="391"/>
      <c r="P207" s="391"/>
      <c r="Q207" s="391"/>
      <c r="R207" s="391"/>
      <c r="S207" s="391"/>
      <c r="T207" s="391"/>
      <c r="U207" s="391"/>
      <c r="V207" s="391"/>
      <c r="W207" s="391"/>
      <c r="X207" s="391"/>
      <c r="Y207" s="391"/>
      <c r="Z207" s="391"/>
    </row>
    <row r="208" spans="2:30" s="278" customFormat="1" ht="11.25" customHeight="1">
      <c r="C208" s="392" t="s">
        <v>388</v>
      </c>
      <c r="F208" s="600"/>
      <c r="G208" s="600"/>
      <c r="H208" s="601"/>
      <c r="I208" s="601"/>
      <c r="J208" s="601"/>
      <c r="K208" s="601"/>
      <c r="L208" s="601"/>
      <c r="M208" s="601"/>
      <c r="N208" s="601"/>
      <c r="O208" s="601"/>
      <c r="P208" s="601"/>
      <c r="Q208" s="601"/>
      <c r="R208" s="601"/>
      <c r="S208" s="601"/>
      <c r="T208" s="601"/>
      <c r="U208" s="391"/>
      <c r="V208" s="601"/>
      <c r="W208" s="601"/>
      <c r="X208" s="601"/>
      <c r="Y208" s="601"/>
      <c r="Z208" s="601"/>
    </row>
    <row r="209" spans="2:44" ht="11.25" customHeight="1">
      <c r="C209" s="253" t="s">
        <v>311</v>
      </c>
      <c r="E209" s="257"/>
      <c r="F209" s="257"/>
      <c r="G209" s="257"/>
      <c r="H209" s="257">
        <f t="shared" ref="H209:Q209" si="181">H123/SUM(E13:H13)</f>
        <v>1.881689359439654E-2</v>
      </c>
      <c r="I209" s="257">
        <f t="shared" si="181"/>
        <v>1.9736368220125332E-2</v>
      </c>
      <c r="J209" s="257">
        <f t="shared" si="181"/>
        <v>2.4147279490574367E-2</v>
      </c>
      <c r="K209" s="257">
        <f t="shared" si="181"/>
        <v>2.4790854539879989E-2</v>
      </c>
      <c r="L209" s="257">
        <f t="shared" si="181"/>
        <v>4.135460761966786E-2</v>
      </c>
      <c r="M209" s="257">
        <f t="shared" si="181"/>
        <v>4.5578937435123146E-2</v>
      </c>
      <c r="N209" s="257">
        <f t="shared" si="181"/>
        <v>4.4267799629959567E-2</v>
      </c>
      <c r="O209" s="257">
        <f t="shared" si="181"/>
        <v>3.6113629495315804E-2</v>
      </c>
      <c r="P209" s="257">
        <f t="shared" si="181"/>
        <v>3.0242753917350006E-2</v>
      </c>
      <c r="Q209" s="257">
        <f t="shared" si="181"/>
        <v>2.6294903205769694E-2</v>
      </c>
      <c r="R209" s="393">
        <v>0.02</v>
      </c>
      <c r="S209" s="393">
        <v>1.6E-2</v>
      </c>
      <c r="T209" s="393">
        <v>1.2999999999999999E-2</v>
      </c>
      <c r="V209" s="257">
        <f t="shared" ref="V209:AA209" si="182">V123/V13</f>
        <v>2.7868939233538007E-2</v>
      </c>
      <c r="W209" s="257">
        <f t="shared" si="182"/>
        <v>1.774689489867564E-2</v>
      </c>
      <c r="X209" s="257">
        <f t="shared" si="182"/>
        <v>1.881689359439654E-2</v>
      </c>
      <c r="Y209" s="257">
        <f t="shared" si="182"/>
        <v>4.135460761966786E-2</v>
      </c>
      <c r="Z209" s="257">
        <f t="shared" si="182"/>
        <v>3.0242753917350006E-2</v>
      </c>
      <c r="AA209" s="257">
        <f t="shared" si="182"/>
        <v>1.2999999999999999E-2</v>
      </c>
      <c r="AB209" s="393">
        <v>1.2E-2</v>
      </c>
      <c r="AC209" s="393">
        <v>1.2E-2</v>
      </c>
      <c r="AD209" s="393">
        <v>1.2E-2</v>
      </c>
    </row>
    <row r="210" spans="2:44" ht="11.25" customHeight="1">
      <c r="C210" s="253" t="s">
        <v>381</v>
      </c>
      <c r="F210" s="383"/>
      <c r="G210" s="383"/>
      <c r="H210" s="257">
        <f t="shared" ref="H210:Q210" si="183">H141/SUM(E13:H13)</f>
        <v>1.3083982523867865E-2</v>
      </c>
      <c r="I210" s="257">
        <f t="shared" si="183"/>
        <v>1.2917477010252348E-2</v>
      </c>
      <c r="J210" s="257">
        <f t="shared" si="183"/>
        <v>1.7590315869112919E-2</v>
      </c>
      <c r="K210" s="257">
        <f t="shared" si="183"/>
        <v>4.134729096404012E-2</v>
      </c>
      <c r="L210" s="257">
        <f t="shared" si="183"/>
        <v>4.7150765223054378E-2</v>
      </c>
      <c r="M210" s="257">
        <f t="shared" si="183"/>
        <v>6.8321222987638014E-2</v>
      </c>
      <c r="N210" s="257">
        <f t="shared" si="183"/>
        <v>5.6122798602069486E-2</v>
      </c>
      <c r="O210" s="257">
        <f t="shared" si="183"/>
        <v>5.454820187367785E-2</v>
      </c>
      <c r="P210" s="257">
        <f t="shared" si="183"/>
        <v>2.2732808313712754E-2</v>
      </c>
      <c r="Q210" s="257">
        <f t="shared" si="183"/>
        <v>2.1153248904379033E-2</v>
      </c>
      <c r="R210" s="393">
        <v>0.03</v>
      </c>
      <c r="S210" s="393">
        <v>0.03</v>
      </c>
      <c r="T210" s="393">
        <v>0.03</v>
      </c>
      <c r="V210" s="257">
        <f t="shared" ref="V210:AA210" si="184">V141/V13</f>
        <v>1.5244547956807113E-2</v>
      </c>
      <c r="W210" s="257">
        <f t="shared" si="184"/>
        <v>1.3388857952206861E-2</v>
      </c>
      <c r="X210" s="257">
        <f t="shared" si="184"/>
        <v>1.3083982523867865E-2</v>
      </c>
      <c r="Y210" s="257">
        <f t="shared" si="184"/>
        <v>4.7150765223054378E-2</v>
      </c>
      <c r="Z210" s="257">
        <f t="shared" si="184"/>
        <v>2.2732808313712754E-2</v>
      </c>
      <c r="AA210" s="257">
        <f t="shared" si="184"/>
        <v>1.4228000907643822E-2</v>
      </c>
      <c r="AB210" s="393">
        <v>2.5000000000000001E-2</v>
      </c>
      <c r="AC210" s="393">
        <v>2.5000000000000001E-2</v>
      </c>
      <c r="AD210" s="393">
        <v>2.5000000000000001E-2</v>
      </c>
    </row>
    <row r="211" spans="2:44" ht="11.25" customHeight="1">
      <c r="F211" s="383"/>
      <c r="G211" s="383"/>
      <c r="H211" s="383"/>
      <c r="I211" s="383"/>
      <c r="J211" s="383"/>
      <c r="K211" s="383"/>
      <c r="L211" s="383"/>
      <c r="M211" s="383"/>
      <c r="N211" s="383"/>
      <c r="O211" s="383"/>
      <c r="P211" s="383"/>
      <c r="Q211" s="383"/>
    </row>
    <row r="212" spans="2:44" ht="11.25" customHeight="1">
      <c r="C212" s="381" t="s">
        <v>317</v>
      </c>
      <c r="E212" s="383"/>
      <c r="F212" s="383">
        <f t="shared" ref="F212:Q212" si="185">F137-E137</f>
        <v>120</v>
      </c>
      <c r="G212" s="383">
        <f t="shared" si="185"/>
        <v>-611</v>
      </c>
      <c r="H212" s="383">
        <f t="shared" si="185"/>
        <v>-696</v>
      </c>
      <c r="I212" s="383">
        <f t="shared" si="185"/>
        <v>490</v>
      </c>
      <c r="J212" s="383">
        <f t="shared" si="185"/>
        <v>-359</v>
      </c>
      <c r="K212" s="383">
        <f t="shared" si="185"/>
        <v>-43</v>
      </c>
      <c r="L212" s="383">
        <f t="shared" si="185"/>
        <v>-74</v>
      </c>
      <c r="M212" s="383">
        <f t="shared" si="185"/>
        <v>669</v>
      </c>
      <c r="N212" s="383">
        <f t="shared" si="185"/>
        <v>1458</v>
      </c>
      <c r="O212" s="383">
        <f t="shared" si="185"/>
        <v>-597</v>
      </c>
      <c r="P212" s="383">
        <f t="shared" si="185"/>
        <v>-9</v>
      </c>
      <c r="Q212" s="383">
        <f t="shared" si="185"/>
        <v>2550</v>
      </c>
      <c r="R212" s="417">
        <v>1250</v>
      </c>
      <c r="S212" s="417">
        <v>-500</v>
      </c>
      <c r="T212" s="417">
        <v>-400</v>
      </c>
      <c r="W212" s="383">
        <f>W137-V137</f>
        <v>441</v>
      </c>
      <c r="X212" s="383">
        <f>X137-W137</f>
        <v>438</v>
      </c>
      <c r="Y212" s="383">
        <f>Y137-X137</f>
        <v>14</v>
      </c>
      <c r="Z212" s="383">
        <f>Z137-Y137</f>
        <v>1521</v>
      </c>
      <c r="AA212" s="383">
        <f>AA137-Z137</f>
        <v>2900</v>
      </c>
      <c r="AB212" s="417">
        <v>-750</v>
      </c>
      <c r="AC212" s="417">
        <v>400</v>
      </c>
      <c r="AD212" s="417">
        <v>400</v>
      </c>
    </row>
    <row r="213" spans="2:44" ht="11.25" customHeight="1">
      <c r="C213" s="381" t="s">
        <v>1745</v>
      </c>
      <c r="E213" s="383"/>
      <c r="F213" s="383">
        <f t="shared" ref="F213:Q213" si="186">F153-E153</f>
        <v>60</v>
      </c>
      <c r="G213" s="383">
        <f t="shared" si="186"/>
        <v>21</v>
      </c>
      <c r="H213" s="383">
        <f t="shared" si="186"/>
        <v>57</v>
      </c>
      <c r="I213" s="383">
        <f t="shared" si="186"/>
        <v>212</v>
      </c>
      <c r="J213" s="383">
        <f t="shared" si="186"/>
        <v>182</v>
      </c>
      <c r="K213" s="383">
        <f t="shared" si="186"/>
        <v>165</v>
      </c>
      <c r="L213" s="383">
        <f t="shared" si="186"/>
        <v>140</v>
      </c>
      <c r="M213" s="383">
        <f t="shared" si="186"/>
        <v>134</v>
      </c>
      <c r="N213" s="383">
        <f t="shared" si="186"/>
        <v>76</v>
      </c>
      <c r="O213" s="383">
        <f t="shared" si="186"/>
        <v>32</v>
      </c>
      <c r="P213" s="383">
        <f t="shared" si="186"/>
        <v>65</v>
      </c>
      <c r="Q213" s="383">
        <f t="shared" si="186"/>
        <v>135</v>
      </c>
      <c r="R213" s="415">
        <f>AVERAGE(F213,J213,N213)</f>
        <v>106</v>
      </c>
      <c r="S213" s="415">
        <f>AVERAGE(G213,K213,O213)</f>
        <v>72.666666666666671</v>
      </c>
      <c r="T213" s="415">
        <f>AVERAGE(H213,L213,P213)</f>
        <v>87.333333333333329</v>
      </c>
      <c r="U213" s="255"/>
      <c r="V213" s="383"/>
      <c r="W213" s="383">
        <f>W153-V153</f>
        <v>222</v>
      </c>
      <c r="X213" s="383">
        <f>X153-W153</f>
        <v>271</v>
      </c>
      <c r="Y213" s="383">
        <f>Y153-X153</f>
        <v>699</v>
      </c>
      <c r="Z213" s="383">
        <f>Z153-Y153</f>
        <v>307</v>
      </c>
      <c r="AA213" s="383">
        <f>AA153-Z153</f>
        <v>401</v>
      </c>
      <c r="AB213" s="417">
        <v>400</v>
      </c>
      <c r="AC213" s="417">
        <v>350</v>
      </c>
      <c r="AD213" s="417">
        <v>350</v>
      </c>
    </row>
    <row r="214" spans="2:44" ht="11.25" customHeight="1">
      <c r="F214" s="383"/>
      <c r="G214" s="383"/>
      <c r="H214" s="383"/>
      <c r="I214" s="383"/>
      <c r="J214" s="383"/>
      <c r="K214" s="383"/>
      <c r="L214" s="383"/>
      <c r="M214" s="383"/>
      <c r="N214" s="383"/>
      <c r="O214" s="383"/>
      <c r="P214" s="383"/>
      <c r="Q214" s="255"/>
      <c r="U214" s="255"/>
      <c r="V214" s="255"/>
      <c r="W214" s="255"/>
      <c r="X214" s="255"/>
      <c r="Y214" s="255"/>
      <c r="Z214" s="255"/>
    </row>
    <row r="215" spans="2:44" s="255" customFormat="1" ht="11.25" customHeight="1">
      <c r="B215" s="258" t="s">
        <v>133</v>
      </c>
      <c r="C215" s="259" t="s">
        <v>338</v>
      </c>
      <c r="D215" s="259"/>
      <c r="E215" s="258"/>
      <c r="F215" s="258"/>
      <c r="G215" s="258"/>
      <c r="H215" s="258"/>
      <c r="I215" s="258"/>
      <c r="J215" s="258"/>
      <c r="K215" s="258"/>
      <c r="L215" s="258"/>
      <c r="M215" s="258"/>
      <c r="N215" s="258"/>
      <c r="O215" s="258"/>
      <c r="P215" s="258"/>
      <c r="Q215" s="258"/>
      <c r="R215" s="258"/>
      <c r="S215" s="258"/>
      <c r="T215" s="258"/>
      <c r="U215" s="280"/>
      <c r="V215" s="258"/>
      <c r="W215" s="258"/>
      <c r="X215" s="258"/>
      <c r="Y215" s="258"/>
      <c r="Z215" s="258"/>
      <c r="AA215" s="258"/>
      <c r="AB215" s="258"/>
      <c r="AC215" s="258"/>
      <c r="AD215" s="258"/>
    </row>
    <row r="216" spans="2:44" ht="11.25" customHeight="1">
      <c r="U216" s="280"/>
      <c r="V216" s="383"/>
      <c r="W216" s="383"/>
      <c r="X216" s="383"/>
      <c r="Y216" s="383"/>
      <c r="Z216" s="383"/>
      <c r="AA216" s="383"/>
      <c r="AB216" s="383"/>
      <c r="AC216" s="383"/>
      <c r="AD216" s="383"/>
    </row>
    <row r="217" spans="2:44" ht="11.25" customHeight="1" outlineLevel="1">
      <c r="C217" s="253" t="s">
        <v>304</v>
      </c>
      <c r="E217" s="390"/>
      <c r="F217" s="390"/>
      <c r="G217" s="390"/>
      <c r="H217" s="390"/>
      <c r="I217" s="390"/>
      <c r="J217" s="390"/>
      <c r="K217" s="390"/>
      <c r="L217" s="390"/>
      <c r="M217" s="390"/>
      <c r="N217" s="390"/>
      <c r="O217" s="390"/>
      <c r="P217" s="390"/>
      <c r="Q217" s="390"/>
      <c r="R217" s="255">
        <f ca="1">R38</f>
        <v>-194.17380985330681</v>
      </c>
      <c r="S217" s="255">
        <f ca="1">S38</f>
        <v>110.92218126856557</v>
      </c>
      <c r="T217" s="255">
        <f ca="1">T38</f>
        <v>-48.014982680563094</v>
      </c>
      <c r="U217" s="280"/>
      <c r="V217" s="277">
        <v>2143</v>
      </c>
      <c r="W217" s="277">
        <v>2122</v>
      </c>
      <c r="X217" s="255">
        <f t="shared" ref="X217:AA230" si="187">SUMIF($AF$6:$AQ$6,X$6,$AF217:$AQ217)</f>
        <v>3009</v>
      </c>
      <c r="Y217" s="255">
        <f t="shared" si="187"/>
        <v>-7069</v>
      </c>
      <c r="Z217" s="255">
        <f t="shared" si="187"/>
        <v>-1964</v>
      </c>
      <c r="AA217" s="255">
        <f ca="1">AA38</f>
        <v>-1508.2666112653042</v>
      </c>
      <c r="AB217" s="255">
        <f ca="1">AB38</f>
        <v>1594.8190966924194</v>
      </c>
      <c r="AC217" s="255">
        <f ca="1">AC38</f>
        <v>3131.6254943793165</v>
      </c>
      <c r="AD217" s="255">
        <f ca="1">AD38</f>
        <v>2855.8902463976633</v>
      </c>
      <c r="AI217" s="277">
        <v>3009</v>
      </c>
      <c r="AM217" s="277">
        <v>-7069</v>
      </c>
      <c r="AQ217" s="277">
        <v>-1964</v>
      </c>
      <c r="AR217" s="277">
        <v>0</v>
      </c>
    </row>
    <row r="218" spans="2:44" ht="11.25" customHeight="1" outlineLevel="1">
      <c r="C218" s="253" t="s">
        <v>350</v>
      </c>
      <c r="E218" s="390"/>
      <c r="F218" s="390"/>
      <c r="G218" s="390"/>
      <c r="H218" s="390"/>
      <c r="I218" s="390"/>
      <c r="J218" s="390"/>
      <c r="K218" s="390"/>
      <c r="L218" s="390"/>
      <c r="M218" s="390"/>
      <c r="N218" s="390"/>
      <c r="O218" s="390"/>
      <c r="P218" s="390"/>
      <c r="Q218" s="390"/>
      <c r="R218" s="254">
        <f ca="1">R37</f>
        <v>0</v>
      </c>
      <c r="S218" s="254">
        <f ca="1">S37</f>
        <v>0</v>
      </c>
      <c r="T218" s="254">
        <f ca="1">T37</f>
        <v>0</v>
      </c>
      <c r="U218" s="280"/>
      <c r="V218" s="277">
        <v>957</v>
      </c>
      <c r="W218" s="277">
        <v>512</v>
      </c>
      <c r="X218" s="255">
        <f t="shared" si="187"/>
        <v>882</v>
      </c>
      <c r="Y218" s="255">
        <f t="shared" si="187"/>
        <v>-1741</v>
      </c>
      <c r="Z218" s="255">
        <f t="shared" si="187"/>
        <v>-583</v>
      </c>
      <c r="AA218" s="255">
        <f t="shared" si="187"/>
        <v>0</v>
      </c>
      <c r="AB218" s="254">
        <f ca="1">AB37</f>
        <v>0</v>
      </c>
      <c r="AC218" s="254">
        <f ca="1">AC37</f>
        <v>0</v>
      </c>
      <c r="AD218" s="254">
        <f ca="1">AD37</f>
        <v>0</v>
      </c>
      <c r="AI218" s="277">
        <v>882</v>
      </c>
      <c r="AM218" s="277">
        <v>-1741</v>
      </c>
      <c r="AQ218" s="277">
        <v>-583</v>
      </c>
      <c r="AR218" s="277"/>
    </row>
    <row r="219" spans="2:44" ht="11.25" customHeight="1" outlineLevel="1">
      <c r="C219" s="253" t="s">
        <v>291</v>
      </c>
      <c r="E219" s="390"/>
      <c r="F219" s="390"/>
      <c r="G219" s="390"/>
      <c r="H219" s="390"/>
      <c r="I219" s="390"/>
      <c r="J219" s="390"/>
      <c r="K219" s="390"/>
      <c r="L219" s="390"/>
      <c r="M219" s="390"/>
      <c r="N219" s="390"/>
      <c r="O219" s="390"/>
      <c r="P219" s="390"/>
      <c r="Q219" s="390"/>
      <c r="R219" s="255">
        <f>R187+R198</f>
        <v>661.26357327851997</v>
      </c>
      <c r="S219" s="255">
        <f>S187+S198</f>
        <v>751.5653991778006</v>
      </c>
      <c r="T219" s="255">
        <f>T187+T198</f>
        <v>781.77579999999989</v>
      </c>
      <c r="U219" s="280"/>
      <c r="V219" s="277">
        <v>2096</v>
      </c>
      <c r="W219" s="277">
        <v>2165</v>
      </c>
      <c r="X219" s="255">
        <f t="shared" si="187"/>
        <v>2288</v>
      </c>
      <c r="Y219" s="255">
        <f t="shared" si="187"/>
        <v>2488</v>
      </c>
      <c r="Z219" s="255">
        <f t="shared" si="187"/>
        <v>2485</v>
      </c>
      <c r="AA219" s="255">
        <f>AA187+AA198</f>
        <v>2805.6047724563205</v>
      </c>
      <c r="AB219" s="255">
        <f>AB187+AB198</f>
        <v>2822.4789999999994</v>
      </c>
      <c r="AC219" s="255">
        <f>AC187+AC198</f>
        <v>3173.047</v>
      </c>
      <c r="AD219" s="255">
        <f>AD187+AD198</f>
        <v>3259.096</v>
      </c>
      <c r="AI219" s="277">
        <v>2288</v>
      </c>
      <c r="AM219" s="277">
        <v>2488</v>
      </c>
      <c r="AQ219" s="277">
        <v>2485</v>
      </c>
      <c r="AR219" s="277"/>
    </row>
    <row r="220" spans="2:44" ht="11.25" customHeight="1" outlineLevel="1">
      <c r="C220" s="253" t="s">
        <v>351</v>
      </c>
      <c r="E220" s="390"/>
      <c r="F220" s="390"/>
      <c r="G220" s="390"/>
      <c r="H220" s="390"/>
      <c r="I220" s="390"/>
      <c r="J220" s="390"/>
      <c r="K220" s="390"/>
      <c r="L220" s="390"/>
      <c r="M220" s="390"/>
      <c r="N220" s="390"/>
      <c r="O220" s="390"/>
      <c r="P220" s="390"/>
      <c r="Q220" s="390"/>
      <c r="R220" s="277">
        <v>0</v>
      </c>
      <c r="S220" s="277">
        <v>0</v>
      </c>
      <c r="T220" s="277">
        <v>0</v>
      </c>
      <c r="U220" s="280"/>
      <c r="V220" s="277">
        <v>35</v>
      </c>
      <c r="W220" s="277">
        <v>416</v>
      </c>
      <c r="X220" s="255">
        <f t="shared" si="187"/>
        <v>175</v>
      </c>
      <c r="Y220" s="255">
        <f t="shared" si="187"/>
        <v>1448</v>
      </c>
      <c r="Z220" s="255">
        <f t="shared" si="187"/>
        <v>32</v>
      </c>
      <c r="AA220" s="255"/>
      <c r="AB220" s="277">
        <v>0</v>
      </c>
      <c r="AC220" s="277">
        <v>0</v>
      </c>
      <c r="AD220" s="277">
        <v>0</v>
      </c>
      <c r="AI220" s="277">
        <v>175</v>
      </c>
      <c r="AM220" s="277">
        <v>1448</v>
      </c>
      <c r="AQ220" s="277">
        <v>32</v>
      </c>
      <c r="AR220" s="277"/>
    </row>
    <row r="221" spans="2:44" ht="11.25" customHeight="1" outlineLevel="1">
      <c r="C221" s="253" t="s">
        <v>352</v>
      </c>
      <c r="E221" s="390"/>
      <c r="F221" s="390"/>
      <c r="G221" s="390"/>
      <c r="H221" s="390"/>
      <c r="I221" s="390"/>
      <c r="J221" s="390"/>
      <c r="K221" s="390"/>
      <c r="L221" s="390"/>
      <c r="M221" s="390"/>
      <c r="N221" s="390"/>
      <c r="O221" s="390"/>
      <c r="P221" s="390"/>
      <c r="Q221" s="390"/>
      <c r="R221" s="277">
        <v>0</v>
      </c>
      <c r="S221" s="277">
        <v>0</v>
      </c>
      <c r="T221" s="277">
        <v>0</v>
      </c>
      <c r="U221" s="280"/>
      <c r="V221" s="277">
        <v>0</v>
      </c>
      <c r="W221" s="277">
        <v>5</v>
      </c>
      <c r="X221" s="255">
        <f t="shared" si="187"/>
        <v>-153</v>
      </c>
      <c r="Y221" s="255">
        <f t="shared" si="187"/>
        <v>194</v>
      </c>
      <c r="Z221" s="255">
        <f t="shared" si="187"/>
        <v>34</v>
      </c>
      <c r="AA221" s="255"/>
      <c r="AB221" s="277">
        <v>0</v>
      </c>
      <c r="AC221" s="277">
        <v>0</v>
      </c>
      <c r="AD221" s="277">
        <v>0</v>
      </c>
      <c r="AI221" s="277">
        <v>-153</v>
      </c>
      <c r="AM221" s="277">
        <v>194</v>
      </c>
      <c r="AQ221" s="277">
        <v>34</v>
      </c>
      <c r="AR221" s="277"/>
    </row>
    <row r="222" spans="2:44" ht="11.25" customHeight="1" outlineLevel="1">
      <c r="C222" s="253" t="s">
        <v>353</v>
      </c>
      <c r="E222" s="390"/>
      <c r="F222" s="390"/>
      <c r="G222" s="390"/>
      <c r="H222" s="390"/>
      <c r="I222" s="390"/>
      <c r="J222" s="390"/>
      <c r="K222" s="390"/>
      <c r="L222" s="390"/>
      <c r="M222" s="390"/>
      <c r="N222" s="390"/>
      <c r="O222" s="390"/>
      <c r="P222" s="390"/>
      <c r="Q222" s="390"/>
      <c r="R222" s="287">
        <f>'UAL Debt'!R34-'UAL Debt'!Q34</f>
        <v>25.21052631578948</v>
      </c>
      <c r="S222" s="287">
        <f>'UAL Debt'!S34-'UAL Debt'!R34</f>
        <v>25.21052631578948</v>
      </c>
      <c r="T222" s="287">
        <f>'UAL Debt'!T34-'UAL Debt'!S34</f>
        <v>25.21052631578948</v>
      </c>
      <c r="U222" s="280"/>
      <c r="V222" s="277">
        <v>142</v>
      </c>
      <c r="W222" s="277">
        <v>161</v>
      </c>
      <c r="X222" s="255">
        <f t="shared" si="187"/>
        <v>185</v>
      </c>
      <c r="Y222" s="255">
        <f t="shared" si="187"/>
        <v>320</v>
      </c>
      <c r="Z222" s="255">
        <f t="shared" si="187"/>
        <v>393</v>
      </c>
      <c r="AA222" s="255"/>
      <c r="AB222" s="287">
        <f>'UAL Debt'!AB34-'UAL Debt'!AA34</f>
        <v>100.84210526315792</v>
      </c>
      <c r="AC222" s="287">
        <f>'UAL Debt'!AC34-'UAL Debt'!AB34</f>
        <v>100.84210526315789</v>
      </c>
      <c r="AD222" s="287">
        <f>'UAL Debt'!AD34-'UAL Debt'!AC34</f>
        <v>100.84210526315789</v>
      </c>
      <c r="AI222" s="277">
        <v>185</v>
      </c>
      <c r="AM222" s="277">
        <v>320</v>
      </c>
      <c r="AQ222" s="277">
        <v>393</v>
      </c>
      <c r="AR222" s="277"/>
    </row>
    <row r="223" spans="2:44" ht="11.25" customHeight="1" outlineLevel="1">
      <c r="C223" s="253" t="s">
        <v>354</v>
      </c>
      <c r="E223" s="390"/>
      <c r="F223" s="390"/>
      <c r="G223" s="390"/>
      <c r="H223" s="390"/>
      <c r="I223" s="390"/>
      <c r="J223" s="390"/>
      <c r="K223" s="390"/>
      <c r="L223" s="390"/>
      <c r="M223" s="390"/>
      <c r="N223" s="390"/>
      <c r="O223" s="390"/>
      <c r="P223" s="390"/>
      <c r="Q223" s="284">
        <f>SUM(Q224:Q230)</f>
        <v>2588</v>
      </c>
      <c r="R223" s="255">
        <f>SUM(R224:R230)</f>
        <v>1469.4677980166521</v>
      </c>
      <c r="S223" s="255">
        <f>SUM(S224:S230)</f>
        <v>-267.34268791131802</v>
      </c>
      <c r="T223" s="255">
        <f>SUM(T224:T230)</f>
        <v>-190.87698451758234</v>
      </c>
      <c r="U223" s="280"/>
      <c r="V223" s="255">
        <f>SUM(V224:V230)</f>
        <v>-1899</v>
      </c>
      <c r="W223" s="255">
        <f>SUM(W224:W230)</f>
        <v>783</v>
      </c>
      <c r="X223" s="255">
        <f t="shared" si="187"/>
        <v>523</v>
      </c>
      <c r="Y223" s="255">
        <f t="shared" si="187"/>
        <v>227</v>
      </c>
      <c r="Z223" s="255">
        <f t="shared" si="187"/>
        <v>1670</v>
      </c>
      <c r="AA223" s="255">
        <f>SUM(AA224:AA230)</f>
        <v>3599.2481255877519</v>
      </c>
      <c r="AB223" s="255">
        <f>SUM(AB224:AB230)</f>
        <v>49.639582070646384</v>
      </c>
      <c r="AC223" s="255">
        <f>SUM(AC224:AC230)</f>
        <v>835.52789179831257</v>
      </c>
      <c r="AD223" s="255">
        <f>SUM(AD224:AD230)</f>
        <v>925.84573349623133</v>
      </c>
      <c r="AI223" s="255">
        <f>SUM(AI224:AI230)</f>
        <v>523</v>
      </c>
      <c r="AM223" s="255">
        <f>SUM(AM224:AM230)</f>
        <v>227</v>
      </c>
      <c r="AQ223" s="255">
        <f>SUM(AQ224:AQ230)</f>
        <v>1670</v>
      </c>
      <c r="AR223" s="255"/>
    </row>
    <row r="224" spans="2:44" ht="11.25" customHeight="1" outlineLevel="1">
      <c r="C224" s="418" t="s">
        <v>373</v>
      </c>
      <c r="D224" s="390"/>
      <c r="E224" s="928"/>
      <c r="F224" s="928"/>
      <c r="G224" s="928"/>
      <c r="H224" s="928"/>
      <c r="I224" s="928"/>
      <c r="J224" s="928"/>
      <c r="K224" s="928"/>
      <c r="L224" s="928"/>
      <c r="M224" s="928"/>
      <c r="N224" s="928"/>
      <c r="O224" s="928"/>
      <c r="P224" s="928"/>
      <c r="Q224" s="928">
        <f>P121-Q121</f>
        <v>-399</v>
      </c>
      <c r="R224" s="395">
        <f>Q121-R121</f>
        <v>-53.115934940738043</v>
      </c>
      <c r="S224" s="395">
        <f>R121-S121</f>
        <v>59.387691572616859</v>
      </c>
      <c r="T224" s="395">
        <f>S121-T121</f>
        <v>49.07354065662912</v>
      </c>
      <c r="U224" s="280"/>
      <c r="V224" s="385">
        <v>-73</v>
      </c>
      <c r="W224" s="385">
        <v>17</v>
      </c>
      <c r="X224" s="395">
        <f t="shared" si="187"/>
        <v>44</v>
      </c>
      <c r="Y224" s="395">
        <f t="shared" si="187"/>
        <v>135</v>
      </c>
      <c r="Z224" s="395">
        <f t="shared" si="187"/>
        <v>-448</v>
      </c>
      <c r="AA224" s="928">
        <f t="shared" ref="AA224:AA231" si="188">SUMIF($E$5:$T$5,AA$5,$E224:$T224)</f>
        <v>-343.65470271149206</v>
      </c>
      <c r="AB224" s="395">
        <f>AA121-AB121</f>
        <v>134.02092812836486</v>
      </c>
      <c r="AC224" s="395">
        <f>AB121-AC121</f>
        <v>40.947767943238659</v>
      </c>
      <c r="AD224" s="395">
        <f>AC121-AD121</f>
        <v>132.97685056707132</v>
      </c>
      <c r="AE224" s="255"/>
      <c r="AF224" s="255"/>
      <c r="AG224" s="255"/>
      <c r="AI224" s="277">
        <v>44</v>
      </c>
      <c r="AM224" s="277">
        <v>135</v>
      </c>
      <c r="AQ224" s="277">
        <v>-448</v>
      </c>
      <c r="AR224" s="277"/>
    </row>
    <row r="225" spans="3:44" ht="11.25" customHeight="1" outlineLevel="1">
      <c r="C225" s="418" t="s">
        <v>1799</v>
      </c>
      <c r="D225" s="390"/>
      <c r="E225" s="390"/>
      <c r="F225" s="390"/>
      <c r="G225" s="390"/>
      <c r="H225" s="390"/>
      <c r="I225" s="390"/>
      <c r="J225" s="390"/>
      <c r="K225" s="390"/>
      <c r="L225" s="390"/>
      <c r="M225" s="390"/>
      <c r="N225" s="390"/>
      <c r="O225" s="390"/>
      <c r="P225" s="390"/>
      <c r="Q225" s="928">
        <f>(P123-Q123)+(P122-Q122)</f>
        <v>-102</v>
      </c>
      <c r="R225" s="395">
        <f>(Q123-R123)+(Q122-R122)</f>
        <v>10.609071084856282</v>
      </c>
      <c r="S225" s="395">
        <f>(R123-S123)+(R122-S122)</f>
        <v>-9.1072462584235154</v>
      </c>
      <c r="T225" s="395">
        <f>(S123-T123)+(S122-T122)</f>
        <v>3.6295969740029932</v>
      </c>
      <c r="U225" s="280"/>
      <c r="V225" s="385">
        <v>-432</v>
      </c>
      <c r="W225" s="385">
        <v>265</v>
      </c>
      <c r="X225" s="395">
        <f t="shared" si="187"/>
        <v>-252</v>
      </c>
      <c r="Y225" s="395">
        <f t="shared" si="187"/>
        <v>484</v>
      </c>
      <c r="Z225" s="395">
        <f t="shared" si="187"/>
        <v>-292</v>
      </c>
      <c r="AA225" s="928">
        <f t="shared" si="188"/>
        <v>-96.86857819956424</v>
      </c>
      <c r="AB225" s="395">
        <f>(AA123-AB123)+(AA122-AB122)</f>
        <v>124.31268034974755</v>
      </c>
      <c r="AC225" s="395">
        <f>(AB123-AC123)+(AB122-AC122)</f>
        <v>65.092248979331089</v>
      </c>
      <c r="AD225" s="395">
        <f>(AC123-AD123)+(AC122-AD122)</f>
        <v>-3.6811404101376866</v>
      </c>
      <c r="AE225" s="255"/>
      <c r="AF225" s="255"/>
      <c r="AG225" s="255"/>
      <c r="AI225" s="277">
        <v>-252</v>
      </c>
      <c r="AM225" s="277">
        <v>484</v>
      </c>
      <c r="AQ225" s="277">
        <v>-292</v>
      </c>
      <c r="AR225" s="277"/>
    </row>
    <row r="226" spans="3:44" ht="11.25" customHeight="1" outlineLevel="1">
      <c r="C226" s="418" t="s">
        <v>317</v>
      </c>
      <c r="D226" s="390"/>
      <c r="E226" s="930"/>
      <c r="F226" s="930">
        <f t="shared" ref="F226:P226" si="189">F212</f>
        <v>120</v>
      </c>
      <c r="G226" s="930">
        <f t="shared" si="189"/>
        <v>-611</v>
      </c>
      <c r="H226" s="930">
        <f t="shared" si="189"/>
        <v>-696</v>
      </c>
      <c r="I226" s="930">
        <f t="shared" si="189"/>
        <v>490</v>
      </c>
      <c r="J226" s="930">
        <f t="shared" si="189"/>
        <v>-359</v>
      </c>
      <c r="K226" s="930">
        <f t="shared" si="189"/>
        <v>-43</v>
      </c>
      <c r="L226" s="930">
        <f t="shared" si="189"/>
        <v>-74</v>
      </c>
      <c r="M226" s="930">
        <f t="shared" si="189"/>
        <v>669</v>
      </c>
      <c r="N226" s="930">
        <f t="shared" si="189"/>
        <v>1458</v>
      </c>
      <c r="O226" s="930">
        <f t="shared" si="189"/>
        <v>-597</v>
      </c>
      <c r="P226" s="930">
        <f t="shared" si="189"/>
        <v>-9</v>
      </c>
      <c r="Q226" s="930">
        <f t="shared" ref="Q226:T227" si="190">Q212</f>
        <v>2550</v>
      </c>
      <c r="R226" s="416">
        <f t="shared" si="190"/>
        <v>1250</v>
      </c>
      <c r="S226" s="416">
        <f t="shared" si="190"/>
        <v>-500</v>
      </c>
      <c r="T226" s="416">
        <f t="shared" si="190"/>
        <v>-400</v>
      </c>
      <c r="U226" s="280"/>
      <c r="V226" s="385">
        <v>145</v>
      </c>
      <c r="W226" s="385">
        <v>441</v>
      </c>
      <c r="X226" s="395">
        <f t="shared" si="187"/>
        <v>438</v>
      </c>
      <c r="Y226" s="395">
        <f t="shared" si="187"/>
        <v>14</v>
      </c>
      <c r="Z226" s="395">
        <f t="shared" si="187"/>
        <v>1521</v>
      </c>
      <c r="AA226" s="928">
        <f t="shared" si="188"/>
        <v>2900</v>
      </c>
      <c r="AB226" s="416">
        <f t="shared" ref="AB226:AD227" si="191">AB212</f>
        <v>-750</v>
      </c>
      <c r="AC226" s="416">
        <f t="shared" si="191"/>
        <v>400</v>
      </c>
      <c r="AD226" s="416">
        <f t="shared" si="191"/>
        <v>400</v>
      </c>
      <c r="AI226" s="277">
        <v>438</v>
      </c>
      <c r="AM226" s="277">
        <v>14</v>
      </c>
      <c r="AQ226" s="277">
        <v>1521</v>
      </c>
      <c r="AR226" s="277"/>
    </row>
    <row r="227" spans="3:44" ht="11.25" customHeight="1" outlineLevel="1">
      <c r="C227" s="418" t="s">
        <v>318</v>
      </c>
      <c r="D227" s="390"/>
      <c r="E227" s="930"/>
      <c r="F227" s="930">
        <f t="shared" ref="F227:P227" si="192">F213</f>
        <v>60</v>
      </c>
      <c r="G227" s="930">
        <f t="shared" si="192"/>
        <v>21</v>
      </c>
      <c r="H227" s="930">
        <f t="shared" si="192"/>
        <v>57</v>
      </c>
      <c r="I227" s="930">
        <f t="shared" si="192"/>
        <v>212</v>
      </c>
      <c r="J227" s="930">
        <f t="shared" si="192"/>
        <v>182</v>
      </c>
      <c r="K227" s="930">
        <f t="shared" si="192"/>
        <v>165</v>
      </c>
      <c r="L227" s="930">
        <f t="shared" si="192"/>
        <v>140</v>
      </c>
      <c r="M227" s="930">
        <f t="shared" si="192"/>
        <v>134</v>
      </c>
      <c r="N227" s="930">
        <f t="shared" si="192"/>
        <v>76</v>
      </c>
      <c r="O227" s="930">
        <f t="shared" si="192"/>
        <v>32</v>
      </c>
      <c r="P227" s="930">
        <f t="shared" si="192"/>
        <v>65</v>
      </c>
      <c r="Q227" s="930">
        <f t="shared" si="190"/>
        <v>135</v>
      </c>
      <c r="R227" s="416">
        <f t="shared" si="190"/>
        <v>106</v>
      </c>
      <c r="S227" s="416">
        <f t="shared" si="190"/>
        <v>72.666666666666671</v>
      </c>
      <c r="T227" s="416">
        <f t="shared" si="190"/>
        <v>87.333333333333329</v>
      </c>
      <c r="U227" s="280"/>
      <c r="V227" s="385">
        <v>-107</v>
      </c>
      <c r="W227" s="385">
        <v>222</v>
      </c>
      <c r="X227" s="395">
        <f t="shared" si="187"/>
        <v>271</v>
      </c>
      <c r="Y227" s="395">
        <f t="shared" si="187"/>
        <v>699</v>
      </c>
      <c r="Z227" s="395">
        <f t="shared" si="187"/>
        <v>307</v>
      </c>
      <c r="AA227" s="928">
        <f t="shared" si="188"/>
        <v>401</v>
      </c>
      <c r="AB227" s="416">
        <f t="shared" si="191"/>
        <v>400</v>
      </c>
      <c r="AC227" s="416">
        <f t="shared" si="191"/>
        <v>350</v>
      </c>
      <c r="AD227" s="416">
        <f t="shared" si="191"/>
        <v>350</v>
      </c>
      <c r="AI227" s="277">
        <v>271</v>
      </c>
      <c r="AM227" s="277">
        <v>699</v>
      </c>
      <c r="AQ227" s="277">
        <v>307</v>
      </c>
      <c r="AR227" s="277"/>
    </row>
    <row r="228" spans="3:44" ht="11.25" customHeight="1" outlineLevel="1">
      <c r="C228" s="418" t="s">
        <v>316</v>
      </c>
      <c r="D228" s="390"/>
      <c r="E228" s="390"/>
      <c r="F228" s="390"/>
      <c r="G228" s="390"/>
      <c r="H228" s="390"/>
      <c r="I228" s="390"/>
      <c r="J228" s="390"/>
      <c r="K228" s="390"/>
      <c r="L228" s="390"/>
      <c r="M228" s="390"/>
      <c r="N228" s="390"/>
      <c r="O228" s="390"/>
      <c r="P228" s="390"/>
      <c r="Q228" s="928">
        <f>Q136-P136</f>
        <v>404</v>
      </c>
      <c r="R228" s="395">
        <f>R136-Q136</f>
        <v>155.97466187253394</v>
      </c>
      <c r="S228" s="395">
        <f>S136-R136</f>
        <v>109.71020010782195</v>
      </c>
      <c r="T228" s="395">
        <f>T136-S136</f>
        <v>69.086544518452229</v>
      </c>
      <c r="U228" s="280"/>
      <c r="V228" s="385">
        <v>66</v>
      </c>
      <c r="W228" s="385">
        <v>130</v>
      </c>
      <c r="X228" s="395">
        <f t="shared" si="187"/>
        <v>324</v>
      </c>
      <c r="Y228" s="395">
        <f t="shared" si="187"/>
        <v>-1079</v>
      </c>
      <c r="Z228" s="395">
        <f t="shared" si="187"/>
        <v>985</v>
      </c>
      <c r="AA228" s="928">
        <f t="shared" si="188"/>
        <v>738.77140649880812</v>
      </c>
      <c r="AB228" s="395">
        <f>AB136-AA136</f>
        <v>141.30597359253397</v>
      </c>
      <c r="AC228" s="395">
        <f>AC136-AB136</f>
        <v>-20.512125124257182</v>
      </c>
      <c r="AD228" s="395">
        <f>AD136-AC136</f>
        <v>46.550023339297695</v>
      </c>
      <c r="AI228" s="277">
        <v>324</v>
      </c>
      <c r="AM228" s="277">
        <v>-1079</v>
      </c>
      <c r="AQ228" s="277">
        <v>985</v>
      </c>
      <c r="AR228" s="277"/>
    </row>
    <row r="229" spans="3:44" ht="11.25" customHeight="1" outlineLevel="1">
      <c r="C229" s="418" t="s">
        <v>380</v>
      </c>
      <c r="D229" s="390"/>
      <c r="E229" s="390"/>
      <c r="F229" s="390"/>
      <c r="G229" s="390"/>
      <c r="H229" s="390"/>
      <c r="I229" s="390"/>
      <c r="J229" s="390"/>
      <c r="K229" s="390"/>
      <c r="L229" s="390"/>
      <c r="M229" s="390"/>
      <c r="N229" s="390"/>
      <c r="O229" s="390"/>
      <c r="P229" s="390"/>
      <c r="Q229" s="927"/>
      <c r="R229" s="390"/>
      <c r="S229" s="390"/>
      <c r="T229" s="390"/>
      <c r="U229" s="280"/>
      <c r="V229" s="385">
        <v>-942</v>
      </c>
      <c r="W229" s="385">
        <v>0</v>
      </c>
      <c r="X229" s="395">
        <f t="shared" si="187"/>
        <v>0</v>
      </c>
      <c r="Y229" s="395">
        <f t="shared" si="187"/>
        <v>0</v>
      </c>
      <c r="Z229" s="395">
        <f t="shared" si="187"/>
        <v>0</v>
      </c>
      <c r="AA229" s="928">
        <f t="shared" si="188"/>
        <v>0</v>
      </c>
      <c r="AB229" s="395"/>
      <c r="AC229" s="395"/>
      <c r="AD229" s="395"/>
      <c r="AI229" s="277">
        <v>0</v>
      </c>
      <c r="AM229" s="277">
        <v>0</v>
      </c>
      <c r="AQ229" s="277">
        <v>0</v>
      </c>
      <c r="AR229" s="277"/>
    </row>
    <row r="230" spans="3:44" ht="11.25" customHeight="1" outlineLevel="1">
      <c r="C230" s="418" t="s">
        <v>381</v>
      </c>
      <c r="D230" s="390"/>
      <c r="E230" s="593"/>
      <c r="F230" s="593"/>
      <c r="G230" s="593"/>
      <c r="H230" s="593"/>
      <c r="I230" s="593"/>
      <c r="J230" s="593"/>
      <c r="K230" s="593"/>
      <c r="L230" s="593"/>
      <c r="M230" s="593"/>
      <c r="N230" s="593"/>
      <c r="O230" s="593"/>
      <c r="P230" s="593"/>
      <c r="Q230" s="931"/>
      <c r="R230" s="593"/>
      <c r="S230" s="593"/>
      <c r="T230" s="593"/>
      <c r="U230" s="280"/>
      <c r="V230" s="594">
        <v>-556</v>
      </c>
      <c r="W230" s="594">
        <v>-292</v>
      </c>
      <c r="X230" s="595">
        <f t="shared" si="187"/>
        <v>-302</v>
      </c>
      <c r="Y230" s="595">
        <f t="shared" si="187"/>
        <v>-26</v>
      </c>
      <c r="Z230" s="595">
        <f t="shared" si="187"/>
        <v>-403</v>
      </c>
      <c r="AA230" s="929">
        <f t="shared" si="188"/>
        <v>0</v>
      </c>
      <c r="AB230" s="595"/>
      <c r="AC230" s="595"/>
      <c r="AD230" s="595"/>
      <c r="AF230" s="596"/>
      <c r="AG230" s="596"/>
      <c r="AH230" s="596"/>
      <c r="AI230" s="597">
        <v>-302</v>
      </c>
      <c r="AJ230" s="596"/>
      <c r="AK230" s="596"/>
      <c r="AL230" s="596"/>
      <c r="AM230" s="597">
        <v>-26</v>
      </c>
      <c r="AN230" s="596"/>
      <c r="AO230" s="596"/>
      <c r="AP230" s="596"/>
      <c r="AQ230" s="597">
        <v>-403</v>
      </c>
      <c r="AR230" s="597"/>
    </row>
    <row r="231" spans="3:44" s="289" customFormat="1" ht="11.25" customHeight="1">
      <c r="C231" s="289" t="s">
        <v>339</v>
      </c>
      <c r="E231" s="283">
        <f>AF231</f>
        <v>1915</v>
      </c>
      <c r="F231" s="283">
        <f>AG231-AF231</f>
        <v>2710</v>
      </c>
      <c r="G231" s="283">
        <f>AH231-AG231</f>
        <v>1103</v>
      </c>
      <c r="H231" s="283">
        <f>AI231-AH231</f>
        <v>1181</v>
      </c>
      <c r="I231" s="283">
        <f>AJ231</f>
        <v>63</v>
      </c>
      <c r="J231" s="283">
        <f>AK231-AJ231</f>
        <v>-130</v>
      </c>
      <c r="K231" s="283">
        <f>AL231-AK231</f>
        <v>-1889</v>
      </c>
      <c r="L231" s="283">
        <f>AM231-AL231</f>
        <v>-2177</v>
      </c>
      <c r="M231" s="283">
        <f>AN231</f>
        <v>447</v>
      </c>
      <c r="N231" s="283">
        <f>AO231-AN231</f>
        <v>2675</v>
      </c>
      <c r="O231" s="283">
        <f>AP231-AO231</f>
        <v>-786</v>
      </c>
      <c r="P231" s="283">
        <f>AQ231-AP231</f>
        <v>-269</v>
      </c>
      <c r="Q231" s="283">
        <f>AR231</f>
        <v>1476</v>
      </c>
      <c r="R231" s="283">
        <f ca="1">SUM(R217:R223)</f>
        <v>1961.7680877576547</v>
      </c>
      <c r="S231" s="283">
        <f ca="1">SUM(S217:S223)</f>
        <v>620.35541885083762</v>
      </c>
      <c r="T231" s="283">
        <f ca="1">SUM(T217:T223)</f>
        <v>568.09435911764399</v>
      </c>
      <c r="U231" s="280"/>
      <c r="V231" s="280">
        <f t="shared" ref="V231:AD231" si="193">V217+SUM(V218:V223)</f>
        <v>3474</v>
      </c>
      <c r="W231" s="280">
        <f t="shared" si="193"/>
        <v>6164</v>
      </c>
      <c r="X231" s="280">
        <f t="shared" si="193"/>
        <v>6909</v>
      </c>
      <c r="Y231" s="280">
        <f t="shared" si="193"/>
        <v>-4133</v>
      </c>
      <c r="Z231" s="280">
        <f t="shared" si="193"/>
        <v>2067</v>
      </c>
      <c r="AA231" s="280">
        <f t="shared" ca="1" si="188"/>
        <v>4626.2178657261366</v>
      </c>
      <c r="AB231" s="280">
        <f t="shared" ca="1" si="193"/>
        <v>4567.7797840262228</v>
      </c>
      <c r="AC231" s="280">
        <f t="shared" ca="1" si="193"/>
        <v>7241.0424914407868</v>
      </c>
      <c r="AD231" s="280">
        <f t="shared" ca="1" si="193"/>
        <v>7141.6740851570521</v>
      </c>
      <c r="AF231" s="285">
        <v>1915</v>
      </c>
      <c r="AG231" s="285">
        <v>4625</v>
      </c>
      <c r="AH231" s="285">
        <v>5728</v>
      </c>
      <c r="AI231" s="280">
        <f>AI217+SUM(AI218:AI223)</f>
        <v>6909</v>
      </c>
      <c r="AJ231" s="285">
        <v>63</v>
      </c>
      <c r="AK231" s="285">
        <v>-67</v>
      </c>
      <c r="AL231" s="285">
        <v>-1956</v>
      </c>
      <c r="AM231" s="280">
        <f>AM217+SUM(AM218:AM223)</f>
        <v>-4133</v>
      </c>
      <c r="AN231" s="285">
        <v>447</v>
      </c>
      <c r="AO231" s="285">
        <v>3122</v>
      </c>
      <c r="AP231" s="285">
        <v>2336</v>
      </c>
      <c r="AQ231" s="280">
        <f>AQ217+SUM(AQ218:AQ223)</f>
        <v>2067</v>
      </c>
      <c r="AR231" s="285">
        <v>1476</v>
      </c>
    </row>
    <row r="232" spans="3:44" ht="11.25" customHeight="1">
      <c r="E232" s="255"/>
      <c r="F232" s="255"/>
      <c r="G232" s="255"/>
      <c r="H232" s="255"/>
      <c r="I232" s="255"/>
      <c r="J232" s="255"/>
      <c r="K232" s="255"/>
      <c r="L232" s="255"/>
      <c r="M232" s="255"/>
      <c r="N232" s="255"/>
      <c r="O232" s="255"/>
      <c r="P232" s="255"/>
      <c r="Q232" s="255"/>
      <c r="U232" s="280"/>
      <c r="AB232" s="255"/>
      <c r="AC232" s="255"/>
      <c r="AD232" s="255"/>
      <c r="AF232" s="255"/>
      <c r="AG232" s="255"/>
      <c r="AH232" s="255"/>
      <c r="AI232" s="255"/>
      <c r="AJ232" s="255"/>
      <c r="AK232" s="255"/>
      <c r="AL232" s="255"/>
      <c r="AM232" s="255"/>
      <c r="AN232" s="255"/>
      <c r="AO232" s="255"/>
      <c r="AP232" s="255"/>
      <c r="AQ232" s="255"/>
      <c r="AR232" s="255"/>
    </row>
    <row r="233" spans="3:44" ht="11.25" customHeight="1">
      <c r="C233" s="253" t="s">
        <v>340</v>
      </c>
      <c r="E233" s="255">
        <f>AF233</f>
        <v>-1609</v>
      </c>
      <c r="F233" s="255">
        <f>AG233-AF233</f>
        <v>-858</v>
      </c>
      <c r="G233" s="255">
        <f>AH233-AG233</f>
        <v>-869</v>
      </c>
      <c r="H233" s="255">
        <f>AI233-AH233</f>
        <v>-1192</v>
      </c>
      <c r="I233" s="255">
        <f>AJ233</f>
        <v>-1959</v>
      </c>
      <c r="J233" s="255">
        <f>AK233-AJ233</f>
        <v>-39</v>
      </c>
      <c r="K233" s="255">
        <f>AL233-AK233</f>
        <v>368</v>
      </c>
      <c r="L233" s="255">
        <f>AM233-AL233</f>
        <v>-97</v>
      </c>
      <c r="M233" s="255">
        <f>AN233</f>
        <v>-444</v>
      </c>
      <c r="N233" s="255">
        <f>AO233-AN233</f>
        <v>-861</v>
      </c>
      <c r="O233" s="255">
        <f>AP233-AO233</f>
        <v>-266</v>
      </c>
      <c r="P233" s="255">
        <f>AQ233-AP233</f>
        <v>-536</v>
      </c>
      <c r="Q233" s="255">
        <f>AR233</f>
        <v>-402</v>
      </c>
      <c r="R233" s="255">
        <f>-R190-R191</f>
        <v>-1587.2559095580677</v>
      </c>
      <c r="S233" s="255">
        <f t="shared" ref="S233:T233" si="194">-S190-S191</f>
        <v>-1607.6053442959919</v>
      </c>
      <c r="T233" s="255">
        <f t="shared" si="194"/>
        <v>-2205.1387461459403</v>
      </c>
      <c r="U233" s="280"/>
      <c r="V233" s="277">
        <v>-3870</v>
      </c>
      <c r="W233" s="277">
        <v>-4070</v>
      </c>
      <c r="X233" s="255">
        <f t="shared" ref="X233:Z240" si="195">SUMIF($AF$6:$AQ$6,X$6,$AF233:$AQ233)</f>
        <v>-4528</v>
      </c>
      <c r="Y233" s="255">
        <f t="shared" si="195"/>
        <v>-1727</v>
      </c>
      <c r="Z233" s="255">
        <f t="shared" si="195"/>
        <v>-2107</v>
      </c>
      <c r="AA233" s="255">
        <f>SUMIF($E$5:$T$5,AA$5,$E233:$T233)</f>
        <v>-5802</v>
      </c>
      <c r="AB233" s="255">
        <f t="shared" ref="AB233:AD233" si="196">-AB190-AB191</f>
        <v>-7700</v>
      </c>
      <c r="AC233" s="255">
        <f t="shared" si="196"/>
        <v>-5000</v>
      </c>
      <c r="AD233" s="255">
        <f t="shared" si="196"/>
        <v>-4400</v>
      </c>
      <c r="AF233" s="277">
        <v>-1609</v>
      </c>
      <c r="AG233" s="277">
        <v>-2467</v>
      </c>
      <c r="AH233" s="277">
        <v>-3336</v>
      </c>
      <c r="AI233" s="277">
        <v>-4528</v>
      </c>
      <c r="AJ233" s="277">
        <v>-1959</v>
      </c>
      <c r="AK233" s="277">
        <v>-1998</v>
      </c>
      <c r="AL233" s="277">
        <v>-1630</v>
      </c>
      <c r="AM233" s="277">
        <v>-1727</v>
      </c>
      <c r="AN233" s="277">
        <v>-444</v>
      </c>
      <c r="AO233" s="277">
        <v>-1305</v>
      </c>
      <c r="AP233" s="277">
        <v>-1571</v>
      </c>
      <c r="AQ233" s="277">
        <v>-2107</v>
      </c>
      <c r="AR233" s="277">
        <v>-402</v>
      </c>
    </row>
    <row r="234" spans="3:44" ht="11.25" customHeight="1">
      <c r="C234" s="253" t="s">
        <v>613</v>
      </c>
      <c r="E234" s="255">
        <f>SUM(E235:E240)</f>
        <v>29</v>
      </c>
      <c r="F234" s="255">
        <f t="shared" ref="F234:AQ234" si="197">SUM(F235:F240)</f>
        <v>2</v>
      </c>
      <c r="G234" s="255">
        <f t="shared" si="197"/>
        <v>74</v>
      </c>
      <c r="H234" s="255">
        <f t="shared" si="197"/>
        <v>-137</v>
      </c>
      <c r="I234" s="255">
        <f t="shared" si="197"/>
        <v>387</v>
      </c>
      <c r="J234" s="255">
        <f t="shared" si="197"/>
        <v>851</v>
      </c>
      <c r="K234" s="255">
        <f t="shared" si="197"/>
        <v>402</v>
      </c>
      <c r="L234" s="255">
        <f t="shared" si="197"/>
        <v>137</v>
      </c>
      <c r="M234" s="255">
        <f t="shared" si="197"/>
        <v>115</v>
      </c>
      <c r="N234" s="255">
        <f t="shared" si="197"/>
        <v>80</v>
      </c>
      <c r="O234" s="255">
        <f t="shared" si="197"/>
        <v>52</v>
      </c>
      <c r="P234" s="255">
        <f t="shared" si="197"/>
        <v>188</v>
      </c>
      <c r="Q234" s="255">
        <f>SUM(Q235:Q240)</f>
        <v>-28</v>
      </c>
      <c r="R234" s="255">
        <f t="shared" si="197"/>
        <v>0</v>
      </c>
      <c r="S234" s="255">
        <f t="shared" si="197"/>
        <v>0</v>
      </c>
      <c r="T234" s="255">
        <f t="shared" si="197"/>
        <v>0</v>
      </c>
      <c r="U234" s="280"/>
      <c r="V234" s="255">
        <f t="shared" si="197"/>
        <v>67</v>
      </c>
      <c r="W234" s="255">
        <f t="shared" si="197"/>
        <v>-385</v>
      </c>
      <c r="X234" s="255">
        <f t="shared" si="197"/>
        <v>-32</v>
      </c>
      <c r="Y234" s="255">
        <f t="shared" si="197"/>
        <v>1777</v>
      </c>
      <c r="Z234" s="255">
        <f t="shared" si="197"/>
        <v>435</v>
      </c>
      <c r="AA234" s="255">
        <f t="shared" si="197"/>
        <v>-28</v>
      </c>
      <c r="AB234" s="255">
        <f t="shared" si="197"/>
        <v>0</v>
      </c>
      <c r="AC234" s="255">
        <f t="shared" si="197"/>
        <v>0</v>
      </c>
      <c r="AD234" s="255">
        <f t="shared" si="197"/>
        <v>0</v>
      </c>
      <c r="AE234" s="255">
        <f t="shared" si="197"/>
        <v>0</v>
      </c>
      <c r="AF234" s="255">
        <f t="shared" si="197"/>
        <v>29</v>
      </c>
      <c r="AG234" s="255">
        <f t="shared" si="197"/>
        <v>31</v>
      </c>
      <c r="AH234" s="255">
        <f t="shared" si="197"/>
        <v>105</v>
      </c>
      <c r="AI234" s="255">
        <f t="shared" si="197"/>
        <v>-32</v>
      </c>
      <c r="AJ234" s="255">
        <f t="shared" si="197"/>
        <v>387</v>
      </c>
      <c r="AK234" s="255">
        <f t="shared" si="197"/>
        <v>1238</v>
      </c>
      <c r="AL234" s="255">
        <f t="shared" si="197"/>
        <v>1640</v>
      </c>
      <c r="AM234" s="255">
        <f t="shared" si="197"/>
        <v>1777</v>
      </c>
      <c r="AN234" s="255">
        <f t="shared" si="197"/>
        <v>115</v>
      </c>
      <c r="AO234" s="255">
        <f t="shared" si="197"/>
        <v>195</v>
      </c>
      <c r="AP234" s="255">
        <f t="shared" si="197"/>
        <v>247</v>
      </c>
      <c r="AQ234" s="255">
        <f t="shared" si="197"/>
        <v>435</v>
      </c>
      <c r="AR234" s="255">
        <f>SUM(AR235:AR240)</f>
        <v>-28</v>
      </c>
    </row>
    <row r="235" spans="3:44" ht="11.25" customHeight="1" outlineLevel="1">
      <c r="C235" s="390" t="s">
        <v>614</v>
      </c>
      <c r="D235" s="390"/>
      <c r="E235" s="395">
        <f t="shared" ref="E235:E240" si="198">AF235</f>
        <v>-724</v>
      </c>
      <c r="F235" s="395">
        <f t="shared" ref="F235:F240" si="199">AG235-AF235</f>
        <v>-719</v>
      </c>
      <c r="G235" s="395">
        <f t="shared" ref="G235:G240" si="200">AH235-AG235</f>
        <v>-725</v>
      </c>
      <c r="H235" s="395">
        <f t="shared" ref="H235:H240" si="201">AI235-AH235</f>
        <v>-765</v>
      </c>
      <c r="I235" s="395">
        <f t="shared" ref="I235:I240" si="202">AJ235</f>
        <v>-541</v>
      </c>
      <c r="J235" s="395">
        <f t="shared" ref="J235:J240" si="203">AK235-AJ235</f>
        <v>-9</v>
      </c>
      <c r="K235" s="395">
        <f t="shared" ref="K235:K240" si="204">AL235-AK235</f>
        <v>-2</v>
      </c>
      <c r="L235" s="395">
        <f t="shared" ref="L235:L240" si="205">AM235-AL235</f>
        <v>0</v>
      </c>
      <c r="M235" s="395">
        <f t="shared" ref="M235:M240" si="206">AN235</f>
        <v>0</v>
      </c>
      <c r="N235" s="395">
        <f t="shared" ref="N235:N240" si="207">AO235-AN235</f>
        <v>0</v>
      </c>
      <c r="O235" s="395">
        <f t="shared" ref="O235:O240" si="208">AP235-AO235</f>
        <v>-47</v>
      </c>
      <c r="P235" s="395">
        <f t="shared" ref="P235:P240" si="209">AQ235-AP235</f>
        <v>-21</v>
      </c>
      <c r="Q235" s="395">
        <f t="shared" ref="Q235:Q240" si="210">AR235</f>
        <v>-156</v>
      </c>
      <c r="R235" s="385">
        <v>0</v>
      </c>
      <c r="S235" s="385">
        <v>0</v>
      </c>
      <c r="T235" s="385">
        <v>0</v>
      </c>
      <c r="U235" s="280"/>
      <c r="V235" s="385">
        <v>-3241</v>
      </c>
      <c r="W235" s="385">
        <v>-2552</v>
      </c>
      <c r="X235" s="395">
        <f t="shared" si="195"/>
        <v>-2933</v>
      </c>
      <c r="Y235" s="395">
        <f t="shared" si="195"/>
        <v>-552</v>
      </c>
      <c r="Z235" s="395">
        <f t="shared" si="195"/>
        <v>-68</v>
      </c>
      <c r="AA235" s="395">
        <f t="shared" ref="AA235:AA240" si="211">SUMIF($E$5:$T$5,AA$5,$E235:$T235)</f>
        <v>-156</v>
      </c>
      <c r="AB235" s="395">
        <v>0</v>
      </c>
      <c r="AC235" s="395">
        <v>0</v>
      </c>
      <c r="AD235" s="395">
        <v>0</v>
      </c>
      <c r="AF235" s="385">
        <v>-724</v>
      </c>
      <c r="AG235" s="385">
        <v>-1443</v>
      </c>
      <c r="AH235" s="385">
        <v>-2168</v>
      </c>
      <c r="AI235" s="385">
        <v>-2933</v>
      </c>
      <c r="AJ235" s="385">
        <v>-541</v>
      </c>
      <c r="AK235" s="385">
        <v>-550</v>
      </c>
      <c r="AL235" s="385">
        <v>-552</v>
      </c>
      <c r="AM235" s="385">
        <v>-552</v>
      </c>
      <c r="AN235" s="385">
        <v>0</v>
      </c>
      <c r="AO235" s="385">
        <v>0</v>
      </c>
      <c r="AP235" s="385">
        <v>-47</v>
      </c>
      <c r="AQ235" s="385">
        <v>-68</v>
      </c>
      <c r="AR235" s="385">
        <v>-156</v>
      </c>
    </row>
    <row r="236" spans="3:44" ht="11.25" customHeight="1" outlineLevel="1">
      <c r="C236" s="390" t="s">
        <v>615</v>
      </c>
      <c r="D236" s="390"/>
      <c r="E236" s="395">
        <f t="shared" si="198"/>
        <v>768</v>
      </c>
      <c r="F236" s="395">
        <f t="shared" si="199"/>
        <v>716</v>
      </c>
      <c r="G236" s="395">
        <f t="shared" si="200"/>
        <v>798</v>
      </c>
      <c r="H236" s="395">
        <f t="shared" si="201"/>
        <v>714</v>
      </c>
      <c r="I236" s="395">
        <f t="shared" si="202"/>
        <v>927</v>
      </c>
      <c r="J236" s="395">
        <f t="shared" si="203"/>
        <v>847</v>
      </c>
      <c r="K236" s="395">
        <f t="shared" si="204"/>
        <v>408</v>
      </c>
      <c r="L236" s="395">
        <f t="shared" si="205"/>
        <v>137</v>
      </c>
      <c r="M236" s="395">
        <f t="shared" si="206"/>
        <v>105</v>
      </c>
      <c r="N236" s="395">
        <f t="shared" si="207"/>
        <v>79</v>
      </c>
      <c r="O236" s="395">
        <f t="shared" si="208"/>
        <v>87</v>
      </c>
      <c r="P236" s="395">
        <f t="shared" si="209"/>
        <v>126</v>
      </c>
      <c r="Q236" s="395">
        <f t="shared" si="210"/>
        <v>62</v>
      </c>
      <c r="R236" s="385">
        <v>0</v>
      </c>
      <c r="S236" s="385">
        <v>0</v>
      </c>
      <c r="T236" s="385">
        <v>0</v>
      </c>
      <c r="U236" s="280"/>
      <c r="V236" s="385">
        <v>3177</v>
      </c>
      <c r="W236" s="385">
        <v>2616</v>
      </c>
      <c r="X236" s="395">
        <f t="shared" si="195"/>
        <v>2996</v>
      </c>
      <c r="Y236" s="395">
        <f t="shared" si="195"/>
        <v>2319</v>
      </c>
      <c r="Z236" s="395">
        <f t="shared" si="195"/>
        <v>397</v>
      </c>
      <c r="AA236" s="395">
        <f t="shared" si="211"/>
        <v>62</v>
      </c>
      <c r="AB236" s="395">
        <v>0</v>
      </c>
      <c r="AC236" s="395">
        <v>0</v>
      </c>
      <c r="AD236" s="395">
        <v>0</v>
      </c>
      <c r="AF236" s="385">
        <v>768</v>
      </c>
      <c r="AG236" s="385">
        <v>1484</v>
      </c>
      <c r="AH236" s="385">
        <v>2282</v>
      </c>
      <c r="AI236" s="385">
        <v>2996</v>
      </c>
      <c r="AJ236" s="385">
        <v>927</v>
      </c>
      <c r="AK236" s="385">
        <v>1774</v>
      </c>
      <c r="AL236" s="385">
        <v>2182</v>
      </c>
      <c r="AM236" s="385">
        <v>2319</v>
      </c>
      <c r="AN236" s="385">
        <v>105</v>
      </c>
      <c r="AO236" s="385">
        <v>184</v>
      </c>
      <c r="AP236" s="385">
        <v>271</v>
      </c>
      <c r="AQ236" s="385">
        <v>397</v>
      </c>
      <c r="AR236" s="385">
        <v>62</v>
      </c>
    </row>
    <row r="237" spans="3:44" ht="11.25" customHeight="1" outlineLevel="1">
      <c r="C237" s="390" t="s">
        <v>616</v>
      </c>
      <c r="D237" s="390"/>
      <c r="E237" s="395">
        <f t="shared" si="198"/>
        <v>0</v>
      </c>
      <c r="F237" s="395">
        <f t="shared" si="199"/>
        <v>0</v>
      </c>
      <c r="G237" s="395">
        <f t="shared" si="200"/>
        <v>0</v>
      </c>
      <c r="H237" s="395">
        <f t="shared" si="201"/>
        <v>49</v>
      </c>
      <c r="I237" s="395">
        <f t="shared" si="202"/>
        <v>0</v>
      </c>
      <c r="J237" s="395">
        <f t="shared" si="203"/>
        <v>0</v>
      </c>
      <c r="K237" s="395">
        <f t="shared" si="204"/>
        <v>0</v>
      </c>
      <c r="L237" s="395">
        <f t="shared" si="205"/>
        <v>6</v>
      </c>
      <c r="M237" s="395">
        <f t="shared" si="206"/>
        <v>0</v>
      </c>
      <c r="N237" s="395">
        <f t="shared" si="207"/>
        <v>0</v>
      </c>
      <c r="O237" s="395">
        <f t="shared" si="208"/>
        <v>0</v>
      </c>
      <c r="P237" s="395">
        <f t="shared" si="209"/>
        <v>107</v>
      </c>
      <c r="Q237" s="395">
        <f t="shared" si="210"/>
        <v>66</v>
      </c>
      <c r="R237" s="385">
        <v>0</v>
      </c>
      <c r="S237" s="385">
        <v>0</v>
      </c>
      <c r="T237" s="385">
        <v>0</v>
      </c>
      <c r="U237" s="280"/>
      <c r="V237" s="385">
        <v>0</v>
      </c>
      <c r="W237" s="385">
        <v>0</v>
      </c>
      <c r="X237" s="395">
        <f t="shared" si="195"/>
        <v>49</v>
      </c>
      <c r="Y237" s="395">
        <f t="shared" si="195"/>
        <v>6</v>
      </c>
      <c r="Z237" s="395">
        <f t="shared" si="195"/>
        <v>107</v>
      </c>
      <c r="AA237" s="395">
        <f t="shared" si="211"/>
        <v>66</v>
      </c>
      <c r="AB237" s="395">
        <v>0</v>
      </c>
      <c r="AC237" s="395">
        <v>0</v>
      </c>
      <c r="AD237" s="395">
        <v>0</v>
      </c>
      <c r="AF237" s="385">
        <v>0</v>
      </c>
      <c r="AG237" s="385">
        <v>0</v>
      </c>
      <c r="AH237" s="385">
        <v>0</v>
      </c>
      <c r="AI237" s="385">
        <v>49</v>
      </c>
      <c r="AJ237" s="385">
        <v>0</v>
      </c>
      <c r="AK237" s="385">
        <v>0</v>
      </c>
      <c r="AL237" s="385">
        <v>0</v>
      </c>
      <c r="AM237" s="385">
        <v>6</v>
      </c>
      <c r="AN237" s="385">
        <v>0</v>
      </c>
      <c r="AO237" s="385">
        <v>0</v>
      </c>
      <c r="AP237" s="385">
        <v>0</v>
      </c>
      <c r="AQ237" s="385">
        <v>107</v>
      </c>
      <c r="AR237" s="385">
        <v>66</v>
      </c>
    </row>
    <row r="238" spans="3:44" ht="11.25" customHeight="1" outlineLevel="1">
      <c r="C238" s="390" t="s">
        <v>617</v>
      </c>
      <c r="D238" s="390"/>
      <c r="E238" s="395">
        <f t="shared" si="198"/>
        <v>0</v>
      </c>
      <c r="F238" s="395">
        <f t="shared" si="199"/>
        <v>0</v>
      </c>
      <c r="G238" s="395">
        <f t="shared" si="200"/>
        <v>0</v>
      </c>
      <c r="H238" s="395">
        <f t="shared" si="201"/>
        <v>-174</v>
      </c>
      <c r="I238" s="395">
        <f t="shared" si="202"/>
        <v>0</v>
      </c>
      <c r="J238" s="395">
        <f t="shared" si="203"/>
        <v>0</v>
      </c>
      <c r="K238" s="395">
        <f t="shared" si="204"/>
        <v>0</v>
      </c>
      <c r="L238" s="395">
        <f t="shared" si="205"/>
        <v>0</v>
      </c>
      <c r="M238" s="395">
        <f t="shared" si="206"/>
        <v>0</v>
      </c>
      <c r="N238" s="395">
        <f t="shared" si="207"/>
        <v>0</v>
      </c>
      <c r="O238" s="395">
        <f t="shared" si="208"/>
        <v>0</v>
      </c>
      <c r="P238" s="395">
        <f t="shared" si="209"/>
        <v>0</v>
      </c>
      <c r="Q238" s="395">
        <f t="shared" si="210"/>
        <v>0</v>
      </c>
      <c r="R238" s="385">
        <v>0</v>
      </c>
      <c r="S238" s="385">
        <v>0</v>
      </c>
      <c r="T238" s="385">
        <v>0</v>
      </c>
      <c r="U238" s="280"/>
      <c r="V238" s="385">
        <v>-30</v>
      </c>
      <c r="W238" s="385">
        <v>-466</v>
      </c>
      <c r="X238" s="395">
        <f t="shared" si="195"/>
        <v>-174</v>
      </c>
      <c r="Y238" s="395">
        <f t="shared" si="195"/>
        <v>0</v>
      </c>
      <c r="Z238" s="395">
        <f t="shared" si="195"/>
        <v>0</v>
      </c>
      <c r="AA238" s="395">
        <f t="shared" si="211"/>
        <v>0</v>
      </c>
      <c r="AB238" s="395">
        <v>0</v>
      </c>
      <c r="AC238" s="395">
        <v>0</v>
      </c>
      <c r="AD238" s="395">
        <v>0</v>
      </c>
      <c r="AF238" s="385">
        <v>0</v>
      </c>
      <c r="AG238" s="385">
        <v>0</v>
      </c>
      <c r="AH238" s="385">
        <v>0</v>
      </c>
      <c r="AI238" s="385">
        <v>-174</v>
      </c>
      <c r="AJ238" s="385">
        <v>0</v>
      </c>
      <c r="AK238" s="385">
        <v>0</v>
      </c>
      <c r="AL238" s="385">
        <v>0</v>
      </c>
      <c r="AM238" s="385">
        <v>0</v>
      </c>
      <c r="AN238" s="385">
        <v>0</v>
      </c>
      <c r="AO238" s="385">
        <v>0</v>
      </c>
      <c r="AP238" s="385">
        <v>0</v>
      </c>
      <c r="AQ238" s="385">
        <v>0</v>
      </c>
      <c r="AR238" s="385">
        <v>0</v>
      </c>
    </row>
    <row r="239" spans="3:44" ht="11.25" customHeight="1" outlineLevel="1">
      <c r="C239" s="390" t="s">
        <v>618</v>
      </c>
      <c r="D239" s="390"/>
      <c r="E239" s="395">
        <f t="shared" si="198"/>
        <v>0</v>
      </c>
      <c r="F239" s="395">
        <f t="shared" si="199"/>
        <v>0</v>
      </c>
      <c r="G239" s="395">
        <f t="shared" si="200"/>
        <v>0</v>
      </c>
      <c r="H239" s="395">
        <f t="shared" si="201"/>
        <v>0</v>
      </c>
      <c r="I239" s="395">
        <f t="shared" si="202"/>
        <v>0</v>
      </c>
      <c r="J239" s="395">
        <f t="shared" si="203"/>
        <v>0</v>
      </c>
      <c r="K239" s="395">
        <f t="shared" si="204"/>
        <v>0</v>
      </c>
      <c r="L239" s="395">
        <f t="shared" si="205"/>
        <v>0</v>
      </c>
      <c r="M239" s="395">
        <f t="shared" si="206"/>
        <v>0</v>
      </c>
      <c r="N239" s="395">
        <f t="shared" si="207"/>
        <v>0</v>
      </c>
      <c r="O239" s="395">
        <f t="shared" si="208"/>
        <v>0</v>
      </c>
      <c r="P239" s="395">
        <f t="shared" si="209"/>
        <v>0</v>
      </c>
      <c r="Q239" s="395">
        <f t="shared" si="210"/>
        <v>0</v>
      </c>
      <c r="R239" s="385">
        <v>0</v>
      </c>
      <c r="S239" s="385">
        <v>0</v>
      </c>
      <c r="T239" s="385">
        <v>0</v>
      </c>
      <c r="U239" s="280"/>
      <c r="V239" s="385">
        <v>-2</v>
      </c>
      <c r="W239" s="385">
        <v>-139</v>
      </c>
      <c r="X239" s="395">
        <f t="shared" si="195"/>
        <v>0</v>
      </c>
      <c r="Y239" s="395">
        <f t="shared" si="195"/>
        <v>0</v>
      </c>
      <c r="Z239" s="395">
        <f t="shared" si="195"/>
        <v>0</v>
      </c>
      <c r="AA239" s="395">
        <f t="shared" si="211"/>
        <v>0</v>
      </c>
      <c r="AB239" s="395">
        <v>0</v>
      </c>
      <c r="AC239" s="395">
        <v>0</v>
      </c>
      <c r="AD239" s="395">
        <v>0</v>
      </c>
      <c r="AF239" s="385">
        <v>0</v>
      </c>
      <c r="AG239" s="385">
        <v>0</v>
      </c>
      <c r="AH239" s="385">
        <v>0</v>
      </c>
      <c r="AI239" s="385">
        <v>0</v>
      </c>
      <c r="AJ239" s="385">
        <v>0</v>
      </c>
      <c r="AK239" s="385">
        <v>0</v>
      </c>
      <c r="AL239" s="385">
        <v>0</v>
      </c>
      <c r="AM239" s="385">
        <v>0</v>
      </c>
      <c r="AN239" s="385">
        <v>0</v>
      </c>
      <c r="AO239" s="385">
        <v>0</v>
      </c>
      <c r="AP239" s="385">
        <v>0</v>
      </c>
      <c r="AQ239" s="385">
        <v>0</v>
      </c>
      <c r="AR239" s="385">
        <v>0</v>
      </c>
    </row>
    <row r="240" spans="3:44" ht="11.25" customHeight="1" outlineLevel="1">
      <c r="C240" s="390" t="s">
        <v>619</v>
      </c>
      <c r="D240" s="390"/>
      <c r="E240" s="395">
        <f t="shared" si="198"/>
        <v>-15</v>
      </c>
      <c r="F240" s="395">
        <f t="shared" si="199"/>
        <v>5</v>
      </c>
      <c r="G240" s="395">
        <f t="shared" si="200"/>
        <v>1</v>
      </c>
      <c r="H240" s="395">
        <f t="shared" si="201"/>
        <v>39</v>
      </c>
      <c r="I240" s="395">
        <f t="shared" si="202"/>
        <v>1</v>
      </c>
      <c r="J240" s="395">
        <f t="shared" si="203"/>
        <v>13</v>
      </c>
      <c r="K240" s="395">
        <f t="shared" si="204"/>
        <v>-4</v>
      </c>
      <c r="L240" s="395">
        <f t="shared" si="205"/>
        <v>-6</v>
      </c>
      <c r="M240" s="395">
        <f t="shared" si="206"/>
        <v>10</v>
      </c>
      <c r="N240" s="395">
        <f t="shared" si="207"/>
        <v>1</v>
      </c>
      <c r="O240" s="395">
        <f t="shared" si="208"/>
        <v>12</v>
      </c>
      <c r="P240" s="395">
        <f t="shared" si="209"/>
        <v>-24</v>
      </c>
      <c r="Q240" s="395">
        <f t="shared" si="210"/>
        <v>0</v>
      </c>
      <c r="R240" s="385">
        <v>0</v>
      </c>
      <c r="S240" s="385">
        <v>0</v>
      </c>
      <c r="T240" s="385">
        <v>0</v>
      </c>
      <c r="U240" s="280"/>
      <c r="V240" s="385">
        <v>163</v>
      </c>
      <c r="W240" s="385">
        <v>156</v>
      </c>
      <c r="X240" s="395">
        <f t="shared" si="195"/>
        <v>30</v>
      </c>
      <c r="Y240" s="395">
        <f t="shared" si="195"/>
        <v>4</v>
      </c>
      <c r="Z240" s="395">
        <f t="shared" si="195"/>
        <v>-1</v>
      </c>
      <c r="AA240" s="395">
        <f t="shared" si="211"/>
        <v>0</v>
      </c>
      <c r="AB240" s="395">
        <v>0</v>
      </c>
      <c r="AC240" s="395">
        <v>0</v>
      </c>
      <c r="AD240" s="395">
        <v>0</v>
      </c>
      <c r="AF240" s="385">
        <v>-15</v>
      </c>
      <c r="AG240" s="385">
        <v>-10</v>
      </c>
      <c r="AH240" s="385">
        <v>-9</v>
      </c>
      <c r="AI240" s="385">
        <v>30</v>
      </c>
      <c r="AJ240" s="385">
        <v>1</v>
      </c>
      <c r="AK240" s="385">
        <v>14</v>
      </c>
      <c r="AL240" s="385">
        <v>10</v>
      </c>
      <c r="AM240" s="385">
        <v>4</v>
      </c>
      <c r="AN240" s="385">
        <v>10</v>
      </c>
      <c r="AO240" s="385">
        <v>11</v>
      </c>
      <c r="AP240" s="385">
        <v>23</v>
      </c>
      <c r="AQ240" s="385">
        <v>-1</v>
      </c>
      <c r="AR240" s="385">
        <v>0</v>
      </c>
    </row>
    <row r="241" spans="3:44" ht="11.25" customHeight="1">
      <c r="C241" s="289" t="s">
        <v>341</v>
      </c>
      <c r="E241" s="358">
        <f>SUM(E233:E234)</f>
        <v>-1580</v>
      </c>
      <c r="F241" s="358">
        <f t="shared" ref="F241:AQ241" si="212">SUM(F233:F234)</f>
        <v>-856</v>
      </c>
      <c r="G241" s="358">
        <f t="shared" si="212"/>
        <v>-795</v>
      </c>
      <c r="H241" s="358">
        <f t="shared" si="212"/>
        <v>-1329</v>
      </c>
      <c r="I241" s="358">
        <f t="shared" si="212"/>
        <v>-1572</v>
      </c>
      <c r="J241" s="358">
        <f t="shared" si="212"/>
        <v>812</v>
      </c>
      <c r="K241" s="358">
        <f t="shared" si="212"/>
        <v>770</v>
      </c>
      <c r="L241" s="358">
        <f t="shared" si="212"/>
        <v>40</v>
      </c>
      <c r="M241" s="358">
        <f t="shared" si="212"/>
        <v>-329</v>
      </c>
      <c r="N241" s="358">
        <f t="shared" si="212"/>
        <v>-781</v>
      </c>
      <c r="O241" s="358">
        <f t="shared" si="212"/>
        <v>-214</v>
      </c>
      <c r="P241" s="358">
        <f t="shared" si="212"/>
        <v>-348</v>
      </c>
      <c r="Q241" s="358">
        <f>SUM(Q233:Q234)</f>
        <v>-430</v>
      </c>
      <c r="R241" s="358">
        <f t="shared" si="212"/>
        <v>-1587.2559095580677</v>
      </c>
      <c r="S241" s="358">
        <f t="shared" si="212"/>
        <v>-1607.6053442959919</v>
      </c>
      <c r="T241" s="358">
        <f t="shared" si="212"/>
        <v>-2205.1387461459403</v>
      </c>
      <c r="U241" s="280"/>
      <c r="V241" s="358">
        <f t="shared" si="212"/>
        <v>-3803</v>
      </c>
      <c r="W241" s="358">
        <f t="shared" si="212"/>
        <v>-4455</v>
      </c>
      <c r="X241" s="358">
        <f t="shared" si="212"/>
        <v>-4560</v>
      </c>
      <c r="Y241" s="358">
        <f t="shared" si="212"/>
        <v>50</v>
      </c>
      <c r="Z241" s="358">
        <f t="shared" si="212"/>
        <v>-1672</v>
      </c>
      <c r="AA241" s="358">
        <f t="shared" si="212"/>
        <v>-5830</v>
      </c>
      <c r="AB241" s="358">
        <f t="shared" si="212"/>
        <v>-7700</v>
      </c>
      <c r="AC241" s="358">
        <f t="shared" si="212"/>
        <v>-5000</v>
      </c>
      <c r="AD241" s="358">
        <f t="shared" si="212"/>
        <v>-4400</v>
      </c>
      <c r="AF241" s="358">
        <f t="shared" si="212"/>
        <v>-1580</v>
      </c>
      <c r="AG241" s="358">
        <f t="shared" si="212"/>
        <v>-2436</v>
      </c>
      <c r="AH241" s="358">
        <f t="shared" si="212"/>
        <v>-3231</v>
      </c>
      <c r="AI241" s="358">
        <f t="shared" si="212"/>
        <v>-4560</v>
      </c>
      <c r="AJ241" s="358">
        <f t="shared" si="212"/>
        <v>-1572</v>
      </c>
      <c r="AK241" s="358">
        <f t="shared" si="212"/>
        <v>-760</v>
      </c>
      <c r="AL241" s="358">
        <f t="shared" si="212"/>
        <v>10</v>
      </c>
      <c r="AM241" s="358">
        <f t="shared" si="212"/>
        <v>50</v>
      </c>
      <c r="AN241" s="358">
        <f t="shared" si="212"/>
        <v>-329</v>
      </c>
      <c r="AO241" s="358">
        <f t="shared" si="212"/>
        <v>-1110</v>
      </c>
      <c r="AP241" s="358">
        <f t="shared" si="212"/>
        <v>-1324</v>
      </c>
      <c r="AQ241" s="358">
        <f t="shared" si="212"/>
        <v>-1672</v>
      </c>
      <c r="AR241" s="358">
        <f>SUM(AR233:AR234)</f>
        <v>-430</v>
      </c>
    </row>
    <row r="242" spans="3:44" ht="11.25" customHeight="1">
      <c r="U242" s="280"/>
      <c r="V242" s="255"/>
      <c r="W242" s="255"/>
      <c r="AB242" s="255"/>
      <c r="AC242" s="255"/>
      <c r="AD242" s="255"/>
      <c r="AF242" s="255"/>
      <c r="AG242" s="255"/>
      <c r="AH242" s="255"/>
      <c r="AI242" s="255"/>
      <c r="AJ242" s="255"/>
      <c r="AK242" s="255"/>
      <c r="AL242" s="255"/>
      <c r="AM242" s="255"/>
      <c r="AN242" s="255"/>
      <c r="AO242" s="255"/>
      <c r="AP242" s="255"/>
      <c r="AQ242" s="255"/>
      <c r="AR242" s="255"/>
    </row>
    <row r="243" spans="3:44" ht="11.25" customHeight="1">
      <c r="C243" s="253" t="s">
        <v>342</v>
      </c>
      <c r="E243" s="255">
        <f t="shared" ref="E243:E248" si="213">AF243</f>
        <v>629</v>
      </c>
      <c r="F243" s="255">
        <f t="shared" ref="F243:F248" si="214">AG243-AF243</f>
        <v>337</v>
      </c>
      <c r="G243" s="255">
        <f t="shared" ref="G243:G248" si="215">AH243-AG243</f>
        <v>92</v>
      </c>
      <c r="H243" s="255">
        <f t="shared" ref="H243:H248" si="216">AI243-AH243</f>
        <v>728</v>
      </c>
      <c r="I243" s="255">
        <f t="shared" ref="I243:I248" si="217">AJ243</f>
        <v>2813</v>
      </c>
      <c r="J243" s="255">
        <f t="shared" ref="J243:J248" si="218">AK243-AJ243</f>
        <v>1558</v>
      </c>
      <c r="K243" s="255">
        <f t="shared" ref="K243:K248" si="219">AL243-AK243</f>
        <v>8359</v>
      </c>
      <c r="L243" s="255">
        <f t="shared" ref="L243:L248" si="220">AM243-AL243</f>
        <v>2946</v>
      </c>
      <c r="M243" s="255">
        <f t="shared" ref="M243:M248" si="221">AN243</f>
        <v>1336</v>
      </c>
      <c r="N243" s="255">
        <f t="shared" ref="N243:N248" si="222">AO243-AN243</f>
        <v>9780</v>
      </c>
      <c r="O243" s="255">
        <f t="shared" ref="O243:O248" si="223">AP243-AO243</f>
        <v>-18</v>
      </c>
      <c r="P243" s="255">
        <f t="shared" ref="P243:P248" si="224">AQ243-AP243</f>
        <v>-2</v>
      </c>
      <c r="Q243" s="255">
        <f t="shared" ref="Q243:Q248" si="225">AR243</f>
        <v>0</v>
      </c>
      <c r="R243" s="287">
        <f ca="1">IF((R144-Q144&gt;0),(R144-Q144-('UAL Debt'!R34-'UAL Debt'!Q34)),0)</f>
        <v>0</v>
      </c>
      <c r="S243" s="287">
        <f ca="1">IF((S144-R144&gt;0),(S144-R144-('UAL Debt'!S34-'UAL Debt'!R34)),0)</f>
        <v>264.6873975197019</v>
      </c>
      <c r="T243" s="287">
        <f ca="1">IF((T144-S144&gt;0),(T144-S144-('UAL Debt'!T34-'UAL Debt'!S34)),0)</f>
        <v>640.91213201781704</v>
      </c>
      <c r="U243" s="280"/>
      <c r="V243" s="277">
        <f>2537-80</f>
        <v>2457</v>
      </c>
      <c r="W243" s="277">
        <f>1594-37</f>
        <v>1557</v>
      </c>
      <c r="X243" s="255">
        <f t="shared" ref="X243:Z248" si="226">SUMIF($AF$6:$AQ$6,X$6,$AF243:$AQ243)</f>
        <v>1786</v>
      </c>
      <c r="Y243" s="255">
        <f t="shared" si="226"/>
        <v>15676</v>
      </c>
      <c r="Z243" s="255">
        <f t="shared" si="226"/>
        <v>11096</v>
      </c>
      <c r="AA243" s="255">
        <f ca="1">SUMIF($E$5:$T$5,AA$5,$E243:$T243)</f>
        <v>905.59952953751895</v>
      </c>
      <c r="AB243" s="287">
        <f ca="1">IF((AB144-AA144&gt;0),(AB144-AA144-('UAL Debt'!AB34-'UAL Debt'!AA34)),0)</f>
        <v>2209.9657599999978</v>
      </c>
      <c r="AC243" s="287">
        <f ca="1">IF((AC144-AB144&gt;0),(AC144-AB144-('UAL Debt'!AC34-'UAL Debt'!AB34)),0)</f>
        <v>0</v>
      </c>
      <c r="AD243" s="287">
        <f ca="1">IF((AD144-AC144&gt;0),(AD144-AC144-('UAL Debt'!AD34-'UAL Debt'!AC34)),0)</f>
        <v>0</v>
      </c>
      <c r="AF243" s="277">
        <f>646-17</f>
        <v>629</v>
      </c>
      <c r="AG243" s="277">
        <f>996-30</f>
        <v>966</v>
      </c>
      <c r="AH243" s="277">
        <f>1109-51</f>
        <v>1058</v>
      </c>
      <c r="AI243" s="277">
        <v>1786</v>
      </c>
      <c r="AJ243" s="277">
        <v>2813</v>
      </c>
      <c r="AK243" s="277">
        <v>4371</v>
      </c>
      <c r="AL243" s="277">
        <v>12730</v>
      </c>
      <c r="AM243" s="277">
        <v>15676</v>
      </c>
      <c r="AN243" s="277">
        <v>1336</v>
      </c>
      <c r="AO243" s="277">
        <v>11116</v>
      </c>
      <c r="AP243" s="277">
        <v>11098</v>
      </c>
      <c r="AQ243" s="277">
        <v>11096</v>
      </c>
      <c r="AR243" s="277">
        <v>0</v>
      </c>
    </row>
    <row r="244" spans="3:44" ht="11.25" customHeight="1">
      <c r="C244" s="253" t="s">
        <v>343</v>
      </c>
      <c r="E244" s="255">
        <f>AF244</f>
        <v>-270</v>
      </c>
      <c r="F244" s="255">
        <f>AG244-AF244</f>
        <v>-266</v>
      </c>
      <c r="G244" s="255">
        <f>AH244-AG244</f>
        <v>-295</v>
      </c>
      <c r="H244" s="255">
        <f>AI244-AH244</f>
        <v>-560</v>
      </c>
      <c r="I244" s="255">
        <f>AJ244</f>
        <v>-253</v>
      </c>
      <c r="J244" s="255">
        <f>AK244-AJ244</f>
        <v>-311</v>
      </c>
      <c r="K244" s="255">
        <f>AL244-AK244</f>
        <v>-453</v>
      </c>
      <c r="L244" s="255">
        <f>AM244-AL244</f>
        <v>-3432</v>
      </c>
      <c r="M244" s="255">
        <f>AN244</f>
        <v>-569</v>
      </c>
      <c r="N244" s="255">
        <f>AO244-AN244</f>
        <v>-3503</v>
      </c>
      <c r="O244" s="255">
        <f>AP244-AO244</f>
        <v>-560</v>
      </c>
      <c r="P244" s="255">
        <f>AQ244-AP244</f>
        <v>-573</v>
      </c>
      <c r="Q244" s="255">
        <f>AR244</f>
        <v>-783</v>
      </c>
      <c r="R244" s="287">
        <f ca="1">IF((R144-Q144&lt;0),(R144-Q144-('UAL Debt'!R34-'UAL Debt'!Q34)),0)</f>
        <v>-4995.6972095375158</v>
      </c>
      <c r="S244" s="287">
        <f ca="1">IF((S144-R144&lt;0),(S144-R144-('UAL Debt'!S34-'UAL Debt'!R34)),0)</f>
        <v>0</v>
      </c>
      <c r="T244" s="287">
        <f ca="1">IF((T144-S144&lt;0),(T144-S144-('UAL Debt'!T34-'UAL Debt'!S34)),0)</f>
        <v>0</v>
      </c>
      <c r="U244" s="280"/>
      <c r="V244" s="277">
        <f>-901-84</f>
        <v>-985</v>
      </c>
      <c r="W244" s="277">
        <f>-1727-79</f>
        <v>-1806</v>
      </c>
      <c r="X244" s="255">
        <f t="shared" si="226"/>
        <v>-1391</v>
      </c>
      <c r="Y244" s="255">
        <f t="shared" si="226"/>
        <v>-4449</v>
      </c>
      <c r="Z244" s="255">
        <f t="shared" si="226"/>
        <v>-5205</v>
      </c>
      <c r="AA244" s="255">
        <f ca="1">SUMIF($E$5:$T$5,AA$5,$E244:$T244)</f>
        <v>-5778.6972095375158</v>
      </c>
      <c r="AB244" s="287">
        <f ca="1">IF((AB144-AA144&lt;0),(AB144-AA144-('UAL Debt'!AB34-'UAL Debt'!AA34)),0)</f>
        <v>0</v>
      </c>
      <c r="AC244" s="287">
        <f ca="1">IF((AC144-AB144&lt;0),(AC144-AB144-('UAL Debt'!AC34-'UAL Debt'!AB34)),0)</f>
        <v>-224.03424000000584</v>
      </c>
      <c r="AD244" s="287">
        <f ca="1">IF((AD144-AC144&lt;0),(AD144-AC144-('UAL Debt'!AD34-'UAL Debt'!AC34)),0)</f>
        <v>-311.03423999999131</v>
      </c>
      <c r="AF244" s="277">
        <f>-250-20</f>
        <v>-270</v>
      </c>
      <c r="AG244" s="277">
        <f>-473-63</f>
        <v>-536</v>
      </c>
      <c r="AH244" s="277">
        <f>-726-105</f>
        <v>-831</v>
      </c>
      <c r="AI244" s="277">
        <v>-1391</v>
      </c>
      <c r="AJ244" s="277">
        <v>-253</v>
      </c>
      <c r="AK244" s="277">
        <v>-564</v>
      </c>
      <c r="AL244" s="277">
        <v>-1017</v>
      </c>
      <c r="AM244" s="277">
        <v>-4449</v>
      </c>
      <c r="AN244" s="277">
        <v>-569</v>
      </c>
      <c r="AO244" s="277">
        <v>-4072</v>
      </c>
      <c r="AP244" s="277">
        <v>-4632</v>
      </c>
      <c r="AQ244" s="277">
        <v>-5205</v>
      </c>
      <c r="AR244" s="277">
        <v>-783</v>
      </c>
    </row>
    <row r="245" spans="3:44" ht="11.25" customHeight="1">
      <c r="C245" s="253" t="s">
        <v>620</v>
      </c>
      <c r="E245" s="255">
        <f>SUM(E246:E248)</f>
        <v>-542</v>
      </c>
      <c r="F245" s="255">
        <f t="shared" ref="F245:AQ245" si="227">SUM(F246:F248)</f>
        <v>-550</v>
      </c>
      <c r="G245" s="255">
        <f t="shared" si="227"/>
        <v>-368</v>
      </c>
      <c r="H245" s="255">
        <f t="shared" si="227"/>
        <v>-215</v>
      </c>
      <c r="I245" s="255">
        <f t="shared" si="227"/>
        <v>-371</v>
      </c>
      <c r="J245" s="255">
        <f t="shared" si="227"/>
        <v>1135</v>
      </c>
      <c r="K245" s="255">
        <f t="shared" si="227"/>
        <v>-1</v>
      </c>
      <c r="L245" s="255">
        <f t="shared" si="227"/>
        <v>967</v>
      </c>
      <c r="M245" s="255">
        <f t="shared" si="227"/>
        <v>511</v>
      </c>
      <c r="N245" s="255">
        <f t="shared" si="227"/>
        <v>-1</v>
      </c>
      <c r="O245" s="255">
        <f t="shared" si="227"/>
        <v>-5</v>
      </c>
      <c r="P245" s="255">
        <f t="shared" si="227"/>
        <v>0</v>
      </c>
      <c r="Q245" s="255">
        <f>SUM(Q246:Q248)</f>
        <v>-73</v>
      </c>
      <c r="R245" s="255">
        <f t="shared" si="227"/>
        <v>0</v>
      </c>
      <c r="S245" s="255">
        <f t="shared" si="227"/>
        <v>0</v>
      </c>
      <c r="T245" s="255">
        <f t="shared" si="227"/>
        <v>0</v>
      </c>
      <c r="U245" s="255"/>
      <c r="V245" s="255">
        <f t="shared" si="227"/>
        <v>-1855</v>
      </c>
      <c r="W245" s="255">
        <f t="shared" si="227"/>
        <v>-1252</v>
      </c>
      <c r="X245" s="255">
        <f t="shared" si="227"/>
        <v>-1675</v>
      </c>
      <c r="Y245" s="255">
        <f t="shared" si="227"/>
        <v>1730</v>
      </c>
      <c r="Z245" s="255">
        <f t="shared" si="227"/>
        <v>505</v>
      </c>
      <c r="AA245" s="255">
        <f t="shared" si="227"/>
        <v>-73</v>
      </c>
      <c r="AB245" s="255">
        <f t="shared" si="227"/>
        <v>0</v>
      </c>
      <c r="AC245" s="255">
        <f t="shared" si="227"/>
        <v>0</v>
      </c>
      <c r="AD245" s="255">
        <f t="shared" si="227"/>
        <v>0</v>
      </c>
      <c r="AE245" s="255">
        <f t="shared" si="227"/>
        <v>0</v>
      </c>
      <c r="AF245" s="255">
        <f t="shared" si="227"/>
        <v>-542</v>
      </c>
      <c r="AG245" s="255">
        <f t="shared" si="227"/>
        <v>-1092</v>
      </c>
      <c r="AH245" s="255">
        <f t="shared" si="227"/>
        <v>-1460</v>
      </c>
      <c r="AI245" s="255">
        <f t="shared" si="227"/>
        <v>-1675</v>
      </c>
      <c r="AJ245" s="255">
        <f t="shared" si="227"/>
        <v>-371</v>
      </c>
      <c r="AK245" s="255">
        <f t="shared" si="227"/>
        <v>764</v>
      </c>
      <c r="AL245" s="255">
        <f t="shared" si="227"/>
        <v>763</v>
      </c>
      <c r="AM245" s="255">
        <f t="shared" si="227"/>
        <v>1730</v>
      </c>
      <c r="AN245" s="255">
        <f t="shared" si="227"/>
        <v>511</v>
      </c>
      <c r="AO245" s="255">
        <f t="shared" si="227"/>
        <v>510</v>
      </c>
      <c r="AP245" s="255">
        <f t="shared" si="227"/>
        <v>505</v>
      </c>
      <c r="AQ245" s="255">
        <f t="shared" si="227"/>
        <v>505</v>
      </c>
      <c r="AR245" s="255">
        <f>SUM(AR246:AR248)</f>
        <v>-73</v>
      </c>
    </row>
    <row r="246" spans="3:44" ht="11.25" customHeight="1" outlineLevel="1">
      <c r="C246" s="390" t="s">
        <v>621</v>
      </c>
      <c r="D246" s="390"/>
      <c r="E246" s="395">
        <f>AF246</f>
        <v>-513</v>
      </c>
      <c r="F246" s="395">
        <f>AG246-AF246</f>
        <v>-549</v>
      </c>
      <c r="G246" s="395">
        <f>AH246-AG246</f>
        <v>-369</v>
      </c>
      <c r="H246" s="395">
        <f>AI246-AH246</f>
        <v>-214</v>
      </c>
      <c r="I246" s="395">
        <f>AJ246</f>
        <v>-353</v>
      </c>
      <c r="J246" s="395">
        <f>AK246-AJ246</f>
        <v>0</v>
      </c>
      <c r="K246" s="395">
        <f>AL246-AK246</f>
        <v>0</v>
      </c>
      <c r="L246" s="395">
        <f>AM246-AL246</f>
        <v>0</v>
      </c>
      <c r="M246" s="395">
        <f>AN246</f>
        <v>0</v>
      </c>
      <c r="N246" s="395">
        <f>AO246-AN246</f>
        <v>0</v>
      </c>
      <c r="O246" s="395">
        <f>AP246-AO246</f>
        <v>0</v>
      </c>
      <c r="P246" s="395">
        <f>AQ246-AP246</f>
        <v>0</v>
      </c>
      <c r="Q246" s="395">
        <f>AR246</f>
        <v>0</v>
      </c>
      <c r="R246" s="385">
        <v>0</v>
      </c>
      <c r="S246" s="385">
        <v>0</v>
      </c>
      <c r="T246" s="385">
        <v>0</v>
      </c>
      <c r="V246" s="385">
        <v>-1844</v>
      </c>
      <c r="W246" s="385">
        <v>-1235</v>
      </c>
      <c r="X246" s="395">
        <f t="shared" si="226"/>
        <v>-1645</v>
      </c>
      <c r="Y246" s="395">
        <f t="shared" si="226"/>
        <v>-353</v>
      </c>
      <c r="Z246" s="395">
        <f t="shared" si="226"/>
        <v>0</v>
      </c>
      <c r="AA246" s="395">
        <f>SUMIF($E$5:$T$5,AA$5,$E246:$T246)</f>
        <v>0</v>
      </c>
      <c r="AB246" s="385">
        <v>0</v>
      </c>
      <c r="AC246" s="385">
        <v>0</v>
      </c>
      <c r="AD246" s="385">
        <v>0</v>
      </c>
      <c r="AF246" s="385">
        <v>-513</v>
      </c>
      <c r="AG246" s="385">
        <v>-1062</v>
      </c>
      <c r="AH246" s="385">
        <v>-1431</v>
      </c>
      <c r="AI246" s="385">
        <v>-1645</v>
      </c>
      <c r="AJ246" s="385">
        <v>-353</v>
      </c>
      <c r="AK246" s="385">
        <v>-353</v>
      </c>
      <c r="AL246" s="385">
        <v>-353</v>
      </c>
      <c r="AM246" s="385">
        <v>-353</v>
      </c>
      <c r="AN246" s="385">
        <v>0</v>
      </c>
      <c r="AO246" s="385">
        <v>0</v>
      </c>
      <c r="AP246" s="385">
        <v>0</v>
      </c>
      <c r="AQ246" s="385">
        <v>0</v>
      </c>
      <c r="AR246" s="385">
        <v>0</v>
      </c>
    </row>
    <row r="247" spans="3:44" ht="11.25" customHeight="1" outlineLevel="1">
      <c r="C247" s="390" t="s">
        <v>622</v>
      </c>
      <c r="D247" s="390"/>
      <c r="E247" s="395">
        <f t="shared" si="213"/>
        <v>0</v>
      </c>
      <c r="F247" s="395">
        <f t="shared" si="214"/>
        <v>0</v>
      </c>
      <c r="G247" s="395">
        <f t="shared" si="215"/>
        <v>0</v>
      </c>
      <c r="H247" s="395">
        <f t="shared" si="216"/>
        <v>0</v>
      </c>
      <c r="I247" s="395">
        <f t="shared" si="217"/>
        <v>0</v>
      </c>
      <c r="J247" s="395">
        <f t="shared" si="218"/>
        <v>1135</v>
      </c>
      <c r="K247" s="395">
        <f t="shared" si="219"/>
        <v>0</v>
      </c>
      <c r="L247" s="395">
        <f t="shared" si="220"/>
        <v>968</v>
      </c>
      <c r="M247" s="395">
        <f t="shared" si="221"/>
        <v>532</v>
      </c>
      <c r="N247" s="395">
        <f t="shared" si="222"/>
        <v>0</v>
      </c>
      <c r="O247" s="395">
        <f t="shared" si="223"/>
        <v>0</v>
      </c>
      <c r="P247" s="395">
        <f t="shared" si="224"/>
        <v>0</v>
      </c>
      <c r="Q247" s="395">
        <f t="shared" si="225"/>
        <v>0</v>
      </c>
      <c r="R247" s="385">
        <v>0</v>
      </c>
      <c r="S247" s="385">
        <v>0</v>
      </c>
      <c r="T247" s="385">
        <v>0</v>
      </c>
      <c r="V247" s="385">
        <v>0</v>
      </c>
      <c r="W247" s="385">
        <v>0</v>
      </c>
      <c r="X247" s="395">
        <f t="shared" si="226"/>
        <v>0</v>
      </c>
      <c r="Y247" s="395">
        <f t="shared" si="226"/>
        <v>2103</v>
      </c>
      <c r="Z247" s="395">
        <f t="shared" si="226"/>
        <v>532</v>
      </c>
      <c r="AA247" s="395">
        <f>SUMIF($E$5:$T$5,AA$5,$E247:$T247)</f>
        <v>0</v>
      </c>
      <c r="AB247" s="385">
        <v>0</v>
      </c>
      <c r="AC247" s="385">
        <v>0</v>
      </c>
      <c r="AD247" s="385">
        <v>0</v>
      </c>
      <c r="AF247" s="385">
        <v>0</v>
      </c>
      <c r="AG247" s="385">
        <v>0</v>
      </c>
      <c r="AH247" s="385">
        <v>0</v>
      </c>
      <c r="AI247" s="385">
        <v>0</v>
      </c>
      <c r="AJ247" s="385">
        <v>0</v>
      </c>
      <c r="AK247" s="385">
        <v>1135</v>
      </c>
      <c r="AL247" s="385">
        <v>1135</v>
      </c>
      <c r="AM247" s="385">
        <v>2103</v>
      </c>
      <c r="AN247" s="385">
        <v>532</v>
      </c>
      <c r="AO247" s="385">
        <v>532</v>
      </c>
      <c r="AP247" s="385">
        <v>532</v>
      </c>
      <c r="AQ247" s="385">
        <v>532</v>
      </c>
      <c r="AR247" s="385">
        <v>0</v>
      </c>
    </row>
    <row r="248" spans="3:44" ht="11.25" customHeight="1" outlineLevel="1">
      <c r="C248" s="390" t="s">
        <v>619</v>
      </c>
      <c r="D248" s="390"/>
      <c r="E248" s="395">
        <f t="shared" si="213"/>
        <v>-29</v>
      </c>
      <c r="F248" s="395">
        <f t="shared" si="214"/>
        <v>-1</v>
      </c>
      <c r="G248" s="395">
        <f t="shared" si="215"/>
        <v>1</v>
      </c>
      <c r="H248" s="395">
        <f t="shared" si="216"/>
        <v>-1</v>
      </c>
      <c r="I248" s="395">
        <f t="shared" si="217"/>
        <v>-18</v>
      </c>
      <c r="J248" s="395">
        <f t="shared" si="218"/>
        <v>0</v>
      </c>
      <c r="K248" s="395">
        <f t="shared" si="219"/>
        <v>-1</v>
      </c>
      <c r="L248" s="395">
        <f t="shared" si="220"/>
        <v>-1</v>
      </c>
      <c r="M248" s="395">
        <f t="shared" si="221"/>
        <v>-21</v>
      </c>
      <c r="N248" s="395">
        <f t="shared" si="222"/>
        <v>-1</v>
      </c>
      <c r="O248" s="395">
        <f t="shared" si="223"/>
        <v>-5</v>
      </c>
      <c r="P248" s="395">
        <f t="shared" si="224"/>
        <v>0</v>
      </c>
      <c r="Q248" s="395">
        <f t="shared" si="225"/>
        <v>-73</v>
      </c>
      <c r="R248" s="385">
        <v>0</v>
      </c>
      <c r="S248" s="385">
        <v>0</v>
      </c>
      <c r="T248" s="385">
        <v>0</v>
      </c>
      <c r="V248" s="385">
        <v>-11</v>
      </c>
      <c r="W248" s="385">
        <v>-17</v>
      </c>
      <c r="X248" s="395">
        <f t="shared" si="226"/>
        <v>-30</v>
      </c>
      <c r="Y248" s="395">
        <f t="shared" si="226"/>
        <v>-20</v>
      </c>
      <c r="Z248" s="395">
        <f t="shared" si="226"/>
        <v>-27</v>
      </c>
      <c r="AA248" s="395">
        <f>SUMIF($E$5:$T$5,AA$5,$E248:$T248)</f>
        <v>-73</v>
      </c>
      <c r="AB248" s="385">
        <v>0</v>
      </c>
      <c r="AC248" s="385">
        <v>0</v>
      </c>
      <c r="AD248" s="385">
        <v>0</v>
      </c>
      <c r="AF248" s="385">
        <v>-29</v>
      </c>
      <c r="AG248" s="385">
        <v>-30</v>
      </c>
      <c r="AH248" s="385">
        <v>-29</v>
      </c>
      <c r="AI248" s="385">
        <v>-30</v>
      </c>
      <c r="AJ248" s="385">
        <v>-18</v>
      </c>
      <c r="AK248" s="385">
        <v>-18</v>
      </c>
      <c r="AL248" s="385">
        <v>-19</v>
      </c>
      <c r="AM248" s="385">
        <v>-20</v>
      </c>
      <c r="AN248" s="385">
        <v>-21</v>
      </c>
      <c r="AO248" s="385">
        <v>-22</v>
      </c>
      <c r="AP248" s="385">
        <v>-27</v>
      </c>
      <c r="AQ248" s="385">
        <v>-27</v>
      </c>
      <c r="AR248" s="385">
        <v>-73</v>
      </c>
    </row>
    <row r="249" spans="3:44" ht="11.25" customHeight="1">
      <c r="C249" s="289" t="s">
        <v>344</v>
      </c>
      <c r="E249" s="358">
        <f>SUM(E243:E245)</f>
        <v>-183</v>
      </c>
      <c r="F249" s="358">
        <f t="shared" ref="F249:AQ249" si="228">SUM(F243:F245)</f>
        <v>-479</v>
      </c>
      <c r="G249" s="358">
        <f t="shared" si="228"/>
        <v>-571</v>
      </c>
      <c r="H249" s="358">
        <f t="shared" si="228"/>
        <v>-47</v>
      </c>
      <c r="I249" s="358">
        <f t="shared" si="228"/>
        <v>2189</v>
      </c>
      <c r="J249" s="358">
        <f t="shared" si="228"/>
        <v>2382</v>
      </c>
      <c r="K249" s="358">
        <f t="shared" si="228"/>
        <v>7905</v>
      </c>
      <c r="L249" s="358">
        <f t="shared" si="228"/>
        <v>481</v>
      </c>
      <c r="M249" s="358">
        <f t="shared" si="228"/>
        <v>1278</v>
      </c>
      <c r="N249" s="358">
        <f t="shared" si="228"/>
        <v>6276</v>
      </c>
      <c r="O249" s="358">
        <f t="shared" si="228"/>
        <v>-583</v>
      </c>
      <c r="P249" s="358">
        <f t="shared" si="228"/>
        <v>-575</v>
      </c>
      <c r="Q249" s="358">
        <f>SUM(Q243:Q245)</f>
        <v>-856</v>
      </c>
      <c r="R249" s="358">
        <f t="shared" ca="1" si="228"/>
        <v>-4995.6972095375158</v>
      </c>
      <c r="S249" s="358">
        <f t="shared" ca="1" si="228"/>
        <v>264.6873975197019</v>
      </c>
      <c r="T249" s="358">
        <f t="shared" ca="1" si="228"/>
        <v>640.91213201781704</v>
      </c>
      <c r="V249" s="358">
        <f t="shared" si="228"/>
        <v>-383</v>
      </c>
      <c r="W249" s="358">
        <f t="shared" si="228"/>
        <v>-1501</v>
      </c>
      <c r="X249" s="358">
        <f t="shared" si="228"/>
        <v>-1280</v>
      </c>
      <c r="Y249" s="358">
        <f t="shared" si="228"/>
        <v>12957</v>
      </c>
      <c r="Z249" s="358">
        <f t="shared" si="228"/>
        <v>6396</v>
      </c>
      <c r="AA249" s="358">
        <f t="shared" ca="1" si="228"/>
        <v>-4946.0976799999971</v>
      </c>
      <c r="AB249" s="358">
        <f t="shared" ca="1" si="228"/>
        <v>2209.9657599999978</v>
      </c>
      <c r="AC249" s="358">
        <f t="shared" ca="1" si="228"/>
        <v>-224.03424000000584</v>
      </c>
      <c r="AD249" s="358">
        <f t="shared" ca="1" si="228"/>
        <v>-311.03423999999131</v>
      </c>
      <c r="AF249" s="358">
        <f t="shared" si="228"/>
        <v>-183</v>
      </c>
      <c r="AG249" s="358">
        <f t="shared" si="228"/>
        <v>-662</v>
      </c>
      <c r="AH249" s="358">
        <f t="shared" si="228"/>
        <v>-1233</v>
      </c>
      <c r="AI249" s="358">
        <f t="shared" si="228"/>
        <v>-1280</v>
      </c>
      <c r="AJ249" s="358">
        <f t="shared" si="228"/>
        <v>2189</v>
      </c>
      <c r="AK249" s="358">
        <f t="shared" si="228"/>
        <v>4571</v>
      </c>
      <c r="AL249" s="358">
        <f t="shared" si="228"/>
        <v>12476</v>
      </c>
      <c r="AM249" s="358">
        <f t="shared" si="228"/>
        <v>12957</v>
      </c>
      <c r="AN249" s="358">
        <f t="shared" si="228"/>
        <v>1278</v>
      </c>
      <c r="AO249" s="358">
        <f t="shared" si="228"/>
        <v>7554</v>
      </c>
      <c r="AP249" s="358">
        <f t="shared" si="228"/>
        <v>6971</v>
      </c>
      <c r="AQ249" s="358">
        <f t="shared" si="228"/>
        <v>6396</v>
      </c>
      <c r="AR249" s="358">
        <f>SUM(AR243:AR245)</f>
        <v>-856</v>
      </c>
    </row>
    <row r="250" spans="3:44" ht="11.25" customHeight="1">
      <c r="C250" s="289"/>
      <c r="V250" s="255"/>
      <c r="W250" s="255"/>
      <c r="AB250" s="255"/>
      <c r="AC250" s="255"/>
      <c r="AD250" s="255"/>
      <c r="AF250" s="255"/>
      <c r="AG250" s="255"/>
      <c r="AH250" s="255"/>
      <c r="AI250" s="255"/>
      <c r="AJ250" s="255"/>
      <c r="AK250" s="255"/>
      <c r="AL250" s="255"/>
      <c r="AM250" s="255"/>
      <c r="AN250" s="255"/>
      <c r="AO250" s="255"/>
      <c r="AP250" s="255"/>
      <c r="AQ250" s="255"/>
      <c r="AR250" s="255"/>
    </row>
    <row r="251" spans="3:44" ht="11.25" customHeight="1">
      <c r="C251" s="253" t="s">
        <v>345</v>
      </c>
      <c r="E251" s="255">
        <f t="shared" ref="E251:T251" si="229">E231+E241+E249</f>
        <v>152</v>
      </c>
      <c r="F251" s="255">
        <f t="shared" si="229"/>
        <v>1375</v>
      </c>
      <c r="G251" s="255">
        <f t="shared" si="229"/>
        <v>-263</v>
      </c>
      <c r="H251" s="255">
        <f t="shared" si="229"/>
        <v>-195</v>
      </c>
      <c r="I251" s="255">
        <f t="shared" si="229"/>
        <v>680</v>
      </c>
      <c r="J251" s="255">
        <f t="shared" si="229"/>
        <v>3064</v>
      </c>
      <c r="K251" s="255">
        <f t="shared" si="229"/>
        <v>6786</v>
      </c>
      <c r="L251" s="255">
        <f t="shared" si="229"/>
        <v>-1656</v>
      </c>
      <c r="M251" s="255">
        <f t="shared" si="229"/>
        <v>1396</v>
      </c>
      <c r="N251" s="255">
        <f t="shared" si="229"/>
        <v>8170</v>
      </c>
      <c r="O251" s="255">
        <f t="shared" si="229"/>
        <v>-1583</v>
      </c>
      <c r="P251" s="255">
        <f t="shared" si="229"/>
        <v>-1192</v>
      </c>
      <c r="Q251" s="255">
        <f>Q231+Q241+Q249</f>
        <v>190</v>
      </c>
      <c r="R251" s="255">
        <f t="shared" ca="1" si="229"/>
        <v>-4621.1850313379291</v>
      </c>
      <c r="S251" s="255">
        <f t="shared" ca="1" si="229"/>
        <v>-722.5625279254524</v>
      </c>
      <c r="T251" s="255">
        <f t="shared" ca="1" si="229"/>
        <v>-996.1322550104793</v>
      </c>
      <c r="V251" s="255">
        <f>V231+V241+V249</f>
        <v>-712</v>
      </c>
      <c r="W251" s="255">
        <f>W231+W241+W249</f>
        <v>208</v>
      </c>
      <c r="X251" s="255">
        <f t="shared" ref="X251:Z252" si="230">SUMIF($AF$6:$AQ$6,X$6,$AF251:$AQ251)</f>
        <v>1069</v>
      </c>
      <c r="Y251" s="255">
        <f t="shared" si="230"/>
        <v>8874</v>
      </c>
      <c r="Z251" s="255">
        <f t="shared" si="230"/>
        <v>6791</v>
      </c>
      <c r="AA251" s="255">
        <f ca="1">AA231+AA241+AA249</f>
        <v>-6149.8798142738606</v>
      </c>
      <c r="AB251" s="255">
        <f ca="1">AB231+AB241+AB249</f>
        <v>-922.25445597377939</v>
      </c>
      <c r="AC251" s="255">
        <f ca="1">AC231+AC241+AC249</f>
        <v>2017.0082514407809</v>
      </c>
      <c r="AD251" s="255">
        <f ca="1">AD231+AD241+AD249</f>
        <v>2430.6398451570608</v>
      </c>
      <c r="AF251" s="255">
        <f t="shared" ref="AF251:AQ251" si="231">AF231+AF241+AF249</f>
        <v>152</v>
      </c>
      <c r="AG251" s="255">
        <f t="shared" si="231"/>
        <v>1527</v>
      </c>
      <c r="AH251" s="255">
        <f t="shared" si="231"/>
        <v>1264</v>
      </c>
      <c r="AI251" s="255">
        <f t="shared" si="231"/>
        <v>1069</v>
      </c>
      <c r="AJ251" s="255">
        <f t="shared" si="231"/>
        <v>680</v>
      </c>
      <c r="AK251" s="255">
        <f t="shared" si="231"/>
        <v>3744</v>
      </c>
      <c r="AL251" s="255">
        <f t="shared" si="231"/>
        <v>10530</v>
      </c>
      <c r="AM251" s="255">
        <f t="shared" si="231"/>
        <v>8874</v>
      </c>
      <c r="AN251" s="255">
        <f t="shared" si="231"/>
        <v>1396</v>
      </c>
      <c r="AO251" s="255">
        <f t="shared" si="231"/>
        <v>9566</v>
      </c>
      <c r="AP251" s="255">
        <f t="shared" si="231"/>
        <v>7983</v>
      </c>
      <c r="AQ251" s="255">
        <f t="shared" si="231"/>
        <v>6791</v>
      </c>
      <c r="AR251" s="255">
        <f>AR231+AR241+AR249</f>
        <v>190</v>
      </c>
    </row>
    <row r="252" spans="3:44" ht="11.25" customHeight="1">
      <c r="C252" s="253" t="s">
        <v>346</v>
      </c>
      <c r="E252" s="255">
        <f>AF252</f>
        <v>1799</v>
      </c>
      <c r="F252" s="255">
        <f>E253</f>
        <v>1951</v>
      </c>
      <c r="G252" s="255">
        <f t="shared" ref="G252:Q252" si="232">F253</f>
        <v>3326</v>
      </c>
      <c r="H252" s="255">
        <f t="shared" si="232"/>
        <v>3063</v>
      </c>
      <c r="I252" s="255">
        <f t="shared" si="232"/>
        <v>2868</v>
      </c>
      <c r="J252" s="255">
        <f t="shared" si="232"/>
        <v>3548</v>
      </c>
      <c r="K252" s="255">
        <f t="shared" si="232"/>
        <v>6612</v>
      </c>
      <c r="L252" s="255">
        <f t="shared" si="232"/>
        <v>13398</v>
      </c>
      <c r="M252" s="255">
        <f t="shared" si="232"/>
        <v>11742</v>
      </c>
      <c r="N252" s="255">
        <f t="shared" si="232"/>
        <v>13138</v>
      </c>
      <c r="O252" s="255">
        <f t="shared" si="232"/>
        <v>21308</v>
      </c>
      <c r="P252" s="255">
        <f>O253</f>
        <v>19725</v>
      </c>
      <c r="Q252" s="255">
        <f t="shared" si="232"/>
        <v>18533</v>
      </c>
      <c r="R252" s="255">
        <f>Q253</f>
        <v>18723</v>
      </c>
      <c r="S252" s="255">
        <f ca="1">R253</f>
        <v>14101.814968662071</v>
      </c>
      <c r="T252" s="255">
        <f ca="1">S253</f>
        <v>13379.252440736618</v>
      </c>
      <c r="V252" s="277">
        <v>2303</v>
      </c>
      <c r="W252" s="254">
        <f>V253</f>
        <v>1591</v>
      </c>
      <c r="X252" s="255">
        <f t="shared" si="230"/>
        <v>1799</v>
      </c>
      <c r="Y252" s="255">
        <f t="shared" si="230"/>
        <v>2868</v>
      </c>
      <c r="Z252" s="255">
        <f t="shared" si="230"/>
        <v>11742</v>
      </c>
      <c r="AA252" s="255">
        <f>Z253</f>
        <v>18533</v>
      </c>
      <c r="AB252" s="255">
        <f ca="1">AA253</f>
        <v>12383.12018572614</v>
      </c>
      <c r="AC252" s="255">
        <f ca="1">AB253</f>
        <v>11460.86572975236</v>
      </c>
      <c r="AD252" s="255">
        <f ca="1">AC253</f>
        <v>13477.873981193141</v>
      </c>
      <c r="AF252" s="254">
        <f>W253</f>
        <v>1799</v>
      </c>
      <c r="AG252" s="288">
        <f>AF252</f>
        <v>1799</v>
      </c>
      <c r="AH252" s="288">
        <f t="shared" ref="AH252:AQ252" si="233">AG252</f>
        <v>1799</v>
      </c>
      <c r="AI252" s="288">
        <f t="shared" si="233"/>
        <v>1799</v>
      </c>
      <c r="AJ252" s="254">
        <f>AI253</f>
        <v>2868</v>
      </c>
      <c r="AK252" s="288">
        <f t="shared" si="233"/>
        <v>2868</v>
      </c>
      <c r="AL252" s="288">
        <f t="shared" si="233"/>
        <v>2868</v>
      </c>
      <c r="AM252" s="288">
        <f>AL252</f>
        <v>2868</v>
      </c>
      <c r="AN252" s="254">
        <f>AM253</f>
        <v>11742</v>
      </c>
      <c r="AO252" s="288">
        <f t="shared" si="233"/>
        <v>11742</v>
      </c>
      <c r="AP252" s="288">
        <f t="shared" si="233"/>
        <v>11742</v>
      </c>
      <c r="AQ252" s="288">
        <f t="shared" si="233"/>
        <v>11742</v>
      </c>
      <c r="AR252" s="254">
        <f>AQ253</f>
        <v>18533</v>
      </c>
    </row>
    <row r="253" spans="3:44" ht="11.25" customHeight="1">
      <c r="C253" s="289" t="s">
        <v>347</v>
      </c>
      <c r="E253" s="358">
        <f>SUM(E251:E252)</f>
        <v>1951</v>
      </c>
      <c r="F253" s="358">
        <f>SUM(F251:F252)</f>
        <v>3326</v>
      </c>
      <c r="G253" s="358">
        <f t="shared" ref="G253:P253" si="234">SUM(G251:G252)</f>
        <v>3063</v>
      </c>
      <c r="H253" s="358">
        <f t="shared" si="234"/>
        <v>2868</v>
      </c>
      <c r="I253" s="358">
        <f t="shared" si="234"/>
        <v>3548</v>
      </c>
      <c r="J253" s="358">
        <f t="shared" si="234"/>
        <v>6612</v>
      </c>
      <c r="K253" s="358">
        <f t="shared" si="234"/>
        <v>13398</v>
      </c>
      <c r="L253" s="358">
        <f t="shared" si="234"/>
        <v>11742</v>
      </c>
      <c r="M253" s="358">
        <f t="shared" si="234"/>
        <v>13138</v>
      </c>
      <c r="N253" s="358">
        <f t="shared" si="234"/>
        <v>21308</v>
      </c>
      <c r="O253" s="358">
        <f t="shared" si="234"/>
        <v>19725</v>
      </c>
      <c r="P253" s="358">
        <f t="shared" si="234"/>
        <v>18533</v>
      </c>
      <c r="Q253" s="358">
        <f>SUM(Q251:Q252)</f>
        <v>18723</v>
      </c>
      <c r="R253" s="358">
        <f ca="1">SUM(R251:R252)</f>
        <v>14101.814968662071</v>
      </c>
      <c r="S253" s="358">
        <f ca="1">SUM(S251:S252)</f>
        <v>13379.252440736618</v>
      </c>
      <c r="T253" s="358">
        <f ca="1">SUM(T251:T252)</f>
        <v>12383.120185726139</v>
      </c>
      <c r="V253" s="358">
        <f t="shared" ref="V253:AD253" si="235">SUM(V251:V252)</f>
        <v>1591</v>
      </c>
      <c r="W253" s="358">
        <f t="shared" si="235"/>
        <v>1799</v>
      </c>
      <c r="X253" s="358">
        <f t="shared" si="235"/>
        <v>2868</v>
      </c>
      <c r="Y253" s="358">
        <f t="shared" si="235"/>
        <v>11742</v>
      </c>
      <c r="Z253" s="358">
        <f t="shared" si="235"/>
        <v>18533</v>
      </c>
      <c r="AA253" s="358">
        <f t="shared" ca="1" si="235"/>
        <v>12383.12018572614</v>
      </c>
      <c r="AB253" s="358">
        <f t="shared" ca="1" si="235"/>
        <v>11460.86572975236</v>
      </c>
      <c r="AC253" s="358">
        <f t="shared" ca="1" si="235"/>
        <v>13477.873981193141</v>
      </c>
      <c r="AD253" s="358">
        <f t="shared" ca="1" si="235"/>
        <v>15908.513826350201</v>
      </c>
      <c r="AF253" s="358">
        <f t="shared" ref="AF253:AP253" si="236">SUM(AF251:AF252)</f>
        <v>1951</v>
      </c>
      <c r="AG253" s="358">
        <f t="shared" si="236"/>
        <v>3326</v>
      </c>
      <c r="AH253" s="358">
        <f t="shared" si="236"/>
        <v>3063</v>
      </c>
      <c r="AI253" s="358">
        <f t="shared" si="236"/>
        <v>2868</v>
      </c>
      <c r="AJ253" s="358">
        <f t="shared" si="236"/>
        <v>3548</v>
      </c>
      <c r="AK253" s="358">
        <f t="shared" si="236"/>
        <v>6612</v>
      </c>
      <c r="AL253" s="358">
        <f t="shared" si="236"/>
        <v>13398</v>
      </c>
      <c r="AM253" s="358">
        <f t="shared" si="236"/>
        <v>11742</v>
      </c>
      <c r="AN253" s="358">
        <f t="shared" si="236"/>
        <v>13138</v>
      </c>
      <c r="AO253" s="358">
        <f t="shared" si="236"/>
        <v>21308</v>
      </c>
      <c r="AP253" s="358">
        <f t="shared" si="236"/>
        <v>19725</v>
      </c>
      <c r="AQ253" s="358">
        <f>SUM(AQ251:AQ252)</f>
        <v>18533</v>
      </c>
      <c r="AR253" s="358">
        <f>SUM(AR251:AR252)</f>
        <v>18723</v>
      </c>
    </row>
    <row r="255" spans="3:44" s="293" customFormat="1" ht="11.25" customHeight="1">
      <c r="C255" s="293" t="s">
        <v>233</v>
      </c>
      <c r="E255" s="284">
        <f t="shared" ref="E255:T255" si="237">E253-E116-E119-E118</f>
        <v>0</v>
      </c>
      <c r="F255" s="284">
        <f t="shared" si="237"/>
        <v>0</v>
      </c>
      <c r="G255" s="284">
        <f t="shared" si="237"/>
        <v>0</v>
      </c>
      <c r="H255" s="284">
        <f t="shared" si="237"/>
        <v>0</v>
      </c>
      <c r="I255" s="284">
        <f t="shared" si="237"/>
        <v>0</v>
      </c>
      <c r="J255" s="284">
        <f t="shared" si="237"/>
        <v>0</v>
      </c>
      <c r="K255" s="284">
        <f t="shared" si="237"/>
        <v>0</v>
      </c>
      <c r="L255" s="284">
        <f t="shared" si="237"/>
        <v>0</v>
      </c>
      <c r="M255" s="284">
        <f t="shared" si="237"/>
        <v>0</v>
      </c>
      <c r="N255" s="284">
        <f t="shared" si="237"/>
        <v>0</v>
      </c>
      <c r="O255" s="284">
        <f t="shared" si="237"/>
        <v>0</v>
      </c>
      <c r="P255" s="284">
        <f t="shared" si="237"/>
        <v>0</v>
      </c>
      <c r="Q255" s="284">
        <f t="shared" si="237"/>
        <v>0</v>
      </c>
      <c r="R255" s="284">
        <f t="shared" ca="1" si="237"/>
        <v>0</v>
      </c>
      <c r="S255" s="284">
        <f t="shared" ca="1" si="237"/>
        <v>0</v>
      </c>
      <c r="T255" s="284">
        <f t="shared" ca="1" si="237"/>
        <v>0</v>
      </c>
      <c r="V255" s="284">
        <f t="shared" ref="V255:AD255" si="238">V253-V116-V119-V118</f>
        <v>0</v>
      </c>
      <c r="W255" s="284">
        <f t="shared" si="238"/>
        <v>0</v>
      </c>
      <c r="X255" s="284">
        <f t="shared" si="238"/>
        <v>0</v>
      </c>
      <c r="Y255" s="284">
        <f t="shared" si="238"/>
        <v>0</v>
      </c>
      <c r="Z255" s="284">
        <f t="shared" si="238"/>
        <v>0</v>
      </c>
      <c r="AA255" s="284">
        <f t="shared" ca="1" si="238"/>
        <v>1.8189894035458565E-12</v>
      </c>
      <c r="AB255" s="284">
        <f t="shared" ca="1" si="238"/>
        <v>0</v>
      </c>
      <c r="AC255" s="284">
        <f t="shared" ca="1" si="238"/>
        <v>0</v>
      </c>
      <c r="AD255" s="284">
        <f t="shared" ca="1" si="238"/>
        <v>0</v>
      </c>
      <c r="AF255" s="284">
        <f t="shared" ref="AF255:AR255" si="239">AF253-E116-E118-E119</f>
        <v>0</v>
      </c>
      <c r="AG255" s="284">
        <f t="shared" si="239"/>
        <v>0</v>
      </c>
      <c r="AH255" s="284">
        <f t="shared" si="239"/>
        <v>0</v>
      </c>
      <c r="AI255" s="284">
        <f t="shared" si="239"/>
        <v>0</v>
      </c>
      <c r="AJ255" s="284">
        <f t="shared" si="239"/>
        <v>0</v>
      </c>
      <c r="AK255" s="284">
        <f t="shared" si="239"/>
        <v>0</v>
      </c>
      <c r="AL255" s="284">
        <f t="shared" si="239"/>
        <v>0</v>
      </c>
      <c r="AM255" s="284">
        <f t="shared" si="239"/>
        <v>0</v>
      </c>
      <c r="AN255" s="284">
        <f t="shared" si="239"/>
        <v>0</v>
      </c>
      <c r="AO255" s="284">
        <f t="shared" si="239"/>
        <v>0</v>
      </c>
      <c r="AP255" s="284">
        <f t="shared" si="239"/>
        <v>0</v>
      </c>
      <c r="AQ255" s="284">
        <f t="shared" si="239"/>
        <v>0</v>
      </c>
      <c r="AR255" s="284">
        <f t="shared" si="239"/>
        <v>0</v>
      </c>
    </row>
    <row r="257" spans="2:2" ht="11.25" customHeight="1">
      <c r="B257" s="253" t="s">
        <v>133</v>
      </c>
    </row>
  </sheetData>
  <pageMargins left="0.7" right="0.7" top="0.75" bottom="0.75" header="0.3" footer="0.3"/>
  <pageSetup orientation="portrait" horizontalDpi="300" verticalDpi="300" r:id="rId1"/>
  <ignoredErrors>
    <ignoredError sqref="E51:T51 AB117:AD120 E157:P161 R170:T170 R117:T121 E139:P139 E144:P152 E163:P170 H204:Q204 R125:T127 R123:T123 V122:AA122 V51:W51 V121:AD121 V170:AD170 V117:W120 V123:AD127 E117:P127 E129:P130 E132:P136 E140:P141" formulaRange="1"/>
    <ignoredError sqref="I231:N233 I250:N253 I242:N244 I246:N248 I235:N240 E234:P234 E241:P241 E235:H240 O235:P240 E249:P249 E246:H248 O246:P248 E245:P245 E242:H244 O242:P244 E254:P254 E250:H253 O250:P253 R234:T234 R241:T241 R235:T240 R249:T249 R246:T248 R245:T245 R242:T244 R254:T254 R250:T253 Q22:Q35 V154:Z155 R156:T156 V156:AD156 V153:Z153 AB154:AD155 V234:AE234 V241:AE241 V235:AE240 V249:AE249 V246:AE248 V245:AE245 V242:AE244 V254:AE254 V250:AE253" formula="1"/>
    <ignoredError sqref="X117:AA120 R157:T161 R144:T144 V169:Z169 V144:AD144 R145:T145 V145:AD145 R129:T130 R146:T150 R163:T168 R151:T152 R139:T139 V136:AA136 R132:T135 V157:AD161 V129:AD130 V146:AD150 V163:AD168 V151:AD152 V139:AD139 V132:AD135 R140:T141 V140:AD141" formula="1" formulaRange="1"/>
  </ignoredError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77E8-DEBA-426E-89DA-B82EBC4E27A9}">
  <sheetPr codeName="Sheet5">
    <tabColor rgb="FF92D050"/>
  </sheetPr>
  <dimension ref="A1:AQ334"/>
  <sheetViews>
    <sheetView showGridLines="0" zoomScaleNormal="100"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9.19921875" defaultRowHeight="11.25" customHeight="1" outlineLevelRow="1" outlineLevelCol="1"/>
  <cols>
    <col min="1" max="2" width="1.796875" style="253" customWidth="1"/>
    <col min="3" max="3" width="35.796875" style="253" customWidth="1"/>
    <col min="4" max="4" width="9.19921875" style="253" hidden="1" customWidth="1" outlineLevel="1"/>
    <col min="5" max="5" width="9.19921875" style="253" customWidth="1" collapsed="1"/>
    <col min="6" max="17" width="9.19921875" style="253" customWidth="1"/>
    <col min="18" max="20" width="9.19921875" style="253" customWidth="1" outlineLevel="1"/>
    <col min="21" max="21" width="9.19921875" style="253" customWidth="1"/>
    <col min="22" max="23" width="10.53125" style="253" customWidth="1" outlineLevel="1"/>
    <col min="24" max="26" width="9.19921875" style="253" customWidth="1"/>
    <col min="27" max="30" width="9.19921875" style="253" customWidth="1" outlineLevel="1"/>
    <col min="31" max="43" width="9.19921875" style="253" customWidth="1"/>
    <col min="44" max="16384" width="9.19921875" style="253"/>
  </cols>
  <sheetData>
    <row r="1" spans="1:43" ht="11.25" customHeight="1">
      <c r="A1" s="378" t="str">
        <f ca="1">'UAL One Pager'!$D$2</f>
        <v>#N/A Requesting Data...</v>
      </c>
      <c r="O1" s="255"/>
      <c r="P1" s="255"/>
      <c r="Q1" s="255"/>
      <c r="R1" s="255"/>
      <c r="S1" s="255"/>
      <c r="T1" s="255"/>
      <c r="U1" s="255"/>
      <c r="V1" s="255"/>
      <c r="W1" s="255"/>
      <c r="X1" s="255"/>
      <c r="Y1" s="255"/>
      <c r="Z1" s="255"/>
      <c r="AA1" s="255"/>
      <c r="AB1" s="255"/>
      <c r="AC1" s="255"/>
      <c r="AD1" s="255"/>
    </row>
    <row r="2" spans="1:43" ht="11.25" customHeight="1">
      <c r="A2" s="278" t="str">
        <f>'UAL Financials'!$A$2</f>
        <v>(All Values in US$ millions)</v>
      </c>
      <c r="O2" s="255"/>
      <c r="P2" s="255"/>
      <c r="Q2" s="255"/>
      <c r="R2" s="255"/>
      <c r="S2" s="255"/>
      <c r="T2" s="255"/>
      <c r="U2" s="255"/>
      <c r="V2" s="255"/>
      <c r="W2" s="255"/>
      <c r="X2" s="255"/>
      <c r="Y2" s="255"/>
      <c r="Z2" s="255"/>
      <c r="AA2" s="255"/>
      <c r="AB2" s="255"/>
      <c r="AC2" s="255"/>
      <c r="AD2" s="255"/>
    </row>
    <row r="3" spans="1:43" ht="11.25" customHeight="1">
      <c r="E3" s="284"/>
      <c r="F3" s="284"/>
      <c r="G3" s="284"/>
      <c r="H3" s="284"/>
      <c r="I3" s="284"/>
      <c r="J3" s="284"/>
      <c r="K3" s="284"/>
      <c r="L3" s="284"/>
      <c r="M3" s="284"/>
      <c r="N3" s="284"/>
      <c r="O3" s="284"/>
      <c r="P3" s="284"/>
      <c r="Q3" s="284"/>
      <c r="R3" s="284"/>
      <c r="S3" s="284"/>
      <c r="T3" s="284"/>
      <c r="U3" s="284"/>
      <c r="V3" s="284"/>
      <c r="W3" s="284"/>
      <c r="X3" s="284"/>
      <c r="Y3" s="284"/>
      <c r="Z3" s="284"/>
      <c r="AA3" s="284"/>
      <c r="AB3" s="284"/>
      <c r="AC3" s="284"/>
    </row>
    <row r="5" spans="1:43" ht="12.75" customHeight="1">
      <c r="B5" s="276"/>
      <c r="C5" s="276" t="s">
        <v>65</v>
      </c>
      <c r="D5" s="276"/>
      <c r="E5" s="275">
        <f t="shared" ref="E5:T5" si="0">YEAR(E6)</f>
        <v>2019</v>
      </c>
      <c r="F5" s="274">
        <f t="shared" si="0"/>
        <v>2019</v>
      </c>
      <c r="G5" s="273">
        <f t="shared" si="0"/>
        <v>2019</v>
      </c>
      <c r="H5" s="272">
        <f t="shared" si="0"/>
        <v>2019</v>
      </c>
      <c r="I5" s="275">
        <f t="shared" si="0"/>
        <v>2020</v>
      </c>
      <c r="J5" s="274">
        <f t="shared" si="0"/>
        <v>2020</v>
      </c>
      <c r="K5" s="273">
        <f t="shared" si="0"/>
        <v>2020</v>
      </c>
      <c r="L5" s="272">
        <f t="shared" si="0"/>
        <v>2020</v>
      </c>
      <c r="M5" s="275">
        <f t="shared" si="0"/>
        <v>2021</v>
      </c>
      <c r="N5" s="274">
        <f t="shared" si="0"/>
        <v>2021</v>
      </c>
      <c r="O5" s="273">
        <f t="shared" si="0"/>
        <v>2021</v>
      </c>
      <c r="P5" s="272">
        <f t="shared" si="0"/>
        <v>2021</v>
      </c>
      <c r="Q5" s="275">
        <f t="shared" si="0"/>
        <v>2022</v>
      </c>
      <c r="R5" s="364">
        <f t="shared" si="0"/>
        <v>2022</v>
      </c>
      <c r="S5" s="365">
        <f t="shared" si="0"/>
        <v>2022</v>
      </c>
      <c r="T5" s="366">
        <f t="shared" si="0"/>
        <v>2022</v>
      </c>
      <c r="U5" s="265"/>
      <c r="V5" s="271">
        <f t="shared" ref="V5:AD5" si="1">YEAR(V6)</f>
        <v>2017</v>
      </c>
      <c r="W5" s="271">
        <f t="shared" si="1"/>
        <v>2018</v>
      </c>
      <c r="X5" s="271">
        <f t="shared" si="1"/>
        <v>2019</v>
      </c>
      <c r="Y5" s="271">
        <f t="shared" si="1"/>
        <v>2020</v>
      </c>
      <c r="Z5" s="271">
        <f t="shared" si="1"/>
        <v>2021</v>
      </c>
      <c r="AA5" s="270">
        <f t="shared" si="1"/>
        <v>2022</v>
      </c>
      <c r="AB5" s="270">
        <f t="shared" si="1"/>
        <v>2023</v>
      </c>
      <c r="AC5" s="270">
        <f t="shared" si="1"/>
        <v>2024</v>
      </c>
      <c r="AD5" s="270">
        <f t="shared" si="1"/>
        <v>2025</v>
      </c>
      <c r="AE5" s="269"/>
      <c r="AF5" s="268" t="s">
        <v>231</v>
      </c>
      <c r="AG5" s="267"/>
      <c r="AH5" s="267"/>
      <c r="AI5" s="267"/>
      <c r="AJ5" s="267"/>
      <c r="AK5" s="267"/>
      <c r="AL5" s="267"/>
      <c r="AM5" s="267"/>
      <c r="AN5" s="267"/>
      <c r="AO5" s="267"/>
      <c r="AP5" s="267"/>
      <c r="AQ5" s="267"/>
    </row>
    <row r="6" spans="1:43" s="260" customFormat="1" ht="12.75" customHeight="1">
      <c r="A6" s="253"/>
      <c r="B6" s="262"/>
      <c r="C6" s="262" t="s">
        <v>232</v>
      </c>
      <c r="D6" s="262"/>
      <c r="E6" s="262">
        <v>43555</v>
      </c>
      <c r="F6" s="262">
        <f t="shared" ref="F6:T6" si="2">+EOMONTH(E6,3)</f>
        <v>43646</v>
      </c>
      <c r="G6" s="262">
        <f t="shared" si="2"/>
        <v>43738</v>
      </c>
      <c r="H6" s="262">
        <f t="shared" si="2"/>
        <v>43830</v>
      </c>
      <c r="I6" s="262">
        <f t="shared" si="2"/>
        <v>43921</v>
      </c>
      <c r="J6" s="262">
        <f t="shared" si="2"/>
        <v>44012</v>
      </c>
      <c r="K6" s="262">
        <f t="shared" si="2"/>
        <v>44104</v>
      </c>
      <c r="L6" s="266">
        <f t="shared" si="2"/>
        <v>44196</v>
      </c>
      <c r="M6" s="266">
        <f t="shared" si="2"/>
        <v>44286</v>
      </c>
      <c r="N6" s="266">
        <f t="shared" si="2"/>
        <v>44377</v>
      </c>
      <c r="O6" s="266">
        <f t="shared" si="2"/>
        <v>44469</v>
      </c>
      <c r="P6" s="266">
        <f t="shared" si="2"/>
        <v>44561</v>
      </c>
      <c r="Q6" s="266">
        <f t="shared" si="2"/>
        <v>44651</v>
      </c>
      <c r="R6" s="266">
        <f t="shared" si="2"/>
        <v>44742</v>
      </c>
      <c r="S6" s="266">
        <f t="shared" si="2"/>
        <v>44834</v>
      </c>
      <c r="T6" s="266">
        <f t="shared" si="2"/>
        <v>44926</v>
      </c>
      <c r="U6" s="265"/>
      <c r="V6" s="261">
        <v>43100</v>
      </c>
      <c r="W6" s="261">
        <f t="shared" ref="W6:AD6" si="3">EOMONTH(V6,12)</f>
        <v>43465</v>
      </c>
      <c r="X6" s="261">
        <f t="shared" si="3"/>
        <v>43830</v>
      </c>
      <c r="Y6" s="261">
        <f t="shared" si="3"/>
        <v>44196</v>
      </c>
      <c r="Z6" s="261">
        <f t="shared" si="3"/>
        <v>44561</v>
      </c>
      <c r="AA6" s="261">
        <f t="shared" si="3"/>
        <v>44926</v>
      </c>
      <c r="AB6" s="264">
        <f t="shared" si="3"/>
        <v>45291</v>
      </c>
      <c r="AC6" s="264">
        <f t="shared" si="3"/>
        <v>45657</v>
      </c>
      <c r="AD6" s="264">
        <f t="shared" si="3"/>
        <v>46022</v>
      </c>
      <c r="AE6" s="263"/>
      <c r="AF6" s="262">
        <v>43555</v>
      </c>
      <c r="AG6" s="261">
        <f t="shared" ref="AG6:AQ6" si="4">+EOMONTH(AF6,3)</f>
        <v>43646</v>
      </c>
      <c r="AH6" s="261">
        <f t="shared" si="4"/>
        <v>43738</v>
      </c>
      <c r="AI6" s="261">
        <f t="shared" si="4"/>
        <v>43830</v>
      </c>
      <c r="AJ6" s="261">
        <f t="shared" si="4"/>
        <v>43921</v>
      </c>
      <c r="AK6" s="261">
        <f t="shared" si="4"/>
        <v>44012</v>
      </c>
      <c r="AL6" s="261">
        <f t="shared" si="4"/>
        <v>44104</v>
      </c>
      <c r="AM6" s="261">
        <f t="shared" si="4"/>
        <v>44196</v>
      </c>
      <c r="AN6" s="262">
        <f t="shared" si="4"/>
        <v>44286</v>
      </c>
      <c r="AO6" s="262">
        <f t="shared" si="4"/>
        <v>44377</v>
      </c>
      <c r="AP6" s="262">
        <f t="shared" si="4"/>
        <v>44469</v>
      </c>
      <c r="AQ6" s="261">
        <f t="shared" si="4"/>
        <v>44561</v>
      </c>
    </row>
    <row r="8" spans="1:43" s="255" customFormat="1" ht="11.25" customHeight="1">
      <c r="B8" s="258" t="s">
        <v>133</v>
      </c>
      <c r="C8" s="259" t="s">
        <v>417</v>
      </c>
      <c r="D8" s="259"/>
      <c r="E8" s="258"/>
      <c r="F8" s="258"/>
      <c r="G8" s="258"/>
      <c r="H8" s="258"/>
      <c r="I8" s="258"/>
      <c r="J8" s="258"/>
      <c r="K8" s="258"/>
      <c r="L8" s="258"/>
      <c r="M8" s="258"/>
      <c r="N8" s="258"/>
      <c r="O8" s="258"/>
      <c r="P8" s="258"/>
      <c r="Q8" s="258"/>
      <c r="R8" s="258"/>
      <c r="S8" s="258"/>
      <c r="T8" s="258"/>
      <c r="U8" s="280"/>
      <c r="V8" s="258"/>
      <c r="W8" s="258"/>
      <c r="X8" s="258"/>
      <c r="Y8" s="258"/>
      <c r="Z8" s="258"/>
      <c r="AA8" s="258"/>
      <c r="AB8" s="258"/>
      <c r="AC8" s="258"/>
      <c r="AD8" s="258"/>
    </row>
    <row r="9" spans="1:43" ht="11.25" customHeight="1">
      <c r="M9" s="257"/>
      <c r="N9" s="257"/>
      <c r="O9" s="257"/>
      <c r="P9" s="257"/>
    </row>
    <row r="10" spans="1:43" ht="11.25" customHeight="1">
      <c r="C10" s="253" t="s">
        <v>284</v>
      </c>
      <c r="E10" s="287">
        <f>'UAL Financials'!E10</f>
        <v>8725</v>
      </c>
      <c r="F10" s="287">
        <f>'UAL Financials'!F10</f>
        <v>10486</v>
      </c>
      <c r="G10" s="287">
        <f>'UAL Financials'!G10</f>
        <v>10481</v>
      </c>
      <c r="H10" s="287">
        <f>'UAL Financials'!H10</f>
        <v>9933</v>
      </c>
      <c r="I10" s="287">
        <f>'UAL Financials'!I10</f>
        <v>7065</v>
      </c>
      <c r="J10" s="287">
        <f>'UAL Financials'!J10</f>
        <v>681</v>
      </c>
      <c r="K10" s="287">
        <f>'UAL Financials'!K10</f>
        <v>1649</v>
      </c>
      <c r="L10" s="287">
        <f>'UAL Financials'!L10</f>
        <v>2410</v>
      </c>
      <c r="M10" s="287">
        <f>'UAL Financials'!M10</f>
        <v>2316</v>
      </c>
      <c r="N10" s="287">
        <f>'UAL Financials'!N10</f>
        <v>4366</v>
      </c>
      <c r="O10" s="287">
        <f>'UAL Financials'!O10</f>
        <v>6637</v>
      </c>
      <c r="P10" s="287">
        <f>'UAL Financials'!P10</f>
        <v>6878</v>
      </c>
      <c r="Q10" s="287">
        <f>'UAL Financials'!Q10</f>
        <v>6348</v>
      </c>
      <c r="R10" s="254">
        <f>R84</f>
        <v>10088.515773701803</v>
      </c>
      <c r="S10" s="254">
        <f>S84</f>
        <v>10637.838600000001</v>
      </c>
      <c r="T10" s="254">
        <f>T84</f>
        <v>10316.181500000002</v>
      </c>
      <c r="U10" s="255"/>
      <c r="V10" s="287">
        <f>'UAL Financials'!V10</f>
        <v>34460</v>
      </c>
      <c r="W10" s="287">
        <f>'UAL Financials'!W10</f>
        <v>37706</v>
      </c>
      <c r="X10" s="255">
        <f t="shared" ref="X10:AA12" si="5">SUMIF($E$5:$T$5,X$5,$E10:$T10)</f>
        <v>39625</v>
      </c>
      <c r="Y10" s="255">
        <f t="shared" si="5"/>
        <v>11805</v>
      </c>
      <c r="Z10" s="255">
        <f t="shared" si="5"/>
        <v>20197</v>
      </c>
      <c r="AA10" s="255">
        <f t="shared" si="5"/>
        <v>37390.53587370181</v>
      </c>
      <c r="AB10" s="254">
        <f>AB84</f>
        <v>43279.233455173897</v>
      </c>
      <c r="AC10" s="254">
        <f>AC84</f>
        <v>46011.713891739513</v>
      </c>
      <c r="AD10" s="254">
        <f>AD84</f>
        <v>46500.886315926742</v>
      </c>
    </row>
    <row r="11" spans="1:43" ht="11.25" customHeight="1">
      <c r="C11" s="253" t="s">
        <v>285</v>
      </c>
      <c r="E11" s="287">
        <f>'UAL Financials'!E11</f>
        <v>286</v>
      </c>
      <c r="F11" s="287">
        <f>'UAL Financials'!F11</f>
        <v>295</v>
      </c>
      <c r="G11" s="287">
        <f>'UAL Financials'!G11</f>
        <v>282</v>
      </c>
      <c r="H11" s="287">
        <f>'UAL Financials'!H11</f>
        <v>316</v>
      </c>
      <c r="I11" s="287">
        <f>'UAL Financials'!I11</f>
        <v>264</v>
      </c>
      <c r="J11" s="287">
        <f>'UAL Financials'!J11</f>
        <v>402</v>
      </c>
      <c r="K11" s="287">
        <f>'UAL Financials'!K11</f>
        <v>422</v>
      </c>
      <c r="L11" s="287">
        <f>'UAL Financials'!L11</f>
        <v>560</v>
      </c>
      <c r="M11" s="287">
        <f>'UAL Financials'!M11</f>
        <v>497</v>
      </c>
      <c r="N11" s="287">
        <f>'UAL Financials'!N11</f>
        <v>606</v>
      </c>
      <c r="O11" s="287">
        <f>'UAL Financials'!O11</f>
        <v>519</v>
      </c>
      <c r="P11" s="287">
        <f>'UAL Financials'!P11</f>
        <v>727</v>
      </c>
      <c r="Q11" s="287">
        <f>'UAL Financials'!Q11</f>
        <v>627</v>
      </c>
      <c r="R11" s="254">
        <f>R172</f>
        <v>587.21400000000006</v>
      </c>
      <c r="S11" s="254">
        <f>S172</f>
        <v>554.68124999999998</v>
      </c>
      <c r="T11" s="254">
        <f>T172</f>
        <v>539.7974999999999</v>
      </c>
      <c r="U11" s="255"/>
      <c r="V11" s="287">
        <f>'UAL Financials'!V11</f>
        <v>1114</v>
      </c>
      <c r="W11" s="287">
        <f>'UAL Financials'!W11</f>
        <v>1237</v>
      </c>
      <c r="X11" s="255">
        <f t="shared" si="5"/>
        <v>1179</v>
      </c>
      <c r="Y11" s="255">
        <f t="shared" si="5"/>
        <v>1648</v>
      </c>
      <c r="Z11" s="255">
        <f t="shared" si="5"/>
        <v>2349</v>
      </c>
      <c r="AA11" s="255">
        <f t="shared" si="5"/>
        <v>2308.6927500000002</v>
      </c>
      <c r="AB11" s="254">
        <f>AB172</f>
        <v>1864.2693956250002</v>
      </c>
      <c r="AC11" s="254">
        <f>AC172</f>
        <v>1505.3975369671875</v>
      </c>
      <c r="AD11" s="254">
        <f>AD172</f>
        <v>1215.6085111010041</v>
      </c>
    </row>
    <row r="12" spans="1:43" ht="11.25" customHeight="1">
      <c r="C12" s="253" t="s">
        <v>286</v>
      </c>
      <c r="E12" s="287">
        <f>'UAL Financials'!E12</f>
        <v>578</v>
      </c>
      <c r="F12" s="287">
        <f>'UAL Financials'!F12</f>
        <v>621</v>
      </c>
      <c r="G12" s="287">
        <f>'UAL Financials'!G12</f>
        <v>617</v>
      </c>
      <c r="H12" s="287">
        <f>'UAL Financials'!H12</f>
        <v>639</v>
      </c>
      <c r="I12" s="287">
        <f>'UAL Financials'!I12</f>
        <v>650</v>
      </c>
      <c r="J12" s="287">
        <f>'UAL Financials'!J12</f>
        <v>392</v>
      </c>
      <c r="K12" s="287">
        <f>'UAL Financials'!K12</f>
        <v>418</v>
      </c>
      <c r="L12" s="287">
        <f>'UAL Financials'!L12</f>
        <v>442</v>
      </c>
      <c r="M12" s="287">
        <f>'UAL Financials'!M12</f>
        <v>408</v>
      </c>
      <c r="N12" s="287">
        <f>'UAL Financials'!N12</f>
        <v>499</v>
      </c>
      <c r="O12" s="287">
        <f>'UAL Financials'!O12</f>
        <v>594</v>
      </c>
      <c r="P12" s="287">
        <f>'UAL Financials'!P12</f>
        <v>587</v>
      </c>
      <c r="Q12" s="287">
        <f>'UAL Financials'!Q12</f>
        <v>591</v>
      </c>
      <c r="R12" s="254">
        <f>R180</f>
        <v>907.96641963316233</v>
      </c>
      <c r="S12" s="254">
        <f>S180</f>
        <v>957.40547400000003</v>
      </c>
      <c r="T12" s="254">
        <f>T180</f>
        <v>928.45633500000019</v>
      </c>
      <c r="U12" s="255"/>
      <c r="V12" s="287">
        <f>'UAL Financials'!V12</f>
        <v>2210</v>
      </c>
      <c r="W12" s="287">
        <f>'UAL Financials'!W12</f>
        <v>2360</v>
      </c>
      <c r="X12" s="255">
        <f t="shared" si="5"/>
        <v>2455</v>
      </c>
      <c r="Y12" s="255">
        <f t="shared" si="5"/>
        <v>1902</v>
      </c>
      <c r="Z12" s="255">
        <f t="shared" si="5"/>
        <v>2088</v>
      </c>
      <c r="AA12" s="255">
        <f t="shared" si="5"/>
        <v>3384.8282286331628</v>
      </c>
      <c r="AB12" s="254">
        <f>AB180</f>
        <v>3678.7348436897814</v>
      </c>
      <c r="AC12" s="254">
        <f>AC180</f>
        <v>3910.9956807978588</v>
      </c>
      <c r="AD12" s="254">
        <f>AD180</f>
        <v>3952.5753368537735</v>
      </c>
    </row>
    <row r="13" spans="1:43" ht="11.25" customHeight="1">
      <c r="C13" s="289" t="s">
        <v>287</v>
      </c>
      <c r="E13" s="357">
        <f t="shared" ref="E13:T13" si="6">SUM(E10:E12)</f>
        <v>9589</v>
      </c>
      <c r="F13" s="357">
        <f t="shared" si="6"/>
        <v>11402</v>
      </c>
      <c r="G13" s="357">
        <f t="shared" si="6"/>
        <v>11380</v>
      </c>
      <c r="H13" s="357">
        <f t="shared" si="6"/>
        <v>10888</v>
      </c>
      <c r="I13" s="357">
        <f t="shared" si="6"/>
        <v>7979</v>
      </c>
      <c r="J13" s="357">
        <f t="shared" si="6"/>
        <v>1475</v>
      </c>
      <c r="K13" s="357">
        <f t="shared" si="6"/>
        <v>2489</v>
      </c>
      <c r="L13" s="357">
        <f t="shared" si="6"/>
        <v>3412</v>
      </c>
      <c r="M13" s="357">
        <f t="shared" si="6"/>
        <v>3221</v>
      </c>
      <c r="N13" s="357">
        <f t="shared" si="6"/>
        <v>5471</v>
      </c>
      <c r="O13" s="357">
        <f t="shared" si="6"/>
        <v>7750</v>
      </c>
      <c r="P13" s="357">
        <f t="shared" si="6"/>
        <v>8192</v>
      </c>
      <c r="Q13" s="357">
        <f>SUM(Q10:Q12)</f>
        <v>7566</v>
      </c>
      <c r="R13" s="357">
        <f t="shared" si="6"/>
        <v>11583.696193334967</v>
      </c>
      <c r="S13" s="357">
        <f t="shared" si="6"/>
        <v>12149.925324</v>
      </c>
      <c r="T13" s="357">
        <f t="shared" si="6"/>
        <v>11784.435335000004</v>
      </c>
      <c r="U13" s="255"/>
      <c r="V13" s="357">
        <f t="shared" ref="V13:AD13" si="7">SUM(V10:V12)</f>
        <v>37784</v>
      </c>
      <c r="W13" s="357">
        <f t="shared" si="7"/>
        <v>41303</v>
      </c>
      <c r="X13" s="357">
        <f t="shared" si="7"/>
        <v>43259</v>
      </c>
      <c r="Y13" s="357">
        <f t="shared" si="7"/>
        <v>15355</v>
      </c>
      <c r="Z13" s="357">
        <f t="shared" si="7"/>
        <v>24634</v>
      </c>
      <c r="AA13" s="357">
        <f t="shared" si="7"/>
        <v>43084.056852334972</v>
      </c>
      <c r="AB13" s="357">
        <f t="shared" si="7"/>
        <v>48822.237694488678</v>
      </c>
      <c r="AC13" s="357">
        <f t="shared" si="7"/>
        <v>51428.107109504563</v>
      </c>
      <c r="AD13" s="357">
        <f t="shared" si="7"/>
        <v>51669.070163881523</v>
      </c>
    </row>
    <row r="14" spans="1:43" ht="11.25" customHeight="1">
      <c r="E14" s="287"/>
      <c r="F14" s="287"/>
      <c r="G14" s="287"/>
      <c r="H14" s="287"/>
      <c r="I14" s="287"/>
      <c r="J14" s="287"/>
      <c r="K14" s="287"/>
      <c r="L14" s="287"/>
      <c r="M14" s="287"/>
      <c r="N14" s="287"/>
      <c r="O14" s="287"/>
      <c r="P14" s="287"/>
      <c r="Q14" s="287"/>
      <c r="U14" s="255"/>
      <c r="V14" s="287"/>
      <c r="W14" s="287"/>
      <c r="X14" s="287"/>
      <c r="Y14" s="287"/>
      <c r="Z14" s="287"/>
      <c r="AA14" s="287"/>
    </row>
    <row r="15" spans="1:43" ht="11.25" customHeight="1">
      <c r="C15" s="253" t="s">
        <v>289</v>
      </c>
      <c r="E15" s="287">
        <f>'UAL Financials'!E15</f>
        <v>2023</v>
      </c>
      <c r="F15" s="287">
        <f>'UAL Financials'!F15</f>
        <v>2385</v>
      </c>
      <c r="G15" s="287">
        <f>'UAL Financials'!G15</f>
        <v>2296</v>
      </c>
      <c r="H15" s="287">
        <f>'UAL Financials'!H15</f>
        <v>2249</v>
      </c>
      <c r="I15" s="287">
        <f>'UAL Financials'!I15</f>
        <v>1726</v>
      </c>
      <c r="J15" s="287">
        <f>'UAL Financials'!J15</f>
        <v>240</v>
      </c>
      <c r="K15" s="287">
        <f>'UAL Financials'!K15</f>
        <v>508</v>
      </c>
      <c r="L15" s="287">
        <f>'UAL Financials'!L15</f>
        <v>679</v>
      </c>
      <c r="M15" s="287">
        <f>'UAL Financials'!M15</f>
        <v>851</v>
      </c>
      <c r="N15" s="287">
        <f>'UAL Financials'!N15</f>
        <v>1232</v>
      </c>
      <c r="O15" s="287">
        <f>'UAL Financials'!O15</f>
        <v>1710</v>
      </c>
      <c r="P15" s="287">
        <f>'UAL Financials'!P15</f>
        <v>1962</v>
      </c>
      <c r="Q15" s="287">
        <f>'UAL Financials'!Q15</f>
        <v>2230</v>
      </c>
      <c r="R15" s="255">
        <f>R196</f>
        <v>4046.9830937239549</v>
      </c>
      <c r="S15" s="255">
        <f>S196</f>
        <v>3893.5381361959298</v>
      </c>
      <c r="T15" s="255">
        <f>T196</f>
        <v>3407.2193959186893</v>
      </c>
      <c r="U15" s="255"/>
      <c r="V15" s="287">
        <f>'UAL Financials'!V15</f>
        <v>6913</v>
      </c>
      <c r="W15" s="287">
        <f>'UAL Financials'!W15</f>
        <v>9307</v>
      </c>
      <c r="X15" s="255">
        <f t="shared" ref="X15:AA21" si="8">SUMIF($E$5:$T$5,X$5,$E15:$T15)</f>
        <v>8953</v>
      </c>
      <c r="Y15" s="255">
        <f t="shared" si="8"/>
        <v>3153</v>
      </c>
      <c r="Z15" s="255">
        <f t="shared" si="8"/>
        <v>5755</v>
      </c>
      <c r="AA15" s="255">
        <f t="shared" si="8"/>
        <v>13577.740625838574</v>
      </c>
      <c r="AB15" s="255">
        <f>AB196</f>
        <v>13562.050053777422</v>
      </c>
      <c r="AC15" s="255">
        <f>AC196</f>
        <v>12389.637423269909</v>
      </c>
      <c r="AD15" s="255">
        <f>AD196</f>
        <v>12399.244025654214</v>
      </c>
      <c r="AF15" s="255"/>
    </row>
    <row r="16" spans="1:43" ht="11.25" customHeight="1">
      <c r="C16" s="253" t="s">
        <v>288</v>
      </c>
      <c r="E16" s="287">
        <f>'UAL Financials'!E16</f>
        <v>2840</v>
      </c>
      <c r="F16" s="287">
        <f>'UAL Financials'!F16</f>
        <v>2896</v>
      </c>
      <c r="G16" s="287">
        <f>'UAL Financials'!G16</f>
        <v>2889</v>
      </c>
      <c r="H16" s="287">
        <f>'UAL Financials'!H16</f>
        <v>2955</v>
      </c>
      <c r="I16" s="287">
        <f>'UAL Financials'!I16</f>
        <v>2955</v>
      </c>
      <c r="J16" s="287">
        <f>'UAL Financials'!J16</f>
        <v>2170</v>
      </c>
      <c r="K16" s="287">
        <f>'UAL Financials'!K16</f>
        <v>2229</v>
      </c>
      <c r="L16" s="287">
        <f>'UAL Financials'!L16</f>
        <v>2168</v>
      </c>
      <c r="M16" s="287">
        <f>'UAL Financials'!M16</f>
        <v>2224</v>
      </c>
      <c r="N16" s="287">
        <f>'UAL Financials'!N16</f>
        <v>2276</v>
      </c>
      <c r="O16" s="287">
        <f>'UAL Financials'!O16</f>
        <v>2487</v>
      </c>
      <c r="P16" s="287">
        <f>'UAL Financials'!P16</f>
        <v>2579</v>
      </c>
      <c r="Q16" s="287">
        <f>'UAL Financials'!Q16</f>
        <v>2787</v>
      </c>
      <c r="R16" s="255">
        <f t="shared" ref="R16:T21" si="9">R227</f>
        <v>2785.9520000000002</v>
      </c>
      <c r="S16" s="255">
        <f t="shared" si="9"/>
        <v>3169.95525</v>
      </c>
      <c r="T16" s="255">
        <f t="shared" si="9"/>
        <v>3257.8875000000003</v>
      </c>
      <c r="U16" s="255"/>
      <c r="V16" s="287">
        <f>'UAL Financials'!V16</f>
        <v>10592</v>
      </c>
      <c r="W16" s="287">
        <f>'UAL Financials'!W16</f>
        <v>11124</v>
      </c>
      <c r="X16" s="255">
        <f t="shared" si="8"/>
        <v>11580</v>
      </c>
      <c r="Y16" s="255">
        <f t="shared" si="8"/>
        <v>9522</v>
      </c>
      <c r="Z16" s="255">
        <f t="shared" si="8"/>
        <v>9566</v>
      </c>
      <c r="AA16" s="255">
        <f t="shared" si="8"/>
        <v>12000.794750000001</v>
      </c>
      <c r="AB16" s="255">
        <f t="shared" ref="AB16:AD21" si="10">AB227</f>
        <v>12387.936599999999</v>
      </c>
      <c r="AC16" s="255">
        <f t="shared" si="10"/>
        <v>12481.873559999998</v>
      </c>
      <c r="AD16" s="255">
        <f t="shared" si="10"/>
        <v>12949.334999999999</v>
      </c>
      <c r="AE16" s="255"/>
      <c r="AF16" s="255"/>
    </row>
    <row r="17" spans="3:32" ht="11.25" customHeight="1">
      <c r="C17" s="253" t="s">
        <v>290</v>
      </c>
      <c r="E17" s="287">
        <f>'UAL Financials'!E17</f>
        <v>588</v>
      </c>
      <c r="F17" s="287">
        <f>'UAL Financials'!F17</f>
        <v>660</v>
      </c>
      <c r="G17" s="287">
        <f>'UAL Financials'!G17</f>
        <v>645</v>
      </c>
      <c r="H17" s="287">
        <f>'UAL Financials'!H17</f>
        <v>650</v>
      </c>
      <c r="I17" s="287">
        <f>'UAL Financials'!I17</f>
        <v>623</v>
      </c>
      <c r="J17" s="287">
        <f>'UAL Financials'!J17</f>
        <v>429</v>
      </c>
      <c r="K17" s="287">
        <f>'UAL Financials'!K17</f>
        <v>500</v>
      </c>
      <c r="L17" s="287">
        <f>'UAL Financials'!L17</f>
        <v>575</v>
      </c>
      <c r="M17" s="287">
        <f>'UAL Financials'!M17</f>
        <v>519</v>
      </c>
      <c r="N17" s="287">
        <f>'UAL Financials'!N17</f>
        <v>564</v>
      </c>
      <c r="O17" s="287">
        <f>'UAL Financials'!O17</f>
        <v>652</v>
      </c>
      <c r="P17" s="287">
        <f>'UAL Financials'!P17</f>
        <v>681</v>
      </c>
      <c r="Q17" s="287">
        <f>'UAL Financials'!Q17</f>
        <v>612</v>
      </c>
      <c r="R17" s="255">
        <f t="shared" si="9"/>
        <v>746.90633806663027</v>
      </c>
      <c r="S17" s="255">
        <f t="shared" si="9"/>
        <v>683.62701695615101</v>
      </c>
      <c r="T17" s="255">
        <f t="shared" si="9"/>
        <v>697.60139186069409</v>
      </c>
      <c r="U17" s="255"/>
      <c r="V17" s="287">
        <f>'UAL Financials'!V17</f>
        <v>2310</v>
      </c>
      <c r="W17" s="287">
        <f>'UAL Financials'!W17</f>
        <v>2449</v>
      </c>
      <c r="X17" s="255">
        <f t="shared" si="8"/>
        <v>2543</v>
      </c>
      <c r="Y17" s="255">
        <f t="shared" si="8"/>
        <v>2127</v>
      </c>
      <c r="Z17" s="255">
        <f t="shared" si="8"/>
        <v>2416</v>
      </c>
      <c r="AA17" s="255">
        <f t="shared" si="8"/>
        <v>2740.1347468834756</v>
      </c>
      <c r="AB17" s="255">
        <f t="shared" si="10"/>
        <v>2885.8228321239726</v>
      </c>
      <c r="AC17" s="255">
        <f t="shared" si="10"/>
        <v>3112.4938209256875</v>
      </c>
      <c r="AD17" s="255">
        <f t="shared" si="10"/>
        <v>3114.9071676233957</v>
      </c>
      <c r="AE17" s="255"/>
      <c r="AF17" s="255"/>
    </row>
    <row r="18" spans="3:32" ht="11.25" customHeight="1">
      <c r="C18" s="253" t="s">
        <v>292</v>
      </c>
      <c r="E18" s="287">
        <f>'UAL Financials'!E18</f>
        <v>688</v>
      </c>
      <c r="F18" s="287">
        <f>'UAL Financials'!F18</f>
        <v>715</v>
      </c>
      <c r="G18" s="287">
        <f>'UAL Financials'!G18</f>
        <v>721</v>
      </c>
      <c r="H18" s="287">
        <f>'UAL Financials'!H18</f>
        <v>725</v>
      </c>
      <c r="I18" s="287">
        <f>'UAL Financials'!I18</f>
        <v>737</v>
      </c>
      <c r="J18" s="287">
        <f>'UAL Financials'!J18</f>
        <v>388</v>
      </c>
      <c r="K18" s="287">
        <f>'UAL Financials'!K18</f>
        <v>425</v>
      </c>
      <c r="L18" s="287">
        <f>'UAL Financials'!L18</f>
        <v>489</v>
      </c>
      <c r="M18" s="287">
        <f>'UAL Financials'!M18</f>
        <v>479</v>
      </c>
      <c r="N18" s="287">
        <f>'UAL Financials'!N18</f>
        <v>547</v>
      </c>
      <c r="O18" s="287">
        <f>'UAL Financials'!O18</f>
        <v>520</v>
      </c>
      <c r="P18" s="287">
        <f>'UAL Financials'!P18</f>
        <v>601</v>
      </c>
      <c r="Q18" s="287">
        <f>'UAL Financials'!Q18</f>
        <v>565</v>
      </c>
      <c r="R18" s="255">
        <f t="shared" si="9"/>
        <v>634.87038735663577</v>
      </c>
      <c r="S18" s="255">
        <f t="shared" si="9"/>
        <v>677.79303108849706</v>
      </c>
      <c r="T18" s="255">
        <f t="shared" si="9"/>
        <v>690.13542378726879</v>
      </c>
      <c r="U18" s="255"/>
      <c r="V18" s="287">
        <f>'UAL Financials'!V18</f>
        <v>2268</v>
      </c>
      <c r="W18" s="287">
        <f>'UAL Financials'!W18</f>
        <v>2649</v>
      </c>
      <c r="X18" s="255">
        <f t="shared" si="8"/>
        <v>2849</v>
      </c>
      <c r="Y18" s="255">
        <f t="shared" si="8"/>
        <v>2039</v>
      </c>
      <c r="Z18" s="255">
        <f t="shared" si="8"/>
        <v>2147</v>
      </c>
      <c r="AA18" s="255">
        <f t="shared" si="8"/>
        <v>2567.7988422324015</v>
      </c>
      <c r="AB18" s="255">
        <f t="shared" si="10"/>
        <v>3086.1168666776025</v>
      </c>
      <c r="AC18" s="255">
        <f t="shared" si="10"/>
        <v>3335.4115766721989</v>
      </c>
      <c r="AD18" s="255">
        <f t="shared" si="10"/>
        <v>3337.9977679956773</v>
      </c>
      <c r="AF18" s="255"/>
    </row>
    <row r="19" spans="3:32" ht="11.25" customHeight="1">
      <c r="C19" s="253" t="s">
        <v>305</v>
      </c>
      <c r="E19" s="287">
        <f>'UAL Financials'!E19</f>
        <v>408</v>
      </c>
      <c r="F19" s="287">
        <f>'UAL Financials'!F19</f>
        <v>421</v>
      </c>
      <c r="G19" s="287">
        <f>'UAL Financials'!G19</f>
        <v>490</v>
      </c>
      <c r="H19" s="287">
        <f>'UAL Financials'!H19</f>
        <v>475</v>
      </c>
      <c r="I19" s="287">
        <f>'UAL Financials'!I19</f>
        <v>434</v>
      </c>
      <c r="J19" s="287">
        <f>'UAL Financials'!J19</f>
        <v>110</v>
      </c>
      <c r="K19" s="287">
        <f>'UAL Financials'!K19</f>
        <v>115</v>
      </c>
      <c r="L19" s="287">
        <f>'UAL Financials'!L19</f>
        <v>199</v>
      </c>
      <c r="M19" s="287">
        <f>'UAL Financials'!M19</f>
        <v>269</v>
      </c>
      <c r="N19" s="287">
        <f>'UAL Financials'!N19</f>
        <v>302</v>
      </c>
      <c r="O19" s="287">
        <f>'UAL Financials'!O19</f>
        <v>346</v>
      </c>
      <c r="P19" s="287">
        <f>'UAL Financials'!P19</f>
        <v>399</v>
      </c>
      <c r="Q19" s="287">
        <f>'UAL Financials'!Q19</f>
        <v>407</v>
      </c>
      <c r="R19" s="255">
        <f t="shared" si="9"/>
        <v>458.1112592162753</v>
      </c>
      <c r="S19" s="255">
        <f t="shared" si="9"/>
        <v>508.05445648409602</v>
      </c>
      <c r="T19" s="255">
        <f t="shared" si="9"/>
        <v>531.95022523156604</v>
      </c>
      <c r="U19" s="255"/>
      <c r="V19" s="287">
        <f>'UAL Financials'!V19</f>
        <v>1856</v>
      </c>
      <c r="W19" s="287">
        <f>'UAL Financials'!W19</f>
        <v>1767</v>
      </c>
      <c r="X19" s="255">
        <f t="shared" si="8"/>
        <v>1794</v>
      </c>
      <c r="Y19" s="255">
        <f t="shared" si="8"/>
        <v>858</v>
      </c>
      <c r="Z19" s="255">
        <f t="shared" si="8"/>
        <v>1316</v>
      </c>
      <c r="AA19" s="255">
        <f t="shared" si="8"/>
        <v>1905.1159409319375</v>
      </c>
      <c r="AB19" s="255">
        <f t="shared" si="10"/>
        <v>2035.8498469643755</v>
      </c>
      <c r="AC19" s="255">
        <f t="shared" si="10"/>
        <v>2195.7585193632253</v>
      </c>
      <c r="AD19" s="255">
        <f t="shared" si="10"/>
        <v>2197.4610533686082</v>
      </c>
      <c r="AF19" s="255"/>
    </row>
    <row r="20" spans="3:32" ht="11.25" customHeight="1">
      <c r="C20" s="253" t="s">
        <v>293</v>
      </c>
      <c r="E20" s="287">
        <f>'UAL Financials'!E20</f>
        <v>360</v>
      </c>
      <c r="F20" s="287">
        <f>'UAL Financials'!F20</f>
        <v>442</v>
      </c>
      <c r="G20" s="287">
        <f>'UAL Financials'!G20</f>
        <v>432</v>
      </c>
      <c r="H20" s="287">
        <f>'UAL Financials'!H20</f>
        <v>417</v>
      </c>
      <c r="I20" s="287">
        <f>'UAL Financials'!I20</f>
        <v>295</v>
      </c>
      <c r="J20" s="287">
        <f>'UAL Financials'!J20</f>
        <v>31</v>
      </c>
      <c r="K20" s="287">
        <f>'UAL Financials'!K20</f>
        <v>53</v>
      </c>
      <c r="L20" s="287">
        <f>'UAL Financials'!L20</f>
        <v>80</v>
      </c>
      <c r="M20" s="287">
        <f>'UAL Financials'!M20</f>
        <v>85</v>
      </c>
      <c r="N20" s="287">
        <f>'UAL Financials'!N20</f>
        <v>139</v>
      </c>
      <c r="O20" s="287">
        <f>'UAL Financials'!O20</f>
        <v>218</v>
      </c>
      <c r="P20" s="287">
        <f>'UAL Financials'!P20</f>
        <v>235</v>
      </c>
      <c r="Q20" s="287">
        <f>'UAL Financials'!Q20</f>
        <v>226</v>
      </c>
      <c r="R20" s="255">
        <f t="shared" si="9"/>
        <v>346.29293855816491</v>
      </c>
      <c r="S20" s="255">
        <f t="shared" si="9"/>
        <v>382.22284660876971</v>
      </c>
      <c r="T20" s="255">
        <f t="shared" si="9"/>
        <v>408.62176511866886</v>
      </c>
      <c r="U20" s="255"/>
      <c r="V20" s="287">
        <f>'UAL Financials'!V20</f>
        <v>1435</v>
      </c>
      <c r="W20" s="287">
        <f>'UAL Financials'!W20</f>
        <v>1558</v>
      </c>
      <c r="X20" s="255">
        <f t="shared" si="8"/>
        <v>1651</v>
      </c>
      <c r="Y20" s="255">
        <f t="shared" si="8"/>
        <v>459</v>
      </c>
      <c r="Z20" s="255">
        <f t="shared" si="8"/>
        <v>677</v>
      </c>
      <c r="AA20" s="255">
        <f t="shared" si="8"/>
        <v>1363.1375502856035</v>
      </c>
      <c r="AB20" s="255">
        <f t="shared" si="10"/>
        <v>1635.1173474433244</v>
      </c>
      <c r="AC20" s="255">
        <f t="shared" si="10"/>
        <v>1845.0182643798753</v>
      </c>
      <c r="AD20" s="255">
        <f t="shared" si="10"/>
        <v>1846.4488435205042</v>
      </c>
      <c r="AF20" s="255"/>
    </row>
    <row r="21" spans="3:32" ht="11.25" customHeight="1">
      <c r="C21" s="253" t="s">
        <v>294</v>
      </c>
      <c r="E21" s="287">
        <f>'UAL Financials'!E21</f>
        <v>81</v>
      </c>
      <c r="F21" s="287">
        <f>'UAL Financials'!F21</f>
        <v>73</v>
      </c>
      <c r="G21" s="287">
        <f>'UAL Financials'!G21</f>
        <v>67</v>
      </c>
      <c r="H21" s="287">
        <f>'UAL Financials'!H21</f>
        <v>67</v>
      </c>
      <c r="I21" s="287">
        <f>'UAL Financials'!I21</f>
        <v>50</v>
      </c>
      <c r="J21" s="287">
        <f>'UAL Financials'!J21</f>
        <v>47</v>
      </c>
      <c r="K21" s="287">
        <f>'UAL Financials'!K21</f>
        <v>50</v>
      </c>
      <c r="L21" s="287">
        <f>'UAL Financials'!L21</f>
        <v>51</v>
      </c>
      <c r="M21" s="287">
        <f>'UAL Financials'!M21</f>
        <v>55</v>
      </c>
      <c r="N21" s="287">
        <f>'UAL Financials'!N21</f>
        <v>52</v>
      </c>
      <c r="O21" s="287">
        <f>'UAL Financials'!O21</f>
        <v>58</v>
      </c>
      <c r="P21" s="287">
        <f>'UAL Financials'!P21</f>
        <v>63</v>
      </c>
      <c r="Q21" s="287">
        <f>'UAL Financials'!Q21</f>
        <v>61</v>
      </c>
      <c r="R21" s="255">
        <f t="shared" si="9"/>
        <v>69.902772665210279</v>
      </c>
      <c r="S21" s="255">
        <f t="shared" si="9"/>
        <v>67.924922345356705</v>
      </c>
      <c r="T21" s="255">
        <f t="shared" si="9"/>
        <v>68.780230876432313</v>
      </c>
      <c r="U21" s="255"/>
      <c r="V21" s="287">
        <f>'UAL Financials'!V21</f>
        <v>621</v>
      </c>
      <c r="W21" s="287">
        <f>'UAL Financials'!W21</f>
        <v>433</v>
      </c>
      <c r="X21" s="255">
        <f t="shared" si="8"/>
        <v>288</v>
      </c>
      <c r="Y21" s="255">
        <f t="shared" si="8"/>
        <v>198</v>
      </c>
      <c r="Z21" s="255">
        <f t="shared" si="8"/>
        <v>228</v>
      </c>
      <c r="AA21" s="255">
        <f t="shared" si="8"/>
        <v>267.60792588699928</v>
      </c>
      <c r="AB21" s="255">
        <f t="shared" si="10"/>
        <v>303.05627396587352</v>
      </c>
      <c r="AC21" s="255">
        <f t="shared" si="10"/>
        <v>321.84449433155908</v>
      </c>
      <c r="AD21" s="255">
        <f t="shared" si="10"/>
        <v>322.09404417559364</v>
      </c>
      <c r="AF21" s="255"/>
    </row>
    <row r="22" spans="3:32" ht="11.25" customHeight="1">
      <c r="C22" s="289" t="s">
        <v>418</v>
      </c>
      <c r="E22" s="358">
        <f t="shared" ref="E22:T22" si="11">E13-SUM(E15:E21)</f>
        <v>2601</v>
      </c>
      <c r="F22" s="358">
        <f t="shared" si="11"/>
        <v>3810</v>
      </c>
      <c r="G22" s="358">
        <f t="shared" si="11"/>
        <v>3840</v>
      </c>
      <c r="H22" s="358">
        <f t="shared" si="11"/>
        <v>3350</v>
      </c>
      <c r="I22" s="358">
        <f t="shared" si="11"/>
        <v>1159</v>
      </c>
      <c r="J22" s="358">
        <f t="shared" si="11"/>
        <v>-1940</v>
      </c>
      <c r="K22" s="358">
        <f t="shared" si="11"/>
        <v>-1391</v>
      </c>
      <c r="L22" s="358">
        <f t="shared" si="11"/>
        <v>-829</v>
      </c>
      <c r="M22" s="358">
        <f t="shared" si="11"/>
        <v>-1261</v>
      </c>
      <c r="N22" s="358">
        <f t="shared" si="11"/>
        <v>359</v>
      </c>
      <c r="O22" s="358">
        <f t="shared" si="11"/>
        <v>1759</v>
      </c>
      <c r="P22" s="358">
        <f t="shared" si="11"/>
        <v>1672</v>
      </c>
      <c r="Q22" s="358">
        <f>Q13-SUM(Q15:Q21)</f>
        <v>678</v>
      </c>
      <c r="R22" s="358">
        <f t="shared" si="11"/>
        <v>2494.6774037480936</v>
      </c>
      <c r="S22" s="358">
        <f t="shared" si="11"/>
        <v>2766.8096643211993</v>
      </c>
      <c r="T22" s="358">
        <f t="shared" si="11"/>
        <v>2722.2394022066837</v>
      </c>
      <c r="U22" s="255"/>
      <c r="V22" s="358">
        <f t="shared" ref="V22:AD22" si="12">V13-SUM(V15:V21)</f>
        <v>11789</v>
      </c>
      <c r="W22" s="358">
        <f t="shared" si="12"/>
        <v>12016</v>
      </c>
      <c r="X22" s="358">
        <f t="shared" si="12"/>
        <v>13601</v>
      </c>
      <c r="Y22" s="358">
        <f t="shared" si="12"/>
        <v>-3001</v>
      </c>
      <c r="Z22" s="358">
        <f t="shared" si="12"/>
        <v>2529</v>
      </c>
      <c r="AA22" s="358">
        <f t="shared" si="12"/>
        <v>8661.7264702759785</v>
      </c>
      <c r="AB22" s="358">
        <f t="shared" si="12"/>
        <v>12926.287873536108</v>
      </c>
      <c r="AC22" s="358">
        <f t="shared" si="12"/>
        <v>15746.069450562107</v>
      </c>
      <c r="AD22" s="358">
        <f t="shared" si="12"/>
        <v>15501.582261543532</v>
      </c>
      <c r="AF22" s="255"/>
    </row>
    <row r="23" spans="3:32" ht="11.25" customHeight="1">
      <c r="U23" s="255"/>
    </row>
    <row r="24" spans="3:32" ht="11.25" customHeight="1">
      <c r="C24" s="253" t="s">
        <v>296</v>
      </c>
      <c r="E24" s="287">
        <f>'UAL Financials'!E24-'UAL Financials'!E69</f>
        <v>1478</v>
      </c>
      <c r="F24" s="287">
        <f>'UAL Financials'!F24-'UAL Financials'!F69</f>
        <v>1505</v>
      </c>
      <c r="G24" s="287">
        <f>'UAL Financials'!G24-'UAL Financials'!G69</f>
        <v>1542</v>
      </c>
      <c r="H24" s="287">
        <f>'UAL Financials'!H24-'UAL Financials'!H69</f>
        <v>1582</v>
      </c>
      <c r="I24" s="287">
        <f>'UAL Financials'!I24-'UAL Financials'!I69</f>
        <v>1409</v>
      </c>
      <c r="J24" s="287">
        <f>'UAL Financials'!J24-'UAL Financials'!J69</f>
        <v>470</v>
      </c>
      <c r="K24" s="287">
        <f>'UAL Financials'!K24-'UAL Financials'!K69</f>
        <v>666</v>
      </c>
      <c r="L24" s="287">
        <f>'UAL Financials'!L24-'UAL Financials'!L69</f>
        <v>804</v>
      </c>
      <c r="M24" s="287">
        <f>'UAL Financials'!M24-'UAL Financials'!M69</f>
        <v>848</v>
      </c>
      <c r="N24" s="287">
        <f>'UAL Financials'!N24-'UAL Financials'!N69</f>
        <v>927</v>
      </c>
      <c r="O24" s="287">
        <f>'UAL Financials'!O24-'UAL Financials'!O69</f>
        <v>1164</v>
      </c>
      <c r="P24" s="287">
        <f>'UAL Financials'!P24-'UAL Financials'!P69</f>
        <v>1375</v>
      </c>
      <c r="Q24" s="287">
        <f>'UAL Financials'!Q24-'UAL Financials'!Q69</f>
        <v>1417</v>
      </c>
      <c r="R24" s="255">
        <f>R233</f>
        <v>1637.6661404287274</v>
      </c>
      <c r="S24" s="255">
        <f>S233</f>
        <v>1492.2285179018593</v>
      </c>
      <c r="T24" s="255">
        <f>T233</f>
        <v>1579.7428495762829</v>
      </c>
      <c r="U24" s="255"/>
      <c r="V24" s="287">
        <f>'UAL Financials'!V24-'UAL Financials'!V69</f>
        <v>5405</v>
      </c>
      <c r="W24" s="287">
        <f>'UAL Financials'!W24-'UAL Financials'!W69</f>
        <v>5680</v>
      </c>
      <c r="X24" s="255">
        <f t="shared" ref="X24:AA27" si="13">SUMIF($E$5:$T$5,X$5,$E24:$T24)</f>
        <v>6107</v>
      </c>
      <c r="Y24" s="255">
        <f t="shared" si="13"/>
        <v>3349</v>
      </c>
      <c r="Z24" s="255">
        <f t="shared" si="13"/>
        <v>4314</v>
      </c>
      <c r="AA24" s="255">
        <f t="shared" si="13"/>
        <v>6126.6375079068694</v>
      </c>
      <c r="AB24" s="255">
        <f>AB233</f>
        <v>6615.2740276588693</v>
      </c>
      <c r="AC24" s="255">
        <f>AC233</f>
        <v>7312.1440732248184</v>
      </c>
      <c r="AD24" s="255">
        <f>AD233</f>
        <v>7317.8137194209467</v>
      </c>
    </row>
    <row r="25" spans="3:32" ht="11.25" customHeight="1">
      <c r="C25" s="253" t="s">
        <v>1710</v>
      </c>
      <c r="E25" s="287">
        <f>'UAL Financials'!E69</f>
        <v>30</v>
      </c>
      <c r="F25" s="287">
        <f>'UAL Financials'!F69</f>
        <v>41</v>
      </c>
      <c r="G25" s="287">
        <f>'UAL Financials'!G69</f>
        <v>49</v>
      </c>
      <c r="H25" s="287">
        <f>'UAL Financials'!H69</f>
        <v>48</v>
      </c>
      <c r="I25" s="287">
        <f>'UAL Financials'!I69</f>
        <v>44</v>
      </c>
      <c r="J25" s="287">
        <f>'UAL Financials'!J69</f>
        <v>58</v>
      </c>
      <c r="K25" s="287">
        <f>'UAL Financials'!K69</f>
        <v>13</v>
      </c>
      <c r="L25" s="287">
        <f>'UAL Financials'!L69</f>
        <v>22</v>
      </c>
      <c r="M25" s="287">
        <f>'UAL Financials'!M69</f>
        <v>26</v>
      </c>
      <c r="N25" s="287">
        <f>'UAL Financials'!N69</f>
        <v>30</v>
      </c>
      <c r="O25" s="287">
        <f>'UAL Financials'!O69</f>
        <v>33</v>
      </c>
      <c r="P25" s="287">
        <f>'UAL Financials'!P69</f>
        <v>30</v>
      </c>
      <c r="Q25" s="287">
        <f>'UAL Financials'!Q69</f>
        <v>34</v>
      </c>
      <c r="R25" s="287">
        <f>'UAL Financials'!R69</f>
        <v>43</v>
      </c>
      <c r="S25" s="287">
        <f>'UAL Financials'!S69</f>
        <v>31.666666666666668</v>
      </c>
      <c r="T25" s="287">
        <f>'UAL Financials'!T69</f>
        <v>33.333333333333336</v>
      </c>
      <c r="U25" s="255"/>
      <c r="V25" s="287">
        <f>'UAL Financials'!V69</f>
        <v>145</v>
      </c>
      <c r="W25" s="287">
        <f>'UAL Financials'!W69</f>
        <v>121</v>
      </c>
      <c r="X25" s="255">
        <f t="shared" si="13"/>
        <v>168</v>
      </c>
      <c r="Y25" s="255">
        <f t="shared" si="13"/>
        <v>137</v>
      </c>
      <c r="Z25" s="255">
        <f t="shared" si="13"/>
        <v>119</v>
      </c>
      <c r="AA25" s="255">
        <f t="shared" si="13"/>
        <v>142</v>
      </c>
      <c r="AB25" s="287">
        <f>'UAL Financials'!AB69</f>
        <v>138.66666666666666</v>
      </c>
      <c r="AC25" s="287">
        <f>'UAL Financials'!AC69</f>
        <v>138.66666666666666</v>
      </c>
      <c r="AD25" s="287">
        <f>'UAL Financials'!AD69</f>
        <v>138.66666666666666</v>
      </c>
    </row>
    <row r="26" spans="3:32" ht="11.25" customHeight="1">
      <c r="C26" s="253" t="s">
        <v>525</v>
      </c>
      <c r="E26" s="287">
        <f>'UAL Financials'!E26</f>
        <v>33</v>
      </c>
      <c r="F26" s="287">
        <f>'UAL Financials'!F26</f>
        <v>161</v>
      </c>
      <c r="G26" s="287">
        <f>'UAL Financials'!G26</f>
        <v>174</v>
      </c>
      <c r="H26" s="287">
        <f>'UAL Financials'!H26</f>
        <v>123</v>
      </c>
      <c r="I26" s="287">
        <f>'UAL Financials'!I26</f>
        <v>0</v>
      </c>
      <c r="J26" s="287">
        <f>'UAL Financials'!J26</f>
        <v>0</v>
      </c>
      <c r="K26" s="287">
        <f>'UAL Financials'!K26</f>
        <v>0</v>
      </c>
      <c r="L26" s="287">
        <f>'UAL Financials'!L26</f>
        <v>0</v>
      </c>
      <c r="M26" s="287">
        <f>'UAL Financials'!M26</f>
        <v>0</v>
      </c>
      <c r="N26" s="287">
        <f>'UAL Financials'!N26</f>
        <v>0</v>
      </c>
      <c r="O26" s="287">
        <f>'UAL Financials'!O26</f>
        <v>0</v>
      </c>
      <c r="P26" s="287">
        <f>'UAL Financials'!P26</f>
        <v>0</v>
      </c>
      <c r="Q26" s="287">
        <f>'UAL Financials'!Q26</f>
        <v>0</v>
      </c>
      <c r="R26" s="255">
        <f>R274</f>
        <v>15.659815203267645</v>
      </c>
      <c r="S26" s="255">
        <f>S274</f>
        <v>41.841259779323153</v>
      </c>
      <c r="T26" s="255">
        <f>T274</f>
        <v>28.857660210432076</v>
      </c>
      <c r="U26" s="255"/>
      <c r="V26" s="287">
        <f>'UAL Financials'!V26</f>
        <v>349</v>
      </c>
      <c r="W26" s="287">
        <f>'UAL Financials'!W26</f>
        <v>334</v>
      </c>
      <c r="X26" s="255">
        <f t="shared" si="13"/>
        <v>491</v>
      </c>
      <c r="Y26" s="255">
        <f t="shared" si="13"/>
        <v>0</v>
      </c>
      <c r="Z26" s="255">
        <f t="shared" si="13"/>
        <v>0</v>
      </c>
      <c r="AA26" s="255">
        <f t="shared" si="13"/>
        <v>86.358735193022866</v>
      </c>
      <c r="AB26" s="255">
        <f>AB274</f>
        <v>279.08278767017941</v>
      </c>
      <c r="AC26" s="255">
        <f>AC274</f>
        <v>447.17466207366988</v>
      </c>
      <c r="AD26" s="255">
        <f>AD274</f>
        <v>393.97380336980683</v>
      </c>
    </row>
    <row r="27" spans="3:32" ht="11.25" customHeight="1">
      <c r="C27" s="253" t="s">
        <v>419</v>
      </c>
      <c r="E27" s="255">
        <f>'UAL Financials'!E83</f>
        <v>8</v>
      </c>
      <c r="F27" s="255">
        <f>'UAL Financials'!F83</f>
        <v>20</v>
      </c>
      <c r="G27" s="255">
        <f>'UAL Financials'!G83</f>
        <v>12</v>
      </c>
      <c r="H27" s="255">
        <f>'UAL Financials'!H83</f>
        <v>-13</v>
      </c>
      <c r="I27" s="255">
        <f>'UAL Financials'!I83</f>
        <v>2</v>
      </c>
      <c r="J27" s="255">
        <f>'UAL Financials'!J83</f>
        <v>-24</v>
      </c>
      <c r="K27" s="255">
        <f>'UAL Financials'!K83</f>
        <v>-4</v>
      </c>
      <c r="L27" s="255">
        <f>'UAL Financials'!L83</f>
        <v>-31</v>
      </c>
      <c r="M27" s="255">
        <f>'UAL Financials'!M83</f>
        <v>-27</v>
      </c>
      <c r="N27" s="255">
        <f>'UAL Financials'!N83</f>
        <v>-13</v>
      </c>
      <c r="O27" s="255">
        <f>'UAL Financials'!O83</f>
        <v>-8</v>
      </c>
      <c r="P27" s="255">
        <f>'UAL Financials'!P83</f>
        <v>-73</v>
      </c>
      <c r="Q27" s="255">
        <f>'UAL Financials'!Q83</f>
        <v>-26</v>
      </c>
      <c r="R27" s="277">
        <v>0</v>
      </c>
      <c r="S27" s="277">
        <v>0</v>
      </c>
      <c r="T27" s="277">
        <v>0</v>
      </c>
      <c r="U27" s="255"/>
      <c r="V27" s="255">
        <f>'UAL Financials'!V83</f>
        <v>100</v>
      </c>
      <c r="W27" s="255">
        <f>'UAL Financials'!W83</f>
        <v>72</v>
      </c>
      <c r="X27" s="255">
        <f t="shared" si="13"/>
        <v>27</v>
      </c>
      <c r="Y27" s="255">
        <f t="shared" si="13"/>
        <v>-57</v>
      </c>
      <c r="Z27" s="255">
        <f t="shared" si="13"/>
        <v>-121</v>
      </c>
      <c r="AA27" s="255">
        <f t="shared" si="13"/>
        <v>-26</v>
      </c>
      <c r="AB27" s="277">
        <v>0</v>
      </c>
      <c r="AC27" s="277">
        <v>0</v>
      </c>
      <c r="AD27" s="277">
        <v>0</v>
      </c>
    </row>
    <row r="28" spans="3:32" ht="11.25" customHeight="1">
      <c r="C28" s="289" t="s">
        <v>421</v>
      </c>
      <c r="E28" s="358">
        <f t="shared" ref="E28:T28" si="14">E22-SUM(E24:E27)</f>
        <v>1052</v>
      </c>
      <c r="F28" s="358">
        <f t="shared" si="14"/>
        <v>2083</v>
      </c>
      <c r="G28" s="358">
        <f t="shared" si="14"/>
        <v>2063</v>
      </c>
      <c r="H28" s="358">
        <f t="shared" si="14"/>
        <v>1610</v>
      </c>
      <c r="I28" s="358">
        <f t="shared" si="14"/>
        <v>-296</v>
      </c>
      <c r="J28" s="358">
        <f t="shared" si="14"/>
        <v>-2444</v>
      </c>
      <c r="K28" s="358">
        <f t="shared" si="14"/>
        <v>-2066</v>
      </c>
      <c r="L28" s="358">
        <f t="shared" si="14"/>
        <v>-1624</v>
      </c>
      <c r="M28" s="358">
        <f t="shared" si="14"/>
        <v>-2108</v>
      </c>
      <c r="N28" s="358">
        <f t="shared" si="14"/>
        <v>-585</v>
      </c>
      <c r="O28" s="358">
        <f t="shared" si="14"/>
        <v>570</v>
      </c>
      <c r="P28" s="358">
        <f t="shared" si="14"/>
        <v>340</v>
      </c>
      <c r="Q28" s="358">
        <f>Q22-SUM(Q24:Q27)</f>
        <v>-747</v>
      </c>
      <c r="R28" s="358">
        <f t="shared" si="14"/>
        <v>798.35144811609848</v>
      </c>
      <c r="S28" s="358">
        <f t="shared" si="14"/>
        <v>1201.0732199733502</v>
      </c>
      <c r="T28" s="358">
        <f t="shared" si="14"/>
        <v>1080.3055590866354</v>
      </c>
      <c r="U28" s="255"/>
      <c r="V28" s="358">
        <f t="shared" ref="V28:AD28" si="15">V22-SUM(V24:V27)</f>
        <v>5790</v>
      </c>
      <c r="W28" s="358">
        <f t="shared" si="15"/>
        <v>5809</v>
      </c>
      <c r="X28" s="358">
        <f t="shared" si="15"/>
        <v>6808</v>
      </c>
      <c r="Y28" s="358">
        <f t="shared" si="15"/>
        <v>-6430</v>
      </c>
      <c r="Z28" s="358">
        <f t="shared" si="15"/>
        <v>-1783</v>
      </c>
      <c r="AA28" s="358">
        <f t="shared" si="15"/>
        <v>2332.7302271760864</v>
      </c>
      <c r="AB28" s="358">
        <f t="shared" si="15"/>
        <v>5893.2643915403924</v>
      </c>
      <c r="AC28" s="358">
        <f t="shared" si="15"/>
        <v>7848.0840485969511</v>
      </c>
      <c r="AD28" s="358">
        <f t="shared" si="15"/>
        <v>7651.1280720861114</v>
      </c>
      <c r="AE28" s="255"/>
    </row>
    <row r="29" spans="3:32" ht="11.25" customHeight="1">
      <c r="U29" s="255"/>
      <c r="AA29" s="255"/>
      <c r="AE29" s="962"/>
    </row>
    <row r="30" spans="3:32" ht="11.25" customHeight="1">
      <c r="C30" s="253" t="s">
        <v>291</v>
      </c>
      <c r="E30" s="287">
        <f>'UAL Financials'!E25</f>
        <v>547</v>
      </c>
      <c r="F30" s="287">
        <f>'UAL Financials'!F25</f>
        <v>560</v>
      </c>
      <c r="G30" s="287">
        <f>'UAL Financials'!G25</f>
        <v>575</v>
      </c>
      <c r="H30" s="287">
        <f>'UAL Financials'!H25</f>
        <v>606</v>
      </c>
      <c r="I30" s="287">
        <f>'UAL Financials'!I25</f>
        <v>615</v>
      </c>
      <c r="J30" s="287">
        <f>'UAL Financials'!J25</f>
        <v>618</v>
      </c>
      <c r="K30" s="287">
        <f>'UAL Financials'!K25</f>
        <v>626</v>
      </c>
      <c r="L30" s="287">
        <f>'UAL Financials'!L25</f>
        <v>629</v>
      </c>
      <c r="M30" s="287">
        <f>'UAL Financials'!M25</f>
        <v>623</v>
      </c>
      <c r="N30" s="287">
        <f>'UAL Financials'!N25</f>
        <v>620</v>
      </c>
      <c r="O30" s="287">
        <f>'UAL Financials'!O25</f>
        <v>623</v>
      </c>
      <c r="P30" s="287">
        <f>'UAL Financials'!P25</f>
        <v>619</v>
      </c>
      <c r="Q30" s="287">
        <f>'UAL Financials'!Q25</f>
        <v>611</v>
      </c>
      <c r="R30" s="287">
        <f>'UAL Financials'!R25</f>
        <v>661.26357327851997</v>
      </c>
      <c r="S30" s="287">
        <f>'UAL Financials'!S25</f>
        <v>751.5653991778006</v>
      </c>
      <c r="T30" s="287">
        <f>'UAL Financials'!T25</f>
        <v>781.77579999999989</v>
      </c>
      <c r="U30" s="255"/>
      <c r="V30" s="287">
        <f>'UAL Financials'!V25</f>
        <v>2096</v>
      </c>
      <c r="W30" s="287">
        <f>'UAL Financials'!W25</f>
        <v>2165</v>
      </c>
      <c r="X30" s="255">
        <f>SUMIF($E$5:$T$5,X$5,$E30:$T30)</f>
        <v>2288</v>
      </c>
      <c r="Y30" s="255">
        <f>SUMIF($E$5:$T$5,Y$5,$E30:$T30)</f>
        <v>2488</v>
      </c>
      <c r="Z30" s="255">
        <f>SUMIF($E$5:$T$5,Z$5,$E30:$T30)</f>
        <v>2485</v>
      </c>
      <c r="AA30" s="255">
        <f>SUMIF($E$5:$T$5,AA$5,$E30:$T30)</f>
        <v>2805.6047724563205</v>
      </c>
      <c r="AB30" s="287">
        <f>'UAL Financials'!AB25</f>
        <v>2822.4789999999994</v>
      </c>
      <c r="AC30" s="287">
        <f>'UAL Financials'!AC25</f>
        <v>3173.047</v>
      </c>
      <c r="AD30" s="287">
        <f>'UAL Financials'!AD25</f>
        <v>3259.096</v>
      </c>
    </row>
    <row r="31" spans="3:32" ht="11.25" customHeight="1">
      <c r="C31" s="289" t="s">
        <v>423</v>
      </c>
      <c r="E31" s="358">
        <f t="shared" ref="E31:T31" si="16">E28-SUM(E30:E30)</f>
        <v>505</v>
      </c>
      <c r="F31" s="358">
        <f t="shared" si="16"/>
        <v>1523</v>
      </c>
      <c r="G31" s="358">
        <f t="shared" si="16"/>
        <v>1488</v>
      </c>
      <c r="H31" s="358">
        <f t="shared" si="16"/>
        <v>1004</v>
      </c>
      <c r="I31" s="358">
        <f t="shared" si="16"/>
        <v>-911</v>
      </c>
      <c r="J31" s="358">
        <f t="shared" si="16"/>
        <v>-3062</v>
      </c>
      <c r="K31" s="358">
        <f t="shared" si="16"/>
        <v>-2692</v>
      </c>
      <c r="L31" s="358">
        <f t="shared" si="16"/>
        <v>-2253</v>
      </c>
      <c r="M31" s="358">
        <f t="shared" si="16"/>
        <v>-2731</v>
      </c>
      <c r="N31" s="358">
        <f t="shared" si="16"/>
        <v>-1205</v>
      </c>
      <c r="O31" s="358">
        <f t="shared" si="16"/>
        <v>-53</v>
      </c>
      <c r="P31" s="358">
        <f t="shared" si="16"/>
        <v>-279</v>
      </c>
      <c r="Q31" s="358">
        <f>Q28-SUM(Q30:Q30)</f>
        <v>-1358</v>
      </c>
      <c r="R31" s="358">
        <f t="shared" si="16"/>
        <v>137.08787483757851</v>
      </c>
      <c r="S31" s="358">
        <f t="shared" si="16"/>
        <v>449.50782079554961</v>
      </c>
      <c r="T31" s="358">
        <f t="shared" si="16"/>
        <v>298.52975908663552</v>
      </c>
      <c r="U31" s="255"/>
      <c r="V31" s="358">
        <f t="shared" ref="V31:AD31" si="17">V28-SUM(V30:V30)</f>
        <v>3694</v>
      </c>
      <c r="W31" s="358">
        <f t="shared" si="17"/>
        <v>3644</v>
      </c>
      <c r="X31" s="358">
        <f t="shared" si="17"/>
        <v>4520</v>
      </c>
      <c r="Y31" s="358">
        <f t="shared" si="17"/>
        <v>-8918</v>
      </c>
      <c r="Z31" s="358">
        <f t="shared" si="17"/>
        <v>-4268</v>
      </c>
      <c r="AA31" s="358">
        <f t="shared" si="17"/>
        <v>-472.87454528023409</v>
      </c>
      <c r="AB31" s="358">
        <f t="shared" si="17"/>
        <v>3070.785391540393</v>
      </c>
      <c r="AC31" s="358">
        <f t="shared" si="17"/>
        <v>4675.0370485969506</v>
      </c>
      <c r="AD31" s="358">
        <f t="shared" si="17"/>
        <v>4392.0320720861109</v>
      </c>
    </row>
    <row r="32" spans="3:32" ht="11.25" customHeight="1">
      <c r="E32" s="255"/>
      <c r="F32" s="255"/>
      <c r="G32" s="255"/>
      <c r="H32" s="255"/>
      <c r="I32" s="255"/>
      <c r="J32" s="255"/>
      <c r="K32" s="255"/>
      <c r="L32" s="255"/>
      <c r="M32" s="255"/>
      <c r="N32" s="255"/>
      <c r="O32" s="255"/>
      <c r="P32" s="255"/>
      <c r="Q32" s="255"/>
      <c r="U32" s="255"/>
      <c r="V32" s="255"/>
      <c r="W32" s="255"/>
      <c r="X32" s="255"/>
      <c r="Y32" s="255"/>
      <c r="Z32" s="255"/>
      <c r="AA32" s="255"/>
    </row>
    <row r="33" spans="2:30" ht="11.25" customHeight="1">
      <c r="C33" s="253" t="s">
        <v>422</v>
      </c>
      <c r="E33" s="255">
        <f>'UAL Financials'!E87</f>
        <v>167</v>
      </c>
      <c r="F33" s="255">
        <f>'UAL Financials'!F87</f>
        <v>166</v>
      </c>
      <c r="G33" s="255">
        <f>'UAL Financials'!G87</f>
        <v>169</v>
      </c>
      <c r="H33" s="255">
        <f>'UAL Financials'!H87</f>
        <v>165</v>
      </c>
      <c r="I33" s="255">
        <f>'UAL Financials'!I87</f>
        <v>171</v>
      </c>
      <c r="J33" s="255">
        <f>'UAL Financials'!J87</f>
        <v>196</v>
      </c>
      <c r="K33" s="255">
        <f>'UAL Financials'!K87</f>
        <v>345</v>
      </c>
      <c r="L33" s="255">
        <f>'UAL Financials'!L87</f>
        <v>351</v>
      </c>
      <c r="M33" s="255">
        <f>'UAL Financials'!M87</f>
        <v>353</v>
      </c>
      <c r="N33" s="255">
        <f>'UAL Financials'!N87</f>
        <v>426</v>
      </c>
      <c r="O33" s="255">
        <f>'UAL Financials'!O87</f>
        <v>449</v>
      </c>
      <c r="P33" s="255">
        <f>'UAL Financials'!P87</f>
        <v>429</v>
      </c>
      <c r="Q33" s="255">
        <f>'UAL Financials'!Q87</f>
        <v>424</v>
      </c>
      <c r="R33" s="287">
        <f ca="1">'UAL Debt'!R117</f>
        <v>337.23713837589924</v>
      </c>
      <c r="S33" s="287">
        <f ca="1">'UAL Debt'!S117</f>
        <v>344.65161278956839</v>
      </c>
      <c r="T33" s="287">
        <f ca="1">'UAL Debt'!T117</f>
        <v>352.20988666366901</v>
      </c>
      <c r="U33" s="255"/>
      <c r="V33" s="255">
        <f>'UAL Financials'!V87</f>
        <v>626</v>
      </c>
      <c r="W33" s="255">
        <f>'UAL Financials'!W87</f>
        <v>644</v>
      </c>
      <c r="X33" s="255">
        <f t="shared" ref="X33:AA35" si="18">SUMIF($E$5:$T$5,X$5,$E33:$T33)</f>
        <v>667</v>
      </c>
      <c r="Y33" s="255">
        <f t="shared" si="18"/>
        <v>1063</v>
      </c>
      <c r="Z33" s="255">
        <f t="shared" si="18"/>
        <v>1657</v>
      </c>
      <c r="AA33" s="255">
        <f t="shared" ca="1" si="18"/>
        <v>1458.0986378291366</v>
      </c>
      <c r="AB33" s="287">
        <f ca="1">'UAL Debt'!AB117</f>
        <v>1501.6765299999997</v>
      </c>
      <c r="AC33" s="287">
        <f ca="1">'UAL Debt'!AC117</f>
        <v>1575.5263940000004</v>
      </c>
      <c r="AD33" s="287">
        <f ca="1">'UAL Debt'!AD117</f>
        <v>1576.3843830000001</v>
      </c>
    </row>
    <row r="34" spans="2:30" ht="11.25" customHeight="1">
      <c r="C34" s="253" t="s">
        <v>299</v>
      </c>
      <c r="E34" s="287">
        <f>'UAL Financials'!E31</f>
        <v>-22</v>
      </c>
      <c r="F34" s="287">
        <f>'UAL Financials'!F31</f>
        <v>-21</v>
      </c>
      <c r="G34" s="287">
        <f>'UAL Financials'!G31</f>
        <v>-22</v>
      </c>
      <c r="H34" s="287">
        <f>'UAL Financials'!H31</f>
        <v>-20</v>
      </c>
      <c r="I34" s="287">
        <f>'UAL Financials'!I31</f>
        <v>-21</v>
      </c>
      <c r="J34" s="287">
        <f>'UAL Financials'!J31</f>
        <v>-17</v>
      </c>
      <c r="K34" s="287">
        <f>'UAL Financials'!K31</f>
        <v>-16</v>
      </c>
      <c r="L34" s="287">
        <f>'UAL Financials'!L31</f>
        <v>-17</v>
      </c>
      <c r="M34" s="287">
        <f>'UAL Financials'!M31</f>
        <v>-17</v>
      </c>
      <c r="N34" s="287">
        <f>'UAL Financials'!N31</f>
        <v>-22</v>
      </c>
      <c r="O34" s="287">
        <f>'UAL Financials'!O31</f>
        <v>-18</v>
      </c>
      <c r="P34" s="287">
        <f>'UAL Financials'!P31</f>
        <v>-23</v>
      </c>
      <c r="Q34" s="287">
        <f>'UAL Financials'!Q31</f>
        <v>-24</v>
      </c>
      <c r="R34" s="287">
        <f>'UAL Financials'!R31</f>
        <v>0</v>
      </c>
      <c r="S34" s="287">
        <f>'UAL Financials'!S31</f>
        <v>0</v>
      </c>
      <c r="T34" s="287">
        <f>'UAL Financials'!T31</f>
        <v>0</v>
      </c>
      <c r="U34" s="255"/>
      <c r="V34" s="287">
        <f>'UAL Financials'!V31</f>
        <v>-74</v>
      </c>
      <c r="W34" s="287">
        <f>'UAL Financials'!W31</f>
        <v>-65</v>
      </c>
      <c r="X34" s="255">
        <f t="shared" si="18"/>
        <v>-85</v>
      </c>
      <c r="Y34" s="255">
        <f t="shared" si="18"/>
        <v>-71</v>
      </c>
      <c r="Z34" s="255">
        <f t="shared" si="18"/>
        <v>-80</v>
      </c>
      <c r="AA34" s="255">
        <f t="shared" si="18"/>
        <v>-24</v>
      </c>
      <c r="AB34" s="287">
        <f>'UAL Financials'!AB31</f>
        <v>0</v>
      </c>
      <c r="AC34" s="287">
        <f>'UAL Financials'!AC31</f>
        <v>0</v>
      </c>
      <c r="AD34" s="287">
        <f>'UAL Financials'!AD31</f>
        <v>0</v>
      </c>
    </row>
    <row r="35" spans="2:30" ht="11.25" customHeight="1">
      <c r="C35" s="253" t="s">
        <v>300</v>
      </c>
      <c r="E35" s="287">
        <f>'UAL Financials'!E32</f>
        <v>-29</v>
      </c>
      <c r="F35" s="287">
        <f>'UAL Financials'!F32</f>
        <v>-38</v>
      </c>
      <c r="G35" s="287">
        <f>'UAL Financials'!G32</f>
        <v>-36</v>
      </c>
      <c r="H35" s="287">
        <f>'UAL Financials'!H32</f>
        <v>-30</v>
      </c>
      <c r="I35" s="287">
        <f>'UAL Financials'!I32</f>
        <v>-26</v>
      </c>
      <c r="J35" s="287">
        <f>'UAL Financials'!J32</f>
        <v>-11</v>
      </c>
      <c r="K35" s="287">
        <f>'UAL Financials'!K32</f>
        <v>-8</v>
      </c>
      <c r="L35" s="287">
        <f>'UAL Financials'!L32</f>
        <v>-5</v>
      </c>
      <c r="M35" s="287">
        <f>'UAL Financials'!M32</f>
        <v>-7</v>
      </c>
      <c r="N35" s="287">
        <f>'UAL Financials'!N32</f>
        <v>-12</v>
      </c>
      <c r="O35" s="287">
        <f>'UAL Financials'!O32</f>
        <v>-11</v>
      </c>
      <c r="P35" s="287">
        <f>'UAL Financials'!P32</f>
        <v>-6</v>
      </c>
      <c r="Q35" s="287">
        <f>'UAL Financials'!Q32</f>
        <v>-5</v>
      </c>
      <c r="R35" s="287">
        <f ca="1">'UAL Financials'!R32</f>
        <v>-5.9754536850134805</v>
      </c>
      <c r="S35" s="287">
        <f ca="1">'UAL Financials'!S32</f>
        <v>-6.0659732625845741</v>
      </c>
      <c r="T35" s="287">
        <f ca="1">'UAL Financials'!T32</f>
        <v>-5.6651448964701601</v>
      </c>
      <c r="U35" s="255"/>
      <c r="V35" s="287">
        <f>'UAL Financials'!V32</f>
        <v>-57</v>
      </c>
      <c r="W35" s="287">
        <f>'UAL Financials'!W32</f>
        <v>-101</v>
      </c>
      <c r="X35" s="255">
        <f t="shared" si="18"/>
        <v>-133</v>
      </c>
      <c r="Y35" s="255">
        <f t="shared" si="18"/>
        <v>-50</v>
      </c>
      <c r="Z35" s="255">
        <f t="shared" si="18"/>
        <v>-36</v>
      </c>
      <c r="AA35" s="255">
        <f t="shared" ca="1" si="18"/>
        <v>-22.706571844068215</v>
      </c>
      <c r="AB35" s="287">
        <f ca="1">'UAL Financials'!AB32</f>
        <v>-25.710235152025234</v>
      </c>
      <c r="AC35" s="287">
        <f ca="1">'UAL Financials'!AC32</f>
        <v>-32.114839782366055</v>
      </c>
      <c r="AD35" s="287">
        <f ca="1">'UAL Financials'!AD32</f>
        <v>-40.242557311552481</v>
      </c>
    </row>
    <row r="36" spans="2:30" ht="11.25" customHeight="1">
      <c r="C36" s="289" t="s">
        <v>426</v>
      </c>
      <c r="E36" s="358">
        <f t="shared" ref="E36:T36" si="19">E31-SUM(E33:E35)</f>
        <v>389</v>
      </c>
      <c r="F36" s="358">
        <f t="shared" si="19"/>
        <v>1416</v>
      </c>
      <c r="G36" s="358">
        <f t="shared" si="19"/>
        <v>1377</v>
      </c>
      <c r="H36" s="358">
        <f t="shared" si="19"/>
        <v>889</v>
      </c>
      <c r="I36" s="358">
        <f t="shared" si="19"/>
        <v>-1035</v>
      </c>
      <c r="J36" s="358">
        <f t="shared" si="19"/>
        <v>-3230</v>
      </c>
      <c r="K36" s="358">
        <f t="shared" si="19"/>
        <v>-3013</v>
      </c>
      <c r="L36" s="358">
        <f t="shared" si="19"/>
        <v>-2582</v>
      </c>
      <c r="M36" s="358">
        <f t="shared" si="19"/>
        <v>-3060</v>
      </c>
      <c r="N36" s="358">
        <f t="shared" si="19"/>
        <v>-1597</v>
      </c>
      <c r="O36" s="358">
        <f t="shared" si="19"/>
        <v>-473</v>
      </c>
      <c r="P36" s="358">
        <f t="shared" si="19"/>
        <v>-679</v>
      </c>
      <c r="Q36" s="358">
        <f>Q31-SUM(Q33:Q35)</f>
        <v>-1753</v>
      </c>
      <c r="R36" s="358">
        <f t="shared" ca="1" si="19"/>
        <v>-194.17380985330726</v>
      </c>
      <c r="S36" s="358">
        <f t="shared" ca="1" si="19"/>
        <v>110.92218126856579</v>
      </c>
      <c r="T36" s="358">
        <f t="shared" ca="1" si="19"/>
        <v>-48.014982680563321</v>
      </c>
      <c r="U36" s="255"/>
      <c r="V36" s="358">
        <f t="shared" ref="V36:AD36" si="20">V31-SUM(V33:V35)</f>
        <v>3199</v>
      </c>
      <c r="W36" s="358">
        <f t="shared" si="20"/>
        <v>3166</v>
      </c>
      <c r="X36" s="358">
        <f t="shared" si="20"/>
        <v>4071</v>
      </c>
      <c r="Y36" s="358">
        <f t="shared" si="20"/>
        <v>-9860</v>
      </c>
      <c r="Z36" s="358">
        <f t="shared" si="20"/>
        <v>-5809</v>
      </c>
      <c r="AA36" s="358">
        <f t="shared" ca="1" si="20"/>
        <v>-1884.2666112653023</v>
      </c>
      <c r="AB36" s="358">
        <f t="shared" ca="1" si="20"/>
        <v>1594.8190966924185</v>
      </c>
      <c r="AC36" s="358">
        <f t="shared" ca="1" si="20"/>
        <v>3131.6254943793165</v>
      </c>
      <c r="AD36" s="358">
        <f t="shared" ca="1" si="20"/>
        <v>2855.8902463976633</v>
      </c>
    </row>
    <row r="37" spans="2:30" ht="11.25" customHeight="1">
      <c r="U37" s="255"/>
    </row>
    <row r="38" spans="2:30" ht="11.25" customHeight="1">
      <c r="C38" s="253" t="s">
        <v>427</v>
      </c>
      <c r="E38" s="255">
        <f>'UAL Financials'!E101</f>
        <v>80</v>
      </c>
      <c r="F38" s="255">
        <f>'UAL Financials'!F101</f>
        <v>316</v>
      </c>
      <c r="G38" s="255">
        <f>'UAL Financials'!G101</f>
        <v>331</v>
      </c>
      <c r="H38" s="255">
        <f>'UAL Financials'!H101</f>
        <v>213</v>
      </c>
      <c r="I38" s="255">
        <f>'UAL Financials'!I101</f>
        <v>-395</v>
      </c>
      <c r="J38" s="255">
        <f>'UAL Financials'!J101</f>
        <v>-617</v>
      </c>
      <c r="K38" s="255">
        <f>'UAL Financials'!K101</f>
        <v>-639</v>
      </c>
      <c r="L38" s="255">
        <f>'UAL Financials'!L101</f>
        <v>-505</v>
      </c>
      <c r="M38" s="255">
        <f>'UAL Financials'!M101</f>
        <v>-685</v>
      </c>
      <c r="N38" s="255">
        <f>'UAL Financials'!N101</f>
        <v>-333</v>
      </c>
      <c r="O38" s="255">
        <f>'UAL Financials'!O101</f>
        <v>-144</v>
      </c>
      <c r="P38" s="255">
        <f>'UAL Financials'!P101</f>
        <v>-199</v>
      </c>
      <c r="Q38" s="255">
        <f>'UAL Financials'!Q101</f>
        <v>-375</v>
      </c>
      <c r="R38" s="255">
        <f ca="1">R39*R36</f>
        <v>0</v>
      </c>
      <c r="S38" s="255">
        <f ca="1">S39*S36</f>
        <v>0</v>
      </c>
      <c r="T38" s="255">
        <f ca="1">T39*T36</f>
        <v>0</v>
      </c>
      <c r="U38" s="255"/>
      <c r="V38" s="255">
        <f>'UAL Financials'!V101</f>
        <v>1122</v>
      </c>
      <c r="W38" s="255">
        <f>'UAL Financials'!W101</f>
        <v>647</v>
      </c>
      <c r="X38" s="255">
        <f>SUMIF($E$5:$T$5,X$5,$E38:$T38)</f>
        <v>940</v>
      </c>
      <c r="Y38" s="255">
        <f>SUMIF($E$5:$T$5,Y$5,$E38:$T38)</f>
        <v>-2156</v>
      </c>
      <c r="Z38" s="255">
        <f>SUMIF($E$5:$T$5,Z$5,$E38:$T38)</f>
        <v>-1361</v>
      </c>
      <c r="AA38" s="255">
        <f ca="1">SUMIF($E$5:$T$5,AA$5,$E38:$T38)</f>
        <v>-375</v>
      </c>
      <c r="AB38" s="255">
        <f ca="1">AB39*AB36</f>
        <v>0</v>
      </c>
      <c r="AC38" s="255">
        <f ca="1">AC39*AC36</f>
        <v>0</v>
      </c>
      <c r="AD38" s="255">
        <f ca="1">AD39*AD36</f>
        <v>0</v>
      </c>
    </row>
    <row r="39" spans="2:30" s="278" customFormat="1" ht="11.25" customHeight="1">
      <c r="C39" s="278" t="s">
        <v>475</v>
      </c>
      <c r="E39" s="297">
        <f t="shared" ref="E39:P39" si="21">E38/ABS(E36)</f>
        <v>0.20565552699228792</v>
      </c>
      <c r="F39" s="297">
        <f t="shared" si="21"/>
        <v>0.2231638418079096</v>
      </c>
      <c r="G39" s="297">
        <f t="shared" si="21"/>
        <v>0.24037763253449529</v>
      </c>
      <c r="H39" s="297">
        <f t="shared" si="21"/>
        <v>0.23959505061867267</v>
      </c>
      <c r="I39" s="297">
        <f t="shared" si="21"/>
        <v>-0.38164251207729466</v>
      </c>
      <c r="J39" s="297">
        <f t="shared" si="21"/>
        <v>-0.19102167182662538</v>
      </c>
      <c r="K39" s="297">
        <f t="shared" si="21"/>
        <v>-0.21208098240955858</v>
      </c>
      <c r="L39" s="297">
        <f t="shared" si="21"/>
        <v>-0.19558481797056546</v>
      </c>
      <c r="M39" s="297">
        <f t="shared" si="21"/>
        <v>-0.22385620915032681</v>
      </c>
      <c r="N39" s="297">
        <f t="shared" si="21"/>
        <v>-0.20851596743894804</v>
      </c>
      <c r="O39" s="297">
        <f t="shared" si="21"/>
        <v>-0.30443974630021142</v>
      </c>
      <c r="P39" s="297">
        <f t="shared" si="21"/>
        <v>-0.29307805596465392</v>
      </c>
      <c r="Q39" s="297">
        <f>Q38/ABS(Q36)</f>
        <v>-0.21391899600684541</v>
      </c>
      <c r="R39" s="296">
        <v>0</v>
      </c>
      <c r="S39" s="296">
        <v>0</v>
      </c>
      <c r="T39" s="296">
        <v>0</v>
      </c>
      <c r="U39" s="441"/>
      <c r="V39" s="297">
        <f t="shared" ref="V39:AA39" si="22">V38/ABS(V36)</f>
        <v>0.35073460456392624</v>
      </c>
      <c r="W39" s="297">
        <f t="shared" si="22"/>
        <v>0.20435881238155401</v>
      </c>
      <c r="X39" s="297">
        <f t="shared" si="22"/>
        <v>0.2309014984033407</v>
      </c>
      <c r="Y39" s="297">
        <f t="shared" si="22"/>
        <v>-0.21866125760649088</v>
      </c>
      <c r="Z39" s="297">
        <f t="shared" si="22"/>
        <v>-0.23429161645722155</v>
      </c>
      <c r="AA39" s="297">
        <f t="shared" ca="1" si="22"/>
        <v>-0.19901642249457685</v>
      </c>
      <c r="AB39" s="296">
        <v>0</v>
      </c>
      <c r="AC39" s="296">
        <v>0</v>
      </c>
      <c r="AD39" s="296">
        <v>0</v>
      </c>
    </row>
    <row r="40" spans="2:30" ht="11.25" customHeight="1">
      <c r="C40" s="289" t="s">
        <v>429</v>
      </c>
      <c r="E40" s="396">
        <f t="shared" ref="E40:T40" si="23">E36-E38</f>
        <v>309</v>
      </c>
      <c r="F40" s="396">
        <f t="shared" si="23"/>
        <v>1100</v>
      </c>
      <c r="G40" s="396">
        <f t="shared" si="23"/>
        <v>1046</v>
      </c>
      <c r="H40" s="396">
        <f t="shared" si="23"/>
        <v>676</v>
      </c>
      <c r="I40" s="396">
        <f t="shared" si="23"/>
        <v>-640</v>
      </c>
      <c r="J40" s="396">
        <f t="shared" si="23"/>
        <v>-2613</v>
      </c>
      <c r="K40" s="396">
        <f t="shared" si="23"/>
        <v>-2374</v>
      </c>
      <c r="L40" s="396">
        <f t="shared" si="23"/>
        <v>-2077</v>
      </c>
      <c r="M40" s="396">
        <f t="shared" si="23"/>
        <v>-2375</v>
      </c>
      <c r="N40" s="396">
        <f t="shared" si="23"/>
        <v>-1264</v>
      </c>
      <c r="O40" s="396">
        <f t="shared" si="23"/>
        <v>-329</v>
      </c>
      <c r="P40" s="396">
        <f t="shared" si="23"/>
        <v>-480</v>
      </c>
      <c r="Q40" s="396">
        <f>Q36-Q38</f>
        <v>-1378</v>
      </c>
      <c r="R40" s="396">
        <f t="shared" ca="1" si="23"/>
        <v>-194.17380985330726</v>
      </c>
      <c r="S40" s="396">
        <f t="shared" ca="1" si="23"/>
        <v>110.92218126856579</v>
      </c>
      <c r="T40" s="396">
        <f t="shared" ca="1" si="23"/>
        <v>-48.014982680563321</v>
      </c>
      <c r="U40" s="255"/>
      <c r="V40" s="396">
        <f t="shared" ref="V40:AD40" si="24">V36-V38</f>
        <v>2077</v>
      </c>
      <c r="W40" s="396">
        <f t="shared" si="24"/>
        <v>2519</v>
      </c>
      <c r="X40" s="396">
        <f t="shared" si="24"/>
        <v>3131</v>
      </c>
      <c r="Y40" s="396">
        <f t="shared" si="24"/>
        <v>-7704</v>
      </c>
      <c r="Z40" s="396">
        <f t="shared" si="24"/>
        <v>-4448</v>
      </c>
      <c r="AA40" s="396">
        <f t="shared" ca="1" si="24"/>
        <v>-1509.2666112653023</v>
      </c>
      <c r="AB40" s="396">
        <f t="shared" ca="1" si="24"/>
        <v>1594.8190966924185</v>
      </c>
      <c r="AC40" s="396">
        <f t="shared" ca="1" si="24"/>
        <v>3131.6254943793165</v>
      </c>
      <c r="AD40" s="396">
        <f t="shared" ca="1" si="24"/>
        <v>2855.8902463976633</v>
      </c>
    </row>
    <row r="41" spans="2:30" ht="11.25" customHeight="1">
      <c r="U41" s="255"/>
    </row>
    <row r="42" spans="2:30" s="293" customFormat="1" ht="11.25" customHeight="1">
      <c r="C42" s="293" t="s">
        <v>424</v>
      </c>
      <c r="E42" s="284">
        <f>ROUND('UAL Financials'!E57-E28,0)</f>
        <v>0</v>
      </c>
      <c r="F42" s="284">
        <f>ROUND('UAL Financials'!F57-F28,0)</f>
        <v>0</v>
      </c>
      <c r="G42" s="284">
        <f>ROUND('UAL Financials'!G57-G28,0)</f>
        <v>0</v>
      </c>
      <c r="H42" s="284">
        <f>ROUND('UAL Financials'!H57-H28,0)</f>
        <v>0</v>
      </c>
      <c r="I42" s="284">
        <f>ROUND('UAL Financials'!I57-I28,0)</f>
        <v>0</v>
      </c>
      <c r="J42" s="284">
        <f>ROUND('UAL Financials'!J57-J28,0)</f>
        <v>0</v>
      </c>
      <c r="K42" s="284">
        <f>ROUND('UAL Financials'!K57-K28,0)</f>
        <v>0</v>
      </c>
      <c r="L42" s="284">
        <f>ROUND('UAL Financials'!L57-L28,0)</f>
        <v>0</v>
      </c>
      <c r="M42" s="284">
        <f>ROUND('UAL Financials'!M57-M28,0)</f>
        <v>0</v>
      </c>
      <c r="N42" s="284">
        <f>ROUND('UAL Financials'!N57-N28,0)</f>
        <v>0</v>
      </c>
      <c r="O42" s="284">
        <f>ROUND('UAL Financials'!O57-O28,0)</f>
        <v>0</v>
      </c>
      <c r="P42" s="284">
        <f>ROUND('UAL Financials'!P57-P28,0)</f>
        <v>0</v>
      </c>
      <c r="Q42" s="284">
        <f>ROUND('UAL Financials'!Q57-Q28,0)</f>
        <v>0</v>
      </c>
      <c r="R42" s="284">
        <f ca="1">ROUND('UAL Financials'!R57-R28,0)</f>
        <v>0</v>
      </c>
      <c r="S42" s="284">
        <f ca="1">ROUND('UAL Financials'!S57-S28,0)</f>
        <v>0</v>
      </c>
      <c r="T42" s="284">
        <f ca="1">ROUND('UAL Financials'!T57-T28,0)</f>
        <v>0</v>
      </c>
      <c r="U42" s="284"/>
      <c r="V42" s="284">
        <f>ROUND('UAL Financials'!V57-V28,0)</f>
        <v>0</v>
      </c>
      <c r="W42" s="284">
        <f>ROUND('UAL Financials'!W57-W28,0)</f>
        <v>0</v>
      </c>
      <c r="X42" s="284">
        <f>ROUND('UAL Financials'!X57-X28,0)</f>
        <v>0</v>
      </c>
      <c r="Y42" s="284">
        <f>ROUND('UAL Financials'!Y57-Y28,0)</f>
        <v>0</v>
      </c>
      <c r="Z42" s="284">
        <f>ROUND('UAL Financials'!Z57-Z28,0)</f>
        <v>0</v>
      </c>
      <c r="AA42" s="284">
        <f ca="1">ROUND('UAL Financials'!AA57-AA28,0)</f>
        <v>0</v>
      </c>
      <c r="AB42" s="284">
        <f ca="1">ROUND('UAL Financials'!AB57-AB28,0)</f>
        <v>0</v>
      </c>
      <c r="AC42" s="284">
        <f ca="1">ROUND('UAL Financials'!AC57-AC28,0)</f>
        <v>0</v>
      </c>
      <c r="AD42" s="284">
        <f ca="1">ROUND('UAL Financials'!AD57-AD28,0)</f>
        <v>0</v>
      </c>
    </row>
    <row r="43" spans="2:30" s="284" customFormat="1" ht="11.25" customHeight="1">
      <c r="C43" s="284" t="s">
        <v>425</v>
      </c>
      <c r="E43" s="284">
        <f>ROUND('UAL Financials'!E96-E36,0)</f>
        <v>0</v>
      </c>
      <c r="F43" s="284">
        <f>ROUND('UAL Financials'!F96-F36,0)</f>
        <v>0</v>
      </c>
      <c r="G43" s="284">
        <f>ROUND('UAL Financials'!G96-G36,0)</f>
        <v>0</v>
      </c>
      <c r="H43" s="284">
        <f>ROUND('UAL Financials'!H96-H36,0)</f>
        <v>0</v>
      </c>
      <c r="I43" s="284">
        <f>ROUND('UAL Financials'!I96-I36,0)</f>
        <v>0</v>
      </c>
      <c r="J43" s="284">
        <f>ROUND('UAL Financials'!J96-J36,0)</f>
        <v>0</v>
      </c>
      <c r="K43" s="284">
        <f>ROUND('UAL Financials'!K96-K36,0)</f>
        <v>0</v>
      </c>
      <c r="L43" s="284">
        <f>ROUND('UAL Financials'!L96-L36,0)</f>
        <v>0</v>
      </c>
      <c r="M43" s="284">
        <f>ROUND('UAL Financials'!M96-M36,0)</f>
        <v>0</v>
      </c>
      <c r="N43" s="284">
        <f>ROUND('UAL Financials'!N96-N36,0)</f>
        <v>0</v>
      </c>
      <c r="O43" s="284">
        <f>ROUND('UAL Financials'!O96-O36,0)</f>
        <v>0</v>
      </c>
      <c r="P43" s="284">
        <f>ROUND('UAL Financials'!P96-P36,0)</f>
        <v>0</v>
      </c>
      <c r="Q43" s="284">
        <f>ROUND('UAL Financials'!Q96-Q36,0)</f>
        <v>0</v>
      </c>
      <c r="R43" s="284">
        <f ca="1">ROUND('UAL Financials'!R96-R36,0)</f>
        <v>0</v>
      </c>
      <c r="S43" s="284">
        <f ca="1">ROUND('UAL Financials'!S96-S36,0)</f>
        <v>0</v>
      </c>
      <c r="T43" s="284">
        <f ca="1">ROUND('UAL Financials'!T96-T36,0)</f>
        <v>0</v>
      </c>
      <c r="V43" s="284">
        <f>ROUND('UAL Financials'!V96-V36,0)</f>
        <v>0</v>
      </c>
      <c r="W43" s="284">
        <f>ROUND('UAL Financials'!W96-W36,0)</f>
        <v>0</v>
      </c>
      <c r="X43" s="284">
        <f>ROUND('UAL Financials'!X96-X36,0)</f>
        <v>0</v>
      </c>
      <c r="Y43" s="284">
        <f>ROUND('UAL Financials'!Y96-Y36,0)</f>
        <v>0</v>
      </c>
      <c r="Z43" s="284">
        <f>ROUND('UAL Financials'!Z96-Z36,0)</f>
        <v>0</v>
      </c>
      <c r="AA43" s="284">
        <f ca="1">ROUND('UAL Financials'!AA96-AA36,0)</f>
        <v>0</v>
      </c>
      <c r="AB43" s="284">
        <f ca="1">ROUND('UAL Financials'!AB96-AB36,0)</f>
        <v>0</v>
      </c>
      <c r="AC43" s="284">
        <f ca="1">ROUND('UAL Financials'!AC96-AC36,0)</f>
        <v>0</v>
      </c>
      <c r="AD43" s="284">
        <f ca="1">ROUND('UAL Financials'!AD96-AD36,0)</f>
        <v>0</v>
      </c>
    </row>
    <row r="44" spans="2:30" s="284" customFormat="1" ht="11.25" customHeight="1">
      <c r="C44" s="284" t="s">
        <v>428</v>
      </c>
      <c r="E44" s="284">
        <f>ROUND('UAL Financials'!E112-E40,0)</f>
        <v>0</v>
      </c>
      <c r="F44" s="284">
        <f>ROUND('UAL Financials'!F112-F40,0)</f>
        <v>0</v>
      </c>
      <c r="G44" s="284">
        <f>ROUND('UAL Financials'!G112-G40,0)</f>
        <v>0</v>
      </c>
      <c r="H44" s="284">
        <f>ROUND('UAL Financials'!H112-H40,0)</f>
        <v>0</v>
      </c>
      <c r="I44" s="284">
        <f>ROUND('UAL Financials'!I112-I40,0)</f>
        <v>0</v>
      </c>
      <c r="J44" s="284">
        <f>ROUND('UAL Financials'!J112-J40,0)</f>
        <v>0</v>
      </c>
      <c r="K44" s="284">
        <f>ROUND('UAL Financials'!K112-K40,0)</f>
        <v>0</v>
      </c>
      <c r="L44" s="284">
        <f>ROUND('UAL Financials'!L112-L40,0)</f>
        <v>0</v>
      </c>
      <c r="M44" s="284">
        <f>ROUND('UAL Financials'!M112-M40,0)</f>
        <v>0</v>
      </c>
      <c r="N44" s="284">
        <f>ROUND('UAL Financials'!N112-N40,0)</f>
        <v>0</v>
      </c>
      <c r="O44" s="284">
        <f>ROUND('UAL Financials'!O112-O40,0)</f>
        <v>0</v>
      </c>
      <c r="P44" s="284">
        <f>ROUND('UAL Financials'!P112-P40,0)</f>
        <v>0</v>
      </c>
      <c r="Q44" s="284">
        <f>ROUND('UAL Financials'!Q112-Q40,0)</f>
        <v>0</v>
      </c>
      <c r="R44" s="284">
        <f ca="1">ROUND('UAL Financials'!R112-R40,0)</f>
        <v>0</v>
      </c>
      <c r="S44" s="284">
        <f ca="1">ROUND('UAL Financials'!S112-S40,0)</f>
        <v>0</v>
      </c>
      <c r="T44" s="284">
        <f ca="1">ROUND('UAL Financials'!T112-T40,0)</f>
        <v>0</v>
      </c>
      <c r="V44" s="284">
        <f>ROUND('UAL Financials'!V112-V40,0)</f>
        <v>0</v>
      </c>
      <c r="W44" s="284">
        <f>ROUND('UAL Financials'!W112-W40,0)</f>
        <v>0</v>
      </c>
      <c r="X44" s="284">
        <f>ROUND('UAL Financials'!X112-X40,0)</f>
        <v>0</v>
      </c>
      <c r="Y44" s="284">
        <f>ROUND('UAL Financials'!Y112-Y40,0)</f>
        <v>0</v>
      </c>
      <c r="Z44" s="284">
        <f>ROUND('UAL Financials'!Z112-Z40,0)</f>
        <v>0</v>
      </c>
      <c r="AA44" s="284">
        <f ca="1">ROUND('UAL Financials'!AA112-AA40,0)</f>
        <v>0</v>
      </c>
      <c r="AB44" s="284">
        <f ca="1">ROUND('UAL Financials'!AB112-AB40,0)</f>
        <v>0</v>
      </c>
      <c r="AC44" s="284">
        <f ca="1">ROUND('UAL Financials'!AC112-AC40,0)</f>
        <v>0</v>
      </c>
      <c r="AD44" s="284">
        <f ca="1">ROUND('UAL Financials'!AD112-AD40,0)</f>
        <v>0</v>
      </c>
    </row>
    <row r="45" spans="2:30" ht="11.25" customHeight="1">
      <c r="U45" s="284"/>
    </row>
    <row r="46" spans="2:30" s="255" customFormat="1" ht="11.25" customHeight="1">
      <c r="B46" s="258" t="s">
        <v>133</v>
      </c>
      <c r="C46" s="259" t="s">
        <v>476</v>
      </c>
      <c r="D46" s="259"/>
      <c r="E46" s="258"/>
      <c r="F46" s="258"/>
      <c r="G46" s="258"/>
      <c r="H46" s="258"/>
      <c r="I46" s="258"/>
      <c r="J46" s="258"/>
      <c r="K46" s="258"/>
      <c r="L46" s="258"/>
      <c r="M46" s="258"/>
      <c r="N46" s="258"/>
      <c r="O46" s="258"/>
      <c r="P46" s="258"/>
      <c r="Q46" s="258"/>
      <c r="R46" s="258"/>
      <c r="S46" s="258"/>
      <c r="T46" s="258"/>
      <c r="U46" s="284"/>
      <c r="V46" s="258"/>
      <c r="W46" s="258"/>
      <c r="X46" s="258"/>
      <c r="Y46" s="258"/>
      <c r="Z46" s="258"/>
      <c r="AA46" s="258"/>
      <c r="AB46" s="258"/>
      <c r="AC46" s="258"/>
      <c r="AD46" s="258"/>
    </row>
    <row r="47" spans="2:30" ht="11.25" customHeight="1">
      <c r="U47" s="284"/>
    </row>
    <row r="48" spans="2:30" s="278" customFormat="1" ht="11.25" customHeight="1">
      <c r="B48" s="486"/>
      <c r="C48" s="486" t="s">
        <v>284</v>
      </c>
      <c r="D48" s="486"/>
      <c r="E48" s="487">
        <f t="shared" ref="E48:T48" si="25">E10/E$13</f>
        <v>0.90989675670038583</v>
      </c>
      <c r="F48" s="487">
        <f t="shared" si="25"/>
        <v>0.91966321697947728</v>
      </c>
      <c r="G48" s="487">
        <f t="shared" si="25"/>
        <v>0.92100175746924429</v>
      </c>
      <c r="H48" s="487">
        <f t="shared" si="25"/>
        <v>0.91228875826598088</v>
      </c>
      <c r="I48" s="487">
        <f t="shared" si="25"/>
        <v>0.88544930442411329</v>
      </c>
      <c r="J48" s="487">
        <f t="shared" si="25"/>
        <v>0.46169491525423728</v>
      </c>
      <c r="K48" s="487">
        <f t="shared" si="25"/>
        <v>0.66251506629168344</v>
      </c>
      <c r="L48" s="487">
        <f t="shared" si="25"/>
        <v>0.70633059788980068</v>
      </c>
      <c r="M48" s="487">
        <f t="shared" si="25"/>
        <v>0.71903135672151508</v>
      </c>
      <c r="N48" s="487">
        <f t="shared" si="25"/>
        <v>0.79802595503564244</v>
      </c>
      <c r="O48" s="487">
        <f t="shared" si="25"/>
        <v>0.85638709677419356</v>
      </c>
      <c r="P48" s="487">
        <f t="shared" si="25"/>
        <v>0.839599609375</v>
      </c>
      <c r="Q48" s="487">
        <f t="shared" si="25"/>
        <v>0.83901665344964316</v>
      </c>
      <c r="R48" s="487">
        <f t="shared" si="25"/>
        <v>0.87092371945204672</v>
      </c>
      <c r="S48" s="487">
        <f t="shared" si="25"/>
        <v>0.87554765287214209</v>
      </c>
      <c r="T48" s="487">
        <f t="shared" si="25"/>
        <v>0.87540736630466642</v>
      </c>
      <c r="U48" s="516"/>
      <c r="V48" s="487">
        <f t="shared" ref="V48:AD48" si="26">V10/V$13</f>
        <v>0.91202625449925889</v>
      </c>
      <c r="W48" s="487">
        <f t="shared" si="26"/>
        <v>0.91291189501973224</v>
      </c>
      <c r="X48" s="487">
        <f t="shared" si="26"/>
        <v>0.91599435955523711</v>
      </c>
      <c r="Y48" s="487">
        <f t="shared" si="26"/>
        <v>0.76880494952784106</v>
      </c>
      <c r="Z48" s="487">
        <f t="shared" si="26"/>
        <v>0.81988308841438662</v>
      </c>
      <c r="AA48" s="487">
        <f t="shared" si="26"/>
        <v>0.86785086190590255</v>
      </c>
      <c r="AB48" s="487">
        <f t="shared" si="26"/>
        <v>0.8864655841053245</v>
      </c>
      <c r="AC48" s="487">
        <f t="shared" si="26"/>
        <v>0.89468029211668121</v>
      </c>
      <c r="AD48" s="487">
        <f t="shared" si="26"/>
        <v>0.89997528828054041</v>
      </c>
    </row>
    <row r="49" spans="2:30" s="278" customFormat="1" ht="11.25" customHeight="1">
      <c r="B49" s="486"/>
      <c r="C49" s="486" t="s">
        <v>285</v>
      </c>
      <c r="D49" s="486"/>
      <c r="E49" s="487">
        <f t="shared" ref="E49:T49" si="27">E11/E$13</f>
        <v>2.9825842110751902E-2</v>
      </c>
      <c r="F49" s="487">
        <f t="shared" si="27"/>
        <v>2.5872653920364849E-2</v>
      </c>
      <c r="G49" s="487">
        <f t="shared" si="27"/>
        <v>2.4780316344463971E-2</v>
      </c>
      <c r="H49" s="487">
        <f t="shared" si="27"/>
        <v>2.9022777369581192E-2</v>
      </c>
      <c r="I49" s="487">
        <f t="shared" si="27"/>
        <v>3.3086852989096381E-2</v>
      </c>
      <c r="J49" s="487">
        <f t="shared" si="27"/>
        <v>0.27254237288135591</v>
      </c>
      <c r="K49" s="487">
        <f t="shared" si="27"/>
        <v>0.16954600241060666</v>
      </c>
      <c r="L49" s="487">
        <f t="shared" si="27"/>
        <v>0.16412661195779601</v>
      </c>
      <c r="M49" s="487">
        <f t="shared" si="27"/>
        <v>0.15429990686122322</v>
      </c>
      <c r="N49" s="487">
        <f t="shared" si="27"/>
        <v>0.11076585633339427</v>
      </c>
      <c r="O49" s="487">
        <f t="shared" si="27"/>
        <v>6.6967741935483868E-2</v>
      </c>
      <c r="P49" s="487">
        <f t="shared" si="27"/>
        <v>8.87451171875E-2</v>
      </c>
      <c r="Q49" s="487">
        <f t="shared" si="27"/>
        <v>8.2870737509912765E-2</v>
      </c>
      <c r="R49" s="487">
        <f t="shared" si="27"/>
        <v>5.0693145797269058E-2</v>
      </c>
      <c r="S49" s="487">
        <f t="shared" si="27"/>
        <v>4.5653058369365167E-2</v>
      </c>
      <c r="T49" s="487">
        <f t="shared" si="27"/>
        <v>4.5805970727913516E-2</v>
      </c>
      <c r="U49" s="516"/>
      <c r="V49" s="487">
        <f t="shared" ref="V49:AD49" si="28">V11/V$13</f>
        <v>2.9483379208130427E-2</v>
      </c>
      <c r="W49" s="487">
        <f t="shared" si="28"/>
        <v>2.9949398348788223E-2</v>
      </c>
      <c r="X49" s="487">
        <f t="shared" si="28"/>
        <v>2.7254444161908503E-2</v>
      </c>
      <c r="Y49" s="487">
        <f t="shared" si="28"/>
        <v>0.10732660371214588</v>
      </c>
      <c r="Z49" s="487">
        <f t="shared" si="28"/>
        <v>9.5356012015912969E-2</v>
      </c>
      <c r="AA49" s="487">
        <f t="shared" si="28"/>
        <v>5.3585779025237708E-2</v>
      </c>
      <c r="AB49" s="487">
        <f t="shared" si="28"/>
        <v>3.8184841245722932E-2</v>
      </c>
      <c r="AC49" s="487">
        <f t="shared" si="28"/>
        <v>2.9271883053400796E-2</v>
      </c>
      <c r="AD49" s="487">
        <f t="shared" si="28"/>
        <v>2.3526812215613601E-2</v>
      </c>
    </row>
    <row r="50" spans="2:30" s="278" customFormat="1" ht="11.25" customHeight="1">
      <c r="B50" s="486"/>
      <c r="C50" s="486" t="s">
        <v>286</v>
      </c>
      <c r="D50" s="486"/>
      <c r="E50" s="487">
        <f t="shared" ref="E50:T50" si="29">E12/E$13</f>
        <v>6.027740118886224E-2</v>
      </c>
      <c r="F50" s="487">
        <f t="shared" si="29"/>
        <v>5.4464129100157868E-2</v>
      </c>
      <c r="G50" s="487">
        <f t="shared" si="29"/>
        <v>5.4217926186291739E-2</v>
      </c>
      <c r="H50" s="487">
        <f t="shared" si="29"/>
        <v>5.8688464364437913E-2</v>
      </c>
      <c r="I50" s="487">
        <f t="shared" si="29"/>
        <v>8.1463842586790319E-2</v>
      </c>
      <c r="J50" s="487">
        <f t="shared" si="29"/>
        <v>0.26576271186440675</v>
      </c>
      <c r="K50" s="487">
        <f t="shared" si="29"/>
        <v>0.16793893129770993</v>
      </c>
      <c r="L50" s="487">
        <f t="shared" si="29"/>
        <v>0.12954279015240328</v>
      </c>
      <c r="M50" s="487">
        <f t="shared" si="29"/>
        <v>0.12666873641726173</v>
      </c>
      <c r="N50" s="487">
        <f t="shared" si="29"/>
        <v>9.1208188630963263E-2</v>
      </c>
      <c r="O50" s="487">
        <f t="shared" si="29"/>
        <v>7.6645161290322575E-2</v>
      </c>
      <c r="P50" s="487">
        <f t="shared" si="29"/>
        <v>7.16552734375E-2</v>
      </c>
      <c r="Q50" s="487">
        <f t="shared" si="29"/>
        <v>7.8112609040444092E-2</v>
      </c>
      <c r="R50" s="487">
        <f t="shared" si="29"/>
        <v>7.8383134750684202E-2</v>
      </c>
      <c r="S50" s="487">
        <f t="shared" si="29"/>
        <v>7.8799288758492791E-2</v>
      </c>
      <c r="T50" s="487">
        <f t="shared" si="29"/>
        <v>7.8786662967419971E-2</v>
      </c>
      <c r="U50" s="516"/>
      <c r="V50" s="487">
        <f t="shared" ref="V50:AD50" si="30">V12/V$13</f>
        <v>5.8490366292610632E-2</v>
      </c>
      <c r="W50" s="487">
        <f t="shared" si="30"/>
        <v>5.7138706631479554E-2</v>
      </c>
      <c r="X50" s="487">
        <f t="shared" si="30"/>
        <v>5.6751196282854438E-2</v>
      </c>
      <c r="Y50" s="487">
        <f t="shared" si="30"/>
        <v>0.12386844676001303</v>
      </c>
      <c r="Z50" s="487">
        <f t="shared" si="30"/>
        <v>8.4760899569700413E-2</v>
      </c>
      <c r="AA50" s="487">
        <f t="shared" si="30"/>
        <v>7.856335906885982E-2</v>
      </c>
      <c r="AB50" s="487">
        <f t="shared" si="30"/>
        <v>7.5349574648952589E-2</v>
      </c>
      <c r="AC50" s="487">
        <f t="shared" si="30"/>
        <v>7.6047824829917912E-2</v>
      </c>
      <c r="AD50" s="487">
        <f t="shared" si="30"/>
        <v>7.6497899503845945E-2</v>
      </c>
    </row>
    <row r="51" spans="2:30" s="392" customFormat="1" ht="11.25" customHeight="1">
      <c r="B51" s="488"/>
      <c r="C51" s="489" t="s">
        <v>287</v>
      </c>
      <c r="D51" s="488"/>
      <c r="E51" s="490">
        <f t="shared" ref="E51:T51" si="31">E13/E$13</f>
        <v>1</v>
      </c>
      <c r="F51" s="490">
        <f t="shared" si="31"/>
        <v>1</v>
      </c>
      <c r="G51" s="490">
        <f t="shared" si="31"/>
        <v>1</v>
      </c>
      <c r="H51" s="490">
        <f t="shared" si="31"/>
        <v>1</v>
      </c>
      <c r="I51" s="490">
        <f t="shared" si="31"/>
        <v>1</v>
      </c>
      <c r="J51" s="490">
        <f t="shared" si="31"/>
        <v>1</v>
      </c>
      <c r="K51" s="490">
        <f t="shared" si="31"/>
        <v>1</v>
      </c>
      <c r="L51" s="490">
        <f t="shared" si="31"/>
        <v>1</v>
      </c>
      <c r="M51" s="490">
        <f t="shared" si="31"/>
        <v>1</v>
      </c>
      <c r="N51" s="490">
        <f t="shared" si="31"/>
        <v>1</v>
      </c>
      <c r="O51" s="490">
        <f t="shared" si="31"/>
        <v>1</v>
      </c>
      <c r="P51" s="490">
        <f t="shared" si="31"/>
        <v>1</v>
      </c>
      <c r="Q51" s="490">
        <f t="shared" si="31"/>
        <v>1</v>
      </c>
      <c r="R51" s="490">
        <f t="shared" si="31"/>
        <v>1</v>
      </c>
      <c r="S51" s="490">
        <f t="shared" si="31"/>
        <v>1</v>
      </c>
      <c r="T51" s="490">
        <f t="shared" si="31"/>
        <v>1</v>
      </c>
      <c r="U51" s="516"/>
      <c r="V51" s="490">
        <f t="shared" ref="V51:AD51" si="32">V13/V$13</f>
        <v>1</v>
      </c>
      <c r="W51" s="490">
        <f t="shared" si="32"/>
        <v>1</v>
      </c>
      <c r="X51" s="490">
        <f t="shared" si="32"/>
        <v>1</v>
      </c>
      <c r="Y51" s="490">
        <f t="shared" si="32"/>
        <v>1</v>
      </c>
      <c r="Z51" s="490">
        <f t="shared" si="32"/>
        <v>1</v>
      </c>
      <c r="AA51" s="490">
        <f t="shared" si="32"/>
        <v>1</v>
      </c>
      <c r="AB51" s="490">
        <f t="shared" si="32"/>
        <v>1</v>
      </c>
      <c r="AC51" s="490">
        <f t="shared" si="32"/>
        <v>1</v>
      </c>
      <c r="AD51" s="490">
        <f t="shared" si="32"/>
        <v>1</v>
      </c>
    </row>
    <row r="52" spans="2:30" s="278" customFormat="1" ht="11.25" customHeight="1">
      <c r="B52" s="486"/>
      <c r="C52" s="486"/>
      <c r="D52" s="486"/>
      <c r="E52" s="487"/>
      <c r="F52" s="487"/>
      <c r="G52" s="487"/>
      <c r="H52" s="487"/>
      <c r="I52" s="487"/>
      <c r="J52" s="487"/>
      <c r="K52" s="487"/>
      <c r="L52" s="487"/>
      <c r="M52" s="487"/>
      <c r="N52" s="487"/>
      <c r="O52" s="487"/>
      <c r="P52" s="487"/>
      <c r="Q52" s="487"/>
      <c r="R52" s="487"/>
      <c r="S52" s="487"/>
      <c r="T52" s="487"/>
      <c r="U52" s="516"/>
      <c r="V52" s="487"/>
      <c r="W52" s="487"/>
      <c r="X52" s="487"/>
      <c r="Y52" s="487"/>
      <c r="Z52" s="487"/>
      <c r="AA52" s="487"/>
      <c r="AB52" s="487"/>
      <c r="AC52" s="487"/>
      <c r="AD52" s="487"/>
    </row>
    <row r="53" spans="2:30" s="278" customFormat="1" ht="11.25" customHeight="1">
      <c r="B53" s="486"/>
      <c r="C53" s="486" t="s">
        <v>289</v>
      </c>
      <c r="D53" s="486"/>
      <c r="E53" s="487">
        <f t="shared" ref="E53:T53" si="33">E15/E$13</f>
        <v>0.21097090416101782</v>
      </c>
      <c r="F53" s="487">
        <f t="shared" si="33"/>
        <v>0.20917382915278021</v>
      </c>
      <c r="G53" s="487">
        <f t="shared" si="33"/>
        <v>0.20175746924428822</v>
      </c>
      <c r="H53" s="487">
        <f t="shared" si="33"/>
        <v>0.20655767817781043</v>
      </c>
      <c r="I53" s="487">
        <f t="shared" si="33"/>
        <v>0.21631783431507709</v>
      </c>
      <c r="J53" s="487">
        <f t="shared" si="33"/>
        <v>0.16271186440677965</v>
      </c>
      <c r="K53" s="487">
        <f t="shared" si="33"/>
        <v>0.2040980313378867</v>
      </c>
      <c r="L53" s="487">
        <f t="shared" si="33"/>
        <v>0.19900351699882768</v>
      </c>
      <c r="M53" s="487">
        <f t="shared" si="33"/>
        <v>0.26420366345855323</v>
      </c>
      <c r="N53" s="487">
        <f t="shared" si="33"/>
        <v>0.22518735148967281</v>
      </c>
      <c r="O53" s="487">
        <f t="shared" si="33"/>
        <v>0.22064516129032258</v>
      </c>
      <c r="P53" s="487">
        <f t="shared" si="33"/>
        <v>0.239501953125</v>
      </c>
      <c r="Q53" s="487">
        <f t="shared" si="33"/>
        <v>0.29473962463653186</v>
      </c>
      <c r="R53" s="487">
        <f t="shared" si="33"/>
        <v>0.34936889108439412</v>
      </c>
      <c r="S53" s="487">
        <f t="shared" si="33"/>
        <v>0.3204577832676011</v>
      </c>
      <c r="T53" s="487">
        <f t="shared" si="33"/>
        <v>0.28912877868650871</v>
      </c>
      <c r="U53" s="516"/>
      <c r="V53" s="487">
        <f t="shared" ref="V53:AD53" si="34">V15/V$13</f>
        <v>0.18296104171077704</v>
      </c>
      <c r="W53" s="487">
        <f t="shared" si="34"/>
        <v>0.22533472144880518</v>
      </c>
      <c r="X53" s="487">
        <f t="shared" si="34"/>
        <v>0.20696271296146468</v>
      </c>
      <c r="Y53" s="487">
        <f t="shared" si="34"/>
        <v>0.20534028003907523</v>
      </c>
      <c r="Z53" s="487">
        <f t="shared" si="34"/>
        <v>0.23362019972395875</v>
      </c>
      <c r="AA53" s="487">
        <f t="shared" si="34"/>
        <v>0.31514536043749369</v>
      </c>
      <c r="AB53" s="487">
        <f t="shared" si="34"/>
        <v>0.27778427811202888</v>
      </c>
      <c r="AC53" s="487">
        <f t="shared" si="34"/>
        <v>0.24091179161793702</v>
      </c>
      <c r="AD53" s="487">
        <f t="shared" si="34"/>
        <v>0.2399742048062192</v>
      </c>
    </row>
    <row r="54" spans="2:30" s="278" customFormat="1" ht="11.25" customHeight="1">
      <c r="B54" s="486"/>
      <c r="C54" s="486" t="s">
        <v>288</v>
      </c>
      <c r="D54" s="486"/>
      <c r="E54" s="487">
        <f t="shared" ref="E54:T54" si="35">E16/E$13</f>
        <v>0.29617269788299094</v>
      </c>
      <c r="F54" s="487">
        <f t="shared" si="35"/>
        <v>0.25399052797754779</v>
      </c>
      <c r="G54" s="487">
        <f t="shared" si="35"/>
        <v>0.25386643233743411</v>
      </c>
      <c r="H54" s="487">
        <f t="shared" si="35"/>
        <v>0.27139970609845704</v>
      </c>
      <c r="I54" s="487">
        <f t="shared" si="35"/>
        <v>0.37034716129840833</v>
      </c>
      <c r="J54" s="487">
        <f t="shared" si="35"/>
        <v>1.471186440677966</v>
      </c>
      <c r="K54" s="487">
        <f t="shared" si="35"/>
        <v>0.89554037766171157</v>
      </c>
      <c r="L54" s="487">
        <f t="shared" si="35"/>
        <v>0.63540445486518171</v>
      </c>
      <c r="M54" s="487">
        <f t="shared" si="35"/>
        <v>0.6904687985097796</v>
      </c>
      <c r="N54" s="487">
        <f t="shared" si="35"/>
        <v>0.41601169804423321</v>
      </c>
      <c r="O54" s="487">
        <f t="shared" si="35"/>
        <v>0.32090322580645159</v>
      </c>
      <c r="P54" s="487">
        <f t="shared" si="35"/>
        <v>0.3148193359375</v>
      </c>
      <c r="Q54" s="487">
        <f t="shared" si="35"/>
        <v>0.36835844567803333</v>
      </c>
      <c r="R54" s="487">
        <f t="shared" si="35"/>
        <v>0.24050630761561087</v>
      </c>
      <c r="S54" s="487">
        <f t="shared" si="35"/>
        <v>0.26090327022325988</v>
      </c>
      <c r="T54" s="487">
        <f t="shared" si="35"/>
        <v>0.27645681845476383</v>
      </c>
      <c r="U54" s="516"/>
      <c r="V54" s="487">
        <f t="shared" ref="V54:AD54" si="36">V16/V$13</f>
        <v>0.28033029853906416</v>
      </c>
      <c r="W54" s="487">
        <f t="shared" si="36"/>
        <v>0.26932668329177056</v>
      </c>
      <c r="X54" s="487">
        <f t="shared" si="36"/>
        <v>0.26768996047065352</v>
      </c>
      <c r="Y54" s="487">
        <f t="shared" si="36"/>
        <v>0.6201237381960274</v>
      </c>
      <c r="Z54" s="487">
        <f t="shared" si="36"/>
        <v>0.38832507915888609</v>
      </c>
      <c r="AA54" s="487">
        <f t="shared" si="36"/>
        <v>0.27854374974787477</v>
      </c>
      <c r="AB54" s="487">
        <f t="shared" si="36"/>
        <v>0.25373553497320378</v>
      </c>
      <c r="AC54" s="487">
        <f t="shared" si="36"/>
        <v>0.24270528824680757</v>
      </c>
      <c r="AD54" s="487">
        <f t="shared" si="36"/>
        <v>0.25062063162599807</v>
      </c>
    </row>
    <row r="55" spans="2:30" s="278" customFormat="1" ht="11.25" customHeight="1">
      <c r="B55" s="486"/>
      <c r="C55" s="486" t="s">
        <v>290</v>
      </c>
      <c r="D55" s="486"/>
      <c r="E55" s="487">
        <f t="shared" ref="E55:T55" si="37">E17/E$13</f>
        <v>6.1320262801126291E-2</v>
      </c>
      <c r="F55" s="487">
        <f t="shared" si="37"/>
        <v>5.7884581652341692E-2</v>
      </c>
      <c r="G55" s="487">
        <f t="shared" si="37"/>
        <v>5.6678383128295255E-2</v>
      </c>
      <c r="H55" s="487">
        <f t="shared" si="37"/>
        <v>5.9698750918442324E-2</v>
      </c>
      <c r="I55" s="487">
        <f t="shared" si="37"/>
        <v>7.8079959894723647E-2</v>
      </c>
      <c r="J55" s="487">
        <f t="shared" si="37"/>
        <v>0.29084745762711867</v>
      </c>
      <c r="K55" s="487">
        <f t="shared" si="37"/>
        <v>0.20088388911209321</v>
      </c>
      <c r="L55" s="487">
        <f t="shared" si="37"/>
        <v>0.16852286049237983</v>
      </c>
      <c r="M55" s="487">
        <f t="shared" si="37"/>
        <v>0.1611300838248991</v>
      </c>
      <c r="N55" s="487">
        <f t="shared" si="37"/>
        <v>0.10308901480533723</v>
      </c>
      <c r="O55" s="487">
        <f t="shared" si="37"/>
        <v>8.4129032258064521E-2</v>
      </c>
      <c r="P55" s="487">
        <f t="shared" si="37"/>
        <v>8.31298828125E-2</v>
      </c>
      <c r="Q55" s="487">
        <f t="shared" si="37"/>
        <v>8.088818398096749E-2</v>
      </c>
      <c r="R55" s="487">
        <f t="shared" si="37"/>
        <v>6.447910283562043E-2</v>
      </c>
      <c r="S55" s="487">
        <f t="shared" si="37"/>
        <v>5.6265943923603248E-2</v>
      </c>
      <c r="T55" s="487">
        <f t="shared" si="37"/>
        <v>5.9196844993396017E-2</v>
      </c>
      <c r="U55" s="516"/>
      <c r="V55" s="487">
        <f t="shared" ref="V55:AD55" si="38">V17/V$13</f>
        <v>6.1136989201778527E-2</v>
      </c>
      <c r="W55" s="487">
        <f t="shared" si="38"/>
        <v>5.9293513788344673E-2</v>
      </c>
      <c r="X55" s="487">
        <f t="shared" si="38"/>
        <v>5.8785455049816221E-2</v>
      </c>
      <c r="Y55" s="487">
        <f t="shared" si="38"/>
        <v>0.13852165418430479</v>
      </c>
      <c r="Z55" s="487">
        <f t="shared" si="38"/>
        <v>9.8075830153446453E-2</v>
      </c>
      <c r="AA55" s="487">
        <f t="shared" si="38"/>
        <v>6.3599738443269924E-2</v>
      </c>
      <c r="AB55" s="487">
        <f t="shared" si="38"/>
        <v>5.91087784665335E-2</v>
      </c>
      <c r="AC55" s="487">
        <f t="shared" si="38"/>
        <v>6.0521259596398008E-2</v>
      </c>
      <c r="AD55" s="487">
        <f t="shared" si="38"/>
        <v>6.0285721375354345E-2</v>
      </c>
    </row>
    <row r="56" spans="2:30" s="278" customFormat="1" ht="11.25" customHeight="1">
      <c r="B56" s="486"/>
      <c r="C56" s="486" t="s">
        <v>292</v>
      </c>
      <c r="D56" s="486"/>
      <c r="E56" s="487">
        <f t="shared" ref="E56:T56" si="39">E18/E$13</f>
        <v>7.1748878923766815E-2</v>
      </c>
      <c r="F56" s="487">
        <f t="shared" si="39"/>
        <v>6.2708296790036838E-2</v>
      </c>
      <c r="G56" s="487">
        <f t="shared" si="39"/>
        <v>6.3356766256590508E-2</v>
      </c>
      <c r="H56" s="487">
        <f t="shared" si="39"/>
        <v>6.6587068332108743E-2</v>
      </c>
      <c r="I56" s="487">
        <f t="shared" si="39"/>
        <v>9.2367464594560716E-2</v>
      </c>
      <c r="J56" s="487">
        <f t="shared" si="39"/>
        <v>0.26305084745762713</v>
      </c>
      <c r="K56" s="487">
        <f t="shared" si="39"/>
        <v>0.17075130574527922</v>
      </c>
      <c r="L56" s="487">
        <f t="shared" si="39"/>
        <v>0.14331770222743259</v>
      </c>
      <c r="M56" s="487">
        <f t="shared" si="39"/>
        <v>0.14871158025457931</v>
      </c>
      <c r="N56" s="487">
        <f t="shared" si="39"/>
        <v>9.9981721805885576E-2</v>
      </c>
      <c r="O56" s="487">
        <f t="shared" si="39"/>
        <v>6.7096774193548384E-2</v>
      </c>
      <c r="P56" s="487">
        <f t="shared" si="39"/>
        <v>7.33642578125E-2</v>
      </c>
      <c r="Q56" s="487">
        <f t="shared" si="39"/>
        <v>7.4676182923605602E-2</v>
      </c>
      <c r="R56" s="487">
        <f t="shared" si="39"/>
        <v>5.4807237410277369E-2</v>
      </c>
      <c r="S56" s="487">
        <f t="shared" si="39"/>
        <v>5.5785777526520135E-2</v>
      </c>
      <c r="T56" s="487">
        <f t="shared" si="39"/>
        <v>5.856330016403527E-2</v>
      </c>
      <c r="U56" s="516"/>
      <c r="V56" s="487">
        <f t="shared" ref="V56:AD56" si="40">V18/V$13</f>
        <v>6.0025407579928011E-2</v>
      </c>
      <c r="W56" s="487">
        <f t="shared" si="40"/>
        <v>6.4135777062198876E-2</v>
      </c>
      <c r="X56" s="487">
        <f t="shared" si="40"/>
        <v>6.5859127580387894E-2</v>
      </c>
      <c r="Y56" s="487">
        <f t="shared" si="40"/>
        <v>0.13279062194724844</v>
      </c>
      <c r="Z56" s="487">
        <f t="shared" si="40"/>
        <v>8.7155963302752298E-2</v>
      </c>
      <c r="AA56" s="487">
        <f t="shared" si="40"/>
        <v>5.9599745934631916E-2</v>
      </c>
      <c r="AB56" s="487">
        <f t="shared" si="40"/>
        <v>6.3211294942877638E-2</v>
      </c>
      <c r="AC56" s="487">
        <f t="shared" si="40"/>
        <v>6.4855810647865997E-2</v>
      </c>
      <c r="AD56" s="487">
        <f t="shared" si="40"/>
        <v>6.4603403107669113E-2</v>
      </c>
    </row>
    <row r="57" spans="2:30" s="278" customFormat="1" ht="11.25" customHeight="1">
      <c r="B57" s="486"/>
      <c r="C57" s="486" t="s">
        <v>305</v>
      </c>
      <c r="D57" s="486"/>
      <c r="E57" s="487">
        <f t="shared" ref="E57:T57" si="41">E19/E$13</f>
        <v>4.2548753780373344E-2</v>
      </c>
      <c r="F57" s="487">
        <f t="shared" si="41"/>
        <v>3.6923346781266443E-2</v>
      </c>
      <c r="G57" s="487">
        <f t="shared" si="41"/>
        <v>4.3057996485061513E-2</v>
      </c>
      <c r="H57" s="487">
        <f t="shared" si="41"/>
        <v>4.3626010286554003E-2</v>
      </c>
      <c r="I57" s="487">
        <f t="shared" si="41"/>
        <v>5.4392781050256925E-2</v>
      </c>
      <c r="J57" s="487">
        <f t="shared" si="41"/>
        <v>7.4576271186440682E-2</v>
      </c>
      <c r="K57" s="487">
        <f t="shared" si="41"/>
        <v>4.6203294495781436E-2</v>
      </c>
      <c r="L57" s="487">
        <f t="shared" si="41"/>
        <v>5.8323563892145366E-2</v>
      </c>
      <c r="M57" s="487">
        <f t="shared" si="41"/>
        <v>8.3514436510400497E-2</v>
      </c>
      <c r="N57" s="487">
        <f t="shared" si="41"/>
        <v>5.5200146225552915E-2</v>
      </c>
      <c r="O57" s="487">
        <f t="shared" si="41"/>
        <v>4.4645161290322581E-2</v>
      </c>
      <c r="P57" s="487">
        <f t="shared" si="41"/>
        <v>4.87060546875E-2</v>
      </c>
      <c r="Q57" s="487">
        <f t="shared" si="41"/>
        <v>5.3793285752048642E-2</v>
      </c>
      <c r="R57" s="487">
        <f t="shared" si="41"/>
        <v>3.9547934577208919E-2</v>
      </c>
      <c r="S57" s="487">
        <f t="shared" si="41"/>
        <v>4.1815438608542352E-2</v>
      </c>
      <c r="T57" s="487">
        <f t="shared" si="41"/>
        <v>4.5140069091954151E-2</v>
      </c>
      <c r="U57" s="516"/>
      <c r="V57" s="487">
        <f t="shared" ref="V57:AD57" si="42">V19/V$13</f>
        <v>4.9121321194156256E-2</v>
      </c>
      <c r="W57" s="487">
        <f t="shared" si="42"/>
        <v>4.2781396024501851E-2</v>
      </c>
      <c r="X57" s="487">
        <f t="shared" si="42"/>
        <v>4.1471138953743727E-2</v>
      </c>
      <c r="Y57" s="487">
        <f t="shared" si="42"/>
        <v>5.5877564311299248E-2</v>
      </c>
      <c r="Z57" s="487">
        <f t="shared" si="42"/>
        <v>5.3422099537224974E-2</v>
      </c>
      <c r="AA57" s="487">
        <f t="shared" si="42"/>
        <v>4.4218582931070671E-2</v>
      </c>
      <c r="AB57" s="487">
        <f t="shared" si="42"/>
        <v>4.1699232626410183E-2</v>
      </c>
      <c r="AC57" s="487">
        <f t="shared" si="42"/>
        <v>4.2695690018064489E-2</v>
      </c>
      <c r="AD57" s="487">
        <f t="shared" si="42"/>
        <v>4.2529525814937345E-2</v>
      </c>
    </row>
    <row r="58" spans="2:30" s="278" customFormat="1" ht="11.25" customHeight="1">
      <c r="B58" s="486"/>
      <c r="C58" s="486" t="s">
        <v>293</v>
      </c>
      <c r="D58" s="486"/>
      <c r="E58" s="487">
        <f t="shared" ref="E58:T58" si="43">E20/E$13</f>
        <v>3.7543018041505893E-2</v>
      </c>
      <c r="F58" s="487">
        <f t="shared" si="43"/>
        <v>3.8765128924750043E-2</v>
      </c>
      <c r="G58" s="487">
        <f t="shared" si="43"/>
        <v>3.7961335676625657E-2</v>
      </c>
      <c r="H58" s="487">
        <f t="shared" si="43"/>
        <v>3.8299044819985306E-2</v>
      </c>
      <c r="I58" s="487">
        <f t="shared" si="43"/>
        <v>3.6972051635543304E-2</v>
      </c>
      <c r="J58" s="487">
        <f t="shared" si="43"/>
        <v>2.1016949152542375E-2</v>
      </c>
      <c r="K58" s="487">
        <f t="shared" si="43"/>
        <v>2.129369224588188E-2</v>
      </c>
      <c r="L58" s="487">
        <f t="shared" si="43"/>
        <v>2.3446658851113716E-2</v>
      </c>
      <c r="M58" s="487">
        <f t="shared" si="43"/>
        <v>2.6389320086929523E-2</v>
      </c>
      <c r="N58" s="487">
        <f t="shared" si="43"/>
        <v>2.5406689819045879E-2</v>
      </c>
      <c r="O58" s="487">
        <f t="shared" si="43"/>
        <v>2.8129032258064516E-2</v>
      </c>
      <c r="P58" s="487">
        <f t="shared" si="43"/>
        <v>2.86865234375E-2</v>
      </c>
      <c r="Q58" s="487">
        <f t="shared" si="43"/>
        <v>2.9870473169442243E-2</v>
      </c>
      <c r="R58" s="487">
        <f t="shared" si="43"/>
        <v>2.9894856769242199E-2</v>
      </c>
      <c r="S58" s="487">
        <f t="shared" si="43"/>
        <v>3.1458863854393983E-2</v>
      </c>
      <c r="T58" s="487">
        <f t="shared" si="43"/>
        <v>3.4674700441951103E-2</v>
      </c>
      <c r="U58" s="516"/>
      <c r="V58" s="487">
        <f t="shared" ref="V58:AD58" si="44">V20/V$13</f>
        <v>3.797903874655939E-2</v>
      </c>
      <c r="W58" s="487">
        <f t="shared" si="44"/>
        <v>3.7721230903324215E-2</v>
      </c>
      <c r="X58" s="487">
        <f t="shared" si="44"/>
        <v>3.8165468457430823E-2</v>
      </c>
      <c r="Y58" s="487">
        <f t="shared" si="44"/>
        <v>2.9892543145555193E-2</v>
      </c>
      <c r="Z58" s="487">
        <f t="shared" si="44"/>
        <v>2.7482341479256312E-2</v>
      </c>
      <c r="AA58" s="487">
        <f t="shared" si="44"/>
        <v>3.1639024963632863E-2</v>
      </c>
      <c r="AB58" s="487">
        <f t="shared" si="44"/>
        <v>3.3491241382160274E-2</v>
      </c>
      <c r="AC58" s="487">
        <f t="shared" si="44"/>
        <v>3.5875679041643994E-2</v>
      </c>
      <c r="AD58" s="487">
        <f t="shared" si="44"/>
        <v>3.5736057135613716E-2</v>
      </c>
    </row>
    <row r="59" spans="2:30" s="278" customFormat="1" ht="11.25" customHeight="1">
      <c r="B59" s="486"/>
      <c r="C59" s="486" t="s">
        <v>294</v>
      </c>
      <c r="D59" s="486"/>
      <c r="E59" s="487">
        <f t="shared" ref="E59:T59" si="45">E21/E$13</f>
        <v>8.4471790593388264E-3</v>
      </c>
      <c r="F59" s="487">
        <f t="shared" si="45"/>
        <v>6.4023855463953691E-3</v>
      </c>
      <c r="G59" s="487">
        <f t="shared" si="45"/>
        <v>5.8875219683655533E-3</v>
      </c>
      <c r="H59" s="487">
        <f t="shared" si="45"/>
        <v>6.1535635562086702E-3</v>
      </c>
      <c r="I59" s="487">
        <f t="shared" si="45"/>
        <v>6.2664494297531015E-3</v>
      </c>
      <c r="J59" s="487">
        <f t="shared" si="45"/>
        <v>3.1864406779661014E-2</v>
      </c>
      <c r="K59" s="487">
        <f t="shared" si="45"/>
        <v>2.0088388911209322E-2</v>
      </c>
      <c r="L59" s="487">
        <f t="shared" si="45"/>
        <v>1.4947245017584994E-2</v>
      </c>
      <c r="M59" s="487">
        <f t="shared" si="45"/>
        <v>1.7075442409189692E-2</v>
      </c>
      <c r="N59" s="487">
        <f t="shared" si="45"/>
        <v>9.504660939499178E-3</v>
      </c>
      <c r="O59" s="487">
        <f t="shared" si="45"/>
        <v>7.4838709677419353E-3</v>
      </c>
      <c r="P59" s="487">
        <f t="shared" si="45"/>
        <v>7.6904296875E-3</v>
      </c>
      <c r="Q59" s="487">
        <f t="shared" si="45"/>
        <v>8.0623843510441457E-3</v>
      </c>
      <c r="R59" s="487">
        <f t="shared" si="45"/>
        <v>6.0345827012824264E-3</v>
      </c>
      <c r="S59" s="487">
        <f t="shared" si="45"/>
        <v>5.5905629486613546E-3</v>
      </c>
      <c r="T59" s="487">
        <f t="shared" si="45"/>
        <v>5.8365317404860022E-3</v>
      </c>
      <c r="U59" s="516"/>
      <c r="V59" s="487">
        <f t="shared" ref="V59:AD59" si="46">V21/V$13</f>
        <v>1.643552826593267E-2</v>
      </c>
      <c r="W59" s="487">
        <f t="shared" si="46"/>
        <v>1.0483499987894341E-2</v>
      </c>
      <c r="X59" s="487">
        <f t="shared" si="46"/>
        <v>6.6575741464203978E-3</v>
      </c>
      <c r="Y59" s="487">
        <f t="shared" si="46"/>
        <v>1.2894822533376751E-2</v>
      </c>
      <c r="Z59" s="487">
        <f t="shared" si="46"/>
        <v>9.2555005277259079E-3</v>
      </c>
      <c r="AA59" s="487">
        <f t="shared" si="46"/>
        <v>6.2112982257959319E-3</v>
      </c>
      <c r="AB59" s="487">
        <f t="shared" si="46"/>
        <v>6.207340922435519E-3</v>
      </c>
      <c r="AC59" s="487">
        <f t="shared" si="46"/>
        <v>6.2581438909712107E-3</v>
      </c>
      <c r="AD59" s="487">
        <f t="shared" si="46"/>
        <v>6.2337882828932458E-3</v>
      </c>
    </row>
    <row r="60" spans="2:30" s="278" customFormat="1" ht="11.25" customHeight="1">
      <c r="B60" s="486"/>
      <c r="C60" s="489" t="s">
        <v>418</v>
      </c>
      <c r="D60" s="486"/>
      <c r="E60" s="490">
        <f t="shared" ref="E60:T60" si="47">E22/E$13</f>
        <v>0.27124830534988009</v>
      </c>
      <c r="F60" s="490">
        <f t="shared" si="47"/>
        <v>0.33415190317488158</v>
      </c>
      <c r="G60" s="490">
        <f t="shared" si="47"/>
        <v>0.3374340949033392</v>
      </c>
      <c r="H60" s="490">
        <f t="shared" si="47"/>
        <v>0.3076781778104335</v>
      </c>
      <c r="I60" s="490">
        <f t="shared" si="47"/>
        <v>0.1452562977816769</v>
      </c>
      <c r="J60" s="490">
        <f t="shared" si="47"/>
        <v>-1.3152542372881355</v>
      </c>
      <c r="K60" s="490">
        <f t="shared" si="47"/>
        <v>-0.55885897950984331</v>
      </c>
      <c r="L60" s="490">
        <f t="shared" si="47"/>
        <v>-0.24296600234466589</v>
      </c>
      <c r="M60" s="490">
        <f t="shared" si="47"/>
        <v>-0.39149332505433093</v>
      </c>
      <c r="N60" s="490">
        <f t="shared" si="47"/>
        <v>6.5618716870773169E-2</v>
      </c>
      <c r="O60" s="490">
        <f t="shared" si="47"/>
        <v>0.22696774193548386</v>
      </c>
      <c r="P60" s="490">
        <f t="shared" si="47"/>
        <v>0.2041015625</v>
      </c>
      <c r="Q60" s="490">
        <f t="shared" si="47"/>
        <v>8.9611419508326726E-2</v>
      </c>
      <c r="R60" s="490">
        <f t="shared" si="47"/>
        <v>0.21536108700636353</v>
      </c>
      <c r="S60" s="490">
        <f t="shared" si="47"/>
        <v>0.22772235964741797</v>
      </c>
      <c r="T60" s="490">
        <f t="shared" si="47"/>
        <v>0.23100295642690485</v>
      </c>
      <c r="U60" s="516"/>
      <c r="V60" s="490">
        <f t="shared" ref="V60:AD60" si="48">V22/V$13</f>
        <v>0.31201037476180393</v>
      </c>
      <c r="W60" s="490">
        <f t="shared" si="48"/>
        <v>0.29092317749316032</v>
      </c>
      <c r="X60" s="490">
        <f t="shared" si="48"/>
        <v>0.31440856238008275</v>
      </c>
      <c r="Y60" s="490">
        <f t="shared" si="48"/>
        <v>-0.19544122435688702</v>
      </c>
      <c r="Z60" s="490">
        <f t="shared" si="48"/>
        <v>0.10266298611674921</v>
      </c>
      <c r="AA60" s="490">
        <f t="shared" si="48"/>
        <v>0.20104249931623025</v>
      </c>
      <c r="AB60" s="490">
        <f t="shared" si="48"/>
        <v>0.26476229857435024</v>
      </c>
      <c r="AC60" s="490">
        <f t="shared" si="48"/>
        <v>0.30617633694031166</v>
      </c>
      <c r="AD60" s="490">
        <f t="shared" si="48"/>
        <v>0.30001666785131498</v>
      </c>
    </row>
    <row r="61" spans="2:30" s="278" customFormat="1" ht="11.25" customHeight="1">
      <c r="B61" s="486"/>
      <c r="C61" s="486"/>
      <c r="D61" s="486"/>
      <c r="E61" s="487"/>
      <c r="F61" s="487"/>
      <c r="G61" s="487"/>
      <c r="H61" s="487"/>
      <c r="I61" s="487"/>
      <c r="J61" s="487"/>
      <c r="K61" s="487"/>
      <c r="L61" s="487"/>
      <c r="M61" s="487"/>
      <c r="N61" s="487"/>
      <c r="O61" s="487"/>
      <c r="P61" s="487"/>
      <c r="Q61" s="487"/>
      <c r="R61" s="487"/>
      <c r="S61" s="487"/>
      <c r="T61" s="487"/>
      <c r="U61" s="516"/>
      <c r="V61" s="487"/>
      <c r="W61" s="487"/>
      <c r="X61" s="487"/>
      <c r="Y61" s="487"/>
      <c r="Z61" s="487"/>
      <c r="AA61" s="487"/>
      <c r="AB61" s="487"/>
      <c r="AC61" s="487"/>
      <c r="AD61" s="487"/>
    </row>
    <row r="62" spans="2:30" s="278" customFormat="1" ht="11.25" customHeight="1">
      <c r="B62" s="486"/>
      <c r="C62" s="486" t="s">
        <v>296</v>
      </c>
      <c r="D62" s="486"/>
      <c r="E62" s="487">
        <f t="shared" ref="E62:T62" si="49">E24/E$13</f>
        <v>0.15413494629262697</v>
      </c>
      <c r="F62" s="487">
        <f t="shared" si="49"/>
        <v>0.13199438694965795</v>
      </c>
      <c r="G62" s="487">
        <f t="shared" si="49"/>
        <v>0.13550087873462213</v>
      </c>
      <c r="H62" s="487">
        <f t="shared" si="49"/>
        <v>0.14529757531227039</v>
      </c>
      <c r="I62" s="487">
        <f t="shared" si="49"/>
        <v>0.1765885449304424</v>
      </c>
      <c r="J62" s="487">
        <f t="shared" si="49"/>
        <v>0.31864406779661014</v>
      </c>
      <c r="K62" s="487">
        <f t="shared" si="49"/>
        <v>0.26757734029730817</v>
      </c>
      <c r="L62" s="487">
        <f t="shared" si="49"/>
        <v>0.23563892145369286</v>
      </c>
      <c r="M62" s="487">
        <f t="shared" si="49"/>
        <v>0.26327227569077927</v>
      </c>
      <c r="N62" s="487">
        <f t="shared" si="49"/>
        <v>0.16943885944068726</v>
      </c>
      <c r="O62" s="487">
        <f t="shared" si="49"/>
        <v>0.15019354838709678</v>
      </c>
      <c r="P62" s="487">
        <f t="shared" si="49"/>
        <v>0.1678466796875</v>
      </c>
      <c r="Q62" s="487">
        <f t="shared" si="49"/>
        <v>0.1872852233676976</v>
      </c>
      <c r="R62" s="487">
        <f t="shared" si="49"/>
        <v>0.14137682075700575</v>
      </c>
      <c r="S62" s="487">
        <f t="shared" si="49"/>
        <v>0.12281791682737583</v>
      </c>
      <c r="T62" s="487">
        <f t="shared" si="49"/>
        <v>0.13405333430651664</v>
      </c>
      <c r="U62" s="516"/>
      <c r="V62" s="487">
        <f t="shared" ref="V62:AD62" si="50">V24/V$13</f>
        <v>0.1430499682405251</v>
      </c>
      <c r="W62" s="487">
        <f t="shared" si="50"/>
        <v>0.13752027697745928</v>
      </c>
      <c r="X62" s="487">
        <f t="shared" si="50"/>
        <v>0.14117293511176865</v>
      </c>
      <c r="Y62" s="487">
        <f t="shared" si="50"/>
        <v>0.21810485183979159</v>
      </c>
      <c r="Z62" s="487">
        <f t="shared" si="50"/>
        <v>0.17512381261670862</v>
      </c>
      <c r="AA62" s="487">
        <f t="shared" si="50"/>
        <v>0.14220196414894554</v>
      </c>
      <c r="AB62" s="487">
        <f t="shared" si="50"/>
        <v>0.13549714925101922</v>
      </c>
      <c r="AC62" s="487">
        <f t="shared" si="50"/>
        <v>0.14218186288006393</v>
      </c>
      <c r="AD62" s="487">
        <f t="shared" si="50"/>
        <v>0.14162851578731048</v>
      </c>
    </row>
    <row r="63" spans="2:30" s="278" customFormat="1" ht="11.25" customHeight="1">
      <c r="B63" s="486"/>
      <c r="C63" s="486" t="s">
        <v>419</v>
      </c>
      <c r="D63" s="486"/>
      <c r="E63" s="487">
        <f t="shared" ref="E63:T63" si="51">E27/E$13</f>
        <v>8.3428928981124206E-4</v>
      </c>
      <c r="F63" s="487">
        <f t="shared" si="51"/>
        <v>1.7540782318891423E-3</v>
      </c>
      <c r="G63" s="487">
        <f t="shared" si="51"/>
        <v>1.054481546572935E-3</v>
      </c>
      <c r="H63" s="487">
        <f t="shared" si="51"/>
        <v>-1.1939750183688465E-3</v>
      </c>
      <c r="I63" s="487">
        <f t="shared" si="51"/>
        <v>2.5065797719012406E-4</v>
      </c>
      <c r="J63" s="487">
        <f t="shared" si="51"/>
        <v>-1.6271186440677966E-2</v>
      </c>
      <c r="K63" s="487">
        <f t="shared" si="51"/>
        <v>-1.6070711128967456E-3</v>
      </c>
      <c r="L63" s="487">
        <f t="shared" si="51"/>
        <v>-9.0855803048065648E-3</v>
      </c>
      <c r="M63" s="487">
        <f t="shared" si="51"/>
        <v>-8.3824899099658491E-3</v>
      </c>
      <c r="N63" s="487">
        <f t="shared" si="51"/>
        <v>-2.3761652348747945E-3</v>
      </c>
      <c r="O63" s="487">
        <f t="shared" si="51"/>
        <v>-1.0322580645161291E-3</v>
      </c>
      <c r="P63" s="487">
        <f t="shared" si="51"/>
        <v>-8.9111328125E-3</v>
      </c>
      <c r="Q63" s="487">
        <f t="shared" si="51"/>
        <v>-3.4364261168384879E-3</v>
      </c>
      <c r="R63" s="487">
        <f t="shared" si="51"/>
        <v>0</v>
      </c>
      <c r="S63" s="487">
        <f t="shared" si="51"/>
        <v>0</v>
      </c>
      <c r="T63" s="487">
        <f t="shared" si="51"/>
        <v>0</v>
      </c>
      <c r="U63" s="516"/>
      <c r="V63" s="487">
        <f t="shared" ref="V63:AD63" si="52">V27/V$13</f>
        <v>2.6466229091679019E-3</v>
      </c>
      <c r="W63" s="487">
        <f t="shared" si="52"/>
        <v>1.7432147785875118E-3</v>
      </c>
      <c r="X63" s="487">
        <f t="shared" si="52"/>
        <v>6.2414757622691235E-4</v>
      </c>
      <c r="Y63" s="487">
        <f t="shared" si="52"/>
        <v>-3.7121458808205797E-3</v>
      </c>
      <c r="Z63" s="487">
        <f t="shared" si="52"/>
        <v>-4.9119103677843631E-3</v>
      </c>
      <c r="AA63" s="487">
        <f t="shared" si="52"/>
        <v>-6.0347149037314743E-4</v>
      </c>
      <c r="AB63" s="487">
        <f t="shared" si="52"/>
        <v>0</v>
      </c>
      <c r="AC63" s="487">
        <f t="shared" si="52"/>
        <v>0</v>
      </c>
      <c r="AD63" s="487">
        <f t="shared" si="52"/>
        <v>0</v>
      </c>
    </row>
    <row r="64" spans="2:30" s="278" customFormat="1" ht="11.25" customHeight="1">
      <c r="B64" s="486"/>
      <c r="C64" s="489" t="s">
        <v>421</v>
      </c>
      <c r="D64" s="486"/>
      <c r="E64" s="490">
        <f t="shared" ref="E64:T64" si="53">E28/E$13</f>
        <v>0.10970904161017833</v>
      </c>
      <c r="F64" s="490">
        <f t="shared" si="53"/>
        <v>0.18268724785125418</v>
      </c>
      <c r="G64" s="490">
        <f t="shared" si="53"/>
        <v>0.18128295254833041</v>
      </c>
      <c r="H64" s="490">
        <f t="shared" si="53"/>
        <v>0.14786921381337251</v>
      </c>
      <c r="I64" s="490">
        <f t="shared" si="53"/>
        <v>-3.7097380624138365E-2</v>
      </c>
      <c r="J64" s="490">
        <f t="shared" si="53"/>
        <v>-1.656949152542373</v>
      </c>
      <c r="K64" s="490">
        <f t="shared" si="53"/>
        <v>-0.83005222981116911</v>
      </c>
      <c r="L64" s="490">
        <f t="shared" si="53"/>
        <v>-0.47596717467760846</v>
      </c>
      <c r="M64" s="490">
        <f t="shared" si="53"/>
        <v>-0.65445513815585221</v>
      </c>
      <c r="N64" s="490">
        <f t="shared" si="53"/>
        <v>-0.10692743556936575</v>
      </c>
      <c r="O64" s="490">
        <f t="shared" si="53"/>
        <v>7.3548387096774193E-2</v>
      </c>
      <c r="P64" s="490">
        <f t="shared" si="53"/>
        <v>4.150390625E-2</v>
      </c>
      <c r="Q64" s="490">
        <f t="shared" si="53"/>
        <v>-9.8731165741475016E-2</v>
      </c>
      <c r="R64" s="490">
        <f t="shared" si="53"/>
        <v>6.8920268176184935E-2</v>
      </c>
      <c r="S64" s="490">
        <f t="shared" si="53"/>
        <v>9.8854370536816824E-2</v>
      </c>
      <c r="T64" s="490">
        <f t="shared" si="53"/>
        <v>9.1672237860910208E-2</v>
      </c>
      <c r="U64" s="516"/>
      <c r="V64" s="490">
        <f t="shared" ref="V64:AD64" si="54">V28/V$13</f>
        <v>0.15323946644082151</v>
      </c>
      <c r="W64" s="490">
        <f t="shared" si="54"/>
        <v>0.14064353678909522</v>
      </c>
      <c r="X64" s="490">
        <f t="shared" si="54"/>
        <v>0.15737765551677108</v>
      </c>
      <c r="Y64" s="490">
        <f t="shared" si="54"/>
        <v>-0.41875610550309345</v>
      </c>
      <c r="Z64" s="490">
        <f t="shared" si="54"/>
        <v>-7.2379637898839E-2</v>
      </c>
      <c r="AA64" s="490">
        <f t="shared" si="54"/>
        <v>5.4143699493555519E-2</v>
      </c>
      <c r="AB64" s="490">
        <f t="shared" si="54"/>
        <v>0.12070860881916635</v>
      </c>
      <c r="AC64" s="490">
        <f t="shared" si="54"/>
        <v>0.15260301204332147</v>
      </c>
      <c r="AD64" s="490">
        <f t="shared" si="54"/>
        <v>0.14807946122929297</v>
      </c>
    </row>
    <row r="65" spans="2:30" s="278" customFormat="1" ht="11.25" customHeight="1">
      <c r="B65" s="486"/>
      <c r="C65" s="486"/>
      <c r="D65" s="486"/>
      <c r="E65" s="487"/>
      <c r="F65" s="487"/>
      <c r="G65" s="487"/>
      <c r="H65" s="487"/>
      <c r="I65" s="487"/>
      <c r="J65" s="487"/>
      <c r="K65" s="487"/>
      <c r="L65" s="487"/>
      <c r="M65" s="487"/>
      <c r="N65" s="487"/>
      <c r="O65" s="487"/>
      <c r="P65" s="487"/>
      <c r="Q65" s="487"/>
      <c r="R65" s="487"/>
      <c r="S65" s="487"/>
      <c r="T65" s="487"/>
      <c r="U65" s="516"/>
      <c r="V65" s="487"/>
      <c r="W65" s="487"/>
      <c r="X65" s="487"/>
      <c r="Y65" s="487"/>
      <c r="Z65" s="487"/>
      <c r="AA65" s="487"/>
      <c r="AB65" s="487"/>
      <c r="AC65" s="487"/>
      <c r="AD65" s="487"/>
    </row>
    <row r="66" spans="2:30" s="278" customFormat="1" ht="11.25" customHeight="1">
      <c r="B66" s="486"/>
      <c r="C66" s="486" t="s">
        <v>291</v>
      </c>
      <c r="D66" s="486"/>
      <c r="E66" s="487">
        <f t="shared" ref="E66:T66" si="55">E30/E$13</f>
        <v>5.7044530190843677E-2</v>
      </c>
      <c r="F66" s="487">
        <f t="shared" si="55"/>
        <v>4.9114190492895983E-2</v>
      </c>
      <c r="G66" s="487">
        <f t="shared" si="55"/>
        <v>5.0527240773286471E-2</v>
      </c>
      <c r="H66" s="487">
        <f t="shared" si="55"/>
        <v>5.5657604702424687E-2</v>
      </c>
      <c r="I66" s="487">
        <f t="shared" si="55"/>
        <v>7.7077327985963159E-2</v>
      </c>
      <c r="J66" s="487">
        <f t="shared" si="55"/>
        <v>0.41898305084745763</v>
      </c>
      <c r="K66" s="487">
        <f t="shared" si="55"/>
        <v>0.25150662916834071</v>
      </c>
      <c r="L66" s="487">
        <f t="shared" si="55"/>
        <v>0.18434935521688159</v>
      </c>
      <c r="M66" s="487">
        <f t="shared" si="55"/>
        <v>0.19341819310773051</v>
      </c>
      <c r="N66" s="487">
        <f t="shared" si="55"/>
        <v>0.11332480350941326</v>
      </c>
      <c r="O66" s="487">
        <f t="shared" si="55"/>
        <v>8.0387096774193548E-2</v>
      </c>
      <c r="P66" s="487">
        <f t="shared" si="55"/>
        <v>7.55615234375E-2</v>
      </c>
      <c r="Q66" s="487">
        <f t="shared" si="55"/>
        <v>8.0756013745704472E-2</v>
      </c>
      <c r="R66" s="487">
        <f t="shared" si="55"/>
        <v>5.7085714459517524E-2</v>
      </c>
      <c r="S66" s="487">
        <f t="shared" si="55"/>
        <v>6.1857614687821812E-2</v>
      </c>
      <c r="T66" s="487">
        <f t="shared" si="55"/>
        <v>6.6339691107482293E-2</v>
      </c>
      <c r="U66" s="516"/>
      <c r="V66" s="487">
        <f t="shared" ref="V66:AD66" si="56">V30/V$13</f>
        <v>5.5473216176159218E-2</v>
      </c>
      <c r="W66" s="487">
        <f t="shared" si="56"/>
        <v>5.2417499939471708E-2</v>
      </c>
      <c r="X66" s="487">
        <f t="shared" si="56"/>
        <v>5.2890727941006493E-2</v>
      </c>
      <c r="Y66" s="487">
        <f t="shared" si="56"/>
        <v>0.1620319114295018</v>
      </c>
      <c r="Z66" s="487">
        <f t="shared" si="56"/>
        <v>0.10087683689210035</v>
      </c>
      <c r="AA66" s="487">
        <f t="shared" si="56"/>
        <v>6.511932667047042E-2</v>
      </c>
      <c r="AB66" s="487">
        <f t="shared" si="56"/>
        <v>5.7811340349904039E-2</v>
      </c>
      <c r="AC66" s="487">
        <f t="shared" si="56"/>
        <v>6.1698693153215065E-2</v>
      </c>
      <c r="AD66" s="487">
        <f t="shared" si="56"/>
        <v>6.3076343151966016E-2</v>
      </c>
    </row>
    <row r="67" spans="2:30" s="278" customFormat="1" ht="11.25" customHeight="1">
      <c r="B67" s="486"/>
      <c r="C67" s="489" t="s">
        <v>423</v>
      </c>
      <c r="D67" s="486"/>
      <c r="E67" s="490">
        <f t="shared" ref="E67:T67" si="57">E31/E$13</f>
        <v>5.2664511419334654E-2</v>
      </c>
      <c r="F67" s="490">
        <f t="shared" si="57"/>
        <v>0.13357305735835817</v>
      </c>
      <c r="G67" s="490">
        <f t="shared" si="57"/>
        <v>0.13075571177504394</v>
      </c>
      <c r="H67" s="490">
        <f t="shared" si="57"/>
        <v>9.2211609110947834E-2</v>
      </c>
      <c r="I67" s="490">
        <f t="shared" si="57"/>
        <v>-0.11417470861010151</v>
      </c>
      <c r="J67" s="490">
        <f t="shared" si="57"/>
        <v>-2.0759322033898306</v>
      </c>
      <c r="K67" s="490">
        <f t="shared" si="57"/>
        <v>-1.0815588589795098</v>
      </c>
      <c r="L67" s="490">
        <f t="shared" si="57"/>
        <v>-0.66031652989449008</v>
      </c>
      <c r="M67" s="490">
        <f t="shared" si="57"/>
        <v>-0.84787333126358277</v>
      </c>
      <c r="N67" s="490">
        <f t="shared" si="57"/>
        <v>-0.22025223907877903</v>
      </c>
      <c r="O67" s="490">
        <f t="shared" si="57"/>
        <v>-6.8387096774193551E-3</v>
      </c>
      <c r="P67" s="490">
        <f t="shared" si="57"/>
        <v>-3.40576171875E-2</v>
      </c>
      <c r="Q67" s="490">
        <f t="shared" si="57"/>
        <v>-0.17948717948717949</v>
      </c>
      <c r="R67" s="490">
        <f t="shared" si="57"/>
        <v>1.1834553716667414E-2</v>
      </c>
      <c r="S67" s="490">
        <f t="shared" si="57"/>
        <v>3.6996755848995012E-2</v>
      </c>
      <c r="T67" s="490">
        <f t="shared" si="57"/>
        <v>2.5332546753427911E-2</v>
      </c>
      <c r="U67" s="516"/>
      <c r="V67" s="490">
        <f t="shared" ref="V67:AD67" si="58">V31/V$13</f>
        <v>9.7766250264662291E-2</v>
      </c>
      <c r="W67" s="490">
        <f t="shared" si="58"/>
        <v>8.8226036849623518E-2</v>
      </c>
      <c r="X67" s="490">
        <f t="shared" si="58"/>
        <v>0.10448692757576458</v>
      </c>
      <c r="Y67" s="490">
        <f t="shared" si="58"/>
        <v>-0.5807880169325953</v>
      </c>
      <c r="Z67" s="490">
        <f t="shared" si="58"/>
        <v>-0.17325647479093936</v>
      </c>
      <c r="AA67" s="490">
        <f t="shared" si="58"/>
        <v>-1.0975627176914894E-2</v>
      </c>
      <c r="AB67" s="490">
        <f t="shared" si="58"/>
        <v>6.2897268469262316E-2</v>
      </c>
      <c r="AC67" s="490">
        <f t="shared" si="58"/>
        <v>9.0904318890106389E-2</v>
      </c>
      <c r="AD67" s="490">
        <f t="shared" si="58"/>
        <v>8.5003118077326925E-2</v>
      </c>
    </row>
    <row r="68" spans="2:30" s="278" customFormat="1" ht="11.25" customHeight="1">
      <c r="B68" s="486"/>
      <c r="C68" s="486"/>
      <c r="D68" s="486"/>
      <c r="E68" s="487"/>
      <c r="F68" s="487"/>
      <c r="G68" s="487"/>
      <c r="H68" s="487"/>
      <c r="I68" s="487"/>
      <c r="J68" s="487"/>
      <c r="K68" s="487"/>
      <c r="L68" s="487"/>
      <c r="M68" s="487"/>
      <c r="N68" s="487"/>
      <c r="O68" s="487"/>
      <c r="P68" s="487"/>
      <c r="Q68" s="487"/>
      <c r="R68" s="487"/>
      <c r="S68" s="487"/>
      <c r="T68" s="487"/>
      <c r="U68" s="516"/>
      <c r="V68" s="487"/>
      <c r="W68" s="487"/>
      <c r="X68" s="487"/>
      <c r="Y68" s="487"/>
      <c r="Z68" s="487"/>
      <c r="AA68" s="487"/>
      <c r="AB68" s="487"/>
      <c r="AC68" s="487"/>
      <c r="AD68" s="487"/>
    </row>
    <row r="69" spans="2:30" s="278" customFormat="1" ht="11.25" customHeight="1">
      <c r="B69" s="486"/>
      <c r="C69" s="486" t="s">
        <v>422</v>
      </c>
      <c r="D69" s="486"/>
      <c r="E69" s="487">
        <f t="shared" ref="E69:T69" si="59">E33/E$13</f>
        <v>1.7415788924809678E-2</v>
      </c>
      <c r="F69" s="487">
        <f t="shared" si="59"/>
        <v>1.4558849324679881E-2</v>
      </c>
      <c r="G69" s="487">
        <f t="shared" si="59"/>
        <v>1.4850615114235501E-2</v>
      </c>
      <c r="H69" s="487">
        <f t="shared" si="59"/>
        <v>1.5154298310066127E-2</v>
      </c>
      <c r="I69" s="487">
        <f t="shared" si="59"/>
        <v>2.1431257049755608E-2</v>
      </c>
      <c r="J69" s="487">
        <f t="shared" si="59"/>
        <v>0.13288135593220338</v>
      </c>
      <c r="K69" s="487">
        <f t="shared" si="59"/>
        <v>0.13860988348734432</v>
      </c>
      <c r="L69" s="487">
        <f t="shared" si="59"/>
        <v>0.10287221570926143</v>
      </c>
      <c r="M69" s="487">
        <f t="shared" si="59"/>
        <v>0.10959329400807202</v>
      </c>
      <c r="N69" s="487">
        <f t="shared" si="59"/>
        <v>7.7865106927435576E-2</v>
      </c>
      <c r="O69" s="487">
        <f t="shared" si="59"/>
        <v>5.7935483870967745E-2</v>
      </c>
      <c r="P69" s="487">
        <f t="shared" si="59"/>
        <v>5.23681640625E-2</v>
      </c>
      <c r="Q69" s="487">
        <f t="shared" si="59"/>
        <v>5.604017975151996E-2</v>
      </c>
      <c r="R69" s="487">
        <f t="shared" ca="1" si="59"/>
        <v>2.9113085559852557E-2</v>
      </c>
      <c r="S69" s="487">
        <f t="shared" ca="1" si="59"/>
        <v>2.836656222970942E-2</v>
      </c>
      <c r="T69" s="487">
        <f t="shared" ca="1" si="59"/>
        <v>2.988771855852938E-2</v>
      </c>
      <c r="U69" s="516"/>
      <c r="V69" s="487">
        <f t="shared" ref="V69:AD69" si="60">V33/V$13</f>
        <v>1.6567859411391064E-2</v>
      </c>
      <c r="W69" s="487">
        <f t="shared" si="60"/>
        <v>1.5592087741810522E-2</v>
      </c>
      <c r="X69" s="487">
        <f t="shared" si="60"/>
        <v>1.5418756790494464E-2</v>
      </c>
      <c r="Y69" s="487">
        <f t="shared" si="60"/>
        <v>6.92282644089873E-2</v>
      </c>
      <c r="Z69" s="487">
        <f t="shared" si="60"/>
        <v>6.7264756028253631E-2</v>
      </c>
      <c r="AA69" s="487">
        <f t="shared" ca="1" si="60"/>
        <v>3.3843113772377122E-2</v>
      </c>
      <c r="AB69" s="487">
        <f t="shared" ca="1" si="60"/>
        <v>3.0758043893787303E-2</v>
      </c>
      <c r="AC69" s="487">
        <f t="shared" ca="1" si="60"/>
        <v>3.0635512029351421E-2</v>
      </c>
      <c r="AD69" s="487">
        <f t="shared" ca="1" si="60"/>
        <v>3.0509246208613748E-2</v>
      </c>
    </row>
    <row r="70" spans="2:30" s="278" customFormat="1" ht="11.25" customHeight="1">
      <c r="B70" s="486"/>
      <c r="C70" s="486" t="s">
        <v>299</v>
      </c>
      <c r="D70" s="486"/>
      <c r="E70" s="487">
        <f t="shared" ref="E70:T70" si="61">E34/E$13</f>
        <v>-2.2942955469809154E-3</v>
      </c>
      <c r="F70" s="487">
        <f t="shared" si="61"/>
        <v>-1.8417821434835993E-3</v>
      </c>
      <c r="G70" s="487">
        <f t="shared" si="61"/>
        <v>-1.9332161687170475E-3</v>
      </c>
      <c r="H70" s="487">
        <f t="shared" si="61"/>
        <v>-1.8368846436443791E-3</v>
      </c>
      <c r="I70" s="487">
        <f t="shared" si="61"/>
        <v>-2.6319087604963027E-3</v>
      </c>
      <c r="J70" s="487">
        <f t="shared" si="61"/>
        <v>-1.152542372881356E-2</v>
      </c>
      <c r="K70" s="487">
        <f t="shared" si="61"/>
        <v>-6.4282844515869825E-3</v>
      </c>
      <c r="L70" s="487">
        <f t="shared" si="61"/>
        <v>-4.9824150058616649E-3</v>
      </c>
      <c r="M70" s="487">
        <f t="shared" si="61"/>
        <v>-5.2778640173859054E-3</v>
      </c>
      <c r="N70" s="487">
        <f t="shared" si="61"/>
        <v>-4.021202705172729E-3</v>
      </c>
      <c r="O70" s="487">
        <f t="shared" si="61"/>
        <v>-2.3225806451612901E-3</v>
      </c>
      <c r="P70" s="487">
        <f t="shared" si="61"/>
        <v>-2.8076171875E-3</v>
      </c>
      <c r="Q70" s="487">
        <f t="shared" si="61"/>
        <v>-3.1720856463124504E-3</v>
      </c>
      <c r="R70" s="487">
        <f t="shared" si="61"/>
        <v>0</v>
      </c>
      <c r="S70" s="487">
        <f t="shared" si="61"/>
        <v>0</v>
      </c>
      <c r="T70" s="487">
        <f t="shared" si="61"/>
        <v>0</v>
      </c>
      <c r="U70" s="516"/>
      <c r="V70" s="487">
        <f t="shared" ref="V70:AD70" si="62">V34/V$13</f>
        <v>-1.9585009527842475E-3</v>
      </c>
      <c r="W70" s="487">
        <f t="shared" si="62"/>
        <v>-1.5737355640026147E-3</v>
      </c>
      <c r="X70" s="487">
        <f t="shared" si="62"/>
        <v>-1.9649090362699093E-3</v>
      </c>
      <c r="Y70" s="487">
        <f t="shared" si="62"/>
        <v>-4.6239010094431777E-3</v>
      </c>
      <c r="Z70" s="487">
        <f t="shared" si="62"/>
        <v>-3.2475440448161076E-3</v>
      </c>
      <c r="AA70" s="487">
        <f t="shared" si="62"/>
        <v>-5.5705060649828997E-4</v>
      </c>
      <c r="AB70" s="487">
        <f t="shared" si="62"/>
        <v>0</v>
      </c>
      <c r="AC70" s="487">
        <f t="shared" si="62"/>
        <v>0</v>
      </c>
      <c r="AD70" s="487">
        <f t="shared" si="62"/>
        <v>0</v>
      </c>
    </row>
    <row r="71" spans="2:30" s="278" customFormat="1" ht="11.25" customHeight="1">
      <c r="B71" s="486"/>
      <c r="C71" s="486" t="s">
        <v>300</v>
      </c>
      <c r="D71" s="486"/>
      <c r="E71" s="487">
        <f t="shared" ref="E71:T71" si="63">E35/E$13</f>
        <v>-3.0242986755657526E-3</v>
      </c>
      <c r="F71" s="487">
        <f t="shared" si="63"/>
        <v>-3.3327486405893701E-3</v>
      </c>
      <c r="G71" s="487">
        <f t="shared" si="63"/>
        <v>-3.1634446397188049E-3</v>
      </c>
      <c r="H71" s="487">
        <f t="shared" si="63"/>
        <v>-2.7553269654665689E-3</v>
      </c>
      <c r="I71" s="487">
        <f t="shared" si="63"/>
        <v>-3.258553703471613E-3</v>
      </c>
      <c r="J71" s="487">
        <f t="shared" si="63"/>
        <v>-7.4576271186440682E-3</v>
      </c>
      <c r="K71" s="487">
        <f t="shared" si="63"/>
        <v>-3.2141422257934912E-3</v>
      </c>
      <c r="L71" s="487">
        <f t="shared" si="63"/>
        <v>-1.4654161781946073E-3</v>
      </c>
      <c r="M71" s="487">
        <f t="shared" si="63"/>
        <v>-2.1732381248059608E-3</v>
      </c>
      <c r="N71" s="487">
        <f t="shared" si="63"/>
        <v>-2.1933832937305795E-3</v>
      </c>
      <c r="O71" s="487">
        <f t="shared" si="63"/>
        <v>-1.4193548387096775E-3</v>
      </c>
      <c r="P71" s="487">
        <f t="shared" si="63"/>
        <v>-7.32421875E-4</v>
      </c>
      <c r="Q71" s="487">
        <f t="shared" si="63"/>
        <v>-6.6085117631509388E-4</v>
      </c>
      <c r="R71" s="487">
        <f t="shared" ca="1" si="63"/>
        <v>-5.1585034563075307E-4</v>
      </c>
      <c r="S71" s="487">
        <f t="shared" ca="1" si="63"/>
        <v>-4.9926012718796975E-4</v>
      </c>
      <c r="T71" s="487">
        <f t="shared" ca="1" si="63"/>
        <v>-4.807311284270506E-4</v>
      </c>
      <c r="U71" s="516"/>
      <c r="V71" s="487">
        <f t="shared" ref="V71:AD71" si="64">V35/V$13</f>
        <v>-1.5085750582257041E-3</v>
      </c>
      <c r="W71" s="487">
        <f t="shared" si="64"/>
        <v>-2.4453429532963708E-3</v>
      </c>
      <c r="X71" s="487">
        <f t="shared" si="64"/>
        <v>-3.0745047273399756E-3</v>
      </c>
      <c r="Y71" s="487">
        <f t="shared" si="64"/>
        <v>-3.2562683165092803E-3</v>
      </c>
      <c r="Z71" s="487">
        <f t="shared" si="64"/>
        <v>-1.4613948201672485E-3</v>
      </c>
      <c r="AA71" s="487">
        <f t="shared" ca="1" si="64"/>
        <v>-5.2702956738479966E-4</v>
      </c>
      <c r="AB71" s="487">
        <f t="shared" ca="1" si="64"/>
        <v>-5.2660911023600103E-4</v>
      </c>
      <c r="AC71" s="487">
        <f t="shared" ca="1" si="64"/>
        <v>-6.2446085588926579E-4</v>
      </c>
      <c r="AD71" s="487">
        <f t="shared" ca="1" si="64"/>
        <v>-7.7885197438066979E-4</v>
      </c>
    </row>
    <row r="72" spans="2:30" s="278" customFormat="1" ht="11.25" customHeight="1">
      <c r="B72" s="486"/>
      <c r="C72" s="489" t="s">
        <v>426</v>
      </c>
      <c r="D72" s="486"/>
      <c r="E72" s="490">
        <f t="shared" ref="E72:T72" si="65">E36/E$13</f>
        <v>4.0567316717071644E-2</v>
      </c>
      <c r="F72" s="490">
        <f t="shared" si="65"/>
        <v>0.12418873881775128</v>
      </c>
      <c r="G72" s="490">
        <f t="shared" si="65"/>
        <v>0.12100175746924428</v>
      </c>
      <c r="H72" s="490">
        <f t="shared" si="65"/>
        <v>8.1649522409992653E-2</v>
      </c>
      <c r="I72" s="490">
        <f t="shared" si="65"/>
        <v>-0.1297155031958892</v>
      </c>
      <c r="J72" s="490">
        <f t="shared" si="65"/>
        <v>-2.1898305084745764</v>
      </c>
      <c r="K72" s="490">
        <f t="shared" si="65"/>
        <v>-1.2105263157894737</v>
      </c>
      <c r="L72" s="490">
        <f t="shared" si="65"/>
        <v>-0.75674091441969515</v>
      </c>
      <c r="M72" s="490">
        <f t="shared" si="65"/>
        <v>-0.95001552312946291</v>
      </c>
      <c r="N72" s="490">
        <f t="shared" si="65"/>
        <v>-0.2919027600073113</v>
      </c>
      <c r="O72" s="490">
        <f t="shared" si="65"/>
        <v>-6.1032258064516128E-2</v>
      </c>
      <c r="P72" s="490">
        <f t="shared" si="65"/>
        <v>-8.28857421875E-2</v>
      </c>
      <c r="Q72" s="490">
        <f t="shared" si="65"/>
        <v>-0.23169442241607191</v>
      </c>
      <c r="R72" s="490">
        <f t="shared" ca="1" si="65"/>
        <v>-1.6762681497554388E-2</v>
      </c>
      <c r="S72" s="490">
        <f t="shared" ca="1" si="65"/>
        <v>9.129453746473561E-3</v>
      </c>
      <c r="T72" s="490">
        <f t="shared" ca="1" si="65"/>
        <v>-4.0744406766744165E-3</v>
      </c>
      <c r="U72" s="516"/>
      <c r="V72" s="490">
        <f t="shared" ref="V72:AD72" si="66">V36/V$13</f>
        <v>8.4665466864281183E-2</v>
      </c>
      <c r="W72" s="490">
        <f t="shared" si="66"/>
        <v>7.6653027625111975E-2</v>
      </c>
      <c r="X72" s="490">
        <f t="shared" si="66"/>
        <v>9.4107584548880005E-2</v>
      </c>
      <c r="Y72" s="490">
        <f t="shared" si="66"/>
        <v>-0.64213611201563003</v>
      </c>
      <c r="Z72" s="490">
        <f t="shared" si="66"/>
        <v>-0.23581229195420964</v>
      </c>
      <c r="AA72" s="490">
        <f t="shared" ca="1" si="66"/>
        <v>-4.3734660775408926E-2</v>
      </c>
      <c r="AB72" s="490">
        <f t="shared" ca="1" si="66"/>
        <v>3.2665833685711021E-2</v>
      </c>
      <c r="AC72" s="490">
        <f t="shared" ca="1" si="66"/>
        <v>6.0893267716644245E-2</v>
      </c>
      <c r="AD72" s="490">
        <f t="shared" ca="1" si="66"/>
        <v>5.5272723843093848E-2</v>
      </c>
    </row>
    <row r="73" spans="2:30" s="278" customFormat="1" ht="11.25" customHeight="1">
      <c r="B73" s="486"/>
      <c r="C73" s="486"/>
      <c r="D73" s="486"/>
      <c r="E73" s="487"/>
      <c r="F73" s="487"/>
      <c r="G73" s="487"/>
      <c r="H73" s="487"/>
      <c r="I73" s="487"/>
      <c r="J73" s="487"/>
      <c r="K73" s="487"/>
      <c r="L73" s="487"/>
      <c r="M73" s="487"/>
      <c r="N73" s="487"/>
      <c r="O73" s="487"/>
      <c r="P73" s="487"/>
      <c r="Q73" s="487"/>
      <c r="R73" s="487"/>
      <c r="S73" s="487"/>
      <c r="T73" s="487"/>
      <c r="U73" s="516"/>
      <c r="V73" s="487"/>
      <c r="W73" s="487"/>
      <c r="X73" s="487"/>
      <c r="Y73" s="487"/>
      <c r="Z73" s="487"/>
      <c r="AA73" s="487"/>
      <c r="AB73" s="487"/>
      <c r="AC73" s="487"/>
      <c r="AD73" s="487"/>
    </row>
    <row r="74" spans="2:30" s="278" customFormat="1" ht="11.25" customHeight="1">
      <c r="B74" s="486"/>
      <c r="C74" s="486" t="s">
        <v>427</v>
      </c>
      <c r="D74" s="486"/>
      <c r="E74" s="487">
        <f t="shared" ref="E74:T74" si="67">E38/E$13</f>
        <v>8.3428928981124206E-3</v>
      </c>
      <c r="F74" s="487">
        <f t="shared" si="67"/>
        <v>2.7714436063848446E-2</v>
      </c>
      <c r="G74" s="487">
        <f t="shared" si="67"/>
        <v>2.9086115992970122E-2</v>
      </c>
      <c r="H74" s="487">
        <f t="shared" si="67"/>
        <v>1.9562821454812637E-2</v>
      </c>
      <c r="I74" s="487">
        <f t="shared" si="67"/>
        <v>-4.9504950495049507E-2</v>
      </c>
      <c r="J74" s="487">
        <f t="shared" si="67"/>
        <v>-0.41830508474576272</v>
      </c>
      <c r="K74" s="487">
        <f t="shared" si="67"/>
        <v>-0.25672961028525515</v>
      </c>
      <c r="L74" s="487">
        <f t="shared" si="67"/>
        <v>-0.14800703399765533</v>
      </c>
      <c r="M74" s="487">
        <f t="shared" si="67"/>
        <v>-0.21266687364172618</v>
      </c>
      <c r="N74" s="487">
        <f t="shared" si="67"/>
        <v>-6.0866386401023577E-2</v>
      </c>
      <c r="O74" s="487">
        <f t="shared" si="67"/>
        <v>-1.8580645161290321E-2</v>
      </c>
      <c r="P74" s="487">
        <f t="shared" si="67"/>
        <v>-2.42919921875E-2</v>
      </c>
      <c r="Q74" s="487">
        <f t="shared" si="67"/>
        <v>-4.9563838223632035E-2</v>
      </c>
      <c r="R74" s="487">
        <f t="shared" ca="1" si="67"/>
        <v>0</v>
      </c>
      <c r="S74" s="487">
        <f t="shared" ca="1" si="67"/>
        <v>0</v>
      </c>
      <c r="T74" s="487">
        <f t="shared" ca="1" si="67"/>
        <v>0</v>
      </c>
      <c r="U74" s="516"/>
      <c r="V74" s="487">
        <f t="shared" ref="V74:AD74" si="68">V38/V$13</f>
        <v>2.9695109040863858E-2</v>
      </c>
      <c r="W74" s="487">
        <f t="shared" si="68"/>
        <v>1.5664721690918336E-2</v>
      </c>
      <c r="X74" s="487">
        <f t="shared" si="68"/>
        <v>2.1729582283455465E-2</v>
      </c>
      <c r="Y74" s="487">
        <f t="shared" si="68"/>
        <v>-0.14041028980788017</v>
      </c>
      <c r="Z74" s="487">
        <f t="shared" si="68"/>
        <v>-5.5248843062434036E-2</v>
      </c>
      <c r="AA74" s="487">
        <f t="shared" ca="1" si="68"/>
        <v>-8.7039157265357808E-3</v>
      </c>
      <c r="AB74" s="487">
        <f t="shared" ca="1" si="68"/>
        <v>0</v>
      </c>
      <c r="AC74" s="487">
        <f t="shared" ca="1" si="68"/>
        <v>0</v>
      </c>
      <c r="AD74" s="487">
        <f t="shared" ca="1" si="68"/>
        <v>0</v>
      </c>
    </row>
    <row r="75" spans="2:30" s="278" customFormat="1" ht="11.25" customHeight="1">
      <c r="B75" s="486"/>
      <c r="C75" s="489" t="s">
        <v>429</v>
      </c>
      <c r="D75" s="486"/>
      <c r="E75" s="490">
        <f t="shared" ref="E75:T75" si="69">E40/E$13</f>
        <v>3.2224423818959222E-2</v>
      </c>
      <c r="F75" s="490">
        <f t="shared" si="69"/>
        <v>9.6474302753902827E-2</v>
      </c>
      <c r="G75" s="490">
        <f t="shared" si="69"/>
        <v>9.1915641476274165E-2</v>
      </c>
      <c r="H75" s="490">
        <f t="shared" si="69"/>
        <v>6.2086700955180013E-2</v>
      </c>
      <c r="I75" s="490">
        <f t="shared" si="69"/>
        <v>-8.021055270083971E-2</v>
      </c>
      <c r="J75" s="490">
        <f t="shared" si="69"/>
        <v>-1.7715254237288136</v>
      </c>
      <c r="K75" s="490">
        <f t="shared" si="69"/>
        <v>-0.95379670550421858</v>
      </c>
      <c r="L75" s="490">
        <f t="shared" si="69"/>
        <v>-0.60873388042203991</v>
      </c>
      <c r="M75" s="490">
        <f t="shared" si="69"/>
        <v>-0.73734864948773671</v>
      </c>
      <c r="N75" s="490">
        <f t="shared" si="69"/>
        <v>-0.2310363736062877</v>
      </c>
      <c r="O75" s="490">
        <f t="shared" si="69"/>
        <v>-4.2451612903225806E-2</v>
      </c>
      <c r="P75" s="490">
        <f t="shared" si="69"/>
        <v>-5.859375E-2</v>
      </c>
      <c r="Q75" s="490">
        <f t="shared" si="69"/>
        <v>-0.18213058419243985</v>
      </c>
      <c r="R75" s="490">
        <f t="shared" ca="1" si="69"/>
        <v>-1.6762681497554388E-2</v>
      </c>
      <c r="S75" s="490">
        <f t="shared" ca="1" si="69"/>
        <v>9.129453746473561E-3</v>
      </c>
      <c r="T75" s="490">
        <f t="shared" ca="1" si="69"/>
        <v>-4.0744406766744165E-3</v>
      </c>
      <c r="U75" s="516"/>
      <c r="V75" s="490">
        <f t="shared" ref="V75:AD75" si="70">V40/V$13</f>
        <v>5.4970357823417318E-2</v>
      </c>
      <c r="W75" s="490">
        <f t="shared" si="70"/>
        <v>6.0988305934193639E-2</v>
      </c>
      <c r="X75" s="490">
        <f t="shared" si="70"/>
        <v>7.237800226542454E-2</v>
      </c>
      <c r="Y75" s="490">
        <f t="shared" si="70"/>
        <v>-0.50172582220774997</v>
      </c>
      <c r="Z75" s="490">
        <f t="shared" si="70"/>
        <v>-0.18056344889177559</v>
      </c>
      <c r="AA75" s="490">
        <f t="shared" ca="1" si="70"/>
        <v>-3.5030745048873144E-2</v>
      </c>
      <c r="AB75" s="490">
        <f t="shared" ca="1" si="70"/>
        <v>3.2665833685711021E-2</v>
      </c>
      <c r="AC75" s="490">
        <f t="shared" ca="1" si="70"/>
        <v>6.0893267716644245E-2</v>
      </c>
      <c r="AD75" s="490">
        <f t="shared" ca="1" si="70"/>
        <v>5.5272723843093848E-2</v>
      </c>
    </row>
    <row r="76" spans="2:30" ht="11.25" customHeight="1">
      <c r="U76" s="255"/>
    </row>
    <row r="77" spans="2:30" s="255" customFormat="1" ht="11.25" customHeight="1">
      <c r="B77" s="258" t="s">
        <v>133</v>
      </c>
      <c r="C77" s="259" t="s">
        <v>406</v>
      </c>
      <c r="D77" s="259"/>
      <c r="E77" s="258"/>
      <c r="F77" s="258"/>
      <c r="G77" s="258"/>
      <c r="H77" s="258"/>
      <c r="I77" s="258"/>
      <c r="J77" s="258"/>
      <c r="K77" s="258"/>
      <c r="L77" s="258"/>
      <c r="M77" s="258"/>
      <c r="N77" s="258"/>
      <c r="O77" s="258"/>
      <c r="P77" s="258"/>
      <c r="Q77" s="258"/>
      <c r="R77" s="258"/>
      <c r="S77" s="258"/>
      <c r="T77" s="258"/>
      <c r="U77" s="280"/>
      <c r="V77" s="258"/>
      <c r="W77" s="258"/>
      <c r="X77" s="258"/>
      <c r="Y77" s="258"/>
      <c r="Z77" s="258"/>
      <c r="AA77" s="258"/>
      <c r="AB77" s="258"/>
      <c r="AC77" s="258"/>
      <c r="AD77" s="258"/>
    </row>
    <row r="78" spans="2:30" ht="11.25" customHeight="1" thickBot="1">
      <c r="U78" s="255"/>
    </row>
    <row r="79" spans="2:30" ht="11.25" customHeight="1">
      <c r="B79" s="508"/>
      <c r="C79" s="581" t="s">
        <v>268</v>
      </c>
      <c r="D79" s="473"/>
      <c r="E79" s="473"/>
      <c r="F79" s="473"/>
      <c r="G79" s="473"/>
      <c r="H79" s="517"/>
      <c r="I79" s="473"/>
      <c r="J79" s="473"/>
      <c r="K79" s="473"/>
      <c r="L79" s="473"/>
      <c r="M79" s="473"/>
      <c r="N79" s="473"/>
      <c r="O79" s="473"/>
      <c r="P79" s="473"/>
      <c r="Q79" s="473"/>
      <c r="R79" s="473"/>
      <c r="S79" s="473"/>
      <c r="T79" s="473"/>
      <c r="U79" s="562"/>
      <c r="V79" s="473"/>
      <c r="W79" s="473"/>
      <c r="X79" s="473"/>
      <c r="Y79" s="473"/>
      <c r="Z79" s="473"/>
      <c r="AA79" s="473"/>
      <c r="AB79" s="473"/>
      <c r="AC79" s="473"/>
      <c r="AD79" s="474"/>
    </row>
    <row r="80" spans="2:30" ht="11.25" customHeight="1">
      <c r="B80" s="425"/>
      <c r="C80" s="381" t="s">
        <v>396</v>
      </c>
      <c r="E80" s="277">
        <v>5367</v>
      </c>
      <c r="F80" s="277">
        <v>6547</v>
      </c>
      <c r="G80" s="277">
        <v>6554</v>
      </c>
      <c r="H80" s="277">
        <v>6338</v>
      </c>
      <c r="I80" s="277">
        <v>4504</v>
      </c>
      <c r="J80" s="277">
        <v>542</v>
      </c>
      <c r="K80" s="277">
        <v>1246</v>
      </c>
      <c r="L80" s="277">
        <v>1797</v>
      </c>
      <c r="M80" s="277">
        <v>1712</v>
      </c>
      <c r="N80" s="277">
        <v>3288</v>
      </c>
      <c r="O80" s="277">
        <v>4845</v>
      </c>
      <c r="P80" s="277">
        <v>4971</v>
      </c>
      <c r="Q80" s="277">
        <v>4510</v>
      </c>
      <c r="R80" s="255">
        <f t="shared" ref="R80:T83" si="71">R131*R141*10</f>
        <v>7277.1738100031607</v>
      </c>
      <c r="S80" s="255">
        <f t="shared" si="71"/>
        <v>7215.2986000000001</v>
      </c>
      <c r="T80" s="255">
        <f t="shared" si="71"/>
        <v>7041.5180000000018</v>
      </c>
      <c r="U80" s="255"/>
      <c r="V80" s="277">
        <v>23114</v>
      </c>
      <c r="W80" s="277">
        <v>25552</v>
      </c>
      <c r="X80" s="255">
        <f>SUMIF($E$5:$T$5,X$5,$E80:$T80)</f>
        <v>24806</v>
      </c>
      <c r="Y80" s="255">
        <f>SUMIF($E$5:$T$5,Y$5,$E80:$T80)</f>
        <v>8089</v>
      </c>
      <c r="Z80" s="255">
        <f>SUMIF($E$5:$T$5,Z$5,$E80:$T80)</f>
        <v>14816</v>
      </c>
      <c r="AA80" s="255">
        <f>SUMIF($E$5:$T$5,AA$5,$E80:$T80)</f>
        <v>26043.990410003164</v>
      </c>
      <c r="AB80" s="255">
        <f t="shared" ref="AB80:AD83" si="72">AB131*AB141*10</f>
        <v>28723.950788524002</v>
      </c>
      <c r="AC80" s="255">
        <f t="shared" si="72"/>
        <v>30401.538823477436</v>
      </c>
      <c r="AD80" s="504">
        <f t="shared" si="72"/>
        <v>30887.28653171772</v>
      </c>
    </row>
    <row r="81" spans="2:30" ht="11.25" customHeight="1">
      <c r="B81" s="425"/>
      <c r="C81" s="381" t="s">
        <v>397</v>
      </c>
      <c r="E81" s="277">
        <v>906</v>
      </c>
      <c r="F81" s="277">
        <v>877</v>
      </c>
      <c r="G81" s="277">
        <v>843</v>
      </c>
      <c r="H81" s="277">
        <v>891</v>
      </c>
      <c r="I81" s="277">
        <v>800</v>
      </c>
      <c r="J81" s="277">
        <v>48</v>
      </c>
      <c r="K81" s="277">
        <v>124</v>
      </c>
      <c r="L81" s="277">
        <v>314</v>
      </c>
      <c r="M81" s="277">
        <v>309</v>
      </c>
      <c r="N81" s="277">
        <v>623</v>
      </c>
      <c r="O81" s="277">
        <v>743</v>
      </c>
      <c r="P81" s="277">
        <v>788</v>
      </c>
      <c r="Q81" s="277">
        <v>800</v>
      </c>
      <c r="R81" s="255">
        <f>R132*R142*10</f>
        <v>962.75370312532914</v>
      </c>
      <c r="S81" s="255">
        <f t="shared" si="71"/>
        <v>929.40750000000025</v>
      </c>
      <c r="T81" s="255">
        <f t="shared" si="71"/>
        <v>982.32749999999999</v>
      </c>
      <c r="U81" s="255"/>
      <c r="V81" s="277">
        <v>3416</v>
      </c>
      <c r="W81" s="277">
        <v>3460</v>
      </c>
      <c r="X81" s="255">
        <f t="shared" ref="X81:AA83" si="73">SUMIF($E$5:$T$5,X$5,$E81:$T81)</f>
        <v>3517</v>
      </c>
      <c r="Y81" s="255">
        <f t="shared" si="73"/>
        <v>1286</v>
      </c>
      <c r="Z81" s="255">
        <f t="shared" si="73"/>
        <v>2463</v>
      </c>
      <c r="AA81" s="255">
        <f t="shared" si="73"/>
        <v>3674.4887031253293</v>
      </c>
      <c r="AB81" s="255">
        <f t="shared" si="72"/>
        <v>3942.5301607599085</v>
      </c>
      <c r="AC81" s="255">
        <f t="shared" si="72"/>
        <v>4082.2433004546119</v>
      </c>
      <c r="AD81" s="504">
        <f t="shared" si="72"/>
        <v>3896.6867867975839</v>
      </c>
    </row>
    <row r="82" spans="2:30" ht="11.25" customHeight="1">
      <c r="B82" s="425"/>
      <c r="C82" s="381" t="s">
        <v>398</v>
      </c>
      <c r="E82" s="277">
        <v>1331</v>
      </c>
      <c r="F82" s="277">
        <v>1927</v>
      </c>
      <c r="G82" s="277">
        <v>1963</v>
      </c>
      <c r="H82" s="277">
        <v>1616</v>
      </c>
      <c r="I82" s="277">
        <v>1073</v>
      </c>
      <c r="J82" s="277">
        <v>57</v>
      </c>
      <c r="K82" s="277">
        <v>182</v>
      </c>
      <c r="L82" s="277">
        <v>199</v>
      </c>
      <c r="M82" s="277">
        <v>206</v>
      </c>
      <c r="N82" s="277">
        <v>323</v>
      </c>
      <c r="O82" s="277">
        <v>840</v>
      </c>
      <c r="P82" s="277">
        <v>937</v>
      </c>
      <c r="Q82" s="277">
        <f>550+261</f>
        <v>811</v>
      </c>
      <c r="R82" s="255">
        <f t="shared" si="71"/>
        <v>1316.0049575076318</v>
      </c>
      <c r="S82" s="255">
        <f t="shared" si="71"/>
        <v>1585.1224999999999</v>
      </c>
      <c r="T82" s="255">
        <f t="shared" si="71"/>
        <v>1381.6799999999998</v>
      </c>
      <c r="U82" s="255"/>
      <c r="V82" s="277">
        <v>6340</v>
      </c>
      <c r="W82" s="277">
        <v>7103</v>
      </c>
      <c r="X82" s="255">
        <f t="shared" si="73"/>
        <v>6837</v>
      </c>
      <c r="Y82" s="255">
        <f t="shared" si="73"/>
        <v>1511</v>
      </c>
      <c r="Z82" s="255">
        <f t="shared" si="73"/>
        <v>2306</v>
      </c>
      <c r="AA82" s="255">
        <f t="shared" si="73"/>
        <v>5093.8074575076316</v>
      </c>
      <c r="AB82" s="255">
        <f t="shared" si="72"/>
        <v>6455.222388247319</v>
      </c>
      <c r="AC82" s="255">
        <f t="shared" si="72"/>
        <v>6765.8395687508573</v>
      </c>
      <c r="AD82" s="504">
        <f t="shared" si="72"/>
        <v>6981.0039807175253</v>
      </c>
    </row>
    <row r="83" spans="2:30" ht="11.25" customHeight="1">
      <c r="B83" s="425"/>
      <c r="C83" s="381" t="s">
        <v>399</v>
      </c>
      <c r="E83" s="277">
        <v>1121</v>
      </c>
      <c r="F83" s="277">
        <v>1135</v>
      </c>
      <c r="G83" s="277">
        <v>1121</v>
      </c>
      <c r="H83" s="277">
        <v>1088</v>
      </c>
      <c r="I83" s="277">
        <v>688</v>
      </c>
      <c r="J83" s="277">
        <v>34</v>
      </c>
      <c r="K83" s="277">
        <v>97</v>
      </c>
      <c r="L83" s="277">
        <v>100</v>
      </c>
      <c r="M83" s="277">
        <v>89</v>
      </c>
      <c r="N83" s="277">
        <v>132</v>
      </c>
      <c r="O83" s="277">
        <v>209</v>
      </c>
      <c r="P83" s="277">
        <v>182</v>
      </c>
      <c r="Q83" s="277">
        <v>227</v>
      </c>
      <c r="R83" s="255">
        <f t="shared" si="71"/>
        <v>532.58330306568075</v>
      </c>
      <c r="S83" s="255">
        <f t="shared" si="71"/>
        <v>908.00999999999976</v>
      </c>
      <c r="T83" s="255">
        <f t="shared" si="71"/>
        <v>910.65600000000006</v>
      </c>
      <c r="U83" s="255"/>
      <c r="V83" s="277">
        <v>4914</v>
      </c>
      <c r="W83" s="277">
        <v>5188</v>
      </c>
      <c r="X83" s="255">
        <f t="shared" si="73"/>
        <v>4465</v>
      </c>
      <c r="Y83" s="255">
        <f t="shared" si="73"/>
        <v>919</v>
      </c>
      <c r="Z83" s="255">
        <f t="shared" si="73"/>
        <v>612</v>
      </c>
      <c r="AA83" s="255">
        <f t="shared" si="73"/>
        <v>2578.2493030656806</v>
      </c>
      <c r="AB83" s="255">
        <f t="shared" si="72"/>
        <v>4157.5301176426628</v>
      </c>
      <c r="AC83" s="255">
        <f t="shared" si="72"/>
        <v>4762.0921990566039</v>
      </c>
      <c r="AD83" s="504">
        <f t="shared" si="72"/>
        <v>4735.9090166939159</v>
      </c>
    </row>
    <row r="84" spans="2:30" ht="11.25" customHeight="1">
      <c r="B84" s="425"/>
      <c r="C84" s="289" t="s">
        <v>392</v>
      </c>
      <c r="E84" s="966">
        <f t="shared" ref="E84:T84" si="74">SUM(E80:E83)</f>
        <v>8725</v>
      </c>
      <c r="F84" s="966">
        <f t="shared" si="74"/>
        <v>10486</v>
      </c>
      <c r="G84" s="966">
        <f t="shared" si="74"/>
        <v>10481</v>
      </c>
      <c r="H84" s="966">
        <f t="shared" si="74"/>
        <v>9933</v>
      </c>
      <c r="I84" s="966">
        <f t="shared" si="74"/>
        <v>7065</v>
      </c>
      <c r="J84" s="966">
        <f t="shared" si="74"/>
        <v>681</v>
      </c>
      <c r="K84" s="966">
        <f t="shared" si="74"/>
        <v>1649</v>
      </c>
      <c r="L84" s="966">
        <f t="shared" si="74"/>
        <v>2410</v>
      </c>
      <c r="M84" s="966">
        <f t="shared" si="74"/>
        <v>2316</v>
      </c>
      <c r="N84" s="966">
        <f t="shared" si="74"/>
        <v>4366</v>
      </c>
      <c r="O84" s="966">
        <f t="shared" si="74"/>
        <v>6637</v>
      </c>
      <c r="P84" s="966">
        <f t="shared" si="74"/>
        <v>6878</v>
      </c>
      <c r="Q84" s="966">
        <f t="shared" si="74"/>
        <v>6348</v>
      </c>
      <c r="R84" s="966">
        <f t="shared" si="74"/>
        <v>10088.515773701803</v>
      </c>
      <c r="S84" s="966">
        <f t="shared" si="74"/>
        <v>10637.838600000001</v>
      </c>
      <c r="T84" s="966">
        <f t="shared" si="74"/>
        <v>10316.181500000002</v>
      </c>
      <c r="U84" s="255"/>
      <c r="V84" s="966">
        <f>'UAL Financials'!V10</f>
        <v>34460</v>
      </c>
      <c r="W84" s="966">
        <f>'UAL Financials'!W10</f>
        <v>37706</v>
      </c>
      <c r="X84" s="966">
        <f t="shared" ref="X84:AD84" si="75">SUM(X80:X83)</f>
        <v>39625</v>
      </c>
      <c r="Y84" s="966">
        <f t="shared" si="75"/>
        <v>11805</v>
      </c>
      <c r="Z84" s="966">
        <f t="shared" si="75"/>
        <v>20197</v>
      </c>
      <c r="AA84" s="966">
        <f t="shared" si="75"/>
        <v>37390.53587370181</v>
      </c>
      <c r="AB84" s="966">
        <f t="shared" si="75"/>
        <v>43279.233455173897</v>
      </c>
      <c r="AC84" s="966">
        <f t="shared" si="75"/>
        <v>46011.713891739513</v>
      </c>
      <c r="AD84" s="518">
        <f t="shared" si="75"/>
        <v>46500.886315926742</v>
      </c>
    </row>
    <row r="85" spans="2:30" ht="11.25" customHeight="1">
      <c r="B85" s="425"/>
      <c r="U85" s="255"/>
      <c r="AD85" s="426"/>
    </row>
    <row r="86" spans="2:30" s="278" customFormat="1" ht="11.25" customHeight="1">
      <c r="B86" s="573"/>
      <c r="C86" s="587" t="s">
        <v>588</v>
      </c>
      <c r="D86" s="486"/>
      <c r="E86" s="486"/>
      <c r="F86" s="486"/>
      <c r="G86" s="486"/>
      <c r="H86" s="486"/>
      <c r="I86" s="519"/>
      <c r="J86" s="519"/>
      <c r="K86" s="519"/>
      <c r="L86" s="519"/>
      <c r="M86" s="519"/>
      <c r="N86" s="519"/>
      <c r="O86" s="519"/>
      <c r="P86" s="519"/>
      <c r="Q86" s="519"/>
      <c r="R86" s="519"/>
      <c r="S86" s="519"/>
      <c r="T86" s="519"/>
      <c r="U86" s="441"/>
      <c r="V86" s="486"/>
      <c r="W86" s="486"/>
      <c r="X86" s="486"/>
      <c r="Y86" s="486"/>
      <c r="Z86" s="486"/>
      <c r="AA86" s="486"/>
      <c r="AB86" s="486"/>
      <c r="AC86" s="486"/>
      <c r="AD86" s="520"/>
    </row>
    <row r="87" spans="2:30" s="278" customFormat="1" ht="11.25" customHeight="1">
      <c r="B87" s="573"/>
      <c r="C87" s="487" t="s">
        <v>592</v>
      </c>
      <c r="D87" s="486"/>
      <c r="E87" s="486"/>
      <c r="F87" s="486"/>
      <c r="G87" s="486"/>
      <c r="H87" s="486"/>
      <c r="I87" s="487">
        <f t="shared" ref="I87:T87" si="76">I121</f>
        <v>-7.1703861680249781E-2</v>
      </c>
      <c r="J87" s="487">
        <f t="shared" si="76"/>
        <v>-0.87762151829601309</v>
      </c>
      <c r="K87" s="487">
        <f t="shared" si="76"/>
        <v>-0.70413980499760243</v>
      </c>
      <c r="L87" s="487">
        <f t="shared" si="76"/>
        <v>-0.56796362510205811</v>
      </c>
      <c r="M87" s="487">
        <f t="shared" si="76"/>
        <v>-0.53736004265366755</v>
      </c>
      <c r="N87" s="487">
        <f t="shared" si="76"/>
        <v>-0.45913435281267079</v>
      </c>
      <c r="O87" s="487">
        <f t="shared" si="76"/>
        <v>-0.28224732271298414</v>
      </c>
      <c r="P87" s="487">
        <f t="shared" si="76"/>
        <v>-0.22837073115797191</v>
      </c>
      <c r="Q87" s="487">
        <f t="shared" si="76"/>
        <v>-0.18860537740878969</v>
      </c>
      <c r="R87" s="487">
        <f t="shared" si="76"/>
        <v>-0.1294797924631349</v>
      </c>
      <c r="S87" s="487">
        <f t="shared" si="76"/>
        <v>-7.8359262613884706E-2</v>
      </c>
      <c r="T87" s="487">
        <f t="shared" si="76"/>
        <v>-6.675399082181388E-2</v>
      </c>
      <c r="U87" s="441"/>
      <c r="V87" s="486"/>
      <c r="W87" s="486"/>
      <c r="X87" s="486"/>
      <c r="Y87" s="487">
        <f t="shared" ref="Y87:AD87" si="77">Y121</f>
        <v>-0.56910726002547385</v>
      </c>
      <c r="Z87" s="487">
        <f t="shared" si="77"/>
        <v>-0.37303639661893562</v>
      </c>
      <c r="AA87" s="487">
        <f t="shared" si="77"/>
        <v>-0.11399713683205903</v>
      </c>
      <c r="AB87" s="487">
        <f t="shared" si="77"/>
        <v>3.1645812792325589E-2</v>
      </c>
      <c r="AC87" s="487">
        <f t="shared" si="77"/>
        <v>6.4300576493250938E-2</v>
      </c>
      <c r="AD87" s="521">
        <f t="shared" si="77"/>
        <v>6.5125807458973783E-2</v>
      </c>
    </row>
    <row r="88" spans="2:30" s="278" customFormat="1" ht="11.25" customHeight="1">
      <c r="B88" s="573"/>
      <c r="C88" s="487" t="s">
        <v>602</v>
      </c>
      <c r="D88" s="486"/>
      <c r="E88" s="486"/>
      <c r="F88" s="486"/>
      <c r="G88" s="486"/>
      <c r="H88" s="486"/>
      <c r="I88" s="487">
        <f>(I128/E128)-1</f>
        <v>-0.12296149359751563</v>
      </c>
      <c r="J88" s="487">
        <f>(J128/F128)-1</f>
        <v>-0.614784329736629</v>
      </c>
      <c r="K88" s="487">
        <f>(K128/G128)-1</f>
        <v>-0.44496011961631032</v>
      </c>
      <c r="L88" s="487">
        <f>(L128/H128)-1</f>
        <v>-0.32609832903069069</v>
      </c>
      <c r="M88" s="487">
        <f>(M128/E128)-1</f>
        <v>-0.29785691955148308</v>
      </c>
      <c r="N88" s="487">
        <f>(N128/F128)-1</f>
        <v>-0.16320070817314136</v>
      </c>
      <c r="O88" s="487">
        <f>(O128/G128)-1</f>
        <v>-0.11547554556977013</v>
      </c>
      <c r="P88" s="487">
        <f>(P128/H128)-1</f>
        <v>-6.7567204805572323E-2</v>
      </c>
      <c r="Q88" s="487">
        <f>(Q128/E128)-1</f>
        <v>-0.10302577343993158</v>
      </c>
      <c r="R88" s="487">
        <f>(R128/F128)-1</f>
        <v>-3.4392808720114743E-2</v>
      </c>
      <c r="S88" s="487">
        <f>(S128/G128)-1</f>
        <v>1.8103129653102012E-3</v>
      </c>
      <c r="T88" s="487">
        <f>(T128/H128)-1</f>
        <v>3.7803449211906148E-3</v>
      </c>
      <c r="U88" s="441"/>
      <c r="V88" s="486"/>
      <c r="W88" s="486"/>
      <c r="X88" s="486"/>
      <c r="Y88" s="487">
        <f t="shared" ref="Y88:AD88" si="78">(Y128/$X128)-1</f>
        <v>-0.30163984483732276</v>
      </c>
      <c r="Z88" s="487">
        <f t="shared" si="78"/>
        <v>-0.16212200711625502</v>
      </c>
      <c r="AA88" s="487">
        <f t="shared" si="78"/>
        <v>-5.2111401141454849E-2</v>
      </c>
      <c r="AB88" s="487">
        <f t="shared" si="78"/>
        <v>-2.804783099602326E-2</v>
      </c>
      <c r="AC88" s="487">
        <f t="shared" si="78"/>
        <v>2.5971667070667781E-3</v>
      </c>
      <c r="AD88" s="521">
        <f t="shared" si="78"/>
        <v>1.2460403624091176E-2</v>
      </c>
    </row>
    <row r="89" spans="2:30" s="278" customFormat="1" ht="11.25" customHeight="1">
      <c r="B89" s="573"/>
      <c r="C89" s="486" t="s">
        <v>601</v>
      </c>
      <c r="D89" s="486"/>
      <c r="E89" s="486"/>
      <c r="F89" s="486"/>
      <c r="G89" s="486"/>
      <c r="H89" s="486"/>
      <c r="I89" s="487">
        <f t="shared" ref="I89:T89" si="79">I152</f>
        <v>-5.4158698120048143E-3</v>
      </c>
      <c r="J89" s="487">
        <f t="shared" si="79"/>
        <v>0.37761623482584761</v>
      </c>
      <c r="K89" s="487">
        <f t="shared" si="79"/>
        <v>-4.190801600645766E-2</v>
      </c>
      <c r="L89" s="487">
        <f t="shared" si="79"/>
        <v>-0.16666473526809245</v>
      </c>
      <c r="M89" s="487">
        <f t="shared" si="79"/>
        <v>-0.18284515525407863</v>
      </c>
      <c r="N89" s="487">
        <f t="shared" si="79"/>
        <v>-8.0052220049080858E-2</v>
      </c>
      <c r="O89" s="487">
        <f t="shared" si="79"/>
        <v>-2.5653958607224636E-3</v>
      </c>
      <c r="P89" s="487">
        <f t="shared" si="79"/>
        <v>-3.7600245734984772E-2</v>
      </c>
      <c r="Q89" s="487">
        <f t="shared" si="79"/>
        <v>-3.2370719838037409E-4</v>
      </c>
      <c r="R89" s="487">
        <f t="shared" si="79"/>
        <v>0.14455871244199736</v>
      </c>
      <c r="S89" s="487">
        <f t="shared" si="79"/>
        <v>9.9267820871265844E-2</v>
      </c>
      <c r="T89" s="487">
        <f t="shared" si="79"/>
        <v>0.10867360987011465</v>
      </c>
      <c r="U89" s="441"/>
      <c r="V89" s="486"/>
      <c r="W89" s="486"/>
      <c r="X89" s="486"/>
      <c r="Y89" s="487">
        <f t="shared" ref="Y89:AD89" si="80">Y152</f>
        <v>-9.9706115170294929E-3</v>
      </c>
      <c r="Z89" s="487">
        <f t="shared" si="80"/>
        <v>-2.972581500710425E-2</v>
      </c>
      <c r="AA89" s="487">
        <f t="shared" si="80"/>
        <v>0.12356962348839629</v>
      </c>
      <c r="AB89" s="487">
        <f t="shared" si="80"/>
        <v>8.9268066404118995E-2</v>
      </c>
      <c r="AC89" s="487">
        <f t="shared" si="80"/>
        <v>8.8199106585850506E-2</v>
      </c>
      <c r="AD89" s="521">
        <f t="shared" si="80"/>
        <v>8.8210721810862314E-2</v>
      </c>
    </row>
    <row r="90" spans="2:30" s="392" customFormat="1" ht="11.25" customHeight="1">
      <c r="B90" s="585"/>
      <c r="C90" s="489" t="s">
        <v>585</v>
      </c>
      <c r="D90" s="488"/>
      <c r="E90" s="522"/>
      <c r="F90" s="522"/>
      <c r="G90" s="522"/>
      <c r="H90" s="522"/>
      <c r="I90" s="970">
        <f t="shared" ref="I90:T90" si="81">(1+I89)*(1+I88)*(1+I87)-1</f>
        <v>-0.19025787965616059</v>
      </c>
      <c r="J90" s="970">
        <f t="shared" si="81"/>
        <v>-0.93505626549685295</v>
      </c>
      <c r="K90" s="970">
        <f t="shared" si="81"/>
        <v>-0.84266768438126127</v>
      </c>
      <c r="L90" s="970">
        <f t="shared" si="81"/>
        <v>-0.75737440853719928</v>
      </c>
      <c r="M90" s="970">
        <f t="shared" si="81"/>
        <v>-0.73455587392550159</v>
      </c>
      <c r="N90" s="970">
        <f t="shared" si="81"/>
        <v>-0.58363532328819367</v>
      </c>
      <c r="O90" s="970">
        <f t="shared" si="81"/>
        <v>-0.3667588970518082</v>
      </c>
      <c r="P90" s="970">
        <f t="shared" si="81"/>
        <v>-0.30756065639786578</v>
      </c>
      <c r="Q90" s="970">
        <f t="shared" si="81"/>
        <v>-0.27243553008595989</v>
      </c>
      <c r="R90" s="970">
        <f t="shared" si="81"/>
        <v>-3.7906182176062786E-2</v>
      </c>
      <c r="S90" s="970">
        <f t="shared" si="81"/>
        <v>1.4964087396240666E-2</v>
      </c>
      <c r="T90" s="970">
        <f t="shared" si="81"/>
        <v>3.8576613309171615E-2</v>
      </c>
      <c r="U90" s="1179"/>
      <c r="V90" s="522"/>
      <c r="W90" s="522"/>
      <c r="X90" s="522"/>
      <c r="Y90" s="970">
        <f t="shared" ref="Y90:AD90" si="82">(1+Y89)*(1+Y88)*(1+Y87)-1</f>
        <v>-0.70208201892744482</v>
      </c>
      <c r="Z90" s="970">
        <f t="shared" si="82"/>
        <v>-0.4902965299684543</v>
      </c>
      <c r="AA90" s="970">
        <f t="shared" si="82"/>
        <v>-5.6390261862414803E-2</v>
      </c>
      <c r="AB90" s="970">
        <f t="shared" si="82"/>
        <v>9.2220402654231037E-2</v>
      </c>
      <c r="AC90" s="970">
        <f t="shared" si="82"/>
        <v>0.16117889947607633</v>
      </c>
      <c r="AD90" s="524">
        <f t="shared" si="82"/>
        <v>0.17352394488143186</v>
      </c>
    </row>
    <row r="91" spans="2:30" s="499" customFormat="1" ht="11.25" customHeight="1">
      <c r="B91" s="584"/>
      <c r="C91" s="588"/>
      <c r="E91" s="534"/>
      <c r="F91" s="534"/>
      <c r="G91" s="534"/>
      <c r="H91" s="534"/>
      <c r="I91" s="525"/>
      <c r="J91" s="525"/>
      <c r="K91" s="525"/>
      <c r="L91" s="525"/>
      <c r="M91" s="525"/>
      <c r="N91" s="525"/>
      <c r="O91" s="525"/>
      <c r="P91" s="525"/>
      <c r="Q91" s="525"/>
      <c r="R91" s="525"/>
      <c r="S91" s="525"/>
      <c r="T91" s="525"/>
      <c r="U91" s="516"/>
      <c r="V91" s="534"/>
      <c r="W91" s="534"/>
      <c r="X91" s="534"/>
      <c r="Y91" s="526"/>
      <c r="Z91" s="526"/>
      <c r="AA91" s="526"/>
      <c r="AB91" s="526"/>
      <c r="AC91" s="526"/>
      <c r="AD91" s="535"/>
    </row>
    <row r="92" spans="2:30" ht="11.25" customHeight="1">
      <c r="B92" s="425"/>
      <c r="C92" s="589" t="s">
        <v>603</v>
      </c>
      <c r="D92" s="527"/>
      <c r="E92" s="527"/>
      <c r="F92" s="527"/>
      <c r="G92" s="527"/>
      <c r="H92" s="527"/>
      <c r="I92" s="527"/>
      <c r="J92" s="527"/>
      <c r="K92" s="527"/>
      <c r="L92" s="527"/>
      <c r="M92" s="528"/>
      <c r="N92" s="528"/>
      <c r="O92" s="528"/>
      <c r="P92" s="528"/>
      <c r="Q92" s="527"/>
      <c r="R92" s="527"/>
      <c r="S92" s="527"/>
      <c r="T92" s="527"/>
      <c r="U92" s="255"/>
      <c r="V92" s="527"/>
      <c r="W92" s="527"/>
      <c r="X92" s="527"/>
      <c r="Y92" s="528"/>
      <c r="Z92" s="527"/>
      <c r="AA92" s="527"/>
      <c r="AB92" s="527"/>
      <c r="AC92" s="527"/>
      <c r="AD92" s="412"/>
    </row>
    <row r="93" spans="2:30" ht="11.25" customHeight="1">
      <c r="B93" s="425"/>
      <c r="C93" s="590" t="s">
        <v>592</v>
      </c>
      <c r="D93" s="527"/>
      <c r="E93" s="527"/>
      <c r="F93" s="527"/>
      <c r="G93" s="527"/>
      <c r="H93" s="527"/>
      <c r="I93" s="529">
        <f>I87*E$84</f>
        <v>-625.61619316017936</v>
      </c>
      <c r="J93" s="529">
        <f>J87*F$84</f>
        <v>-9202.7392408519936</v>
      </c>
      <c r="K93" s="529">
        <f>K87*G$84</f>
        <v>-7380.0892961798709</v>
      </c>
      <c r="L93" s="529">
        <f>L87*H$84</f>
        <v>-5641.5826881387429</v>
      </c>
      <c r="M93" s="529">
        <f>M87*E$84</f>
        <v>-4688.4663721532497</v>
      </c>
      <c r="N93" s="529">
        <f>N87*F$84</f>
        <v>-4814.4828235936657</v>
      </c>
      <c r="O93" s="529">
        <f>O87*G$84</f>
        <v>-2958.2341893547868</v>
      </c>
      <c r="P93" s="529">
        <f>P87*H$84</f>
        <v>-2268.4064725921348</v>
      </c>
      <c r="Q93" s="529">
        <f>Q87*E$84</f>
        <v>-1645.58191789169</v>
      </c>
      <c r="R93" s="529">
        <f>R87*F$84</f>
        <v>-1357.7251037684325</v>
      </c>
      <c r="S93" s="529">
        <f>S87*G$84</f>
        <v>-821.28343145612564</v>
      </c>
      <c r="T93" s="529">
        <f>T87*H$84</f>
        <v>-663.0673908330773</v>
      </c>
      <c r="U93" s="255"/>
      <c r="V93" s="527"/>
      <c r="W93" s="527"/>
      <c r="X93" s="527"/>
      <c r="Y93" s="529">
        <f t="shared" ref="Y93:AD93" si="83">Y87*$X$84</f>
        <v>-22550.875178509403</v>
      </c>
      <c r="Z93" s="529">
        <f t="shared" si="83"/>
        <v>-14781.567216025323</v>
      </c>
      <c r="AA93" s="529">
        <f t="shared" si="83"/>
        <v>-4517.1365469703387</v>
      </c>
      <c r="AB93" s="529">
        <f t="shared" si="83"/>
        <v>1253.9653318959015</v>
      </c>
      <c r="AC93" s="529">
        <f t="shared" si="83"/>
        <v>2547.9103435450684</v>
      </c>
      <c r="AD93" s="530">
        <f t="shared" si="83"/>
        <v>2580.6101205618361</v>
      </c>
    </row>
    <row r="94" spans="2:30" ht="11.25" customHeight="1">
      <c r="B94" s="425"/>
      <c r="C94" s="590" t="s">
        <v>602</v>
      </c>
      <c r="D94" s="527"/>
      <c r="E94" s="527"/>
      <c r="F94" s="527"/>
      <c r="G94" s="527"/>
      <c r="H94" s="527"/>
      <c r="I94" s="529">
        <f t="shared" ref="I94:L95" si="84">+I88*E$84</f>
        <v>-1072.8390316383238</v>
      </c>
      <c r="J94" s="529">
        <f t="shared" si="84"/>
        <v>-6446.6284816182915</v>
      </c>
      <c r="K94" s="529">
        <f t="shared" si="84"/>
        <v>-4663.6270136985486</v>
      </c>
      <c r="L94" s="529">
        <f t="shared" si="84"/>
        <v>-3239.1347022618506</v>
      </c>
      <c r="M94" s="529">
        <f t="shared" ref="M94:P95" si="85">+M88*E$84</f>
        <v>-2598.8016230866897</v>
      </c>
      <c r="N94" s="529">
        <f t="shared" si="85"/>
        <v>-1711.3226259035603</v>
      </c>
      <c r="O94" s="529">
        <f t="shared" si="85"/>
        <v>-1210.2991931167608</v>
      </c>
      <c r="P94" s="529">
        <f t="shared" si="85"/>
        <v>-671.14504533374986</v>
      </c>
      <c r="Q94" s="529">
        <f t="shared" ref="Q94:T95" si="86">+Q88*E$84</f>
        <v>-898.89987326340304</v>
      </c>
      <c r="R94" s="529">
        <f t="shared" si="86"/>
        <v>-360.6429922391232</v>
      </c>
      <c r="S94" s="529">
        <f t="shared" si="86"/>
        <v>18.97389018941622</v>
      </c>
      <c r="T94" s="529">
        <f t="shared" si="86"/>
        <v>37.550166102186374</v>
      </c>
      <c r="U94" s="255"/>
      <c r="V94" s="527"/>
      <c r="W94" s="527"/>
      <c r="X94" s="527"/>
      <c r="Y94" s="529">
        <f t="shared" ref="Y94:AD95" si="87">+Y88*$X$84</f>
        <v>-11952.478851678914</v>
      </c>
      <c r="Z94" s="529">
        <f t="shared" si="87"/>
        <v>-6424.0845319816053</v>
      </c>
      <c r="AA94" s="529">
        <f t="shared" si="87"/>
        <v>-2064.9142702301483</v>
      </c>
      <c r="AB94" s="529">
        <f t="shared" si="87"/>
        <v>-1111.3953032174218</v>
      </c>
      <c r="AC94" s="529">
        <f t="shared" si="87"/>
        <v>102.91273076752108</v>
      </c>
      <c r="AD94" s="530">
        <f t="shared" si="87"/>
        <v>493.74349360461287</v>
      </c>
    </row>
    <row r="95" spans="2:30" ht="11.25" customHeight="1">
      <c r="B95" s="425"/>
      <c r="C95" s="527" t="s">
        <v>601</v>
      </c>
      <c r="D95" s="527"/>
      <c r="E95" s="527"/>
      <c r="F95" s="527"/>
      <c r="G95" s="527"/>
      <c r="H95" s="527"/>
      <c r="I95" s="529">
        <f t="shared" si="84"/>
        <v>-47.253464109742005</v>
      </c>
      <c r="J95" s="529">
        <f t="shared" si="84"/>
        <v>3959.6838383838381</v>
      </c>
      <c r="K95" s="529">
        <f t="shared" si="84"/>
        <v>-439.23791576368274</v>
      </c>
      <c r="L95" s="529">
        <f t="shared" si="84"/>
        <v>-1655.4808154179623</v>
      </c>
      <c r="M95" s="529">
        <f t="shared" si="85"/>
        <v>-1595.323979591836</v>
      </c>
      <c r="N95" s="529">
        <f t="shared" si="85"/>
        <v>-839.42757943466188</v>
      </c>
      <c r="O95" s="529">
        <f t="shared" si="85"/>
        <v>-26.887914016232141</v>
      </c>
      <c r="P95" s="529">
        <f t="shared" si="85"/>
        <v>-373.48324088560372</v>
      </c>
      <c r="Q95" s="529">
        <f t="shared" si="86"/>
        <v>-2.8243453058687642</v>
      </c>
      <c r="R95" s="529">
        <f t="shared" si="86"/>
        <v>1515.8426586667842</v>
      </c>
      <c r="S95" s="529">
        <f t="shared" si="86"/>
        <v>1040.4260305517373</v>
      </c>
      <c r="T95" s="529">
        <f t="shared" si="86"/>
        <v>1079.4549668398488</v>
      </c>
      <c r="U95" s="255"/>
      <c r="V95" s="527"/>
      <c r="W95" s="527"/>
      <c r="X95" s="527"/>
      <c r="Y95" s="529">
        <f t="shared" si="87"/>
        <v>-395.08548136229365</v>
      </c>
      <c r="Z95" s="529">
        <f t="shared" si="87"/>
        <v>-1177.885419656506</v>
      </c>
      <c r="AA95" s="529">
        <f t="shared" si="87"/>
        <v>4896.4463307277028</v>
      </c>
      <c r="AB95" s="529">
        <f t="shared" si="87"/>
        <v>3537.2471312632151</v>
      </c>
      <c r="AC95" s="529">
        <f t="shared" si="87"/>
        <v>3494.8895984643264</v>
      </c>
      <c r="AD95" s="530">
        <f t="shared" si="87"/>
        <v>3495.349851755419</v>
      </c>
    </row>
    <row r="96" spans="2:30" ht="11.25" customHeight="1">
      <c r="B96" s="425"/>
      <c r="C96" s="527" t="s">
        <v>587</v>
      </c>
      <c r="D96" s="527"/>
      <c r="E96" s="527"/>
      <c r="F96" s="527"/>
      <c r="G96" s="527"/>
      <c r="H96" s="527"/>
      <c r="I96" s="529">
        <f>(I89*I88*E84+I89*I87*E84+I88*I87*E84)+I89*I88*I87*E84</f>
        <v>85.708688908243374</v>
      </c>
      <c r="J96" s="529">
        <f>(J89*J88*F84+J89*J87*F84+J88*J87*F84)+J89*J88*J87*F84</f>
        <v>1884.6838840864475</v>
      </c>
      <c r="K96" s="529">
        <f>(K89*K88*G84+K89*K87*G84+K88*K87*G84)+K89*K88*K87*G84</f>
        <v>3650.9542256421028</v>
      </c>
      <c r="L96" s="529">
        <f>(L89*L88*H84+L89*L87*H84+L88*L87*H84)+L89*L88*L87*H84</f>
        <v>3013.1982058185558</v>
      </c>
      <c r="M96" s="529">
        <f>(M89*M88*E84+M89*M87*E84+M88*M87*E84)+M89*M88*M87*E84</f>
        <v>2473.5919748317747</v>
      </c>
      <c r="N96" s="529">
        <f>(N89*N88*F84+N89*N87*F84+N88*N87*F84)+N89*N88*N87*F84</f>
        <v>1245.2330289318886</v>
      </c>
      <c r="O96" s="529">
        <f>(O89*O88*G84+O89*O87*G84+O88*O87*G84)+O89*O88*O87*G84</f>
        <v>351.42129648777814</v>
      </c>
      <c r="P96" s="529">
        <f>(P89*P88*H84+P89*P87*H84+P88*P87*H84)+P89*P88*P87*H84</f>
        <v>258.03475881148808</v>
      </c>
      <c r="Q96" s="529">
        <f>(Q89*Q88*E84+Q89*Q87*E84+Q88*Q87*E84)+Q89*Q88*Q87*E84</f>
        <v>170.3061364609614</v>
      </c>
      <c r="R96" s="529">
        <f>(R89*R88*F84+R89*R87*F84+R88*R87*F84)+R89*R88*R87*F84</f>
        <v>-194.95878895742368</v>
      </c>
      <c r="S96" s="529">
        <f>(S89*S88*G84+S89*S87*G84+S88*S87*G84)+S89*S88*S87*G84</f>
        <v>-81.277889285029246</v>
      </c>
      <c r="T96" s="529">
        <f>(T89*T88*H84+T89*T87*H84+T88*T87*H84)+T89*T88*T87*H84</f>
        <v>-70.756242108957736</v>
      </c>
      <c r="U96" s="255"/>
      <c r="V96" s="527"/>
      <c r="W96" s="527"/>
      <c r="X96" s="527"/>
      <c r="Y96" s="529">
        <f t="shared" ref="Y96:AD96" si="88">(Y89*Y88*$X84+Y89*Y87*$X84+Y88*Y87*$X84)+Y89*Y88*Y87*$X84</f>
        <v>7078.4395115506086</v>
      </c>
      <c r="Z96" s="529">
        <f t="shared" si="88"/>
        <v>2955.537167663434</v>
      </c>
      <c r="AA96" s="529">
        <f t="shared" si="88"/>
        <v>-548.85963982540352</v>
      </c>
      <c r="AB96" s="529">
        <f t="shared" si="88"/>
        <v>-25.583704767791271</v>
      </c>
      <c r="AC96" s="529">
        <f t="shared" si="88"/>
        <v>241.00121896260794</v>
      </c>
      <c r="AD96" s="530">
        <f t="shared" si="88"/>
        <v>306.18285000487424</v>
      </c>
    </row>
    <row r="97" spans="2:30" s="392" customFormat="1" ht="11.25" customHeight="1">
      <c r="B97" s="585"/>
      <c r="C97" s="614" t="s">
        <v>585</v>
      </c>
      <c r="D97" s="612"/>
      <c r="E97" s="612"/>
      <c r="F97" s="612"/>
      <c r="G97" s="612"/>
      <c r="H97" s="612"/>
      <c r="I97" s="971">
        <f>SUM(I93:I96)</f>
        <v>-1660.0000000000018</v>
      </c>
      <c r="J97" s="971">
        <f t="shared" ref="J97:T97" si="89">SUM(J93:J96)</f>
        <v>-9804.9999999999982</v>
      </c>
      <c r="K97" s="971">
        <f t="shared" si="89"/>
        <v>-8831.9999999999982</v>
      </c>
      <c r="L97" s="971">
        <f t="shared" si="89"/>
        <v>-7523.0000000000009</v>
      </c>
      <c r="M97" s="971">
        <f t="shared" si="89"/>
        <v>-6409.0000000000009</v>
      </c>
      <c r="N97" s="971">
        <f t="shared" si="89"/>
        <v>-6119.9999999999991</v>
      </c>
      <c r="O97" s="971">
        <f t="shared" si="89"/>
        <v>-3844.0000000000018</v>
      </c>
      <c r="P97" s="971">
        <f t="shared" si="89"/>
        <v>-3055</v>
      </c>
      <c r="Q97" s="971">
        <f t="shared" si="89"/>
        <v>-2377.0000000000009</v>
      </c>
      <c r="R97" s="971">
        <f t="shared" si="89"/>
        <v>-397.48422629819521</v>
      </c>
      <c r="S97" s="971">
        <f t="shared" si="89"/>
        <v>156.83859999999868</v>
      </c>
      <c r="T97" s="971">
        <f t="shared" si="89"/>
        <v>383.18150000000014</v>
      </c>
      <c r="U97" s="1179"/>
      <c r="V97" s="612"/>
      <c r="W97" s="612"/>
      <c r="X97" s="612"/>
      <c r="Y97" s="971">
        <f t="shared" ref="Y97:AD97" si="90">SUM(Y93:Y96)</f>
        <v>-27820.000000000004</v>
      </c>
      <c r="Z97" s="971">
        <f t="shared" si="90"/>
        <v>-19428</v>
      </c>
      <c r="AA97" s="971">
        <f t="shared" si="90"/>
        <v>-2234.4641262981872</v>
      </c>
      <c r="AB97" s="971">
        <f t="shared" si="90"/>
        <v>3654.2334551739032</v>
      </c>
      <c r="AC97" s="971">
        <f t="shared" si="90"/>
        <v>6386.7138917395232</v>
      </c>
      <c r="AD97" s="533">
        <f t="shared" si="90"/>
        <v>6875.8863159267421</v>
      </c>
    </row>
    <row r="98" spans="2:30" s="293" customFormat="1" ht="11.25" customHeight="1" outlineLevel="1">
      <c r="B98" s="618"/>
      <c r="C98" s="615" t="s">
        <v>233</v>
      </c>
      <c r="D98" s="536"/>
      <c r="E98" s="536"/>
      <c r="F98" s="536"/>
      <c r="G98" s="536"/>
      <c r="H98" s="536"/>
      <c r="I98" s="537">
        <f>SUM(I93:I96)-(I84-E84)</f>
        <v>-1.8189894035458565E-12</v>
      </c>
      <c r="J98" s="537">
        <f>SUM(J93:J96)-(J84-F84)</f>
        <v>0</v>
      </c>
      <c r="K98" s="537">
        <f>SUM(K93:K96)-(K84-G84)</f>
        <v>0</v>
      </c>
      <c r="L98" s="537">
        <f>SUM(L93:L96)-(L84-H84)</f>
        <v>0</v>
      </c>
      <c r="M98" s="537">
        <f>SUM(M93:M96)-(M84-E84)</f>
        <v>0</v>
      </c>
      <c r="N98" s="537">
        <f>SUM(N93:N96)-(N84-F84)</f>
        <v>0</v>
      </c>
      <c r="O98" s="537">
        <f>SUM(O93:O96)-(O84-G84)</f>
        <v>0</v>
      </c>
      <c r="P98" s="537">
        <f>SUM(P93:P96)-(P84-H84)</f>
        <v>0</v>
      </c>
      <c r="Q98" s="537">
        <f>SUM(Q93:Q96)-(Q84-E84)</f>
        <v>0</v>
      </c>
      <c r="R98" s="537">
        <f>SUM(R93:R96)-(R84-F84)</f>
        <v>1.3073986337985843E-12</v>
      </c>
      <c r="S98" s="537">
        <f>SUM(S93:S96)-(S84-G84)</f>
        <v>-2.2737367544323206E-12</v>
      </c>
      <c r="T98" s="537">
        <f>SUM(T93:T96)-(T84-H84)</f>
        <v>-2.2737367544323206E-12</v>
      </c>
      <c r="U98" s="284"/>
      <c r="V98" s="536"/>
      <c r="W98" s="536"/>
      <c r="X98" s="536"/>
      <c r="Y98" s="537">
        <f t="shared" ref="Y98:AD98" si="91">SUM(Y93:Y96)-(Y84-$X84)</f>
        <v>0</v>
      </c>
      <c r="Z98" s="537">
        <f t="shared" si="91"/>
        <v>0</v>
      </c>
      <c r="AA98" s="537">
        <f t="shared" si="91"/>
        <v>0</v>
      </c>
      <c r="AB98" s="537">
        <f t="shared" si="91"/>
        <v>6.3664629124104977E-12</v>
      </c>
      <c r="AC98" s="537">
        <f t="shared" si="91"/>
        <v>1.0004441719502211E-11</v>
      </c>
      <c r="AD98" s="538">
        <f t="shared" si="91"/>
        <v>0</v>
      </c>
    </row>
    <row r="99" spans="2:30" s="293" customFormat="1" ht="11.25" customHeight="1">
      <c r="B99" s="618"/>
      <c r="C99" s="616"/>
      <c r="I99" s="284"/>
      <c r="J99" s="284"/>
      <c r="K99" s="284"/>
      <c r="L99" s="284"/>
      <c r="M99" s="284"/>
      <c r="N99" s="284"/>
      <c r="O99" s="284"/>
      <c r="P99" s="284"/>
      <c r="Q99" s="284"/>
      <c r="R99" s="284"/>
      <c r="S99" s="284"/>
      <c r="T99" s="284"/>
      <c r="U99" s="284"/>
      <c r="W99" s="284"/>
      <c r="X99" s="284"/>
      <c r="Y99" s="284"/>
      <c r="Z99" s="284"/>
      <c r="AA99" s="284"/>
      <c r="AB99" s="284"/>
      <c r="AC99" s="284"/>
      <c r="AD99" s="539"/>
    </row>
    <row r="100" spans="2:30" s="278" customFormat="1" ht="11.25" customHeight="1">
      <c r="B100" s="573"/>
      <c r="C100" s="617" t="s">
        <v>590</v>
      </c>
      <c r="D100" s="540"/>
      <c r="E100" s="540"/>
      <c r="F100" s="540"/>
      <c r="G100" s="540"/>
      <c r="H100" s="540"/>
      <c r="I100" s="540"/>
      <c r="J100" s="540"/>
      <c r="K100" s="540"/>
      <c r="L100" s="540"/>
      <c r="M100" s="540"/>
      <c r="N100" s="540"/>
      <c r="O100" s="541"/>
      <c r="P100" s="540"/>
      <c r="Q100" s="540"/>
      <c r="R100" s="540"/>
      <c r="S100" s="540"/>
      <c r="T100" s="540"/>
      <c r="U100" s="255"/>
      <c r="V100" s="540"/>
      <c r="W100" s="540"/>
      <c r="X100" s="540"/>
      <c r="Y100" s="540"/>
      <c r="Z100" s="540"/>
      <c r="AA100" s="540"/>
      <c r="AB100" s="540"/>
      <c r="AC100" s="540"/>
      <c r="AD100" s="542"/>
    </row>
    <row r="101" spans="2:30" s="278" customFormat="1" ht="11.25" customHeight="1">
      <c r="B101" s="573"/>
      <c r="C101" s="540" t="str">
        <f>C80</f>
        <v xml:space="preserve">  Domestic</v>
      </c>
      <c r="D101" s="540"/>
      <c r="E101" s="541">
        <f t="shared" ref="E101:T101" si="92">E80/E$84</f>
        <v>0.61512893982808026</v>
      </c>
      <c r="F101" s="541">
        <f t="shared" si="92"/>
        <v>0.62435628456990278</v>
      </c>
      <c r="G101" s="541">
        <f t="shared" si="92"/>
        <v>0.62532201125846776</v>
      </c>
      <c r="H101" s="541">
        <f t="shared" si="92"/>
        <v>0.63807510319138228</v>
      </c>
      <c r="I101" s="541">
        <f t="shared" si="92"/>
        <v>0.63750884642604388</v>
      </c>
      <c r="J101" s="541">
        <f t="shared" si="92"/>
        <v>0.79588839941262846</v>
      </c>
      <c r="K101" s="541">
        <f t="shared" si="92"/>
        <v>0.75560946027895692</v>
      </c>
      <c r="L101" s="541">
        <f t="shared" si="92"/>
        <v>0.74564315352697097</v>
      </c>
      <c r="M101" s="541">
        <f t="shared" si="92"/>
        <v>0.73920552677029361</v>
      </c>
      <c r="N101" s="541">
        <f t="shared" si="92"/>
        <v>0.75309207512597343</v>
      </c>
      <c r="O101" s="541">
        <f t="shared" si="92"/>
        <v>0.72999849329516353</v>
      </c>
      <c r="P101" s="541">
        <f t="shared" si="92"/>
        <v>0.7227391683628962</v>
      </c>
      <c r="Q101" s="541">
        <f t="shared" si="92"/>
        <v>0.71045998739760552</v>
      </c>
      <c r="R101" s="541">
        <f t="shared" si="92"/>
        <v>0.7213324510006619</v>
      </c>
      <c r="S101" s="541">
        <f t="shared" si="92"/>
        <v>0.67826735028673957</v>
      </c>
      <c r="T101" s="541">
        <f t="shared" si="92"/>
        <v>0.68257019324446744</v>
      </c>
      <c r="U101" s="255"/>
      <c r="V101" s="541">
        <f t="shared" ref="V101:AD101" si="93">V80/V$84</f>
        <v>0.67074869413813121</v>
      </c>
      <c r="W101" s="541">
        <f t="shared" si="93"/>
        <v>0.67766403224950933</v>
      </c>
      <c r="X101" s="541">
        <f t="shared" si="93"/>
        <v>0.62601892744479493</v>
      </c>
      <c r="Y101" s="541">
        <f t="shared" si="93"/>
        <v>0.68521812791190173</v>
      </c>
      <c r="Z101" s="541">
        <f t="shared" si="93"/>
        <v>0.73357429321186318</v>
      </c>
      <c r="AA101" s="541">
        <f t="shared" si="93"/>
        <v>0.69653964035110005</v>
      </c>
      <c r="AB101" s="541">
        <f t="shared" si="93"/>
        <v>0.66368899112491431</v>
      </c>
      <c r="AC101" s="541">
        <f t="shared" si="93"/>
        <v>0.66073476191321412</v>
      </c>
      <c r="AD101" s="543">
        <f t="shared" si="93"/>
        <v>0.66423006051690459</v>
      </c>
    </row>
    <row r="102" spans="2:30" s="278" customFormat="1" ht="11.25" customHeight="1">
      <c r="B102" s="573"/>
      <c r="C102" s="540" t="str">
        <f>C81</f>
        <v xml:space="preserve">  Latin America</v>
      </c>
      <c r="D102" s="540"/>
      <c r="E102" s="541">
        <f t="shared" ref="E102:T102" si="94">E81/E$84</f>
        <v>0.10383954154727794</v>
      </c>
      <c r="F102" s="541">
        <f t="shared" si="94"/>
        <v>8.3635323288193786E-2</v>
      </c>
      <c r="G102" s="541">
        <f t="shared" si="94"/>
        <v>8.0431256559488601E-2</v>
      </c>
      <c r="H102" s="541">
        <f t="shared" si="94"/>
        <v>8.9700996677740868E-2</v>
      </c>
      <c r="I102" s="541">
        <f t="shared" si="94"/>
        <v>0.11323425336164189</v>
      </c>
      <c r="J102" s="541">
        <f t="shared" si="94"/>
        <v>7.0484581497797363E-2</v>
      </c>
      <c r="K102" s="541">
        <f t="shared" si="94"/>
        <v>7.5197089144936322E-2</v>
      </c>
      <c r="L102" s="541">
        <f t="shared" si="94"/>
        <v>0.13029045643153528</v>
      </c>
      <c r="M102" s="541">
        <f t="shared" si="94"/>
        <v>0.13341968911917099</v>
      </c>
      <c r="N102" s="541">
        <f t="shared" si="94"/>
        <v>0.14269354099862575</v>
      </c>
      <c r="O102" s="541">
        <f t="shared" si="94"/>
        <v>0.11194816935362363</v>
      </c>
      <c r="P102" s="541">
        <f t="shared" si="94"/>
        <v>0.11456818842686828</v>
      </c>
      <c r="Q102" s="541">
        <f t="shared" si="94"/>
        <v>0.12602394454946439</v>
      </c>
      <c r="R102" s="541">
        <f t="shared" si="94"/>
        <v>9.5430658455724807E-2</v>
      </c>
      <c r="S102" s="541">
        <f t="shared" si="94"/>
        <v>8.7368076819665241E-2</v>
      </c>
      <c r="T102" s="541">
        <f t="shared" si="94"/>
        <v>9.52220063208465E-2</v>
      </c>
      <c r="U102" s="255"/>
      <c r="V102" s="541">
        <f t="shared" ref="V102:AD102" si="95">V81/V$84</f>
        <v>9.9129425420777711E-2</v>
      </c>
      <c r="W102" s="541">
        <f t="shared" si="95"/>
        <v>9.1762584204105449E-2</v>
      </c>
      <c r="X102" s="541">
        <f t="shared" si="95"/>
        <v>8.8757097791798106E-2</v>
      </c>
      <c r="Y102" s="541">
        <f t="shared" si="95"/>
        <v>0.10893689114781872</v>
      </c>
      <c r="Z102" s="541">
        <f t="shared" si="95"/>
        <v>0.12194880427786305</v>
      </c>
      <c r="AA102" s="541">
        <f t="shared" si="95"/>
        <v>9.8273229234720261E-2</v>
      </c>
      <c r="AB102" s="541">
        <f t="shared" si="95"/>
        <v>9.1095193838018201E-2</v>
      </c>
      <c r="AC102" s="541">
        <f t="shared" si="95"/>
        <v>8.8721826577894486E-2</v>
      </c>
      <c r="AD102" s="543">
        <f t="shared" si="95"/>
        <v>8.379811860624585E-2</v>
      </c>
    </row>
    <row r="103" spans="2:30" s="278" customFormat="1" ht="11.25" customHeight="1">
      <c r="B103" s="573"/>
      <c r="C103" s="540" t="str">
        <f>C82</f>
        <v xml:space="preserve">  Atlantic</v>
      </c>
      <c r="D103" s="540"/>
      <c r="E103" s="541">
        <f t="shared" ref="E103:T103" si="96">E82/E$84</f>
        <v>0.15255014326647565</v>
      </c>
      <c r="F103" s="541">
        <f t="shared" si="96"/>
        <v>0.18376883463665841</v>
      </c>
      <c r="G103" s="541">
        <f t="shared" si="96"/>
        <v>0.1872912889991413</v>
      </c>
      <c r="H103" s="541">
        <f t="shared" si="96"/>
        <v>0.16269002315513945</v>
      </c>
      <c r="I103" s="541">
        <f t="shared" si="96"/>
        <v>0.15187544232130221</v>
      </c>
      <c r="J103" s="541">
        <f t="shared" si="96"/>
        <v>8.3700440528634359E-2</v>
      </c>
      <c r="K103" s="541">
        <f t="shared" si="96"/>
        <v>0.11036992116434202</v>
      </c>
      <c r="L103" s="541">
        <f t="shared" si="96"/>
        <v>8.2572614107883816E-2</v>
      </c>
      <c r="M103" s="541">
        <f t="shared" si="96"/>
        <v>8.8946459412780662E-2</v>
      </c>
      <c r="N103" s="541">
        <f t="shared" si="96"/>
        <v>7.3980760421438391E-2</v>
      </c>
      <c r="O103" s="541">
        <f t="shared" si="96"/>
        <v>0.12656320626789211</v>
      </c>
      <c r="P103" s="541">
        <f t="shared" si="96"/>
        <v>0.13623146263448677</v>
      </c>
      <c r="Q103" s="541">
        <f t="shared" si="96"/>
        <v>0.12775677378701952</v>
      </c>
      <c r="R103" s="541">
        <f t="shared" si="96"/>
        <v>0.13044584426760994</v>
      </c>
      <c r="S103" s="541">
        <f t="shared" si="96"/>
        <v>0.14900794791152405</v>
      </c>
      <c r="T103" s="541">
        <f t="shared" si="96"/>
        <v>0.13393327754072565</v>
      </c>
      <c r="U103" s="255"/>
      <c r="V103" s="541">
        <f t="shared" ref="V103:AD103" si="97">V82/V$84</f>
        <v>0.18398142774230991</v>
      </c>
      <c r="W103" s="541">
        <f t="shared" si="97"/>
        <v>0.18837850739935288</v>
      </c>
      <c r="X103" s="541">
        <f t="shared" si="97"/>
        <v>0.17254258675078865</v>
      </c>
      <c r="Y103" s="541">
        <f t="shared" si="97"/>
        <v>0.12799661160525203</v>
      </c>
      <c r="Z103" s="541">
        <f t="shared" si="97"/>
        <v>0.11417537258008616</v>
      </c>
      <c r="AA103" s="541">
        <f t="shared" si="97"/>
        <v>0.13623253420901893</v>
      </c>
      <c r="AB103" s="541">
        <f t="shared" si="97"/>
        <v>0.14915288171481275</v>
      </c>
      <c r="AC103" s="541">
        <f t="shared" si="97"/>
        <v>0.14704602364237357</v>
      </c>
      <c r="AD103" s="543">
        <f t="shared" si="97"/>
        <v>0.15012625637474147</v>
      </c>
    </row>
    <row r="104" spans="2:30" s="278" customFormat="1" ht="11.25" customHeight="1" thickBot="1">
      <c r="B104" s="619"/>
      <c r="C104" s="544" t="str">
        <f>C83</f>
        <v xml:space="preserve">  Pacific</v>
      </c>
      <c r="D104" s="544"/>
      <c r="E104" s="545">
        <f t="shared" ref="E104:T104" si="98">E83/E$84</f>
        <v>0.1284813753581662</v>
      </c>
      <c r="F104" s="545">
        <f t="shared" si="98"/>
        <v>0.10823955750524508</v>
      </c>
      <c r="G104" s="545">
        <f t="shared" si="98"/>
        <v>0.1069554431829024</v>
      </c>
      <c r="H104" s="545">
        <f t="shared" si="98"/>
        <v>0.10953387697573744</v>
      </c>
      <c r="I104" s="545">
        <f t="shared" si="98"/>
        <v>9.7381457891012033E-2</v>
      </c>
      <c r="J104" s="545">
        <f t="shared" si="98"/>
        <v>4.9926578560939794E-2</v>
      </c>
      <c r="K104" s="545">
        <f t="shared" si="98"/>
        <v>5.8823529411764705E-2</v>
      </c>
      <c r="L104" s="545">
        <f t="shared" si="98"/>
        <v>4.1493775933609957E-2</v>
      </c>
      <c r="M104" s="545">
        <f t="shared" si="98"/>
        <v>3.842832469775475E-2</v>
      </c>
      <c r="N104" s="545">
        <f t="shared" si="98"/>
        <v>3.0233623453962438E-2</v>
      </c>
      <c r="O104" s="545">
        <f t="shared" si="98"/>
        <v>3.1490131083320778E-2</v>
      </c>
      <c r="P104" s="545">
        <f t="shared" si="98"/>
        <v>2.6461180575748765E-2</v>
      </c>
      <c r="Q104" s="545">
        <f t="shared" si="98"/>
        <v>3.575929426591052E-2</v>
      </c>
      <c r="R104" s="545">
        <f t="shared" si="98"/>
        <v>5.2791046276003263E-2</v>
      </c>
      <c r="S104" s="545">
        <f t="shared" si="98"/>
        <v>8.5356624982071042E-2</v>
      </c>
      <c r="T104" s="545">
        <f t="shared" si="98"/>
        <v>8.8274522893960317E-2</v>
      </c>
      <c r="U104" s="498"/>
      <c r="V104" s="545">
        <f t="shared" ref="V104:AD104" si="99">V83/V$84</f>
        <v>0.14260011607661055</v>
      </c>
      <c r="W104" s="545">
        <f t="shared" si="99"/>
        <v>0.13759083434997083</v>
      </c>
      <c r="X104" s="545">
        <f t="shared" si="99"/>
        <v>0.1126813880126183</v>
      </c>
      <c r="Y104" s="545">
        <f t="shared" si="99"/>
        <v>7.7848369335027534E-2</v>
      </c>
      <c r="Z104" s="545">
        <f t="shared" si="99"/>
        <v>3.0301529930187653E-2</v>
      </c>
      <c r="AA104" s="545">
        <f t="shared" si="99"/>
        <v>6.8954596205160618E-2</v>
      </c>
      <c r="AB104" s="545">
        <f t="shared" si="99"/>
        <v>9.6062933322254657E-2</v>
      </c>
      <c r="AC104" s="545">
        <f t="shared" si="99"/>
        <v>0.10349738786651767</v>
      </c>
      <c r="AD104" s="546">
        <f t="shared" si="99"/>
        <v>0.10184556450210816</v>
      </c>
    </row>
    <row r="105" spans="2:30" ht="11.25" customHeight="1">
      <c r="O105" s="257"/>
      <c r="U105" s="255"/>
    </row>
    <row r="106" spans="2:30" ht="11.25" customHeight="1">
      <c r="B106" s="253" t="s">
        <v>133</v>
      </c>
      <c r="C106" s="397" t="s">
        <v>390</v>
      </c>
      <c r="O106" s="383"/>
      <c r="U106" s="255"/>
    </row>
    <row r="107" spans="2:30" ht="11.25" customHeight="1">
      <c r="C107" s="381" t="str">
        <f>C80</f>
        <v xml:space="preserve">  Domestic</v>
      </c>
      <c r="E107" s="277">
        <v>36.725999999999999</v>
      </c>
      <c r="F107" s="277">
        <v>41.484000000000002</v>
      </c>
      <c r="G107" s="277">
        <v>42.67</v>
      </c>
      <c r="H107" s="277">
        <v>40.612000000000002</v>
      </c>
      <c r="I107" s="277">
        <v>35.936</v>
      </c>
      <c r="J107" s="277">
        <v>6.4020000000000001</v>
      </c>
      <c r="K107" s="277">
        <v>14.798</v>
      </c>
      <c r="L107" s="277">
        <v>19.166</v>
      </c>
      <c r="M107" s="277">
        <v>18.870999999999999</v>
      </c>
      <c r="N107" s="277">
        <v>24.716999999999999</v>
      </c>
      <c r="O107" s="277">
        <v>34.337000000000003</v>
      </c>
      <c r="P107" s="277">
        <v>34.975999999999999</v>
      </c>
      <c r="Q107" s="277">
        <v>33.262999999999998</v>
      </c>
      <c r="R107" s="255">
        <f t="shared" ref="R107:T110" si="100">(R117+1)*F107</f>
        <v>41.89884</v>
      </c>
      <c r="S107" s="255">
        <f t="shared" si="100"/>
        <v>43.096700000000006</v>
      </c>
      <c r="T107" s="255">
        <f t="shared" si="100"/>
        <v>41.018120000000003</v>
      </c>
      <c r="U107" s="255"/>
      <c r="V107" s="277">
        <v>155.63729199999997</v>
      </c>
      <c r="W107" s="277">
        <v>145.8486</v>
      </c>
      <c r="X107" s="255">
        <f t="shared" ref="X107:AA110" si="101">SUMIF($E$5:$T$5,X$5,$E107:$T107)</f>
        <v>161.49200000000002</v>
      </c>
      <c r="Y107" s="255">
        <f t="shared" si="101"/>
        <v>76.302000000000007</v>
      </c>
      <c r="Z107" s="255">
        <f t="shared" si="101"/>
        <v>112.901</v>
      </c>
      <c r="AA107" s="255">
        <f t="shared" si="101"/>
        <v>159.27666000000002</v>
      </c>
      <c r="AB107" s="255">
        <f t="shared" ref="AB107:AD110" si="102">(AB117+1)*$X107</f>
        <v>177.64120000000003</v>
      </c>
      <c r="AC107" s="255">
        <f t="shared" si="102"/>
        <v>181.67850000000001</v>
      </c>
      <c r="AD107" s="255">
        <f t="shared" si="102"/>
        <v>180.87104000000005</v>
      </c>
    </row>
    <row r="108" spans="2:30" ht="11.25" customHeight="1">
      <c r="C108" s="381" t="str">
        <f>C81</f>
        <v xml:space="preserve">  Latin America</v>
      </c>
      <c r="E108" s="277">
        <v>7.37</v>
      </c>
      <c r="F108" s="277">
        <v>6.8890000000000002</v>
      </c>
      <c r="G108" s="277">
        <v>6.3289999999999997</v>
      </c>
      <c r="H108" s="277">
        <v>6.6790000000000003</v>
      </c>
      <c r="I108" s="277">
        <v>6.9420000000000002</v>
      </c>
      <c r="J108" s="277">
        <v>0.443</v>
      </c>
      <c r="K108" s="277">
        <v>1.6279999999999999</v>
      </c>
      <c r="L108" s="277">
        <v>4.1230000000000002</v>
      </c>
      <c r="M108" s="277">
        <v>5.157</v>
      </c>
      <c r="N108" s="277">
        <v>6.3929999999999998</v>
      </c>
      <c r="O108" s="277">
        <v>6.9530000000000003</v>
      </c>
      <c r="P108" s="277">
        <v>7.2729999999999997</v>
      </c>
      <c r="Q108" s="277">
        <v>7.6449999999999996</v>
      </c>
      <c r="R108" s="255">
        <f t="shared" si="100"/>
        <v>7.5090100000000009</v>
      </c>
      <c r="S108" s="255">
        <f t="shared" si="100"/>
        <v>6.6454500000000003</v>
      </c>
      <c r="T108" s="255">
        <f t="shared" si="100"/>
        <v>7.0129500000000009</v>
      </c>
      <c r="U108" s="255"/>
      <c r="V108" s="277">
        <v>26.496663000000002</v>
      </c>
      <c r="W108" s="277">
        <v>26.408187999999999</v>
      </c>
      <c r="X108" s="255">
        <f>SUMIF($E$5:$T$5,X$5,$E108:$T108)</f>
        <v>27.267000000000003</v>
      </c>
      <c r="Y108" s="255">
        <f>SUMIF($E$5:$T$5,Y$5,$E108:$T108)</f>
        <v>13.135999999999999</v>
      </c>
      <c r="Z108" s="255">
        <f>SUMIF($E$5:$T$5,Z$5,$E108:$T108)</f>
        <v>25.776</v>
      </c>
      <c r="AA108" s="255">
        <f>SUMIF($E$5:$T$5,AA$5,$E108:$T108)</f>
        <v>28.81241</v>
      </c>
      <c r="AB108" s="255">
        <f t="shared" si="102"/>
        <v>29.312025000000002</v>
      </c>
      <c r="AC108" s="255">
        <f t="shared" si="102"/>
        <v>29.993700000000004</v>
      </c>
      <c r="AD108" s="255">
        <f t="shared" si="102"/>
        <v>28.630350000000004</v>
      </c>
    </row>
    <row r="109" spans="2:30" ht="11.25" customHeight="1">
      <c r="C109" s="381" t="str">
        <f>C82</f>
        <v xml:space="preserve">  Atlantic</v>
      </c>
      <c r="E109" s="277">
        <v>10.625999999999999</v>
      </c>
      <c r="F109" s="277">
        <v>14.114000000000001</v>
      </c>
      <c r="G109" s="277">
        <v>15.218999999999999</v>
      </c>
      <c r="H109" s="277">
        <v>12.648999999999999</v>
      </c>
      <c r="I109" s="277">
        <v>10.265000000000001</v>
      </c>
      <c r="J109" s="277">
        <v>1.222</v>
      </c>
      <c r="K109" s="277">
        <v>4.117</v>
      </c>
      <c r="L109" s="277">
        <v>5.4669999999999996</v>
      </c>
      <c r="M109" s="277">
        <v>4.3289999999999997</v>
      </c>
      <c r="N109" s="277">
        <v>6.0650000000000004</v>
      </c>
      <c r="O109" s="277">
        <v>9.9019999999999992</v>
      </c>
      <c r="P109" s="277">
        <v>9.67</v>
      </c>
      <c r="Q109" s="277">
        <v>8.8119999999999994</v>
      </c>
      <c r="R109" s="255">
        <f t="shared" si="100"/>
        <v>10.5855</v>
      </c>
      <c r="S109" s="255">
        <f t="shared" si="100"/>
        <v>12.93615</v>
      </c>
      <c r="T109" s="255">
        <f t="shared" si="100"/>
        <v>11.3841</v>
      </c>
      <c r="U109" s="255"/>
      <c r="V109" s="277">
        <v>49.721286999999997</v>
      </c>
      <c r="W109" s="277">
        <v>47.297821000000006</v>
      </c>
      <c r="X109" s="255">
        <f t="shared" si="101"/>
        <v>52.608000000000004</v>
      </c>
      <c r="Y109" s="255">
        <f t="shared" si="101"/>
        <v>21.070999999999998</v>
      </c>
      <c r="Z109" s="255">
        <f t="shared" si="101"/>
        <v>29.966000000000001</v>
      </c>
      <c r="AA109" s="255">
        <f t="shared" si="101"/>
        <v>43.717749999999995</v>
      </c>
      <c r="AB109" s="255">
        <f t="shared" si="102"/>
        <v>49.977600000000002</v>
      </c>
      <c r="AC109" s="255">
        <f t="shared" si="102"/>
        <v>51.2928</v>
      </c>
      <c r="AD109" s="255">
        <f t="shared" si="102"/>
        <v>52.608000000000004</v>
      </c>
    </row>
    <row r="110" spans="2:30" ht="11.25" customHeight="1">
      <c r="C110" s="381" t="str">
        <f>C83</f>
        <v xml:space="preserve">  Pacific</v>
      </c>
      <c r="E110" s="277">
        <v>10.923</v>
      </c>
      <c r="F110" s="277">
        <v>10.753</v>
      </c>
      <c r="G110" s="277">
        <v>10.858000000000001</v>
      </c>
      <c r="H110" s="277">
        <v>11.098000000000001</v>
      </c>
      <c r="I110" s="277">
        <v>7.7949999999999999</v>
      </c>
      <c r="J110" s="277">
        <v>0.89600000000000002</v>
      </c>
      <c r="K110" s="277">
        <v>1.669</v>
      </c>
      <c r="L110" s="277">
        <v>1.9350000000000001</v>
      </c>
      <c r="M110" s="277">
        <v>2.0129999999999999</v>
      </c>
      <c r="N110" s="277">
        <v>2.4380000000000002</v>
      </c>
      <c r="O110" s="277">
        <v>2.694</v>
      </c>
      <c r="P110" s="277">
        <v>2.8959999999999999</v>
      </c>
      <c r="Q110" s="277">
        <v>3.544</v>
      </c>
      <c r="R110" s="255">
        <f t="shared" si="100"/>
        <v>3.76355</v>
      </c>
      <c r="S110" s="255">
        <f t="shared" si="100"/>
        <v>6.5148000000000001</v>
      </c>
      <c r="T110" s="255">
        <f t="shared" si="100"/>
        <v>6.8807600000000004</v>
      </c>
      <c r="U110" s="255"/>
      <c r="V110" s="277">
        <v>43.406455000000001</v>
      </c>
      <c r="W110" s="277">
        <v>42.831317999999996</v>
      </c>
      <c r="X110" s="255">
        <f t="shared" si="101"/>
        <v>43.632000000000005</v>
      </c>
      <c r="Y110" s="255">
        <f t="shared" si="101"/>
        <v>12.295000000000002</v>
      </c>
      <c r="Z110" s="255">
        <f t="shared" si="101"/>
        <v>10.041</v>
      </c>
      <c r="AA110" s="255">
        <f t="shared" si="101"/>
        <v>20.703110000000002</v>
      </c>
      <c r="AB110" s="255">
        <f>(AB120+1)*$X110</f>
        <v>37.087200000000003</v>
      </c>
      <c r="AC110" s="255">
        <f t="shared" si="102"/>
        <v>40.359600000000007</v>
      </c>
      <c r="AD110" s="255">
        <f t="shared" si="102"/>
        <v>41.450400000000002</v>
      </c>
    </row>
    <row r="111" spans="2:30" s="255" customFormat="1" ht="11.25" customHeight="1">
      <c r="C111" s="286" t="s">
        <v>393</v>
      </c>
      <c r="E111" s="358">
        <f t="shared" ref="E111:T111" si="103">SUM(E107:E110)</f>
        <v>65.644999999999996</v>
      </c>
      <c r="F111" s="358">
        <f t="shared" si="103"/>
        <v>73.240000000000009</v>
      </c>
      <c r="G111" s="358">
        <f t="shared" si="103"/>
        <v>75.076000000000008</v>
      </c>
      <c r="H111" s="358">
        <f t="shared" si="103"/>
        <v>71.038000000000011</v>
      </c>
      <c r="I111" s="358">
        <f t="shared" si="103"/>
        <v>60.938000000000002</v>
      </c>
      <c r="J111" s="358">
        <f t="shared" si="103"/>
        <v>8.963000000000001</v>
      </c>
      <c r="K111" s="358">
        <f t="shared" si="103"/>
        <v>22.212</v>
      </c>
      <c r="L111" s="358">
        <f t="shared" si="103"/>
        <v>30.690999999999999</v>
      </c>
      <c r="M111" s="358">
        <f t="shared" si="103"/>
        <v>30.369999999999997</v>
      </c>
      <c r="N111" s="358">
        <f t="shared" si="103"/>
        <v>39.613</v>
      </c>
      <c r="O111" s="358">
        <f t="shared" si="103"/>
        <v>53.88600000000001</v>
      </c>
      <c r="P111" s="358">
        <f t="shared" si="103"/>
        <v>54.814999999999998</v>
      </c>
      <c r="Q111" s="358">
        <f t="shared" si="103"/>
        <v>53.263999999999996</v>
      </c>
      <c r="R111" s="358">
        <f t="shared" si="103"/>
        <v>63.756900000000009</v>
      </c>
      <c r="S111" s="358">
        <f t="shared" si="103"/>
        <v>69.193100000000001</v>
      </c>
      <c r="T111" s="358">
        <f t="shared" si="103"/>
        <v>66.295929999999998</v>
      </c>
      <c r="V111" s="358">
        <f t="shared" ref="V111:AD111" si="104">SUM(V107:V110)</f>
        <v>275.26169699999997</v>
      </c>
      <c r="W111" s="358">
        <f t="shared" si="104"/>
        <v>262.38592699999998</v>
      </c>
      <c r="X111" s="358">
        <f t="shared" si="104"/>
        <v>284.99900000000002</v>
      </c>
      <c r="Y111" s="358">
        <f t="shared" si="104"/>
        <v>122.804</v>
      </c>
      <c r="Z111" s="358">
        <f t="shared" si="104"/>
        <v>178.684</v>
      </c>
      <c r="AA111" s="358">
        <f t="shared" si="104"/>
        <v>252.50993000000003</v>
      </c>
      <c r="AB111" s="358">
        <f t="shared" si="104"/>
        <v>294.01802500000002</v>
      </c>
      <c r="AC111" s="358">
        <f t="shared" si="104"/>
        <v>303.32460000000003</v>
      </c>
      <c r="AD111" s="358">
        <f t="shared" si="104"/>
        <v>303.55979000000008</v>
      </c>
    </row>
    <row r="112" spans="2:30" ht="11.25" customHeight="1">
      <c r="C112" s="389"/>
      <c r="E112" s="283"/>
      <c r="F112" s="283"/>
      <c r="G112" s="283"/>
      <c r="H112" s="283"/>
      <c r="I112" s="283"/>
      <c r="J112" s="283"/>
      <c r="K112" s="283"/>
      <c r="L112" s="283"/>
      <c r="M112" s="283"/>
      <c r="N112" s="283"/>
      <c r="O112" s="283"/>
      <c r="P112" s="283"/>
      <c r="Q112" s="283"/>
      <c r="R112" s="403"/>
      <c r="S112" s="283"/>
      <c r="T112" s="283"/>
      <c r="U112" s="255"/>
      <c r="V112" s="283"/>
      <c r="W112" s="283"/>
      <c r="X112" s="283"/>
      <c r="Y112" s="283"/>
      <c r="Z112" s="283"/>
      <c r="AA112" s="403"/>
      <c r="AB112" s="283"/>
      <c r="AC112" s="283"/>
      <c r="AD112" s="283"/>
    </row>
    <row r="113" spans="2:30" ht="11.25" customHeight="1">
      <c r="B113" s="604"/>
      <c r="C113" s="605" t="s">
        <v>548</v>
      </c>
      <c r="D113" s="604"/>
      <c r="E113" s="606">
        <f>SUMIF(Info!$X$8:$X$67,E$6,Info!$Z$8:$Z$67)</f>
        <v>293.17357600000003</v>
      </c>
      <c r="F113" s="606">
        <f>SUMIF(Info!$X$8:$X$67,F$6,Info!$Z$8:$Z$67)</f>
        <v>322.32858799999997</v>
      </c>
      <c r="G113" s="606">
        <f>SUMIF(Info!$X$8:$X$67,G$6,Info!$Z$8:$Z$67)</f>
        <v>332.26616200000001</v>
      </c>
      <c r="H113" s="606">
        <f>SUMIF(Info!$X$8:$X$67,H$6,Info!$Z$8:$Z$67)</f>
        <v>311.70819500000005</v>
      </c>
      <c r="I113" s="606">
        <f>SUMIF(Info!$X$8:$X$67,I$6,Info!$Z$8:$Z$67)</f>
        <v>280.09299800000002</v>
      </c>
      <c r="J113" s="606">
        <f>SUMIF(Info!$X$8:$X$67,J$6,Info!$Z$8:$Z$67)</f>
        <v>69.511411999999993</v>
      </c>
      <c r="K113" s="606">
        <f>SUMIF(Info!$X$8:$X$67,K$6,Info!$Z$8:$Z$67)</f>
        <v>141.68097799999998</v>
      </c>
      <c r="L113" s="606">
        <f>SUMIF(Info!$X$8:$X$67,L$6,Info!$Z$8:$Z$67)</f>
        <v>163.252016</v>
      </c>
      <c r="M113" s="606">
        <f>SUMIF(Info!$X$8:$X$67,M$6,Info!$Z$8:$Z$67)</f>
        <v>183.83295699999999</v>
      </c>
      <c r="N113" s="606">
        <f>SUMIF(Info!$X$8:$X$67,N$6,Info!$Z$8:$Z$67)</f>
        <v>233.48962</v>
      </c>
      <c r="O113" s="606">
        <f>SUMIF(Info!$X$8:$X$67,O$6,Info!$Z$8:$Z$67)</f>
        <v>271.30579599999999</v>
      </c>
      <c r="P113" s="606">
        <f>SUMIF(Info!$X$8:$X$67,P$6,Info!$Z$8:$Z$67)</f>
        <v>266.49204600000002</v>
      </c>
      <c r="Q113" s="607"/>
      <c r="R113" s="607"/>
      <c r="S113" s="607"/>
      <c r="T113" s="607"/>
      <c r="U113" s="255"/>
      <c r="V113" s="606">
        <f>SUMIF(Info!$X$8:$X$67,V$6,Info!$AA$8:$AA$67)</f>
        <v>1167.9958409999999</v>
      </c>
      <c r="W113" s="606">
        <f>SUMIF(Info!$X$8:$X$67,W$6,Info!$AA$8:$AA$67)</f>
        <v>1220.4833229999999</v>
      </c>
      <c r="X113" s="606">
        <f>SUMIF(Info!$X$8:$X$67,X$6,Info!$AA$8:$AA$67)</f>
        <v>1259.4765209999998</v>
      </c>
      <c r="Y113" s="606">
        <f>SUMIF(Info!$X$8:$X$67,Y$6,Info!$AA$8:$AA$67)</f>
        <v>654.53740400000004</v>
      </c>
      <c r="Z113" s="606">
        <f>SUMIF(Info!$X$8:$X$67,Z$6,Info!$AA$8:$AA$67)</f>
        <v>955.12041900000008</v>
      </c>
      <c r="AA113" s="607"/>
      <c r="AB113" s="607"/>
      <c r="AC113" s="607"/>
      <c r="AD113" s="607"/>
    </row>
    <row r="114" spans="2:30" s="278" customFormat="1" ht="11.25" customHeight="1">
      <c r="B114" s="608"/>
      <c r="C114" s="609" t="s">
        <v>550</v>
      </c>
      <c r="D114" s="608"/>
      <c r="E114" s="610">
        <f t="shared" ref="E114:P114" si="105">E111/E113</f>
        <v>0.22391172115729827</v>
      </c>
      <c r="F114" s="610">
        <f t="shared" si="105"/>
        <v>0.22722154573518627</v>
      </c>
      <c r="G114" s="610">
        <f t="shared" si="105"/>
        <v>0.22595138652728652</v>
      </c>
      <c r="H114" s="610">
        <f t="shared" si="105"/>
        <v>0.22789904513097578</v>
      </c>
      <c r="I114" s="610">
        <f t="shared" si="105"/>
        <v>0.21756345369261962</v>
      </c>
      <c r="J114" s="610">
        <f t="shared" si="105"/>
        <v>0.1289428561744653</v>
      </c>
      <c r="K114" s="610">
        <f t="shared" si="105"/>
        <v>0.15677475066554103</v>
      </c>
      <c r="L114" s="610">
        <f t="shared" si="105"/>
        <v>0.18799767838701606</v>
      </c>
      <c r="M114" s="610">
        <f t="shared" si="105"/>
        <v>0.16520432731765283</v>
      </c>
      <c r="N114" s="610">
        <f t="shared" si="105"/>
        <v>0.16965636416728075</v>
      </c>
      <c r="O114" s="610">
        <f t="shared" si="105"/>
        <v>0.19861720904775662</v>
      </c>
      <c r="P114" s="610">
        <f t="shared" si="105"/>
        <v>0.20569094208537839</v>
      </c>
      <c r="Q114" s="611"/>
      <c r="R114" s="611"/>
      <c r="S114" s="611"/>
      <c r="T114" s="611"/>
      <c r="U114" s="441"/>
      <c r="V114" s="610">
        <f>V111/V113</f>
        <v>0.2356701003013246</v>
      </c>
      <c r="W114" s="610">
        <f>W111/W113</f>
        <v>0.21498526203131085</v>
      </c>
      <c r="X114" s="610">
        <f>X111/X113</f>
        <v>0.22628369425554387</v>
      </c>
      <c r="Y114" s="610">
        <f>Y111/Y113</f>
        <v>0.18761952983820615</v>
      </c>
      <c r="Z114" s="610">
        <f>Z111/Z113</f>
        <v>0.18708007539727825</v>
      </c>
      <c r="AA114" s="611"/>
      <c r="AB114" s="611"/>
      <c r="AC114" s="611"/>
      <c r="AD114" s="611"/>
    </row>
    <row r="115" spans="2:30" ht="11.25" customHeight="1">
      <c r="C115" s="389"/>
      <c r="E115" s="283"/>
      <c r="F115" s="283"/>
      <c r="G115" s="283"/>
      <c r="H115" s="283"/>
      <c r="I115" s="283"/>
      <c r="J115" s="283"/>
      <c r="K115" s="283"/>
      <c r="L115" s="283"/>
      <c r="M115" s="283"/>
      <c r="N115" s="283"/>
      <c r="O115" s="283"/>
      <c r="P115" s="283"/>
      <c r="Q115" s="283"/>
      <c r="R115" s="283"/>
      <c r="S115" s="283"/>
      <c r="T115" s="283"/>
      <c r="U115" s="255"/>
      <c r="V115" s="283"/>
      <c r="W115" s="283"/>
      <c r="X115" s="283"/>
      <c r="Y115" s="283"/>
      <c r="Z115" s="283"/>
      <c r="AA115" s="283"/>
      <c r="AB115" s="283"/>
      <c r="AC115" s="283"/>
      <c r="AD115" s="283"/>
    </row>
    <row r="116" spans="2:30" s="278" customFormat="1" ht="11.25" customHeight="1">
      <c r="C116" s="481" t="s">
        <v>394</v>
      </c>
      <c r="U116" s="441"/>
    </row>
    <row r="117" spans="2:30" s="278" customFormat="1" ht="11.25" customHeight="1">
      <c r="C117" s="298" t="s">
        <v>357</v>
      </c>
      <c r="I117" s="297">
        <f t="shared" ref="I117:L121" si="106">(I107/E107)-1</f>
        <v>-2.1510646408538836E-2</v>
      </c>
      <c r="J117" s="297">
        <f t="shared" si="106"/>
        <v>-0.84567544113393112</v>
      </c>
      <c r="K117" s="297">
        <f t="shared" si="106"/>
        <v>-0.65319896883056017</v>
      </c>
      <c r="L117" s="297">
        <f t="shared" si="106"/>
        <v>-0.52807052102826746</v>
      </c>
      <c r="M117" s="297">
        <f t="shared" ref="M117:P121" si="107">(M107/E107)-1</f>
        <v>-0.48616783749931936</v>
      </c>
      <c r="N117" s="297">
        <f t="shared" si="107"/>
        <v>-0.40417992479028064</v>
      </c>
      <c r="O117" s="297">
        <f t="shared" si="107"/>
        <v>-0.1952894305132411</v>
      </c>
      <c r="P117" s="297">
        <f t="shared" si="107"/>
        <v>-0.138776716241505</v>
      </c>
      <c r="Q117" s="297">
        <f>(Q107/E107)-1</f>
        <v>-9.4292871535152201E-2</v>
      </c>
      <c r="R117" s="296">
        <v>0.01</v>
      </c>
      <c r="S117" s="296">
        <v>0.01</v>
      </c>
      <c r="T117" s="296">
        <v>0.01</v>
      </c>
      <c r="U117" s="441"/>
      <c r="W117" s="297"/>
      <c r="X117" s="297">
        <f t="shared" ref="X117:Y121" si="108">X107/W107-1</f>
        <v>0.10725780021200082</v>
      </c>
      <c r="Y117" s="297">
        <f t="shared" si="108"/>
        <v>-0.52751839100388875</v>
      </c>
      <c r="Z117" s="297">
        <f>Z107/X107-1</f>
        <v>-0.30088796968270881</v>
      </c>
      <c r="AA117" s="297">
        <f>AA107/X107-1</f>
        <v>-1.3717955068981769E-2</v>
      </c>
      <c r="AB117" s="296">
        <v>0.1</v>
      </c>
      <c r="AC117" s="296">
        <v>0.125</v>
      </c>
      <c r="AD117" s="296">
        <v>0.12</v>
      </c>
    </row>
    <row r="118" spans="2:30" s="278" customFormat="1" ht="11.25" customHeight="1">
      <c r="C118" s="298" t="s">
        <v>360</v>
      </c>
      <c r="I118" s="297">
        <f t="shared" si="106"/>
        <v>-5.8073270013568545E-2</v>
      </c>
      <c r="J118" s="297">
        <f t="shared" si="106"/>
        <v>-0.93569458557120044</v>
      </c>
      <c r="K118" s="297">
        <f t="shared" si="106"/>
        <v>-0.74277136988465786</v>
      </c>
      <c r="L118" s="297">
        <f t="shared" si="106"/>
        <v>-0.38269201976343759</v>
      </c>
      <c r="M118" s="297">
        <f t="shared" si="107"/>
        <v>-0.30027137042062413</v>
      </c>
      <c r="N118" s="297">
        <f t="shared" si="107"/>
        <v>-7.1998838728407621E-2</v>
      </c>
      <c r="O118" s="297">
        <f t="shared" si="107"/>
        <v>9.8593774687944391E-2</v>
      </c>
      <c r="P118" s="297">
        <f t="shared" si="107"/>
        <v>8.8935469381643761E-2</v>
      </c>
      <c r="Q118" s="297">
        <f>(Q108/E108)-1</f>
        <v>3.7313432835820892E-2</v>
      </c>
      <c r="R118" s="296">
        <v>0.09</v>
      </c>
      <c r="S118" s="296">
        <v>0.05</v>
      </c>
      <c r="T118" s="296">
        <v>0.05</v>
      </c>
      <c r="U118" s="441"/>
      <c r="W118" s="297"/>
      <c r="X118" s="297">
        <f t="shared" si="108"/>
        <v>3.2520671240298782E-2</v>
      </c>
      <c r="Y118" s="297">
        <f t="shared" si="108"/>
        <v>-0.51824549822129318</v>
      </c>
      <c r="Z118" s="297">
        <f>Z108/X108-1</f>
        <v>-5.4681483111453488E-2</v>
      </c>
      <c r="AA118" s="297">
        <f>AA108/X108-1</f>
        <v>5.6676935489786029E-2</v>
      </c>
      <c r="AB118" s="296">
        <v>7.4999999999999997E-2</v>
      </c>
      <c r="AC118" s="296">
        <v>0.1</v>
      </c>
      <c r="AD118" s="296">
        <v>0.05</v>
      </c>
    </row>
    <row r="119" spans="2:30" s="278" customFormat="1" ht="11.25" customHeight="1">
      <c r="C119" s="298" t="s">
        <v>358</v>
      </c>
      <c r="I119" s="297">
        <f t="shared" si="106"/>
        <v>-3.3973273103707791E-2</v>
      </c>
      <c r="J119" s="297">
        <f t="shared" si="106"/>
        <v>-0.91341929998582971</v>
      </c>
      <c r="K119" s="297">
        <f t="shared" si="106"/>
        <v>-0.72948288323805766</v>
      </c>
      <c r="L119" s="297">
        <f t="shared" si="106"/>
        <v>-0.567791920309906</v>
      </c>
      <c r="M119" s="297">
        <f t="shared" si="107"/>
        <v>-0.59260304912478823</v>
      </c>
      <c r="N119" s="297">
        <f t="shared" si="107"/>
        <v>-0.57028482357942467</v>
      </c>
      <c r="O119" s="297">
        <f t="shared" si="107"/>
        <v>-0.34936592417373025</v>
      </c>
      <c r="P119" s="297">
        <f t="shared" si="107"/>
        <v>-0.23551268875009879</v>
      </c>
      <c r="Q119" s="297">
        <f>(Q109/E109)-1</f>
        <v>-0.1707133446263881</v>
      </c>
      <c r="R119" s="296">
        <v>-0.25</v>
      </c>
      <c r="S119" s="296">
        <v>-0.15</v>
      </c>
      <c r="T119" s="296">
        <v>-0.1</v>
      </c>
      <c r="U119" s="441"/>
      <c r="W119" s="297"/>
      <c r="X119" s="297">
        <f t="shared" si="108"/>
        <v>0.11227111287008329</v>
      </c>
      <c r="Y119" s="297">
        <f t="shared" si="108"/>
        <v>-0.59947156326034068</v>
      </c>
      <c r="Z119" s="297">
        <f>Z109/X109-1</f>
        <v>-0.4303908150851582</v>
      </c>
      <c r="AA119" s="297">
        <f>AA109/X109-1</f>
        <v>-0.16899045772506094</v>
      </c>
      <c r="AB119" s="296">
        <v>-0.05</v>
      </c>
      <c r="AC119" s="296">
        <v>-2.5000000000000001E-2</v>
      </c>
      <c r="AD119" s="296">
        <v>0</v>
      </c>
    </row>
    <row r="120" spans="2:30" s="278" customFormat="1" ht="11.25" customHeight="1">
      <c r="C120" s="298" t="s">
        <v>359</v>
      </c>
      <c r="I120" s="297">
        <f t="shared" si="106"/>
        <v>-0.28636821386066103</v>
      </c>
      <c r="J120" s="297">
        <f t="shared" si="106"/>
        <v>-0.91667441644192316</v>
      </c>
      <c r="K120" s="297">
        <f t="shared" si="106"/>
        <v>-0.84628845091177007</v>
      </c>
      <c r="L120" s="297">
        <f t="shared" si="106"/>
        <v>-0.82564426022706794</v>
      </c>
      <c r="M120" s="297">
        <f t="shared" si="107"/>
        <v>-0.81570996978851962</v>
      </c>
      <c r="N120" s="297">
        <f t="shared" si="107"/>
        <v>-0.77327257509532221</v>
      </c>
      <c r="O120" s="297">
        <f t="shared" si="107"/>
        <v>-0.75188800884140727</v>
      </c>
      <c r="P120" s="297">
        <f t="shared" si="107"/>
        <v>-0.73905208145611823</v>
      </c>
      <c r="Q120" s="297">
        <f>(Q110/E110)-1</f>
        <v>-0.67554701089444291</v>
      </c>
      <c r="R120" s="296">
        <v>-0.65</v>
      </c>
      <c r="S120" s="296">
        <v>-0.4</v>
      </c>
      <c r="T120" s="296">
        <v>-0.38</v>
      </c>
      <c r="U120" s="441"/>
      <c r="W120" s="297"/>
      <c r="X120" s="297">
        <f t="shared" si="108"/>
        <v>1.8693844536841198E-2</v>
      </c>
      <c r="Y120" s="297">
        <f t="shared" si="108"/>
        <v>-0.71821140447378062</v>
      </c>
      <c r="Z120" s="297">
        <f>Z110/X110-1</f>
        <v>-0.76987073707370746</v>
      </c>
      <c r="AA120" s="297">
        <f>AA110/X110-1</f>
        <v>-0.52550627979464615</v>
      </c>
      <c r="AB120" s="296">
        <v>-0.15</v>
      </c>
      <c r="AC120" s="296">
        <v>-7.4999999999999997E-2</v>
      </c>
      <c r="AD120" s="296">
        <v>-0.05</v>
      </c>
    </row>
    <row r="121" spans="2:30" s="278" customFormat="1" ht="11.25" customHeight="1">
      <c r="C121" s="493" t="s">
        <v>393</v>
      </c>
      <c r="I121" s="480">
        <f t="shared" si="106"/>
        <v>-7.1703861680249781E-2</v>
      </c>
      <c r="J121" s="480">
        <f t="shared" si="106"/>
        <v>-0.87762151829601309</v>
      </c>
      <c r="K121" s="480">
        <f t="shared" si="106"/>
        <v>-0.70413980499760243</v>
      </c>
      <c r="L121" s="480">
        <f t="shared" si="106"/>
        <v>-0.56796362510205811</v>
      </c>
      <c r="M121" s="480">
        <f t="shared" si="107"/>
        <v>-0.53736004265366755</v>
      </c>
      <c r="N121" s="480">
        <f t="shared" si="107"/>
        <v>-0.45913435281267079</v>
      </c>
      <c r="O121" s="480">
        <f t="shared" si="107"/>
        <v>-0.28224732271298414</v>
      </c>
      <c r="P121" s="480">
        <f t="shared" si="107"/>
        <v>-0.22837073115797191</v>
      </c>
      <c r="Q121" s="480">
        <f>(Q111/E111)-1</f>
        <v>-0.18860537740878969</v>
      </c>
      <c r="R121" s="480">
        <f>(R111/F111)-1</f>
        <v>-0.1294797924631349</v>
      </c>
      <c r="S121" s="480">
        <f>(S111/G111)-1</f>
        <v>-7.8359262613884706E-2</v>
      </c>
      <c r="T121" s="480">
        <f>(T111/H111)-1</f>
        <v>-6.675399082181388E-2</v>
      </c>
      <c r="U121" s="441"/>
      <c r="V121" s="598"/>
      <c r="W121" s="598"/>
      <c r="X121" s="480">
        <f t="shared" si="108"/>
        <v>8.6182491791947591E-2</v>
      </c>
      <c r="Y121" s="480">
        <f t="shared" si="108"/>
        <v>-0.56910726002547385</v>
      </c>
      <c r="Z121" s="480">
        <f>Z111/X111-1</f>
        <v>-0.37303639661893562</v>
      </c>
      <c r="AA121" s="480">
        <f>AA111/X111-1</f>
        <v>-0.11399713683205903</v>
      </c>
      <c r="AB121" s="480">
        <f>AB111/X111-1</f>
        <v>3.1645812792325589E-2</v>
      </c>
      <c r="AC121" s="480">
        <f>AC111/X111-1</f>
        <v>6.4300576493250938E-2</v>
      </c>
      <c r="AD121" s="480">
        <f>AD111/X111-1</f>
        <v>6.5125807458973783E-2</v>
      </c>
    </row>
    <row r="122" spans="2:30" ht="11.25" customHeight="1">
      <c r="C122" s="289"/>
      <c r="U122" s="255"/>
    </row>
    <row r="123" spans="2:30" s="278" customFormat="1" ht="11.25" customHeight="1">
      <c r="B123" s="278" t="s">
        <v>133</v>
      </c>
      <c r="C123" s="478" t="s">
        <v>402</v>
      </c>
      <c r="U123" s="441"/>
    </row>
    <row r="124" spans="2:30" s="278" customFormat="1" ht="11.25" customHeight="1">
      <c r="C124" s="278" t="str">
        <f>C107</f>
        <v xml:space="preserve">  Domestic</v>
      </c>
      <c r="E124" s="297">
        <f t="shared" ref="E124:Q124" si="109">E131/E107</f>
        <v>0.99401797272111836</v>
      </c>
      <c r="F124" s="297">
        <f t="shared" si="109"/>
        <v>0.87527935528855905</v>
      </c>
      <c r="G124" s="297">
        <f t="shared" si="109"/>
        <v>0.8657136161237402</v>
      </c>
      <c r="H124" s="297">
        <f t="shared" si="109"/>
        <v>0.83844676450310252</v>
      </c>
      <c r="I124" s="297">
        <f t="shared" si="109"/>
        <v>0.70981745325022261</v>
      </c>
      <c r="J124" s="297">
        <f t="shared" si="109"/>
        <v>0.35660731021555764</v>
      </c>
      <c r="K124" s="297">
        <f t="shared" si="109"/>
        <v>0.54351939451277198</v>
      </c>
      <c r="L124" s="297">
        <f t="shared" si="109"/>
        <v>0.64786601273087763</v>
      </c>
      <c r="M124" s="297">
        <f t="shared" si="109"/>
        <v>0.65126384399342907</v>
      </c>
      <c r="N124" s="297">
        <f t="shared" si="109"/>
        <v>0.83290852449730957</v>
      </c>
      <c r="O124" s="297">
        <f t="shared" si="109"/>
        <v>0.82380522468474227</v>
      </c>
      <c r="P124" s="297">
        <f t="shared" si="109"/>
        <v>0.82985475754803295</v>
      </c>
      <c r="Q124" s="297">
        <f t="shared" si="109"/>
        <v>0.77503532453476842</v>
      </c>
      <c r="R124" s="502">
        <f>F124-3.4%</f>
        <v>0.84127935528855902</v>
      </c>
      <c r="S124" s="502">
        <f t="shared" ref="S124:T127" si="110">G124</f>
        <v>0.8657136161237402</v>
      </c>
      <c r="T124" s="502">
        <f t="shared" si="110"/>
        <v>0.83844676450310252</v>
      </c>
      <c r="U124" s="441"/>
      <c r="V124" s="297">
        <f t="shared" ref="V124:AA128" si="111">V131/V107</f>
        <v>0.85426115612445908</v>
      </c>
      <c r="W124" s="297">
        <f t="shared" si="111"/>
        <v>0.85203081825948268</v>
      </c>
      <c r="X124" s="297">
        <f t="shared" si="111"/>
        <v>0.89049236396196929</v>
      </c>
      <c r="Y124" s="297">
        <f t="shared" si="111"/>
        <v>0.63236874524914155</v>
      </c>
      <c r="Z124" s="297">
        <f t="shared" si="111"/>
        <v>0.79883260555708091</v>
      </c>
      <c r="AA124" s="297">
        <f t="shared" si="111"/>
        <v>0.83332698653109927</v>
      </c>
      <c r="AB124" s="296">
        <v>0.86</v>
      </c>
      <c r="AC124" s="296">
        <v>0.89</v>
      </c>
      <c r="AD124" s="296">
        <v>0.9</v>
      </c>
    </row>
    <row r="125" spans="2:30" s="278" customFormat="1" ht="11.25" customHeight="1">
      <c r="C125" s="278" t="str">
        <f>C108</f>
        <v xml:space="preserve">  Latin America</v>
      </c>
      <c r="E125" s="501">
        <f>I125+8.5%</f>
        <v>0.83651253241140866</v>
      </c>
      <c r="F125" s="501">
        <f>J125+42.4%</f>
        <v>0.85740857787810376</v>
      </c>
      <c r="G125" s="297">
        <f t="shared" ref="G125:Q125" si="112">G132/G108</f>
        <v>0.85874545741823349</v>
      </c>
      <c r="H125" s="297">
        <f t="shared" si="112"/>
        <v>0.83186105704446767</v>
      </c>
      <c r="I125" s="297">
        <f t="shared" si="112"/>
        <v>0.7515125324114087</v>
      </c>
      <c r="J125" s="297">
        <f t="shared" si="112"/>
        <v>0.43340857787810383</v>
      </c>
      <c r="K125" s="297">
        <f t="shared" si="112"/>
        <v>0.52457002457002455</v>
      </c>
      <c r="L125" s="297">
        <f t="shared" si="112"/>
        <v>0.56536502546689305</v>
      </c>
      <c r="M125" s="297">
        <f t="shared" si="112"/>
        <v>0.49389179755671903</v>
      </c>
      <c r="N125" s="297">
        <f t="shared" si="112"/>
        <v>0.70592835914281249</v>
      </c>
      <c r="O125" s="297">
        <f t="shared" si="112"/>
        <v>0.75118653818495607</v>
      </c>
      <c r="P125" s="297">
        <f t="shared" si="112"/>
        <v>0.76419634263715108</v>
      </c>
      <c r="Q125" s="297">
        <f t="shared" si="112"/>
        <v>0.74375408763897977</v>
      </c>
      <c r="R125" s="502">
        <f>F125-3.5%</f>
        <v>0.82240857787810373</v>
      </c>
      <c r="S125" s="502">
        <f>G125</f>
        <v>0.85874545741823349</v>
      </c>
      <c r="T125" s="502">
        <f>H125</f>
        <v>0.83186105704446767</v>
      </c>
      <c r="U125" s="441"/>
      <c r="V125" s="297">
        <f t="shared" si="111"/>
        <v>0.83689863134840792</v>
      </c>
      <c r="W125" s="297">
        <f t="shared" si="111"/>
        <v>0.82859017059405971</v>
      </c>
      <c r="X125" s="297">
        <f t="shared" si="111"/>
        <v>0.84581307283068685</v>
      </c>
      <c r="Y125" s="297">
        <f t="shared" si="111"/>
        <v>0.65423264311814855</v>
      </c>
      <c r="Z125" s="297">
        <f t="shared" si="111"/>
        <v>0.6921554934823092</v>
      </c>
      <c r="AA125" s="297">
        <f t="shared" si="111"/>
        <v>0.81222029796787087</v>
      </c>
      <c r="AB125" s="296">
        <v>0.84</v>
      </c>
      <c r="AC125" s="296">
        <v>0.85</v>
      </c>
      <c r="AD125" s="296">
        <v>0.85</v>
      </c>
    </row>
    <row r="126" spans="2:30" s="278" customFormat="1" ht="11.25" customHeight="1">
      <c r="C126" s="278" t="str">
        <f>C109</f>
        <v xml:space="preserve">  Atlantic</v>
      </c>
      <c r="E126" s="501">
        <f>I126+6%</f>
        <v>0.74475401850949829</v>
      </c>
      <c r="F126" s="501">
        <f>J126+57.9%</f>
        <v>0.84332078559738133</v>
      </c>
      <c r="G126" s="297">
        <f t="shared" ref="G126:Q126" si="113">G133/G109</f>
        <v>0.86838819896182406</v>
      </c>
      <c r="H126" s="297">
        <f t="shared" si="113"/>
        <v>0.82006482725907182</v>
      </c>
      <c r="I126" s="297">
        <f t="shared" si="113"/>
        <v>0.68475401850949824</v>
      </c>
      <c r="J126" s="297">
        <f t="shared" si="113"/>
        <v>0.26432078559738137</v>
      </c>
      <c r="K126" s="297">
        <f t="shared" si="113"/>
        <v>0.31697838231722125</v>
      </c>
      <c r="L126" s="297">
        <f t="shared" si="113"/>
        <v>0.3433327236144138</v>
      </c>
      <c r="M126" s="297">
        <f t="shared" si="113"/>
        <v>0.46916146916146922</v>
      </c>
      <c r="N126" s="297">
        <f t="shared" si="113"/>
        <v>0.46611706512778234</v>
      </c>
      <c r="O126" s="297">
        <f t="shared" si="113"/>
        <v>0.66663300343364984</v>
      </c>
      <c r="P126" s="297">
        <f t="shared" si="113"/>
        <v>0.68076525336091009</v>
      </c>
      <c r="Q126" s="297">
        <f t="shared" si="113"/>
        <v>0.67374035406264188</v>
      </c>
      <c r="R126" s="502">
        <f>F126-3.5%</f>
        <v>0.8083207855973813</v>
      </c>
      <c r="S126" s="502">
        <f t="shared" si="110"/>
        <v>0.86838819896182406</v>
      </c>
      <c r="T126" s="502">
        <f t="shared" si="110"/>
        <v>0.82006482725907182</v>
      </c>
      <c r="U126" s="441"/>
      <c r="V126" s="297">
        <f t="shared" si="111"/>
        <v>0.8167673535884139</v>
      </c>
      <c r="W126" s="297">
        <f t="shared" si="111"/>
        <v>0.76580261488156065</v>
      </c>
      <c r="X126" s="297">
        <f t="shared" si="111"/>
        <v>0.82507196184236931</v>
      </c>
      <c r="Y126" s="297">
        <f t="shared" si="111"/>
        <v>0.49992881211143286</v>
      </c>
      <c r="Z126" s="297">
        <f t="shared" si="111"/>
        <v>0.60208236000800908</v>
      </c>
      <c r="AA126" s="297">
        <f t="shared" si="111"/>
        <v>0.8020261718853573</v>
      </c>
      <c r="AB126" s="296">
        <v>0.82</v>
      </c>
      <c r="AC126" s="296">
        <v>0.82099999999999995</v>
      </c>
      <c r="AD126" s="296">
        <v>0.83</v>
      </c>
    </row>
    <row r="127" spans="2:30" s="278" customFormat="1" ht="11.25" customHeight="1">
      <c r="C127" s="278" t="str">
        <f>C110</f>
        <v xml:space="preserve">  Pacific</v>
      </c>
      <c r="E127" s="501">
        <f>I127+9.2%</f>
        <v>0.79437331622835139</v>
      </c>
      <c r="F127" s="501">
        <f>J127+63.4%</f>
        <v>0.82596428571428571</v>
      </c>
      <c r="G127" s="297">
        <f t="shared" ref="G127:Q127" si="114">G134/G110</f>
        <v>0.83238165407994102</v>
      </c>
      <c r="H127" s="297">
        <f t="shared" si="114"/>
        <v>0.77969003424040362</v>
      </c>
      <c r="I127" s="297">
        <f t="shared" si="114"/>
        <v>0.70237331622835142</v>
      </c>
      <c r="J127" s="297">
        <f t="shared" si="114"/>
        <v>0.1919642857142857</v>
      </c>
      <c r="K127" s="297">
        <f t="shared" si="114"/>
        <v>0.2462552426602756</v>
      </c>
      <c r="L127" s="297">
        <f t="shared" si="114"/>
        <v>0.23049095607235143</v>
      </c>
      <c r="M127" s="297">
        <f t="shared" si="114"/>
        <v>0.18877297565822157</v>
      </c>
      <c r="N127" s="297">
        <f t="shared" si="114"/>
        <v>0.24077112387202623</v>
      </c>
      <c r="O127" s="297">
        <f t="shared" si="114"/>
        <v>0.34149962880475132</v>
      </c>
      <c r="P127" s="297">
        <f t="shared" si="114"/>
        <v>0.35220994475138123</v>
      </c>
      <c r="Q127" s="297">
        <f t="shared" si="114"/>
        <v>0.35016930022573367</v>
      </c>
      <c r="R127" s="502">
        <f>F127-3.5%</f>
        <v>0.79096428571428568</v>
      </c>
      <c r="S127" s="502">
        <f t="shared" si="110"/>
        <v>0.83238165407994102</v>
      </c>
      <c r="T127" s="502">
        <f t="shared" si="110"/>
        <v>0.77969003424040362</v>
      </c>
      <c r="U127" s="441"/>
      <c r="V127" s="297">
        <f t="shared" si="111"/>
        <v>0.79283477538075842</v>
      </c>
      <c r="W127" s="297">
        <f t="shared" si="111"/>
        <v>0.79125837313715175</v>
      </c>
      <c r="X127" s="297">
        <f t="shared" si="111"/>
        <v>0.80788260216006591</v>
      </c>
      <c r="Y127" s="297">
        <f t="shared" si="111"/>
        <v>0.52899552663684402</v>
      </c>
      <c r="Z127" s="297">
        <f t="shared" si="111"/>
        <v>0.28951299671347475</v>
      </c>
      <c r="AA127" s="297">
        <f t="shared" si="111"/>
        <v>0.72479418007729257</v>
      </c>
      <c r="AB127" s="296">
        <v>0.75</v>
      </c>
      <c r="AC127" s="296">
        <v>0.81</v>
      </c>
      <c r="AD127" s="296">
        <v>0.82</v>
      </c>
    </row>
    <row r="128" spans="2:30" s="278" customFormat="1" ht="11.25" customHeight="1">
      <c r="C128" s="479" t="s">
        <v>403</v>
      </c>
      <c r="E128" s="480">
        <f>E135/E111</f>
        <v>0.80885063599664875</v>
      </c>
      <c r="F128" s="480">
        <f>F135/F111</f>
        <v>0.86019934462042591</v>
      </c>
      <c r="G128" s="480">
        <f t="shared" ref="G128:Q128" si="115">G135/G111</f>
        <v>0.86084767435665188</v>
      </c>
      <c r="H128" s="480">
        <f t="shared" si="115"/>
        <v>0.82537515132745831</v>
      </c>
      <c r="I128" s="480">
        <f t="shared" si="115"/>
        <v>0.70939315369720035</v>
      </c>
      <c r="J128" s="480">
        <f t="shared" si="115"/>
        <v>0.33136226709806982</v>
      </c>
      <c r="K128" s="480">
        <f t="shared" si="115"/>
        <v>0.47780479020349353</v>
      </c>
      <c r="L128" s="480">
        <f t="shared" si="115"/>
        <v>0.55622169365612073</v>
      </c>
      <c r="M128" s="480">
        <f t="shared" si="115"/>
        <v>0.56792887718142904</v>
      </c>
      <c r="N128" s="480">
        <f t="shared" si="115"/>
        <v>0.7198142024083003</v>
      </c>
      <c r="O128" s="480">
        <f t="shared" si="115"/>
        <v>0.7614408195078497</v>
      </c>
      <c r="P128" s="480">
        <f t="shared" si="115"/>
        <v>0.76960685943628571</v>
      </c>
      <c r="Q128" s="480">
        <f t="shared" si="115"/>
        <v>0.72551817362571347</v>
      </c>
      <c r="R128" s="480">
        <f>R135/R111</f>
        <v>0.83061467309972759</v>
      </c>
      <c r="S128" s="480">
        <f>S135/S111</f>
        <v>0.86240607806269687</v>
      </c>
      <c r="T128" s="480">
        <f>T135/T111</f>
        <v>0.828495354088856</v>
      </c>
      <c r="U128" s="441"/>
      <c r="V128" s="480">
        <f t="shared" si="111"/>
        <v>0.83613080754929747</v>
      </c>
      <c r="W128" s="480">
        <f t="shared" si="111"/>
        <v>0.82420769845632769</v>
      </c>
      <c r="X128" s="480">
        <f t="shared" si="111"/>
        <v>0.86149459248584048</v>
      </c>
      <c r="Y128" s="480">
        <f t="shared" si="111"/>
        <v>0.60163349728021898</v>
      </c>
      <c r="Z128" s="480">
        <f t="shared" si="111"/>
        <v>0.7218273600322358</v>
      </c>
      <c r="AA128" s="480">
        <f t="shared" si="111"/>
        <v>0.81660090219561665</v>
      </c>
      <c r="AB128" s="480">
        <f>AB135/AB111</f>
        <v>0.83733153775180968</v>
      </c>
      <c r="AC128" s="480">
        <f>AC135/AC111</f>
        <v>0.86373203755976269</v>
      </c>
      <c r="AD128" s="480">
        <f>AD135/AD111</f>
        <v>0.87222916282818597</v>
      </c>
    </row>
    <row r="129" spans="2:30" ht="11.25" customHeight="1">
      <c r="C129" s="289"/>
      <c r="U129" s="255"/>
    </row>
    <row r="130" spans="2:30" ht="11.25" customHeight="1">
      <c r="C130" s="397" t="s">
        <v>391</v>
      </c>
      <c r="Q130" s="277"/>
      <c r="U130" s="255"/>
    </row>
    <row r="131" spans="2:30" ht="11.25" customHeight="1">
      <c r="C131" s="381" t="s">
        <v>357</v>
      </c>
      <c r="E131" s="254">
        <f>E135-SUM(E133:E134)</f>
        <v>36.506304066155792</v>
      </c>
      <c r="F131" s="254">
        <f>F135-SUM(F132:F134)</f>
        <v>36.310088774790586</v>
      </c>
      <c r="G131" s="277">
        <v>36.94</v>
      </c>
      <c r="H131" s="277">
        <v>34.051000000000002</v>
      </c>
      <c r="I131" s="277">
        <v>25.507999999999999</v>
      </c>
      <c r="J131" s="277">
        <v>2.2829999999999999</v>
      </c>
      <c r="K131" s="277">
        <v>8.0429999999999993</v>
      </c>
      <c r="L131" s="277">
        <v>12.417</v>
      </c>
      <c r="M131" s="277">
        <v>12.29</v>
      </c>
      <c r="N131" s="277">
        <v>20.587</v>
      </c>
      <c r="O131" s="277">
        <v>28.286999999999999</v>
      </c>
      <c r="P131" s="277">
        <v>29.024999999999999</v>
      </c>
      <c r="Q131" s="277">
        <v>25.78</v>
      </c>
      <c r="R131" s="255">
        <f t="shared" ref="R131:T134" si="116">R124*R107</f>
        <v>35.248629102538487</v>
      </c>
      <c r="S131" s="255">
        <f t="shared" si="116"/>
        <v>37.309399999999997</v>
      </c>
      <c r="T131" s="255">
        <f t="shared" si="116"/>
        <v>34.391510000000004</v>
      </c>
      <c r="U131" s="255"/>
      <c r="V131" s="277">
        <v>132.954893</v>
      </c>
      <c r="W131" s="277">
        <v>124.26750199999999</v>
      </c>
      <c r="X131" s="255">
        <f t="shared" ref="X131:AA134" si="117">SUMIF($E$5:$T$5,X$5,$E131:$T131)</f>
        <v>143.80739284094636</v>
      </c>
      <c r="Y131" s="255">
        <f t="shared" si="117"/>
        <v>48.251000000000005</v>
      </c>
      <c r="Z131" s="255">
        <f t="shared" si="117"/>
        <v>90.188999999999993</v>
      </c>
      <c r="AA131" s="255">
        <f t="shared" si="117"/>
        <v>132.7295391025385</v>
      </c>
      <c r="AB131" s="255">
        <f t="shared" ref="AB131:AD134" si="118">AB124*AB107</f>
        <v>152.77143200000003</v>
      </c>
      <c r="AC131" s="255">
        <f t="shared" si="118"/>
        <v>161.69386500000002</v>
      </c>
      <c r="AD131" s="255">
        <f t="shared" si="118"/>
        <v>162.78393600000004</v>
      </c>
    </row>
    <row r="132" spans="2:30" ht="11.25" customHeight="1">
      <c r="C132" s="381" t="s">
        <v>360</v>
      </c>
      <c r="E132" s="255">
        <f t="shared" ref="E132:F134" si="119">E108*E125</f>
        <v>6.1650973638720821</v>
      </c>
      <c r="F132" s="255">
        <f t="shared" si="119"/>
        <v>5.9066876930022572</v>
      </c>
      <c r="G132" s="277">
        <v>5.4349999999999996</v>
      </c>
      <c r="H132" s="277">
        <v>5.556</v>
      </c>
      <c r="I132" s="277">
        <v>5.2169999999999996</v>
      </c>
      <c r="J132" s="277">
        <v>0.192</v>
      </c>
      <c r="K132" s="277">
        <v>0.85399999999999998</v>
      </c>
      <c r="L132" s="277">
        <v>2.331</v>
      </c>
      <c r="M132" s="277">
        <v>2.5470000000000002</v>
      </c>
      <c r="N132" s="277">
        <v>4.5129999999999999</v>
      </c>
      <c r="O132" s="277">
        <v>5.2229999999999999</v>
      </c>
      <c r="P132" s="277">
        <v>5.5579999999999998</v>
      </c>
      <c r="Q132" s="277">
        <v>5.6859999999999999</v>
      </c>
      <c r="R132" s="255">
        <f t="shared" si="116"/>
        <v>6.1754742353724605</v>
      </c>
      <c r="S132" s="255">
        <f t="shared" si="116"/>
        <v>5.7067500000000004</v>
      </c>
      <c r="T132" s="255">
        <f t="shared" si="116"/>
        <v>5.8338000000000001</v>
      </c>
      <c r="U132" s="255"/>
      <c r="V132" s="277">
        <v>22.175021000000001</v>
      </c>
      <c r="W132" s="277">
        <v>21.881564999999998</v>
      </c>
      <c r="X132" s="255">
        <f>SUMIF($E$5:$T$5,X$5,$E132:$T132)</f>
        <v>23.06278505687434</v>
      </c>
      <c r="Y132" s="255">
        <f>SUMIF($E$5:$T$5,Y$5,$E132:$T132)</f>
        <v>8.5939999999999994</v>
      </c>
      <c r="Z132" s="255">
        <f>SUMIF($E$5:$T$5,Z$5,$E132:$T132)</f>
        <v>17.841000000000001</v>
      </c>
      <c r="AA132" s="255">
        <f>SUMIF($E$5:$T$5,AA$5,$E132:$T132)</f>
        <v>23.402024235372462</v>
      </c>
      <c r="AB132" s="255">
        <f t="shared" si="118"/>
        <v>24.622101000000001</v>
      </c>
      <c r="AC132" s="255">
        <f t="shared" si="118"/>
        <v>25.494645000000002</v>
      </c>
      <c r="AD132" s="255">
        <f t="shared" si="118"/>
        <v>24.335797500000002</v>
      </c>
    </row>
    <row r="133" spans="2:30" ht="11.25" customHeight="1">
      <c r="C133" s="381" t="s">
        <v>358</v>
      </c>
      <c r="E133" s="255">
        <f t="shared" si="119"/>
        <v>7.9137562006819282</v>
      </c>
      <c r="F133" s="255">
        <f t="shared" si="119"/>
        <v>11.902629567921441</v>
      </c>
      <c r="G133" s="277">
        <v>13.215999999999999</v>
      </c>
      <c r="H133" s="277">
        <v>10.372999999999999</v>
      </c>
      <c r="I133" s="277">
        <v>7.0289999999999999</v>
      </c>
      <c r="J133" s="277">
        <v>0.32300000000000001</v>
      </c>
      <c r="K133" s="277">
        <v>1.3049999999999999</v>
      </c>
      <c r="L133" s="277">
        <v>1.877</v>
      </c>
      <c r="M133" s="277">
        <v>2.0310000000000001</v>
      </c>
      <c r="N133" s="277">
        <v>2.827</v>
      </c>
      <c r="O133" s="277">
        <v>6.601</v>
      </c>
      <c r="P133" s="277">
        <v>6.5830000000000002</v>
      </c>
      <c r="Q133" s="277">
        <v>5.9370000000000003</v>
      </c>
      <c r="R133" s="255">
        <f t="shared" si="116"/>
        <v>8.5564796759410786</v>
      </c>
      <c r="S133" s="255">
        <f t="shared" si="116"/>
        <v>11.233599999999999</v>
      </c>
      <c r="T133" s="255">
        <f t="shared" si="116"/>
        <v>9.3356999999999992</v>
      </c>
      <c r="U133" s="255"/>
      <c r="V133" s="277">
        <v>40.610724000000005</v>
      </c>
      <c r="W133" s="277">
        <v>36.220794999999995</v>
      </c>
      <c r="X133" s="255">
        <f t="shared" si="117"/>
        <v>43.405385768603367</v>
      </c>
      <c r="Y133" s="255">
        <f t="shared" si="117"/>
        <v>10.534000000000001</v>
      </c>
      <c r="Z133" s="255">
        <f t="shared" si="117"/>
        <v>18.042000000000002</v>
      </c>
      <c r="AA133" s="255">
        <f t="shared" si="117"/>
        <v>35.062779675941073</v>
      </c>
      <c r="AB133" s="255">
        <f t="shared" si="118"/>
        <v>40.981631999999998</v>
      </c>
      <c r="AC133" s="255">
        <f t="shared" si="118"/>
        <v>42.1113888</v>
      </c>
      <c r="AD133" s="255">
        <f t="shared" si="118"/>
        <v>43.664639999999999</v>
      </c>
    </row>
    <row r="134" spans="2:30" ht="11.25" customHeight="1">
      <c r="C134" s="381" t="s">
        <v>359</v>
      </c>
      <c r="E134" s="255">
        <f t="shared" si="119"/>
        <v>8.676939733162282</v>
      </c>
      <c r="F134" s="255">
        <f t="shared" si="119"/>
        <v>8.8815939642857149</v>
      </c>
      <c r="G134" s="277">
        <v>9.0380000000000003</v>
      </c>
      <c r="H134" s="277">
        <v>8.6530000000000005</v>
      </c>
      <c r="I134" s="277">
        <v>5.4749999999999996</v>
      </c>
      <c r="J134" s="277">
        <v>0.17199999999999999</v>
      </c>
      <c r="K134" s="277">
        <v>0.41099999999999998</v>
      </c>
      <c r="L134" s="277">
        <v>0.44600000000000001</v>
      </c>
      <c r="M134" s="277">
        <v>0.38</v>
      </c>
      <c r="N134" s="277">
        <v>0.58699999999999997</v>
      </c>
      <c r="O134" s="277">
        <v>0.92</v>
      </c>
      <c r="P134" s="277">
        <v>1.02</v>
      </c>
      <c r="Q134" s="277">
        <v>1.2410000000000001</v>
      </c>
      <c r="R134" s="255">
        <f t="shared" si="116"/>
        <v>2.9768336375</v>
      </c>
      <c r="S134" s="255">
        <f t="shared" si="116"/>
        <v>5.4227999999999996</v>
      </c>
      <c r="T134" s="255">
        <f t="shared" si="116"/>
        <v>5.3648600000000002</v>
      </c>
      <c r="U134" s="255"/>
      <c r="V134" s="277">
        <v>34.414147</v>
      </c>
      <c r="W134" s="277">
        <v>33.890639</v>
      </c>
      <c r="X134" s="255">
        <f t="shared" si="117"/>
        <v>35.249533697448001</v>
      </c>
      <c r="Y134" s="255">
        <f t="shared" si="117"/>
        <v>6.5039999999999987</v>
      </c>
      <c r="Z134" s="255">
        <f t="shared" si="117"/>
        <v>2.907</v>
      </c>
      <c r="AA134" s="255">
        <f t="shared" si="117"/>
        <v>15.005493637499999</v>
      </c>
      <c r="AB134" s="255">
        <f t="shared" si="118"/>
        <v>27.815400000000004</v>
      </c>
      <c r="AC134" s="255">
        <f t="shared" si="118"/>
        <v>32.691276000000009</v>
      </c>
      <c r="AD134" s="255">
        <f t="shared" si="118"/>
        <v>33.989328</v>
      </c>
    </row>
    <row r="135" spans="2:30" ht="11.25" customHeight="1">
      <c r="C135" s="289" t="s">
        <v>361</v>
      </c>
      <c r="E135" s="382">
        <v>53.097000000000001</v>
      </c>
      <c r="F135" s="382">
        <v>63.000999999999998</v>
      </c>
      <c r="G135" s="358">
        <f t="shared" ref="G135:T135" si="120">SUM(G131:G134)</f>
        <v>64.629000000000005</v>
      </c>
      <c r="H135" s="358">
        <f t="shared" si="120"/>
        <v>58.632999999999996</v>
      </c>
      <c r="I135" s="358">
        <f t="shared" si="120"/>
        <v>43.228999999999999</v>
      </c>
      <c r="J135" s="358">
        <f t="shared" si="120"/>
        <v>2.97</v>
      </c>
      <c r="K135" s="358">
        <f t="shared" si="120"/>
        <v>10.612999999999998</v>
      </c>
      <c r="L135" s="358">
        <f t="shared" si="120"/>
        <v>17.071000000000002</v>
      </c>
      <c r="M135" s="358">
        <f t="shared" si="120"/>
        <v>17.247999999999998</v>
      </c>
      <c r="N135" s="358">
        <f t="shared" si="120"/>
        <v>28.513999999999999</v>
      </c>
      <c r="O135" s="358">
        <f t="shared" si="120"/>
        <v>41.030999999999999</v>
      </c>
      <c r="P135" s="358">
        <f t="shared" si="120"/>
        <v>42.186</v>
      </c>
      <c r="Q135" s="358">
        <f t="shared" si="120"/>
        <v>38.643999999999998</v>
      </c>
      <c r="R135" s="358">
        <f t="shared" si="120"/>
        <v>52.957416651352027</v>
      </c>
      <c r="S135" s="358">
        <f t="shared" si="120"/>
        <v>59.672549999999994</v>
      </c>
      <c r="T135" s="358">
        <f t="shared" si="120"/>
        <v>54.92587000000001</v>
      </c>
      <c r="U135" s="255"/>
      <c r="V135" s="358">
        <f t="shared" ref="V135:AD135" si="121">SUM(V131:V134)</f>
        <v>230.154785</v>
      </c>
      <c r="W135" s="358">
        <f t="shared" si="121"/>
        <v>216.260501</v>
      </c>
      <c r="X135" s="358">
        <f t="shared" si="121"/>
        <v>245.52509736387208</v>
      </c>
      <c r="Y135" s="358">
        <f t="shared" si="121"/>
        <v>73.88300000000001</v>
      </c>
      <c r="Z135" s="358">
        <f t="shared" si="121"/>
        <v>128.97900000000001</v>
      </c>
      <c r="AA135" s="358">
        <f t="shared" si="121"/>
        <v>206.19983665135203</v>
      </c>
      <c r="AB135" s="358">
        <f t="shared" si="121"/>
        <v>246.19056500000005</v>
      </c>
      <c r="AC135" s="358">
        <f t="shared" si="121"/>
        <v>261.99117480000001</v>
      </c>
      <c r="AD135" s="358">
        <f t="shared" si="121"/>
        <v>264.77370150000002</v>
      </c>
    </row>
    <row r="136" spans="2:30" ht="11.25" customHeight="1">
      <c r="C136" s="289"/>
      <c r="J136" s="257"/>
      <c r="U136" s="255"/>
    </row>
    <row r="137" spans="2:30" ht="11.25" customHeight="1">
      <c r="B137" s="604"/>
      <c r="C137" s="605" t="s">
        <v>554</v>
      </c>
      <c r="D137" s="604"/>
      <c r="E137" s="606">
        <f>SUMIF(Info!$X$8:$X$67,E$6,Info!$AD$8:$AD$67)</f>
        <v>238.94167999999999</v>
      </c>
      <c r="F137" s="606">
        <f>SUMIF(Info!$X$8:$X$67,F$6,Info!$AD$8:$AD$67)</f>
        <v>277.934909</v>
      </c>
      <c r="G137" s="606">
        <f>SUMIF(Info!$X$8:$X$67,G$6,Info!$AD$8:$AD$67)</f>
        <v>284.52064000000001</v>
      </c>
      <c r="H137" s="606">
        <f>SUMIF(Info!$X$8:$X$67,H$6,Info!$AD$8:$AD$67)</f>
        <v>259.60790700000001</v>
      </c>
      <c r="I137" s="606">
        <f>SUMIF(Info!$X$8:$X$67,I$6,Info!$AD$8:$AD$67)</f>
        <v>199.14042099999998</v>
      </c>
      <c r="J137" s="606">
        <f>SUMIF(Info!$X$8:$X$67,J$6,Info!$AD$8:$AD$67)</f>
        <v>25.597928</v>
      </c>
      <c r="K137" s="606">
        <f>SUMIF(Info!$X$8:$X$67,K$6,Info!$AD$8:$AD$67)</f>
        <v>69.709285999999992</v>
      </c>
      <c r="L137" s="606">
        <f>SUMIF(Info!$X$8:$X$67,L$6,Info!$AD$8:$AD$67)</f>
        <v>87.647578999999993</v>
      </c>
      <c r="M137" s="606">
        <f>SUMIF(Info!$X$8:$X$67,M$6,Info!$AD$8:$AD$67)</f>
        <v>108.73558800000001</v>
      </c>
      <c r="N137" s="606">
        <f>SUMIF(Info!$X$8:$X$67,N$6,Info!$AD$8:$AD$67)</f>
        <v>175.22572700000001</v>
      </c>
      <c r="O137" s="606">
        <f>SUMIF(Info!$X$8:$X$67,O$6,Info!$AD$8:$AD$67)</f>
        <v>211.78058999999999</v>
      </c>
      <c r="P137" s="606">
        <f>SUMIF(Info!$X$8:$X$67,P$6,Info!$AD$8:$AD$67)</f>
        <v>207.97623599999997</v>
      </c>
      <c r="Q137" s="607"/>
      <c r="R137" s="607"/>
      <c r="S137" s="607"/>
      <c r="T137" s="607"/>
      <c r="U137" s="255"/>
      <c r="V137" s="606">
        <f>SUMIF(Info!$X$8:$X$67,V$6,Info!$AE$8:$AE$67)</f>
        <v>969.90383900000006</v>
      </c>
      <c r="W137" s="606">
        <f>SUMIF(Info!$X$8:$X$67,W$6,Info!$AE$8:$AE$67)</f>
        <v>1016.9936430000001</v>
      </c>
      <c r="X137" s="606">
        <f>SUMIF(Info!$X$8:$X$67,X$6,Info!$AE$8:$AE$67)</f>
        <v>1061.0051359999998</v>
      </c>
      <c r="Y137" s="606">
        <f>SUMIF(Info!$X$8:$X$67,Y$6,Info!$AE$8:$AE$67)</f>
        <v>382.095214</v>
      </c>
      <c r="Z137" s="606">
        <f>SUMIF(Info!$X$8:$X$67,Z$6,Info!$AE$8:$AE$67)</f>
        <v>703.71814100000006</v>
      </c>
      <c r="AA137" s="607"/>
      <c r="AB137" s="607"/>
      <c r="AC137" s="607"/>
      <c r="AD137" s="607"/>
    </row>
    <row r="138" spans="2:30" s="278" customFormat="1" ht="11.25" customHeight="1">
      <c r="B138" s="608"/>
      <c r="C138" s="609" t="s">
        <v>550</v>
      </c>
      <c r="D138" s="608"/>
      <c r="E138" s="610">
        <f t="shared" ref="E138:P138" si="122">E135/E137</f>
        <v>0.22221740468218021</v>
      </c>
      <c r="F138" s="610">
        <f t="shared" si="122"/>
        <v>0.2266753759960394</v>
      </c>
      <c r="G138" s="610">
        <f t="shared" si="122"/>
        <v>0.22715048019011908</v>
      </c>
      <c r="H138" s="610">
        <f t="shared" si="122"/>
        <v>0.22585213477338342</v>
      </c>
      <c r="I138" s="610">
        <f t="shared" si="122"/>
        <v>0.2170779783577941</v>
      </c>
      <c r="J138" s="610">
        <f t="shared" si="122"/>
        <v>0.11602501577471427</v>
      </c>
      <c r="K138" s="610">
        <f t="shared" si="122"/>
        <v>0.15224657443772985</v>
      </c>
      <c r="L138" s="610">
        <f t="shared" si="122"/>
        <v>0.19476864272543115</v>
      </c>
      <c r="M138" s="610">
        <f t="shared" si="122"/>
        <v>0.15862332026934914</v>
      </c>
      <c r="N138" s="610">
        <f t="shared" si="122"/>
        <v>0.16272724609668759</v>
      </c>
      <c r="O138" s="610">
        <f t="shared" si="122"/>
        <v>0.19374296766290056</v>
      </c>
      <c r="P138" s="610">
        <f t="shared" si="122"/>
        <v>0.20284048221740106</v>
      </c>
      <c r="Q138" s="611"/>
      <c r="R138" s="611"/>
      <c r="S138" s="611"/>
      <c r="T138" s="611"/>
      <c r="U138" s="441"/>
      <c r="V138" s="610">
        <f>V135/V137</f>
        <v>0.23729649862742733</v>
      </c>
      <c r="W138" s="610">
        <f>W135/W137</f>
        <v>0.21264685623998533</v>
      </c>
      <c r="X138" s="610">
        <f>X135/X137</f>
        <v>0.23140801965342431</v>
      </c>
      <c r="Y138" s="610">
        <f>Y135/Y137</f>
        <v>0.19336279883369598</v>
      </c>
      <c r="Z138" s="610">
        <f>Z135/Z137</f>
        <v>0.18328218712213076</v>
      </c>
      <c r="AA138" s="611"/>
      <c r="AB138" s="611"/>
      <c r="AC138" s="611"/>
      <c r="AD138" s="611"/>
    </row>
    <row r="139" spans="2:30" ht="11.25" customHeight="1">
      <c r="C139" s="389"/>
      <c r="E139" s="283"/>
      <c r="F139" s="283"/>
      <c r="G139" s="283"/>
      <c r="H139" s="283"/>
      <c r="I139" s="283"/>
      <c r="J139" s="283"/>
      <c r="K139" s="283"/>
      <c r="L139" s="283"/>
      <c r="M139" s="283"/>
      <c r="N139" s="283"/>
      <c r="O139" s="283"/>
      <c r="P139" s="283"/>
      <c r="Q139" s="283"/>
      <c r="R139" s="283"/>
      <c r="S139" s="283"/>
      <c r="T139" s="283"/>
      <c r="U139" s="255"/>
      <c r="V139" s="283"/>
      <c r="W139" s="283"/>
      <c r="X139" s="283"/>
      <c r="Y139" s="283"/>
      <c r="Z139" s="283"/>
      <c r="AA139" s="283"/>
      <c r="AB139" s="283"/>
      <c r="AC139" s="283"/>
      <c r="AD139" s="283"/>
    </row>
    <row r="140" spans="2:30" ht="11.25" customHeight="1">
      <c r="B140" s="253" t="s">
        <v>133</v>
      </c>
      <c r="C140" s="397" t="s">
        <v>404</v>
      </c>
      <c r="U140" s="255"/>
    </row>
    <row r="141" spans="2:30" ht="11.25" customHeight="1">
      <c r="C141" s="380" t="str">
        <f>C80</f>
        <v xml:space="preserve">  Domestic</v>
      </c>
      <c r="E141" s="494">
        <f t="shared" ref="E141:Q141" si="123">E80/E131/10</f>
        <v>14.701570419930922</v>
      </c>
      <c r="F141" s="494">
        <f t="shared" si="123"/>
        <v>18.03080141336768</v>
      </c>
      <c r="G141" s="494">
        <f t="shared" si="123"/>
        <v>17.742284786139685</v>
      </c>
      <c r="H141" s="494">
        <f t="shared" si="123"/>
        <v>18.613256585709671</v>
      </c>
      <c r="I141" s="494">
        <f t="shared" si="123"/>
        <v>17.657205582562334</v>
      </c>
      <c r="J141" s="494">
        <f t="shared" si="123"/>
        <v>23.740692071835305</v>
      </c>
      <c r="K141" s="494">
        <f t="shared" si="123"/>
        <v>15.491731940818104</v>
      </c>
      <c r="L141" s="494">
        <f t="shared" si="123"/>
        <v>14.472094708866877</v>
      </c>
      <c r="M141" s="494">
        <f t="shared" si="123"/>
        <v>13.930024410089505</v>
      </c>
      <c r="N141" s="494">
        <f t="shared" si="123"/>
        <v>15.97124398892505</v>
      </c>
      <c r="O141" s="494">
        <f t="shared" si="123"/>
        <v>17.128009332909109</v>
      </c>
      <c r="P141" s="494">
        <f t="shared" si="123"/>
        <v>17.126614987080103</v>
      </c>
      <c r="Q141" s="494">
        <f t="shared" si="123"/>
        <v>17.494181536074475</v>
      </c>
      <c r="R141" s="494">
        <f t="shared" ref="R141:T144" si="124">(R148+1)*F141</f>
        <v>20.645267618305994</v>
      </c>
      <c r="S141" s="494">
        <f t="shared" si="124"/>
        <v>19.339090416892258</v>
      </c>
      <c r="T141" s="494">
        <f t="shared" si="124"/>
        <v>20.47458224428064</v>
      </c>
      <c r="U141" s="255"/>
      <c r="V141" s="494">
        <f t="shared" ref="V141:AA145" si="125">V80/V131/10</f>
        <v>17.384843444610947</v>
      </c>
      <c r="W141" s="494">
        <f t="shared" si="125"/>
        <v>20.562093539145899</v>
      </c>
      <c r="X141" s="494">
        <f t="shared" si="125"/>
        <v>17.249460900411357</v>
      </c>
      <c r="Y141" s="494">
        <f t="shared" si="125"/>
        <v>16.764419390271705</v>
      </c>
      <c r="Z141" s="494">
        <f t="shared" si="125"/>
        <v>16.427724001818405</v>
      </c>
      <c r="AA141" s="494">
        <f t="shared" si="125"/>
        <v>19.621849503962501</v>
      </c>
      <c r="AB141" s="494">
        <f t="shared" ref="AB141:AD144" si="126">(AB148+1)*$X141</f>
        <v>18.801912381448382</v>
      </c>
      <c r="AC141" s="494">
        <f t="shared" si="126"/>
        <v>18.801912381448382</v>
      </c>
      <c r="AD141" s="494">
        <f t="shared" si="126"/>
        <v>18.974406990452493</v>
      </c>
    </row>
    <row r="142" spans="2:30" ht="11.25" customHeight="1">
      <c r="C142" s="380" t="str">
        <f>C81</f>
        <v xml:space="preserve">  Latin America</v>
      </c>
      <c r="E142" s="494">
        <f t="shared" ref="E142:Q142" si="127">E81/E132/10</f>
        <v>14.695631658783293</v>
      </c>
      <c r="F142" s="494">
        <f t="shared" si="127"/>
        <v>14.847576942979316</v>
      </c>
      <c r="G142" s="494">
        <f t="shared" si="127"/>
        <v>15.510579576816928</v>
      </c>
      <c r="H142" s="494">
        <f t="shared" si="127"/>
        <v>16.036717062634988</v>
      </c>
      <c r="I142" s="494">
        <f t="shared" si="127"/>
        <v>15.334483419589805</v>
      </c>
      <c r="J142" s="494">
        <f t="shared" si="127"/>
        <v>25</v>
      </c>
      <c r="K142" s="494">
        <f t="shared" si="127"/>
        <v>14.519906323185012</v>
      </c>
      <c r="L142" s="494">
        <f t="shared" si="127"/>
        <v>13.470613470613472</v>
      </c>
      <c r="M142" s="494">
        <f t="shared" si="127"/>
        <v>12.131919905771495</v>
      </c>
      <c r="N142" s="494">
        <f t="shared" si="127"/>
        <v>13.804564591181034</v>
      </c>
      <c r="O142" s="494">
        <f t="shared" si="127"/>
        <v>14.225540876890676</v>
      </c>
      <c r="P142" s="494">
        <f t="shared" si="127"/>
        <v>14.177761784814683</v>
      </c>
      <c r="Q142" s="494">
        <f t="shared" si="127"/>
        <v>14.069644741470279</v>
      </c>
      <c r="R142" s="494">
        <f t="shared" si="124"/>
        <v>15.589955790128283</v>
      </c>
      <c r="S142" s="494">
        <f t="shared" si="124"/>
        <v>16.286108555657776</v>
      </c>
      <c r="T142" s="494">
        <f t="shared" si="124"/>
        <v>16.838552915766737</v>
      </c>
      <c r="U142" s="255"/>
      <c r="V142" s="494">
        <f t="shared" si="125"/>
        <v>15.404720473545435</v>
      </c>
      <c r="W142" s="494">
        <f t="shared" si="125"/>
        <v>15.812397330812491</v>
      </c>
      <c r="X142" s="494">
        <f t="shared" si="125"/>
        <v>15.249676009757049</v>
      </c>
      <c r="Y142" s="494">
        <f t="shared" si="125"/>
        <v>14.963928322085177</v>
      </c>
      <c r="Z142" s="494">
        <f t="shared" si="125"/>
        <v>13.805279973095676</v>
      </c>
      <c r="AA142" s="494">
        <f t="shared" si="125"/>
        <v>15.701584897819618</v>
      </c>
      <c r="AB142" s="494">
        <f t="shared" si="126"/>
        <v>16.012159810244903</v>
      </c>
      <c r="AC142" s="494">
        <f t="shared" si="126"/>
        <v>16.012159810244903</v>
      </c>
      <c r="AD142" s="494">
        <f t="shared" si="126"/>
        <v>16.012159810244903</v>
      </c>
    </row>
    <row r="143" spans="2:30" ht="11.25" customHeight="1">
      <c r="C143" s="380" t="str">
        <f>C82</f>
        <v xml:space="preserve">  Atlantic</v>
      </c>
      <c r="E143" s="494">
        <f t="shared" ref="E143:Q143" si="128">E82/E133/10</f>
        <v>16.818814811167773</v>
      </c>
      <c r="F143" s="494">
        <f t="shared" si="128"/>
        <v>16.18969983904584</v>
      </c>
      <c r="G143" s="494">
        <f t="shared" si="128"/>
        <v>14.853208232445521</v>
      </c>
      <c r="H143" s="494">
        <f t="shared" si="128"/>
        <v>15.578906777210065</v>
      </c>
      <c r="I143" s="494">
        <f t="shared" si="128"/>
        <v>15.265329349836392</v>
      </c>
      <c r="J143" s="494">
        <f t="shared" si="128"/>
        <v>17.647058823529413</v>
      </c>
      <c r="K143" s="494">
        <f t="shared" si="128"/>
        <v>13.946360153256705</v>
      </c>
      <c r="L143" s="494">
        <f t="shared" si="128"/>
        <v>10.602024507192329</v>
      </c>
      <c r="M143" s="494">
        <f t="shared" si="128"/>
        <v>10.142786804529788</v>
      </c>
      <c r="N143" s="494">
        <f t="shared" si="128"/>
        <v>11.425539441103643</v>
      </c>
      <c r="O143" s="494">
        <f t="shared" si="128"/>
        <v>12.725344644750795</v>
      </c>
      <c r="P143" s="494">
        <f t="shared" si="128"/>
        <v>14.233632082637095</v>
      </c>
      <c r="Q143" s="494">
        <f t="shared" si="128"/>
        <v>13.660097692437256</v>
      </c>
      <c r="R143" s="494">
        <f t="shared" si="124"/>
        <v>15.380214847093548</v>
      </c>
      <c r="S143" s="494">
        <f t="shared" si="124"/>
        <v>14.110547820823244</v>
      </c>
      <c r="T143" s="494">
        <f t="shared" si="124"/>
        <v>14.799961438349561</v>
      </c>
      <c r="U143" s="255"/>
      <c r="V143" s="494">
        <f t="shared" si="125"/>
        <v>15.611639920529365</v>
      </c>
      <c r="W143" s="494">
        <f t="shared" si="125"/>
        <v>19.61028188365275</v>
      </c>
      <c r="X143" s="494">
        <f t="shared" si="125"/>
        <v>15.75150152206559</v>
      </c>
      <c r="Y143" s="494">
        <f t="shared" si="125"/>
        <v>14.344028858932978</v>
      </c>
      <c r="Z143" s="494">
        <f t="shared" si="125"/>
        <v>12.781288105531535</v>
      </c>
      <c r="AA143" s="494">
        <f t="shared" si="125"/>
        <v>14.527677225211082</v>
      </c>
      <c r="AB143" s="494">
        <f t="shared" si="126"/>
        <v>15.75150152206559</v>
      </c>
      <c r="AC143" s="494">
        <f t="shared" si="126"/>
        <v>16.066531552506902</v>
      </c>
      <c r="AD143" s="494">
        <f t="shared" si="126"/>
        <v>15.987774044896572</v>
      </c>
    </row>
    <row r="144" spans="2:30" ht="11.25" customHeight="1">
      <c r="C144" s="380" t="str">
        <f>C83</f>
        <v xml:space="preserve">  Pacific</v>
      </c>
      <c r="E144" s="494">
        <f t="shared" ref="E144:Q144" si="129">E83/E134/10</f>
        <v>12.919301441217403</v>
      </c>
      <c r="F144" s="494">
        <f t="shared" si="129"/>
        <v>12.779237652205374</v>
      </c>
      <c r="G144" s="494">
        <f t="shared" si="129"/>
        <v>12.403186545695949</v>
      </c>
      <c r="H144" s="494">
        <f t="shared" si="129"/>
        <v>12.573673870333987</v>
      </c>
      <c r="I144" s="494">
        <f t="shared" si="129"/>
        <v>12.566210045662102</v>
      </c>
      <c r="J144" s="494">
        <f t="shared" si="129"/>
        <v>19.767441860465119</v>
      </c>
      <c r="K144" s="494">
        <f t="shared" si="129"/>
        <v>23.600973236009732</v>
      </c>
      <c r="L144" s="494">
        <f t="shared" si="129"/>
        <v>22.421524663677129</v>
      </c>
      <c r="M144" s="494">
        <f t="shared" si="129"/>
        <v>23.421052631578949</v>
      </c>
      <c r="N144" s="494">
        <f t="shared" si="129"/>
        <v>22.487223168654175</v>
      </c>
      <c r="O144" s="494">
        <f t="shared" si="129"/>
        <v>22.717391304347824</v>
      </c>
      <c r="P144" s="494">
        <f t="shared" si="129"/>
        <v>17.843137254901961</v>
      </c>
      <c r="Q144" s="494">
        <f t="shared" si="129"/>
        <v>18.291700241740532</v>
      </c>
      <c r="R144" s="494">
        <f t="shared" si="124"/>
        <v>17.890932713087523</v>
      </c>
      <c r="S144" s="494">
        <f t="shared" si="124"/>
        <v>16.74430183668953</v>
      </c>
      <c r="T144" s="494">
        <f t="shared" si="124"/>
        <v>16.974459724950883</v>
      </c>
      <c r="U144" s="255"/>
      <c r="V144" s="494">
        <f t="shared" si="125"/>
        <v>14.279011477460127</v>
      </c>
      <c r="W144" s="494">
        <f t="shared" si="125"/>
        <v>15.308061910547039</v>
      </c>
      <c r="X144" s="494">
        <f t="shared" si="125"/>
        <v>12.666834229138349</v>
      </c>
      <c r="Y144" s="494">
        <f t="shared" si="125"/>
        <v>14.129766297662979</v>
      </c>
      <c r="Z144" s="494">
        <f t="shared" si="125"/>
        <v>21.052631578947366</v>
      </c>
      <c r="AA144" s="494">
        <f t="shared" si="125"/>
        <v>17.182035895323146</v>
      </c>
      <c r="AB144" s="494">
        <f t="shared" si="126"/>
        <v>14.946864390383251</v>
      </c>
      <c r="AC144" s="494">
        <f t="shared" si="126"/>
        <v>14.566859363509099</v>
      </c>
      <c r="AD144" s="494">
        <f t="shared" si="126"/>
        <v>13.933517652052185</v>
      </c>
    </row>
    <row r="145" spans="3:30" ht="11.25" customHeight="1">
      <c r="C145" s="398" t="s">
        <v>405</v>
      </c>
      <c r="E145" s="495">
        <f t="shared" ref="E145:Q145" si="130">E84/E135/10</f>
        <v>16.432190142569262</v>
      </c>
      <c r="F145" s="495">
        <f t="shared" si="130"/>
        <v>16.644180251107123</v>
      </c>
      <c r="G145" s="495">
        <f t="shared" si="130"/>
        <v>16.217178047006762</v>
      </c>
      <c r="H145" s="495">
        <f t="shared" si="130"/>
        <v>16.940971807685095</v>
      </c>
      <c r="I145" s="495">
        <f t="shared" si="130"/>
        <v>16.343195540030997</v>
      </c>
      <c r="J145" s="495">
        <f t="shared" si="130"/>
        <v>22.929292929292927</v>
      </c>
      <c r="K145" s="495">
        <f t="shared" si="130"/>
        <v>15.537548289833229</v>
      </c>
      <c r="L145" s="495">
        <f t="shared" si="130"/>
        <v>14.117509226173041</v>
      </c>
      <c r="M145" s="495">
        <f t="shared" si="130"/>
        <v>13.427643784786644</v>
      </c>
      <c r="N145" s="495">
        <f t="shared" si="130"/>
        <v>15.31177667110893</v>
      </c>
      <c r="O145" s="495">
        <f t="shared" si="130"/>
        <v>16.175574565572372</v>
      </c>
      <c r="P145" s="495">
        <f t="shared" si="130"/>
        <v>16.303987104726687</v>
      </c>
      <c r="Q145" s="495">
        <f t="shared" si="130"/>
        <v>16.426870924334956</v>
      </c>
      <c r="R145" s="495">
        <f>R84/R135/10</f>
        <v>19.050241517859689</v>
      </c>
      <c r="S145" s="495">
        <f>S84/S135/10</f>
        <v>17.827021972414453</v>
      </c>
      <c r="T145" s="495">
        <f>T84/T135/10</f>
        <v>18.782008368734076</v>
      </c>
      <c r="U145" s="255"/>
      <c r="V145" s="495">
        <f t="shared" si="125"/>
        <v>14.972532506764958</v>
      </c>
      <c r="W145" s="495">
        <f t="shared" si="125"/>
        <v>17.43545392045494</v>
      </c>
      <c r="X145" s="495">
        <f t="shared" si="125"/>
        <v>16.138879660548561</v>
      </c>
      <c r="Y145" s="495">
        <f t="shared" si="125"/>
        <v>15.977965161133142</v>
      </c>
      <c r="Z145" s="495">
        <f t="shared" si="125"/>
        <v>15.659138309337177</v>
      </c>
      <c r="AA145" s="495">
        <f t="shared" si="125"/>
        <v>18.133154943727085</v>
      </c>
      <c r="AB145" s="495">
        <f>AB84/AB135/10</f>
        <v>17.579566241774494</v>
      </c>
      <c r="AC145" s="495">
        <f>AC84/AC135/10</f>
        <v>17.562314427905498</v>
      </c>
      <c r="AD145" s="495">
        <f>AD84/AD135/10</f>
        <v>17.562501884624194</v>
      </c>
    </row>
    <row r="146" spans="3:30" ht="11.25" customHeight="1">
      <c r="C146" s="289"/>
      <c r="K146" s="255"/>
      <c r="U146" s="255"/>
    </row>
    <row r="147" spans="3:30" s="278" customFormat="1" ht="11.25" customHeight="1">
      <c r="C147" s="481" t="s">
        <v>860</v>
      </c>
      <c r="U147" s="441"/>
    </row>
    <row r="148" spans="3:30" s="278" customFormat="1" ht="11.25" customHeight="1">
      <c r="C148" s="500" t="str">
        <f>C141</f>
        <v xml:space="preserve">  Domestic</v>
      </c>
      <c r="I148" s="297">
        <f t="shared" ref="I148:L152" si="131">(I141/E141)-1</f>
        <v>0.20104213891493217</v>
      </c>
      <c r="J148" s="297">
        <f t="shared" si="131"/>
        <v>0.31667425798580551</v>
      </c>
      <c r="K148" s="297">
        <f t="shared" si="131"/>
        <v>-0.12684684483701436</v>
      </c>
      <c r="L148" s="297">
        <f t="shared" si="131"/>
        <v>-0.22248454255029027</v>
      </c>
      <c r="M148" s="297">
        <f t="shared" ref="M148:P152" si="132">(M141/E141)-1</f>
        <v>-5.2480516557294576E-2</v>
      </c>
      <c r="N148" s="297">
        <f t="shared" si="132"/>
        <v>-0.11422439730913536</v>
      </c>
      <c r="O148" s="297">
        <f t="shared" si="132"/>
        <v>-3.4622116634631439E-2</v>
      </c>
      <c r="P148" s="297">
        <f t="shared" si="132"/>
        <v>-7.9870042718421241E-2</v>
      </c>
      <c r="Q148" s="297">
        <f>(Q141/E141)-1</f>
        <v>0.18995325236531246</v>
      </c>
      <c r="R148" s="296">
        <v>0.14499999999999999</v>
      </c>
      <c r="S148" s="296">
        <v>0.09</v>
      </c>
      <c r="T148" s="296">
        <v>0.1</v>
      </c>
      <c r="U148" s="441"/>
      <c r="X148" s="297">
        <f>X141/W141-1</f>
        <v>-0.16110385999499444</v>
      </c>
      <c r="Y148" s="297">
        <f t="shared" ref="Y148:AA152" si="133">Y141/$X141-1</f>
        <v>-2.8119227200201102E-2</v>
      </c>
      <c r="Z148" s="297">
        <f t="shared" si="133"/>
        <v>-4.7638410460315139E-2</v>
      </c>
      <c r="AA148" s="297">
        <f t="shared" si="133"/>
        <v>0.13753407235437543</v>
      </c>
      <c r="AB148" s="296">
        <v>0.09</v>
      </c>
      <c r="AC148" s="296">
        <v>0.09</v>
      </c>
      <c r="AD148" s="296">
        <v>0.1</v>
      </c>
    </row>
    <row r="149" spans="3:30" s="278" customFormat="1" ht="11.25" customHeight="1">
      <c r="C149" s="500" t="str">
        <f>C142</f>
        <v xml:space="preserve">  Latin America</v>
      </c>
      <c r="I149" s="297">
        <f t="shared" si="131"/>
        <v>4.3472221925532795E-2</v>
      </c>
      <c r="J149" s="297">
        <f t="shared" si="131"/>
        <v>0.68377642331877331</v>
      </c>
      <c r="K149" s="297">
        <f t="shared" si="131"/>
        <v>-6.3870808226446751E-2</v>
      </c>
      <c r="L149" s="297">
        <f t="shared" si="131"/>
        <v>-0.16001427112538213</v>
      </c>
      <c r="M149" s="297">
        <f t="shared" si="132"/>
        <v>-0.17445400187881799</v>
      </c>
      <c r="N149" s="297">
        <f t="shared" si="132"/>
        <v>-7.0247984287528542E-2</v>
      </c>
      <c r="O149" s="297">
        <f t="shared" si="132"/>
        <v>-8.2849173595482606E-2</v>
      </c>
      <c r="P149" s="297">
        <f t="shared" si="132"/>
        <v>-0.11591869274488908</v>
      </c>
      <c r="Q149" s="297">
        <f>(Q142/E142)-1</f>
        <v>-4.2596802359214925E-2</v>
      </c>
      <c r="R149" s="296">
        <v>0.05</v>
      </c>
      <c r="S149" s="296">
        <v>0.05</v>
      </c>
      <c r="T149" s="296">
        <v>0.05</v>
      </c>
      <c r="U149" s="441"/>
      <c r="X149" s="297">
        <f>X142/W142-1</f>
        <v>-3.558735018370085E-2</v>
      </c>
      <c r="Y149" s="297">
        <f t="shared" si="133"/>
        <v>-1.8737951382642115E-2</v>
      </c>
      <c r="Z149" s="297">
        <f t="shared" si="133"/>
        <v>-9.4716506484283314E-2</v>
      </c>
      <c r="AA149" s="297">
        <f t="shared" si="133"/>
        <v>2.9633999291095003E-2</v>
      </c>
      <c r="AB149" s="296">
        <v>0.05</v>
      </c>
      <c r="AC149" s="296">
        <v>0.05</v>
      </c>
      <c r="AD149" s="296">
        <v>0.05</v>
      </c>
    </row>
    <row r="150" spans="3:30" s="278" customFormat="1" ht="11.25" customHeight="1">
      <c r="C150" s="500" t="str">
        <f>C143</f>
        <v xml:space="preserve">  Atlantic</v>
      </c>
      <c r="I150" s="297">
        <f t="shared" si="131"/>
        <v>-9.2365929393541935E-2</v>
      </c>
      <c r="J150" s="297">
        <f t="shared" si="131"/>
        <v>9.0017665489310561E-2</v>
      </c>
      <c r="K150" s="297">
        <f t="shared" si="131"/>
        <v>-6.1054020451143054E-2</v>
      </c>
      <c r="L150" s="297">
        <f t="shared" si="131"/>
        <v>-0.31946286996840334</v>
      </c>
      <c r="M150" s="297">
        <f t="shared" si="132"/>
        <v>-0.39693807688548133</v>
      </c>
      <c r="N150" s="297">
        <f t="shared" si="132"/>
        <v>-0.29427107638228944</v>
      </c>
      <c r="O150" s="297">
        <f t="shared" si="132"/>
        <v>-0.14325952712671164</v>
      </c>
      <c r="P150" s="297">
        <f t="shared" si="132"/>
        <v>-8.6352316873795854E-2</v>
      </c>
      <c r="Q150" s="297">
        <f>(Q143/E143)-1</f>
        <v>-0.18780854383586609</v>
      </c>
      <c r="R150" s="296">
        <v>-0.05</v>
      </c>
      <c r="S150" s="296">
        <v>-0.05</v>
      </c>
      <c r="T150" s="296">
        <v>-0.05</v>
      </c>
      <c r="U150" s="441"/>
      <c r="X150" s="297">
        <f>X143/W143-1</f>
        <v>-0.19677332454888685</v>
      </c>
      <c r="Y150" s="297">
        <f t="shared" si="133"/>
        <v>-8.9354825072450739E-2</v>
      </c>
      <c r="Z150" s="297">
        <f t="shared" si="133"/>
        <v>-0.18856700184253627</v>
      </c>
      <c r="AA150" s="297">
        <f t="shared" si="133"/>
        <v>-7.7695722857919702E-2</v>
      </c>
      <c r="AB150" s="296">
        <v>0</v>
      </c>
      <c r="AC150" s="296">
        <v>0.02</v>
      </c>
      <c r="AD150" s="296">
        <v>1.4999999999999999E-2</v>
      </c>
    </row>
    <row r="151" spans="3:30" s="278" customFormat="1" ht="11.25" customHeight="1">
      <c r="C151" s="500" t="str">
        <f>C144</f>
        <v xml:space="preserve">  Pacific</v>
      </c>
      <c r="I151" s="297">
        <f t="shared" si="131"/>
        <v>-2.7330533091271314E-2</v>
      </c>
      <c r="J151" s="297">
        <f t="shared" si="131"/>
        <v>0.54684046094516114</v>
      </c>
      <c r="K151" s="297">
        <f t="shared" si="131"/>
        <v>0.90281530871593207</v>
      </c>
      <c r="L151" s="297">
        <f t="shared" si="131"/>
        <v>0.78321188340807169</v>
      </c>
      <c r="M151" s="297">
        <f t="shared" si="132"/>
        <v>0.81287298993249224</v>
      </c>
      <c r="N151" s="297">
        <f t="shared" si="132"/>
        <v>0.75966859531510833</v>
      </c>
      <c r="O151" s="297">
        <f t="shared" si="132"/>
        <v>0.83157700810611646</v>
      </c>
      <c r="P151" s="297">
        <f t="shared" si="132"/>
        <v>0.41908700980392166</v>
      </c>
      <c r="Q151" s="297">
        <f>(Q144/E144)-1</f>
        <v>0.41584282439475939</v>
      </c>
      <c r="R151" s="296">
        <v>0.4</v>
      </c>
      <c r="S151" s="296">
        <v>0.35</v>
      </c>
      <c r="T151" s="296">
        <v>0.35</v>
      </c>
      <c r="U151" s="441"/>
      <c r="X151" s="297">
        <f>X144/W144-1</f>
        <v>-0.17253834592796635</v>
      </c>
      <c r="Y151" s="297">
        <f t="shared" si="133"/>
        <v>0.11549310917477329</v>
      </c>
      <c r="Z151" s="297">
        <f t="shared" si="133"/>
        <v>0.66202787516699457</v>
      </c>
      <c r="AA151" s="297">
        <f t="shared" si="133"/>
        <v>0.35645857398198078</v>
      </c>
      <c r="AB151" s="296">
        <v>0.18</v>
      </c>
      <c r="AC151" s="296">
        <v>0.15</v>
      </c>
      <c r="AD151" s="296">
        <v>0.1</v>
      </c>
    </row>
    <row r="152" spans="3:30" s="278" customFormat="1" ht="11.25" customHeight="1">
      <c r="C152" s="479" t="s">
        <v>584</v>
      </c>
      <c r="I152" s="480">
        <f t="shared" si="131"/>
        <v>-5.4158698120048143E-3</v>
      </c>
      <c r="J152" s="480">
        <f t="shared" si="131"/>
        <v>0.37761623482584761</v>
      </c>
      <c r="K152" s="480">
        <f t="shared" si="131"/>
        <v>-4.190801600645766E-2</v>
      </c>
      <c r="L152" s="480">
        <f t="shared" si="131"/>
        <v>-0.16666473526809245</v>
      </c>
      <c r="M152" s="480">
        <f t="shared" si="132"/>
        <v>-0.18284515525407863</v>
      </c>
      <c r="N152" s="480">
        <f t="shared" si="132"/>
        <v>-8.0052220049080858E-2</v>
      </c>
      <c r="O152" s="480">
        <f t="shared" si="132"/>
        <v>-2.5653958607224636E-3</v>
      </c>
      <c r="P152" s="480">
        <f t="shared" si="132"/>
        <v>-3.7600245734984772E-2</v>
      </c>
      <c r="Q152" s="480">
        <f>(Q145/E145)-1</f>
        <v>-3.2370719838037409E-4</v>
      </c>
      <c r="R152" s="480">
        <f>(R145/F145)-1</f>
        <v>0.14455871244199736</v>
      </c>
      <c r="S152" s="480">
        <f>(S145/G145)-1</f>
        <v>9.9267820871265844E-2</v>
      </c>
      <c r="T152" s="480">
        <f>(T145/H145)-1</f>
        <v>0.10867360987011465</v>
      </c>
      <c r="U152" s="441"/>
      <c r="X152" s="480">
        <f>X145/W145-1</f>
        <v>-7.4364238856165499E-2</v>
      </c>
      <c r="Y152" s="480">
        <f t="shared" si="133"/>
        <v>-9.9706115170294929E-3</v>
      </c>
      <c r="Z152" s="480">
        <f t="shared" si="133"/>
        <v>-2.972581500710425E-2</v>
      </c>
      <c r="AA152" s="480">
        <f t="shared" si="133"/>
        <v>0.12356962348839629</v>
      </c>
      <c r="AB152" s="480">
        <f>AB145/$X145-1</f>
        <v>8.9268066404118995E-2</v>
      </c>
      <c r="AC152" s="480">
        <f>AC145/$X145-1</f>
        <v>8.8199106585850506E-2</v>
      </c>
      <c r="AD152" s="480">
        <f>AD145/$X145-1</f>
        <v>8.8210721810862314E-2</v>
      </c>
    </row>
    <row r="153" spans="3:30" ht="11.25" customHeight="1">
      <c r="C153" s="289"/>
      <c r="E153" s="255"/>
      <c r="F153" s="255"/>
      <c r="G153" s="255"/>
      <c r="H153" s="255"/>
      <c r="I153" s="255"/>
      <c r="J153" s="255"/>
      <c r="K153" s="255"/>
      <c r="L153" s="255"/>
      <c r="M153" s="255"/>
      <c r="N153" s="255"/>
      <c r="O153" s="255"/>
      <c r="P153" s="255"/>
      <c r="Q153" s="255"/>
      <c r="R153" s="255"/>
      <c r="U153" s="255"/>
    </row>
    <row r="154" spans="3:30" ht="11.25" customHeight="1">
      <c r="C154" s="397" t="s">
        <v>395</v>
      </c>
      <c r="Q154" s="257"/>
      <c r="R154" s="257"/>
      <c r="U154" s="255"/>
    </row>
    <row r="155" spans="3:30" ht="11.25" customHeight="1">
      <c r="C155" s="381" t="str">
        <f>C80</f>
        <v xml:space="preserve">  Domestic</v>
      </c>
      <c r="E155" s="494">
        <f t="shared" ref="E155:T155" si="134">E80/E107/10</f>
        <v>14.613625224636499</v>
      </c>
      <c r="F155" s="494">
        <f t="shared" si="134"/>
        <v>15.7819882364285</v>
      </c>
      <c r="G155" s="494">
        <f t="shared" si="134"/>
        <v>15.35973752050621</v>
      </c>
      <c r="H155" s="494">
        <f t="shared" si="134"/>
        <v>15.606224761154337</v>
      </c>
      <c r="I155" s="494">
        <f t="shared" si="134"/>
        <v>12.53339269813001</v>
      </c>
      <c r="J155" s="494">
        <f t="shared" si="134"/>
        <v>8.4661043423930025</v>
      </c>
      <c r="K155" s="494">
        <f t="shared" si="134"/>
        <v>8.4200567644276241</v>
      </c>
      <c r="L155" s="494">
        <f t="shared" si="134"/>
        <v>9.3759782948972124</v>
      </c>
      <c r="M155" s="494">
        <f t="shared" si="134"/>
        <v>9.0721212442371897</v>
      </c>
      <c r="N155" s="494">
        <f t="shared" si="134"/>
        <v>13.302585265202088</v>
      </c>
      <c r="O155" s="494">
        <f t="shared" si="134"/>
        <v>14.110143576899555</v>
      </c>
      <c r="P155" s="494">
        <f t="shared" si="134"/>
        <v>14.212602927721866</v>
      </c>
      <c r="Q155" s="494">
        <f t="shared" si="134"/>
        <v>13.558608664281635</v>
      </c>
      <c r="R155" s="494">
        <f t="shared" si="134"/>
        <v>17.368437431688228</v>
      </c>
      <c r="S155" s="494">
        <f t="shared" si="134"/>
        <v>16.742113897351768</v>
      </c>
      <c r="T155" s="494">
        <f t="shared" si="134"/>
        <v>17.166847237269774</v>
      </c>
      <c r="U155" s="255"/>
      <c r="V155" s="494">
        <f t="shared" ref="V155:AA159" si="135">V80/V107/10</f>
        <v>14.851196460036073</v>
      </c>
      <c r="W155" s="494">
        <f t="shared" si="135"/>
        <v>17.519537383286504</v>
      </c>
      <c r="X155" s="494">
        <f t="shared" si="135"/>
        <v>15.360513214276867</v>
      </c>
      <c r="Y155" s="494">
        <f t="shared" si="135"/>
        <v>10.601294854656496</v>
      </c>
      <c r="Z155" s="494">
        <f t="shared" si="135"/>
        <v>13.123001567745195</v>
      </c>
      <c r="AA155" s="494">
        <f t="shared" si="135"/>
        <v>16.351416717303813</v>
      </c>
      <c r="AB155" s="494">
        <f t="shared" ref="AB155:AD155" si="136">AB80/AB107/10</f>
        <v>16.169644648045612</v>
      </c>
      <c r="AC155" s="494">
        <f t="shared" si="136"/>
        <v>16.733702019489062</v>
      </c>
      <c r="AD155" s="494">
        <f t="shared" si="136"/>
        <v>17.076966291407242</v>
      </c>
    </row>
    <row r="156" spans="3:30" ht="11.25" customHeight="1">
      <c r="C156" s="381" t="str">
        <f>C81</f>
        <v xml:space="preserve">  Latin America</v>
      </c>
      <c r="E156" s="494">
        <f t="shared" ref="E156:S156" si="137">E81/E108/10</f>
        <v>12.293080054274084</v>
      </c>
      <c r="F156" s="494">
        <f t="shared" si="137"/>
        <v>12.730439831615618</v>
      </c>
      <c r="G156" s="494">
        <f t="shared" si="137"/>
        <v>13.319639753515563</v>
      </c>
      <c r="H156" s="494">
        <f t="shared" si="137"/>
        <v>13.340320407246594</v>
      </c>
      <c r="I156" s="494">
        <f t="shared" si="137"/>
        <v>11.524056467876694</v>
      </c>
      <c r="J156" s="494">
        <f t="shared" si="137"/>
        <v>10.835214446952595</v>
      </c>
      <c r="K156" s="494">
        <f t="shared" si="137"/>
        <v>7.6167076167076173</v>
      </c>
      <c r="L156" s="494">
        <f t="shared" si="137"/>
        <v>7.6158137278680567</v>
      </c>
      <c r="M156" s="494">
        <f t="shared" si="137"/>
        <v>5.9918557300756259</v>
      </c>
      <c r="N156" s="494">
        <f t="shared" si="137"/>
        <v>9.7450336305333956</v>
      </c>
      <c r="O156" s="494">
        <f t="shared" si="137"/>
        <v>10.686034805120091</v>
      </c>
      <c r="P156" s="494">
        <f t="shared" si="137"/>
        <v>10.834593702736147</v>
      </c>
      <c r="Q156" s="494">
        <f t="shared" si="137"/>
        <v>10.464355788096796</v>
      </c>
      <c r="R156" s="494">
        <f t="shared" si="137"/>
        <v>12.82131337054191</v>
      </c>
      <c r="S156" s="494">
        <f t="shared" si="137"/>
        <v>13.985621741191343</v>
      </c>
      <c r="T156" s="494">
        <f>T81/T108/10</f>
        <v>14.007336427608923</v>
      </c>
      <c r="U156" s="255"/>
      <c r="V156" s="494">
        <f t="shared" si="135"/>
        <v>12.892189480614974</v>
      </c>
      <c r="W156" s="494">
        <f t="shared" si="135"/>
        <v>13.101997001838976</v>
      </c>
      <c r="X156" s="494">
        <f t="shared" si="135"/>
        <v>12.898375325485016</v>
      </c>
      <c r="Y156" s="494">
        <f t="shared" si="135"/>
        <v>9.789890377588307</v>
      </c>
      <c r="Z156" s="494">
        <f t="shared" si="135"/>
        <v>9.5554003724394789</v>
      </c>
      <c r="AA156" s="494">
        <f t="shared" si="135"/>
        <v>12.75314596427487</v>
      </c>
      <c r="AB156" s="494">
        <f t="shared" ref="AB156:AC156" si="138">AB81/AB108/10</f>
        <v>13.450214240605717</v>
      </c>
      <c r="AC156" s="494">
        <f t="shared" si="138"/>
        <v>13.610335838708167</v>
      </c>
      <c r="AD156" s="494">
        <f>AD81/AD108/10</f>
        <v>13.610335838708167</v>
      </c>
    </row>
    <row r="157" spans="3:30" ht="11.25" customHeight="1">
      <c r="C157" s="381" t="str">
        <f>C82</f>
        <v xml:space="preserve">  Atlantic</v>
      </c>
      <c r="E157" s="494">
        <f t="shared" ref="E157:T157" si="139">E82/E109/10</f>
        <v>12.525879917184266</v>
      </c>
      <c r="F157" s="494">
        <f t="shared" si="139"/>
        <v>13.653110386849935</v>
      </c>
      <c r="G157" s="494">
        <f t="shared" si="139"/>
        <v>12.898350745778306</v>
      </c>
      <c r="H157" s="494">
        <f t="shared" si="139"/>
        <v>12.775713495137957</v>
      </c>
      <c r="I157" s="494">
        <f t="shared" si="139"/>
        <v>10.452995616171455</v>
      </c>
      <c r="J157" s="494">
        <f t="shared" si="139"/>
        <v>4.6644844517184945</v>
      </c>
      <c r="K157" s="494">
        <f t="shared" si="139"/>
        <v>4.420694680592665</v>
      </c>
      <c r="L157" s="494">
        <f t="shared" si="139"/>
        <v>3.6400219498811048</v>
      </c>
      <c r="M157" s="494">
        <f t="shared" si="139"/>
        <v>4.7586047586047595</v>
      </c>
      <c r="N157" s="494">
        <f t="shared" si="139"/>
        <v>5.3256389117889524</v>
      </c>
      <c r="O157" s="494">
        <f t="shared" si="139"/>
        <v>8.4831347202585352</v>
      </c>
      <c r="P157" s="494">
        <f t="shared" si="139"/>
        <v>9.6897621509824212</v>
      </c>
      <c r="Q157" s="494">
        <f t="shared" si="139"/>
        <v>9.203359055832955</v>
      </c>
      <c r="R157" s="494">
        <f t="shared" si="139"/>
        <v>12.432147347859164</v>
      </c>
      <c r="S157" s="494">
        <f t="shared" si="139"/>
        <v>12.253433208489387</v>
      </c>
      <c r="T157" s="494">
        <f t="shared" si="139"/>
        <v>12.136927820381057</v>
      </c>
      <c r="U157" s="255"/>
      <c r="V157" s="494">
        <f t="shared" si="135"/>
        <v>12.751077823066005</v>
      </c>
      <c r="W157" s="494">
        <f t="shared" si="135"/>
        <v>15.017605145065772</v>
      </c>
      <c r="X157" s="494">
        <f t="shared" si="135"/>
        <v>12.996122262773721</v>
      </c>
      <c r="Y157" s="494">
        <f t="shared" si="135"/>
        <v>7.1709933083384758</v>
      </c>
      <c r="Z157" s="494">
        <f t="shared" si="135"/>
        <v>7.6953881065207224</v>
      </c>
      <c r="AA157" s="494">
        <f t="shared" si="135"/>
        <v>11.651577351322134</v>
      </c>
      <c r="AB157" s="494">
        <f t="shared" ref="AB157:AD157" si="140">AB82/AB109/10</f>
        <v>12.916231248093784</v>
      </c>
      <c r="AC157" s="494">
        <f t="shared" si="140"/>
        <v>13.190622404608167</v>
      </c>
      <c r="AD157" s="494">
        <f t="shared" si="140"/>
        <v>13.26985245726415</v>
      </c>
    </row>
    <row r="158" spans="3:30" ht="11.25" customHeight="1">
      <c r="C158" s="381" t="str">
        <f>C83</f>
        <v xml:space="preserve">  Pacific</v>
      </c>
      <c r="E158" s="494">
        <f t="shared" ref="E158:T158" si="141">E83/E110/10</f>
        <v>10.262748329213586</v>
      </c>
      <c r="F158" s="494">
        <f t="shared" si="141"/>
        <v>10.555193899376919</v>
      </c>
      <c r="G158" s="494">
        <f t="shared" si="141"/>
        <v>10.324184932768464</v>
      </c>
      <c r="H158" s="494">
        <f t="shared" si="141"/>
        <v>9.8035682104883755</v>
      </c>
      <c r="I158" s="494">
        <f t="shared" si="141"/>
        <v>8.8261706221937146</v>
      </c>
      <c r="J158" s="494">
        <f t="shared" si="141"/>
        <v>3.7946428571428568</v>
      </c>
      <c r="K158" s="494">
        <f t="shared" si="141"/>
        <v>5.8118633912522473</v>
      </c>
      <c r="L158" s="494">
        <f t="shared" si="141"/>
        <v>5.1679586563307494</v>
      </c>
      <c r="M158" s="494">
        <f t="shared" si="141"/>
        <v>4.4212617983109785</v>
      </c>
      <c r="N158" s="494">
        <f t="shared" si="141"/>
        <v>5.4142739950779326</v>
      </c>
      <c r="O158" s="494">
        <f t="shared" si="141"/>
        <v>7.7579806978470671</v>
      </c>
      <c r="P158" s="494">
        <f t="shared" si="141"/>
        <v>6.2845303867403315</v>
      </c>
      <c r="Q158" s="494">
        <f t="shared" si="141"/>
        <v>6.4051918735891649</v>
      </c>
      <c r="R158" s="494">
        <f>R83/R110/10</f>
        <v>14.15108881416962</v>
      </c>
      <c r="S158" s="494">
        <f t="shared" si="141"/>
        <v>13.937649659237426</v>
      </c>
      <c r="T158" s="494">
        <f t="shared" si="141"/>
        <v>13.234817084159308</v>
      </c>
      <c r="U158" s="255"/>
      <c r="V158" s="494">
        <f t="shared" si="135"/>
        <v>11.320896857391372</v>
      </c>
      <c r="W158" s="494">
        <f t="shared" si="135"/>
        <v>12.112632163222248</v>
      </c>
      <c r="X158" s="494">
        <f t="shared" si="135"/>
        <v>10.233314998166481</v>
      </c>
      <c r="Y158" s="494">
        <f t="shared" si="135"/>
        <v>7.4745831638877576</v>
      </c>
      <c r="Z158" s="494">
        <f t="shared" si="135"/>
        <v>6.0950104571257837</v>
      </c>
      <c r="AA158" s="494">
        <f t="shared" si="135"/>
        <v>12.45343961880935</v>
      </c>
      <c r="AB158" s="494">
        <f t="shared" ref="AB158:AD158" si="142">AB83/AB110/10</f>
        <v>11.210148292787437</v>
      </c>
      <c r="AC158" s="494">
        <f t="shared" si="142"/>
        <v>11.79915608444237</v>
      </c>
      <c r="AD158" s="494">
        <f t="shared" si="142"/>
        <v>11.425484474682792</v>
      </c>
    </row>
    <row r="159" spans="3:30" ht="11.25" customHeight="1">
      <c r="C159" s="398" t="s">
        <v>400</v>
      </c>
      <c r="E159" s="495">
        <f t="shared" ref="E159:T159" si="143">E84/E111/10</f>
        <v>13.291187447635007</v>
      </c>
      <c r="F159" s="495">
        <f t="shared" si="143"/>
        <v>14.317312943746586</v>
      </c>
      <c r="G159" s="495">
        <f t="shared" si="143"/>
        <v>13.960520006393519</v>
      </c>
      <c r="H159" s="495">
        <f t="shared" si="143"/>
        <v>13.982657169402291</v>
      </c>
      <c r="I159" s="495">
        <f t="shared" si="143"/>
        <v>11.59375102563261</v>
      </c>
      <c r="J159" s="495">
        <f t="shared" si="143"/>
        <v>7.5979024880062465</v>
      </c>
      <c r="K159" s="495">
        <f t="shared" si="143"/>
        <v>7.4239150009004149</v>
      </c>
      <c r="L159" s="495">
        <f t="shared" si="143"/>
        <v>7.8524648919878803</v>
      </c>
      <c r="M159" s="495">
        <f t="shared" si="143"/>
        <v>7.6259466578860726</v>
      </c>
      <c r="N159" s="495">
        <f t="shared" si="143"/>
        <v>11.021634311968294</v>
      </c>
      <c r="O159" s="495">
        <f t="shared" si="143"/>
        <v>12.316742753219758</v>
      </c>
      <c r="P159" s="495">
        <f t="shared" si="143"/>
        <v>12.547660311958406</v>
      </c>
      <c r="Q159" s="495">
        <f t="shared" si="143"/>
        <v>11.917993391408832</v>
      </c>
      <c r="R159" s="495">
        <f t="shared" si="143"/>
        <v>15.823410130827881</v>
      </c>
      <c r="S159" s="495">
        <f t="shared" si="143"/>
        <v>15.374132102767472</v>
      </c>
      <c r="T159" s="495">
        <f t="shared" si="143"/>
        <v>15.560806673954199</v>
      </c>
      <c r="U159" s="255"/>
      <c r="V159" s="495">
        <f t="shared" si="135"/>
        <v>12.518995695939491</v>
      </c>
      <c r="W159" s="495">
        <f t="shared" si="135"/>
        <v>14.370435347319523</v>
      </c>
      <c r="X159" s="495">
        <f t="shared" si="135"/>
        <v>13.903557556342301</v>
      </c>
      <c r="Y159" s="495">
        <f t="shared" si="135"/>
        <v>9.6128790593140288</v>
      </c>
      <c r="Z159" s="495">
        <f t="shared" si="135"/>
        <v>11.303194466208502</v>
      </c>
      <c r="AA159" s="495">
        <f t="shared" si="135"/>
        <v>14.807550686700443</v>
      </c>
      <c r="AB159" s="495">
        <f t="shared" ref="AB159:AD159" si="144">AB84/AB111/10</f>
        <v>14.719925234234839</v>
      </c>
      <c r="AC159" s="495">
        <f t="shared" si="144"/>
        <v>15.169133625080033</v>
      </c>
      <c r="AD159" s="495">
        <f t="shared" si="144"/>
        <v>15.3185263159942</v>
      </c>
    </row>
    <row r="160" spans="3:30" ht="11.25" customHeight="1">
      <c r="C160" s="289"/>
      <c r="K160" s="255"/>
      <c r="U160" s="255"/>
    </row>
    <row r="161" spans="2:30" s="278" customFormat="1" ht="11.25" customHeight="1">
      <c r="C161" s="392" t="s">
        <v>401</v>
      </c>
      <c r="U161" s="441"/>
    </row>
    <row r="162" spans="2:30" s="278" customFormat="1" ht="11.25" customHeight="1">
      <c r="C162" s="278" t="s">
        <v>396</v>
      </c>
      <c r="I162" s="297">
        <f t="shared" ref="I162:L166" si="145">I155/E155-1</f>
        <v>-0.14234883504467544</v>
      </c>
      <c r="J162" s="297">
        <f t="shared" si="145"/>
        <v>-0.46355907661550122</v>
      </c>
      <c r="K162" s="297">
        <f t="shared" si="145"/>
        <v>-0.45180985331381329</v>
      </c>
      <c r="L162" s="297">
        <f t="shared" si="145"/>
        <v>-0.39921547726038875</v>
      </c>
      <c r="M162" s="297">
        <f t="shared" ref="M162:P166" si="146">M155/E155-1</f>
        <v>-0.37920118349943166</v>
      </c>
      <c r="N162" s="297">
        <f t="shared" si="146"/>
        <v>-0.15710333413526267</v>
      </c>
      <c r="O162" s="297">
        <f t="shared" si="146"/>
        <v>-8.135516260862985E-2</v>
      </c>
      <c r="P162" s="297">
        <f t="shared" si="146"/>
        <v>-8.9299100503880569E-2</v>
      </c>
      <c r="Q162" s="297">
        <f t="shared" ref="Q162:T166" si="147">Q155/E155-1</f>
        <v>-7.2194034275372965E-2</v>
      </c>
      <c r="R162" s="297">
        <f t="shared" si="147"/>
        <v>0.10052277137032939</v>
      </c>
      <c r="S162" s="297">
        <f t="shared" si="147"/>
        <v>8.9999999999999858E-2</v>
      </c>
      <c r="T162" s="297">
        <f t="shared" si="147"/>
        <v>0.10000000000000031</v>
      </c>
      <c r="U162" s="441"/>
      <c r="X162" s="297">
        <f>X155/W155-1</f>
        <v>-0.12323522715099366</v>
      </c>
      <c r="Y162" s="297">
        <f t="shared" ref="Y162:AD162" si="148">Y155/$X155-1</f>
        <v>-0.30983459297420501</v>
      </c>
      <c r="Z162" s="297">
        <f t="shared" si="148"/>
        <v>-0.1456664640900156</v>
      </c>
      <c r="AA162" s="297">
        <f t="shared" si="148"/>
        <v>6.4509791385482407E-2</v>
      </c>
      <c r="AB162" s="297">
        <f t="shared" si="148"/>
        <v>5.2676067686117101E-2</v>
      </c>
      <c r="AC162" s="297">
        <f t="shared" si="148"/>
        <v>8.9397325861214183E-2</v>
      </c>
      <c r="AD162" s="297">
        <f t="shared" si="148"/>
        <v>0.11174451355798531</v>
      </c>
    </row>
    <row r="163" spans="2:30" s="278" customFormat="1" ht="11.25" customHeight="1">
      <c r="C163" s="278" t="s">
        <v>397</v>
      </c>
      <c r="I163" s="297">
        <f t="shared" si="145"/>
        <v>-6.2557437436520535E-2</v>
      </c>
      <c r="J163" s="297">
        <f t="shared" si="145"/>
        <v>-0.14887351966868378</v>
      </c>
      <c r="K163" s="297">
        <f t="shared" si="145"/>
        <v>-0.42815963812405089</v>
      </c>
      <c r="L163" s="297">
        <f t="shared" si="145"/>
        <v>-0.42911313256531147</v>
      </c>
      <c r="M163" s="297">
        <f t="shared" si="146"/>
        <v>-0.51258303829296503</v>
      </c>
      <c r="N163" s="297">
        <f t="shared" si="146"/>
        <v>-0.2345092738797655</v>
      </c>
      <c r="O163" s="297">
        <f t="shared" si="146"/>
        <v>-0.19772343675438842</v>
      </c>
      <c r="P163" s="297">
        <f t="shared" si="146"/>
        <v>-0.18783107361869</v>
      </c>
      <c r="Q163" s="297">
        <f t="shared" si="147"/>
        <v>-0.14876046182921199</v>
      </c>
      <c r="R163" s="297">
        <f t="shared" si="147"/>
        <v>7.1382874534005047E-3</v>
      </c>
      <c r="S163" s="297">
        <f t="shared" si="147"/>
        <v>5.0000000000000044E-2</v>
      </c>
      <c r="T163" s="297">
        <f>T156/H156-1</f>
        <v>5.0000000000000044E-2</v>
      </c>
      <c r="U163" s="441"/>
      <c r="X163" s="297">
        <f>X157/W157-1</f>
        <v>-0.13460753980179296</v>
      </c>
      <c r="Y163" s="297">
        <f t="shared" ref="Y163:AD164" si="149">Y157/$X157-1</f>
        <v>-0.44822054122411792</v>
      </c>
      <c r="Z163" s="297">
        <f t="shared" si="149"/>
        <v>-0.40787044389667659</v>
      </c>
      <c r="AA163" s="297">
        <f t="shared" si="149"/>
        <v>-0.10345739169466883</v>
      </c>
      <c r="AB163" s="297">
        <f t="shared" si="149"/>
        <v>-6.1472963292118488E-3</v>
      </c>
      <c r="AC163" s="297">
        <f t="shared" si="149"/>
        <v>1.4966013546330981E-2</v>
      </c>
      <c r="AD163" s="297">
        <f t="shared" si="149"/>
        <v>2.1062451472506183E-2</v>
      </c>
    </row>
    <row r="164" spans="2:30" s="278" customFormat="1" ht="11.25" customHeight="1">
      <c r="C164" s="278" t="s">
        <v>398</v>
      </c>
      <c r="I164" s="297">
        <f t="shared" si="145"/>
        <v>-0.1654881185767253</v>
      </c>
      <c r="J164" s="297">
        <f t="shared" si="145"/>
        <v>-0.6583573764838877</v>
      </c>
      <c r="K164" s="297">
        <f t="shared" si="145"/>
        <v>-0.65726667170687847</v>
      </c>
      <c r="L164" s="297">
        <f t="shared" si="145"/>
        <v>-0.71508268784624951</v>
      </c>
      <c r="M164" s="297">
        <f t="shared" si="146"/>
        <v>-0.62009816555271091</v>
      </c>
      <c r="N164" s="297">
        <f t="shared" si="146"/>
        <v>-0.60993218681375572</v>
      </c>
      <c r="O164" s="297">
        <f t="shared" si="146"/>
        <v>-0.34230857204475484</v>
      </c>
      <c r="P164" s="297">
        <f t="shared" si="146"/>
        <v>-0.24154825836771887</v>
      </c>
      <c r="Q164" s="297">
        <f t="shared" si="147"/>
        <v>-0.26525249190622857</v>
      </c>
      <c r="R164" s="297">
        <f t="shared" si="147"/>
        <v>-8.9427464101275222E-2</v>
      </c>
      <c r="S164" s="297">
        <f>S157/G157-1</f>
        <v>-5.0000000000000266E-2</v>
      </c>
      <c r="T164" s="297">
        <f t="shared" si="147"/>
        <v>-5.0000000000000155E-2</v>
      </c>
      <c r="U164" s="441"/>
      <c r="X164" s="297">
        <f>X158/W158-1</f>
        <v>-0.15515349097795306</v>
      </c>
      <c r="Y164" s="297">
        <f t="shared" si="149"/>
        <v>-0.26958339841713164</v>
      </c>
      <c r="Z164" s="297">
        <f t="shared" si="149"/>
        <v>-0.40439530511688182</v>
      </c>
      <c r="AA164" s="297">
        <f t="shared" si="149"/>
        <v>0.21695067737489282</v>
      </c>
      <c r="AB164" s="297">
        <f t="shared" si="149"/>
        <v>9.5456193305490711E-2</v>
      </c>
      <c r="AC164" s="297">
        <f t="shared" si="149"/>
        <v>0.15301406108933846</v>
      </c>
      <c r="AD164" s="297">
        <f>AD158/$X158-1</f>
        <v>0.11649885464582233</v>
      </c>
    </row>
    <row r="165" spans="2:30" s="278" customFormat="1" ht="11.25" customHeight="1">
      <c r="C165" s="278" t="s">
        <v>399</v>
      </c>
      <c r="I165" s="297">
        <f t="shared" si="145"/>
        <v>-0.13997982420854649</v>
      </c>
      <c r="J165" s="297">
        <f t="shared" si="145"/>
        <v>-0.64049520138451865</v>
      </c>
      <c r="K165" s="297">
        <f t="shared" si="145"/>
        <v>-0.4370632229953888</v>
      </c>
      <c r="L165" s="297">
        <f t="shared" si="145"/>
        <v>-0.47284921720626227</v>
      </c>
      <c r="M165" s="297">
        <f t="shared" si="146"/>
        <v>-0.56919319694067072</v>
      </c>
      <c r="N165" s="297">
        <f t="shared" si="146"/>
        <v>-0.48705120467777085</v>
      </c>
      <c r="O165" s="297">
        <f t="shared" si="146"/>
        <v>-0.24856240484189596</v>
      </c>
      <c r="P165" s="297">
        <f t="shared" si="146"/>
        <v>-0.35895479566135846</v>
      </c>
      <c r="Q165" s="297">
        <f t="shared" si="147"/>
        <v>-0.37587947515419762</v>
      </c>
      <c r="R165" s="297">
        <f t="shared" si="147"/>
        <v>0.34067540104639571</v>
      </c>
      <c r="S165" s="297">
        <f t="shared" si="147"/>
        <v>0.34999999999999987</v>
      </c>
      <c r="T165" s="297">
        <f t="shared" si="147"/>
        <v>0.35000000000000009</v>
      </c>
      <c r="U165" s="441"/>
      <c r="X165" s="297">
        <f>X156/W156-1</f>
        <v>-1.5541270260203799E-2</v>
      </c>
      <c r="Y165" s="297">
        <f t="shared" ref="Y165:AD165" si="150">Y156/$X156-1</f>
        <v>-0.24099817763519926</v>
      </c>
      <c r="Z165" s="297">
        <f t="shared" si="150"/>
        <v>-0.25917798704774719</v>
      </c>
      <c r="AA165" s="297">
        <f t="shared" si="150"/>
        <v>-1.1259508081083558E-2</v>
      </c>
      <c r="AB165" s="297">
        <f t="shared" si="150"/>
        <v>4.278359880180882E-2</v>
      </c>
      <c r="AC165" s="297">
        <f t="shared" si="150"/>
        <v>5.5197689263735139E-2</v>
      </c>
      <c r="AD165" s="297">
        <f t="shared" si="150"/>
        <v>5.5197689263735139E-2</v>
      </c>
    </row>
    <row r="166" spans="2:30" s="278" customFormat="1" ht="11.25" customHeight="1">
      <c r="C166" s="479" t="s">
        <v>400</v>
      </c>
      <c r="I166" s="480">
        <f t="shared" si="145"/>
        <v>-0.12771141996830637</v>
      </c>
      <c r="J166" s="480">
        <f t="shared" si="145"/>
        <v>-0.46932063873585972</v>
      </c>
      <c r="K166" s="480">
        <f t="shared" si="145"/>
        <v>-0.46822073980765233</v>
      </c>
      <c r="L166" s="480">
        <f t="shared" si="145"/>
        <v>-0.43841397261951565</v>
      </c>
      <c r="M166" s="480">
        <f t="shared" si="146"/>
        <v>-0.42624038010666909</v>
      </c>
      <c r="N166" s="480">
        <f t="shared" si="146"/>
        <v>-0.23018834921938025</v>
      </c>
      <c r="O166" s="480">
        <f t="shared" si="146"/>
        <v>-0.11774470094387302</v>
      </c>
      <c r="P166" s="480">
        <f t="shared" si="146"/>
        <v>-0.10262690703624155</v>
      </c>
      <c r="Q166" s="480">
        <f t="shared" si="147"/>
        <v>-0.1033161304538307</v>
      </c>
      <c r="R166" s="480">
        <f t="shared" si="147"/>
        <v>0.10519412357603852</v>
      </c>
      <c r="S166" s="480">
        <f t="shared" si="147"/>
        <v>0.10125783965973745</v>
      </c>
      <c r="T166" s="480">
        <f t="shared" si="147"/>
        <v>0.1128647785204453</v>
      </c>
      <c r="U166" s="441"/>
      <c r="X166" s="480">
        <f>X159/W159-1</f>
        <v>-3.2488771543327521E-2</v>
      </c>
      <c r="Y166" s="480">
        <f t="shared" ref="Y166:AD166" si="151">Y159/$X159-1</f>
        <v>-0.30860292264342226</v>
      </c>
      <c r="Z166" s="480">
        <f t="shared" si="151"/>
        <v>-0.18702861333124099</v>
      </c>
      <c r="AA166" s="480">
        <f t="shared" si="151"/>
        <v>6.5018836128439172E-2</v>
      </c>
      <c r="AB166" s="480">
        <f t="shared" si="151"/>
        <v>5.8716459768251239E-2</v>
      </c>
      <c r="AC166" s="480">
        <f t="shared" si="151"/>
        <v>9.1025341076135025E-2</v>
      </c>
      <c r="AD166" s="480">
        <f t="shared" si="151"/>
        <v>0.1017702666326894</v>
      </c>
    </row>
    <row r="167" spans="2:30" ht="11.25" customHeight="1">
      <c r="C167" s="289"/>
      <c r="U167" s="255"/>
    </row>
    <row r="168" spans="2:30" ht="11.25" customHeight="1">
      <c r="C168" s="253" t="s">
        <v>362</v>
      </c>
      <c r="E168" s="277">
        <v>1348</v>
      </c>
      <c r="F168" s="277">
        <v>1344</v>
      </c>
      <c r="G168" s="277">
        <v>1348</v>
      </c>
      <c r="H168" s="277">
        <v>1372</v>
      </c>
      <c r="I168" s="277">
        <v>1388</v>
      </c>
      <c r="J168" s="277">
        <v>1307</v>
      </c>
      <c r="K168" s="277">
        <v>1319</v>
      </c>
      <c r="L168" s="277">
        <v>1287</v>
      </c>
      <c r="M168" s="277">
        <v>1320</v>
      </c>
      <c r="N168" s="277">
        <v>1315</v>
      </c>
      <c r="O168" s="277">
        <v>1338</v>
      </c>
      <c r="P168" s="277">
        <v>1344</v>
      </c>
      <c r="Q168" s="277">
        <v>1343</v>
      </c>
      <c r="R168" s="599"/>
      <c r="S168" s="599"/>
      <c r="T168" s="599"/>
      <c r="U168" s="255"/>
      <c r="V168" s="277">
        <v>0</v>
      </c>
      <c r="W168" s="277">
        <v>1329</v>
      </c>
      <c r="X168" s="277">
        <v>1372</v>
      </c>
      <c r="Y168" s="277">
        <v>1287</v>
      </c>
      <c r="Z168" s="277">
        <v>1344</v>
      </c>
      <c r="AA168" s="599"/>
      <c r="AB168" s="599"/>
      <c r="AC168" s="599"/>
      <c r="AD168" s="599"/>
    </row>
    <row r="169" spans="2:30" ht="11.25" customHeight="1">
      <c r="E169" s="277"/>
      <c r="F169" s="277"/>
      <c r="G169" s="277"/>
      <c r="H169" s="277"/>
      <c r="I169" s="277"/>
      <c r="J169" s="277"/>
      <c r="K169" s="277"/>
      <c r="L169" s="277"/>
      <c r="M169" s="277"/>
      <c r="N169" s="277"/>
      <c r="O169" s="277"/>
      <c r="P169" s="277"/>
      <c r="U169" s="255"/>
      <c r="V169" s="277"/>
      <c r="W169" s="277"/>
      <c r="X169" s="277"/>
      <c r="Y169" s="277"/>
      <c r="Z169" s="277"/>
    </row>
    <row r="170" spans="2:30" s="255" customFormat="1" ht="11.25" customHeight="1">
      <c r="B170" s="258" t="s">
        <v>133</v>
      </c>
      <c r="C170" s="259" t="s">
        <v>477</v>
      </c>
      <c r="D170" s="259"/>
      <c r="E170" s="258"/>
      <c r="F170" s="258"/>
      <c r="G170" s="258"/>
      <c r="H170" s="258"/>
      <c r="I170" s="258"/>
      <c r="J170" s="258"/>
      <c r="K170" s="258"/>
      <c r="L170" s="258"/>
      <c r="M170" s="258"/>
      <c r="N170" s="258"/>
      <c r="O170" s="258"/>
      <c r="P170" s="258"/>
      <c r="Q170" s="258"/>
      <c r="R170" s="258"/>
      <c r="S170" s="258"/>
      <c r="T170" s="258"/>
      <c r="U170" s="280"/>
      <c r="V170" s="258"/>
      <c r="W170" s="258"/>
      <c r="X170" s="258"/>
      <c r="Y170" s="258"/>
      <c r="Z170" s="258"/>
      <c r="AA170" s="258"/>
      <c r="AB170" s="258"/>
      <c r="AC170" s="258"/>
      <c r="AD170" s="258"/>
    </row>
    <row r="171" spans="2:30" ht="11.25" customHeight="1">
      <c r="C171" s="289"/>
      <c r="U171" s="255"/>
    </row>
    <row r="172" spans="2:30" ht="11.25" customHeight="1">
      <c r="C172" s="381" t="s">
        <v>407</v>
      </c>
      <c r="E172" s="254">
        <f t="shared" ref="E172:Q172" si="152">+E11</f>
        <v>286</v>
      </c>
      <c r="F172" s="254">
        <f t="shared" si="152"/>
        <v>295</v>
      </c>
      <c r="G172" s="254">
        <f t="shared" si="152"/>
        <v>282</v>
      </c>
      <c r="H172" s="254">
        <f t="shared" si="152"/>
        <v>316</v>
      </c>
      <c r="I172" s="254">
        <f t="shared" si="152"/>
        <v>264</v>
      </c>
      <c r="J172" s="254">
        <f t="shared" si="152"/>
        <v>402</v>
      </c>
      <c r="K172" s="254">
        <f t="shared" si="152"/>
        <v>422</v>
      </c>
      <c r="L172" s="254">
        <f t="shared" si="152"/>
        <v>560</v>
      </c>
      <c r="M172" s="254">
        <f t="shared" si="152"/>
        <v>497</v>
      </c>
      <c r="N172" s="254">
        <f t="shared" si="152"/>
        <v>606</v>
      </c>
      <c r="O172" s="254">
        <f t="shared" si="152"/>
        <v>519</v>
      </c>
      <c r="P172" s="254">
        <f t="shared" si="152"/>
        <v>727</v>
      </c>
      <c r="Q172" s="254">
        <f t="shared" si="152"/>
        <v>627</v>
      </c>
      <c r="R172" s="255">
        <f>R173*R174/100</f>
        <v>587.21400000000006</v>
      </c>
      <c r="S172" s="255">
        <f>S173*S174/100</f>
        <v>554.68124999999998</v>
      </c>
      <c r="T172" s="255">
        <f>T173*T174/100</f>
        <v>539.7974999999999</v>
      </c>
      <c r="U172" s="255"/>
      <c r="V172" s="254">
        <f>+V11</f>
        <v>1114</v>
      </c>
      <c r="W172" s="254">
        <f>+W11</f>
        <v>1237</v>
      </c>
      <c r="X172" s="287">
        <f>'UAL Financials'!X11</f>
        <v>1179</v>
      </c>
      <c r="Y172" s="287">
        <f>'UAL Financials'!Y11</f>
        <v>1648</v>
      </c>
      <c r="Z172" s="287">
        <f>'UAL Financials'!Z11</f>
        <v>2349</v>
      </c>
      <c r="AA172" s="254">
        <f>SUMIF($E$5:$T$5,AA$5,$E172:$T172)</f>
        <v>2308.6927500000002</v>
      </c>
      <c r="AB172" s="255">
        <f>AB173*AB174/100</f>
        <v>1864.2693956250002</v>
      </c>
      <c r="AC172" s="255">
        <f>AC173*AC174/100</f>
        <v>1505.3975369671875</v>
      </c>
      <c r="AD172" s="255">
        <f>AD173*AD174/100</f>
        <v>1215.6085111010041</v>
      </c>
    </row>
    <row r="173" spans="2:30" ht="11.25" customHeight="1">
      <c r="C173" s="253" t="s">
        <v>578</v>
      </c>
      <c r="E173" s="277">
        <v>805</v>
      </c>
      <c r="F173" s="277">
        <v>831</v>
      </c>
      <c r="G173" s="277">
        <v>804</v>
      </c>
      <c r="H173" s="277">
        <v>889</v>
      </c>
      <c r="I173" s="277">
        <v>695</v>
      </c>
      <c r="J173" s="277">
        <v>496</v>
      </c>
      <c r="K173" s="277">
        <v>685</v>
      </c>
      <c r="L173" s="277">
        <v>835</v>
      </c>
      <c r="M173" s="277">
        <v>765</v>
      </c>
      <c r="N173" s="277">
        <v>892</v>
      </c>
      <c r="O173" s="277">
        <v>758</v>
      </c>
      <c r="P173" s="277">
        <v>870</v>
      </c>
      <c r="Q173" s="277">
        <v>791</v>
      </c>
      <c r="R173" s="255">
        <f t="shared" ref="R173:T174" si="153">(R177+1)*N173</f>
        <v>847.4</v>
      </c>
      <c r="S173" s="255">
        <f t="shared" si="153"/>
        <v>852.75</v>
      </c>
      <c r="T173" s="255">
        <f t="shared" si="153"/>
        <v>861.3</v>
      </c>
      <c r="U173" s="255"/>
      <c r="V173" s="277">
        <v>3316</v>
      </c>
      <c r="W173" s="277">
        <v>3425</v>
      </c>
      <c r="X173" s="254">
        <f>SUMIF($E$5:$T$5,X$5,$E173:$T173)</f>
        <v>3329</v>
      </c>
      <c r="Y173" s="254">
        <f>SUMIF($E$5:$T$5,Y$5,$E173:$T173)</f>
        <v>2711</v>
      </c>
      <c r="Z173" s="254">
        <f>SUMIF($E$5:$T$5,Z$5,$E173:$T173)</f>
        <v>3285</v>
      </c>
      <c r="AA173" s="254">
        <f>SUMIF($E$5:$T$5,AA$5,$E173:$T173)</f>
        <v>3352.45</v>
      </c>
      <c r="AB173" s="255">
        <f t="shared" ref="AB173:AD174" si="154">(AB177+1)*AA173</f>
        <v>3184.8274999999999</v>
      </c>
      <c r="AC173" s="255">
        <f t="shared" si="154"/>
        <v>3025.5861249999998</v>
      </c>
      <c r="AD173" s="255">
        <f t="shared" si="154"/>
        <v>2874.3068187499998</v>
      </c>
    </row>
    <row r="174" spans="2:30" ht="11.25" customHeight="1">
      <c r="C174" s="398" t="s">
        <v>408</v>
      </c>
      <c r="E174" s="495">
        <f t="shared" ref="E174:Q174" si="155">E172/E173*100</f>
        <v>35.527950310559007</v>
      </c>
      <c r="F174" s="495">
        <f t="shared" si="155"/>
        <v>35.499398315282789</v>
      </c>
      <c r="G174" s="495">
        <f t="shared" si="155"/>
        <v>35.074626865671647</v>
      </c>
      <c r="H174" s="495">
        <f t="shared" si="155"/>
        <v>35.545556805399329</v>
      </c>
      <c r="I174" s="495">
        <f t="shared" si="155"/>
        <v>37.985611510791365</v>
      </c>
      <c r="J174" s="495">
        <f t="shared" si="155"/>
        <v>81.048387096774192</v>
      </c>
      <c r="K174" s="495">
        <f t="shared" si="155"/>
        <v>61.605839416058394</v>
      </c>
      <c r="L174" s="495">
        <f t="shared" si="155"/>
        <v>67.06586826347305</v>
      </c>
      <c r="M174" s="495">
        <f t="shared" si="155"/>
        <v>64.967320261437905</v>
      </c>
      <c r="N174" s="495">
        <f t="shared" si="155"/>
        <v>67.937219730941706</v>
      </c>
      <c r="O174" s="495">
        <f t="shared" si="155"/>
        <v>68.469656992084438</v>
      </c>
      <c r="P174" s="495">
        <f t="shared" si="155"/>
        <v>83.563218390804593</v>
      </c>
      <c r="Q174" s="495">
        <f t="shared" si="155"/>
        <v>79.266750948166873</v>
      </c>
      <c r="R174" s="495">
        <f t="shared" si="153"/>
        <v>69.295964125560545</v>
      </c>
      <c r="S174" s="495">
        <f t="shared" si="153"/>
        <v>65.046174142480211</v>
      </c>
      <c r="T174" s="495">
        <f t="shared" si="153"/>
        <v>62.672413793103445</v>
      </c>
      <c r="U174" s="255"/>
      <c r="V174" s="495">
        <f t="shared" ref="V174:AA174" si="156">V172/V173*100</f>
        <v>33.594692400482508</v>
      </c>
      <c r="W174" s="495">
        <f t="shared" si="156"/>
        <v>36.116788321167881</v>
      </c>
      <c r="X174" s="495">
        <f t="shared" si="156"/>
        <v>35.416040853109045</v>
      </c>
      <c r="Y174" s="495">
        <f t="shared" si="156"/>
        <v>60.789376613795639</v>
      </c>
      <c r="Z174" s="495">
        <f t="shared" si="156"/>
        <v>71.506849315068493</v>
      </c>
      <c r="AA174" s="495">
        <f t="shared" si="156"/>
        <v>68.865836925233793</v>
      </c>
      <c r="AB174" s="495">
        <f t="shared" si="154"/>
        <v>58.535961386448726</v>
      </c>
      <c r="AC174" s="495">
        <f t="shared" si="154"/>
        <v>49.755567178481414</v>
      </c>
      <c r="AD174" s="495">
        <f t="shared" si="154"/>
        <v>42.292232101709203</v>
      </c>
    </row>
    <row r="175" spans="2:30" ht="11.25" customHeight="1">
      <c r="C175" s="289"/>
      <c r="P175" s="255"/>
      <c r="Q175" s="255"/>
      <c r="U175" s="255"/>
    </row>
    <row r="176" spans="2:30" s="278" customFormat="1" ht="11.25" customHeight="1">
      <c r="C176" s="465" t="s">
        <v>409</v>
      </c>
      <c r="U176" s="441"/>
    </row>
    <row r="177" spans="2:30" s="278" customFormat="1" ht="11.25" customHeight="1">
      <c r="C177" s="465" t="s">
        <v>410</v>
      </c>
      <c r="I177" s="297">
        <f t="shared" ref="I177:Q178" si="157">I173/E173-1</f>
        <v>-0.13664596273291929</v>
      </c>
      <c r="J177" s="297">
        <f t="shared" si="157"/>
        <v>-0.40312876052948254</v>
      </c>
      <c r="K177" s="297">
        <f t="shared" si="157"/>
        <v>-0.14800995024875618</v>
      </c>
      <c r="L177" s="297">
        <f t="shared" si="157"/>
        <v>-6.0742407199100068E-2</v>
      </c>
      <c r="M177" s="297">
        <f t="shared" si="157"/>
        <v>0.10071942446043169</v>
      </c>
      <c r="N177" s="297">
        <f t="shared" si="157"/>
        <v>0.79838709677419351</v>
      </c>
      <c r="O177" s="297">
        <f t="shared" si="157"/>
        <v>0.10656934306569332</v>
      </c>
      <c r="P177" s="297">
        <f t="shared" si="157"/>
        <v>4.1916167664670656E-2</v>
      </c>
      <c r="Q177" s="297">
        <f t="shared" si="157"/>
        <v>3.3986928104575265E-2</v>
      </c>
      <c r="R177" s="296">
        <v>-0.05</v>
      </c>
      <c r="S177" s="296">
        <v>0.125</v>
      </c>
      <c r="T177" s="296">
        <v>-0.01</v>
      </c>
      <c r="U177" s="441"/>
      <c r="W177" s="297">
        <f t="shared" ref="W177:AA178" si="158">W173/V173-1</f>
        <v>3.2870928829915602E-2</v>
      </c>
      <c r="X177" s="297">
        <f t="shared" si="158"/>
        <v>-2.8029197080291945E-2</v>
      </c>
      <c r="Y177" s="297">
        <f t="shared" si="158"/>
        <v>-0.18564133373385405</v>
      </c>
      <c r="Z177" s="297">
        <f t="shared" si="158"/>
        <v>0.21172998893397277</v>
      </c>
      <c r="AA177" s="297">
        <f t="shared" si="158"/>
        <v>2.0532724505327282E-2</v>
      </c>
      <c r="AB177" s="296">
        <v>-0.05</v>
      </c>
      <c r="AC177" s="296">
        <v>-0.05</v>
      </c>
      <c r="AD177" s="296">
        <v>-0.05</v>
      </c>
    </row>
    <row r="178" spans="2:30" s="278" customFormat="1" ht="11.25" customHeight="1">
      <c r="C178" s="465" t="s">
        <v>411</v>
      </c>
      <c r="I178" s="297">
        <f t="shared" si="157"/>
        <v>6.9175428887659152E-2</v>
      </c>
      <c r="J178" s="297">
        <f t="shared" si="157"/>
        <v>1.2830918534718427</v>
      </c>
      <c r="K178" s="297">
        <f t="shared" si="157"/>
        <v>0.75642180462804753</v>
      </c>
      <c r="L178" s="297">
        <f t="shared" si="157"/>
        <v>0.88675812931099784</v>
      </c>
      <c r="M178" s="297">
        <f t="shared" si="157"/>
        <v>0.71031392354921774</v>
      </c>
      <c r="N178" s="297">
        <f t="shared" si="157"/>
        <v>-0.16176962720032118</v>
      </c>
      <c r="O178" s="297">
        <f t="shared" si="157"/>
        <v>0.11141504833122839</v>
      </c>
      <c r="P178" s="297">
        <f t="shared" si="157"/>
        <v>0.24598727422003286</v>
      </c>
      <c r="Q178" s="297">
        <f t="shared" si="157"/>
        <v>0.22010190091242787</v>
      </c>
      <c r="R178" s="296">
        <v>0.02</v>
      </c>
      <c r="S178" s="296">
        <v>-0.05</v>
      </c>
      <c r="T178" s="296">
        <v>-0.25</v>
      </c>
      <c r="U178" s="441"/>
      <c r="W178" s="297">
        <f t="shared" si="158"/>
        <v>7.5074237639072727E-2</v>
      </c>
      <c r="X178" s="297">
        <f t="shared" si="158"/>
        <v>-1.9402264172203032E-2</v>
      </c>
      <c r="Y178" s="297">
        <f t="shared" si="158"/>
        <v>0.71643625739886052</v>
      </c>
      <c r="Z178" s="297">
        <f t="shared" si="158"/>
        <v>0.17630502726426411</v>
      </c>
      <c r="AA178" s="297">
        <f t="shared" si="158"/>
        <v>-3.6933698172017859E-2</v>
      </c>
      <c r="AB178" s="296">
        <v>-0.15</v>
      </c>
      <c r="AC178" s="296">
        <v>-0.15</v>
      </c>
      <c r="AD178" s="296">
        <v>-0.15</v>
      </c>
    </row>
    <row r="179" spans="2:30" ht="11.25" customHeight="1">
      <c r="C179" s="289"/>
      <c r="U179" s="255"/>
    </row>
    <row r="180" spans="2:30" ht="11.25" customHeight="1">
      <c r="C180" s="381" t="s">
        <v>286</v>
      </c>
      <c r="E180" s="287">
        <f>'UAL Financials'!E12</f>
        <v>578</v>
      </c>
      <c r="F180" s="287">
        <f>'UAL Financials'!F12</f>
        <v>621</v>
      </c>
      <c r="G180" s="287">
        <f>'UAL Financials'!G12</f>
        <v>617</v>
      </c>
      <c r="H180" s="287">
        <f>'UAL Financials'!H12</f>
        <v>639</v>
      </c>
      <c r="I180" s="287">
        <f>'UAL Financials'!I12</f>
        <v>650</v>
      </c>
      <c r="J180" s="287">
        <f>'UAL Financials'!J12</f>
        <v>392</v>
      </c>
      <c r="K180" s="287">
        <f>'UAL Financials'!K12</f>
        <v>418</v>
      </c>
      <c r="L180" s="287">
        <f>'UAL Financials'!L12</f>
        <v>442</v>
      </c>
      <c r="M180" s="287">
        <f>'UAL Financials'!M12</f>
        <v>408</v>
      </c>
      <c r="N180" s="287">
        <f>'UAL Financials'!N12</f>
        <v>499</v>
      </c>
      <c r="O180" s="287">
        <f>'UAL Financials'!O12</f>
        <v>594</v>
      </c>
      <c r="P180" s="287">
        <f>'UAL Financials'!P12</f>
        <v>587</v>
      </c>
      <c r="Q180" s="287">
        <f>'UAL Financials'!Q12</f>
        <v>591</v>
      </c>
      <c r="R180" s="255">
        <f>R181*R84</f>
        <v>907.96641963316233</v>
      </c>
      <c r="S180" s="255">
        <f>S181*S84</f>
        <v>957.40547400000003</v>
      </c>
      <c r="T180" s="255">
        <f>T181*T84</f>
        <v>928.45633500000019</v>
      </c>
      <c r="U180" s="255"/>
      <c r="V180" s="287">
        <f>'UAL Financials'!V12</f>
        <v>2210</v>
      </c>
      <c r="W180" s="287">
        <f>'UAL Financials'!W12</f>
        <v>2360</v>
      </c>
      <c r="X180" s="287">
        <f>'UAL Financials'!X12</f>
        <v>2455</v>
      </c>
      <c r="Y180" s="287">
        <f>'UAL Financials'!Y12</f>
        <v>1902</v>
      </c>
      <c r="Z180" s="287">
        <f>'UAL Financials'!Z12</f>
        <v>2088</v>
      </c>
      <c r="AA180" s="287">
        <f>'UAL Financials'!AA12</f>
        <v>3384.8282286331628</v>
      </c>
      <c r="AB180" s="255">
        <f>AB181*AB84</f>
        <v>3678.7348436897814</v>
      </c>
      <c r="AC180" s="255">
        <f>AC181*AC84</f>
        <v>3910.9956807978588</v>
      </c>
      <c r="AD180" s="255">
        <f>AD181*AD84</f>
        <v>3952.5753368537735</v>
      </c>
    </row>
    <row r="181" spans="2:30" s="278" customFormat="1" ht="11.25" customHeight="1">
      <c r="C181" s="298" t="s">
        <v>412</v>
      </c>
      <c r="E181" s="477">
        <f t="shared" ref="E181:Q181" si="159">E180/E84</f>
        <v>6.6246418338108876E-2</v>
      </c>
      <c r="F181" s="477">
        <f t="shared" si="159"/>
        <v>5.9221819568949077E-2</v>
      </c>
      <c r="G181" s="477">
        <f t="shared" si="159"/>
        <v>5.8868428585058676E-2</v>
      </c>
      <c r="H181" s="477">
        <f t="shared" si="159"/>
        <v>6.4331017819389907E-2</v>
      </c>
      <c r="I181" s="477">
        <f t="shared" si="159"/>
        <v>9.2002830856334039E-2</v>
      </c>
      <c r="J181" s="477">
        <f t="shared" si="159"/>
        <v>0.57562408223201178</v>
      </c>
      <c r="K181" s="477">
        <f t="shared" si="159"/>
        <v>0.25348696179502728</v>
      </c>
      <c r="L181" s="477">
        <f t="shared" si="159"/>
        <v>0.183402489626556</v>
      </c>
      <c r="M181" s="477">
        <f t="shared" si="159"/>
        <v>0.17616580310880828</v>
      </c>
      <c r="N181" s="477">
        <f t="shared" si="159"/>
        <v>0.11429225836005497</v>
      </c>
      <c r="O181" s="477">
        <f t="shared" si="159"/>
        <v>8.9498267289437994E-2</v>
      </c>
      <c r="P181" s="477">
        <f t="shared" si="159"/>
        <v>8.5344576911892997E-2</v>
      </c>
      <c r="Q181" s="477">
        <f t="shared" si="159"/>
        <v>9.3100189035916825E-2</v>
      </c>
      <c r="R181" s="296">
        <v>0.09</v>
      </c>
      <c r="S181" s="296">
        <v>0.09</v>
      </c>
      <c r="T181" s="296">
        <v>0.09</v>
      </c>
      <c r="U181" s="441"/>
      <c r="V181" s="477">
        <f t="shared" ref="V181:AA181" si="160">V180/V84</f>
        <v>6.4132327336041794E-2</v>
      </c>
      <c r="W181" s="477">
        <f t="shared" si="160"/>
        <v>6.2589508301066146E-2</v>
      </c>
      <c r="X181" s="477">
        <f t="shared" si="160"/>
        <v>6.1955835962145107E-2</v>
      </c>
      <c r="Y181" s="477">
        <f t="shared" si="160"/>
        <v>0.16111817026683609</v>
      </c>
      <c r="Z181" s="477">
        <f t="shared" si="160"/>
        <v>0.10338169035005199</v>
      </c>
      <c r="AA181" s="477">
        <f t="shared" si="160"/>
        <v>9.0526336398774152E-2</v>
      </c>
      <c r="AB181" s="296">
        <v>8.5000000000000006E-2</v>
      </c>
      <c r="AC181" s="296">
        <v>8.5000000000000006E-2</v>
      </c>
      <c r="AD181" s="296">
        <v>8.5000000000000006E-2</v>
      </c>
    </row>
    <row r="182" spans="2:30" s="278" customFormat="1" ht="11.25" customHeight="1">
      <c r="U182" s="441"/>
    </row>
    <row r="183" spans="2:30" s="278" customFormat="1" ht="11.25" customHeight="1">
      <c r="C183" s="397" t="s">
        <v>1340</v>
      </c>
      <c r="E183" s="494">
        <f t="shared" ref="E183:T183" si="161">E13/E111/10</f>
        <v>14.607357757635768</v>
      </c>
      <c r="F183" s="494">
        <f t="shared" si="161"/>
        <v>15.567995630802837</v>
      </c>
      <c r="G183" s="494">
        <f t="shared" si="161"/>
        <v>15.157973253769512</v>
      </c>
      <c r="H183" s="494">
        <f t="shared" si="161"/>
        <v>15.327008080182434</v>
      </c>
      <c r="I183" s="494">
        <f t="shared" si="161"/>
        <v>13.093636154780267</v>
      </c>
      <c r="J183" s="494">
        <f t="shared" si="161"/>
        <v>16.456543568001784</v>
      </c>
      <c r="K183" s="494">
        <f t="shared" si="161"/>
        <v>11.205654601116514</v>
      </c>
      <c r="L183" s="494">
        <f t="shared" si="161"/>
        <v>11.117265647909811</v>
      </c>
      <c r="M183" s="494">
        <f t="shared" si="161"/>
        <v>10.605861047085941</v>
      </c>
      <c r="N183" s="494">
        <f t="shared" si="161"/>
        <v>13.811122611263979</v>
      </c>
      <c r="O183" s="494">
        <f t="shared" si="161"/>
        <v>14.382214304271979</v>
      </c>
      <c r="P183" s="494">
        <f t="shared" si="161"/>
        <v>14.944814375627109</v>
      </c>
      <c r="Q183" s="494">
        <f t="shared" si="161"/>
        <v>14.204716130970263</v>
      </c>
      <c r="R183" s="494">
        <f t="shared" si="161"/>
        <v>18.168537355697914</v>
      </c>
      <c r="S183" s="494">
        <f t="shared" si="161"/>
        <v>17.559446424571235</v>
      </c>
      <c r="T183" s="494">
        <f t="shared" si="161"/>
        <v>17.775503466049884</v>
      </c>
      <c r="U183" s="441"/>
      <c r="V183" s="494">
        <f t="shared" ref="V183:AD183" si="162">V13/V111/10</f>
        <v>13.72657380659831</v>
      </c>
      <c r="W183" s="494">
        <f t="shared" si="162"/>
        <v>15.741316797070448</v>
      </c>
      <c r="X183" s="494">
        <f t="shared" si="162"/>
        <v>15.178649749648244</v>
      </c>
      <c r="Y183" s="494">
        <f t="shared" si="162"/>
        <v>12.503664375753234</v>
      </c>
      <c r="Z183" s="494">
        <f t="shared" si="162"/>
        <v>13.786349085536477</v>
      </c>
      <c r="AA183" s="494">
        <f t="shared" si="162"/>
        <v>17.062321807437421</v>
      </c>
      <c r="AB183" s="494">
        <f t="shared" si="162"/>
        <v>16.605185241445206</v>
      </c>
      <c r="AC183" s="494">
        <f t="shared" si="162"/>
        <v>16.954809174562353</v>
      </c>
      <c r="AD183" s="494">
        <f t="shared" si="162"/>
        <v>17.021052150510947</v>
      </c>
    </row>
    <row r="184" spans="2:30" s="465" customFormat="1" ht="11.25" customHeight="1">
      <c r="C184" s="298" t="s">
        <v>401</v>
      </c>
      <c r="E184" s="477"/>
      <c r="F184" s="477"/>
      <c r="G184" s="477"/>
      <c r="H184" s="477"/>
      <c r="I184" s="477">
        <f>I183/E183-1</f>
        <v>-0.1036273382203039</v>
      </c>
      <c r="J184" s="477">
        <f>J183/F183-1</f>
        <v>5.7075294615375194E-2</v>
      </c>
      <c r="K184" s="477">
        <f>K183/G183-1</f>
        <v>-0.26074189381948731</v>
      </c>
      <c r="L184" s="477">
        <f>L183/H183-1</f>
        <v>-0.27466172199098338</v>
      </c>
      <c r="M184" s="477">
        <f>M183/E183-1</f>
        <v>-0.27393706493278069</v>
      </c>
      <c r="N184" s="477">
        <f>N183/F183-1</f>
        <v>-0.11285158739784773</v>
      </c>
      <c r="O184" s="477">
        <f>O183/G183-1</f>
        <v>-5.1178276706921544E-2</v>
      </c>
      <c r="P184" s="477">
        <f>P183/H183-1</f>
        <v>-2.4935962880419882E-2</v>
      </c>
      <c r="Q184" s="477">
        <f>Q183/E183-1</f>
        <v>-2.7564302411572705E-2</v>
      </c>
      <c r="R184" s="477">
        <f>R183/F183-1</f>
        <v>0.16704409395835418</v>
      </c>
      <c r="S184" s="477">
        <f>S183/G183-1</f>
        <v>0.15842970102909493</v>
      </c>
      <c r="T184" s="477">
        <f>T183/H183-1</f>
        <v>0.15975038135677067</v>
      </c>
      <c r="U184" s="676"/>
      <c r="V184" s="477"/>
      <c r="W184" s="477"/>
      <c r="X184" s="477"/>
      <c r="Y184" s="477">
        <f t="shared" ref="Y184:AD184" si="163">Y183/$X183-1</f>
        <v>-0.1762334211550669</v>
      </c>
      <c r="Z184" s="477">
        <f t="shared" si="163"/>
        <v>-9.1727570441108131E-2</v>
      </c>
      <c r="AA184" s="477">
        <f t="shared" si="163"/>
        <v>0.12410010698302254</v>
      </c>
      <c r="AB184" s="477">
        <f t="shared" si="163"/>
        <v>9.3983029803426321E-2</v>
      </c>
      <c r="AC184" s="477">
        <f t="shared" si="163"/>
        <v>0.11701695830719538</v>
      </c>
      <c r="AD184" s="477">
        <f t="shared" si="163"/>
        <v>0.12138117890923716</v>
      </c>
    </row>
    <row r="185" spans="2:30" s="278" customFormat="1" ht="11.25" customHeight="1" thickBot="1">
      <c r="R185" s="441"/>
      <c r="U185" s="441"/>
      <c r="X185" s="297"/>
      <c r="Y185" s="297"/>
      <c r="Z185" s="297"/>
      <c r="AA185" s="297"/>
      <c r="AB185" s="297"/>
      <c r="AC185" s="297"/>
      <c r="AD185" s="297"/>
    </row>
    <row r="186" spans="2:30" ht="11.25" customHeight="1">
      <c r="B186" s="858" t="s">
        <v>133</v>
      </c>
      <c r="C186" s="1101" t="s">
        <v>600</v>
      </c>
      <c r="D186" s="860"/>
      <c r="E186" s="1102"/>
      <c r="F186" s="1102"/>
      <c r="G186" s="1102"/>
      <c r="H186" s="1102"/>
      <c r="I186" s="1102"/>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3"/>
    </row>
    <row r="187" spans="2:30" ht="11.25" customHeight="1">
      <c r="B187" s="863"/>
      <c r="C187" s="1104" t="s">
        <v>598</v>
      </c>
      <c r="D187" s="864"/>
      <c r="E187" s="1105">
        <f t="shared" ref="E187:T187" si="164">E174*$E$191*800/100</f>
        <v>21316.770186335409</v>
      </c>
      <c r="F187" s="1105">
        <f t="shared" si="164"/>
        <v>21299.638989169671</v>
      </c>
      <c r="G187" s="1105">
        <f t="shared" si="164"/>
        <v>21044.776119402988</v>
      </c>
      <c r="H187" s="1105">
        <f t="shared" si="164"/>
        <v>21327.334083239599</v>
      </c>
      <c r="I187" s="1105">
        <f t="shared" si="164"/>
        <v>22791.366906474821</v>
      </c>
      <c r="J187" s="1105">
        <f t="shared" si="164"/>
        <v>48629.032258064515</v>
      </c>
      <c r="K187" s="1105">
        <f t="shared" si="164"/>
        <v>36963.503649635037</v>
      </c>
      <c r="L187" s="1105">
        <f t="shared" si="164"/>
        <v>40239.520958083827</v>
      </c>
      <c r="M187" s="1105">
        <f t="shared" si="164"/>
        <v>38980.392156862741</v>
      </c>
      <c r="N187" s="1105">
        <f t="shared" si="164"/>
        <v>40762.33183856502</v>
      </c>
      <c r="O187" s="1105">
        <f t="shared" si="164"/>
        <v>41081.794195250666</v>
      </c>
      <c r="P187" s="1105">
        <f t="shared" si="164"/>
        <v>50137.931034482754</v>
      </c>
      <c r="Q187" s="1105">
        <f t="shared" si="164"/>
        <v>47560.050568900115</v>
      </c>
      <c r="R187" s="1105">
        <f t="shared" si="164"/>
        <v>41577.578475336326</v>
      </c>
      <c r="S187" s="1105">
        <f t="shared" si="164"/>
        <v>39027.704485488124</v>
      </c>
      <c r="T187" s="1105">
        <f t="shared" si="164"/>
        <v>37603.448275862065</v>
      </c>
      <c r="U187" s="1180"/>
      <c r="V187" s="1105">
        <f t="shared" ref="V187:AD187" si="165">V174*$E$191*800/100</f>
        <v>20156.815440289505</v>
      </c>
      <c r="W187" s="1105">
        <f t="shared" si="165"/>
        <v>21670.072992700731</v>
      </c>
      <c r="X187" s="1105">
        <f t="shared" si="165"/>
        <v>21249.624511865422</v>
      </c>
      <c r="Y187" s="1105">
        <f t="shared" si="165"/>
        <v>36473.625968277382</v>
      </c>
      <c r="Z187" s="1105">
        <f t="shared" si="165"/>
        <v>42904.109589041102</v>
      </c>
      <c r="AA187" s="1105">
        <f t="shared" si="165"/>
        <v>41319.502155140275</v>
      </c>
      <c r="AB187" s="1105">
        <f t="shared" si="165"/>
        <v>35121.576831869235</v>
      </c>
      <c r="AC187" s="1105">
        <f t="shared" si="165"/>
        <v>29853.340307088849</v>
      </c>
      <c r="AD187" s="1106">
        <f t="shared" si="165"/>
        <v>25375.339261025521</v>
      </c>
    </row>
    <row r="188" spans="2:30" ht="11.25" customHeight="1">
      <c r="B188" s="863"/>
      <c r="C188" s="1104" t="s">
        <v>599</v>
      </c>
      <c r="D188" s="864"/>
      <c r="E188" s="1105">
        <f t="shared" ref="E188:T188" si="166">+E145*$E$192*800/100</f>
        <v>25359.683663609674</v>
      </c>
      <c r="F188" s="1105">
        <f t="shared" si="166"/>
        <v>25686.846509565759</v>
      </c>
      <c r="G188" s="1105">
        <f t="shared" si="166"/>
        <v>25027.857006298233</v>
      </c>
      <c r="H188" s="1105">
        <f t="shared" si="166"/>
        <v>26144.882834824031</v>
      </c>
      <c r="I188" s="1105">
        <f t="shared" si="166"/>
        <v>25222.338918413938</v>
      </c>
      <c r="J188" s="1105">
        <f t="shared" si="166"/>
        <v>35386.616773057445</v>
      </c>
      <c r="K188" s="1105">
        <f t="shared" si="166"/>
        <v>23978.989174270951</v>
      </c>
      <c r="L188" s="1105">
        <f t="shared" si="166"/>
        <v>21787.452858542791</v>
      </c>
      <c r="M188" s="1105">
        <f t="shared" si="166"/>
        <v>20722.788366942641</v>
      </c>
      <c r="N188" s="1105">
        <f t="shared" si="166"/>
        <v>23630.557420415036</v>
      </c>
      <c r="O188" s="1105">
        <f t="shared" si="166"/>
        <v>24963.650645531525</v>
      </c>
      <c r="P188" s="1105">
        <f t="shared" si="166"/>
        <v>25161.828815522265</v>
      </c>
      <c r="Q188" s="1105">
        <f t="shared" si="166"/>
        <v>25351.474551459112</v>
      </c>
      <c r="R188" s="1105">
        <f t="shared" si="166"/>
        <v>29400.103967683801</v>
      </c>
      <c r="S188" s="1105">
        <f t="shared" si="166"/>
        <v>27512.317832391098</v>
      </c>
      <c r="T188" s="1105">
        <f t="shared" si="166"/>
        <v>28986.141632115556</v>
      </c>
      <c r="U188" s="1180"/>
      <c r="V188" s="1105">
        <f t="shared" ref="V188:AD188" si="167">+V145*$E$192*800/100</f>
        <v>23107.004283684866</v>
      </c>
      <c r="W188" s="1105">
        <f t="shared" si="167"/>
        <v>26908.013607311306</v>
      </c>
      <c r="X188" s="1105">
        <f t="shared" si="167"/>
        <v>24907.019656272256</v>
      </c>
      <c r="Y188" s="1105">
        <f t="shared" si="167"/>
        <v>24658.681439232547</v>
      </c>
      <c r="Z188" s="1105">
        <f t="shared" si="167"/>
        <v>24166.638197591597</v>
      </c>
      <c r="AA188" s="1105">
        <f t="shared" si="167"/>
        <v>27984.770697415905</v>
      </c>
      <c r="AB188" s="1105">
        <f t="shared" si="167"/>
        <v>27130.421140877061</v>
      </c>
      <c r="AC188" s="1105">
        <f t="shared" si="167"/>
        <v>27103.796537671686</v>
      </c>
      <c r="AD188" s="1106">
        <f t="shared" si="167"/>
        <v>27104.085838309362</v>
      </c>
    </row>
    <row r="189" spans="2:30" s="279" customFormat="1" ht="11.25" customHeight="1">
      <c r="B189" s="1107"/>
      <c r="C189" s="1108" t="s">
        <v>1793</v>
      </c>
      <c r="D189" s="1109"/>
      <c r="E189" s="1113">
        <f t="shared" ref="E189:T189" si="168">E187-E188</f>
        <v>-4042.9134772742655</v>
      </c>
      <c r="F189" s="1113">
        <f t="shared" si="168"/>
        <v>-4387.2075203960885</v>
      </c>
      <c r="G189" s="1113">
        <f t="shared" si="168"/>
        <v>-3983.0808868952445</v>
      </c>
      <c r="H189" s="1113">
        <f t="shared" si="168"/>
        <v>-4817.5487515844325</v>
      </c>
      <c r="I189" s="1113">
        <f t="shared" si="168"/>
        <v>-2430.9720119391168</v>
      </c>
      <c r="J189" s="1113">
        <f t="shared" si="168"/>
        <v>13242.41548500707</v>
      </c>
      <c r="K189" s="1113">
        <f t="shared" si="168"/>
        <v>12984.514475364085</v>
      </c>
      <c r="L189" s="1113">
        <f t="shared" si="168"/>
        <v>18452.068099541037</v>
      </c>
      <c r="M189" s="1113">
        <f t="shared" si="168"/>
        <v>18257.6037899201</v>
      </c>
      <c r="N189" s="1113">
        <f t="shared" si="168"/>
        <v>17131.774418149984</v>
      </c>
      <c r="O189" s="1113">
        <f t="shared" si="168"/>
        <v>16118.143549719141</v>
      </c>
      <c r="P189" s="1113">
        <f t="shared" si="168"/>
        <v>24976.102218960488</v>
      </c>
      <c r="Q189" s="1113">
        <f t="shared" si="168"/>
        <v>22208.576017441002</v>
      </c>
      <c r="R189" s="1113">
        <f t="shared" si="168"/>
        <v>12177.474507652525</v>
      </c>
      <c r="S189" s="1113">
        <f t="shared" si="168"/>
        <v>11515.386653097026</v>
      </c>
      <c r="T189" s="1113">
        <f t="shared" si="168"/>
        <v>8617.3066437465095</v>
      </c>
      <c r="U189" s="1181"/>
      <c r="V189" s="1113">
        <f t="shared" ref="V189:AD189" si="169">V187-V188</f>
        <v>-2950.1888433953609</v>
      </c>
      <c r="W189" s="1113">
        <f t="shared" si="169"/>
        <v>-5237.9406146105757</v>
      </c>
      <c r="X189" s="1113">
        <f t="shared" si="169"/>
        <v>-3657.3951444068334</v>
      </c>
      <c r="Y189" s="1113">
        <f t="shared" si="169"/>
        <v>11814.944529044835</v>
      </c>
      <c r="Z189" s="1113">
        <f t="shared" si="169"/>
        <v>18737.471391449504</v>
      </c>
      <c r="AA189" s="1113">
        <f t="shared" si="169"/>
        <v>13334.731457724371</v>
      </c>
      <c r="AB189" s="1113">
        <f t="shared" si="169"/>
        <v>7991.1556909921746</v>
      </c>
      <c r="AC189" s="1113">
        <f t="shared" si="169"/>
        <v>2749.5437694171633</v>
      </c>
      <c r="AD189" s="1114">
        <f t="shared" si="169"/>
        <v>-1728.7465772838405</v>
      </c>
    </row>
    <row r="190" spans="2:30" ht="11.25" customHeight="1" thickBot="1">
      <c r="B190" s="863"/>
      <c r="C190" s="1104"/>
      <c r="D190" s="864"/>
      <c r="E190" s="1105"/>
      <c r="F190" s="1105"/>
      <c r="G190" s="1105"/>
      <c r="H190" s="1105"/>
      <c r="I190" s="1105"/>
      <c r="J190" s="1105"/>
      <c r="K190" s="1105"/>
      <c r="L190" s="1105"/>
      <c r="M190" s="1105"/>
      <c r="N190" s="1105"/>
      <c r="O190" s="1105"/>
      <c r="P190" s="1105"/>
      <c r="Q190" s="1105"/>
      <c r="R190" s="1105"/>
      <c r="S190" s="1105"/>
      <c r="T190" s="1105"/>
      <c r="U190" s="1180"/>
      <c r="V190" s="1105"/>
      <c r="W190" s="1105"/>
      <c r="X190" s="1105"/>
      <c r="Y190" s="1105"/>
      <c r="Z190" s="1105"/>
      <c r="AA190" s="1105"/>
      <c r="AB190" s="1105"/>
      <c r="AC190" s="1105"/>
      <c r="AD190" s="1106"/>
    </row>
    <row r="191" spans="2:30" ht="11.25" customHeight="1">
      <c r="B191" s="863"/>
      <c r="C191" s="1115" t="s">
        <v>595</v>
      </c>
      <c r="D191" s="860"/>
      <c r="E191" s="1116">
        <v>75</v>
      </c>
      <c r="F191" s="864"/>
      <c r="G191" s="864"/>
      <c r="H191" s="864"/>
      <c r="I191" s="864"/>
      <c r="J191" s="864"/>
      <c r="K191" s="864"/>
      <c r="L191" s="864"/>
      <c r="M191" s="864"/>
      <c r="N191" s="864"/>
      <c r="O191" s="864"/>
      <c r="P191" s="864"/>
      <c r="Q191" s="864"/>
      <c r="R191" s="864"/>
      <c r="S191" s="864"/>
      <c r="T191" s="864"/>
      <c r="U191" s="1180"/>
      <c r="V191" s="864"/>
      <c r="W191" s="1104"/>
      <c r="X191" s="864"/>
      <c r="Y191" s="864"/>
      <c r="Z191" s="864"/>
      <c r="AA191" s="864"/>
      <c r="AB191" s="864"/>
      <c r="AC191" s="864"/>
      <c r="AD191" s="1110"/>
    </row>
    <row r="192" spans="2:30" ht="11.25" customHeight="1" thickBot="1">
      <c r="B192" s="868"/>
      <c r="C192" s="1117" t="s">
        <v>596</v>
      </c>
      <c r="D192" s="869"/>
      <c r="E192" s="1118">
        <f>'Fleet Update'!G23</f>
        <v>192.91162227602905</v>
      </c>
      <c r="F192" s="869"/>
      <c r="G192" s="869"/>
      <c r="H192" s="869"/>
      <c r="I192" s="869"/>
      <c r="J192" s="869"/>
      <c r="K192" s="869"/>
      <c r="L192" s="869"/>
      <c r="M192" s="869"/>
      <c r="N192" s="869"/>
      <c r="O192" s="869"/>
      <c r="P192" s="869"/>
      <c r="Q192" s="869"/>
      <c r="R192" s="869"/>
      <c r="S192" s="869"/>
      <c r="T192" s="869"/>
      <c r="U192" s="1182"/>
      <c r="V192" s="869"/>
      <c r="W192" s="1111"/>
      <c r="X192" s="869"/>
      <c r="Y192" s="869"/>
      <c r="Z192" s="869"/>
      <c r="AA192" s="869"/>
      <c r="AB192" s="869"/>
      <c r="AC192" s="869"/>
      <c r="AD192" s="1112"/>
    </row>
    <row r="193" spans="2:30" ht="11.25" customHeight="1">
      <c r="U193" s="255"/>
    </row>
    <row r="194" spans="2:30" s="255" customFormat="1" ht="11.25" customHeight="1">
      <c r="B194" s="368" t="s">
        <v>133</v>
      </c>
      <c r="C194" s="259" t="s">
        <v>413</v>
      </c>
      <c r="D194" s="259"/>
      <c r="E194" s="258"/>
      <c r="F194" s="258"/>
      <c r="G194" s="258"/>
      <c r="H194" s="258"/>
      <c r="I194" s="258"/>
      <c r="J194" s="258"/>
      <c r="K194" s="258"/>
      <c r="L194" s="258"/>
      <c r="M194" s="258"/>
      <c r="N194" s="258"/>
      <c r="O194" s="258"/>
      <c r="P194" s="258"/>
      <c r="Q194" s="258"/>
      <c r="R194" s="258"/>
      <c r="S194" s="258"/>
      <c r="T194" s="258"/>
      <c r="U194" s="280"/>
      <c r="V194" s="258"/>
      <c r="W194" s="258"/>
      <c r="X194" s="258"/>
      <c r="Y194" s="258"/>
      <c r="Z194" s="258"/>
      <c r="AA194" s="258"/>
      <c r="AB194" s="258"/>
      <c r="AC194" s="258"/>
      <c r="AD194" s="258"/>
    </row>
    <row r="195" spans="2:30" ht="11.25" customHeight="1" thickBot="1">
      <c r="U195" s="255"/>
    </row>
    <row r="196" spans="2:30" ht="11.25" customHeight="1">
      <c r="B196" s="592" t="s">
        <v>133</v>
      </c>
      <c r="C196" s="581" t="s">
        <v>289</v>
      </c>
      <c r="D196" s="473">
        <f>'UAL Financials'!D15</f>
        <v>0</v>
      </c>
      <c r="E196" s="561">
        <f t="shared" ref="E196:Q196" si="170">+E15</f>
        <v>2023</v>
      </c>
      <c r="F196" s="561">
        <f t="shared" si="170"/>
        <v>2385</v>
      </c>
      <c r="G196" s="561">
        <f t="shared" si="170"/>
        <v>2296</v>
      </c>
      <c r="H196" s="561">
        <f t="shared" si="170"/>
        <v>2249</v>
      </c>
      <c r="I196" s="561">
        <f t="shared" si="170"/>
        <v>1726</v>
      </c>
      <c r="J196" s="561">
        <f t="shared" si="170"/>
        <v>240</v>
      </c>
      <c r="K196" s="561">
        <f t="shared" si="170"/>
        <v>508</v>
      </c>
      <c r="L196" s="561">
        <f t="shared" si="170"/>
        <v>679</v>
      </c>
      <c r="M196" s="561">
        <f t="shared" si="170"/>
        <v>851</v>
      </c>
      <c r="N196" s="561">
        <f t="shared" si="170"/>
        <v>1232</v>
      </c>
      <c r="O196" s="561">
        <f t="shared" si="170"/>
        <v>1710</v>
      </c>
      <c r="P196" s="561">
        <f t="shared" si="170"/>
        <v>1962</v>
      </c>
      <c r="Q196" s="561">
        <f t="shared" si="170"/>
        <v>2230</v>
      </c>
      <c r="R196" s="562">
        <f>R205*R207</f>
        <v>4046.9830937239549</v>
      </c>
      <c r="S196" s="562">
        <f>S205*S207</f>
        <v>3893.5381361959298</v>
      </c>
      <c r="T196" s="562">
        <f>T205*T207</f>
        <v>3407.2193959186893</v>
      </c>
      <c r="U196" s="562"/>
      <c r="V196" s="561">
        <f>+V15</f>
        <v>6913</v>
      </c>
      <c r="W196" s="561">
        <f>+W15</f>
        <v>9307</v>
      </c>
      <c r="X196" s="562">
        <f>SUMIF($E$5:$T$5,X$5,$E196:$T196)</f>
        <v>8953</v>
      </c>
      <c r="Y196" s="562">
        <f>SUMIF($E$5:$T$5,Y$5,$E196:$T196)</f>
        <v>3153</v>
      </c>
      <c r="Z196" s="562">
        <f>SUMIF($E$5:$T$5,Z$5,$E196:$T196)</f>
        <v>5755</v>
      </c>
      <c r="AA196" s="562">
        <f>SUMIF($E$5:$T$5,AA$5,$E196:$T196)</f>
        <v>13577.740625838574</v>
      </c>
      <c r="AB196" s="562">
        <f>AB205*AB207</f>
        <v>13562.050053777422</v>
      </c>
      <c r="AC196" s="562">
        <f>AC205*AC207</f>
        <v>12389.637423269909</v>
      </c>
      <c r="AD196" s="563">
        <f>AD205*AD207</f>
        <v>12399.244025654214</v>
      </c>
    </row>
    <row r="197" spans="2:30" ht="11.25" customHeight="1">
      <c r="B197" s="425"/>
      <c r="E197" s="287"/>
      <c r="F197" s="287"/>
      <c r="G197" s="287"/>
      <c r="H197" s="287"/>
      <c r="I197" s="287"/>
      <c r="J197" s="287"/>
      <c r="K197" s="287"/>
      <c r="L197" s="287"/>
      <c r="M197" s="287"/>
      <c r="N197" s="287"/>
      <c r="O197" s="287"/>
      <c r="P197" s="287"/>
      <c r="Q197" s="255"/>
      <c r="R197" s="255"/>
      <c r="S197" s="255"/>
      <c r="T197" s="255"/>
      <c r="U197" s="255"/>
      <c r="V197" s="255"/>
      <c r="W197" s="255"/>
      <c r="X197" s="255"/>
      <c r="Y197" s="255"/>
      <c r="Z197" s="255"/>
      <c r="AA197" s="255"/>
      <c r="AB197" s="255"/>
      <c r="AC197" s="255"/>
      <c r="AD197" s="504"/>
    </row>
    <row r="198" spans="2:30" ht="11.25" customHeight="1">
      <c r="B198" s="425"/>
      <c r="C198" s="253" t="s">
        <v>466</v>
      </c>
      <c r="E198" s="564">
        <f>SUMIF(Info!$C$6:$C$101,E$6,Info!$E$6:$E$101)</f>
        <v>1.8666666666666665</v>
      </c>
      <c r="F198" s="564">
        <f>SUMIF(Info!$C$6:$C$101,F$6,Info!$E$6:$E$101)</f>
        <v>1.9219999999999999</v>
      </c>
      <c r="G198" s="564">
        <f>SUMIF(Info!$C$6:$C$101,G$6,Info!$E$6:$E$101)</f>
        <v>1.8623333333333332</v>
      </c>
      <c r="H198" s="564">
        <f>SUMIF(Info!$C$6:$C$101,H$6,Info!$E$6:$E$101)</f>
        <v>1.8593333333333335</v>
      </c>
      <c r="I198" s="564">
        <f>SUMIF(Info!$C$6:$C$101,I$6,Info!$E$6:$E$101)</f>
        <v>1.4106666666666667</v>
      </c>
      <c r="J198" s="564">
        <f>SUMIF(Info!$C$6:$C$101,J$6,Info!$E$6:$E$101)</f>
        <v>0.7583333333333333</v>
      </c>
      <c r="K198" s="564">
        <f>SUMIF(Info!$C$6:$C$101,K$6,Info!$E$6:$E$101)</f>
        <v>1.0673333333333332</v>
      </c>
      <c r="L198" s="564">
        <f>SUMIF(Info!$C$6:$C$101,L$6,Info!$E$6:$E$101)</f>
        <v>1.1679999999999999</v>
      </c>
      <c r="M198" s="564">
        <f>SUMIF(Info!$C$6:$C$101,M$6,Info!$E$6:$E$101)</f>
        <v>1.5606666666666669</v>
      </c>
      <c r="N198" s="564">
        <f>SUMIF(Info!$C$6:$C$101,N$6,Info!$E$6:$E$101)</f>
        <v>1.7593333333333334</v>
      </c>
      <c r="O198" s="564">
        <f>SUMIF(Info!$C$6:$C$101,O$6,Info!$E$6:$E$101)</f>
        <v>1.9023333333333332</v>
      </c>
      <c r="P198" s="564">
        <f>SUMIF(Info!$C$6:$C$101,P$6,Info!$E$6:$E$101)</f>
        <v>2.1946666666666665</v>
      </c>
      <c r="Q198" s="564">
        <f>SUMIF(Info!$C$6:$C$101,Q$6,Info!$E$6:$E$101)</f>
        <v>2.8743333333333339</v>
      </c>
      <c r="R198" s="564">
        <f>SUMIF(Info!$C$6:$C$101,R$6,Info!$E$6:$E$101)</f>
        <v>3.9786666666666668</v>
      </c>
      <c r="S198" s="564">
        <f>SUMIF(Info!$C$6:$C$101,S$6,Info!$E$6:$E$101)</f>
        <v>3.4438999999999997</v>
      </c>
      <c r="T198" s="564">
        <f>SUMIF(Info!$C$6:$C$101,T$6,Info!$E$6:$E$101)</f>
        <v>3.2074666666666665</v>
      </c>
      <c r="U198" s="255"/>
      <c r="V198" s="564">
        <f>SUMIF(Info!$C$6:$C$101,V$6,Info!$F$6:$F$101)</f>
        <v>1.5614166666666665</v>
      </c>
      <c r="W198" s="564">
        <f>SUMIF(Info!$C$6:$C$101,W$6,Info!$F$6:$F$101)</f>
        <v>2.0314583333333331</v>
      </c>
      <c r="X198" s="564">
        <f>SUMIF(Info!$C$6:$C$101,X$6,Info!$F$6:$F$101)</f>
        <v>1.8775833333333334</v>
      </c>
      <c r="Y198" s="564">
        <f>SUMIF(Info!$C$6:$C$101,Y$6,Info!$F$6:$F$101)</f>
        <v>1.1010833333333334</v>
      </c>
      <c r="Z198" s="564">
        <f>SUMIF(Info!$C$6:$C$101,Z$6,Info!$F$6:$F$101)</f>
        <v>1.85425</v>
      </c>
      <c r="AA198" s="564">
        <f>SUMIF(Info!$C$6:$C$101,AA$6,Info!$F$6:$F$101)</f>
        <v>3.3760916666666669</v>
      </c>
      <c r="AB198" s="564">
        <f>SUMIF(Info!$C$6:$C$101,AB$6,Info!$F$6:$F$101)</f>
        <v>2.8819250000000003</v>
      </c>
      <c r="AC198" s="564">
        <f>SUMIF(Info!$C$6:$C$101,AC$6,Info!$F$6:$F$101)</f>
        <v>2.5544750000000001</v>
      </c>
      <c r="AD198" s="565">
        <f>AC198</f>
        <v>2.5544750000000001</v>
      </c>
    </row>
    <row r="199" spans="2:30" ht="11.25" customHeight="1">
      <c r="B199" s="425"/>
      <c r="C199" s="253" t="s">
        <v>579</v>
      </c>
      <c r="E199" s="564">
        <f ca="1">SUMIF(Info!$H$8:$H$69,E$6,Info!$S$8:$S$67)</f>
        <v>1.97</v>
      </c>
      <c r="F199" s="564">
        <f ca="1">SUMIF(Info!$H$8:$H$69,F$6,Info!$S$8:$S$67)</f>
        <v>2.06</v>
      </c>
      <c r="G199" s="564">
        <f ca="1">SUMIF(Info!$H$8:$H$69,G$6,Info!$S$8:$S$67)</f>
        <v>1.96</v>
      </c>
      <c r="H199" s="564">
        <f ca="1">SUMIF(Info!$H$8:$H$69,H$6,Info!$S$8:$S$67)</f>
        <v>1.9866666666666666</v>
      </c>
      <c r="I199" s="564">
        <f ca="1">SUMIF(Info!$H$8:$H$69,I$6,Info!$S$8:$S$67)</f>
        <v>1.7566666666666666</v>
      </c>
      <c r="J199" s="564">
        <f ca="1">SUMIF(Info!$H$8:$H$69,J$6,Info!$S$8:$S$67)</f>
        <v>1.1633333333333333</v>
      </c>
      <c r="K199" s="564">
        <f ca="1">SUMIF(Info!$H$8:$H$69,K$6,Info!$S$8:$S$67)</f>
        <v>1.1833333333333333</v>
      </c>
      <c r="L199" s="564">
        <f ca="1">SUMIF(Info!$H$8:$H$69,L$6,Info!$S$8:$S$67)</f>
        <v>1.2633333333333334</v>
      </c>
      <c r="M199" s="564">
        <f ca="1">SUMIF(Info!$H$8:$H$69,M$6,Info!$S$8:$S$67)</f>
        <v>1.6533333333333335</v>
      </c>
      <c r="N199" s="564">
        <f ca="1">SUMIF(Info!$H$8:$H$69,N$6,Info!$S$8:$S$67)</f>
        <v>1.9166666666666667</v>
      </c>
      <c r="O199" s="564">
        <f ca="1">SUMIF(Info!$H$8:$H$69,O$6,Info!$S$8:$S$67)</f>
        <v>1.9833333333333334</v>
      </c>
      <c r="P199" s="564">
        <f ca="1">SUMIF(Info!$H$8:$H$69,P$6,Info!$S$8:$S$67)</f>
        <v>2.2266666666666666</v>
      </c>
      <c r="Q199" s="566"/>
      <c r="R199" s="566"/>
      <c r="S199" s="566"/>
      <c r="T199" s="566"/>
      <c r="U199" s="255"/>
      <c r="V199" s="564">
        <f>SUMIF(Info!$H$8:$H$69,V$6,Info!$T$8:$T$69)</f>
        <v>1.6950000000000001</v>
      </c>
      <c r="W199" s="564">
        <f>SUMIF(Info!$H$8:$H$69,W$6,Info!$T$8:$T$69)</f>
        <v>2.1491666666666664</v>
      </c>
      <c r="X199" s="564">
        <f>SUMIF(Info!$H$8:$H$69,X$6,Info!$T$8:$T$69)</f>
        <v>1.9941666666666666</v>
      </c>
      <c r="Y199" s="564">
        <f>SUMIF(Info!$H$8:$H$69,Y$6,Info!$T$8:$T$69)</f>
        <v>1.3416666666666668</v>
      </c>
      <c r="Z199" s="564">
        <f>SUMIF(Info!$H$8:$H$69,Z$6,Info!$T$8:$T$69)</f>
        <v>1.9450000000000001</v>
      </c>
      <c r="AA199" s="566"/>
      <c r="AB199" s="566"/>
      <c r="AC199" s="566"/>
      <c r="AD199" s="567"/>
    </row>
    <row r="200" spans="2:30" ht="11.25" customHeight="1">
      <c r="B200" s="425"/>
      <c r="E200" s="564"/>
      <c r="F200" s="564"/>
      <c r="G200" s="564"/>
      <c r="H200" s="564"/>
      <c r="I200" s="564"/>
      <c r="J200" s="564"/>
      <c r="K200" s="564"/>
      <c r="L200" s="564"/>
      <c r="M200" s="564"/>
      <c r="N200" s="564"/>
      <c r="O200" s="564"/>
      <c r="P200" s="564"/>
      <c r="Q200" s="564"/>
      <c r="R200" s="564"/>
      <c r="S200" s="564"/>
      <c r="T200" s="564"/>
      <c r="U200" s="255"/>
      <c r="V200" s="564"/>
      <c r="W200" s="564"/>
      <c r="X200" s="564"/>
      <c r="Y200" s="564"/>
      <c r="Z200" s="564"/>
      <c r="AA200" s="564"/>
      <c r="AB200" s="564"/>
      <c r="AC200" s="564"/>
      <c r="AD200" s="568"/>
    </row>
    <row r="201" spans="2:30" s="278" customFormat="1" ht="11.25" customHeight="1">
      <c r="B201" s="573"/>
      <c r="C201" s="278" t="s">
        <v>467</v>
      </c>
      <c r="E201" s="571">
        <f t="shared" ref="E201:Q201" si="171">(E205/E198)-1</f>
        <v>0.10025380710659904</v>
      </c>
      <c r="F201" s="571">
        <f t="shared" si="171"/>
        <v>0.12603893025829493</v>
      </c>
      <c r="G201" s="571">
        <f t="shared" si="171"/>
        <v>8.7179895126915152E-2</v>
      </c>
      <c r="H201" s="571">
        <f t="shared" si="171"/>
        <v>0.12938685692993568</v>
      </c>
      <c r="I201" s="571">
        <f t="shared" si="171"/>
        <v>0.3445439248841895</v>
      </c>
      <c r="J201" s="571">
        <f t="shared" si="171"/>
        <v>0.55138978668390437</v>
      </c>
      <c r="K201" s="571">
        <f t="shared" si="171"/>
        <v>0.22985149785260184</v>
      </c>
      <c r="L201" s="571">
        <f t="shared" si="171"/>
        <v>0.15573681200468426</v>
      </c>
      <c r="M201" s="571">
        <f t="shared" si="171"/>
        <v>0.11281590808044695</v>
      </c>
      <c r="N201" s="571">
        <f t="shared" si="171"/>
        <v>0.12042440318302394</v>
      </c>
      <c r="O201" s="571">
        <f t="shared" si="171"/>
        <v>0.12362011564745057</v>
      </c>
      <c r="P201" s="571">
        <f t="shared" si="171"/>
        <v>9.826218574699741E-2</v>
      </c>
      <c r="Q201" s="571">
        <f t="shared" si="171"/>
        <v>1.0736477462747196E-3</v>
      </c>
      <c r="R201" s="569">
        <v>0.09</v>
      </c>
      <c r="S201" s="569">
        <v>0.125</v>
      </c>
      <c r="T201" s="569">
        <v>0.1</v>
      </c>
      <c r="U201" s="441"/>
      <c r="V201" s="571">
        <f t="shared" ref="V201:AA201" si="172">(V205/V198)-1</f>
        <v>0.1129687422897776</v>
      </c>
      <c r="W201" s="571">
        <f t="shared" si="172"/>
        <v>0.10742997371311458</v>
      </c>
      <c r="X201" s="571">
        <f t="shared" si="172"/>
        <v>0.11098872039736651</v>
      </c>
      <c r="Y201" s="571">
        <f t="shared" si="172"/>
        <v>0.4289139121288188</v>
      </c>
      <c r="Z201" s="571">
        <f t="shared" si="172"/>
        <v>0.13729598147679822</v>
      </c>
      <c r="AA201" s="571">
        <f t="shared" si="172"/>
        <v>9.3208797371308716E-2</v>
      </c>
      <c r="AB201" s="296">
        <v>0.1</v>
      </c>
      <c r="AC201" s="296">
        <v>0.1</v>
      </c>
      <c r="AD201" s="570">
        <v>0.1</v>
      </c>
    </row>
    <row r="202" spans="2:30" s="499" customFormat="1" ht="11.25" customHeight="1">
      <c r="B202" s="584"/>
      <c r="C202" s="582" t="s">
        <v>583</v>
      </c>
      <c r="E202" s="571">
        <f t="shared" ref="E202:P202" ca="1" si="173">E205/E199-1</f>
        <v>4.254167847664192E-2</v>
      </c>
      <c r="F202" s="571">
        <f t="shared" ca="1" si="173"/>
        <v>5.0605254347787731E-2</v>
      </c>
      <c r="G202" s="571">
        <f t="shared" ca="1" si="173"/>
        <v>3.3005794910556885E-2</v>
      </c>
      <c r="H202" s="571">
        <f t="shared" ca="1" si="173"/>
        <v>5.6999981200533956E-2</v>
      </c>
      <c r="I202" s="571">
        <f t="shared" ca="1" si="173"/>
        <v>7.9717246700168998E-2</v>
      </c>
      <c r="J202" s="571">
        <f t="shared" ca="1" si="173"/>
        <v>1.1292769256699753E-2</v>
      </c>
      <c r="K202" s="571">
        <f t="shared" ca="1" si="173"/>
        <v>0.10929140735888199</v>
      </c>
      <c r="L202" s="571">
        <f t="shared" ca="1" si="173"/>
        <v>6.8522899542061477E-2</v>
      </c>
      <c r="M202" s="571">
        <f t="shared" ca="1" si="173"/>
        <v>5.0444371296905599E-2</v>
      </c>
      <c r="N202" s="571">
        <f t="shared" ca="1" si="173"/>
        <v>2.8452173913043444E-2</v>
      </c>
      <c r="O202" s="571">
        <f t="shared" ca="1" si="173"/>
        <v>7.7731092436974958E-2</v>
      </c>
      <c r="P202" s="571">
        <f t="shared" ca="1" si="173"/>
        <v>8.2478777089555644E-2</v>
      </c>
      <c r="Q202" s="571"/>
      <c r="R202" s="571"/>
      <c r="S202" s="571"/>
      <c r="T202" s="571"/>
      <c r="U202" s="516"/>
      <c r="V202" s="571">
        <f>V205/V199-1</f>
        <v>2.5255424006074723E-2</v>
      </c>
      <c r="W202" s="571">
        <f>W205/W199-1</f>
        <v>4.6776819860079311E-2</v>
      </c>
      <c r="X202" s="571">
        <f>X205/X199-1</f>
        <v>4.6037896334018669E-2</v>
      </c>
      <c r="Y202" s="571">
        <f>Y205/Y199-1</f>
        <v>0.17268568453155808</v>
      </c>
      <c r="Z202" s="571">
        <f>Z205/Z199-1</f>
        <v>8.4231914474731662E-2</v>
      </c>
      <c r="AD202" s="572"/>
    </row>
    <row r="203" spans="2:30" s="278" customFormat="1" ht="11.25" customHeight="1">
      <c r="B203" s="573"/>
      <c r="C203" s="278" t="s">
        <v>582</v>
      </c>
      <c r="E203" s="571">
        <f t="shared" ref="E203:P203" ca="1" si="174">E199/E198-1</f>
        <v>5.5357142857142883E-2</v>
      </c>
      <c r="F203" s="571">
        <f t="shared" ca="1" si="174"/>
        <v>7.1800208116545416E-2</v>
      </c>
      <c r="G203" s="571">
        <f t="shared" ca="1" si="174"/>
        <v>5.2443171648469677E-2</v>
      </c>
      <c r="H203" s="571">
        <f t="shared" ca="1" si="174"/>
        <v>6.8483327357475643E-2</v>
      </c>
      <c r="I203" s="571">
        <f t="shared" ca="1" si="174"/>
        <v>0.24527410207939493</v>
      </c>
      <c r="J203" s="571">
        <f t="shared" ca="1" si="174"/>
        <v>0.53406593406593417</v>
      </c>
      <c r="K203" s="571">
        <f t="shared" ca="1" si="174"/>
        <v>0.10868207370393512</v>
      </c>
      <c r="L203" s="571">
        <f t="shared" ca="1" si="174"/>
        <v>8.1621004566210242E-2</v>
      </c>
      <c r="M203" s="571">
        <f t="shared" ca="1" si="174"/>
        <v>5.9376334899615468E-2</v>
      </c>
      <c r="N203" s="571">
        <f t="shared" ca="1" si="174"/>
        <v>8.9427813565744696E-2</v>
      </c>
      <c r="O203" s="571">
        <f t="shared" ca="1" si="174"/>
        <v>4.2579288592956122E-2</v>
      </c>
      <c r="P203" s="571">
        <f t="shared" ca="1" si="174"/>
        <v>1.4580801944106936E-2</v>
      </c>
      <c r="Q203" s="571"/>
      <c r="R203" s="571"/>
      <c r="S203" s="571"/>
      <c r="T203" s="571"/>
      <c r="U203" s="516"/>
      <c r="V203" s="571">
        <f>V199/V198-1</f>
        <v>8.5552649837220551E-2</v>
      </c>
      <c r="W203" s="571">
        <f>W199/W198-1</f>
        <v>5.7942775099989685E-2</v>
      </c>
      <c r="X203" s="571">
        <f>X199/X198-1</f>
        <v>6.2092228485198131E-2</v>
      </c>
      <c r="Y203" s="571">
        <f>Y199/Y198-1</f>
        <v>0.21849693483690302</v>
      </c>
      <c r="Z203" s="571">
        <f>Z199/Z198-1</f>
        <v>4.8941620601321345E-2</v>
      </c>
      <c r="AD203" s="574"/>
    </row>
    <row r="204" spans="2:30" s="278" customFormat="1" ht="11.25" customHeight="1">
      <c r="B204" s="573"/>
      <c r="E204" s="571"/>
      <c r="F204" s="571"/>
      <c r="G204" s="571"/>
      <c r="H204" s="571"/>
      <c r="I204" s="571"/>
      <c r="J204" s="571"/>
      <c r="K204" s="571"/>
      <c r="L204" s="571"/>
      <c r="M204" s="571"/>
      <c r="N204" s="571"/>
      <c r="O204" s="571"/>
      <c r="P204" s="571"/>
      <c r="Q204" s="571"/>
      <c r="R204" s="571"/>
      <c r="S204" s="571"/>
      <c r="T204" s="571"/>
      <c r="U204" s="516"/>
      <c r="V204" s="516"/>
      <c r="W204" s="516"/>
      <c r="X204" s="516"/>
      <c r="Y204" s="516"/>
      <c r="Z204" s="516"/>
      <c r="AA204" s="516"/>
      <c r="AD204" s="574"/>
    </row>
    <row r="205" spans="2:30" s="279" customFormat="1" ht="11.25" customHeight="1">
      <c r="B205" s="573"/>
      <c r="C205" s="491" t="s">
        <v>363</v>
      </c>
      <c r="D205" s="491"/>
      <c r="E205" s="492">
        <f t="shared" ref="E205:Q205" si="175">E196/E207</f>
        <v>2.0538071065989847</v>
      </c>
      <c r="F205" s="492">
        <f t="shared" si="175"/>
        <v>2.164246823956443</v>
      </c>
      <c r="G205" s="492">
        <f t="shared" si="175"/>
        <v>2.0246913580246915</v>
      </c>
      <c r="H205" s="492">
        <f t="shared" si="175"/>
        <v>2.0999066293183941</v>
      </c>
      <c r="I205" s="492">
        <f t="shared" si="175"/>
        <v>1.8967032967032966</v>
      </c>
      <c r="J205" s="492">
        <f t="shared" si="175"/>
        <v>1.1764705882352942</v>
      </c>
      <c r="K205" s="492">
        <f t="shared" si="175"/>
        <v>1.3126614987080103</v>
      </c>
      <c r="L205" s="492">
        <f t="shared" si="175"/>
        <v>1.3499005964214712</v>
      </c>
      <c r="M205" s="492">
        <f t="shared" si="175"/>
        <v>1.736734693877551</v>
      </c>
      <c r="N205" s="492">
        <f t="shared" si="175"/>
        <v>1.9712000000000001</v>
      </c>
      <c r="O205" s="492">
        <f t="shared" si="175"/>
        <v>2.1375000000000002</v>
      </c>
      <c r="P205" s="492">
        <f t="shared" si="175"/>
        <v>2.4103194103194103</v>
      </c>
      <c r="Q205" s="492">
        <f t="shared" si="175"/>
        <v>2.8774193548387097</v>
      </c>
      <c r="R205" s="492">
        <f>R198*(1+R201)</f>
        <v>4.3367466666666674</v>
      </c>
      <c r="S205" s="492">
        <f>S198*(1+S201)</f>
        <v>3.8743874999999997</v>
      </c>
      <c r="T205" s="492">
        <f>T198*(1+T201)</f>
        <v>3.5282133333333334</v>
      </c>
      <c r="U205" s="255"/>
      <c r="V205" s="492">
        <f t="shared" ref="V205:AA205" si="176">V196/V207</f>
        <v>1.7378079436902967</v>
      </c>
      <c r="W205" s="492">
        <f t="shared" si="176"/>
        <v>2.2496978486826205</v>
      </c>
      <c r="X205" s="492">
        <f t="shared" si="176"/>
        <v>2.0859739049394221</v>
      </c>
      <c r="Y205" s="492">
        <f t="shared" si="176"/>
        <v>1.5733532934131738</v>
      </c>
      <c r="Z205" s="492">
        <f t="shared" si="176"/>
        <v>2.1088310736533531</v>
      </c>
      <c r="AA205" s="492">
        <f t="shared" si="176"/>
        <v>3.6907731107319646</v>
      </c>
      <c r="AB205" s="492">
        <f>AB198*(1+AB201)</f>
        <v>3.1701175000000004</v>
      </c>
      <c r="AC205" s="492">
        <f>AC198*(1+AC201)</f>
        <v>2.8099225000000003</v>
      </c>
      <c r="AD205" s="575">
        <f>AD198*(1+AD201)</f>
        <v>2.8099225000000003</v>
      </c>
    </row>
    <row r="206" spans="2:30" s="279" customFormat="1" ht="11.25" customHeight="1">
      <c r="B206" s="573"/>
      <c r="U206" s="283"/>
      <c r="X206" s="283">
        <f>X205*42</f>
        <v>87.61090400745573</v>
      </c>
      <c r="Y206" s="283"/>
      <c r="Z206" s="602"/>
      <c r="AD206" s="577"/>
    </row>
    <row r="207" spans="2:30" ht="11.25" customHeight="1">
      <c r="B207" s="425"/>
      <c r="C207" s="253" t="s">
        <v>364</v>
      </c>
      <c r="E207" s="277">
        <v>985</v>
      </c>
      <c r="F207" s="277">
        <v>1102</v>
      </c>
      <c r="G207" s="277">
        <v>1134</v>
      </c>
      <c r="H207" s="277">
        <v>1071</v>
      </c>
      <c r="I207" s="277">
        <v>910</v>
      </c>
      <c r="J207" s="277">
        <v>204</v>
      </c>
      <c r="K207" s="277">
        <v>387</v>
      </c>
      <c r="L207" s="277">
        <v>503</v>
      </c>
      <c r="M207" s="277">
        <v>490</v>
      </c>
      <c r="N207" s="277">
        <v>625</v>
      </c>
      <c r="O207" s="277">
        <v>800</v>
      </c>
      <c r="P207" s="277">
        <v>814</v>
      </c>
      <c r="Q207" s="277">
        <v>775</v>
      </c>
      <c r="R207" s="255">
        <f>R111/R209*1000</f>
        <v>933.18411352687292</v>
      </c>
      <c r="S207" s="255">
        <f>S111/S209*1000</f>
        <v>1004.9428809575527</v>
      </c>
      <c r="T207" s="255">
        <f>T111/T209*1000</f>
        <v>965.70673993220998</v>
      </c>
      <c r="U207" s="255"/>
      <c r="V207" s="277">
        <v>3978</v>
      </c>
      <c r="W207" s="277">
        <v>4137</v>
      </c>
      <c r="X207" s="255">
        <f>SUMIF($E$5:$T$5,X$5,$E207:$T207)</f>
        <v>4292</v>
      </c>
      <c r="Y207" s="255">
        <f>SUMIF($E$5:$T$5,Y$5,$E207:$T207)</f>
        <v>2004</v>
      </c>
      <c r="Z207" s="255">
        <f>SUMIF($E$5:$T$5,Z$5,$E207:$T207)</f>
        <v>2729</v>
      </c>
      <c r="AA207" s="255">
        <f>SUMIF($E$5:$T$5,AA$5,$E207:$T207)</f>
        <v>3678.8337344166353</v>
      </c>
      <c r="AB207" s="255">
        <f>AB111/AB209*1000</f>
        <v>4278.0906555600604</v>
      </c>
      <c r="AC207" s="255">
        <f>AC111/AC209*1000</f>
        <v>4409.2452454720396</v>
      </c>
      <c r="AD207" s="504">
        <f>AD111/AD209*1000</f>
        <v>4412.6640594728906</v>
      </c>
    </row>
    <row r="208" spans="2:30" ht="11.25" customHeight="1">
      <c r="B208" s="425"/>
      <c r="E208" s="277"/>
      <c r="F208" s="277"/>
      <c r="G208" s="277"/>
      <c r="H208" s="277"/>
      <c r="I208" s="277"/>
      <c r="J208" s="277"/>
      <c r="K208" s="277"/>
      <c r="L208" s="277"/>
      <c r="M208" s="277"/>
      <c r="N208" s="277"/>
      <c r="O208" s="277"/>
      <c r="P208" s="277"/>
      <c r="Q208" s="255"/>
      <c r="R208" s="255"/>
      <c r="S208" s="255"/>
      <c r="T208" s="255"/>
      <c r="U208" s="255"/>
      <c r="V208" s="277"/>
      <c r="W208" s="277"/>
      <c r="X208" s="277"/>
      <c r="Y208" s="277"/>
      <c r="Z208" s="277"/>
      <c r="AA208" s="277"/>
      <c r="AB208" s="277"/>
      <c r="AC208" s="255"/>
      <c r="AD208" s="504"/>
    </row>
    <row r="209" spans="2:31" ht="11.25" customHeight="1">
      <c r="B209" s="425"/>
      <c r="C209" s="253" t="s">
        <v>416</v>
      </c>
      <c r="E209" s="255">
        <f t="shared" ref="E209:Q209" si="177">E111/E207*1000</f>
        <v>66.644670050761405</v>
      </c>
      <c r="F209" s="255">
        <f t="shared" si="177"/>
        <v>66.460980036297642</v>
      </c>
      <c r="G209" s="255">
        <f t="shared" si="177"/>
        <v>66.204585537918874</v>
      </c>
      <c r="H209" s="255">
        <f t="shared" si="177"/>
        <v>66.328664799253048</v>
      </c>
      <c r="I209" s="255">
        <f t="shared" si="177"/>
        <v>66.964835164835179</v>
      </c>
      <c r="J209" s="255">
        <f t="shared" si="177"/>
        <v>43.936274509803923</v>
      </c>
      <c r="K209" s="255">
        <f t="shared" si="177"/>
        <v>57.395348837209298</v>
      </c>
      <c r="L209" s="255">
        <f t="shared" si="177"/>
        <v>61.015904572564608</v>
      </c>
      <c r="M209" s="255">
        <f t="shared" si="177"/>
        <v>61.979591836734691</v>
      </c>
      <c r="N209" s="255">
        <f t="shared" si="177"/>
        <v>63.380800000000001</v>
      </c>
      <c r="O209" s="255">
        <f t="shared" si="177"/>
        <v>67.357500000000016</v>
      </c>
      <c r="P209" s="255">
        <f t="shared" si="177"/>
        <v>67.340294840294845</v>
      </c>
      <c r="Q209" s="255">
        <f t="shared" si="177"/>
        <v>68.727741935483863</v>
      </c>
      <c r="R209" s="255">
        <f>(R210+1)*F209</f>
        <v>68.321887477313979</v>
      </c>
      <c r="S209" s="255">
        <f>(S210+1)*G209</f>
        <v>68.852768959435636</v>
      </c>
      <c r="T209" s="255">
        <f>(T210+1)*H209</f>
        <v>68.6501680672269</v>
      </c>
      <c r="U209" s="255"/>
      <c r="V209" s="255">
        <f t="shared" ref="V209:AA209" si="178">V111/V207*1000</f>
        <v>69.196002262443429</v>
      </c>
      <c r="W209" s="255">
        <f t="shared" si="178"/>
        <v>63.424202803964228</v>
      </c>
      <c r="X209" s="255">
        <f t="shared" si="178"/>
        <v>66.402376514445479</v>
      </c>
      <c r="Y209" s="255">
        <f t="shared" si="178"/>
        <v>61.27944111776447</v>
      </c>
      <c r="Z209" s="255">
        <f t="shared" si="178"/>
        <v>65.475998534261635</v>
      </c>
      <c r="AA209" s="255">
        <f t="shared" si="178"/>
        <v>68.638581743363673</v>
      </c>
      <c r="AB209" s="255">
        <f>(AB210+1)*X209</f>
        <v>68.726459692451058</v>
      </c>
      <c r="AC209" s="255">
        <f>(AC210+1)*$X209</f>
        <v>68.792862068965519</v>
      </c>
      <c r="AD209" s="504">
        <f>(AD210+1)*$X209</f>
        <v>68.792862068965519</v>
      </c>
      <c r="AE209" s="255"/>
    </row>
    <row r="210" spans="2:31" s="278" customFormat="1" ht="11.25" customHeight="1">
      <c r="B210" s="573"/>
      <c r="C210" s="278" t="s">
        <v>534</v>
      </c>
      <c r="I210" s="297">
        <f>I209/E209-1</f>
        <v>4.804061807642146E-3</v>
      </c>
      <c r="J210" s="297">
        <f>J209/F209-1</f>
        <v>-0.3389162409912081</v>
      </c>
      <c r="K210" s="297">
        <f>K209/G209-1</f>
        <v>-0.13306082394646301</v>
      </c>
      <c r="L210" s="297">
        <f>L209/H209-1</f>
        <v>-8.0097499968795782E-2</v>
      </c>
      <c r="M210" s="297">
        <f>M209/E209-1</f>
        <v>-6.9999269416045617E-2</v>
      </c>
      <c r="N210" s="297">
        <f>N209/F209-1</f>
        <v>-4.634569087930096E-2</v>
      </c>
      <c r="O210" s="297">
        <f>O209/G209-1</f>
        <v>1.7414420054345126E-2</v>
      </c>
      <c r="P210" s="297">
        <f>P209/H209-1</f>
        <v>1.5251777555051804E-2</v>
      </c>
      <c r="Q210" s="297">
        <f>Q209/I209-1</f>
        <v>2.6325858434643523E-2</v>
      </c>
      <c r="R210" s="296">
        <v>2.8000000000000001E-2</v>
      </c>
      <c r="S210" s="296">
        <v>0.04</v>
      </c>
      <c r="T210" s="296">
        <v>3.5000000000000003E-2</v>
      </c>
      <c r="U210" s="255"/>
      <c r="W210" s="297">
        <f>W209/V209-1</f>
        <v>-8.341232542001753E-2</v>
      </c>
      <c r="X210" s="297">
        <f>X209/W209-1</f>
        <v>4.6956423239349121E-2</v>
      </c>
      <c r="Y210" s="297">
        <f>Y209/X209-1</f>
        <v>-7.7149880254158365E-2</v>
      </c>
      <c r="Z210" s="297">
        <f>Z209/X209-1</f>
        <v>-1.395097628745734E-2</v>
      </c>
      <c r="AA210" s="297">
        <f>AA209/X209-1</f>
        <v>3.3676584277547938E-2</v>
      </c>
      <c r="AB210" s="296">
        <v>3.5000000000000003E-2</v>
      </c>
      <c r="AC210" s="296">
        <v>3.5999999999999997E-2</v>
      </c>
      <c r="AD210" s="570">
        <v>3.5999999999999997E-2</v>
      </c>
    </row>
    <row r="211" spans="2:31" s="278" customFormat="1" ht="11.25" customHeight="1">
      <c r="B211" s="573"/>
      <c r="M211" s="297"/>
      <c r="N211" s="297"/>
      <c r="O211" s="297"/>
      <c r="P211" s="297"/>
      <c r="U211" s="441"/>
      <c r="AD211" s="574"/>
    </row>
    <row r="212" spans="2:31" s="278" customFormat="1" ht="11.25" customHeight="1">
      <c r="B212" s="573"/>
      <c r="C212" s="587" t="s">
        <v>588</v>
      </c>
      <c r="D212" s="486"/>
      <c r="E212" s="486"/>
      <c r="F212" s="486"/>
      <c r="G212" s="486"/>
      <c r="H212" s="486"/>
      <c r="I212" s="519"/>
      <c r="J212" s="519"/>
      <c r="K212" s="519"/>
      <c r="L212" s="519"/>
      <c r="M212" s="519"/>
      <c r="N212" s="519"/>
      <c r="O212" s="519"/>
      <c r="P212" s="519"/>
      <c r="Q212" s="519"/>
      <c r="R212" s="519"/>
      <c r="S212" s="519"/>
      <c r="T212" s="519"/>
      <c r="U212" s="441"/>
      <c r="V212" s="486"/>
      <c r="W212" s="486"/>
      <c r="X212" s="486"/>
      <c r="Y212" s="486"/>
      <c r="Z212" s="486"/>
      <c r="AA212" s="486"/>
      <c r="AB212" s="486"/>
      <c r="AC212" s="486"/>
      <c r="AD212" s="520"/>
    </row>
    <row r="213" spans="2:31" s="278" customFormat="1" ht="11.25" customHeight="1">
      <c r="B213" s="573"/>
      <c r="C213" s="486" t="s">
        <v>586</v>
      </c>
      <c r="D213" s="486"/>
      <c r="E213" s="486"/>
      <c r="F213" s="486"/>
      <c r="G213" s="486"/>
      <c r="H213" s="486"/>
      <c r="I213" s="487">
        <f>I205/E205-1</f>
        <v>-7.6493945994687507E-2</v>
      </c>
      <c r="J213" s="487">
        <f>J205/F205-1</f>
        <v>-0.45640646195585155</v>
      </c>
      <c r="K213" s="487">
        <f>K205/G205-1</f>
        <v>-0.35167328417470223</v>
      </c>
      <c r="L213" s="487">
        <f>L205/H205-1</f>
        <v>-0.35716161015233638</v>
      </c>
      <c r="M213" s="487">
        <f>M205/E205-1</f>
        <v>-0.15438276150796448</v>
      </c>
      <c r="N213" s="487">
        <f>N205/F205-1</f>
        <v>-8.9198155136268387E-2</v>
      </c>
      <c r="O213" s="487">
        <f>O205/G205-1</f>
        <v>5.5716463414634099E-2</v>
      </c>
      <c r="P213" s="487">
        <f>P205/H205-1</f>
        <v>0.14782218250426338</v>
      </c>
      <c r="Q213" s="487">
        <f>Q205/E205-1</f>
        <v>0.40101733292937669</v>
      </c>
      <c r="R213" s="487">
        <f>R205/F205-1</f>
        <v>1.003813344514326</v>
      </c>
      <c r="S213" s="487">
        <f>S205/G205-1</f>
        <v>0.91356943597560947</v>
      </c>
      <c r="T213" s="487">
        <f>T205/H205-1</f>
        <v>0.68017629168519345</v>
      </c>
      <c r="U213" s="441"/>
      <c r="V213" s="486"/>
      <c r="W213" s="487"/>
      <c r="X213" s="487"/>
      <c r="Y213" s="487">
        <f t="shared" ref="Y213:AD213" si="179">Y205/$X205-1</f>
        <v>-0.24574641624825844</v>
      </c>
      <c r="Z213" s="487">
        <f t="shared" si="179"/>
        <v>1.0957552565641793E-2</v>
      </c>
      <c r="AA213" s="487">
        <f t="shared" si="179"/>
        <v>0.76932851460533813</v>
      </c>
      <c r="AB213" s="487">
        <f t="shared" si="179"/>
        <v>0.51973018094493484</v>
      </c>
      <c r="AC213" s="487">
        <f t="shared" si="179"/>
        <v>0.34705544175136849</v>
      </c>
      <c r="AD213" s="521">
        <f t="shared" si="179"/>
        <v>0.34705544175136849</v>
      </c>
    </row>
    <row r="214" spans="2:31" s="278" customFormat="1" ht="11.25" customHeight="1">
      <c r="B214" s="573"/>
      <c r="C214" s="487" t="s">
        <v>592</v>
      </c>
      <c r="D214" s="486"/>
      <c r="E214" s="486"/>
      <c r="F214" s="486"/>
      <c r="G214" s="486"/>
      <c r="H214" s="486"/>
      <c r="I214" s="487">
        <f>(I111/E111)-1</f>
        <v>-7.1703861680249781E-2</v>
      </c>
      <c r="J214" s="487">
        <f>(J111/F111)-1</f>
        <v>-0.87762151829601309</v>
      </c>
      <c r="K214" s="487">
        <f>(K111/G111)-1</f>
        <v>-0.70413980499760243</v>
      </c>
      <c r="L214" s="487">
        <f>(L111/H111)-1</f>
        <v>-0.56796362510205811</v>
      </c>
      <c r="M214" s="487">
        <f>(M111/E111)-1</f>
        <v>-0.53736004265366755</v>
      </c>
      <c r="N214" s="487">
        <f>(N111/F111)-1</f>
        <v>-0.45913435281267079</v>
      </c>
      <c r="O214" s="487">
        <f>(O111/G111)-1</f>
        <v>-0.28224732271298414</v>
      </c>
      <c r="P214" s="487">
        <f>(P111/H111)-1</f>
        <v>-0.22837073115797191</v>
      </c>
      <c r="Q214" s="487">
        <f>(Q111/E111)-1</f>
        <v>-0.18860537740878969</v>
      </c>
      <c r="R214" s="487">
        <f>(R111/F111)-1</f>
        <v>-0.1294797924631349</v>
      </c>
      <c r="S214" s="487">
        <f>(S111/G111)-1</f>
        <v>-7.8359262613884706E-2</v>
      </c>
      <c r="T214" s="487">
        <f>(T111/H111)-1</f>
        <v>-6.675399082181388E-2</v>
      </c>
      <c r="U214" s="441"/>
      <c r="V214" s="486"/>
      <c r="W214" s="487"/>
      <c r="X214" s="487"/>
      <c r="Y214" s="487">
        <f t="shared" ref="Y214:AD214" si="180">(Y111/$X111)-1</f>
        <v>-0.56910726002547385</v>
      </c>
      <c r="Z214" s="487">
        <f t="shared" si="180"/>
        <v>-0.37303639661893562</v>
      </c>
      <c r="AA214" s="487">
        <f t="shared" si="180"/>
        <v>-0.11399713683205903</v>
      </c>
      <c r="AB214" s="487">
        <f t="shared" si="180"/>
        <v>3.1645812792325589E-2</v>
      </c>
      <c r="AC214" s="487">
        <f t="shared" si="180"/>
        <v>6.4300576493250938E-2</v>
      </c>
      <c r="AD214" s="521">
        <f t="shared" si="180"/>
        <v>6.5125807458973783E-2</v>
      </c>
    </row>
    <row r="215" spans="2:31" s="278" customFormat="1" ht="11.25" customHeight="1">
      <c r="B215" s="573"/>
      <c r="C215" s="487" t="s">
        <v>591</v>
      </c>
      <c r="D215" s="486"/>
      <c r="E215" s="486"/>
      <c r="F215" s="486"/>
      <c r="G215" s="486"/>
      <c r="H215" s="486"/>
      <c r="I215" s="487">
        <f t="shared" ref="I215:T215" si="181">+(1+I216)/((1+I213)*(1+I214))-1</f>
        <v>-4.7810931406857549E-3</v>
      </c>
      <c r="J215" s="487">
        <f t="shared" si="181"/>
        <v>0.51266762550537948</v>
      </c>
      <c r="K215" s="487">
        <f t="shared" si="181"/>
        <v>0.15348345953424269</v>
      </c>
      <c r="L215" s="487">
        <f t="shared" si="181"/>
        <v>8.7071727673398769E-2</v>
      </c>
      <c r="M215" s="487">
        <f t="shared" si="181"/>
        <v>7.526797250158368E-2</v>
      </c>
      <c r="N215" s="487">
        <f t="shared" si="181"/>
        <v>4.8597998704618117E-2</v>
      </c>
      <c r="O215" s="487">
        <f t="shared" si="181"/>
        <v>-1.7116348767117651E-2</v>
      </c>
      <c r="P215" s="487">
        <f t="shared" si="181"/>
        <v>-1.5022655357256554E-2</v>
      </c>
      <c r="Q215" s="487">
        <f t="shared" si="181"/>
        <v>-3.0309040076973326E-2</v>
      </c>
      <c r="R215" s="487">
        <f t="shared" si="181"/>
        <v>-2.7237354085603127E-2</v>
      </c>
      <c r="S215" s="487">
        <f t="shared" si="181"/>
        <v>-3.8461538461538325E-2</v>
      </c>
      <c r="T215" s="487">
        <f t="shared" si="181"/>
        <v>-3.3816425120772986E-2</v>
      </c>
      <c r="U215" s="441"/>
      <c r="V215" s="486"/>
      <c r="W215" s="487"/>
      <c r="X215" s="487"/>
      <c r="Y215" s="487">
        <f t="shared" ref="Y215:AD215" si="182">+(1+Y216)/((1+Y213)*(1+Y214))-1</f>
        <v>8.3599577659919655E-2</v>
      </c>
      <c r="Z215" s="487">
        <f t="shared" si="182"/>
        <v>1.4148359718395342E-2</v>
      </c>
      <c r="AA215" s="487">
        <f t="shared" si="182"/>
        <v>-3.2579420671587478E-2</v>
      </c>
      <c r="AB215" s="487">
        <f t="shared" si="182"/>
        <v>-3.3816425120772653E-2</v>
      </c>
      <c r="AC215" s="487">
        <f t="shared" si="182"/>
        <v>-3.474903474903468E-2</v>
      </c>
      <c r="AD215" s="521">
        <f t="shared" si="182"/>
        <v>-3.4749034749035124E-2</v>
      </c>
    </row>
    <row r="216" spans="2:31" s="392" customFormat="1" ht="11.25" customHeight="1">
      <c r="B216" s="585"/>
      <c r="C216" s="489" t="s">
        <v>585</v>
      </c>
      <c r="D216" s="488"/>
      <c r="E216" s="522"/>
      <c r="F216" s="522"/>
      <c r="G216" s="522"/>
      <c r="H216" s="522"/>
      <c r="I216" s="490">
        <f>+I196/E196-1</f>
        <v>-0.14681166584280769</v>
      </c>
      <c r="J216" s="490">
        <f>+J196/F196-1</f>
        <v>-0.89937106918238996</v>
      </c>
      <c r="K216" s="490">
        <f>+K196/G196-1</f>
        <v>-0.77874564459930318</v>
      </c>
      <c r="L216" s="490">
        <f>+L196/H196-1</f>
        <v>-0.69808803912850159</v>
      </c>
      <c r="M216" s="490">
        <f>+M196/E196-1</f>
        <v>-0.57933761739990119</v>
      </c>
      <c r="N216" s="490">
        <f>+N196/F196-1</f>
        <v>-0.48343815513626831</v>
      </c>
      <c r="O216" s="490">
        <f>+O196/G196-1</f>
        <v>-0.25522648083623689</v>
      </c>
      <c r="P216" s="490">
        <f>+P196/H196-1</f>
        <v>-0.12761227212094262</v>
      </c>
      <c r="Q216" s="490">
        <f>+Q196/E196-1</f>
        <v>0.10232328225407805</v>
      </c>
      <c r="R216" s="490">
        <f>+R196/F196-1</f>
        <v>0.69684825732660571</v>
      </c>
      <c r="S216" s="490">
        <f>+S196/G196-1</f>
        <v>0.6957918711654747</v>
      </c>
      <c r="T216" s="490">
        <f>+T196/H196-1</f>
        <v>0.51499306176909254</v>
      </c>
      <c r="U216" s="1179"/>
      <c r="V216" s="522"/>
      <c r="W216" s="523"/>
      <c r="X216" s="523"/>
      <c r="Y216" s="490">
        <f t="shared" ref="Y216:AD216" si="183">+Y196/$X196-1</f>
        <v>-0.64782754384005359</v>
      </c>
      <c r="Z216" s="490">
        <f t="shared" si="183"/>
        <v>-0.3571987043449123</v>
      </c>
      <c r="AA216" s="490">
        <f t="shared" si="183"/>
        <v>0.51655764836798546</v>
      </c>
      <c r="AB216" s="490">
        <f t="shared" si="183"/>
        <v>0.51480509927146456</v>
      </c>
      <c r="AC216" s="490">
        <f t="shared" si="183"/>
        <v>0.38385316913547518</v>
      </c>
      <c r="AD216" s="524">
        <f t="shared" si="183"/>
        <v>0.38492617286431519</v>
      </c>
    </row>
    <row r="217" spans="2:31" s="499" customFormat="1" ht="11.25" customHeight="1">
      <c r="B217" s="584"/>
      <c r="C217" s="588"/>
      <c r="E217" s="534"/>
      <c r="F217" s="534"/>
      <c r="G217" s="534"/>
      <c r="H217" s="534"/>
      <c r="I217" s="525"/>
      <c r="J217" s="525"/>
      <c r="K217" s="525"/>
      <c r="L217" s="525"/>
      <c r="M217" s="525"/>
      <c r="N217" s="525"/>
      <c r="O217" s="525"/>
      <c r="P217" s="525"/>
      <c r="Q217" s="525"/>
      <c r="R217" s="525"/>
      <c r="S217" s="525"/>
      <c r="T217" s="525"/>
      <c r="U217" s="516"/>
      <c r="V217" s="534"/>
      <c r="W217" s="526"/>
      <c r="X217" s="526"/>
      <c r="Y217" s="526"/>
      <c r="Z217" s="526"/>
      <c r="AA217" s="526"/>
      <c r="AB217" s="526"/>
      <c r="AC217" s="526"/>
      <c r="AD217" s="535"/>
    </row>
    <row r="218" spans="2:31" ht="11.25" customHeight="1">
      <c r="B218" s="425"/>
      <c r="C218" s="589" t="s">
        <v>589</v>
      </c>
      <c r="D218" s="527"/>
      <c r="E218" s="527"/>
      <c r="F218" s="527"/>
      <c r="G218" s="527"/>
      <c r="H218" s="527"/>
      <c r="I218" s="527"/>
      <c r="J218" s="527"/>
      <c r="K218" s="527"/>
      <c r="L218" s="527"/>
      <c r="M218" s="528"/>
      <c r="N218" s="528"/>
      <c r="O218" s="528"/>
      <c r="P218" s="528"/>
      <c r="Q218" s="527"/>
      <c r="R218" s="527"/>
      <c r="S218" s="527"/>
      <c r="T218" s="527"/>
      <c r="U218" s="255"/>
      <c r="V218" s="527"/>
      <c r="W218" s="527"/>
      <c r="X218" s="527"/>
      <c r="Y218" s="528"/>
      <c r="Z218" s="527"/>
      <c r="AA218" s="527"/>
      <c r="AB218" s="527"/>
      <c r="AC218" s="527"/>
      <c r="AD218" s="412"/>
    </row>
    <row r="219" spans="2:31" ht="11.25" customHeight="1">
      <c r="B219" s="425"/>
      <c r="C219" s="527" t="s">
        <v>586</v>
      </c>
      <c r="D219" s="527"/>
      <c r="E219" s="527"/>
      <c r="F219" s="527"/>
      <c r="G219" s="527"/>
      <c r="H219" s="527"/>
      <c r="I219" s="529">
        <f t="shared" ref="I219:L220" si="184">+I213*E$196</f>
        <v>-154.74725274725282</v>
      </c>
      <c r="J219" s="529">
        <f t="shared" si="184"/>
        <v>-1088.5294117647059</v>
      </c>
      <c r="K219" s="529">
        <f t="shared" si="184"/>
        <v>-807.44186046511629</v>
      </c>
      <c r="L219" s="529">
        <f t="shared" si="184"/>
        <v>-803.25646123260458</v>
      </c>
      <c r="M219" s="529">
        <f t="shared" ref="M219:P220" si="185">+M213*E$196</f>
        <v>-312.31632653061217</v>
      </c>
      <c r="N219" s="529">
        <f t="shared" si="185"/>
        <v>-212.7376000000001</v>
      </c>
      <c r="O219" s="529">
        <f t="shared" si="185"/>
        <v>127.9249999999999</v>
      </c>
      <c r="P219" s="529">
        <f t="shared" si="185"/>
        <v>332.45208845208833</v>
      </c>
      <c r="Q219" s="529">
        <f t="shared" ref="Q219:T220" si="186">+Q213*E$196</f>
        <v>811.25806451612902</v>
      </c>
      <c r="R219" s="529">
        <f t="shared" si="186"/>
        <v>2394.0948266666674</v>
      </c>
      <c r="S219" s="529">
        <f t="shared" si="186"/>
        <v>2097.5554249999996</v>
      </c>
      <c r="T219" s="529">
        <f t="shared" si="186"/>
        <v>1529.71648</v>
      </c>
      <c r="U219" s="255"/>
      <c r="V219" s="527"/>
      <c r="W219" s="528"/>
      <c r="X219" s="528"/>
      <c r="Y219" s="529">
        <f t="shared" ref="Y219:AD220" si="187">+Y213*$X$196</f>
        <v>-2200.1676646706578</v>
      </c>
      <c r="Z219" s="529">
        <f t="shared" si="187"/>
        <v>98.102968120190965</v>
      </c>
      <c r="AA219" s="529">
        <f t="shared" si="187"/>
        <v>6887.7981912615924</v>
      </c>
      <c r="AB219" s="529">
        <f t="shared" si="187"/>
        <v>4653.1443100000015</v>
      </c>
      <c r="AC219" s="529">
        <f t="shared" si="187"/>
        <v>3107.1873700000019</v>
      </c>
      <c r="AD219" s="530">
        <f t="shared" si="187"/>
        <v>3107.1873700000019</v>
      </c>
    </row>
    <row r="220" spans="2:31" ht="11.25" customHeight="1">
      <c r="B220" s="425"/>
      <c r="C220" s="590" t="s">
        <v>592</v>
      </c>
      <c r="D220" s="527"/>
      <c r="E220" s="527"/>
      <c r="F220" s="527"/>
      <c r="G220" s="527"/>
      <c r="H220" s="527"/>
      <c r="I220" s="529">
        <f t="shared" si="184"/>
        <v>-145.05691217914531</v>
      </c>
      <c r="J220" s="529">
        <f t="shared" si="184"/>
        <v>-2093.1273211359912</v>
      </c>
      <c r="K220" s="529">
        <f t="shared" si="184"/>
        <v>-1616.7049922744952</v>
      </c>
      <c r="L220" s="529">
        <f t="shared" si="184"/>
        <v>-1277.3501928545286</v>
      </c>
      <c r="M220" s="529">
        <f t="shared" si="185"/>
        <v>-1087.0793662883696</v>
      </c>
      <c r="N220" s="529">
        <f t="shared" si="185"/>
        <v>-1095.0354314582198</v>
      </c>
      <c r="O220" s="529">
        <f t="shared" si="185"/>
        <v>-648.03985294901156</v>
      </c>
      <c r="P220" s="529">
        <f t="shared" si="185"/>
        <v>-513.60577437427878</v>
      </c>
      <c r="Q220" s="529">
        <f t="shared" si="186"/>
        <v>-381.54867849798154</v>
      </c>
      <c r="R220" s="529">
        <f t="shared" si="186"/>
        <v>-308.80930502457676</v>
      </c>
      <c r="S220" s="529">
        <f t="shared" si="186"/>
        <v>-179.9128669614793</v>
      </c>
      <c r="T220" s="529">
        <f t="shared" si="186"/>
        <v>-150.12972535825941</v>
      </c>
      <c r="U220" s="255"/>
      <c r="V220" s="527"/>
      <c r="W220" s="528"/>
      <c r="X220" s="528"/>
      <c r="Y220" s="529">
        <f t="shared" si="187"/>
        <v>-5095.2172990080671</v>
      </c>
      <c r="Z220" s="529">
        <f t="shared" si="187"/>
        <v>-3339.7948589293305</v>
      </c>
      <c r="AA220" s="529">
        <f t="shared" si="187"/>
        <v>-1020.6163660574246</v>
      </c>
      <c r="AB220" s="529">
        <f t="shared" si="187"/>
        <v>283.32496192969103</v>
      </c>
      <c r="AC220" s="529">
        <f t="shared" si="187"/>
        <v>575.68306134407567</v>
      </c>
      <c r="AD220" s="530">
        <f t="shared" si="187"/>
        <v>583.07135418019232</v>
      </c>
    </row>
    <row r="221" spans="2:31" ht="11.25" customHeight="1">
      <c r="B221" s="425"/>
      <c r="C221" s="590" t="s">
        <v>591</v>
      </c>
      <c r="D221" s="527"/>
      <c r="E221" s="527"/>
      <c r="F221" s="527"/>
      <c r="G221" s="527"/>
      <c r="H221" s="527"/>
      <c r="I221" s="529">
        <f>I215*E$196</f>
        <v>-9.6721514236072821</v>
      </c>
      <c r="J221" s="529">
        <f>J215*F$196</f>
        <v>1222.71228683033</v>
      </c>
      <c r="K221" s="529">
        <f>K215*G$196</f>
        <v>352.39802309062122</v>
      </c>
      <c r="L221" s="529">
        <f>L215*H$196</f>
        <v>195.82431553747384</v>
      </c>
      <c r="M221" s="529">
        <f>M215*E$196</f>
        <v>152.2671083707038</v>
      </c>
      <c r="N221" s="529">
        <f>N215*F$196</f>
        <v>115.90622691051421</v>
      </c>
      <c r="O221" s="529">
        <f>O215*G$196</f>
        <v>-39.299136769302123</v>
      </c>
      <c r="P221" s="529">
        <f>P215*H$196</f>
        <v>-33.785951898469989</v>
      </c>
      <c r="Q221" s="529">
        <f>Q215*E$196</f>
        <v>-61.315188075717039</v>
      </c>
      <c r="R221" s="529">
        <f>R215*F$196</f>
        <v>-64.96108949416346</v>
      </c>
      <c r="S221" s="529">
        <f>S215*G$196</f>
        <v>-88.307692307691994</v>
      </c>
      <c r="T221" s="529">
        <f>T215*H$196</f>
        <v>-76.053140096618449</v>
      </c>
      <c r="U221" s="255"/>
      <c r="V221" s="527"/>
      <c r="W221" s="528"/>
      <c r="X221" s="528"/>
      <c r="Y221" s="529">
        <f t="shared" ref="Y221:AD221" si="188">Y215*$X$196</f>
        <v>748.46701878926069</v>
      </c>
      <c r="Z221" s="529">
        <f t="shared" si="188"/>
        <v>126.67026455879351</v>
      </c>
      <c r="AA221" s="529">
        <f t="shared" si="188"/>
        <v>-291.68355327272269</v>
      </c>
      <c r="AB221" s="529">
        <f t="shared" si="188"/>
        <v>-302.75845410627755</v>
      </c>
      <c r="AC221" s="529">
        <f t="shared" si="188"/>
        <v>-311.1081081081075</v>
      </c>
      <c r="AD221" s="530">
        <f t="shared" si="188"/>
        <v>-311.10810810811148</v>
      </c>
    </row>
    <row r="222" spans="2:31" ht="11.25" customHeight="1">
      <c r="B222" s="425"/>
      <c r="C222" s="527" t="s">
        <v>587</v>
      </c>
      <c r="D222" s="527"/>
      <c r="E222" s="527"/>
      <c r="F222" s="527"/>
      <c r="G222" s="527"/>
      <c r="H222" s="527"/>
      <c r="I222" s="529">
        <f>(I213*I214*E196+I213*I215*E196+I214*I215*E196)+I213*I214*I215*E196</f>
        <v>12.476316350005376</v>
      </c>
      <c r="J222" s="529">
        <f>(J213*J214*F196+J213*J215*F196+J214*J215*F196)+J213*J214*J215*F196</f>
        <v>-186.05555392963299</v>
      </c>
      <c r="K222" s="529">
        <f>(K213*K214*G196+K213*K215*G196+K214*K215*G196)+K213*K214*K215*G196</f>
        <v>283.74882964899018</v>
      </c>
      <c r="L222" s="529">
        <f>(L213*L214*H196+L213*L215*H196+L214*L215*H196)+L213*L214*L215*H196</f>
        <v>314.78233854965936</v>
      </c>
      <c r="M222" s="529">
        <f>(M213*M214*E196+M213*M215*E196+M214*M215*E196)+M213*M214*M215*E196</f>
        <v>75.128584448277692</v>
      </c>
      <c r="N222" s="529">
        <f>(N213*N214*F196+N213*N215*F196+N214*N215*F196)+N213*N214*N215*F196</f>
        <v>38.866804547705769</v>
      </c>
      <c r="O222" s="529">
        <f>(O213*O214*G196+O213*O215*G196+O214*O215*G196)+O213*O214*O215*G196</f>
        <v>-26.586010281686121</v>
      </c>
      <c r="P222" s="529">
        <f>(P213*P214*H196+P213*P215*H196+P214*P215*H196)+P213*P214*P215*H196</f>
        <v>-72.060362179339492</v>
      </c>
      <c r="Q222" s="529">
        <f>(Q213*Q214*E196+Q213*Q215*E196+Q214*Q215*E196)+Q213*Q214*Q215*E196</f>
        <v>-161.39419794243079</v>
      </c>
      <c r="R222" s="529">
        <f>(R213*R214*F196+R213*R215*F196+R214*R215*F196)+R213*R214*R215*F196</f>
        <v>-358.34133842397239</v>
      </c>
      <c r="S222" s="529">
        <f>(S213*S214*G196+S213*S215*G196+S214*S215*G196)+S213*S214*S215*G196</f>
        <v>-231.79672953489808</v>
      </c>
      <c r="T222" s="529">
        <f>(T213*T214*H196+T213*T215*H196+T214*T215*H196)+T213*T214*T215*H196</f>
        <v>-145.31421862643327</v>
      </c>
      <c r="U222" s="255"/>
      <c r="V222" s="527"/>
      <c r="W222" s="528"/>
      <c r="X222" s="528"/>
      <c r="Y222" s="529">
        <f t="shared" ref="Y222:AD222" si="189">(Y213*Y214*$X196+Y213*Y215*$X196+Y214*Y215*$X196)+Y213*Y214*Y215*$X196</f>
        <v>746.91794488946505</v>
      </c>
      <c r="Z222" s="529">
        <f t="shared" si="189"/>
        <v>-82.978373749653429</v>
      </c>
      <c r="AA222" s="529">
        <f t="shared" si="189"/>
        <v>-950.75764609287216</v>
      </c>
      <c r="AB222" s="529">
        <f t="shared" si="189"/>
        <v>-24.66076404599287</v>
      </c>
      <c r="AC222" s="529">
        <f t="shared" si="189"/>
        <v>64.875100033939987</v>
      </c>
      <c r="AD222" s="530">
        <f t="shared" si="189"/>
        <v>67.093409582130064</v>
      </c>
    </row>
    <row r="223" spans="2:31" s="279" customFormat="1" ht="11.25" customHeight="1">
      <c r="B223" s="576"/>
      <c r="C223" s="591" t="s">
        <v>585</v>
      </c>
      <c r="D223" s="531"/>
      <c r="E223" s="531"/>
      <c r="F223" s="531"/>
      <c r="G223" s="531"/>
      <c r="H223" s="531"/>
      <c r="I223" s="514">
        <f t="shared" ref="I223:T223" si="190">SUM(I219:I222)</f>
        <v>-297</v>
      </c>
      <c r="J223" s="514">
        <f t="shared" si="190"/>
        <v>-2145</v>
      </c>
      <c r="K223" s="514">
        <f t="shared" si="190"/>
        <v>-1788</v>
      </c>
      <c r="L223" s="514">
        <f t="shared" si="190"/>
        <v>-1570</v>
      </c>
      <c r="M223" s="515">
        <f t="shared" si="190"/>
        <v>-1172.0000000000005</v>
      </c>
      <c r="N223" s="515">
        <f t="shared" si="190"/>
        <v>-1153</v>
      </c>
      <c r="O223" s="515">
        <f t="shared" si="190"/>
        <v>-585.99999999999989</v>
      </c>
      <c r="P223" s="515">
        <f t="shared" si="190"/>
        <v>-286.99999999999994</v>
      </c>
      <c r="Q223" s="514">
        <f t="shared" si="190"/>
        <v>206.99999999999963</v>
      </c>
      <c r="R223" s="514">
        <f t="shared" si="190"/>
        <v>1661.9830937239549</v>
      </c>
      <c r="S223" s="514">
        <f t="shared" si="190"/>
        <v>1597.5381361959303</v>
      </c>
      <c r="T223" s="514">
        <f t="shared" si="190"/>
        <v>1158.2193959186891</v>
      </c>
      <c r="U223" s="283"/>
      <c r="V223" s="531"/>
      <c r="W223" s="532"/>
      <c r="X223" s="532"/>
      <c r="Y223" s="515">
        <f t="shared" ref="Y223:AD223" si="191">SUM(Y219:Y222)</f>
        <v>-5800</v>
      </c>
      <c r="Z223" s="515">
        <f t="shared" si="191"/>
        <v>-3198</v>
      </c>
      <c r="AA223" s="515">
        <f t="shared" si="191"/>
        <v>4624.7406258385727</v>
      </c>
      <c r="AB223" s="515">
        <f t="shared" si="191"/>
        <v>4609.0500537774224</v>
      </c>
      <c r="AC223" s="515">
        <f t="shared" si="191"/>
        <v>3436.63742326991</v>
      </c>
      <c r="AD223" s="533">
        <f t="shared" si="191"/>
        <v>3446.2440256542127</v>
      </c>
    </row>
    <row r="224" spans="2:31" s="293" customFormat="1" ht="11.25" customHeight="1" thickBot="1">
      <c r="B224" s="586"/>
      <c r="C224" s="583" t="s">
        <v>233</v>
      </c>
      <c r="D224" s="578"/>
      <c r="E224" s="578"/>
      <c r="F224" s="578"/>
      <c r="G224" s="578"/>
      <c r="H224" s="578"/>
      <c r="I224" s="579">
        <f>SUM(I219:I222)-(I196-E196)</f>
        <v>0</v>
      </c>
      <c r="J224" s="579">
        <f>SUM(J219:J222)-(J196-F196)</f>
        <v>0</v>
      </c>
      <c r="K224" s="579">
        <f>SUM(K219:K222)-(K196-G196)</f>
        <v>0</v>
      </c>
      <c r="L224" s="579">
        <f>SUM(L219:L222)-(L196-H196)</f>
        <v>0</v>
      </c>
      <c r="M224" s="579">
        <f>SUM(M219:M222)-(M196-E196)</f>
        <v>0</v>
      </c>
      <c r="N224" s="579">
        <f>SUM(N219:N222)-(N196-F196)</f>
        <v>0</v>
      </c>
      <c r="O224" s="579">
        <f>SUM(O219:O222)-(O196-G196)</f>
        <v>0</v>
      </c>
      <c r="P224" s="579">
        <f>SUM(P219:P222)-(P196-H196)</f>
        <v>0</v>
      </c>
      <c r="Q224" s="579">
        <f>SUM(Q219:Q222)-(Q196-E196)</f>
        <v>-3.694822225952521E-13</v>
      </c>
      <c r="R224" s="579">
        <f>SUM(R219:R222)-(R196-F196)</f>
        <v>0</v>
      </c>
      <c r="S224" s="579">
        <f>SUM(S219:S222)-(S196-G196)</f>
        <v>0</v>
      </c>
      <c r="T224" s="579">
        <f>SUM(T219:T222)-(T196-H196)</f>
        <v>0</v>
      </c>
      <c r="U224" s="579"/>
      <c r="V224" s="578"/>
      <c r="W224" s="579"/>
      <c r="X224" s="579"/>
      <c r="Y224" s="579">
        <f t="shared" ref="Y224:AD224" si="192">SUM(Y219:Y222)-(Y196-$X196)</f>
        <v>0</v>
      </c>
      <c r="Z224" s="579">
        <f t="shared" si="192"/>
        <v>0</v>
      </c>
      <c r="AA224" s="579">
        <f t="shared" si="192"/>
        <v>0</v>
      </c>
      <c r="AB224" s="579">
        <f t="shared" si="192"/>
        <v>0</v>
      </c>
      <c r="AC224" s="579">
        <f t="shared" si="192"/>
        <v>0</v>
      </c>
      <c r="AD224" s="580">
        <f t="shared" si="192"/>
        <v>0</v>
      </c>
    </row>
    <row r="225" spans="2:30" ht="11.25" customHeight="1">
      <c r="U225" s="255"/>
    </row>
    <row r="226" spans="2:30" ht="11.25" customHeight="1">
      <c r="B226" s="253" t="s">
        <v>133</v>
      </c>
      <c r="C226" s="399" t="s">
        <v>414</v>
      </c>
      <c r="U226" s="255"/>
    </row>
    <row r="227" spans="2:30" ht="11.25" customHeight="1">
      <c r="C227" s="253" t="s">
        <v>468</v>
      </c>
      <c r="D227" s="253">
        <f>'UAL Financials'!D16</f>
        <v>0</v>
      </c>
      <c r="E227" s="254">
        <f t="shared" ref="E227:Q227" si="193">E16</f>
        <v>2840</v>
      </c>
      <c r="F227" s="254">
        <f t="shared" si="193"/>
        <v>2896</v>
      </c>
      <c r="G227" s="254">
        <f t="shared" si="193"/>
        <v>2889</v>
      </c>
      <c r="H227" s="254">
        <f t="shared" si="193"/>
        <v>2955</v>
      </c>
      <c r="I227" s="254">
        <f t="shared" si="193"/>
        <v>2955</v>
      </c>
      <c r="J227" s="254">
        <f t="shared" si="193"/>
        <v>2170</v>
      </c>
      <c r="K227" s="254">
        <f t="shared" si="193"/>
        <v>2229</v>
      </c>
      <c r="L227" s="254">
        <f t="shared" si="193"/>
        <v>2168</v>
      </c>
      <c r="M227" s="254">
        <f t="shared" si="193"/>
        <v>2224</v>
      </c>
      <c r="N227" s="254">
        <f t="shared" si="193"/>
        <v>2276</v>
      </c>
      <c r="O227" s="254">
        <f t="shared" si="193"/>
        <v>2487</v>
      </c>
      <c r="P227" s="254">
        <f t="shared" si="193"/>
        <v>2579</v>
      </c>
      <c r="Q227" s="254">
        <f t="shared" si="193"/>
        <v>2787</v>
      </c>
      <c r="R227" s="255">
        <f>R261</f>
        <v>2785.9520000000002</v>
      </c>
      <c r="S227" s="255">
        <f>S261</f>
        <v>3169.95525</v>
      </c>
      <c r="T227" s="255">
        <f>T261</f>
        <v>3257.8875000000003</v>
      </c>
      <c r="U227" s="255"/>
      <c r="V227" s="254">
        <f t="shared" ref="V227:W232" si="194">V16</f>
        <v>10592</v>
      </c>
      <c r="W227" s="254">
        <f t="shared" si="194"/>
        <v>11124</v>
      </c>
      <c r="X227" s="255">
        <f t="shared" ref="X227:AA234" si="195">SUMIF($E$5:$T$5,X$5,$E227:$T227)</f>
        <v>11580</v>
      </c>
      <c r="Y227" s="255">
        <f t="shared" si="195"/>
        <v>9522</v>
      </c>
      <c r="Z227" s="255">
        <f t="shared" si="195"/>
        <v>9566</v>
      </c>
      <c r="AA227" s="255">
        <f t="shared" si="195"/>
        <v>12000.794750000001</v>
      </c>
      <c r="AB227" s="255">
        <f>AB261</f>
        <v>12387.936599999999</v>
      </c>
      <c r="AC227" s="255">
        <f>AC261</f>
        <v>12481.873559999998</v>
      </c>
      <c r="AD227" s="255">
        <f>AD261</f>
        <v>12949.334999999999</v>
      </c>
    </row>
    <row r="228" spans="2:30" ht="11.25" customHeight="1">
      <c r="C228" s="253" t="s">
        <v>469</v>
      </c>
      <c r="D228" s="253">
        <f>'UAL Financials'!D17</f>
        <v>0</v>
      </c>
      <c r="E228" s="254">
        <f t="shared" ref="E228:Q228" si="196">E17</f>
        <v>588</v>
      </c>
      <c r="F228" s="254">
        <f t="shared" si="196"/>
        <v>660</v>
      </c>
      <c r="G228" s="254">
        <f t="shared" si="196"/>
        <v>645</v>
      </c>
      <c r="H228" s="254">
        <f t="shared" si="196"/>
        <v>650</v>
      </c>
      <c r="I228" s="254">
        <f t="shared" si="196"/>
        <v>623</v>
      </c>
      <c r="J228" s="254">
        <f t="shared" si="196"/>
        <v>429</v>
      </c>
      <c r="K228" s="254">
        <f t="shared" si="196"/>
        <v>500</v>
      </c>
      <c r="L228" s="254">
        <f t="shared" si="196"/>
        <v>575</v>
      </c>
      <c r="M228" s="254">
        <f t="shared" si="196"/>
        <v>519</v>
      </c>
      <c r="N228" s="254">
        <f t="shared" si="196"/>
        <v>564</v>
      </c>
      <c r="O228" s="254">
        <f t="shared" si="196"/>
        <v>652</v>
      </c>
      <c r="P228" s="254">
        <f t="shared" si="196"/>
        <v>681</v>
      </c>
      <c r="Q228" s="254">
        <f t="shared" si="196"/>
        <v>612</v>
      </c>
      <c r="R228" s="255">
        <f t="shared" ref="R228:T233" si="197">R239*R$111*10</f>
        <v>746.90633806663027</v>
      </c>
      <c r="S228" s="255">
        <f t="shared" si="197"/>
        <v>683.62701695615101</v>
      </c>
      <c r="T228" s="255">
        <f t="shared" si="197"/>
        <v>697.60139186069409</v>
      </c>
      <c r="U228" s="255"/>
      <c r="V228" s="254">
        <f t="shared" si="194"/>
        <v>2310</v>
      </c>
      <c r="W228" s="254">
        <f t="shared" si="194"/>
        <v>2449</v>
      </c>
      <c r="X228" s="255">
        <f t="shared" si="195"/>
        <v>2543</v>
      </c>
      <c r="Y228" s="255">
        <f t="shared" si="195"/>
        <v>2127</v>
      </c>
      <c r="Z228" s="255">
        <f t="shared" si="195"/>
        <v>2416</v>
      </c>
      <c r="AA228" s="255">
        <f t="shared" si="195"/>
        <v>2740.1347468834756</v>
      </c>
      <c r="AB228" s="255">
        <f t="shared" ref="AB228:AD233" si="198">AB239*AB$111*10</f>
        <v>2885.8228321239726</v>
      </c>
      <c r="AC228" s="255">
        <f t="shared" si="198"/>
        <v>3112.4938209256875</v>
      </c>
      <c r="AD228" s="255">
        <f t="shared" si="198"/>
        <v>3114.9071676233957</v>
      </c>
    </row>
    <row r="229" spans="2:30" ht="11.25" customHeight="1">
      <c r="C229" s="253" t="s">
        <v>470</v>
      </c>
      <c r="D229" s="253">
        <f>'UAL Financials'!D18</f>
        <v>0</v>
      </c>
      <c r="E229" s="254">
        <f t="shared" ref="E229:Q229" si="199">E18</f>
        <v>688</v>
      </c>
      <c r="F229" s="254">
        <f t="shared" si="199"/>
        <v>715</v>
      </c>
      <c r="G229" s="254">
        <f t="shared" si="199"/>
        <v>721</v>
      </c>
      <c r="H229" s="254">
        <f t="shared" si="199"/>
        <v>725</v>
      </c>
      <c r="I229" s="254">
        <f t="shared" si="199"/>
        <v>737</v>
      </c>
      <c r="J229" s="254">
        <f t="shared" si="199"/>
        <v>388</v>
      </c>
      <c r="K229" s="254">
        <f t="shared" si="199"/>
        <v>425</v>
      </c>
      <c r="L229" s="254">
        <f t="shared" si="199"/>
        <v>489</v>
      </c>
      <c r="M229" s="254">
        <f t="shared" si="199"/>
        <v>479</v>
      </c>
      <c r="N229" s="254">
        <f t="shared" si="199"/>
        <v>547</v>
      </c>
      <c r="O229" s="254">
        <f t="shared" si="199"/>
        <v>520</v>
      </c>
      <c r="P229" s="254">
        <f t="shared" si="199"/>
        <v>601</v>
      </c>
      <c r="Q229" s="254">
        <f t="shared" si="199"/>
        <v>565</v>
      </c>
      <c r="R229" s="255">
        <f t="shared" si="197"/>
        <v>634.87038735663577</v>
      </c>
      <c r="S229" s="255">
        <f t="shared" si="197"/>
        <v>677.79303108849706</v>
      </c>
      <c r="T229" s="255">
        <f t="shared" si="197"/>
        <v>690.13542378726879</v>
      </c>
      <c r="U229" s="255"/>
      <c r="V229" s="254">
        <f t="shared" si="194"/>
        <v>2268</v>
      </c>
      <c r="W229" s="254">
        <f t="shared" si="194"/>
        <v>2649</v>
      </c>
      <c r="X229" s="255">
        <f t="shared" si="195"/>
        <v>2849</v>
      </c>
      <c r="Y229" s="255">
        <f t="shared" si="195"/>
        <v>2039</v>
      </c>
      <c r="Z229" s="255">
        <f t="shared" si="195"/>
        <v>2147</v>
      </c>
      <c r="AA229" s="255">
        <f t="shared" si="195"/>
        <v>2567.7988422324015</v>
      </c>
      <c r="AB229" s="255">
        <f t="shared" si="198"/>
        <v>3086.1168666776025</v>
      </c>
      <c r="AC229" s="255">
        <f t="shared" si="198"/>
        <v>3335.4115766721989</v>
      </c>
      <c r="AD229" s="255">
        <f t="shared" si="198"/>
        <v>3337.9977679956773</v>
      </c>
    </row>
    <row r="230" spans="2:30" ht="11.25" customHeight="1">
      <c r="C230" s="253" t="s">
        <v>471</v>
      </c>
      <c r="D230" s="253">
        <f>'UAL Financials'!D19</f>
        <v>0</v>
      </c>
      <c r="E230" s="254">
        <f t="shared" ref="E230:Q230" si="200">E19</f>
        <v>408</v>
      </c>
      <c r="F230" s="254">
        <f t="shared" si="200"/>
        <v>421</v>
      </c>
      <c r="G230" s="254">
        <f t="shared" si="200"/>
        <v>490</v>
      </c>
      <c r="H230" s="254">
        <f t="shared" si="200"/>
        <v>475</v>
      </c>
      <c r="I230" s="254">
        <f t="shared" si="200"/>
        <v>434</v>
      </c>
      <c r="J230" s="254">
        <f t="shared" si="200"/>
        <v>110</v>
      </c>
      <c r="K230" s="254">
        <f t="shared" si="200"/>
        <v>115</v>
      </c>
      <c r="L230" s="254">
        <f t="shared" si="200"/>
        <v>199</v>
      </c>
      <c r="M230" s="254">
        <f t="shared" si="200"/>
        <v>269</v>
      </c>
      <c r="N230" s="254">
        <f t="shared" si="200"/>
        <v>302</v>
      </c>
      <c r="O230" s="254">
        <f t="shared" si="200"/>
        <v>346</v>
      </c>
      <c r="P230" s="254">
        <f t="shared" si="200"/>
        <v>399</v>
      </c>
      <c r="Q230" s="254">
        <f t="shared" si="200"/>
        <v>407</v>
      </c>
      <c r="R230" s="255">
        <f t="shared" si="197"/>
        <v>458.1112592162753</v>
      </c>
      <c r="S230" s="255">
        <f t="shared" si="197"/>
        <v>508.05445648409602</v>
      </c>
      <c r="T230" s="255">
        <f t="shared" si="197"/>
        <v>531.95022523156604</v>
      </c>
      <c r="U230" s="255"/>
      <c r="V230" s="254">
        <f t="shared" si="194"/>
        <v>1856</v>
      </c>
      <c r="W230" s="254">
        <f t="shared" si="194"/>
        <v>1767</v>
      </c>
      <c r="X230" s="255">
        <f t="shared" si="195"/>
        <v>1794</v>
      </c>
      <c r="Y230" s="255">
        <f t="shared" si="195"/>
        <v>858</v>
      </c>
      <c r="Z230" s="255">
        <f t="shared" si="195"/>
        <v>1316</v>
      </c>
      <c r="AA230" s="255">
        <f t="shared" si="195"/>
        <v>1905.1159409319375</v>
      </c>
      <c r="AB230" s="255">
        <f t="shared" si="198"/>
        <v>2035.8498469643755</v>
      </c>
      <c r="AC230" s="255">
        <f t="shared" si="198"/>
        <v>2195.7585193632253</v>
      </c>
      <c r="AD230" s="255">
        <f t="shared" si="198"/>
        <v>2197.4610533686082</v>
      </c>
    </row>
    <row r="231" spans="2:30" ht="11.25" customHeight="1">
      <c r="C231" s="253" t="s">
        <v>521</v>
      </c>
      <c r="D231" s="253">
        <f>'UAL Financials'!D20</f>
        <v>0</v>
      </c>
      <c r="E231" s="254">
        <f t="shared" ref="E231:Q231" si="201">E20</f>
        <v>360</v>
      </c>
      <c r="F231" s="254">
        <f t="shared" si="201"/>
        <v>442</v>
      </c>
      <c r="G231" s="254">
        <f t="shared" si="201"/>
        <v>432</v>
      </c>
      <c r="H231" s="254">
        <f t="shared" si="201"/>
        <v>417</v>
      </c>
      <c r="I231" s="254">
        <f t="shared" si="201"/>
        <v>295</v>
      </c>
      <c r="J231" s="254">
        <f t="shared" si="201"/>
        <v>31</v>
      </c>
      <c r="K231" s="254">
        <f t="shared" si="201"/>
        <v>53</v>
      </c>
      <c r="L231" s="254">
        <f t="shared" si="201"/>
        <v>80</v>
      </c>
      <c r="M231" s="254">
        <f t="shared" si="201"/>
        <v>85</v>
      </c>
      <c r="N231" s="254">
        <f t="shared" si="201"/>
        <v>139</v>
      </c>
      <c r="O231" s="254">
        <f t="shared" si="201"/>
        <v>218</v>
      </c>
      <c r="P231" s="254">
        <f t="shared" si="201"/>
        <v>235</v>
      </c>
      <c r="Q231" s="254">
        <f t="shared" si="201"/>
        <v>226</v>
      </c>
      <c r="R231" s="255">
        <f t="shared" si="197"/>
        <v>346.29293855816491</v>
      </c>
      <c r="S231" s="255">
        <f t="shared" si="197"/>
        <v>382.22284660876971</v>
      </c>
      <c r="T231" s="255">
        <f t="shared" si="197"/>
        <v>408.62176511866886</v>
      </c>
      <c r="U231" s="255"/>
      <c r="V231" s="254">
        <f t="shared" si="194"/>
        <v>1435</v>
      </c>
      <c r="W231" s="254">
        <f t="shared" si="194"/>
        <v>1558</v>
      </c>
      <c r="X231" s="255">
        <f t="shared" si="195"/>
        <v>1651</v>
      </c>
      <c r="Y231" s="255">
        <f t="shared" si="195"/>
        <v>459</v>
      </c>
      <c r="Z231" s="255">
        <f t="shared" si="195"/>
        <v>677</v>
      </c>
      <c r="AA231" s="255">
        <f t="shared" si="195"/>
        <v>1363.1375502856035</v>
      </c>
      <c r="AB231" s="255">
        <f t="shared" si="198"/>
        <v>1635.1173474433244</v>
      </c>
      <c r="AC231" s="255">
        <f t="shared" si="198"/>
        <v>1845.0182643798753</v>
      </c>
      <c r="AD231" s="255">
        <f t="shared" si="198"/>
        <v>1846.4488435205042</v>
      </c>
    </row>
    <row r="232" spans="2:30" ht="11.25" customHeight="1">
      <c r="C232" s="253" t="s">
        <v>472</v>
      </c>
      <c r="D232" s="253">
        <f>'UAL Financials'!D21</f>
        <v>0</v>
      </c>
      <c r="E232" s="254">
        <f t="shared" ref="E232:Q232" si="202">E21</f>
        <v>81</v>
      </c>
      <c r="F232" s="254">
        <f t="shared" si="202"/>
        <v>73</v>
      </c>
      <c r="G232" s="254">
        <f t="shared" si="202"/>
        <v>67</v>
      </c>
      <c r="H232" s="254">
        <f t="shared" si="202"/>
        <v>67</v>
      </c>
      <c r="I232" s="254">
        <f t="shared" si="202"/>
        <v>50</v>
      </c>
      <c r="J232" s="254">
        <f t="shared" si="202"/>
        <v>47</v>
      </c>
      <c r="K232" s="254">
        <f t="shared" si="202"/>
        <v>50</v>
      </c>
      <c r="L232" s="254">
        <f t="shared" si="202"/>
        <v>51</v>
      </c>
      <c r="M232" s="254">
        <f t="shared" si="202"/>
        <v>55</v>
      </c>
      <c r="N232" s="254">
        <f t="shared" si="202"/>
        <v>52</v>
      </c>
      <c r="O232" s="254">
        <f t="shared" si="202"/>
        <v>58</v>
      </c>
      <c r="P232" s="254">
        <f t="shared" si="202"/>
        <v>63</v>
      </c>
      <c r="Q232" s="254">
        <f t="shared" si="202"/>
        <v>61</v>
      </c>
      <c r="R232" s="254">
        <f t="shared" si="197"/>
        <v>69.902772665210279</v>
      </c>
      <c r="S232" s="254">
        <f t="shared" si="197"/>
        <v>67.924922345356705</v>
      </c>
      <c r="T232" s="254">
        <f t="shared" si="197"/>
        <v>68.780230876432313</v>
      </c>
      <c r="U232" s="255"/>
      <c r="V232" s="254">
        <f t="shared" si="194"/>
        <v>621</v>
      </c>
      <c r="W232" s="254">
        <f t="shared" si="194"/>
        <v>433</v>
      </c>
      <c r="X232" s="255">
        <f t="shared" si="195"/>
        <v>288</v>
      </c>
      <c r="Y232" s="255">
        <f t="shared" si="195"/>
        <v>198</v>
      </c>
      <c r="Z232" s="255">
        <f t="shared" si="195"/>
        <v>228</v>
      </c>
      <c r="AA232" s="255">
        <f t="shared" si="195"/>
        <v>267.60792588699928</v>
      </c>
      <c r="AB232" s="255">
        <f t="shared" si="198"/>
        <v>303.05627396587352</v>
      </c>
      <c r="AC232" s="255">
        <f t="shared" si="198"/>
        <v>321.84449433155908</v>
      </c>
      <c r="AD232" s="255">
        <f t="shared" si="198"/>
        <v>322.09404417559364</v>
      </c>
    </row>
    <row r="233" spans="2:30" ht="11.25" customHeight="1">
      <c r="C233" s="253" t="s">
        <v>473</v>
      </c>
      <c r="D233" s="253">
        <f>'UAL Financials'!D25</f>
        <v>0</v>
      </c>
      <c r="E233" s="254">
        <f t="shared" ref="E233:Q233" si="203">E24</f>
        <v>1478</v>
      </c>
      <c r="F233" s="254">
        <f t="shared" si="203"/>
        <v>1505</v>
      </c>
      <c r="G233" s="254">
        <f t="shared" si="203"/>
        <v>1542</v>
      </c>
      <c r="H233" s="254">
        <f t="shared" si="203"/>
        <v>1582</v>
      </c>
      <c r="I233" s="254">
        <f t="shared" si="203"/>
        <v>1409</v>
      </c>
      <c r="J233" s="254">
        <f t="shared" si="203"/>
        <v>470</v>
      </c>
      <c r="K233" s="254">
        <f t="shared" si="203"/>
        <v>666</v>
      </c>
      <c r="L233" s="254">
        <f t="shared" si="203"/>
        <v>804</v>
      </c>
      <c r="M233" s="254">
        <f t="shared" si="203"/>
        <v>848</v>
      </c>
      <c r="N233" s="254">
        <f t="shared" si="203"/>
        <v>927</v>
      </c>
      <c r="O233" s="254">
        <f t="shared" si="203"/>
        <v>1164</v>
      </c>
      <c r="P233" s="254">
        <f t="shared" si="203"/>
        <v>1375</v>
      </c>
      <c r="Q233" s="254">
        <f t="shared" si="203"/>
        <v>1417</v>
      </c>
      <c r="R233" s="255">
        <f t="shared" si="197"/>
        <v>1637.6661404287274</v>
      </c>
      <c r="S233" s="255">
        <f t="shared" si="197"/>
        <v>1492.2285179018593</v>
      </c>
      <c r="T233" s="255">
        <f t="shared" si="197"/>
        <v>1579.7428495762829</v>
      </c>
      <c r="U233" s="255"/>
      <c r="V233" s="254">
        <f>V24</f>
        <v>5405</v>
      </c>
      <c r="W233" s="254">
        <f>W24</f>
        <v>5680</v>
      </c>
      <c r="X233" s="255">
        <f t="shared" si="195"/>
        <v>6107</v>
      </c>
      <c r="Y233" s="255">
        <f t="shared" si="195"/>
        <v>3349</v>
      </c>
      <c r="Z233" s="255">
        <f t="shared" si="195"/>
        <v>4314</v>
      </c>
      <c r="AA233" s="255">
        <f>SUMIF($E$5:$T$5,AA$5,$E233:$T233)</f>
        <v>6126.6375079068694</v>
      </c>
      <c r="AB233" s="255">
        <f t="shared" si="198"/>
        <v>6615.2740276588693</v>
      </c>
      <c r="AC233" s="255">
        <f t="shared" si="198"/>
        <v>7312.1440732248184</v>
      </c>
      <c r="AD233" s="255">
        <f t="shared" si="198"/>
        <v>7317.8137194209467</v>
      </c>
    </row>
    <row r="234" spans="2:30" ht="11.25" customHeight="1">
      <c r="C234" s="253" t="s">
        <v>522</v>
      </c>
      <c r="D234" s="253">
        <f>'UAL Financials'!D27</f>
        <v>0</v>
      </c>
      <c r="E234" s="287">
        <f>'UAL Financials'!E25</f>
        <v>547</v>
      </c>
      <c r="F234" s="287">
        <f>'UAL Financials'!F25</f>
        <v>560</v>
      </c>
      <c r="G234" s="287">
        <f>'UAL Financials'!G25</f>
        <v>575</v>
      </c>
      <c r="H234" s="287">
        <f>'UAL Financials'!H25</f>
        <v>606</v>
      </c>
      <c r="I234" s="287">
        <f>'UAL Financials'!I25</f>
        <v>615</v>
      </c>
      <c r="J234" s="287">
        <f>'UAL Financials'!J25</f>
        <v>618</v>
      </c>
      <c r="K234" s="287">
        <f>'UAL Financials'!K25</f>
        <v>626</v>
      </c>
      <c r="L234" s="287">
        <f>'UAL Financials'!L25</f>
        <v>629</v>
      </c>
      <c r="M234" s="287">
        <f>'UAL Financials'!M25</f>
        <v>623</v>
      </c>
      <c r="N234" s="287">
        <f>'UAL Financials'!N25</f>
        <v>620</v>
      </c>
      <c r="O234" s="287">
        <f>'UAL Financials'!O25</f>
        <v>623</v>
      </c>
      <c r="P234" s="287">
        <f>'UAL Financials'!P25</f>
        <v>619</v>
      </c>
      <c r="Q234" s="287">
        <f>'UAL Financials'!Q25</f>
        <v>611</v>
      </c>
      <c r="R234" s="287">
        <f>'UAL Financials'!R25</f>
        <v>661.26357327851997</v>
      </c>
      <c r="S234" s="287">
        <f>'UAL Financials'!S25</f>
        <v>751.5653991778006</v>
      </c>
      <c r="T234" s="287">
        <f>'UAL Financials'!T25</f>
        <v>781.77579999999989</v>
      </c>
      <c r="U234" s="255"/>
      <c r="V234" s="287">
        <f>'UAL Financials'!V25</f>
        <v>2096</v>
      </c>
      <c r="W234" s="287">
        <f>'UAL Financials'!W25</f>
        <v>2165</v>
      </c>
      <c r="X234" s="255">
        <f t="shared" si="195"/>
        <v>2288</v>
      </c>
      <c r="Y234" s="255">
        <f t="shared" si="195"/>
        <v>2488</v>
      </c>
      <c r="Z234" s="255">
        <f t="shared" si="195"/>
        <v>2485</v>
      </c>
      <c r="AA234" s="255">
        <f t="shared" si="195"/>
        <v>2805.6047724563205</v>
      </c>
      <c r="AB234" s="287">
        <f>'UAL Financials'!AB25</f>
        <v>2822.4789999999994</v>
      </c>
      <c r="AC234" s="287">
        <f>'UAL Financials'!AC25</f>
        <v>3173.047</v>
      </c>
      <c r="AD234" s="287">
        <f>'UAL Financials'!AD25</f>
        <v>3259.096</v>
      </c>
    </row>
    <row r="235" spans="2:30" ht="11.25" customHeight="1">
      <c r="C235" s="289" t="s">
        <v>523</v>
      </c>
      <c r="E235" s="358">
        <f t="shared" ref="E235:T235" si="204">SUM(E227:E234)</f>
        <v>6990</v>
      </c>
      <c r="F235" s="358">
        <f t="shared" si="204"/>
        <v>7272</v>
      </c>
      <c r="G235" s="358">
        <f t="shared" si="204"/>
        <v>7361</v>
      </c>
      <c r="H235" s="358">
        <f t="shared" si="204"/>
        <v>7477</v>
      </c>
      <c r="I235" s="358">
        <f t="shared" si="204"/>
        <v>7118</v>
      </c>
      <c r="J235" s="358">
        <f t="shared" si="204"/>
        <v>4263</v>
      </c>
      <c r="K235" s="358">
        <f t="shared" si="204"/>
        <v>4664</v>
      </c>
      <c r="L235" s="358">
        <f t="shared" si="204"/>
        <v>4995</v>
      </c>
      <c r="M235" s="358">
        <f t="shared" si="204"/>
        <v>5102</v>
      </c>
      <c r="N235" s="358">
        <f t="shared" si="204"/>
        <v>5427</v>
      </c>
      <c r="O235" s="358">
        <f t="shared" si="204"/>
        <v>6068</v>
      </c>
      <c r="P235" s="358">
        <f t="shared" si="204"/>
        <v>6552</v>
      </c>
      <c r="Q235" s="358">
        <f>SUM(Q227:Q234)</f>
        <v>6686</v>
      </c>
      <c r="R235" s="358">
        <f t="shared" si="204"/>
        <v>7340.9654095701644</v>
      </c>
      <c r="S235" s="358">
        <f t="shared" si="204"/>
        <v>7733.3714405625306</v>
      </c>
      <c r="T235" s="358">
        <f t="shared" si="204"/>
        <v>8016.495186450913</v>
      </c>
      <c r="U235" s="255"/>
      <c r="V235" s="358">
        <f t="shared" ref="V235:AD235" si="205">SUM(V227:V234)</f>
        <v>26583</v>
      </c>
      <c r="W235" s="358">
        <f t="shared" si="205"/>
        <v>27825</v>
      </c>
      <c r="X235" s="358">
        <f t="shared" si="205"/>
        <v>29100</v>
      </c>
      <c r="Y235" s="358">
        <f t="shared" si="205"/>
        <v>21040</v>
      </c>
      <c r="Z235" s="358">
        <f t="shared" si="205"/>
        <v>23149</v>
      </c>
      <c r="AA235" s="358">
        <f t="shared" si="205"/>
        <v>29776.832036583608</v>
      </c>
      <c r="AB235" s="358">
        <f t="shared" si="205"/>
        <v>31771.652794834015</v>
      </c>
      <c r="AC235" s="358">
        <f t="shared" si="205"/>
        <v>33777.591308897361</v>
      </c>
      <c r="AD235" s="358">
        <f t="shared" si="205"/>
        <v>34345.153596104719</v>
      </c>
    </row>
    <row r="236" spans="2:30" s="293" customFormat="1" ht="11.25" customHeight="1">
      <c r="E236" s="284">
        <f>'UAL Financials'!E72-E235</f>
        <v>0</v>
      </c>
      <c r="F236" s="284">
        <f>'UAL Financials'!F72-F235</f>
        <v>0</v>
      </c>
      <c r="G236" s="284">
        <f>'UAL Financials'!G72-G235</f>
        <v>0</v>
      </c>
      <c r="H236" s="284">
        <f>'UAL Financials'!H72-H235</f>
        <v>0</v>
      </c>
      <c r="I236" s="284">
        <f>'UAL Financials'!I72-I235</f>
        <v>0</v>
      </c>
      <c r="J236" s="284">
        <f>'UAL Financials'!J72-J235</f>
        <v>0</v>
      </c>
      <c r="K236" s="284">
        <f>'UAL Financials'!K72-K235</f>
        <v>0</v>
      </c>
      <c r="L236" s="284">
        <f>'UAL Financials'!L72-L235</f>
        <v>0</v>
      </c>
      <c r="M236" s="284">
        <f>'UAL Financials'!M72-M235</f>
        <v>0</v>
      </c>
      <c r="N236" s="284">
        <f>'UAL Financials'!N72-N235</f>
        <v>0</v>
      </c>
      <c r="O236" s="284">
        <f>'UAL Financials'!O72-O235</f>
        <v>0</v>
      </c>
      <c r="P236" s="284">
        <f>'UAL Financials'!P72-P235</f>
        <v>0</v>
      </c>
      <c r="Q236" s="284">
        <f>'UAL Financials'!Q72-Q235</f>
        <v>0</v>
      </c>
      <c r="R236" s="284">
        <f>'UAL Financials'!R72-R235</f>
        <v>0</v>
      </c>
      <c r="S236" s="284">
        <f>'UAL Financials'!S72-S235</f>
        <v>0</v>
      </c>
      <c r="T236" s="284">
        <f>'UAL Financials'!T72-T235</f>
        <v>0</v>
      </c>
      <c r="U236" s="284"/>
      <c r="V236" s="284">
        <f>'UAL Financials'!V72-V235</f>
        <v>0</v>
      </c>
      <c r="W236" s="284">
        <f>'UAL Financials'!W72-W235</f>
        <v>0</v>
      </c>
      <c r="X236" s="284">
        <f>'UAL Financials'!X72-X235</f>
        <v>0</v>
      </c>
      <c r="Y236" s="284">
        <f>'UAL Financials'!Y72-Y235</f>
        <v>0</v>
      </c>
      <c r="Z236" s="284">
        <f>'UAL Financials'!Z72-Z235</f>
        <v>0</v>
      </c>
      <c r="AA236" s="284">
        <f>'UAL Financials'!AA72-AA235</f>
        <v>0</v>
      </c>
      <c r="AB236" s="284">
        <f>'UAL Financials'!AB72-AB235</f>
        <v>0</v>
      </c>
      <c r="AC236" s="284">
        <f>'UAL Financials'!AC72-AC235</f>
        <v>0</v>
      </c>
      <c r="AD236" s="284">
        <f>'UAL Financials'!AD72-AD235</f>
        <v>0</v>
      </c>
    </row>
    <row r="237" spans="2:30" ht="11.25" customHeight="1">
      <c r="C237" s="279" t="s">
        <v>557</v>
      </c>
      <c r="P237" s="255"/>
      <c r="R237" s="257"/>
      <c r="S237" s="257"/>
      <c r="T237" s="257"/>
      <c r="U237" s="255"/>
      <c r="AA237" s="257"/>
    </row>
    <row r="238" spans="2:30" ht="11.25" customHeight="1">
      <c r="C238" s="253" t="str">
        <f t="shared" ref="C238:C245" si="206">C227</f>
        <v xml:space="preserve">  Salaries and related costs</v>
      </c>
      <c r="E238" s="494">
        <f t="shared" ref="E238:T238" si="207">E227/E$111/10</f>
        <v>4.3263005560210228</v>
      </c>
      <c r="F238" s="494">
        <f t="shared" si="207"/>
        <v>3.9541234298197701</v>
      </c>
      <c r="G238" s="494">
        <f t="shared" si="207"/>
        <v>3.8481005914007134</v>
      </c>
      <c r="H238" s="494">
        <f t="shared" si="207"/>
        <v>4.1597454883301888</v>
      </c>
      <c r="I238" s="494">
        <f t="shared" si="207"/>
        <v>4.8491909809970783</v>
      </c>
      <c r="J238" s="494">
        <f t="shared" si="207"/>
        <v>24.210643757670418</v>
      </c>
      <c r="K238" s="494">
        <f t="shared" si="207"/>
        <v>10.035116153430579</v>
      </c>
      <c r="L238" s="494">
        <f t="shared" si="207"/>
        <v>7.0639601186015444</v>
      </c>
      <c r="M238" s="494">
        <f t="shared" si="207"/>
        <v>7.3230161343431019</v>
      </c>
      <c r="N238" s="494">
        <f t="shared" si="207"/>
        <v>5.7455885694090325</v>
      </c>
      <c r="O238" s="494">
        <f t="shared" si="207"/>
        <v>4.6152989644805693</v>
      </c>
      <c r="P238" s="494">
        <f t="shared" si="207"/>
        <v>4.70491653744413</v>
      </c>
      <c r="Q238" s="494">
        <f t="shared" ref="Q238:Q245" si="208">Q227/Q$111/10</f>
        <v>5.2324271553018935</v>
      </c>
      <c r="R238" s="677">
        <f t="shared" si="207"/>
        <v>4.3696478341952005</v>
      </c>
      <c r="S238" s="677">
        <f t="shared" si="207"/>
        <v>4.5813169954807638</v>
      </c>
      <c r="T238" s="677">
        <f t="shared" si="207"/>
        <v>4.9141591346557778</v>
      </c>
      <c r="U238" s="255"/>
      <c r="V238" s="494">
        <f t="shared" ref="V238:AD238" si="209">V227/V$111/10</f>
        <v>3.8479745331222022</v>
      </c>
      <c r="W238" s="494">
        <f t="shared" si="209"/>
        <v>4.2395566436000207</v>
      </c>
      <c r="X238" s="494">
        <f t="shared" si="209"/>
        <v>4.0631721514812327</v>
      </c>
      <c r="Y238" s="494">
        <f t="shared" si="209"/>
        <v>7.7538190938405922</v>
      </c>
      <c r="Z238" s="494">
        <f t="shared" si="209"/>
        <v>5.3535850999529897</v>
      </c>
      <c r="AA238" s="494">
        <f t="shared" si="209"/>
        <v>4.7526030956485545</v>
      </c>
      <c r="AB238" s="677">
        <f t="shared" si="209"/>
        <v>4.2133255605672471</v>
      </c>
      <c r="AC238" s="677">
        <f t="shared" si="209"/>
        <v>4.1150218478817733</v>
      </c>
      <c r="AD238" s="677">
        <f t="shared" si="209"/>
        <v>4.2658268409001057</v>
      </c>
    </row>
    <row r="239" spans="2:30" ht="11.25" customHeight="1">
      <c r="C239" s="253" t="str">
        <f t="shared" si="206"/>
        <v xml:space="preserve">  Landing fees and other rent</v>
      </c>
      <c r="E239" s="494">
        <f t="shared" ref="E239:P239" si="210">E228/E$111/10</f>
        <v>0.89572701652829623</v>
      </c>
      <c r="F239" s="494">
        <f t="shared" si="210"/>
        <v>0.90114691425450566</v>
      </c>
      <c r="G239" s="494">
        <f t="shared" si="210"/>
        <v>0.85912941552560063</v>
      </c>
      <c r="H239" s="494">
        <f t="shared" si="210"/>
        <v>0.91500323770376402</v>
      </c>
      <c r="I239" s="494">
        <f t="shared" si="210"/>
        <v>1.0223505858413469</v>
      </c>
      <c r="J239" s="494">
        <f t="shared" si="210"/>
        <v>4.7863438580832307</v>
      </c>
      <c r="K239" s="494">
        <f t="shared" si="210"/>
        <v>2.2510354763191067</v>
      </c>
      <c r="L239" s="494">
        <f t="shared" si="210"/>
        <v>1.8735134078394318</v>
      </c>
      <c r="M239" s="494">
        <f t="shared" si="210"/>
        <v>1.7089232795521898</v>
      </c>
      <c r="N239" s="494">
        <f t="shared" si="210"/>
        <v>1.4237750233509201</v>
      </c>
      <c r="O239" s="494">
        <f t="shared" si="210"/>
        <v>1.2099617711464943</v>
      </c>
      <c r="P239" s="494">
        <f t="shared" si="210"/>
        <v>1.2423606677004471</v>
      </c>
      <c r="Q239" s="494">
        <f t="shared" si="208"/>
        <v>1.1489936917993391</v>
      </c>
      <c r="R239" s="494">
        <f t="shared" ref="R239:T244" si="211">(R250+1)*F239</f>
        <v>1.1714909885308573</v>
      </c>
      <c r="S239" s="494">
        <f t="shared" si="211"/>
        <v>0.9879988278544406</v>
      </c>
      <c r="T239" s="494">
        <f t="shared" si="211"/>
        <v>1.0522537233593285</v>
      </c>
      <c r="U239" s="255"/>
      <c r="V239" s="494">
        <f t="shared" ref="V239:AA245" si="212">V228/V$111/10</f>
        <v>0.83920139459141685</v>
      </c>
      <c r="W239" s="494">
        <f t="shared" si="212"/>
        <v>0.93335798455379815</v>
      </c>
      <c r="X239" s="494">
        <f t="shared" si="212"/>
        <v>0.89228383257485111</v>
      </c>
      <c r="Y239" s="494">
        <f t="shared" si="212"/>
        <v>1.7320282726947007</v>
      </c>
      <c r="Z239" s="494">
        <f t="shared" si="212"/>
        <v>1.3521076313491975</v>
      </c>
      <c r="AA239" s="494">
        <f t="shared" si="212"/>
        <v>1.0851592041879206</v>
      </c>
      <c r="AB239" s="494">
        <f t="shared" ref="AB239:AD244" si="213">(AB250+1)*$X239</f>
        <v>0.98151221583233628</v>
      </c>
      <c r="AC239" s="494">
        <f t="shared" si="213"/>
        <v>1.0261264074610787</v>
      </c>
      <c r="AD239" s="494">
        <f t="shared" si="213"/>
        <v>1.0261264074610787</v>
      </c>
    </row>
    <row r="240" spans="2:30" ht="11.25" customHeight="1">
      <c r="C240" s="253" t="str">
        <f t="shared" si="206"/>
        <v xml:space="preserve">  Regional capacity purchase</v>
      </c>
      <c r="E240" s="494">
        <f t="shared" ref="E240:Q240" si="214">E229/E$111/10</f>
        <v>1.0480615431487548</v>
      </c>
      <c r="F240" s="494">
        <f t="shared" si="214"/>
        <v>0.97624249044238121</v>
      </c>
      <c r="G240" s="494">
        <f t="shared" si="214"/>
        <v>0.96036016836272575</v>
      </c>
      <c r="H240" s="494">
        <f t="shared" si="214"/>
        <v>1.0205805343618908</v>
      </c>
      <c r="I240" s="494">
        <f t="shared" si="214"/>
        <v>1.2094259739407265</v>
      </c>
      <c r="J240" s="494">
        <f t="shared" si="214"/>
        <v>4.3289077317862317</v>
      </c>
      <c r="K240" s="494">
        <f t="shared" si="214"/>
        <v>1.9133801548712408</v>
      </c>
      <c r="L240" s="494">
        <f t="shared" si="214"/>
        <v>1.5933009677104037</v>
      </c>
      <c r="M240" s="494">
        <f t="shared" si="214"/>
        <v>1.5772143562726375</v>
      </c>
      <c r="N240" s="494">
        <f t="shared" si="214"/>
        <v>1.3808598187463712</v>
      </c>
      <c r="O240" s="494">
        <f t="shared" si="214"/>
        <v>0.96500018557695866</v>
      </c>
      <c r="P240" s="494">
        <f t="shared" si="214"/>
        <v>1.0964152148134636</v>
      </c>
      <c r="Q240" s="494">
        <f t="shared" si="214"/>
        <v>1.0607539801742267</v>
      </c>
      <c r="R240" s="494">
        <f t="shared" ref="R240" si="215">(R251+1)*F240</f>
        <v>0.99576734025122882</v>
      </c>
      <c r="S240" s="494">
        <f t="shared" ref="S240" si="216">(S251+1)*G240</f>
        <v>0.97956737172998032</v>
      </c>
      <c r="T240" s="494">
        <f t="shared" ref="T240" si="217">(T251+1)*H240</f>
        <v>1.0409921450491286</v>
      </c>
      <c r="U240" s="255"/>
      <c r="V240" s="494">
        <f t="shared" si="212"/>
        <v>0.82394318741702754</v>
      </c>
      <c r="W240" s="494">
        <f t="shared" si="212"/>
        <v>1.0095815847623566</v>
      </c>
      <c r="X240" s="494">
        <f t="shared" si="212"/>
        <v>0.99965263036010632</v>
      </c>
      <c r="Y240" s="494">
        <f t="shared" si="212"/>
        <v>1.6603693690759258</v>
      </c>
      <c r="Z240" s="494">
        <f t="shared" si="212"/>
        <v>1.20156253497795</v>
      </c>
      <c r="AA240" s="494">
        <f t="shared" si="212"/>
        <v>1.0169100447781998</v>
      </c>
      <c r="AB240" s="494">
        <f t="shared" si="213"/>
        <v>1.0496352618781117</v>
      </c>
      <c r="AC240" s="494">
        <f t="shared" si="213"/>
        <v>1.0996178933961169</v>
      </c>
      <c r="AD240" s="494">
        <f t="shared" si="213"/>
        <v>1.0996178933961169</v>
      </c>
    </row>
    <row r="241" spans="2:30" ht="11.25" customHeight="1">
      <c r="C241" s="253" t="str">
        <f t="shared" si="206"/>
        <v xml:space="preserve">  Aircraft maintenance materials and outside repairs</v>
      </c>
      <c r="E241" s="494">
        <f t="shared" ref="E241:P241" si="218">E230/E$111/10</f>
        <v>0.62152486861147083</v>
      </c>
      <c r="F241" s="494">
        <f t="shared" si="218"/>
        <v>0.57482250136537405</v>
      </c>
      <c r="G241" s="494">
        <f t="shared" si="218"/>
        <v>0.65267195908146403</v>
      </c>
      <c r="H241" s="494">
        <f t="shared" si="218"/>
        <v>0.6686562121681352</v>
      </c>
      <c r="I241" s="494">
        <f t="shared" si="218"/>
        <v>0.71219928451869108</v>
      </c>
      <c r="J241" s="494">
        <f t="shared" si="218"/>
        <v>1.227267655918777</v>
      </c>
      <c r="K241" s="494">
        <f t="shared" si="218"/>
        <v>0.51773815955339453</v>
      </c>
      <c r="L241" s="494">
        <f t="shared" si="218"/>
        <v>0.64839855332182084</v>
      </c>
      <c r="M241" s="494">
        <f t="shared" si="218"/>
        <v>0.88574250905498852</v>
      </c>
      <c r="N241" s="494">
        <f t="shared" si="218"/>
        <v>0.76237598768081183</v>
      </c>
      <c r="O241" s="494">
        <f t="shared" si="218"/>
        <v>0.64209627732620711</v>
      </c>
      <c r="P241" s="494">
        <f t="shared" si="218"/>
        <v>0.72790294627383012</v>
      </c>
      <c r="Q241" s="494">
        <f t="shared" si="208"/>
        <v>0.76411835386001814</v>
      </c>
      <c r="R241" s="494">
        <f t="shared" si="211"/>
        <v>0.71852812670671762</v>
      </c>
      <c r="S241" s="494">
        <f t="shared" si="211"/>
        <v>0.734255953966647</v>
      </c>
      <c r="T241" s="494">
        <f t="shared" si="211"/>
        <v>0.8023874546017622</v>
      </c>
      <c r="U241" s="255"/>
      <c r="V241" s="494">
        <f t="shared" si="212"/>
        <v>0.67426744084920764</v>
      </c>
      <c r="W241" s="494">
        <f t="shared" si="212"/>
        <v>0.67343550784261397</v>
      </c>
      <c r="X241" s="494">
        <f t="shared" si="212"/>
        <v>0.62947589289786976</v>
      </c>
      <c r="Y241" s="494">
        <f t="shared" si="212"/>
        <v>0.69867431028305271</v>
      </c>
      <c r="Z241" s="494">
        <f t="shared" si="212"/>
        <v>0.7364957131024602</v>
      </c>
      <c r="AA241" s="494">
        <f t="shared" si="212"/>
        <v>0.75447169183878726</v>
      </c>
      <c r="AB241" s="494">
        <f t="shared" si="213"/>
        <v>0.69242348218765681</v>
      </c>
      <c r="AC241" s="494">
        <f t="shared" si="213"/>
        <v>0.72389727683255012</v>
      </c>
      <c r="AD241" s="494">
        <f t="shared" si="213"/>
        <v>0.72389727683255012</v>
      </c>
    </row>
    <row r="242" spans="2:30" ht="11.25" customHeight="1">
      <c r="C242" s="253" t="str">
        <f t="shared" si="206"/>
        <v xml:space="preserve">  Distribution expenses</v>
      </c>
      <c r="E242" s="494">
        <f t="shared" ref="E242:P242" si="219">E231/E$111/10</f>
        <v>0.5484042958336508</v>
      </c>
      <c r="F242" s="494">
        <f t="shared" si="219"/>
        <v>0.60349535772801732</v>
      </c>
      <c r="G242" s="494">
        <f t="shared" si="219"/>
        <v>0.57541691086365809</v>
      </c>
      <c r="H242" s="494">
        <f t="shared" si="219"/>
        <v>0.58700976941918404</v>
      </c>
      <c r="I242" s="494">
        <f t="shared" si="219"/>
        <v>0.4840985920115527</v>
      </c>
      <c r="J242" s="494">
        <f t="shared" si="219"/>
        <v>0.34586633939529171</v>
      </c>
      <c r="K242" s="494">
        <f t="shared" si="219"/>
        <v>0.23860976048982532</v>
      </c>
      <c r="L242" s="494">
        <f t="shared" si="219"/>
        <v>0.26066273500374704</v>
      </c>
      <c r="M242" s="494">
        <f t="shared" si="219"/>
        <v>0.27988146196904845</v>
      </c>
      <c r="N242" s="494">
        <f t="shared" si="219"/>
        <v>0.35089490823719488</v>
      </c>
      <c r="O242" s="494">
        <f t="shared" si="219"/>
        <v>0.40455777010726346</v>
      </c>
      <c r="P242" s="494">
        <f t="shared" si="219"/>
        <v>0.42871476785551399</v>
      </c>
      <c r="Q242" s="494">
        <f t="shared" si="208"/>
        <v>0.42430159206969059</v>
      </c>
      <c r="R242" s="494">
        <f t="shared" si="211"/>
        <v>0.54314582195521566</v>
      </c>
      <c r="S242" s="494">
        <f t="shared" si="211"/>
        <v>0.55240023442911179</v>
      </c>
      <c r="T242" s="494">
        <f t="shared" si="211"/>
        <v>0.61636025789014326</v>
      </c>
      <c r="U242" s="255"/>
      <c r="V242" s="494">
        <f t="shared" si="212"/>
        <v>0.52132207845830447</v>
      </c>
      <c r="W242" s="494">
        <f t="shared" si="212"/>
        <v>0.59378184562467029</v>
      </c>
      <c r="X242" s="494">
        <f t="shared" si="212"/>
        <v>0.57930027824659036</v>
      </c>
      <c r="Y242" s="494">
        <f t="shared" si="212"/>
        <v>0.37376632682974498</v>
      </c>
      <c r="Z242" s="494">
        <f t="shared" si="212"/>
        <v>0.37888115332094652</v>
      </c>
      <c r="AA242" s="494">
        <f t="shared" si="212"/>
        <v>0.53983522560304986</v>
      </c>
      <c r="AB242" s="494">
        <f t="shared" si="213"/>
        <v>0.55612826711672669</v>
      </c>
      <c r="AC242" s="494">
        <f t="shared" si="213"/>
        <v>0.60826529215891989</v>
      </c>
      <c r="AD242" s="494">
        <f t="shared" si="213"/>
        <v>0.60826529215891989</v>
      </c>
    </row>
    <row r="243" spans="2:30" ht="11.25" customHeight="1">
      <c r="C243" s="253" t="str">
        <f t="shared" si="206"/>
        <v xml:space="preserve">  Aircraft rent</v>
      </c>
      <c r="E243" s="494">
        <f t="shared" ref="E243:P243" si="220">E232/E$111/10</f>
        <v>0.12339096656257142</v>
      </c>
      <c r="F243" s="494">
        <f t="shared" si="220"/>
        <v>9.9672310212998355E-2</v>
      </c>
      <c r="G243" s="494">
        <f t="shared" si="220"/>
        <v>8.9242900527465502E-2</v>
      </c>
      <c r="H243" s="494">
        <f t="shared" si="220"/>
        <v>9.4315718347926444E-2</v>
      </c>
      <c r="I243" s="494">
        <f t="shared" si="220"/>
        <v>8.2050608815517415E-2</v>
      </c>
      <c r="J243" s="494">
        <f t="shared" si="220"/>
        <v>0.52437799843802291</v>
      </c>
      <c r="K243" s="494">
        <f t="shared" si="220"/>
        <v>0.22510354763191068</v>
      </c>
      <c r="L243" s="494">
        <f t="shared" si="220"/>
        <v>0.16617249356488875</v>
      </c>
      <c r="M243" s="494">
        <f t="shared" si="220"/>
        <v>0.18109976950938428</v>
      </c>
      <c r="N243" s="494">
        <f t="shared" si="220"/>
        <v>0.13127003761391462</v>
      </c>
      <c r="O243" s="494">
        <f t="shared" si="220"/>
        <v>0.10763463608358384</v>
      </c>
      <c r="P243" s="494">
        <f t="shared" si="220"/>
        <v>0.11493204414849952</v>
      </c>
      <c r="Q243" s="494">
        <f t="shared" si="208"/>
        <v>0.11452388104535897</v>
      </c>
      <c r="R243" s="494">
        <f t="shared" si="211"/>
        <v>0.1096395412342982</v>
      </c>
      <c r="S243" s="494">
        <f t="shared" si="211"/>
        <v>9.816719058021206E-2</v>
      </c>
      <c r="T243" s="494">
        <f t="shared" si="211"/>
        <v>0.1037472901827191</v>
      </c>
      <c r="U243" s="255"/>
      <c r="V243" s="494">
        <f t="shared" si="212"/>
        <v>0.22560349179275754</v>
      </c>
      <c r="W243" s="494">
        <f t="shared" si="212"/>
        <v>0.16502409445152905</v>
      </c>
      <c r="X243" s="494">
        <f t="shared" si="212"/>
        <v>0.10105298615082858</v>
      </c>
      <c r="Y243" s="494">
        <f t="shared" si="212"/>
        <v>0.16123253314224292</v>
      </c>
      <c r="Z243" s="494">
        <f t="shared" si="212"/>
        <v>0.12759956123659646</v>
      </c>
      <c r="AA243" s="494">
        <f t="shared" si="212"/>
        <v>0.1059791691704953</v>
      </c>
      <c r="AB243" s="494">
        <f t="shared" si="213"/>
        <v>0.10307404587384515</v>
      </c>
      <c r="AC243" s="494">
        <f t="shared" si="213"/>
        <v>0.10610563545837001</v>
      </c>
      <c r="AD243" s="494">
        <f t="shared" si="213"/>
        <v>0.10610563545837001</v>
      </c>
    </row>
    <row r="244" spans="2:30" ht="11.25" customHeight="1">
      <c r="C244" s="253" t="str">
        <f t="shared" si="206"/>
        <v xml:space="preserve">  Other operating expenses</v>
      </c>
      <c r="E244" s="494">
        <f t="shared" ref="E244:P244" si="221">E233/E$111/10</f>
        <v>2.2515043034503774</v>
      </c>
      <c r="F244" s="494">
        <f t="shared" si="221"/>
        <v>2.054888039322774</v>
      </c>
      <c r="G244" s="494">
        <f t="shared" si="221"/>
        <v>2.0539186957216686</v>
      </c>
      <c r="H244" s="494">
        <f t="shared" si="221"/>
        <v>2.2269771108420842</v>
      </c>
      <c r="I244" s="494">
        <f t="shared" si="221"/>
        <v>2.3121861564212809</v>
      </c>
      <c r="J244" s="494">
        <f t="shared" si="221"/>
        <v>5.2437799843802297</v>
      </c>
      <c r="K244" s="494">
        <f t="shared" si="221"/>
        <v>2.99837925445705</v>
      </c>
      <c r="L244" s="494">
        <f t="shared" si="221"/>
        <v>2.6196604867876578</v>
      </c>
      <c r="M244" s="494">
        <f t="shared" si="221"/>
        <v>2.7922291735265068</v>
      </c>
      <c r="N244" s="494">
        <f t="shared" si="221"/>
        <v>2.3401408628480551</v>
      </c>
      <c r="O244" s="494">
        <f t="shared" si="221"/>
        <v>2.1601158000222691</v>
      </c>
      <c r="P244" s="494">
        <f t="shared" si="221"/>
        <v>2.508437471495029</v>
      </c>
      <c r="Q244" s="494">
        <f t="shared" si="208"/>
        <v>2.6603334334635029</v>
      </c>
      <c r="R244" s="494">
        <f t="shared" si="211"/>
        <v>2.5686100491534676</v>
      </c>
      <c r="S244" s="494">
        <f t="shared" si="211"/>
        <v>2.156614630507752</v>
      </c>
      <c r="T244" s="494">
        <f t="shared" si="211"/>
        <v>2.3828655086010304</v>
      </c>
      <c r="U244" s="255"/>
      <c r="V244" s="494">
        <f t="shared" si="212"/>
        <v>1.9635859470851116</v>
      </c>
      <c r="W244" s="494">
        <f t="shared" si="212"/>
        <v>2.1647502459230599</v>
      </c>
      <c r="X244" s="494">
        <f t="shared" si="212"/>
        <v>2.1428145361913549</v>
      </c>
      <c r="Y244" s="494">
        <f t="shared" si="212"/>
        <v>2.7271098661281394</v>
      </c>
      <c r="Z244" s="494">
        <f t="shared" si="212"/>
        <v>2.4143180139240221</v>
      </c>
      <c r="AA244" s="494">
        <f t="shared" si="212"/>
        <v>2.4262956739589878</v>
      </c>
      <c r="AB244" s="494">
        <f t="shared" si="213"/>
        <v>2.2499552630009227</v>
      </c>
      <c r="AC244" s="494">
        <f t="shared" si="213"/>
        <v>2.4106663532152743</v>
      </c>
      <c r="AD244" s="494">
        <f t="shared" si="213"/>
        <v>2.4106663532152743</v>
      </c>
    </row>
    <row r="245" spans="2:30" ht="11.25" customHeight="1">
      <c r="C245" s="253" t="str">
        <f t="shared" si="206"/>
        <v xml:space="preserve">  Depreciation and amortization</v>
      </c>
      <c r="E245" s="494">
        <f t="shared" ref="E245:P245" si="222">E234/E$111/10</f>
        <v>0.83326986061390829</v>
      </c>
      <c r="F245" s="494">
        <f t="shared" si="222"/>
        <v>0.76460950300382291</v>
      </c>
      <c r="G245" s="494">
        <f t="shared" si="222"/>
        <v>0.76589056422824864</v>
      </c>
      <c r="H245" s="494">
        <f t="shared" si="222"/>
        <v>0.85306455699766315</v>
      </c>
      <c r="I245" s="494">
        <f t="shared" si="222"/>
        <v>1.009222488430864</v>
      </c>
      <c r="J245" s="494">
        <f t="shared" si="222"/>
        <v>6.8950128305254932</v>
      </c>
      <c r="K245" s="494">
        <f t="shared" si="222"/>
        <v>2.8182964163515214</v>
      </c>
      <c r="L245" s="494">
        <f t="shared" si="222"/>
        <v>2.0494607539669611</v>
      </c>
      <c r="M245" s="494">
        <f t="shared" si="222"/>
        <v>2.0513664800790257</v>
      </c>
      <c r="N245" s="494">
        <f t="shared" si="222"/>
        <v>1.5651427561659053</v>
      </c>
      <c r="O245" s="494">
        <f t="shared" si="222"/>
        <v>1.1561444531047023</v>
      </c>
      <c r="P245" s="494">
        <f t="shared" si="222"/>
        <v>1.1292529417130348</v>
      </c>
      <c r="Q245" s="494">
        <f t="shared" si="208"/>
        <v>1.1471162511264645</v>
      </c>
      <c r="R245" s="677">
        <f>R234/R$111/10</f>
        <v>1.0371639356344489</v>
      </c>
      <c r="S245" s="677">
        <f>S234/S$111/10</f>
        <v>1.086185471062578</v>
      </c>
      <c r="T245" s="677">
        <f>T234/T$111/10</f>
        <v>1.1792214092177302</v>
      </c>
      <c r="U245" s="255"/>
      <c r="V245" s="494">
        <f t="shared" si="212"/>
        <v>0.7614571961314327</v>
      </c>
      <c r="W245" s="494">
        <f t="shared" si="212"/>
        <v>0.82512047225764518</v>
      </c>
      <c r="X245" s="494">
        <f t="shared" si="212"/>
        <v>0.8028098344204716</v>
      </c>
      <c r="Y245" s="494">
        <f t="shared" si="212"/>
        <v>2.0259926386762648</v>
      </c>
      <c r="Z245" s="494">
        <f t="shared" si="212"/>
        <v>1.39072328803922</v>
      </c>
      <c r="AA245" s="494">
        <f t="shared" si="212"/>
        <v>1.1110869075352086</v>
      </c>
      <c r="AB245" s="677">
        <f>AB234/AB$111/10</f>
        <v>0.95996801556639222</v>
      </c>
      <c r="AC245" s="677">
        <f>AC234/AC$111/10</f>
        <v>1.0460895687326381</v>
      </c>
      <c r="AD245" s="677">
        <f>AD234/AD$111/10</f>
        <v>1.0736257262531375</v>
      </c>
    </row>
    <row r="246" spans="2:30" s="279" customFormat="1" ht="11.25" customHeight="1">
      <c r="B246" s="491"/>
      <c r="C246" s="626" t="s">
        <v>535</v>
      </c>
      <c r="D246" s="491"/>
      <c r="E246" s="625">
        <f t="shared" ref="E246:AD246" si="223">SUM(E238:E245)</f>
        <v>10.648183410770054</v>
      </c>
      <c r="F246" s="625">
        <f t="shared" si="223"/>
        <v>9.9290005461496449</v>
      </c>
      <c r="G246" s="625">
        <f t="shared" si="223"/>
        <v>9.8047312057115441</v>
      </c>
      <c r="H246" s="625">
        <f t="shared" si="223"/>
        <v>10.525352628170836</v>
      </c>
      <c r="I246" s="625">
        <f t="shared" si="223"/>
        <v>11.68072467097706</v>
      </c>
      <c r="J246" s="625">
        <f t="shared" si="223"/>
        <v>47.562200156197704</v>
      </c>
      <c r="K246" s="625">
        <f t="shared" si="223"/>
        <v>20.99765892310463</v>
      </c>
      <c r="L246" s="625">
        <f t="shared" si="223"/>
        <v>16.275129516796454</v>
      </c>
      <c r="M246" s="625">
        <f t="shared" si="223"/>
        <v>16.799473164306882</v>
      </c>
      <c r="N246" s="625">
        <f t="shared" si="223"/>
        <v>13.700047964052203</v>
      </c>
      <c r="O246" s="625">
        <f t="shared" si="223"/>
        <v>11.260809857848049</v>
      </c>
      <c r="P246" s="625">
        <f t="shared" si="223"/>
        <v>11.952932591443947</v>
      </c>
      <c r="Q246" s="625">
        <f>SUM(Q238:Q245)</f>
        <v>12.552568338840494</v>
      </c>
      <c r="R246" s="625">
        <f t="shared" si="223"/>
        <v>11.513993637661436</v>
      </c>
      <c r="S246" s="625">
        <f t="shared" si="223"/>
        <v>11.176506675611485</v>
      </c>
      <c r="T246" s="625">
        <f t="shared" si="223"/>
        <v>12.091986923557618</v>
      </c>
      <c r="U246" s="255"/>
      <c r="V246" s="625">
        <f t="shared" si="223"/>
        <v>9.6573552694474589</v>
      </c>
      <c r="W246" s="625">
        <f t="shared" si="223"/>
        <v>10.604608379015694</v>
      </c>
      <c r="X246" s="625">
        <f t="shared" si="223"/>
        <v>10.210562142323305</v>
      </c>
      <c r="Y246" s="625">
        <f t="shared" si="223"/>
        <v>17.132992410670663</v>
      </c>
      <c r="Z246" s="625">
        <f t="shared" si="223"/>
        <v>12.955272995903384</v>
      </c>
      <c r="AA246" s="625">
        <f t="shared" si="223"/>
        <v>11.792341012721204</v>
      </c>
      <c r="AB246" s="625">
        <f t="shared" si="223"/>
        <v>10.806022112023239</v>
      </c>
      <c r="AC246" s="625">
        <f t="shared" si="223"/>
        <v>11.135790275136721</v>
      </c>
      <c r="AD246" s="625">
        <f t="shared" si="223"/>
        <v>11.314131425675553</v>
      </c>
    </row>
    <row r="247" spans="2:30" ht="11.25" customHeight="1">
      <c r="U247" s="255"/>
    </row>
    <row r="248" spans="2:30" s="278" customFormat="1" ht="11.25" customHeight="1">
      <c r="C248" s="392" t="s">
        <v>415</v>
      </c>
      <c r="U248" s="441"/>
    </row>
    <row r="249" spans="2:30" s="278" customFormat="1" ht="11.25" customHeight="1">
      <c r="C249" s="278" t="str">
        <f t="shared" ref="C249:C257" si="224">C227</f>
        <v xml:space="preserve">  Salaries and related costs</v>
      </c>
      <c r="I249" s="297">
        <f t="shared" ref="I249:L256" si="225">I238/E238-1</f>
        <v>0.12086317587166606</v>
      </c>
      <c r="J249" s="297">
        <f t="shared" si="225"/>
        <v>5.1228851823611246</v>
      </c>
      <c r="K249" s="297">
        <f t="shared" si="225"/>
        <v>1.6078102469191911</v>
      </c>
      <c r="L249" s="297">
        <f t="shared" si="225"/>
        <v>0.69817123148973459</v>
      </c>
      <c r="M249" s="297">
        <f t="shared" ref="M249:P256" si="226">M238/E238-1</f>
        <v>0.69267392302448183</v>
      </c>
      <c r="N249" s="297">
        <f t="shared" si="226"/>
        <v>0.45306252356187016</v>
      </c>
      <c r="O249" s="297">
        <f t="shared" si="226"/>
        <v>0.19937066478831178</v>
      </c>
      <c r="P249" s="297">
        <f t="shared" si="226"/>
        <v>0.13105875122489397</v>
      </c>
      <c r="Q249" s="297">
        <f>Q238/E238-1</f>
        <v>0.20944605848518583</v>
      </c>
      <c r="R249" s="297">
        <f>R238/F238-1</f>
        <v>0.10508635143804046</v>
      </c>
      <c r="S249" s="297">
        <f>S238/G238-1</f>
        <v>0.19053982261237068</v>
      </c>
      <c r="T249" s="297">
        <f>T238/H238-1</f>
        <v>0.18136052997521901</v>
      </c>
      <c r="U249" s="441"/>
      <c r="V249" s="297"/>
      <c r="W249" s="297">
        <f t="shared" ref="W249:X256" si="227">W238/V238-1</f>
        <v>0.10176317621314745</v>
      </c>
      <c r="X249" s="297">
        <f t="shared" si="227"/>
        <v>-4.1604466444635335E-2</v>
      </c>
      <c r="Y249" s="297">
        <f t="shared" ref="Y249:AD249" si="228">Y238/$X238-1</f>
        <v>0.90831665623961588</v>
      </c>
      <c r="Z249" s="297">
        <f t="shared" si="228"/>
        <v>0.31758756468178095</v>
      </c>
      <c r="AA249" s="297">
        <f t="shared" si="228"/>
        <v>0.16967800488492446</v>
      </c>
      <c r="AB249" s="297">
        <f t="shared" si="228"/>
        <v>3.6954724901645086E-2</v>
      </c>
      <c r="AC249" s="297">
        <f t="shared" si="228"/>
        <v>1.2760890867407282E-2</v>
      </c>
      <c r="AD249" s="297">
        <f t="shared" si="228"/>
        <v>4.9875979127538272E-2</v>
      </c>
    </row>
    <row r="250" spans="2:30" s="278" customFormat="1" ht="11.25" customHeight="1">
      <c r="C250" s="278" t="str">
        <f t="shared" si="224"/>
        <v xml:space="preserve">  Landing fees and other rent</v>
      </c>
      <c r="I250" s="297">
        <f t="shared" si="225"/>
        <v>0.14136401713529256</v>
      </c>
      <c r="J250" s="297">
        <f t="shared" si="225"/>
        <v>4.3113912752426646</v>
      </c>
      <c r="K250" s="297">
        <f t="shared" si="225"/>
        <v>1.6201354948857873</v>
      </c>
      <c r="L250" s="297">
        <f t="shared" si="225"/>
        <v>1.0475483917861164</v>
      </c>
      <c r="M250" s="297">
        <f t="shared" si="226"/>
        <v>0.90786171235039936</v>
      </c>
      <c r="N250" s="297">
        <f t="shared" si="226"/>
        <v>0.57995882894274842</v>
      </c>
      <c r="O250" s="297">
        <f t="shared" si="226"/>
        <v>0.40835798342006524</v>
      </c>
      <c r="P250" s="297">
        <f t="shared" si="226"/>
        <v>0.35776641710929802</v>
      </c>
      <c r="Q250" s="297">
        <f t="shared" ref="Q250:Q256" si="229">Q239/E239-1</f>
        <v>0.28274984520693214</v>
      </c>
      <c r="R250" s="296">
        <v>0.3</v>
      </c>
      <c r="S250" s="296">
        <v>0.15</v>
      </c>
      <c r="T250" s="296">
        <v>0.15</v>
      </c>
      <c r="U250" s="441"/>
      <c r="W250" s="297">
        <f t="shared" si="227"/>
        <v>0.11219784734536042</v>
      </c>
      <c r="X250" s="297">
        <f t="shared" si="227"/>
        <v>-4.4006857667353572E-2</v>
      </c>
      <c r="Y250" s="297">
        <f t="shared" ref="Y250:AA257" si="230">Y239/$X239-1</f>
        <v>0.94111807192181285</v>
      </c>
      <c r="Z250" s="297">
        <f t="shared" si="230"/>
        <v>0.51533355417573712</v>
      </c>
      <c r="AA250" s="297">
        <f t="shared" si="230"/>
        <v>0.21615921366241908</v>
      </c>
      <c r="AB250" s="296">
        <v>0.1</v>
      </c>
      <c r="AC250" s="296">
        <v>0.15</v>
      </c>
      <c r="AD250" s="296">
        <v>0.15</v>
      </c>
    </row>
    <row r="251" spans="2:30" s="278" customFormat="1" ht="11.25" customHeight="1">
      <c r="C251" s="278" t="str">
        <f t="shared" si="224"/>
        <v xml:space="preserve">  Regional capacity purchase</v>
      </c>
      <c r="I251" s="297">
        <f t="shared" si="225"/>
        <v>0.15396465202527598</v>
      </c>
      <c r="J251" s="297">
        <f t="shared" si="225"/>
        <v>3.4342545772870432</v>
      </c>
      <c r="K251" s="297">
        <f t="shared" si="225"/>
        <v>0.99235684475885266</v>
      </c>
      <c r="L251" s="297">
        <f t="shared" si="225"/>
        <v>0.56117122957533327</v>
      </c>
      <c r="M251" s="297">
        <f t="shared" si="226"/>
        <v>0.5048871572313558</v>
      </c>
      <c r="N251" s="297">
        <f t="shared" si="226"/>
        <v>0.41446395978998929</v>
      </c>
      <c r="O251" s="297">
        <f t="shared" si="226"/>
        <v>4.8315385905097763E-3</v>
      </c>
      <c r="P251" s="297">
        <f t="shared" si="226"/>
        <v>7.4305434895432176E-2</v>
      </c>
      <c r="Q251" s="297">
        <f t="shared" si="229"/>
        <v>1.2110392856643948E-2</v>
      </c>
      <c r="R251" s="296">
        <v>0.02</v>
      </c>
      <c r="S251" s="296">
        <v>0.02</v>
      </c>
      <c r="T251" s="296">
        <v>0.02</v>
      </c>
      <c r="U251" s="441"/>
      <c r="W251" s="297">
        <f t="shared" si="227"/>
        <v>0.2253048513299627</v>
      </c>
      <c r="X251" s="297">
        <f t="shared" si="227"/>
        <v>-9.8347221780866745E-3</v>
      </c>
      <c r="Y251" s="297">
        <f t="shared" si="230"/>
        <v>0.66094633140494863</v>
      </c>
      <c r="Z251" s="297">
        <f t="shared" si="230"/>
        <v>0.20198006636076116</v>
      </c>
      <c r="AA251" s="297">
        <f t="shared" si="230"/>
        <v>1.7263411203026324E-2</v>
      </c>
      <c r="AB251" s="296">
        <v>0.05</v>
      </c>
      <c r="AC251" s="296">
        <v>0.1</v>
      </c>
      <c r="AD251" s="296">
        <v>0.1</v>
      </c>
    </row>
    <row r="252" spans="2:30" s="278" customFormat="1" ht="11.25" customHeight="1">
      <c r="C252" s="278" t="str">
        <f t="shared" si="224"/>
        <v xml:space="preserve">  Aircraft maintenance materials and outside repairs</v>
      </c>
      <c r="I252" s="297">
        <f t="shared" si="225"/>
        <v>0.14589024588797739</v>
      </c>
      <c r="J252" s="297">
        <f t="shared" si="225"/>
        <v>1.1350376037883905</v>
      </c>
      <c r="K252" s="297">
        <f t="shared" si="225"/>
        <v>-0.20674061088508866</v>
      </c>
      <c r="L252" s="297">
        <f t="shared" si="225"/>
        <v>-3.0296075139462753E-2</v>
      </c>
      <c r="M252" s="297">
        <f t="shared" si="226"/>
        <v>0.42511193644398815</v>
      </c>
      <c r="N252" s="297">
        <f t="shared" si="226"/>
        <v>0.3262806968584957</v>
      </c>
      <c r="O252" s="297">
        <f t="shared" si="226"/>
        <v>-1.6203671090972871E-2</v>
      </c>
      <c r="P252" s="297">
        <f t="shared" si="226"/>
        <v>8.860567362948113E-2</v>
      </c>
      <c r="Q252" s="297">
        <f t="shared" si="229"/>
        <v>0.22942522890051187</v>
      </c>
      <c r="R252" s="296">
        <v>0.25</v>
      </c>
      <c r="S252" s="296">
        <v>0.125</v>
      </c>
      <c r="T252" s="296">
        <v>0.2</v>
      </c>
      <c r="U252" s="441"/>
      <c r="W252" s="297">
        <f t="shared" si="227"/>
        <v>-1.2338323878517965E-3</v>
      </c>
      <c r="X252" s="297">
        <f t="shared" si="227"/>
        <v>-6.5276651487491621E-2</v>
      </c>
      <c r="Y252" s="297">
        <f t="shared" si="230"/>
        <v>0.10993021045908447</v>
      </c>
      <c r="Z252" s="297">
        <f t="shared" si="230"/>
        <v>0.17001416799603164</v>
      </c>
      <c r="AA252" s="297">
        <f t="shared" si="230"/>
        <v>0.19857122465085042</v>
      </c>
      <c r="AB252" s="296">
        <v>0.1</v>
      </c>
      <c r="AC252" s="296">
        <v>0.15</v>
      </c>
      <c r="AD252" s="296">
        <v>0.15</v>
      </c>
    </row>
    <row r="253" spans="2:30" s="278" customFormat="1" ht="11.25" customHeight="1">
      <c r="C253" s="278" t="str">
        <f t="shared" si="224"/>
        <v xml:space="preserve">  Distribution expenses</v>
      </c>
      <c r="I253" s="297">
        <f t="shared" si="225"/>
        <v>-0.11725966465004523</v>
      </c>
      <c r="J253" s="297">
        <f t="shared" si="225"/>
        <v>-0.42689478060381969</v>
      </c>
      <c r="K253" s="297">
        <f t="shared" si="225"/>
        <v>-0.58532716716356181</v>
      </c>
      <c r="L253" s="297">
        <f t="shared" si="225"/>
        <v>-0.55594821656603877</v>
      </c>
      <c r="M253" s="297">
        <f t="shared" si="226"/>
        <v>-0.4896439285844949</v>
      </c>
      <c r="N253" s="297">
        <f t="shared" si="226"/>
        <v>-0.4185623737716706</v>
      </c>
      <c r="O253" s="297">
        <f t="shared" si="226"/>
        <v>-0.29693103822747879</v>
      </c>
      <c r="P253" s="297">
        <f t="shared" si="226"/>
        <v>-0.26966331705227808</v>
      </c>
      <c r="Q253" s="297">
        <f t="shared" si="229"/>
        <v>-0.22629783301625461</v>
      </c>
      <c r="R253" s="296">
        <v>-0.1</v>
      </c>
      <c r="S253" s="296">
        <v>-0.04</v>
      </c>
      <c r="T253" s="296">
        <v>0.05</v>
      </c>
      <c r="U253" s="441"/>
      <c r="W253" s="297">
        <f t="shared" si="227"/>
        <v>0.13899232386368454</v>
      </c>
      <c r="X253" s="297">
        <f t="shared" si="227"/>
        <v>-2.4388700134213459E-2</v>
      </c>
      <c r="Y253" s="297">
        <f t="shared" si="230"/>
        <v>-0.35479691471744101</v>
      </c>
      <c r="Z253" s="297">
        <f t="shared" si="230"/>
        <v>-0.3459675965153457</v>
      </c>
      <c r="AA253" s="297">
        <f t="shared" si="230"/>
        <v>-6.8125381819239217E-2</v>
      </c>
      <c r="AB253" s="296">
        <v>-0.04</v>
      </c>
      <c r="AC253" s="296">
        <v>0.05</v>
      </c>
      <c r="AD253" s="296">
        <v>0.05</v>
      </c>
    </row>
    <row r="254" spans="2:30" s="278" customFormat="1" ht="11.25" customHeight="1">
      <c r="C254" s="278" t="str">
        <f t="shared" si="224"/>
        <v xml:space="preserve">  Aircraft rent</v>
      </c>
      <c r="I254" s="297">
        <f t="shared" si="225"/>
        <v>-0.33503552892658761</v>
      </c>
      <c r="J254" s="297">
        <f t="shared" si="225"/>
        <v>4.2610198089864113</v>
      </c>
      <c r="K254" s="297">
        <f t="shared" si="225"/>
        <v>1.5223692450766158</v>
      </c>
      <c r="L254" s="297">
        <f t="shared" si="225"/>
        <v>0.76187486535262239</v>
      </c>
      <c r="M254" s="297">
        <f t="shared" si="226"/>
        <v>0.46769066289426298</v>
      </c>
      <c r="N254" s="297">
        <f t="shared" si="226"/>
        <v>0.31701610340316533</v>
      </c>
      <c r="O254" s="297">
        <f t="shared" si="226"/>
        <v>0.20608625949420012</v>
      </c>
      <c r="P254" s="297">
        <f t="shared" si="226"/>
        <v>0.21858844063001648</v>
      </c>
      <c r="Q254" s="297">
        <f t="shared" si="229"/>
        <v>-7.1861707256470564E-2</v>
      </c>
      <c r="R254" s="296">
        <v>0.1</v>
      </c>
      <c r="S254" s="296">
        <v>0.1</v>
      </c>
      <c r="T254" s="296">
        <v>0.1</v>
      </c>
      <c r="U254" s="441"/>
      <c r="W254" s="297">
        <f t="shared" si="227"/>
        <v>-0.26852154131052886</v>
      </c>
      <c r="X254" s="297">
        <f t="shared" si="227"/>
        <v>-0.3876470797389534</v>
      </c>
      <c r="Y254" s="297">
        <f t="shared" si="230"/>
        <v>0.59552467753493388</v>
      </c>
      <c r="Z254" s="297">
        <f t="shared" si="230"/>
        <v>0.26269956086349877</v>
      </c>
      <c r="AA254" s="297">
        <f t="shared" si="230"/>
        <v>4.8748515084096944E-2</v>
      </c>
      <c r="AB254" s="296">
        <v>0.02</v>
      </c>
      <c r="AC254" s="296">
        <v>0.05</v>
      </c>
      <c r="AD254" s="296">
        <v>0.05</v>
      </c>
    </row>
    <row r="255" spans="2:30" s="278" customFormat="1" ht="11.25" customHeight="1">
      <c r="C255" s="278" t="str">
        <f t="shared" si="224"/>
        <v xml:space="preserve">  Other operating expenses</v>
      </c>
      <c r="I255" s="297">
        <f t="shared" si="225"/>
        <v>2.6951693087110762E-2</v>
      </c>
      <c r="J255" s="297">
        <f t="shared" si="225"/>
        <v>1.5518567844253033</v>
      </c>
      <c r="K255" s="297">
        <f t="shared" si="225"/>
        <v>0.45983346892099553</v>
      </c>
      <c r="L255" s="297">
        <f t="shared" si="225"/>
        <v>0.17633022541353771</v>
      </c>
      <c r="M255" s="297">
        <f t="shared" si="226"/>
        <v>0.24016159740289256</v>
      </c>
      <c r="N255" s="297">
        <f t="shared" si="226"/>
        <v>0.13881672289030966</v>
      </c>
      <c r="O255" s="297">
        <f t="shared" si="226"/>
        <v>5.170462906920803E-2</v>
      </c>
      <c r="P255" s="297">
        <f t="shared" si="226"/>
        <v>0.12638673261734445</v>
      </c>
      <c r="Q255" s="297">
        <f t="shared" si="229"/>
        <v>0.18158043463945606</v>
      </c>
      <c r="R255" s="296">
        <v>0.25</v>
      </c>
      <c r="S255" s="296">
        <v>0.05</v>
      </c>
      <c r="T255" s="296">
        <v>7.0000000000000007E-2</v>
      </c>
      <c r="U255" s="441"/>
      <c r="W255" s="297">
        <f t="shared" si="227"/>
        <v>0.10244741216271747</v>
      </c>
      <c r="X255" s="297">
        <f t="shared" si="227"/>
        <v>-1.0133136500627304E-2</v>
      </c>
      <c r="Y255" s="297">
        <f t="shared" si="230"/>
        <v>0.27267657562903835</v>
      </c>
      <c r="Z255" s="297">
        <f t="shared" si="230"/>
        <v>0.1267041422143973</v>
      </c>
      <c r="AA255" s="297">
        <f t="shared" si="230"/>
        <v>0.13229382803772327</v>
      </c>
      <c r="AB255" s="296">
        <v>0.05</v>
      </c>
      <c r="AC255" s="296">
        <v>0.125</v>
      </c>
      <c r="AD255" s="296">
        <v>0.125</v>
      </c>
    </row>
    <row r="256" spans="2:30" s="278" customFormat="1" ht="11.25" customHeight="1">
      <c r="C256" s="278" t="str">
        <f t="shared" si="224"/>
        <v xml:space="preserve">  Depreciation and amortization</v>
      </c>
      <c r="I256" s="297">
        <f t="shared" si="225"/>
        <v>0.2111592368015367</v>
      </c>
      <c r="J256" s="297">
        <f t="shared" si="225"/>
        <v>8.017691780494415</v>
      </c>
      <c r="K256" s="297">
        <f t="shared" si="225"/>
        <v>2.6797638565914235</v>
      </c>
      <c r="L256" s="297">
        <f t="shared" si="225"/>
        <v>1.4024685320182342</v>
      </c>
      <c r="M256" s="297">
        <f t="shared" si="226"/>
        <v>1.4618272867420039</v>
      </c>
      <c r="N256" s="297">
        <f t="shared" si="226"/>
        <v>1.0469831332426951</v>
      </c>
      <c r="O256" s="297">
        <f t="shared" si="226"/>
        <v>0.50954262541371542</v>
      </c>
      <c r="P256" s="297">
        <f t="shared" si="226"/>
        <v>0.32376023883515792</v>
      </c>
      <c r="Q256" s="297">
        <f t="shared" si="229"/>
        <v>0.37664435658494977</v>
      </c>
      <c r="R256" s="297">
        <f t="shared" ref="R256:T257" si="231">R245/F245-1</f>
        <v>0.35646226153334015</v>
      </c>
      <c r="S256" s="297">
        <f t="shared" si="231"/>
        <v>0.41819931174772362</v>
      </c>
      <c r="T256" s="297">
        <f t="shared" si="231"/>
        <v>0.38233548627077774</v>
      </c>
      <c r="U256" s="441"/>
      <c r="W256" s="297">
        <f t="shared" si="227"/>
        <v>8.3607163278057506E-2</v>
      </c>
      <c r="X256" s="297">
        <f t="shared" si="227"/>
        <v>-2.7039248918559133E-2</v>
      </c>
      <c r="Y256" s="297">
        <f t="shared" si="230"/>
        <v>1.5236270805511225</v>
      </c>
      <c r="Z256" s="297">
        <f t="shared" si="230"/>
        <v>0.73231969566385358</v>
      </c>
      <c r="AA256" s="297">
        <f t="shared" si="230"/>
        <v>0.3839976291985443</v>
      </c>
      <c r="AB256" s="297">
        <f t="shared" ref="AB256:AD257" si="232">AB245/$X245-1</f>
        <v>0.19576015938988744</v>
      </c>
      <c r="AC256" s="297">
        <f t="shared" si="232"/>
        <v>0.30303531905259251</v>
      </c>
      <c r="AD256" s="297">
        <f t="shared" si="232"/>
        <v>0.33733504526406444</v>
      </c>
    </row>
    <row r="257" spans="3:30" s="392" customFormat="1" ht="11.25" customHeight="1">
      <c r="C257" s="479" t="str">
        <f t="shared" si="224"/>
        <v>Total Operating Costs</v>
      </c>
      <c r="I257" s="933">
        <f>I246/E246-1</f>
        <v>9.6968771139182897E-2</v>
      </c>
      <c r="J257" s="933">
        <f>J246/F246-1</f>
        <v>3.7902303897688672</v>
      </c>
      <c r="K257" s="933">
        <f>K246/G246-1</f>
        <v>1.141584351733465</v>
      </c>
      <c r="L257" s="933">
        <f>L246/H246-1</f>
        <v>0.54627878910550587</v>
      </c>
      <c r="M257" s="933">
        <f>M246/E246-1</f>
        <v>0.57768442899989259</v>
      </c>
      <c r="N257" s="933">
        <f>N246/F246-1</f>
        <v>0.37980131035091214</v>
      </c>
      <c r="O257" s="933">
        <f>O246/G246-1</f>
        <v>0.14850775830430685</v>
      </c>
      <c r="P257" s="933">
        <f>P246/H246-1</f>
        <v>0.13563250692924345</v>
      </c>
      <c r="Q257" s="933">
        <f>Q246/E246-1</f>
        <v>0.17884599227923315</v>
      </c>
      <c r="R257" s="933">
        <f t="shared" si="231"/>
        <v>0.15963269254994983</v>
      </c>
      <c r="S257" s="933">
        <f t="shared" si="231"/>
        <v>0.13990954378237741</v>
      </c>
      <c r="T257" s="933">
        <f t="shared" si="231"/>
        <v>0.14884387732471072</v>
      </c>
      <c r="U257" s="441"/>
      <c r="W257" s="933">
        <f>W246/V246-1</f>
        <v>9.8086182307594916E-2</v>
      </c>
      <c r="X257" s="933">
        <f>X246/W246-1</f>
        <v>-3.7158018722513564E-2</v>
      </c>
      <c r="Y257" s="933">
        <f t="shared" si="230"/>
        <v>0.67796759589303401</v>
      </c>
      <c r="Z257" s="933">
        <f t="shared" si="230"/>
        <v>0.26881094452215426</v>
      </c>
      <c r="AA257" s="933">
        <f t="shared" si="230"/>
        <v>0.15491594374038864</v>
      </c>
      <c r="AB257" s="933">
        <f t="shared" si="232"/>
        <v>5.8318039829729162E-2</v>
      </c>
      <c r="AC257" s="933">
        <f t="shared" si="232"/>
        <v>9.0614808461749519E-2</v>
      </c>
      <c r="AD257" s="933">
        <f t="shared" si="232"/>
        <v>0.10808114851756279</v>
      </c>
    </row>
    <row r="258" spans="3:30" ht="11.25" customHeight="1" thickBot="1">
      <c r="C258" s="430"/>
      <c r="D258" s="430"/>
      <c r="E258" s="430"/>
      <c r="F258" s="430"/>
      <c r="G258" s="430"/>
      <c r="H258" s="430"/>
      <c r="I258" s="430"/>
      <c r="J258" s="430"/>
      <c r="K258" s="430"/>
      <c r="L258" s="430"/>
      <c r="M258" s="430"/>
      <c r="N258" s="430"/>
      <c r="O258" s="430"/>
      <c r="P258" s="430"/>
      <c r="Q258" s="430"/>
      <c r="R258" s="430"/>
      <c r="S258" s="430"/>
      <c r="T258" s="430"/>
      <c r="U258" s="441"/>
      <c r="V258" s="430"/>
      <c r="W258" s="430"/>
      <c r="X258" s="430"/>
      <c r="Y258" s="430"/>
      <c r="Z258" s="430"/>
      <c r="AA258" s="430"/>
      <c r="AB258" s="430"/>
      <c r="AC258" s="430"/>
      <c r="AD258" s="430"/>
    </row>
    <row r="259" spans="3:30" ht="11.25" customHeight="1">
      <c r="U259" s="255"/>
    </row>
    <row r="260" spans="3:30" ht="11.25" customHeight="1">
      <c r="C260" s="397" t="s">
        <v>288</v>
      </c>
      <c r="U260" s="255"/>
    </row>
    <row r="261" spans="3:30" s="255" customFormat="1" ht="11.25" customHeight="1">
      <c r="C261" s="255" t="s">
        <v>529</v>
      </c>
      <c r="E261" s="254">
        <f t="shared" ref="E261:Q261" si="233">E16</f>
        <v>2840</v>
      </c>
      <c r="F261" s="254">
        <f t="shared" si="233"/>
        <v>2896</v>
      </c>
      <c r="G261" s="254">
        <f t="shared" si="233"/>
        <v>2889</v>
      </c>
      <c r="H261" s="254">
        <f t="shared" si="233"/>
        <v>2955</v>
      </c>
      <c r="I261" s="254">
        <f t="shared" si="233"/>
        <v>2955</v>
      </c>
      <c r="J261" s="254">
        <f t="shared" si="233"/>
        <v>2170</v>
      </c>
      <c r="K261" s="254">
        <f t="shared" si="233"/>
        <v>2229</v>
      </c>
      <c r="L261" s="254">
        <f t="shared" si="233"/>
        <v>2168</v>
      </c>
      <c r="M261" s="254">
        <f t="shared" si="233"/>
        <v>2224</v>
      </c>
      <c r="N261" s="254">
        <f t="shared" si="233"/>
        <v>2276</v>
      </c>
      <c r="O261" s="254">
        <f t="shared" si="233"/>
        <v>2487</v>
      </c>
      <c r="P261" s="254">
        <f t="shared" si="233"/>
        <v>2579</v>
      </c>
      <c r="Q261" s="254">
        <f t="shared" si="233"/>
        <v>2787</v>
      </c>
      <c r="R261" s="255">
        <f>R262*R264/4</f>
        <v>2785.9520000000002</v>
      </c>
      <c r="S261" s="255">
        <f>S262*S264/4</f>
        <v>3169.95525</v>
      </c>
      <c r="T261" s="255">
        <f>T262*T264/4</f>
        <v>3257.8875000000003</v>
      </c>
      <c r="V261" s="254">
        <f>V16</f>
        <v>10592</v>
      </c>
      <c r="W261" s="254">
        <f>W16</f>
        <v>11124</v>
      </c>
      <c r="X261" s="255">
        <f>SUMIF($E$5:$T$5,X$5,$E261:$T261)</f>
        <v>11580</v>
      </c>
      <c r="Y261" s="255">
        <f>SUMIF($E$5:$T$5,Y$5,$E261:$T261)</f>
        <v>9522</v>
      </c>
      <c r="Z261" s="255">
        <f>SUMIF($E$5:$T$5,Z$5,$E261:$T261)</f>
        <v>9566</v>
      </c>
      <c r="AA261" s="255">
        <f>SUMIF($E$5:$T$5,AA$5,$E261:$T261)</f>
        <v>12000.794750000001</v>
      </c>
      <c r="AB261" s="255">
        <f>AB262*AB264</f>
        <v>12387.936599999999</v>
      </c>
      <c r="AC261" s="255">
        <f>AC262*AC264</f>
        <v>12481.873559999998</v>
      </c>
      <c r="AD261" s="255">
        <f>AD262*AD264</f>
        <v>12949.334999999999</v>
      </c>
    </row>
    <row r="262" spans="3:30" ht="11.25" customHeight="1">
      <c r="C262" s="253" t="s">
        <v>371</v>
      </c>
      <c r="E262" s="277">
        <v>88.73</v>
      </c>
      <c r="F262" s="277">
        <v>94.6</v>
      </c>
      <c r="G262" s="277">
        <v>95</v>
      </c>
      <c r="H262" s="277">
        <v>95.9</v>
      </c>
      <c r="I262" s="277">
        <v>95.2</v>
      </c>
      <c r="J262" s="277">
        <v>91.8</v>
      </c>
      <c r="K262" s="277">
        <v>87.9</v>
      </c>
      <c r="L262" s="277">
        <v>74.400000000000006</v>
      </c>
      <c r="M262" s="277">
        <v>84.1</v>
      </c>
      <c r="N262" s="277">
        <v>84.4</v>
      </c>
      <c r="O262" s="277">
        <v>85.3</v>
      </c>
      <c r="P262" s="277">
        <v>84.1</v>
      </c>
      <c r="Q262" s="277">
        <v>87.4</v>
      </c>
      <c r="R262" s="255">
        <f>(R268+1)*F262</f>
        <v>87.504999999999995</v>
      </c>
      <c r="S262" s="255">
        <f>(S268+1)*G262</f>
        <v>99.75</v>
      </c>
      <c r="T262" s="255">
        <f>(T268+1)*H262</f>
        <v>100.69500000000001</v>
      </c>
      <c r="U262" s="255"/>
      <c r="V262" s="277">
        <v>0</v>
      </c>
      <c r="W262" s="277">
        <v>86.641000000000005</v>
      </c>
      <c r="X262" s="277">
        <v>95.9</v>
      </c>
      <c r="Y262" s="277">
        <v>74.400000000000006</v>
      </c>
      <c r="Z262" s="277">
        <v>84.1</v>
      </c>
      <c r="AA262" s="255">
        <f>SUMIF($E$6:$T$6,AA$6,$E262:$T262)</f>
        <v>100.69500000000001</v>
      </c>
      <c r="AB262" s="255">
        <f>(AB268+1)*$X262</f>
        <v>101.17449999999999</v>
      </c>
      <c r="AC262" s="255">
        <f>(AC268+1)*$X262</f>
        <v>101.9417</v>
      </c>
      <c r="AD262" s="255">
        <f>(AD268+1)*$X262</f>
        <v>102.1335</v>
      </c>
    </row>
    <row r="263" spans="3:30" ht="3" customHeight="1">
      <c r="E263" s="277"/>
      <c r="F263" s="277"/>
      <c r="G263" s="277"/>
      <c r="H263" s="277"/>
      <c r="I263" s="277"/>
      <c r="J263" s="277"/>
      <c r="K263" s="277"/>
      <c r="L263" s="277"/>
      <c r="M263" s="277"/>
      <c r="N263" s="277"/>
      <c r="O263" s="277"/>
      <c r="P263" s="277"/>
      <c r="Q263" s="255"/>
      <c r="R263" s="255"/>
      <c r="S263" s="255"/>
      <c r="T263" s="255"/>
      <c r="U263" s="255"/>
      <c r="V263" s="277"/>
      <c r="W263" s="277"/>
      <c r="X263" s="277"/>
      <c r="Y263" s="277"/>
      <c r="Z263" s="277"/>
      <c r="AB263" s="255"/>
      <c r="AC263" s="255"/>
      <c r="AD263" s="255"/>
    </row>
    <row r="264" spans="3:30" ht="11.25" customHeight="1">
      <c r="C264" s="444" t="s">
        <v>530</v>
      </c>
      <c r="E264" s="443">
        <f t="shared" ref="E264:Q264" si="234">E261/E262*4</f>
        <v>128.02885157218529</v>
      </c>
      <c r="F264" s="443">
        <f t="shared" si="234"/>
        <v>122.4524312896406</v>
      </c>
      <c r="G264" s="443">
        <f t="shared" si="234"/>
        <v>121.6421052631579</v>
      </c>
      <c r="H264" s="443">
        <f t="shared" si="234"/>
        <v>123.2533889468196</v>
      </c>
      <c r="I264" s="443">
        <f t="shared" si="234"/>
        <v>124.15966386554622</v>
      </c>
      <c r="J264" s="443">
        <f t="shared" si="234"/>
        <v>94.553376906318093</v>
      </c>
      <c r="K264" s="443">
        <f t="shared" si="234"/>
        <v>101.4334470989761</v>
      </c>
      <c r="L264" s="443">
        <f t="shared" si="234"/>
        <v>116.55913978494623</v>
      </c>
      <c r="M264" s="443">
        <f t="shared" si="234"/>
        <v>105.77883472057076</v>
      </c>
      <c r="N264" s="443">
        <f t="shared" si="234"/>
        <v>107.86729857819904</v>
      </c>
      <c r="O264" s="443">
        <f t="shared" si="234"/>
        <v>116.62368112543963</v>
      </c>
      <c r="P264" s="443">
        <f t="shared" si="234"/>
        <v>122.66349583828776</v>
      </c>
      <c r="Q264" s="443">
        <f t="shared" si="234"/>
        <v>127.55148741418763</v>
      </c>
      <c r="R264" s="255">
        <f>(R269+1)*F264</f>
        <v>127.35052854122623</v>
      </c>
      <c r="S264" s="255">
        <f>(S269+1)*G264</f>
        <v>127.116</v>
      </c>
      <c r="T264" s="255">
        <f>(T269+1)*H264</f>
        <v>129.41605839416059</v>
      </c>
      <c r="U264" s="255"/>
      <c r="V264" s="277"/>
      <c r="W264" s="443">
        <f>W261/W262</f>
        <v>128.39186989993189</v>
      </c>
      <c r="X264" s="443">
        <f>X261/X262</f>
        <v>120.75078206465066</v>
      </c>
      <c r="Y264" s="443">
        <f>Y261/Y262</f>
        <v>127.98387096774192</v>
      </c>
      <c r="Z264" s="443">
        <f>Z261/Z262</f>
        <v>113.74554102259216</v>
      </c>
      <c r="AA264" s="443">
        <f>AA261/AA262</f>
        <v>119.17964893986792</v>
      </c>
      <c r="AB264" s="443">
        <f>(AB269+1)*$X264</f>
        <v>122.44129301355578</v>
      </c>
      <c r="AC264" s="443">
        <f>(AC269+1)*$X264</f>
        <v>122.44129301355578</v>
      </c>
      <c r="AD264" s="443">
        <f>(AD269+1)*$X264</f>
        <v>126.7883211678832</v>
      </c>
    </row>
    <row r="265" spans="3:30" ht="11.25" customHeight="1">
      <c r="E265" s="277"/>
      <c r="F265" s="277"/>
      <c r="G265" s="277"/>
      <c r="H265" s="277"/>
      <c r="I265" s="277"/>
      <c r="J265" s="277"/>
      <c r="K265" s="277"/>
      <c r="L265" s="277"/>
      <c r="M265" s="277"/>
      <c r="N265" s="277"/>
      <c r="O265" s="277"/>
      <c r="P265" s="277"/>
      <c r="U265" s="255"/>
      <c r="V265" s="277"/>
      <c r="W265" s="277"/>
      <c r="X265" s="277"/>
      <c r="Y265" s="277"/>
      <c r="Z265" s="277"/>
    </row>
    <row r="266" spans="3:30" s="278" customFormat="1" ht="11.25" customHeight="1">
      <c r="C266" s="392" t="s">
        <v>533</v>
      </c>
      <c r="E266" s="424"/>
      <c r="F266" s="424"/>
      <c r="G266" s="424"/>
      <c r="H266" s="424"/>
      <c r="I266" s="424"/>
      <c r="J266" s="424"/>
      <c r="K266" s="424"/>
      <c r="L266" s="424"/>
      <c r="M266" s="424"/>
      <c r="N266" s="424"/>
      <c r="O266" s="424"/>
      <c r="P266" s="424"/>
      <c r="U266" s="441"/>
      <c r="V266" s="424"/>
      <c r="W266" s="424"/>
      <c r="X266" s="424"/>
      <c r="Y266" s="424"/>
      <c r="Z266" s="424"/>
    </row>
    <row r="267" spans="3:30" s="278" customFormat="1" ht="11.25" customHeight="1">
      <c r="C267" s="278" t="s">
        <v>1786</v>
      </c>
      <c r="E267" s="424"/>
      <c r="F267" s="424"/>
      <c r="G267" s="424"/>
      <c r="H267" s="424"/>
      <c r="I267" s="297">
        <f t="shared" ref="I267:L268" si="235">I261/E261-1</f>
        <v>4.0492957746478764E-2</v>
      </c>
      <c r="J267" s="297">
        <f t="shared" si="235"/>
        <v>-0.25069060773480667</v>
      </c>
      <c r="K267" s="297">
        <f t="shared" si="235"/>
        <v>-0.22845275181723779</v>
      </c>
      <c r="L267" s="297">
        <f t="shared" si="235"/>
        <v>-0.26632825719120135</v>
      </c>
      <c r="M267" s="297">
        <f t="shared" ref="M267:P268" si="236">M261/E261-1</f>
        <v>-0.21690140845070427</v>
      </c>
      <c r="N267" s="297">
        <f t="shared" si="236"/>
        <v>-0.21408839779005528</v>
      </c>
      <c r="O267" s="297">
        <f t="shared" si="236"/>
        <v>-0.13914849428868126</v>
      </c>
      <c r="P267" s="297">
        <f t="shared" si="236"/>
        <v>-0.1272419627749577</v>
      </c>
      <c r="Q267" s="297">
        <f>Q261/E261-1</f>
        <v>-1.8661971830985946E-2</v>
      </c>
      <c r="R267" s="297">
        <f>R261/F261-1</f>
        <v>-3.7999999999999923E-2</v>
      </c>
      <c r="S267" s="297">
        <f>S261/G261-1</f>
        <v>9.7250000000000059E-2</v>
      </c>
      <c r="T267" s="297">
        <f>T261/H261-1</f>
        <v>0.10250000000000004</v>
      </c>
      <c r="U267" s="441"/>
      <c r="W267" s="297"/>
      <c r="X267" s="297">
        <f>X261/W261-1</f>
        <v>4.0992448759439082E-2</v>
      </c>
      <c r="Y267" s="297">
        <f>Y261/X261-1</f>
        <v>-0.17772020725388604</v>
      </c>
      <c r="Z267" s="297">
        <f>Z261/$X261-1</f>
        <v>-0.17392055267702933</v>
      </c>
      <c r="AA267" s="297">
        <f>AA261/$X261-1</f>
        <v>3.6338061312608083E-2</v>
      </c>
      <c r="AB267" s="297">
        <f>AB261/$X261-1</f>
        <v>6.9769999999999888E-2</v>
      </c>
      <c r="AC267" s="297">
        <f>AC261/$X261-1</f>
        <v>7.7881999999999785E-2</v>
      </c>
      <c r="AD267" s="297">
        <f>AD261/$X261-1</f>
        <v>0.11824999999999997</v>
      </c>
    </row>
    <row r="268" spans="3:30" s="278" customFormat="1" ht="11.25" customHeight="1">
      <c r="C268" s="278" t="s">
        <v>532</v>
      </c>
      <c r="I268" s="297">
        <f t="shared" si="235"/>
        <v>7.2917840640144282E-2</v>
      </c>
      <c r="J268" s="297">
        <f t="shared" si="235"/>
        <v>-2.9598308668076112E-2</v>
      </c>
      <c r="K268" s="297">
        <f t="shared" si="235"/>
        <v>-7.4736842105263102E-2</v>
      </c>
      <c r="L268" s="297">
        <f t="shared" si="235"/>
        <v>-0.2241918665276329</v>
      </c>
      <c r="M268" s="297">
        <f t="shared" si="236"/>
        <v>-5.2180773131973557E-2</v>
      </c>
      <c r="N268" s="297">
        <f t="shared" si="236"/>
        <v>-0.10782241014799143</v>
      </c>
      <c r="O268" s="297">
        <f t="shared" si="236"/>
        <v>-0.10210526315789481</v>
      </c>
      <c r="P268" s="297">
        <f t="shared" si="236"/>
        <v>-0.1230448383733056</v>
      </c>
      <c r="Q268" s="297">
        <f>Q262/E262-1</f>
        <v>-1.498929336188437E-2</v>
      </c>
      <c r="R268" s="296">
        <v>-7.4999999999999997E-2</v>
      </c>
      <c r="S268" s="296">
        <v>0.05</v>
      </c>
      <c r="T268" s="296">
        <v>0.05</v>
      </c>
      <c r="U268" s="441"/>
      <c r="W268" s="297"/>
      <c r="X268" s="297">
        <f>X262/W262-1</f>
        <v>0.10686626423979417</v>
      </c>
      <c r="Y268" s="297">
        <f>Y262/X262-1</f>
        <v>-0.2241918665276329</v>
      </c>
      <c r="Z268" s="297">
        <f>Z262/$X262-1</f>
        <v>-0.1230448383733056</v>
      </c>
      <c r="AA268" s="297">
        <f>AA262/$X262-1</f>
        <v>5.0000000000000044E-2</v>
      </c>
      <c r="AB268" s="296">
        <v>5.5E-2</v>
      </c>
      <c r="AC268" s="296">
        <v>6.3E-2</v>
      </c>
      <c r="AD268" s="296">
        <v>6.5000000000000002E-2</v>
      </c>
    </row>
    <row r="269" spans="3:30" s="278" customFormat="1" ht="11.25" customHeight="1">
      <c r="C269" s="278" t="s">
        <v>531</v>
      </c>
      <c r="I269" s="297">
        <f>I264/E264-1</f>
        <v>-3.0221217007930012E-2</v>
      </c>
      <c r="J269" s="297">
        <f>J264/F264-1</f>
        <v>-0.22783585502955017</v>
      </c>
      <c r="K269" s="297">
        <f>K264/G264-1</f>
        <v>-0.16613209809599094</v>
      </c>
      <c r="L269" s="297">
        <f>L264/H264-1</f>
        <v>-5.4312901406400771E-2</v>
      </c>
      <c r="M269" s="297">
        <f>M264/E264-1</f>
        <v>-0.17378908408835891</v>
      </c>
      <c r="N269" s="297">
        <f>N264/F264-1</f>
        <v>-0.11910855960828481</v>
      </c>
      <c r="O269" s="297">
        <f>O264/G264-1</f>
        <v>-4.1255650145659017E-2</v>
      </c>
      <c r="P269" s="297">
        <f>P264/H264-1</f>
        <v>-4.7860193830967512E-3</v>
      </c>
      <c r="Q269" s="297">
        <f>Q264/E264-1</f>
        <v>-3.7285670545010863E-3</v>
      </c>
      <c r="R269" s="296">
        <v>0.04</v>
      </c>
      <c r="S269" s="296">
        <v>4.4999999999999998E-2</v>
      </c>
      <c r="T269" s="296">
        <v>0.05</v>
      </c>
      <c r="U269" s="441"/>
      <c r="X269" s="297">
        <f>X264/W264-1</f>
        <v>-5.9513798196386247E-2</v>
      </c>
      <c r="Y269" s="297">
        <f>Y264/X264-1</f>
        <v>5.990096941333789E-2</v>
      </c>
      <c r="Z269" s="297">
        <f>Z264/$X264-1</f>
        <v>-5.8014042826719403E-2</v>
      </c>
      <c r="AA269" s="297">
        <f>AA264/$X264-1</f>
        <v>-1.301137017846854E-2</v>
      </c>
      <c r="AB269" s="296">
        <v>1.4E-2</v>
      </c>
      <c r="AC269" s="296">
        <v>1.4E-2</v>
      </c>
      <c r="AD269" s="296">
        <v>0.05</v>
      </c>
    </row>
    <row r="270" spans="3:30" ht="11.25" customHeight="1" thickBot="1">
      <c r="C270" s="430"/>
      <c r="D270" s="430"/>
      <c r="E270" s="430"/>
      <c r="F270" s="430"/>
      <c r="G270" s="430"/>
      <c r="H270" s="430"/>
      <c r="I270" s="430"/>
      <c r="J270" s="430"/>
      <c r="K270" s="430"/>
      <c r="L270" s="430"/>
      <c r="M270" s="430"/>
      <c r="N270" s="503"/>
      <c r="O270" s="430"/>
      <c r="P270" s="430"/>
      <c r="Q270" s="430"/>
      <c r="R270" s="430"/>
      <c r="S270" s="430"/>
      <c r="T270" s="430"/>
      <c r="U270" s="255"/>
      <c r="V270" s="430"/>
      <c r="W270" s="430"/>
      <c r="X270" s="430"/>
      <c r="Y270" s="430"/>
      <c r="Z270" s="430"/>
      <c r="AA270" s="430"/>
      <c r="AB270" s="430"/>
      <c r="AC270" s="430"/>
      <c r="AD270" s="430"/>
    </row>
    <row r="271" spans="3:30" ht="11.25" customHeight="1">
      <c r="N271" s="257"/>
      <c r="U271" s="255"/>
    </row>
    <row r="272" spans="3:30" ht="11.25" customHeight="1">
      <c r="C272" s="397" t="s">
        <v>524</v>
      </c>
      <c r="U272" s="255"/>
    </row>
    <row r="273" spans="3:30" ht="11.25" customHeight="1">
      <c r="C273" s="253" t="s">
        <v>526</v>
      </c>
      <c r="E273" s="383">
        <f t="shared" ref="E273:T273" si="237">E13-SUM(E15:E21,E24,E30)</f>
        <v>576</v>
      </c>
      <c r="F273" s="383">
        <f t="shared" si="237"/>
        <v>1745</v>
      </c>
      <c r="G273" s="383">
        <f t="shared" si="237"/>
        <v>1723</v>
      </c>
      <c r="H273" s="383">
        <f t="shared" si="237"/>
        <v>1162</v>
      </c>
      <c r="I273" s="383">
        <f t="shared" si="237"/>
        <v>-865</v>
      </c>
      <c r="J273" s="383">
        <f t="shared" si="237"/>
        <v>-3028</v>
      </c>
      <c r="K273" s="383">
        <f t="shared" si="237"/>
        <v>-2683</v>
      </c>
      <c r="L273" s="383">
        <f t="shared" si="237"/>
        <v>-2262</v>
      </c>
      <c r="M273" s="383">
        <f t="shared" si="237"/>
        <v>-2732</v>
      </c>
      <c r="N273" s="383">
        <f t="shared" si="237"/>
        <v>-1188</v>
      </c>
      <c r="O273" s="383">
        <f t="shared" si="237"/>
        <v>-28</v>
      </c>
      <c r="P273" s="383">
        <f t="shared" si="237"/>
        <v>-322</v>
      </c>
      <c r="Q273" s="383">
        <f t="shared" si="237"/>
        <v>-1350</v>
      </c>
      <c r="R273" s="383">
        <f t="shared" si="237"/>
        <v>195.74769004084555</v>
      </c>
      <c r="S273" s="383">
        <f t="shared" si="237"/>
        <v>523.01574724153943</v>
      </c>
      <c r="T273" s="383">
        <f t="shared" si="237"/>
        <v>360.72075263040097</v>
      </c>
      <c r="U273" s="255"/>
      <c r="V273" s="383">
        <f>V13-SUM(V15:V21,V24,V30)</f>
        <v>4288</v>
      </c>
      <c r="W273" s="383">
        <f>W13-SUM(W15:W21,W24,W30)</f>
        <v>4171</v>
      </c>
      <c r="X273" s="255">
        <f t="shared" ref="X273:AA274" si="238">SUMIF($E$5:$T$5,X$5,$E273:$T273)</f>
        <v>5206</v>
      </c>
      <c r="Y273" s="255">
        <f t="shared" si="238"/>
        <v>-8838</v>
      </c>
      <c r="Z273" s="255">
        <f t="shared" si="238"/>
        <v>-4270</v>
      </c>
      <c r="AA273" s="255">
        <f t="shared" si="238"/>
        <v>-270.51581008721405</v>
      </c>
      <c r="AB273" s="383">
        <f>AB13-SUM(AB15:AB21,AB24,AB30)</f>
        <v>3488.5348458772423</v>
      </c>
      <c r="AC273" s="383">
        <f>AC13-SUM(AC15:AC21,AC24,AC30)</f>
        <v>5260.8783773372925</v>
      </c>
      <c r="AD273" s="383">
        <f>AD13-SUM(AD15:AD21,AD24,AD30)</f>
        <v>4924.6725421225856</v>
      </c>
    </row>
    <row r="274" spans="3:30" ht="11.25" customHeight="1">
      <c r="C274" s="253" t="s">
        <v>527</v>
      </c>
      <c r="E274" s="255">
        <f t="shared" ref="E274:Q274" si="239">E26</f>
        <v>33</v>
      </c>
      <c r="F274" s="255">
        <f t="shared" si="239"/>
        <v>161</v>
      </c>
      <c r="G274" s="255">
        <f t="shared" si="239"/>
        <v>174</v>
      </c>
      <c r="H274" s="255">
        <f t="shared" si="239"/>
        <v>123</v>
      </c>
      <c r="I274" s="255">
        <f t="shared" si="239"/>
        <v>0</v>
      </c>
      <c r="J274" s="255">
        <f t="shared" si="239"/>
        <v>0</v>
      </c>
      <c r="K274" s="255">
        <f t="shared" si="239"/>
        <v>0</v>
      </c>
      <c r="L274" s="255">
        <f t="shared" si="239"/>
        <v>0</v>
      </c>
      <c r="M274" s="255">
        <f t="shared" si="239"/>
        <v>0</v>
      </c>
      <c r="N274" s="255">
        <f t="shared" si="239"/>
        <v>0</v>
      </c>
      <c r="O274" s="255">
        <f t="shared" si="239"/>
        <v>0</v>
      </c>
      <c r="P274" s="255">
        <f t="shared" si="239"/>
        <v>0</v>
      </c>
      <c r="Q274" s="255">
        <f t="shared" si="239"/>
        <v>0</v>
      </c>
      <c r="R274" s="255">
        <f>IF(R273&gt;0,R275*R273,0)</f>
        <v>15.659815203267645</v>
      </c>
      <c r="S274" s="255">
        <f>IF(S273&gt;0,S275*S273,0)</f>
        <v>41.841259779323153</v>
      </c>
      <c r="T274" s="255">
        <f>IF(T273&gt;0,T275*T273,0)</f>
        <v>28.857660210432076</v>
      </c>
      <c r="U274" s="255"/>
      <c r="V274" s="255">
        <f>V26</f>
        <v>349</v>
      </c>
      <c r="W274" s="255">
        <f>W26</f>
        <v>334</v>
      </c>
      <c r="X274" s="255">
        <f t="shared" si="238"/>
        <v>491</v>
      </c>
      <c r="Y274" s="255">
        <f t="shared" si="238"/>
        <v>0</v>
      </c>
      <c r="Z274" s="255">
        <f t="shared" si="238"/>
        <v>0</v>
      </c>
      <c r="AA274" s="255">
        <f t="shared" si="238"/>
        <v>86.358735193022866</v>
      </c>
      <c r="AB274" s="255">
        <f>IF(AB273&gt;0,AB275*AB273,0)</f>
        <v>279.08278767017941</v>
      </c>
      <c r="AC274" s="255">
        <f>IF(AC273&gt;0,AC275*AC273,0)</f>
        <v>447.17466207366988</v>
      </c>
      <c r="AD274" s="255">
        <f>IF(AD273&gt;0,AD275*AD273,0)</f>
        <v>393.97380336980683</v>
      </c>
    </row>
    <row r="275" spans="3:30" s="441" customFormat="1" ht="11.25" customHeight="1">
      <c r="C275" s="442" t="s">
        <v>528</v>
      </c>
      <c r="E275" s="297">
        <f t="shared" ref="E275:P275" si="240">E274/E273</f>
        <v>5.7291666666666664E-2</v>
      </c>
      <c r="F275" s="297">
        <f t="shared" si="240"/>
        <v>9.2263610315186248E-2</v>
      </c>
      <c r="G275" s="297">
        <f t="shared" si="240"/>
        <v>0.10098665118978525</v>
      </c>
      <c r="H275" s="297">
        <f t="shared" si="240"/>
        <v>0.10585197934595525</v>
      </c>
      <c r="I275" s="441">
        <f t="shared" si="240"/>
        <v>0</v>
      </c>
      <c r="J275" s="441">
        <f t="shared" si="240"/>
        <v>0</v>
      </c>
      <c r="K275" s="441">
        <f t="shared" si="240"/>
        <v>0</v>
      </c>
      <c r="L275" s="441">
        <f t="shared" si="240"/>
        <v>0</v>
      </c>
      <c r="M275" s="441">
        <f t="shared" si="240"/>
        <v>0</v>
      </c>
      <c r="N275" s="441">
        <f t="shared" si="240"/>
        <v>0</v>
      </c>
      <c r="O275" s="441">
        <f t="shared" si="240"/>
        <v>0</v>
      </c>
      <c r="P275" s="441">
        <f t="shared" si="240"/>
        <v>0</v>
      </c>
      <c r="Q275" s="441">
        <f>Q274/Q273</f>
        <v>0</v>
      </c>
      <c r="R275" s="393">
        <v>0.08</v>
      </c>
      <c r="S275" s="393">
        <v>0.08</v>
      </c>
      <c r="T275" s="393">
        <v>0.08</v>
      </c>
      <c r="V275" s="297">
        <f t="shared" ref="V275:AA275" si="241">V274/V273</f>
        <v>8.1389925373134331E-2</v>
      </c>
      <c r="W275" s="297">
        <f t="shared" si="241"/>
        <v>8.0076720210980584E-2</v>
      </c>
      <c r="X275" s="297">
        <f t="shared" si="241"/>
        <v>9.4314252785247785E-2</v>
      </c>
      <c r="Y275" s="441">
        <f t="shared" si="241"/>
        <v>0</v>
      </c>
      <c r="Z275" s="441">
        <f t="shared" si="241"/>
        <v>0</v>
      </c>
      <c r="AA275" s="297">
        <f t="shared" si="241"/>
        <v>-0.31923729398729372</v>
      </c>
      <c r="AB275" s="393">
        <v>0.08</v>
      </c>
      <c r="AC275" s="393">
        <v>8.5000000000000006E-2</v>
      </c>
      <c r="AD275" s="393">
        <v>0.08</v>
      </c>
    </row>
    <row r="313" spans="21:26" ht="11.25" customHeight="1">
      <c r="U313" s="380"/>
    </row>
    <row r="314" spans="21:26" ht="11.25" customHeight="1">
      <c r="U314" s="380"/>
    </row>
    <row r="317" spans="21:26" ht="11.25" customHeight="1">
      <c r="V317" s="255"/>
      <c r="W317" s="255"/>
      <c r="X317" s="255"/>
      <c r="Y317" s="255"/>
      <c r="Z317" s="255"/>
    </row>
    <row r="318" spans="21:26" ht="11.25" customHeight="1">
      <c r="V318" s="255"/>
      <c r="W318" s="255"/>
      <c r="X318" s="255"/>
      <c r="Y318" s="255"/>
      <c r="Z318" s="255"/>
    </row>
    <row r="334" s="279" customFormat="1" ht="11.25" customHeight="1"/>
  </sheetData>
  <scenarios current="0" show="0" sqref="AA27">
    <scenario name="Fuel Prices" locked="1" count="1" user="Vedang Poddar" comment="Created by Vedang Poddar on 4/14/2022_x000a_Modified by Vedang Poddar on 4/14/2022">
      <inputCells r="AA205" val="2"/>
    </scenario>
    <scenario name="4" locked="1" count="1" user="Vedang Poddar" comment="Created by Vedang Poddar on 4/14/2022">
      <inputCells r="AA205" val="3.67203376256189"/>
    </scenario>
  </scenarios>
  <pageMargins left="0.7" right="0.7" top="0.75" bottom="0.75" header="0.3" footer="0.3"/>
  <pageSetup orientation="portrait" horizontalDpi="300" verticalDpi="300" r:id="rId1"/>
  <ignoredErrors>
    <ignoredError sqref="R230:T239" formula="1"/>
  </ignoredError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92D050"/>
    <pageSetUpPr autoPageBreaks="0"/>
  </sheetPr>
  <dimension ref="A1:AZ143"/>
  <sheetViews>
    <sheetView showGridLines="0" zoomScaleNormal="100" zoomScaleSheetLayoutView="100" workbookViewId="0">
      <pane xSplit="4" ySplit="6" topLeftCell="Q7" activePane="bottomRight" state="frozen"/>
      <selection activeCell="Q151" sqref="Q151"/>
      <selection pane="topRight" activeCell="Q151" sqref="Q151"/>
      <selection pane="bottomLeft" activeCell="Q151" sqref="Q151"/>
      <selection pane="bottomRight" activeCell="R7" sqref="R7"/>
    </sheetView>
  </sheetViews>
  <sheetFormatPr defaultColWidth="9.19921875" defaultRowHeight="11.25" customHeight="1" outlineLevelCol="1"/>
  <cols>
    <col min="1" max="2" width="1.796875" style="255" customWidth="1"/>
    <col min="3" max="3" width="35.796875" style="255" customWidth="1"/>
    <col min="4" max="4" width="9.19921875" style="255" customWidth="1"/>
    <col min="5" max="5" width="9.19921875" style="255" hidden="1" customWidth="1" outlineLevel="1"/>
    <col min="6" max="7" width="9.19921875" style="255" hidden="1" customWidth="1" outlineLevel="1" collapsed="1"/>
    <col min="8" max="8" width="9.19921875" style="255" hidden="1" customWidth="1" outlineLevel="1"/>
    <col min="9" max="9" width="9.19921875" style="255" hidden="1" customWidth="1" outlineLevel="1" collapsed="1"/>
    <col min="10" max="12" width="9.19921875" style="255" hidden="1" customWidth="1" outlineLevel="1"/>
    <col min="13" max="13" width="9.19921875" style="255" hidden="1" customWidth="1" outlineLevel="1" collapsed="1"/>
    <col min="14" max="16" width="9.19921875" style="255" hidden="1" customWidth="1" outlineLevel="1"/>
    <col min="17" max="17" width="9.19921875" style="255" customWidth="1" collapsed="1"/>
    <col min="18" max="21" width="9.19921875" style="255" customWidth="1"/>
    <col min="22" max="24" width="9.19921875" style="255" hidden="1" customWidth="1" outlineLevel="1"/>
    <col min="25" max="25" width="9.19921875" style="255" hidden="1" customWidth="1" outlineLevel="1" collapsed="1"/>
    <col min="26" max="26" width="9.19921875" style="255" hidden="1" customWidth="1" outlineLevel="1"/>
    <col min="27" max="27" width="9.19921875" style="255" customWidth="1" collapsed="1"/>
    <col min="28" max="36" width="9.19921875" style="255" customWidth="1"/>
    <col min="37" max="37" width="9.19921875" style="255" customWidth="1" collapsed="1"/>
    <col min="38" max="42" width="9.19921875" style="255" customWidth="1"/>
    <col min="43" max="16384" width="9.19921875" style="255"/>
  </cols>
  <sheetData>
    <row r="1" spans="1:35" s="279" customFormat="1" ht="11.25" customHeight="1">
      <c r="A1" s="378" t="str">
        <f ca="1">'UAL One Pager'!$D$2</f>
        <v>#N/A Requesting Data...</v>
      </c>
    </row>
    <row r="2" spans="1:35" s="253" customFormat="1" ht="11.25" customHeight="1">
      <c r="A2" s="278" t="str">
        <f>'UAL Financials'!$A$2</f>
        <v>(All Values in US$ millions)</v>
      </c>
      <c r="Q2" s="336" t="s">
        <v>234</v>
      </c>
      <c r="R2" s="335">
        <v>1</v>
      </c>
      <c r="S2" s="265">
        <v>0</v>
      </c>
      <c r="T2" s="265" t="s">
        <v>235</v>
      </c>
    </row>
    <row r="3" spans="1:35" s="253" customFormat="1" ht="11.25" customHeight="1">
      <c r="A3" s="278"/>
      <c r="S3" s="265">
        <v>1</v>
      </c>
      <c r="T3" s="265" t="s">
        <v>236</v>
      </c>
    </row>
    <row r="4" spans="1:35" s="253" customFormat="1" ht="11.25" customHeight="1"/>
    <row r="5" spans="1:35" s="253" customFormat="1" ht="12.75" customHeight="1">
      <c r="B5" s="276"/>
      <c r="C5" s="276" t="s">
        <v>65</v>
      </c>
      <c r="D5" s="275"/>
      <c r="E5" s="275">
        <f>YEAR(H6)</f>
        <v>2019</v>
      </c>
      <c r="F5" s="274">
        <f>YEAR(H6)</f>
        <v>2019</v>
      </c>
      <c r="G5" s="273">
        <f>YEAR(H6)</f>
        <v>2019</v>
      </c>
      <c r="H5" s="272">
        <f>YEAR(H6)</f>
        <v>2019</v>
      </c>
      <c r="I5" s="275">
        <f>YEAR(L6)</f>
        <v>2020</v>
      </c>
      <c r="J5" s="274">
        <f>YEAR(L6)</f>
        <v>2020</v>
      </c>
      <c r="K5" s="273">
        <f>YEAR(L6)</f>
        <v>2020</v>
      </c>
      <c r="L5" s="272">
        <f>YEAR(L6)</f>
        <v>2020</v>
      </c>
      <c r="M5" s="275">
        <f>YEAR(P6)</f>
        <v>2021</v>
      </c>
      <c r="N5" s="274">
        <f>YEAR(P6)</f>
        <v>2021</v>
      </c>
      <c r="O5" s="273">
        <f>YEAR(P6)</f>
        <v>2021</v>
      </c>
      <c r="P5" s="272">
        <f>YEAR(P6)</f>
        <v>2021</v>
      </c>
      <c r="Q5" s="275">
        <f>YEAR(Q6)</f>
        <v>2022</v>
      </c>
      <c r="R5" s="364">
        <f>YEAR(R6)</f>
        <v>2022</v>
      </c>
      <c r="S5" s="365">
        <f>YEAR(S6)</f>
        <v>2022</v>
      </c>
      <c r="T5" s="366">
        <f>YEAR(T6)</f>
        <v>2022</v>
      </c>
      <c r="U5" s="292"/>
      <c r="V5" s="271">
        <f t="shared" ref="V5:AD5" si="0">YEAR(V6)</f>
        <v>2017</v>
      </c>
      <c r="W5" s="271">
        <f t="shared" si="0"/>
        <v>2018</v>
      </c>
      <c r="X5" s="271">
        <f t="shared" si="0"/>
        <v>2019</v>
      </c>
      <c r="Y5" s="271">
        <f t="shared" si="0"/>
        <v>2020</v>
      </c>
      <c r="Z5" s="271">
        <f t="shared" si="0"/>
        <v>2021</v>
      </c>
      <c r="AA5" s="270">
        <f t="shared" si="0"/>
        <v>2022</v>
      </c>
      <c r="AB5" s="270">
        <f t="shared" si="0"/>
        <v>2023</v>
      </c>
      <c r="AC5" s="270">
        <f t="shared" si="0"/>
        <v>2024</v>
      </c>
      <c r="AD5" s="270">
        <f t="shared" si="0"/>
        <v>2025</v>
      </c>
    </row>
    <row r="6" spans="1:35" s="260" customFormat="1" ht="12.75" customHeight="1">
      <c r="A6" s="253"/>
      <c r="B6" s="262"/>
      <c r="C6" s="262" t="s">
        <v>232</v>
      </c>
      <c r="D6" s="262"/>
      <c r="E6" s="262">
        <v>43555</v>
      </c>
      <c r="F6" s="262">
        <f>+EOMONTH(E6,3)</f>
        <v>43646</v>
      </c>
      <c r="G6" s="262">
        <f t="shared" ref="G6:P6" si="1">+EOMONTH(F6,3)</f>
        <v>43738</v>
      </c>
      <c r="H6" s="261">
        <f t="shared" si="1"/>
        <v>43830</v>
      </c>
      <c r="I6" s="262">
        <f t="shared" si="1"/>
        <v>43921</v>
      </c>
      <c r="J6" s="262">
        <f t="shared" si="1"/>
        <v>44012</v>
      </c>
      <c r="K6" s="262">
        <f t="shared" si="1"/>
        <v>44104</v>
      </c>
      <c r="L6" s="264">
        <f t="shared" si="1"/>
        <v>44196</v>
      </c>
      <c r="M6" s="264">
        <f t="shared" si="1"/>
        <v>44286</v>
      </c>
      <c r="N6" s="264">
        <f t="shared" si="1"/>
        <v>44377</v>
      </c>
      <c r="O6" s="264">
        <f t="shared" si="1"/>
        <v>44469</v>
      </c>
      <c r="P6" s="264">
        <f t="shared" si="1"/>
        <v>44561</v>
      </c>
      <c r="Q6" s="264">
        <f>+EOMONTH(P6,3)</f>
        <v>44651</v>
      </c>
      <c r="R6" s="264">
        <f>+EOMONTH(Q6,3)</f>
        <v>44742</v>
      </c>
      <c r="S6" s="264">
        <f>+EOMONTH(R6,3)</f>
        <v>44834</v>
      </c>
      <c r="T6" s="264">
        <f>+EOMONTH(S6,3)</f>
        <v>44926</v>
      </c>
      <c r="U6" s="265"/>
      <c r="V6" s="261">
        <v>43100</v>
      </c>
      <c r="W6" s="261">
        <f t="shared" ref="W6:AD6" si="2">EOMONTH(V6,12)</f>
        <v>43465</v>
      </c>
      <c r="X6" s="261">
        <f t="shared" si="2"/>
        <v>43830</v>
      </c>
      <c r="Y6" s="261">
        <f t="shared" si="2"/>
        <v>44196</v>
      </c>
      <c r="Z6" s="261">
        <f t="shared" si="2"/>
        <v>44561</v>
      </c>
      <c r="AA6" s="261">
        <f t="shared" si="2"/>
        <v>44926</v>
      </c>
      <c r="AB6" s="261">
        <f t="shared" si="2"/>
        <v>45291</v>
      </c>
      <c r="AC6" s="264">
        <f t="shared" si="2"/>
        <v>45657</v>
      </c>
      <c r="AD6" s="264">
        <f t="shared" si="2"/>
        <v>46022</v>
      </c>
      <c r="AE6" s="253"/>
      <c r="AF6" s="253"/>
      <c r="AG6" s="253"/>
      <c r="AH6" s="253"/>
    </row>
    <row r="8" spans="1:35" ht="11.25" customHeight="1">
      <c r="B8" s="258" t="s">
        <v>133</v>
      </c>
      <c r="C8" s="259" t="s">
        <v>237</v>
      </c>
      <c r="D8" s="259"/>
      <c r="E8" s="259"/>
      <c r="F8" s="259"/>
      <c r="G8" s="259"/>
      <c r="H8" s="259"/>
      <c r="I8" s="259"/>
      <c r="J8" s="259"/>
      <c r="K8" s="259"/>
      <c r="L8" s="259"/>
      <c r="M8" s="259"/>
      <c r="N8" s="259"/>
      <c r="O8" s="259"/>
      <c r="P8" s="259"/>
      <c r="Q8" s="259"/>
      <c r="R8" s="259"/>
      <c r="S8" s="259"/>
      <c r="T8" s="259"/>
      <c r="V8" s="258"/>
      <c r="W8" s="258"/>
      <c r="X8" s="258"/>
      <c r="Y8" s="258"/>
      <c r="Z8" s="258"/>
      <c r="AA8" s="258"/>
      <c r="AB8" s="258"/>
      <c r="AC8" s="258"/>
      <c r="AD8" s="258"/>
    </row>
    <row r="9" spans="1:35" ht="11.25" customHeight="1">
      <c r="H9" s="277"/>
      <c r="I9" s="277"/>
      <c r="J9" s="277"/>
    </row>
    <row r="10" spans="1:35" ht="11.25" customHeight="1">
      <c r="C10" s="291" t="s">
        <v>1266</v>
      </c>
      <c r="D10" s="476">
        <v>4.4999999999999998E-2</v>
      </c>
      <c r="E10" s="277"/>
      <c r="F10" s="277"/>
      <c r="G10" s="277"/>
      <c r="H10" s="277"/>
      <c r="I10" s="277"/>
      <c r="J10" s="277"/>
      <c r="K10" s="277"/>
      <c r="L10" s="277"/>
      <c r="M10" s="277"/>
      <c r="N10" s="277"/>
      <c r="O10" s="277"/>
      <c r="P10" s="277">
        <v>4963</v>
      </c>
      <c r="Q10" s="287">
        <f ca="1">'UAL One Pager'!F76</f>
        <v>3800</v>
      </c>
      <c r="R10" s="254">
        <f t="shared" ref="R10:T31" ca="1" si="3">+Q10-R39</f>
        <v>3787.5</v>
      </c>
      <c r="S10" s="254">
        <f t="shared" ca="1" si="3"/>
        <v>3775</v>
      </c>
      <c r="T10" s="254">
        <f t="shared" ca="1" si="3"/>
        <v>3762.5</v>
      </c>
      <c r="Y10" s="254"/>
      <c r="Z10" s="254"/>
      <c r="AA10" s="254">
        <f ca="1">+SUMIF($E$6:$T$6,AA$6,$E10:$T10)</f>
        <v>3762.5</v>
      </c>
      <c r="AB10" s="254">
        <f t="shared" ref="AB10:AD31" ca="1" si="4">+AA10-AB39</f>
        <v>3712.5</v>
      </c>
      <c r="AC10" s="254">
        <f t="shared" ca="1" si="4"/>
        <v>3662.5</v>
      </c>
      <c r="AD10" s="254">
        <f t="shared" ca="1" si="4"/>
        <v>3612.5</v>
      </c>
      <c r="AF10" s="729">
        <v>47118</v>
      </c>
      <c r="AH10" s="354"/>
      <c r="AI10" s="355"/>
    </row>
    <row r="11" spans="1:35" ht="11.25" customHeight="1">
      <c r="C11" s="291" t="s">
        <v>437</v>
      </c>
      <c r="D11" s="476">
        <v>6.25E-2</v>
      </c>
      <c r="E11" s="277"/>
      <c r="F11" s="277"/>
      <c r="G11" s="277"/>
      <c r="H11" s="277"/>
      <c r="I11" s="277"/>
      <c r="J11" s="277"/>
      <c r="K11" s="277"/>
      <c r="L11" s="277"/>
      <c r="M11" s="277"/>
      <c r="N11" s="277"/>
      <c r="O11" s="277"/>
      <c r="P11" s="277">
        <v>3000</v>
      </c>
      <c r="Q11" s="287">
        <f ca="1">'UAL One Pager'!F77</f>
        <v>2000</v>
      </c>
      <c r="R11" s="254">
        <f t="shared" ca="1" si="3"/>
        <v>2000</v>
      </c>
      <c r="S11" s="254">
        <f t="shared" ca="1" si="3"/>
        <v>1850</v>
      </c>
      <c r="T11" s="254">
        <f t="shared" ca="1" si="3"/>
        <v>1700</v>
      </c>
      <c r="Y11" s="254"/>
      <c r="Z11" s="254"/>
      <c r="AA11" s="254">
        <f t="shared" ref="AA11:AA30" ca="1" si="5">+SUMIF($E$6:$T$6,AA$6,$E11:$T11)</f>
        <v>1700</v>
      </c>
      <c r="AB11" s="254">
        <f t="shared" ca="1" si="4"/>
        <v>1100</v>
      </c>
      <c r="AC11" s="254">
        <f t="shared" ca="1" si="4"/>
        <v>500</v>
      </c>
      <c r="AD11" s="254">
        <f t="shared" ca="1" si="4"/>
        <v>-100</v>
      </c>
      <c r="AF11" s="729">
        <v>46558</v>
      </c>
      <c r="AH11" s="354"/>
      <c r="AI11" s="355"/>
    </row>
    <row r="12" spans="1:35" ht="11.25" customHeight="1">
      <c r="C12" s="291" t="s">
        <v>433</v>
      </c>
      <c r="D12" s="476">
        <v>6.5000000000000002E-2</v>
      </c>
      <c r="E12" s="277"/>
      <c r="F12" s="277"/>
      <c r="G12" s="277"/>
      <c r="H12" s="277"/>
      <c r="I12" s="277"/>
      <c r="J12" s="277"/>
      <c r="K12" s="277"/>
      <c r="L12" s="277"/>
      <c r="M12" s="277"/>
      <c r="N12" s="277"/>
      <c r="O12" s="277"/>
      <c r="P12" s="277">
        <v>3800</v>
      </c>
      <c r="Q12" s="287">
        <f ca="1">'UAL One Pager'!F78</f>
        <v>2000</v>
      </c>
      <c r="R12" s="254">
        <f t="shared" ca="1" si="3"/>
        <v>2000</v>
      </c>
      <c r="S12" s="254">
        <f t="shared" ca="1" si="3"/>
        <v>1810</v>
      </c>
      <c r="T12" s="254">
        <f t="shared" ca="1" si="3"/>
        <v>1620</v>
      </c>
      <c r="Y12" s="254"/>
      <c r="Z12" s="254"/>
      <c r="AA12" s="254">
        <f t="shared" ca="1" si="5"/>
        <v>1620</v>
      </c>
      <c r="AB12" s="254">
        <f t="shared" ca="1" si="4"/>
        <v>860</v>
      </c>
      <c r="AC12" s="254">
        <f t="shared" ca="1" si="4"/>
        <v>100</v>
      </c>
      <c r="AD12" s="254">
        <f t="shared" ca="1" si="4"/>
        <v>-660</v>
      </c>
      <c r="AF12" s="729">
        <v>46558</v>
      </c>
      <c r="AG12" s="255" t="s">
        <v>1586</v>
      </c>
      <c r="AH12" s="354"/>
      <c r="AI12" s="355"/>
    </row>
    <row r="13" spans="1:35" ht="11.25" customHeight="1">
      <c r="C13" s="291" t="s">
        <v>1291</v>
      </c>
      <c r="D13" s="476">
        <v>2.7E-2</v>
      </c>
      <c r="E13" s="277"/>
      <c r="F13" s="277"/>
      <c r="G13" s="277"/>
      <c r="H13" s="277"/>
      <c r="I13" s="277"/>
      <c r="J13" s="277"/>
      <c r="K13" s="277"/>
      <c r="L13" s="277"/>
      <c r="M13" s="277"/>
      <c r="N13" s="277"/>
      <c r="O13" s="277"/>
      <c r="P13" s="277">
        <v>702</v>
      </c>
      <c r="Q13" s="277">
        <v>702</v>
      </c>
      <c r="R13" s="254">
        <f t="shared" si="3"/>
        <v>687.96</v>
      </c>
      <c r="S13" s="254">
        <f t="shared" si="3"/>
        <v>673.92000000000007</v>
      </c>
      <c r="T13" s="254">
        <f t="shared" si="3"/>
        <v>659.88000000000011</v>
      </c>
      <c r="Y13" s="254"/>
      <c r="Z13" s="254"/>
      <c r="AA13" s="254">
        <f t="shared" si="5"/>
        <v>659.88000000000011</v>
      </c>
      <c r="AB13" s="254">
        <f t="shared" si="4"/>
        <v>603.72000000000014</v>
      </c>
      <c r="AC13" s="254">
        <f t="shared" si="4"/>
        <v>547.56000000000017</v>
      </c>
      <c r="AD13" s="254">
        <f t="shared" si="4"/>
        <v>491.40000000000015</v>
      </c>
      <c r="AF13" s="729">
        <v>48335</v>
      </c>
      <c r="AH13" s="354"/>
      <c r="AI13" s="355"/>
    </row>
    <row r="14" spans="1:35" ht="11.25" customHeight="1">
      <c r="C14" s="291" t="s">
        <v>1291</v>
      </c>
      <c r="D14" s="476">
        <v>2.9000000000000001E-2</v>
      </c>
      <c r="E14" s="277"/>
      <c r="F14" s="277"/>
      <c r="G14" s="277"/>
      <c r="H14" s="277"/>
      <c r="I14" s="277"/>
      <c r="J14" s="277"/>
      <c r="K14" s="277"/>
      <c r="L14" s="277"/>
      <c r="M14" s="277"/>
      <c r="N14" s="277"/>
      <c r="O14" s="277"/>
      <c r="P14" s="277">
        <v>287</v>
      </c>
      <c r="Q14" s="287">
        <f ca="1">'UAL One Pager'!F79</f>
        <v>300</v>
      </c>
      <c r="R14" s="254">
        <f t="shared" ca="1" si="3"/>
        <v>294</v>
      </c>
      <c r="S14" s="254">
        <f t="shared" ca="1" si="3"/>
        <v>288</v>
      </c>
      <c r="T14" s="254">
        <f t="shared" ca="1" si="3"/>
        <v>282</v>
      </c>
      <c r="Y14" s="254"/>
      <c r="Z14" s="254"/>
      <c r="AA14" s="254">
        <f t="shared" ca="1" si="5"/>
        <v>282</v>
      </c>
      <c r="AB14" s="254">
        <f t="shared" ca="1" si="4"/>
        <v>258</v>
      </c>
      <c r="AC14" s="254">
        <f t="shared" ca="1" si="4"/>
        <v>234</v>
      </c>
      <c r="AD14" s="254">
        <f t="shared" ca="1" si="4"/>
        <v>210</v>
      </c>
      <c r="AF14" s="729">
        <v>46874</v>
      </c>
      <c r="AH14" s="354"/>
      <c r="AI14" s="355"/>
    </row>
    <row r="15" spans="1:35" ht="11.25" customHeight="1">
      <c r="C15" s="291" t="s">
        <v>1291</v>
      </c>
      <c r="D15" s="476">
        <v>4.8800000000000003E-2</v>
      </c>
      <c r="E15" s="277"/>
      <c r="F15" s="277"/>
      <c r="G15" s="277"/>
      <c r="H15" s="277"/>
      <c r="I15" s="277"/>
      <c r="J15" s="277"/>
      <c r="K15" s="277"/>
      <c r="L15" s="277"/>
      <c r="M15" s="277"/>
      <c r="N15" s="277"/>
      <c r="O15" s="277"/>
      <c r="P15" s="277">
        <v>600</v>
      </c>
      <c r="Q15" s="287">
        <f ca="1">'UAL One Pager'!F82</f>
        <v>477.6</v>
      </c>
      <c r="R15" s="254">
        <f t="shared" ca="1" si="3"/>
        <v>468.048</v>
      </c>
      <c r="S15" s="254">
        <f t="shared" ca="1" si="3"/>
        <v>458.49599999999998</v>
      </c>
      <c r="T15" s="254">
        <f t="shared" ca="1" si="3"/>
        <v>448.94399999999996</v>
      </c>
      <c r="Y15" s="254"/>
      <c r="Z15" s="254"/>
      <c r="AA15" s="254">
        <f t="shared" ca="1" si="5"/>
        <v>448.94399999999996</v>
      </c>
      <c r="AB15" s="254">
        <f t="shared" ca="1" si="4"/>
        <v>410.73599999999993</v>
      </c>
      <c r="AC15" s="254">
        <f t="shared" ca="1" si="4"/>
        <v>372.52799999999991</v>
      </c>
      <c r="AD15" s="254">
        <f t="shared" ca="1" si="4"/>
        <v>334.31999999999988</v>
      </c>
      <c r="AF15" s="729">
        <v>46023</v>
      </c>
      <c r="AH15" s="354"/>
      <c r="AI15" s="355"/>
    </row>
    <row r="16" spans="1:35" ht="11.25" customHeight="1">
      <c r="C16" s="291" t="s">
        <v>1291</v>
      </c>
      <c r="D16" s="476">
        <v>3.5000000000000003E-2</v>
      </c>
      <c r="E16" s="277"/>
      <c r="F16" s="277"/>
      <c r="G16" s="277"/>
      <c r="H16" s="277"/>
      <c r="I16" s="277"/>
      <c r="J16" s="277"/>
      <c r="K16" s="277"/>
      <c r="L16" s="277"/>
      <c r="M16" s="277"/>
      <c r="N16" s="277"/>
      <c r="O16" s="277"/>
      <c r="P16" s="277">
        <v>232</v>
      </c>
      <c r="Q16" s="277">
        <v>232</v>
      </c>
      <c r="R16" s="254">
        <f t="shared" si="3"/>
        <v>227.36</v>
      </c>
      <c r="S16" s="254">
        <f t="shared" si="3"/>
        <v>222.72000000000003</v>
      </c>
      <c r="T16" s="254">
        <f t="shared" si="3"/>
        <v>218.08000000000004</v>
      </c>
      <c r="Y16" s="254"/>
      <c r="Z16" s="254"/>
      <c r="AA16" s="254">
        <f t="shared" si="5"/>
        <v>218.08000000000004</v>
      </c>
      <c r="AB16" s="254">
        <f t="shared" si="4"/>
        <v>199.52000000000004</v>
      </c>
      <c r="AC16" s="254">
        <f t="shared" si="4"/>
        <v>180.96000000000004</v>
      </c>
      <c r="AD16" s="254">
        <f t="shared" si="4"/>
        <v>162.40000000000003</v>
      </c>
      <c r="AF16" s="729">
        <v>46874</v>
      </c>
      <c r="AH16" s="354"/>
      <c r="AI16" s="355"/>
    </row>
    <row r="17" spans="3:35" ht="11.25" customHeight="1">
      <c r="C17" s="291" t="s">
        <v>1291</v>
      </c>
      <c r="D17" s="476">
        <v>5.8799999999999998E-2</v>
      </c>
      <c r="E17" s="277"/>
      <c r="F17" s="277"/>
      <c r="G17" s="277"/>
      <c r="H17" s="277"/>
      <c r="I17" s="277"/>
      <c r="J17" s="277"/>
      <c r="K17" s="277"/>
      <c r="L17" s="277"/>
      <c r="M17" s="277"/>
      <c r="N17" s="277"/>
      <c r="O17" s="277"/>
      <c r="P17" s="277">
        <v>3000</v>
      </c>
      <c r="Q17" s="277">
        <v>3000</v>
      </c>
      <c r="R17" s="254">
        <f t="shared" si="3"/>
        <v>2940</v>
      </c>
      <c r="S17" s="254">
        <f t="shared" si="3"/>
        <v>2880</v>
      </c>
      <c r="T17" s="254">
        <f t="shared" si="3"/>
        <v>2820</v>
      </c>
      <c r="Y17" s="254"/>
      <c r="Z17" s="254"/>
      <c r="AA17" s="254">
        <f t="shared" si="5"/>
        <v>2820</v>
      </c>
      <c r="AB17" s="254">
        <f t="shared" si="4"/>
        <v>2580</v>
      </c>
      <c r="AC17" s="254">
        <f t="shared" si="4"/>
        <v>2340</v>
      </c>
      <c r="AD17" s="254">
        <f t="shared" si="4"/>
        <v>2100</v>
      </c>
      <c r="AF17" s="729">
        <v>46661</v>
      </c>
      <c r="AH17" s="354"/>
      <c r="AI17" s="355"/>
    </row>
    <row r="18" spans="3:35" ht="11.25" customHeight="1">
      <c r="C18" s="291" t="s">
        <v>1291</v>
      </c>
      <c r="D18" s="750">
        <f>+D17</f>
        <v>5.8799999999999998E-2</v>
      </c>
      <c r="E18" s="277"/>
      <c r="F18" s="277"/>
      <c r="G18" s="277"/>
      <c r="H18" s="277"/>
      <c r="I18" s="277"/>
      <c r="J18" s="277"/>
      <c r="K18" s="277"/>
      <c r="L18" s="277"/>
      <c r="M18" s="277"/>
      <c r="N18" s="277"/>
      <c r="O18" s="277"/>
      <c r="P18" s="277">
        <v>105</v>
      </c>
      <c r="Q18" s="277">
        <v>105</v>
      </c>
      <c r="R18" s="254">
        <f t="shared" si="3"/>
        <v>102.9</v>
      </c>
      <c r="S18" s="254">
        <f t="shared" si="3"/>
        <v>100.80000000000001</v>
      </c>
      <c r="T18" s="254">
        <f t="shared" si="3"/>
        <v>98.700000000000017</v>
      </c>
      <c r="Y18" s="254"/>
      <c r="Z18" s="254"/>
      <c r="AA18" s="254">
        <f t="shared" si="5"/>
        <v>98.700000000000017</v>
      </c>
      <c r="AB18" s="254">
        <f t="shared" si="4"/>
        <v>90.300000000000011</v>
      </c>
      <c r="AC18" s="254">
        <f t="shared" si="4"/>
        <v>81.900000000000006</v>
      </c>
      <c r="AD18" s="254">
        <f t="shared" si="4"/>
        <v>73.5</v>
      </c>
      <c r="AF18" s="729">
        <v>44382</v>
      </c>
      <c r="AH18" s="354"/>
      <c r="AI18" s="355"/>
    </row>
    <row r="19" spans="3:35" ht="11.25" customHeight="1">
      <c r="C19" s="291" t="s">
        <v>1291</v>
      </c>
      <c r="D19" s="750">
        <f>+D18</f>
        <v>5.8799999999999998E-2</v>
      </c>
      <c r="E19" s="277"/>
      <c r="F19" s="277"/>
      <c r="G19" s="277"/>
      <c r="H19" s="277"/>
      <c r="I19" s="277"/>
      <c r="J19" s="277"/>
      <c r="K19" s="277"/>
      <c r="L19" s="277"/>
      <c r="M19" s="277"/>
      <c r="N19" s="277"/>
      <c r="O19" s="277"/>
      <c r="P19" s="277">
        <v>7774</v>
      </c>
      <c r="Q19" s="277">
        <v>7774</v>
      </c>
      <c r="R19" s="254">
        <f t="shared" si="3"/>
        <v>7618.52</v>
      </c>
      <c r="S19" s="254">
        <f t="shared" si="3"/>
        <v>7463.0400000000009</v>
      </c>
      <c r="T19" s="254">
        <f t="shared" si="3"/>
        <v>7307.5600000000013</v>
      </c>
      <c r="Y19" s="254"/>
      <c r="Z19" s="254"/>
      <c r="AA19" s="254">
        <f t="shared" si="5"/>
        <v>7307.5600000000013</v>
      </c>
      <c r="AB19" s="254">
        <f t="shared" si="4"/>
        <v>6685.6400000000012</v>
      </c>
      <c r="AC19" s="254">
        <f t="shared" si="4"/>
        <v>6063.7200000000012</v>
      </c>
      <c r="AD19" s="254">
        <f t="shared" si="4"/>
        <v>5441.8000000000011</v>
      </c>
      <c r="AF19" s="1161">
        <v>47133</v>
      </c>
      <c r="AH19" s="354"/>
      <c r="AI19" s="355"/>
    </row>
    <row r="20" spans="3:35" ht="11.25" customHeight="1">
      <c r="C20" s="291" t="s">
        <v>1468</v>
      </c>
      <c r="D20" s="750">
        <f>D19</f>
        <v>5.8799999999999998E-2</v>
      </c>
      <c r="E20" s="277"/>
      <c r="F20" s="277"/>
      <c r="G20" s="277"/>
      <c r="H20" s="277"/>
      <c r="I20" s="277"/>
      <c r="J20" s="277"/>
      <c r="K20" s="277"/>
      <c r="L20" s="277"/>
      <c r="M20" s="277"/>
      <c r="N20" s="277"/>
      <c r="O20" s="277"/>
      <c r="P20" s="277">
        <v>0</v>
      </c>
      <c r="Q20" s="277">
        <v>0</v>
      </c>
      <c r="R20" s="254">
        <f t="shared" si="3"/>
        <v>999.3833504624871</v>
      </c>
      <c r="S20" s="254">
        <f t="shared" si="3"/>
        <v>2011.5793079821856</v>
      </c>
      <c r="T20" s="254">
        <f t="shared" si="3"/>
        <v>3400</v>
      </c>
      <c r="Y20" s="254"/>
      <c r="Z20" s="254"/>
      <c r="AA20" s="254">
        <f t="shared" si="5"/>
        <v>3400</v>
      </c>
      <c r="AB20" s="254">
        <f t="shared" si="4"/>
        <v>8600</v>
      </c>
      <c r="AC20" s="254">
        <f t="shared" si="4"/>
        <v>11600</v>
      </c>
      <c r="AD20" s="254">
        <f t="shared" si="4"/>
        <v>14500</v>
      </c>
      <c r="AF20" s="1161"/>
      <c r="AH20" s="354"/>
      <c r="AI20" s="355"/>
    </row>
    <row r="21" spans="3:35" ht="11.25" customHeight="1">
      <c r="C21" s="291" t="s">
        <v>1297</v>
      </c>
      <c r="D21" s="476">
        <v>0.04</v>
      </c>
      <c r="E21" s="277"/>
      <c r="F21" s="277"/>
      <c r="G21" s="277"/>
      <c r="H21" s="277"/>
      <c r="I21" s="277"/>
      <c r="J21" s="277"/>
      <c r="K21" s="277"/>
      <c r="L21" s="277"/>
      <c r="M21" s="277"/>
      <c r="N21" s="277"/>
      <c r="O21" s="277"/>
      <c r="P21" s="277">
        <v>159</v>
      </c>
      <c r="Q21" s="277">
        <v>159</v>
      </c>
      <c r="R21" s="254">
        <f t="shared" si="3"/>
        <v>155.82</v>
      </c>
      <c r="S21" s="254">
        <f t="shared" si="3"/>
        <v>152.63999999999999</v>
      </c>
      <c r="T21" s="254">
        <f t="shared" si="3"/>
        <v>149.45999999999998</v>
      </c>
      <c r="Y21" s="254"/>
      <c r="Z21" s="254"/>
      <c r="AA21" s="254">
        <f t="shared" si="5"/>
        <v>149.45999999999998</v>
      </c>
      <c r="AB21" s="254">
        <f t="shared" si="4"/>
        <v>136.73999999999998</v>
      </c>
      <c r="AC21" s="254">
        <f t="shared" si="4"/>
        <v>124.01999999999998</v>
      </c>
      <c r="AD21" s="254">
        <f t="shared" si="4"/>
        <v>111.29999999999998</v>
      </c>
      <c r="AF21" s="729">
        <v>47133</v>
      </c>
      <c r="AH21" s="354"/>
      <c r="AI21" s="355"/>
    </row>
    <row r="22" spans="3:35" ht="11.25" customHeight="1">
      <c r="C22" s="291" t="s">
        <v>1242</v>
      </c>
      <c r="D22" s="476">
        <v>4.3749999999999997E-2</v>
      </c>
      <c r="E22" s="277"/>
      <c r="F22" s="277"/>
      <c r="G22" s="277"/>
      <c r="H22" s="277"/>
      <c r="I22" s="277"/>
      <c r="J22" s="277"/>
      <c r="K22" s="277"/>
      <c r="L22" s="277"/>
      <c r="M22" s="277"/>
      <c r="N22" s="277"/>
      <c r="O22" s="277"/>
      <c r="P22" s="277">
        <v>2000</v>
      </c>
      <c r="Q22" s="287">
        <f ca="1">'UAL One Pager'!F80</f>
        <v>350</v>
      </c>
      <c r="R22" s="254">
        <f t="shared" ca="1" si="3"/>
        <v>343</v>
      </c>
      <c r="S22" s="254">
        <f t="shared" ca="1" si="3"/>
        <v>336</v>
      </c>
      <c r="T22" s="254">
        <f t="shared" ca="1" si="3"/>
        <v>329</v>
      </c>
      <c r="Y22" s="254"/>
      <c r="Z22" s="254"/>
      <c r="AA22" s="254">
        <f t="shared" ca="1" si="5"/>
        <v>329</v>
      </c>
      <c r="AB22" s="254">
        <f t="shared" ca="1" si="4"/>
        <v>301</v>
      </c>
      <c r="AC22" s="254">
        <f t="shared" ca="1" si="4"/>
        <v>273</v>
      </c>
      <c r="AD22" s="254">
        <f t="shared" ca="1" si="4"/>
        <v>245</v>
      </c>
      <c r="AF22" s="729">
        <v>46127</v>
      </c>
      <c r="AG22" s="255" t="s">
        <v>1585</v>
      </c>
      <c r="AH22" s="354"/>
      <c r="AI22" s="355"/>
    </row>
    <row r="23" spans="3:35" ht="11.25" customHeight="1">
      <c r="C23" s="291" t="s">
        <v>1243</v>
      </c>
      <c r="D23" s="476">
        <v>4.6249999999999999E-2</v>
      </c>
      <c r="E23" s="277"/>
      <c r="F23" s="277"/>
      <c r="G23" s="277"/>
      <c r="H23" s="277"/>
      <c r="I23" s="277"/>
      <c r="J23" s="277"/>
      <c r="K23" s="277"/>
      <c r="L23" s="277"/>
      <c r="M23" s="277"/>
      <c r="N23" s="277"/>
      <c r="O23" s="277"/>
      <c r="P23" s="277">
        <v>2000</v>
      </c>
      <c r="Q23" s="287">
        <f ca="1">'UAL One Pager'!F81</f>
        <v>2000</v>
      </c>
      <c r="R23" s="254">
        <f t="shared" ca="1" si="3"/>
        <v>1960</v>
      </c>
      <c r="S23" s="254">
        <f t="shared" ca="1" si="3"/>
        <v>1920</v>
      </c>
      <c r="T23" s="254">
        <f t="shared" ca="1" si="3"/>
        <v>1880</v>
      </c>
      <c r="Y23" s="254"/>
      <c r="Z23" s="254"/>
      <c r="AA23" s="254">
        <f t="shared" ca="1" si="5"/>
        <v>1880</v>
      </c>
      <c r="AB23" s="254">
        <f t="shared" ca="1" si="4"/>
        <v>1720</v>
      </c>
      <c r="AC23" s="254">
        <f t="shared" ca="1" si="4"/>
        <v>1560</v>
      </c>
      <c r="AD23" s="254">
        <f t="shared" ca="1" si="4"/>
        <v>1400</v>
      </c>
      <c r="AF23" s="729">
        <v>47223</v>
      </c>
      <c r="AG23" s="255" t="s">
        <v>1584</v>
      </c>
      <c r="AH23" s="354"/>
      <c r="AI23" s="355"/>
    </row>
    <row r="24" spans="3:35" ht="11.25" customHeight="1">
      <c r="C24" s="291" t="s">
        <v>1298</v>
      </c>
      <c r="D24" s="750">
        <f>+D21</f>
        <v>0.04</v>
      </c>
      <c r="E24" s="277"/>
      <c r="F24" s="277"/>
      <c r="G24" s="277"/>
      <c r="H24" s="277"/>
      <c r="I24" s="277"/>
      <c r="J24" s="277"/>
      <c r="K24" s="277"/>
      <c r="L24" s="277"/>
      <c r="M24" s="277"/>
      <c r="N24" s="277"/>
      <c r="O24" s="277"/>
      <c r="P24" s="284">
        <v>425</v>
      </c>
      <c r="Q24" s="284">
        <v>221.828</v>
      </c>
      <c r="R24" s="254">
        <f t="shared" si="3"/>
        <v>217.39143999999999</v>
      </c>
      <c r="S24" s="254">
        <f t="shared" si="3"/>
        <v>212.95488</v>
      </c>
      <c r="T24" s="254">
        <f t="shared" si="3"/>
        <v>208.51832000000002</v>
      </c>
      <c r="Y24" s="254"/>
      <c r="Z24" s="254"/>
      <c r="AA24" s="254">
        <f t="shared" si="5"/>
        <v>208.51832000000002</v>
      </c>
      <c r="AB24" s="254">
        <f t="shared" si="4"/>
        <v>190.77208000000002</v>
      </c>
      <c r="AC24" s="254">
        <f t="shared" si="4"/>
        <v>173.02584000000002</v>
      </c>
      <c r="AD24" s="254">
        <f t="shared" si="4"/>
        <v>155.27960000000002</v>
      </c>
      <c r="AF24" s="729">
        <v>48579</v>
      </c>
      <c r="AH24" s="354"/>
      <c r="AI24" s="355"/>
    </row>
    <row r="25" spans="3:35" ht="11.25" customHeight="1">
      <c r="C25" s="291" t="s">
        <v>1294</v>
      </c>
      <c r="D25" s="476">
        <v>4.2500000000000003E-2</v>
      </c>
      <c r="E25" s="277"/>
      <c r="F25" s="277"/>
      <c r="G25" s="277"/>
      <c r="H25" s="277"/>
      <c r="I25" s="277"/>
      <c r="J25" s="277"/>
      <c r="K25" s="277"/>
      <c r="L25" s="277"/>
      <c r="M25" s="277"/>
      <c r="N25" s="277"/>
      <c r="O25" s="277"/>
      <c r="P25" s="277">
        <v>400</v>
      </c>
      <c r="Q25" s="254">
        <v>0</v>
      </c>
      <c r="R25" s="254">
        <f t="shared" si="3"/>
        <v>0</v>
      </c>
      <c r="S25" s="254">
        <f t="shared" si="3"/>
        <v>0</v>
      </c>
      <c r="T25" s="254">
        <f t="shared" si="3"/>
        <v>0</v>
      </c>
      <c r="Y25" s="254"/>
      <c r="Z25" s="254"/>
      <c r="AA25" s="254">
        <f t="shared" si="5"/>
        <v>0</v>
      </c>
      <c r="AB25" s="254">
        <f t="shared" si="4"/>
        <v>0</v>
      </c>
      <c r="AC25" s="254">
        <f t="shared" si="4"/>
        <v>0</v>
      </c>
      <c r="AD25" s="254">
        <f t="shared" si="4"/>
        <v>0</v>
      </c>
      <c r="AF25" s="729">
        <v>44835</v>
      </c>
      <c r="AH25" s="354"/>
      <c r="AI25" s="355"/>
    </row>
    <row r="26" spans="3:35" ht="11.25" customHeight="1">
      <c r="C26" s="291" t="s">
        <v>1296</v>
      </c>
      <c r="D26" s="476">
        <v>0.05</v>
      </c>
      <c r="E26" s="277"/>
      <c r="F26" s="277"/>
      <c r="G26" s="277"/>
      <c r="H26" s="277"/>
      <c r="I26" s="277"/>
      <c r="J26" s="277"/>
      <c r="K26" s="277"/>
      <c r="L26" s="277"/>
      <c r="M26" s="277"/>
      <c r="N26" s="277"/>
      <c r="O26" s="277"/>
      <c r="P26" s="277">
        <v>300</v>
      </c>
      <c r="Q26" s="287">
        <f ca="1">'UAL One Pager'!F91</f>
        <v>300</v>
      </c>
      <c r="R26" s="254">
        <f t="shared" ca="1" si="3"/>
        <v>294</v>
      </c>
      <c r="S26" s="254">
        <f t="shared" ca="1" si="3"/>
        <v>288</v>
      </c>
      <c r="T26" s="254">
        <f t="shared" ca="1" si="3"/>
        <v>282</v>
      </c>
      <c r="Y26" s="254"/>
      <c r="Z26" s="254"/>
      <c r="AA26" s="254">
        <f t="shared" ca="1" si="5"/>
        <v>282</v>
      </c>
      <c r="AB26" s="254">
        <f t="shared" ca="1" si="4"/>
        <v>258</v>
      </c>
      <c r="AC26" s="254">
        <f t="shared" ca="1" si="4"/>
        <v>0</v>
      </c>
      <c r="AD26" s="254">
        <f t="shared" ca="1" si="4"/>
        <v>0</v>
      </c>
      <c r="AF26" s="729">
        <v>45323</v>
      </c>
      <c r="AG26" s="255" t="s">
        <v>1588</v>
      </c>
      <c r="AH26" s="354"/>
      <c r="AI26" s="355"/>
    </row>
    <row r="27" spans="3:35" ht="11.25" customHeight="1">
      <c r="C27" s="291" t="s">
        <v>1295</v>
      </c>
      <c r="D27" s="476">
        <v>4.8750000000000002E-2</v>
      </c>
      <c r="E27" s="277"/>
      <c r="F27" s="277"/>
      <c r="G27" s="277"/>
      <c r="H27" s="277"/>
      <c r="I27" s="277"/>
      <c r="J27" s="277"/>
      <c r="K27" s="277"/>
      <c r="L27" s="277"/>
      <c r="M27" s="277"/>
      <c r="N27" s="277"/>
      <c r="O27" s="277"/>
      <c r="P27" s="277">
        <v>350</v>
      </c>
      <c r="Q27" s="287">
        <f ca="1">'UAL One Pager'!F90</f>
        <v>350</v>
      </c>
      <c r="R27" s="254">
        <f t="shared" ca="1" si="3"/>
        <v>343</v>
      </c>
      <c r="S27" s="254">
        <f t="shared" ca="1" si="3"/>
        <v>336</v>
      </c>
      <c r="T27" s="254">
        <f t="shared" ca="1" si="3"/>
        <v>329</v>
      </c>
      <c r="Y27" s="254"/>
      <c r="Z27" s="254"/>
      <c r="AA27" s="254">
        <f t="shared" ca="1" si="5"/>
        <v>329</v>
      </c>
      <c r="AB27" s="254">
        <f t="shared" ca="1" si="4"/>
        <v>301</v>
      </c>
      <c r="AC27" s="254">
        <f t="shared" ca="1" si="4"/>
        <v>273</v>
      </c>
      <c r="AD27" s="254">
        <f t="shared" ca="1" si="4"/>
        <v>0</v>
      </c>
      <c r="AF27" s="729">
        <v>45672</v>
      </c>
      <c r="AG27" s="255" t="s">
        <v>1587</v>
      </c>
      <c r="AH27" s="354"/>
      <c r="AI27" s="355"/>
    </row>
    <row r="28" spans="3:35" ht="11.25" customHeight="1">
      <c r="C28" s="291" t="s">
        <v>1292</v>
      </c>
      <c r="D28" s="476">
        <v>0.01</v>
      </c>
      <c r="E28" s="277"/>
      <c r="F28" s="277"/>
      <c r="G28" s="277"/>
      <c r="H28" s="277"/>
      <c r="I28" s="277"/>
      <c r="J28" s="277"/>
      <c r="K28" s="277"/>
      <c r="L28" s="277"/>
      <c r="M28" s="277"/>
      <c r="N28" s="277"/>
      <c r="O28" s="277"/>
      <c r="P28" s="277">
        <v>1501</v>
      </c>
      <c r="Q28" s="277">
        <v>1501</v>
      </c>
      <c r="R28" s="254">
        <f t="shared" si="3"/>
        <v>1470.98</v>
      </c>
      <c r="S28" s="254">
        <f t="shared" si="3"/>
        <v>1440.96</v>
      </c>
      <c r="T28" s="254">
        <f t="shared" si="3"/>
        <v>1410.94</v>
      </c>
      <c r="Y28" s="254"/>
      <c r="Z28" s="254"/>
      <c r="AA28" s="254">
        <f t="shared" si="5"/>
        <v>1410.94</v>
      </c>
      <c r="AB28" s="254">
        <f t="shared" si="4"/>
        <v>1290.8600000000001</v>
      </c>
      <c r="AC28" s="254">
        <f t="shared" si="4"/>
        <v>1170.7800000000002</v>
      </c>
      <c r="AD28" s="254">
        <f t="shared" si="4"/>
        <v>1050.7000000000003</v>
      </c>
      <c r="AF28" s="729">
        <v>47603</v>
      </c>
      <c r="AH28" s="354"/>
      <c r="AI28" s="355"/>
    </row>
    <row r="29" spans="3:35" ht="11.25" customHeight="1">
      <c r="C29" s="291" t="s">
        <v>1293</v>
      </c>
      <c r="D29" s="476">
        <v>0.01</v>
      </c>
      <c r="E29" s="277"/>
      <c r="F29" s="277"/>
      <c r="G29" s="277"/>
      <c r="H29" s="277"/>
      <c r="I29" s="277"/>
      <c r="J29" s="277"/>
      <c r="K29" s="277"/>
      <c r="L29" s="277"/>
      <c r="M29" s="277"/>
      <c r="N29" s="277"/>
      <c r="O29" s="277"/>
      <c r="P29" s="277">
        <v>870</v>
      </c>
      <c r="Q29" s="277">
        <v>870</v>
      </c>
      <c r="R29" s="254">
        <f t="shared" si="3"/>
        <v>852.6</v>
      </c>
      <c r="S29" s="254">
        <f t="shared" si="3"/>
        <v>835.2</v>
      </c>
      <c r="T29" s="254">
        <f t="shared" si="3"/>
        <v>817.80000000000007</v>
      </c>
      <c r="Y29" s="254"/>
      <c r="Z29" s="254"/>
      <c r="AA29" s="254">
        <f t="shared" si="5"/>
        <v>817.80000000000007</v>
      </c>
      <c r="AB29" s="254">
        <f t="shared" si="4"/>
        <v>748.2</v>
      </c>
      <c r="AC29" s="254">
        <f t="shared" si="4"/>
        <v>678.6</v>
      </c>
      <c r="AD29" s="254">
        <f t="shared" si="4"/>
        <v>609</v>
      </c>
      <c r="AF29" s="729">
        <v>47863</v>
      </c>
      <c r="AH29" s="354"/>
      <c r="AI29" s="355"/>
    </row>
    <row r="30" spans="3:35" ht="11.25" customHeight="1">
      <c r="C30" s="291" t="s">
        <v>1293</v>
      </c>
      <c r="D30" s="476">
        <v>0.01</v>
      </c>
      <c r="E30" s="277"/>
      <c r="F30" s="277"/>
      <c r="G30" s="277"/>
      <c r="H30" s="277"/>
      <c r="I30" s="277"/>
      <c r="J30" s="277"/>
      <c r="K30" s="277"/>
      <c r="L30" s="277"/>
      <c r="M30" s="277"/>
      <c r="N30" s="277"/>
      <c r="O30" s="277"/>
      <c r="P30" s="277">
        <v>810</v>
      </c>
      <c r="Q30" s="277">
        <v>810</v>
      </c>
      <c r="R30" s="254">
        <f t="shared" si="3"/>
        <v>793.8</v>
      </c>
      <c r="S30" s="254">
        <f t="shared" si="3"/>
        <v>777.59999999999991</v>
      </c>
      <c r="T30" s="254">
        <f t="shared" si="3"/>
        <v>761.39999999999986</v>
      </c>
      <c r="Y30" s="254"/>
      <c r="Z30" s="254"/>
      <c r="AA30" s="254">
        <f t="shared" si="5"/>
        <v>761.39999999999986</v>
      </c>
      <c r="AB30" s="254">
        <f t="shared" si="4"/>
        <v>696.59999999999991</v>
      </c>
      <c r="AC30" s="254">
        <f t="shared" si="4"/>
        <v>631.79999999999995</v>
      </c>
      <c r="AD30" s="254">
        <f t="shared" si="4"/>
        <v>567</v>
      </c>
      <c r="AF30" s="729">
        <v>47967</v>
      </c>
      <c r="AH30" s="354"/>
      <c r="AI30" s="355"/>
    </row>
    <row r="31" spans="3:35" ht="11.25" customHeight="1">
      <c r="C31" s="291" t="s">
        <v>434</v>
      </c>
      <c r="D31" s="476">
        <f>AVERAGE(0%,5.75%)</f>
        <v>2.8750000000000001E-2</v>
      </c>
      <c r="E31" s="277"/>
      <c r="F31" s="277"/>
      <c r="G31" s="277"/>
      <c r="H31" s="277"/>
      <c r="I31" s="277"/>
      <c r="J31" s="277"/>
      <c r="K31" s="277"/>
      <c r="L31" s="277"/>
      <c r="M31" s="277"/>
      <c r="N31" s="277"/>
      <c r="O31" s="277"/>
      <c r="P31" s="277">
        <v>598</v>
      </c>
      <c r="Q31" s="277">
        <v>598</v>
      </c>
      <c r="R31" s="254">
        <f t="shared" si="3"/>
        <v>586.04</v>
      </c>
      <c r="S31" s="254">
        <f t="shared" si="3"/>
        <v>574.07999999999993</v>
      </c>
      <c r="T31" s="254">
        <f t="shared" si="3"/>
        <v>562.11999999999989</v>
      </c>
      <c r="Y31" s="254"/>
      <c r="Z31" s="254"/>
      <c r="AA31" s="254">
        <f>+SUMIF($E$6:$T$6,AA$6,$E31:$T31)</f>
        <v>562.11999999999989</v>
      </c>
      <c r="AB31" s="254">
        <f t="shared" si="4"/>
        <v>514.27999999999986</v>
      </c>
      <c r="AC31" s="254">
        <f t="shared" si="4"/>
        <v>466.43999999999983</v>
      </c>
      <c r="AD31" s="254">
        <f t="shared" si="4"/>
        <v>418.5999999999998</v>
      </c>
      <c r="AF31" s="1161">
        <v>46188</v>
      </c>
      <c r="AG31" s="962" t="s">
        <v>436</v>
      </c>
      <c r="AH31" s="354"/>
      <c r="AI31" s="355"/>
    </row>
    <row r="32" spans="3:35" ht="11.25" customHeight="1">
      <c r="C32" s="291" t="s">
        <v>238</v>
      </c>
      <c r="D32" s="476">
        <v>4.4999999999999998E-2</v>
      </c>
      <c r="E32" s="277"/>
      <c r="F32" s="277"/>
      <c r="G32" s="277"/>
      <c r="H32" s="277"/>
      <c r="I32" s="277"/>
      <c r="J32" s="277"/>
      <c r="K32" s="287"/>
      <c r="L32" s="287"/>
      <c r="M32" s="287"/>
      <c r="N32" s="287"/>
      <c r="O32" s="287"/>
      <c r="P32" s="287">
        <v>0</v>
      </c>
      <c r="Q32" s="254">
        <f ca="1">Q131</f>
        <v>0</v>
      </c>
      <c r="R32" s="254">
        <f ca="1">R131</f>
        <v>0</v>
      </c>
      <c r="S32" s="254">
        <f ca="1">S131</f>
        <v>0</v>
      </c>
      <c r="T32" s="254">
        <f ca="1">T131</f>
        <v>0</v>
      </c>
      <c r="Y32" s="254"/>
      <c r="Z32" s="254"/>
      <c r="AA32" s="254">
        <f ca="1">+SUMIF($E$6:$T$6,AA$6,$E32:$T32)</f>
        <v>0</v>
      </c>
      <c r="AB32" s="254">
        <f ca="1">AB131</f>
        <v>0</v>
      </c>
      <c r="AC32" s="254">
        <f ca="1">AC131</f>
        <v>0</v>
      </c>
      <c r="AD32" s="254">
        <f ca="1">AD131</f>
        <v>0</v>
      </c>
      <c r="AF32" s="729">
        <v>45768</v>
      </c>
      <c r="AH32" s="354"/>
      <c r="AI32" s="355"/>
    </row>
    <row r="33" spans="2:52" ht="11.25" customHeight="1">
      <c r="C33" s="291" t="s">
        <v>239</v>
      </c>
      <c r="D33" s="401">
        <f ca="1">+SUMPRODUCT(D10:D32,Q10:Q32)/SUM(Q10:Q32)</f>
        <v>4.8234339589933041E-2</v>
      </c>
      <c r="E33" s="277"/>
      <c r="F33" s="277"/>
      <c r="G33" s="277"/>
      <c r="H33" s="277"/>
      <c r="I33" s="277"/>
      <c r="J33" s="277"/>
      <c r="K33" s="277"/>
      <c r="L33" s="277"/>
      <c r="M33" s="277"/>
      <c r="N33" s="277"/>
      <c r="O33" s="277"/>
      <c r="P33" s="254">
        <f>P136</f>
        <v>0</v>
      </c>
      <c r="Q33" s="254">
        <f>Q136</f>
        <v>0</v>
      </c>
      <c r="R33" s="254">
        <f ca="1">R136</f>
        <v>0</v>
      </c>
      <c r="S33" s="254">
        <f ca="1">S136</f>
        <v>0</v>
      </c>
      <c r="T33" s="254">
        <f ca="1">T136</f>
        <v>0</v>
      </c>
      <c r="Y33" s="254"/>
      <c r="Z33" s="254"/>
      <c r="AA33" s="254">
        <f ca="1">+SUMIF($E$6:$T$6,AA$6,$E33:$T33)</f>
        <v>0</v>
      </c>
      <c r="AB33" s="254">
        <f ca="1">AB136</f>
        <v>0</v>
      </c>
      <c r="AC33" s="254">
        <f ca="1">AC136</f>
        <v>0</v>
      </c>
      <c r="AD33" s="254">
        <f ca="1">AD136</f>
        <v>0</v>
      </c>
      <c r="AH33" s="354"/>
      <c r="AI33" s="355"/>
    </row>
    <row r="34" spans="2:52" ht="10.5" customHeight="1">
      <c r="C34" s="291" t="s">
        <v>240</v>
      </c>
      <c r="D34" s="402"/>
      <c r="E34" s="277"/>
      <c r="F34" s="277"/>
      <c r="G34" s="277"/>
      <c r="H34" s="277"/>
      <c r="I34" s="277"/>
      <c r="J34" s="277"/>
      <c r="K34" s="277"/>
      <c r="L34" s="277"/>
      <c r="M34" s="277"/>
      <c r="N34" s="277"/>
      <c r="O34" s="277"/>
      <c r="P34" s="277">
        <v>-513</v>
      </c>
      <c r="Q34" s="277">
        <v>-479</v>
      </c>
      <c r="R34" s="254">
        <f>+Q34-$Q$34/19</f>
        <v>-453.78947368421052</v>
      </c>
      <c r="S34" s="254">
        <f>+R34-$Q$34/19</f>
        <v>-428.57894736842104</v>
      </c>
      <c r="T34" s="254">
        <f>+S34-$Q$34/19</f>
        <v>-403.36842105263156</v>
      </c>
      <c r="Y34" s="254"/>
      <c r="Z34" s="254"/>
      <c r="AA34" s="254">
        <f>+SUMIF($E$6:$T$6,AA$6,$E34:$T34)</f>
        <v>-403.36842105263156</v>
      </c>
      <c r="AB34" s="254">
        <f>+AA34-$Q$34*4/19</f>
        <v>-302.52631578947364</v>
      </c>
      <c r="AC34" s="254">
        <f>+AB34-$Q$34*4/19</f>
        <v>-201.68421052631575</v>
      </c>
      <c r="AD34" s="254">
        <f>+AC34-$Q$34*4/19</f>
        <v>-100.84210526315786</v>
      </c>
    </row>
    <row r="35" spans="2:52" s="283" customFormat="1" ht="11.25" customHeight="1">
      <c r="C35" s="286" t="s">
        <v>276</v>
      </c>
      <c r="D35" s="403"/>
      <c r="E35" s="280"/>
      <c r="F35" s="280"/>
      <c r="G35" s="277"/>
      <c r="H35" s="277"/>
      <c r="I35" s="277"/>
      <c r="J35" s="277"/>
      <c r="K35" s="280"/>
      <c r="L35" s="280"/>
      <c r="M35" s="280"/>
      <c r="N35" s="280"/>
      <c r="O35" s="280"/>
      <c r="P35" s="357">
        <f>SUM(P10:P34)</f>
        <v>33363</v>
      </c>
      <c r="Q35" s="357">
        <f ca="1">SUM(Q10:Q34)</f>
        <v>27071.428</v>
      </c>
      <c r="R35" s="357">
        <f ca="1">SUM(R10:R34)</f>
        <v>27688.513316778273</v>
      </c>
      <c r="S35" s="357">
        <f ca="1">SUM(S10:S34)</f>
        <v>27978.411240613765</v>
      </c>
      <c r="T35" s="357">
        <f ca="1">SUM(T10:T34)</f>
        <v>28644.533898947371</v>
      </c>
      <c r="U35" s="280"/>
      <c r="V35" s="280"/>
      <c r="W35" s="280"/>
      <c r="X35" s="280"/>
      <c r="Y35" s="280"/>
      <c r="Z35" s="280"/>
      <c r="AA35" s="357">
        <f ca="1">SUM(AA10:AA34)</f>
        <v>28644.533898947371</v>
      </c>
      <c r="AB35" s="357">
        <f ca="1">SUM(AB10:AB34)</f>
        <v>30955.341764210527</v>
      </c>
      <c r="AC35" s="357">
        <f ca="1">SUM(AC10:AC34)</f>
        <v>30832.149629473679</v>
      </c>
      <c r="AD35" s="357">
        <f ca="1">SUM(AD10:AD34)</f>
        <v>30621.957494736846</v>
      </c>
      <c r="AJ35" s="255"/>
      <c r="AK35" s="255"/>
      <c r="AL35" s="255"/>
      <c r="AM35" s="255"/>
      <c r="AN35" s="255"/>
      <c r="AO35" s="255"/>
      <c r="AP35" s="255"/>
      <c r="AQ35" s="255"/>
      <c r="AR35" s="255"/>
      <c r="AS35" s="255"/>
      <c r="AT35" s="255"/>
      <c r="AU35" s="255"/>
      <c r="AV35" s="255"/>
      <c r="AW35" s="255"/>
      <c r="AX35" s="255"/>
      <c r="AY35" s="255"/>
      <c r="AZ35" s="255"/>
    </row>
    <row r="36" spans="2:52" ht="11.25" customHeight="1">
      <c r="D36" s="257"/>
      <c r="E36" s="284"/>
      <c r="F36" s="288"/>
      <c r="G36" s="288"/>
      <c r="H36" s="288"/>
      <c r="I36" s="288"/>
      <c r="J36" s="288"/>
      <c r="K36" s="288"/>
      <c r="L36" s="288"/>
      <c r="M36" s="288"/>
      <c r="N36" s="288"/>
      <c r="O36" s="288"/>
      <c r="P36" s="288">
        <f>+'UAL Financials'!P144-P35</f>
        <v>0</v>
      </c>
      <c r="Q36" s="288">
        <f ca="1">+'UAL Financials'!Q144-Q35</f>
        <v>5587.5720000000001</v>
      </c>
      <c r="R36" s="288"/>
      <c r="S36" s="288"/>
      <c r="T36" s="288"/>
      <c r="AA36" s="288"/>
      <c r="AB36" s="288"/>
      <c r="AC36" s="288"/>
      <c r="AD36" s="288"/>
    </row>
    <row r="37" spans="2:52" ht="11.25" customHeight="1">
      <c r="B37" s="258" t="s">
        <v>133</v>
      </c>
      <c r="C37" s="259" t="s">
        <v>241</v>
      </c>
      <c r="D37" s="259"/>
      <c r="E37" s="259"/>
      <c r="F37" s="290"/>
      <c r="G37" s="259"/>
      <c r="H37" s="259"/>
      <c r="I37" s="259"/>
      <c r="J37" s="259"/>
      <c r="K37" s="259"/>
      <c r="L37" s="259"/>
      <c r="M37" s="259"/>
      <c r="N37" s="259"/>
      <c r="O37" s="259"/>
      <c r="P37" s="290"/>
      <c r="Q37" s="290"/>
      <c r="R37" s="259"/>
      <c r="S37" s="259"/>
      <c r="T37" s="259"/>
      <c r="V37" s="258"/>
      <c r="W37" s="258"/>
      <c r="X37" s="258"/>
      <c r="Y37" s="258"/>
      <c r="Z37" s="258"/>
      <c r="AA37" s="258"/>
      <c r="AB37" s="258"/>
      <c r="AC37" s="258"/>
      <c r="AD37" s="258"/>
    </row>
    <row r="38" spans="2:52" ht="11.25" customHeight="1">
      <c r="C38" s="289"/>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row>
    <row r="39" spans="2:52" ht="11.25" customHeight="1">
      <c r="C39" s="291" t="str">
        <f t="shared" ref="C39:C60" si="6">+C10</f>
        <v>Term Loan</v>
      </c>
      <c r="E39" s="277"/>
      <c r="F39" s="277"/>
      <c r="G39" s="277"/>
      <c r="H39" s="254"/>
      <c r="I39" s="283"/>
      <c r="J39" s="254"/>
      <c r="K39" s="254"/>
      <c r="L39" s="254"/>
      <c r="M39" s="254"/>
      <c r="N39" s="254"/>
      <c r="O39" s="254"/>
      <c r="P39" s="254"/>
      <c r="Q39" s="254"/>
      <c r="R39" s="277">
        <f>0.25%*5000</f>
        <v>12.5</v>
      </c>
      <c r="S39" s="277">
        <f>0.25%*5000</f>
        <v>12.5</v>
      </c>
      <c r="T39" s="277">
        <f>0.25%*5000</f>
        <v>12.5</v>
      </c>
      <c r="U39" s="283"/>
      <c r="V39" s="283"/>
      <c r="W39" s="283"/>
      <c r="X39" s="283"/>
      <c r="AA39" s="255">
        <f>+SUMIF($E$5:$T$5,AA$5,$E39:$T39)</f>
        <v>37.5</v>
      </c>
      <c r="AB39" s="254">
        <f>0.25%*5000*4</f>
        <v>50</v>
      </c>
      <c r="AC39" s="254">
        <f>0.25%*5000*4</f>
        <v>50</v>
      </c>
      <c r="AD39" s="254">
        <f>0.25%*5000*4</f>
        <v>50</v>
      </c>
    </row>
    <row r="40" spans="2:52" ht="11.25" customHeight="1">
      <c r="C40" s="291" t="str">
        <f t="shared" si="6"/>
        <v xml:space="preserve">MileagePlus Term Loan Facility </v>
      </c>
      <c r="E40" s="277"/>
      <c r="F40" s="277"/>
      <c r="G40" s="277"/>
      <c r="H40" s="254"/>
      <c r="I40" s="283"/>
      <c r="J40" s="254"/>
      <c r="K40" s="254"/>
      <c r="L40" s="254"/>
      <c r="M40" s="254"/>
      <c r="N40" s="254"/>
      <c r="O40" s="254"/>
      <c r="P40" s="254"/>
      <c r="Q40" s="254"/>
      <c r="R40" s="277">
        <f>+IF(IF(AND($AF11&gt;Q$6,$AF11&lt;=R$6),1,0)=1,Q11,0)</f>
        <v>0</v>
      </c>
      <c r="S40" s="277">
        <f>5%*$P$11</f>
        <v>150</v>
      </c>
      <c r="T40" s="277">
        <f>5%*$P$11</f>
        <v>150</v>
      </c>
      <c r="U40" s="283"/>
      <c r="V40" s="283"/>
      <c r="W40" s="283"/>
      <c r="X40" s="283"/>
      <c r="AA40" s="255">
        <f t="shared" ref="AA40:AA59" si="7">+SUMIF($E$5:$T$5,AA$5,$E40:$T40)</f>
        <v>300</v>
      </c>
      <c r="AB40" s="254">
        <f>5%*$P$11*4</f>
        <v>600</v>
      </c>
      <c r="AC40" s="254">
        <f>5%*$P$11*4</f>
        <v>600</v>
      </c>
      <c r="AD40" s="254">
        <f>5%*$P$11*4</f>
        <v>600</v>
      </c>
    </row>
    <row r="41" spans="2:52" ht="11.25" customHeight="1">
      <c r="C41" s="291" t="str">
        <f t="shared" si="6"/>
        <v>MileagePlus Senior Secured Notes</v>
      </c>
      <c r="E41" s="277"/>
      <c r="F41" s="277"/>
      <c r="G41" s="277"/>
      <c r="H41" s="254"/>
      <c r="I41" s="283"/>
      <c r="J41" s="254"/>
      <c r="K41" s="254"/>
      <c r="L41" s="254"/>
      <c r="M41" s="254"/>
      <c r="N41" s="254"/>
      <c r="O41" s="254"/>
      <c r="P41" s="254"/>
      <c r="Q41" s="254"/>
      <c r="R41" s="277">
        <f>+IF(IF(AND($AF12&gt;Q$6,$AF12&lt;=R$6),1,0)=1,Q12,0)</f>
        <v>0</v>
      </c>
      <c r="S41" s="277">
        <f>5%*$P$12</f>
        <v>190</v>
      </c>
      <c r="T41" s="277">
        <f>5%*$P$12</f>
        <v>190</v>
      </c>
      <c r="U41" s="283"/>
      <c r="V41" s="283"/>
      <c r="W41" s="283"/>
      <c r="X41" s="283"/>
      <c r="AA41" s="255">
        <f t="shared" si="7"/>
        <v>380</v>
      </c>
      <c r="AB41" s="254">
        <f>5%*$P$12*4</f>
        <v>760</v>
      </c>
      <c r="AC41" s="254">
        <f>5%*$P$12*4</f>
        <v>760</v>
      </c>
      <c r="AD41" s="254">
        <f>5%*$P$12*4</f>
        <v>760</v>
      </c>
    </row>
    <row r="42" spans="2:52" ht="11.25" customHeight="1">
      <c r="C42" s="291" t="str">
        <f t="shared" si="6"/>
        <v>Enhanced Equipment Trust Certificate</v>
      </c>
      <c r="E42" s="277"/>
      <c r="F42" s="277"/>
      <c r="G42" s="277"/>
      <c r="H42" s="254"/>
      <c r="I42" s="283"/>
      <c r="J42" s="254"/>
      <c r="K42" s="254"/>
      <c r="L42" s="254"/>
      <c r="M42" s="254"/>
      <c r="N42" s="254"/>
      <c r="O42" s="254"/>
      <c r="P42" s="254"/>
      <c r="Q42" s="254"/>
      <c r="R42" s="254">
        <f t="shared" ref="R42:T48" si="8">2%*$Q13</f>
        <v>14.040000000000001</v>
      </c>
      <c r="S42" s="254">
        <f t="shared" si="8"/>
        <v>14.040000000000001</v>
      </c>
      <c r="T42" s="254">
        <f t="shared" si="8"/>
        <v>14.040000000000001</v>
      </c>
      <c r="U42" s="283"/>
      <c r="V42" s="283"/>
      <c r="W42" s="283"/>
      <c r="X42" s="283"/>
      <c r="AA42" s="255">
        <f t="shared" si="7"/>
        <v>42.120000000000005</v>
      </c>
      <c r="AB42" s="254">
        <f t="shared" ref="AB42:AD48" si="9">2%*$Q13*4</f>
        <v>56.160000000000004</v>
      </c>
      <c r="AC42" s="254">
        <f t="shared" si="9"/>
        <v>56.160000000000004</v>
      </c>
      <c r="AD42" s="254">
        <f t="shared" si="9"/>
        <v>56.160000000000004</v>
      </c>
    </row>
    <row r="43" spans="2:52" ht="11.25" customHeight="1">
      <c r="C43" s="291" t="str">
        <f t="shared" si="6"/>
        <v>Enhanced Equipment Trust Certificate</v>
      </c>
      <c r="E43" s="277"/>
      <c r="F43" s="277"/>
      <c r="G43" s="277"/>
      <c r="H43" s="254"/>
      <c r="I43" s="283"/>
      <c r="J43" s="254"/>
      <c r="K43" s="254"/>
      <c r="L43" s="254"/>
      <c r="M43" s="254"/>
      <c r="N43" s="254"/>
      <c r="O43" s="254"/>
      <c r="P43" s="254"/>
      <c r="Q43" s="254"/>
      <c r="R43" s="254">
        <f t="shared" ca="1" si="8"/>
        <v>6</v>
      </c>
      <c r="S43" s="254">
        <f t="shared" ca="1" si="8"/>
        <v>6</v>
      </c>
      <c r="T43" s="254">
        <f t="shared" ca="1" si="8"/>
        <v>6</v>
      </c>
      <c r="U43" s="283"/>
      <c r="V43" s="283"/>
      <c r="W43" s="283"/>
      <c r="X43" s="283"/>
      <c r="AA43" s="255">
        <f t="shared" ca="1" si="7"/>
        <v>18</v>
      </c>
      <c r="AB43" s="254">
        <f t="shared" ca="1" si="9"/>
        <v>24</v>
      </c>
      <c r="AC43" s="254">
        <f t="shared" ca="1" si="9"/>
        <v>24</v>
      </c>
      <c r="AD43" s="254">
        <f t="shared" ca="1" si="9"/>
        <v>24</v>
      </c>
    </row>
    <row r="44" spans="2:52" ht="11.25" customHeight="1">
      <c r="C44" s="291" t="str">
        <f t="shared" si="6"/>
        <v>Enhanced Equipment Trust Certificate</v>
      </c>
      <c r="E44" s="277"/>
      <c r="F44" s="277"/>
      <c r="G44" s="277"/>
      <c r="H44" s="254"/>
      <c r="I44" s="283"/>
      <c r="J44" s="254"/>
      <c r="K44" s="254"/>
      <c r="L44" s="254"/>
      <c r="M44" s="254"/>
      <c r="N44" s="254"/>
      <c r="O44" s="254"/>
      <c r="P44" s="254"/>
      <c r="Q44" s="254"/>
      <c r="R44" s="254">
        <f t="shared" ca="1" si="8"/>
        <v>9.5520000000000014</v>
      </c>
      <c r="S44" s="254">
        <f t="shared" ca="1" si="8"/>
        <v>9.5520000000000014</v>
      </c>
      <c r="T44" s="254">
        <f t="shared" ca="1" si="8"/>
        <v>9.5520000000000014</v>
      </c>
      <c r="U44" s="283"/>
      <c r="V44" s="283"/>
      <c r="W44" s="283"/>
      <c r="X44" s="283"/>
      <c r="AA44" s="255">
        <f t="shared" ca="1" si="7"/>
        <v>28.656000000000006</v>
      </c>
      <c r="AB44" s="254">
        <f t="shared" ca="1" si="9"/>
        <v>38.208000000000006</v>
      </c>
      <c r="AC44" s="254">
        <f t="shared" ca="1" si="9"/>
        <v>38.208000000000006</v>
      </c>
      <c r="AD44" s="254">
        <f t="shared" ca="1" si="9"/>
        <v>38.208000000000006</v>
      </c>
    </row>
    <row r="45" spans="2:52" ht="11.25" customHeight="1">
      <c r="C45" s="291" t="str">
        <f t="shared" si="6"/>
        <v>Enhanced Equipment Trust Certificate</v>
      </c>
      <c r="E45" s="277"/>
      <c r="F45" s="277"/>
      <c r="G45" s="277"/>
      <c r="H45" s="254"/>
      <c r="I45" s="283"/>
      <c r="J45" s="254"/>
      <c r="K45" s="254"/>
      <c r="L45" s="254"/>
      <c r="M45" s="254"/>
      <c r="N45" s="254"/>
      <c r="O45" s="254"/>
      <c r="P45" s="254"/>
      <c r="Q45" s="254"/>
      <c r="R45" s="254">
        <f t="shared" si="8"/>
        <v>4.6399999999999997</v>
      </c>
      <c r="S45" s="254">
        <f t="shared" si="8"/>
        <v>4.6399999999999997</v>
      </c>
      <c r="T45" s="254">
        <f t="shared" si="8"/>
        <v>4.6399999999999997</v>
      </c>
      <c r="U45" s="283"/>
      <c r="V45" s="283"/>
      <c r="W45" s="283"/>
      <c r="X45" s="283"/>
      <c r="AA45" s="255">
        <f t="shared" si="7"/>
        <v>13.919999999999998</v>
      </c>
      <c r="AB45" s="254">
        <f t="shared" si="9"/>
        <v>18.559999999999999</v>
      </c>
      <c r="AC45" s="254">
        <f t="shared" si="9"/>
        <v>18.559999999999999</v>
      </c>
      <c r="AD45" s="254">
        <f t="shared" si="9"/>
        <v>18.559999999999999</v>
      </c>
    </row>
    <row r="46" spans="2:52" ht="11.25" customHeight="1">
      <c r="C46" s="291" t="str">
        <f t="shared" si="6"/>
        <v>Enhanced Equipment Trust Certificate</v>
      </c>
      <c r="E46" s="277"/>
      <c r="F46" s="277"/>
      <c r="G46" s="277"/>
      <c r="H46" s="254"/>
      <c r="I46" s="283"/>
      <c r="J46" s="254"/>
      <c r="K46" s="254"/>
      <c r="L46" s="254"/>
      <c r="M46" s="254"/>
      <c r="N46" s="254"/>
      <c r="O46" s="254"/>
      <c r="P46" s="254"/>
      <c r="Q46" s="254"/>
      <c r="R46" s="254">
        <f t="shared" si="8"/>
        <v>60</v>
      </c>
      <c r="S46" s="254">
        <f t="shared" si="8"/>
        <v>60</v>
      </c>
      <c r="T46" s="254">
        <f t="shared" si="8"/>
        <v>60</v>
      </c>
      <c r="U46" s="283"/>
      <c r="V46" s="283"/>
      <c r="W46" s="283"/>
      <c r="X46" s="283"/>
      <c r="AA46" s="255">
        <f t="shared" si="7"/>
        <v>180</v>
      </c>
      <c r="AB46" s="254">
        <f t="shared" si="9"/>
        <v>240</v>
      </c>
      <c r="AC46" s="254">
        <f t="shared" si="9"/>
        <v>240</v>
      </c>
      <c r="AD46" s="254">
        <f t="shared" si="9"/>
        <v>240</v>
      </c>
    </row>
    <row r="47" spans="2:52" ht="11.25" customHeight="1">
      <c r="C47" s="291" t="str">
        <f t="shared" si="6"/>
        <v>Enhanced Equipment Trust Certificate</v>
      </c>
      <c r="E47" s="277"/>
      <c r="F47" s="277"/>
      <c r="G47" s="277"/>
      <c r="H47" s="254"/>
      <c r="I47" s="283"/>
      <c r="J47" s="254"/>
      <c r="K47" s="254"/>
      <c r="L47" s="254"/>
      <c r="M47" s="254"/>
      <c r="N47" s="254"/>
      <c r="O47" s="254"/>
      <c r="P47" s="254"/>
      <c r="Q47" s="254"/>
      <c r="R47" s="254">
        <f t="shared" si="8"/>
        <v>2.1</v>
      </c>
      <c r="S47" s="254">
        <f t="shared" si="8"/>
        <v>2.1</v>
      </c>
      <c r="T47" s="254">
        <f t="shared" si="8"/>
        <v>2.1</v>
      </c>
      <c r="U47" s="283"/>
      <c r="V47" s="283"/>
      <c r="W47" s="283"/>
      <c r="X47" s="283"/>
      <c r="AA47" s="255">
        <f t="shared" si="7"/>
        <v>6.3000000000000007</v>
      </c>
      <c r="AB47" s="254">
        <f t="shared" si="9"/>
        <v>8.4</v>
      </c>
      <c r="AC47" s="254">
        <f t="shared" si="9"/>
        <v>8.4</v>
      </c>
      <c r="AD47" s="254">
        <f t="shared" si="9"/>
        <v>8.4</v>
      </c>
    </row>
    <row r="48" spans="2:52" ht="11.25" customHeight="1">
      <c r="C48" s="291" t="str">
        <f t="shared" si="6"/>
        <v>Enhanced Equipment Trust Certificate</v>
      </c>
      <c r="E48" s="277"/>
      <c r="F48" s="277"/>
      <c r="G48" s="277"/>
      <c r="H48" s="254"/>
      <c r="I48" s="283"/>
      <c r="J48" s="254"/>
      <c r="K48" s="254"/>
      <c r="L48" s="254"/>
      <c r="M48" s="254"/>
      <c r="N48" s="254"/>
      <c r="O48" s="254"/>
      <c r="P48" s="254"/>
      <c r="Q48" s="254"/>
      <c r="R48" s="254">
        <f t="shared" si="8"/>
        <v>155.47999999999999</v>
      </c>
      <c r="S48" s="254">
        <f t="shared" si="8"/>
        <v>155.47999999999999</v>
      </c>
      <c r="T48" s="254">
        <f t="shared" si="8"/>
        <v>155.47999999999999</v>
      </c>
      <c r="U48" s="283"/>
      <c r="V48" s="283"/>
      <c r="W48" s="283"/>
      <c r="X48" s="283"/>
      <c r="AA48" s="255">
        <f t="shared" si="7"/>
        <v>466.43999999999994</v>
      </c>
      <c r="AB48" s="254">
        <f t="shared" si="9"/>
        <v>621.91999999999996</v>
      </c>
      <c r="AC48" s="254">
        <f t="shared" si="9"/>
        <v>621.91999999999996</v>
      </c>
      <c r="AD48" s="254">
        <f t="shared" si="9"/>
        <v>621.91999999999996</v>
      </c>
    </row>
    <row r="49" spans="2:30" ht="11.25" customHeight="1">
      <c r="C49" s="291" t="str">
        <f t="shared" si="6"/>
        <v>New Aircraft Notes</v>
      </c>
      <c r="E49" s="277"/>
      <c r="F49" s="277"/>
      <c r="G49" s="277"/>
      <c r="H49" s="254"/>
      <c r="I49" s="283"/>
      <c r="J49" s="254"/>
      <c r="K49" s="254"/>
      <c r="L49" s="254"/>
      <c r="M49" s="254"/>
      <c r="N49" s="254"/>
      <c r="O49" s="254"/>
      <c r="P49" s="254"/>
      <c r="Q49" s="254"/>
      <c r="R49" s="287">
        <f>-'UAL Financials'!R191</f>
        <v>-999.3833504624871</v>
      </c>
      <c r="S49" s="287">
        <f>-'UAL Financials'!S191</f>
        <v>-1012.1959575196986</v>
      </c>
      <c r="T49" s="287">
        <f>-'UAL Financials'!T191</f>
        <v>-1388.4206920178142</v>
      </c>
      <c r="U49" s="305"/>
      <c r="V49" s="305"/>
      <c r="W49" s="305"/>
      <c r="X49" s="305"/>
      <c r="Y49" s="287"/>
      <c r="Z49" s="287"/>
      <c r="AA49" s="255">
        <f t="shared" si="7"/>
        <v>-3400</v>
      </c>
      <c r="AB49" s="287">
        <f>-'UAL Financials'!AB191</f>
        <v>-5200</v>
      </c>
      <c r="AC49" s="287">
        <f>-'UAL Financials'!AC191</f>
        <v>-3000</v>
      </c>
      <c r="AD49" s="287">
        <f>-'UAL Financials'!AD191</f>
        <v>-2900</v>
      </c>
    </row>
    <row r="50" spans="2:30" ht="11.25" customHeight="1">
      <c r="C50" s="291" t="str">
        <f t="shared" si="6"/>
        <v>Special Facility Revenue Bonds</v>
      </c>
      <c r="E50" s="277"/>
      <c r="F50" s="277"/>
      <c r="G50" s="277"/>
      <c r="H50" s="254"/>
      <c r="I50" s="283"/>
      <c r="J50" s="254"/>
      <c r="K50" s="254"/>
      <c r="L50" s="254"/>
      <c r="M50" s="254"/>
      <c r="N50" s="254"/>
      <c r="O50" s="254"/>
      <c r="P50" s="254"/>
      <c r="Q50" s="254"/>
      <c r="R50" s="254">
        <f t="shared" ref="R50:T60" si="10">2%*$Q21</f>
        <v>3.18</v>
      </c>
      <c r="S50" s="254">
        <f t="shared" si="10"/>
        <v>3.18</v>
      </c>
      <c r="T50" s="254">
        <f t="shared" si="10"/>
        <v>3.18</v>
      </c>
      <c r="U50" s="283"/>
      <c r="V50" s="283"/>
      <c r="W50" s="283"/>
      <c r="X50" s="283"/>
      <c r="AA50" s="255">
        <f t="shared" si="7"/>
        <v>9.5400000000000009</v>
      </c>
      <c r="AB50" s="254">
        <f t="shared" ref="AB50:AD53" si="11">2%*$Q21*4</f>
        <v>12.72</v>
      </c>
      <c r="AC50" s="254">
        <f t="shared" si="11"/>
        <v>12.72</v>
      </c>
      <c r="AD50" s="254">
        <f t="shared" si="11"/>
        <v>12.72</v>
      </c>
    </row>
    <row r="51" spans="2:30" ht="11.25" customHeight="1">
      <c r="C51" s="291" t="str">
        <f t="shared" si="6"/>
        <v>4.375% Senior Secured Notes Due 2026</v>
      </c>
      <c r="E51" s="277"/>
      <c r="F51" s="277"/>
      <c r="G51" s="277"/>
      <c r="H51" s="254"/>
      <c r="I51" s="283"/>
      <c r="J51" s="254"/>
      <c r="K51" s="254"/>
      <c r="L51" s="254"/>
      <c r="M51" s="254"/>
      <c r="N51" s="254"/>
      <c r="O51" s="254"/>
      <c r="P51" s="254"/>
      <c r="Q51" s="254"/>
      <c r="R51" s="254">
        <f t="shared" ca="1" si="10"/>
        <v>7</v>
      </c>
      <c r="S51" s="254">
        <f t="shared" ca="1" si="10"/>
        <v>7</v>
      </c>
      <c r="T51" s="254">
        <f t="shared" ca="1" si="10"/>
        <v>7</v>
      </c>
      <c r="U51" s="283"/>
      <c r="V51" s="283"/>
      <c r="W51" s="283"/>
      <c r="X51" s="283"/>
      <c r="AA51" s="255">
        <f t="shared" ca="1" si="7"/>
        <v>21</v>
      </c>
      <c r="AB51" s="254">
        <f t="shared" ca="1" si="11"/>
        <v>28</v>
      </c>
      <c r="AC51" s="254">
        <f t="shared" ca="1" si="11"/>
        <v>28</v>
      </c>
      <c r="AD51" s="254">
        <f t="shared" ca="1" si="11"/>
        <v>28</v>
      </c>
    </row>
    <row r="52" spans="2:30" ht="11.25" customHeight="1">
      <c r="C52" s="291" t="str">
        <f t="shared" si="6"/>
        <v>4.625% Senior Secured Notes Due 2029</v>
      </c>
      <c r="E52" s="277"/>
      <c r="F52" s="277"/>
      <c r="G52" s="277"/>
      <c r="H52" s="254"/>
      <c r="I52" s="283"/>
      <c r="J52" s="254"/>
      <c r="K52" s="254"/>
      <c r="L52" s="254"/>
      <c r="M52" s="254"/>
      <c r="N52" s="254"/>
      <c r="O52" s="254"/>
      <c r="P52" s="254"/>
      <c r="Q52" s="254"/>
      <c r="R52" s="254">
        <f t="shared" ca="1" si="10"/>
        <v>40</v>
      </c>
      <c r="S52" s="254">
        <f t="shared" ca="1" si="10"/>
        <v>40</v>
      </c>
      <c r="T52" s="254">
        <f t="shared" ca="1" si="10"/>
        <v>40</v>
      </c>
      <c r="U52" s="283"/>
      <c r="V52" s="283"/>
      <c r="W52" s="283"/>
      <c r="X52" s="283"/>
      <c r="AA52" s="255">
        <f t="shared" ca="1" si="7"/>
        <v>120</v>
      </c>
      <c r="AB52" s="254">
        <f t="shared" ca="1" si="11"/>
        <v>160</v>
      </c>
      <c r="AC52" s="254">
        <f t="shared" ca="1" si="11"/>
        <v>160</v>
      </c>
      <c r="AD52" s="254">
        <f t="shared" ca="1" si="11"/>
        <v>160</v>
      </c>
    </row>
    <row r="53" spans="2:30" ht="11.25" customHeight="1">
      <c r="C53" s="291" t="str">
        <f t="shared" si="6"/>
        <v>Notes</v>
      </c>
      <c r="E53" s="277"/>
      <c r="F53" s="277"/>
      <c r="G53" s="277"/>
      <c r="H53" s="254"/>
      <c r="I53" s="283"/>
      <c r="J53" s="254"/>
      <c r="K53" s="254"/>
      <c r="L53" s="254"/>
      <c r="M53" s="254"/>
      <c r="N53" s="254"/>
      <c r="O53" s="254"/>
      <c r="P53" s="254"/>
      <c r="Q53" s="254"/>
      <c r="R53" s="254">
        <f t="shared" si="10"/>
        <v>4.4365600000000001</v>
      </c>
      <c r="S53" s="254">
        <f t="shared" si="10"/>
        <v>4.4365600000000001</v>
      </c>
      <c r="T53" s="254">
        <f t="shared" si="10"/>
        <v>4.4365600000000001</v>
      </c>
      <c r="U53" s="283"/>
      <c r="V53" s="283"/>
      <c r="W53" s="283"/>
      <c r="X53" s="283"/>
      <c r="AA53" s="255">
        <f t="shared" si="7"/>
        <v>13.30968</v>
      </c>
      <c r="AB53" s="254">
        <f t="shared" si="11"/>
        <v>17.74624</v>
      </c>
      <c r="AC53" s="254">
        <f t="shared" si="11"/>
        <v>17.74624</v>
      </c>
      <c r="AD53" s="254">
        <f t="shared" si="11"/>
        <v>17.74624</v>
      </c>
    </row>
    <row r="54" spans="2:30" ht="11.25" customHeight="1">
      <c r="C54" s="291" t="str">
        <f t="shared" si="6"/>
        <v>4.25% Senior Notes Due 2022</v>
      </c>
      <c r="E54" s="277"/>
      <c r="F54" s="277"/>
      <c r="G54" s="277"/>
      <c r="H54" s="254"/>
      <c r="I54" s="283"/>
      <c r="J54" s="254"/>
      <c r="K54" s="254"/>
      <c r="L54" s="254"/>
      <c r="M54" s="254"/>
      <c r="N54" s="254"/>
      <c r="O54" s="254"/>
      <c r="P54" s="254"/>
      <c r="Q54" s="254"/>
      <c r="R54" s="254">
        <f t="shared" si="10"/>
        <v>0</v>
      </c>
      <c r="S54" s="254">
        <f t="shared" si="10"/>
        <v>0</v>
      </c>
      <c r="T54" s="254">
        <f t="shared" si="10"/>
        <v>0</v>
      </c>
      <c r="U54" s="283"/>
      <c r="V54" s="283"/>
      <c r="W54" s="283"/>
      <c r="X54" s="283"/>
      <c r="AA54" s="255">
        <f t="shared" si="7"/>
        <v>0</v>
      </c>
      <c r="AB54" s="254">
        <f t="shared" ref="AB54:AD56" si="12">+IF(IF(AND($AF25&gt;AA$6,$AF25&lt;=AB$6),1,0)=1,AA25,0)</f>
        <v>0</v>
      </c>
      <c r="AC54" s="254">
        <f t="shared" si="12"/>
        <v>0</v>
      </c>
      <c r="AD54" s="254">
        <f t="shared" si="12"/>
        <v>0</v>
      </c>
    </row>
    <row r="55" spans="2:30" ht="11.25" customHeight="1">
      <c r="C55" s="291" t="str">
        <f t="shared" si="6"/>
        <v>5% Senior Notes Due 2024 *</v>
      </c>
      <c r="E55" s="277"/>
      <c r="F55" s="277"/>
      <c r="G55" s="277"/>
      <c r="H55" s="254"/>
      <c r="I55" s="283"/>
      <c r="J55" s="254"/>
      <c r="K55" s="254"/>
      <c r="L55" s="254"/>
      <c r="M55" s="254"/>
      <c r="N55" s="254"/>
      <c r="O55" s="254"/>
      <c r="P55" s="254"/>
      <c r="Q55" s="254"/>
      <c r="R55" s="254">
        <f t="shared" ca="1" si="10"/>
        <v>6</v>
      </c>
      <c r="S55" s="254">
        <f t="shared" ca="1" si="10"/>
        <v>6</v>
      </c>
      <c r="T55" s="254">
        <f t="shared" ca="1" si="10"/>
        <v>6</v>
      </c>
      <c r="U55" s="283"/>
      <c r="V55" s="283"/>
      <c r="W55" s="283"/>
      <c r="X55" s="283"/>
      <c r="AA55" s="255">
        <f t="shared" ca="1" si="7"/>
        <v>18</v>
      </c>
      <c r="AB55" s="254">
        <f t="shared" ref="AB55:AB60" ca="1" si="13">2%*$Q26*4</f>
        <v>24</v>
      </c>
      <c r="AC55" s="254">
        <f t="shared" ca="1" si="12"/>
        <v>258</v>
      </c>
      <c r="AD55" s="254">
        <f t="shared" si="12"/>
        <v>0</v>
      </c>
    </row>
    <row r="56" spans="2:30" ht="11.25" customHeight="1">
      <c r="C56" s="291" t="str">
        <f t="shared" si="6"/>
        <v>4.875% Senior Notes *</v>
      </c>
      <c r="E56" s="277"/>
      <c r="F56" s="277"/>
      <c r="G56" s="277"/>
      <c r="H56" s="254"/>
      <c r="I56" s="283"/>
      <c r="J56" s="254"/>
      <c r="K56" s="254"/>
      <c r="L56" s="254"/>
      <c r="M56" s="254"/>
      <c r="N56" s="254"/>
      <c r="O56" s="254"/>
      <c r="P56" s="254"/>
      <c r="Q56" s="254"/>
      <c r="R56" s="254">
        <f t="shared" ca="1" si="10"/>
        <v>7</v>
      </c>
      <c r="S56" s="254">
        <f t="shared" ca="1" si="10"/>
        <v>7</v>
      </c>
      <c r="T56" s="254">
        <f t="shared" ca="1" si="10"/>
        <v>7</v>
      </c>
      <c r="U56" s="283"/>
      <c r="V56" s="283"/>
      <c r="W56" s="283"/>
      <c r="X56" s="283"/>
      <c r="AA56" s="255">
        <f t="shared" ca="1" si="7"/>
        <v>21</v>
      </c>
      <c r="AB56" s="254">
        <f t="shared" ca="1" si="13"/>
        <v>28</v>
      </c>
      <c r="AC56" s="254">
        <f ca="1">2%*$Q27*4</f>
        <v>28</v>
      </c>
      <c r="AD56" s="254">
        <f t="shared" ca="1" si="12"/>
        <v>273</v>
      </c>
    </row>
    <row r="57" spans="2:30" ht="11.25" customHeight="1">
      <c r="C57" s="291" t="str">
        <f t="shared" si="6"/>
        <v>PSP Note - COVID19</v>
      </c>
      <c r="E57" s="277"/>
      <c r="F57" s="277"/>
      <c r="G57" s="277"/>
      <c r="H57" s="254"/>
      <c r="I57" s="283"/>
      <c r="J57" s="254"/>
      <c r="K57" s="254"/>
      <c r="L57" s="254"/>
      <c r="M57" s="254"/>
      <c r="N57" s="254"/>
      <c r="O57" s="254"/>
      <c r="P57" s="254"/>
      <c r="Q57" s="254"/>
      <c r="R57" s="254">
        <f t="shared" si="10"/>
        <v>30.02</v>
      </c>
      <c r="S57" s="254">
        <f t="shared" si="10"/>
        <v>30.02</v>
      </c>
      <c r="T57" s="254">
        <f t="shared" si="10"/>
        <v>30.02</v>
      </c>
      <c r="U57" s="283"/>
      <c r="V57" s="283"/>
      <c r="W57" s="283"/>
      <c r="X57" s="283"/>
      <c r="AA57" s="255">
        <f t="shared" si="7"/>
        <v>90.06</v>
      </c>
      <c r="AB57" s="254">
        <f t="shared" si="13"/>
        <v>120.08</v>
      </c>
      <c r="AC57" s="254">
        <f>2%*$Q28*4</f>
        <v>120.08</v>
      </c>
      <c r="AD57" s="254">
        <f>2%*$Q28*4</f>
        <v>120.08</v>
      </c>
    </row>
    <row r="58" spans="2:30" ht="11.25" customHeight="1">
      <c r="C58" s="291" t="str">
        <f t="shared" si="6"/>
        <v>Senior Unsecured Promissory Note</v>
      </c>
      <c r="E58" s="277"/>
      <c r="F58" s="277"/>
      <c r="G58" s="277"/>
      <c r="H58" s="254"/>
      <c r="I58" s="283"/>
      <c r="J58" s="254"/>
      <c r="K58" s="254"/>
      <c r="L58" s="254"/>
      <c r="M58" s="254"/>
      <c r="N58" s="254"/>
      <c r="O58" s="254"/>
      <c r="P58" s="254"/>
      <c r="Q58" s="254"/>
      <c r="R58" s="254">
        <f t="shared" si="10"/>
        <v>17.400000000000002</v>
      </c>
      <c r="S58" s="254">
        <f t="shared" si="10"/>
        <v>17.400000000000002</v>
      </c>
      <c r="T58" s="254">
        <f t="shared" si="10"/>
        <v>17.400000000000002</v>
      </c>
      <c r="U58" s="283"/>
      <c r="V58" s="283"/>
      <c r="W58" s="283"/>
      <c r="X58" s="283"/>
      <c r="AA58" s="255">
        <f t="shared" si="7"/>
        <v>52.2</v>
      </c>
      <c r="AB58" s="254">
        <f t="shared" si="13"/>
        <v>69.600000000000009</v>
      </c>
      <c r="AC58" s="254">
        <f>2%*$Q29*4</f>
        <v>69.600000000000009</v>
      </c>
      <c r="AD58" s="254">
        <f>2%*$Q29*4</f>
        <v>69.600000000000009</v>
      </c>
    </row>
    <row r="59" spans="2:30" ht="11.25" customHeight="1">
      <c r="C59" s="291" t="str">
        <f t="shared" si="6"/>
        <v>Senior Unsecured Promissory Note</v>
      </c>
      <c r="E59" s="277"/>
      <c r="F59" s="277"/>
      <c r="G59" s="277"/>
      <c r="H59" s="254"/>
      <c r="I59" s="283"/>
      <c r="J59" s="254"/>
      <c r="K59" s="254"/>
      <c r="L59" s="254"/>
      <c r="M59" s="254"/>
      <c r="N59" s="254"/>
      <c r="O59" s="254"/>
      <c r="P59" s="254"/>
      <c r="Q59" s="254"/>
      <c r="R59" s="254">
        <f t="shared" si="10"/>
        <v>16.2</v>
      </c>
      <c r="S59" s="254">
        <f t="shared" si="10"/>
        <v>16.2</v>
      </c>
      <c r="T59" s="254">
        <f t="shared" si="10"/>
        <v>16.2</v>
      </c>
      <c r="U59" s="283"/>
      <c r="V59" s="283"/>
      <c r="W59" s="283"/>
      <c r="X59" s="283"/>
      <c r="AA59" s="255">
        <f t="shared" si="7"/>
        <v>48.599999999999994</v>
      </c>
      <c r="AB59" s="254">
        <f t="shared" si="13"/>
        <v>64.8</v>
      </c>
      <c r="AC59" s="254">
        <f>2%*$Q30*4</f>
        <v>64.8</v>
      </c>
      <c r="AD59" s="254">
        <f>2%*$Q30*4</f>
        <v>64.8</v>
      </c>
    </row>
    <row r="60" spans="2:30" ht="11.25" customHeight="1">
      <c r="C60" s="291" t="str">
        <f t="shared" si="6"/>
        <v>Other unsecured debt</v>
      </c>
      <c r="E60" s="277"/>
      <c r="F60" s="277"/>
      <c r="G60" s="277"/>
      <c r="H60" s="254"/>
      <c r="I60" s="283"/>
      <c r="J60" s="254"/>
      <c r="K60" s="254"/>
      <c r="L60" s="254"/>
      <c r="M60" s="254"/>
      <c r="N60" s="254"/>
      <c r="O60" s="254"/>
      <c r="P60" s="254"/>
      <c r="Q60" s="254"/>
      <c r="R60" s="254">
        <f t="shared" si="10"/>
        <v>11.96</v>
      </c>
      <c r="S60" s="254">
        <f t="shared" si="10"/>
        <v>11.96</v>
      </c>
      <c r="T60" s="254">
        <f t="shared" si="10"/>
        <v>11.96</v>
      </c>
      <c r="U60" s="283"/>
      <c r="V60" s="283"/>
      <c r="W60" s="283"/>
      <c r="X60" s="283"/>
      <c r="AA60" s="255">
        <f>+SUMIF($E$5:$T$5,AA$5,$E60:$T60)</f>
        <v>35.880000000000003</v>
      </c>
      <c r="AB60" s="254">
        <f t="shared" si="13"/>
        <v>47.84</v>
      </c>
      <c r="AC60" s="254">
        <f>2%*$Q31*4</f>
        <v>47.84</v>
      </c>
      <c r="AD60" s="254">
        <f>2%*$Q31*4</f>
        <v>47.84</v>
      </c>
    </row>
    <row r="61" spans="2:30" s="283" customFormat="1" ht="11.25" customHeight="1">
      <c r="C61" s="289" t="s">
        <v>275</v>
      </c>
      <c r="E61" s="280"/>
      <c r="F61" s="280"/>
      <c r="G61" s="280"/>
      <c r="H61" s="280"/>
      <c r="J61" s="280"/>
      <c r="K61" s="280"/>
      <c r="L61" s="280"/>
      <c r="M61" s="280"/>
      <c r="N61" s="280"/>
      <c r="O61" s="280"/>
      <c r="P61" s="280"/>
      <c r="Q61" s="280"/>
      <c r="R61" s="357">
        <f ca="1">SUM(R39:R60)</f>
        <v>-591.87479046248711</v>
      </c>
      <c r="S61" s="357">
        <f ca="1">SUM(S39:S60)</f>
        <v>-264.68739751969866</v>
      </c>
      <c r="T61" s="357">
        <f ca="1">SUM(T39:T60)</f>
        <v>-640.9121320178142</v>
      </c>
      <c r="U61" s="280"/>
      <c r="V61" s="280"/>
      <c r="W61" s="280"/>
      <c r="X61" s="280"/>
      <c r="Y61" s="280"/>
      <c r="Z61" s="280"/>
      <c r="AA61" s="357">
        <f ca="1">SUM(AA39:AA60)</f>
        <v>-1497.47432</v>
      </c>
      <c r="AB61" s="357">
        <f ca="1">SUM(AB39:AB60)</f>
        <v>-2209.96576</v>
      </c>
      <c r="AC61" s="357">
        <f ca="1">SUM(AC39:AC60)</f>
        <v>224.0342400000001</v>
      </c>
      <c r="AD61" s="357">
        <f ca="1">SUM(AD39:AD60)</f>
        <v>311.03424000000007</v>
      </c>
    </row>
    <row r="62" spans="2:30" ht="11.25" customHeight="1">
      <c r="C62" s="289"/>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row>
    <row r="63" spans="2:30" ht="11.25" customHeight="1">
      <c r="B63" s="258" t="s">
        <v>133</v>
      </c>
      <c r="C63" s="259" t="s">
        <v>242</v>
      </c>
      <c r="D63" s="259"/>
      <c r="E63" s="259"/>
      <c r="F63" s="259"/>
      <c r="G63" s="259"/>
      <c r="H63" s="259"/>
      <c r="I63" s="259"/>
      <c r="J63" s="259"/>
      <c r="K63" s="259"/>
      <c r="L63" s="259"/>
      <c r="M63" s="259"/>
      <c r="N63" s="259"/>
      <c r="O63" s="259"/>
      <c r="P63" s="259"/>
      <c r="Q63" s="259"/>
      <c r="R63" s="259"/>
      <c r="S63" s="259"/>
      <c r="T63" s="259"/>
      <c r="V63" s="258"/>
      <c r="W63" s="258"/>
      <c r="X63" s="258"/>
      <c r="Y63" s="258"/>
      <c r="Z63" s="258"/>
      <c r="AA63" s="258"/>
      <c r="AB63" s="258"/>
      <c r="AC63" s="258"/>
      <c r="AD63" s="258"/>
    </row>
    <row r="65" spans="3:36" s="283" customFormat="1" ht="11.25" customHeight="1">
      <c r="C65" s="291" t="str">
        <f t="shared" ref="C65:C88" si="14">+$C10</f>
        <v>Term Loan</v>
      </c>
      <c r="E65" s="255"/>
      <c r="F65" s="255"/>
      <c r="G65" s="255"/>
      <c r="H65" s="255"/>
      <c r="I65" s="255"/>
      <c r="J65" s="255"/>
      <c r="K65" s="255"/>
      <c r="L65" s="255"/>
      <c r="M65" s="255"/>
      <c r="N65" s="255"/>
      <c r="O65" s="255"/>
      <c r="P65" s="255"/>
      <c r="Q65" s="255"/>
      <c r="R65" s="255">
        <f t="shared" ref="R65:T85" ca="1" si="15">+AVERAGE(Q10:R10)</f>
        <v>3793.75</v>
      </c>
      <c r="S65" s="255">
        <f t="shared" ca="1" si="15"/>
        <v>3781.25</v>
      </c>
      <c r="T65" s="255">
        <f t="shared" ca="1" si="15"/>
        <v>3768.75</v>
      </c>
      <c r="Y65" s="255"/>
      <c r="Z65" s="255"/>
      <c r="AA65" s="254"/>
      <c r="AB65" s="255">
        <f t="shared" ref="AB65:AD86" ca="1" si="16">+AVERAGE(AA10:AB10)</f>
        <v>3737.5</v>
      </c>
      <c r="AC65" s="255">
        <f t="shared" ca="1" si="16"/>
        <v>3687.5</v>
      </c>
      <c r="AD65" s="255">
        <f t="shared" ca="1" si="16"/>
        <v>3637.5</v>
      </c>
      <c r="AJ65" s="255"/>
    </row>
    <row r="66" spans="3:36" s="283" customFormat="1" ht="11.25" customHeight="1">
      <c r="C66" s="291" t="str">
        <f t="shared" si="14"/>
        <v xml:space="preserve">MileagePlus Term Loan Facility </v>
      </c>
      <c r="E66" s="255"/>
      <c r="F66" s="255"/>
      <c r="G66" s="255"/>
      <c r="H66" s="255"/>
      <c r="I66" s="255"/>
      <c r="J66" s="255"/>
      <c r="K66" s="255"/>
      <c r="L66" s="255"/>
      <c r="M66" s="255"/>
      <c r="N66" s="255"/>
      <c r="O66" s="255"/>
      <c r="P66" s="255"/>
      <c r="Q66" s="255"/>
      <c r="R66" s="255">
        <f t="shared" ca="1" si="15"/>
        <v>2000</v>
      </c>
      <c r="S66" s="255">
        <f t="shared" ca="1" si="15"/>
        <v>1925</v>
      </c>
      <c r="T66" s="255">
        <f t="shared" ca="1" si="15"/>
        <v>1775</v>
      </c>
      <c r="Y66" s="255"/>
      <c r="Z66" s="255"/>
      <c r="AA66" s="254"/>
      <c r="AB66" s="255">
        <f t="shared" ca="1" si="16"/>
        <v>1400</v>
      </c>
      <c r="AC66" s="255">
        <f t="shared" ca="1" si="16"/>
        <v>800</v>
      </c>
      <c r="AD66" s="255">
        <f t="shared" ca="1" si="16"/>
        <v>200</v>
      </c>
      <c r="AJ66" s="255"/>
    </row>
    <row r="67" spans="3:36" s="283" customFormat="1" ht="11.25" customHeight="1">
      <c r="C67" s="291" t="str">
        <f t="shared" si="14"/>
        <v>MileagePlus Senior Secured Notes</v>
      </c>
      <c r="E67" s="255"/>
      <c r="F67" s="255"/>
      <c r="G67" s="255"/>
      <c r="H67" s="255"/>
      <c r="I67" s="255"/>
      <c r="J67" s="255"/>
      <c r="K67" s="255"/>
      <c r="L67" s="255"/>
      <c r="M67" s="255"/>
      <c r="N67" s="255"/>
      <c r="O67" s="255"/>
      <c r="P67" s="255"/>
      <c r="Q67" s="255"/>
      <c r="R67" s="255">
        <f t="shared" ca="1" si="15"/>
        <v>2000</v>
      </c>
      <c r="S67" s="255">
        <f t="shared" ca="1" si="15"/>
        <v>1905</v>
      </c>
      <c r="T67" s="255">
        <f t="shared" ca="1" si="15"/>
        <v>1715</v>
      </c>
      <c r="Y67" s="255"/>
      <c r="Z67" s="255"/>
      <c r="AA67" s="254"/>
      <c r="AB67" s="255">
        <f t="shared" ca="1" si="16"/>
        <v>1240</v>
      </c>
      <c r="AC67" s="255">
        <f t="shared" ca="1" si="16"/>
        <v>480</v>
      </c>
      <c r="AD67" s="255">
        <f t="shared" ca="1" si="16"/>
        <v>-280</v>
      </c>
      <c r="AJ67" s="255"/>
    </row>
    <row r="68" spans="3:36" s="283" customFormat="1" ht="11.25" customHeight="1">
      <c r="C68" s="291" t="str">
        <f t="shared" si="14"/>
        <v>Enhanced Equipment Trust Certificate</v>
      </c>
      <c r="E68" s="255"/>
      <c r="F68" s="255"/>
      <c r="G68" s="255"/>
      <c r="H68" s="255"/>
      <c r="I68" s="255"/>
      <c r="J68" s="255"/>
      <c r="K68" s="255"/>
      <c r="L68" s="255"/>
      <c r="M68" s="255"/>
      <c r="N68" s="255"/>
      <c r="O68" s="255"/>
      <c r="P68" s="255"/>
      <c r="Q68" s="255"/>
      <c r="R68" s="255">
        <f t="shared" si="15"/>
        <v>694.98</v>
      </c>
      <c r="S68" s="255">
        <f t="shared" si="15"/>
        <v>680.94</v>
      </c>
      <c r="T68" s="255">
        <f t="shared" si="15"/>
        <v>666.90000000000009</v>
      </c>
      <c r="Y68" s="255"/>
      <c r="Z68" s="255"/>
      <c r="AA68" s="254"/>
      <c r="AB68" s="255">
        <f t="shared" si="16"/>
        <v>631.80000000000018</v>
      </c>
      <c r="AC68" s="255">
        <f t="shared" si="16"/>
        <v>575.6400000000001</v>
      </c>
      <c r="AD68" s="255">
        <f t="shared" si="16"/>
        <v>519.48000000000013</v>
      </c>
      <c r="AJ68" s="255"/>
    </row>
    <row r="69" spans="3:36" s="283" customFormat="1" ht="11.25" customHeight="1">
      <c r="C69" s="291" t="str">
        <f t="shared" si="14"/>
        <v>Enhanced Equipment Trust Certificate</v>
      </c>
      <c r="E69" s="255"/>
      <c r="F69" s="255"/>
      <c r="G69" s="255"/>
      <c r="H69" s="255"/>
      <c r="I69" s="255"/>
      <c r="J69" s="255"/>
      <c r="K69" s="255"/>
      <c r="L69" s="255"/>
      <c r="M69" s="255"/>
      <c r="N69" s="255"/>
      <c r="O69" s="255"/>
      <c r="P69" s="255"/>
      <c r="Q69" s="255"/>
      <c r="R69" s="255">
        <f t="shared" ca="1" si="15"/>
        <v>297</v>
      </c>
      <c r="S69" s="255">
        <f t="shared" ca="1" si="15"/>
        <v>291</v>
      </c>
      <c r="T69" s="255">
        <f t="shared" ca="1" si="15"/>
        <v>285</v>
      </c>
      <c r="Y69" s="255"/>
      <c r="Z69" s="255"/>
      <c r="AA69" s="254"/>
      <c r="AB69" s="255">
        <f t="shared" ca="1" si="16"/>
        <v>270</v>
      </c>
      <c r="AC69" s="255">
        <f t="shared" ca="1" si="16"/>
        <v>246</v>
      </c>
      <c r="AD69" s="255">
        <f t="shared" ca="1" si="16"/>
        <v>222</v>
      </c>
      <c r="AJ69" s="255"/>
    </row>
    <row r="70" spans="3:36" s="283" customFormat="1" ht="11.25" customHeight="1">
      <c r="C70" s="291" t="str">
        <f t="shared" si="14"/>
        <v>Enhanced Equipment Trust Certificate</v>
      </c>
      <c r="E70" s="255"/>
      <c r="F70" s="255"/>
      <c r="G70" s="255"/>
      <c r="H70" s="255"/>
      <c r="I70" s="255"/>
      <c r="J70" s="255"/>
      <c r="K70" s="255"/>
      <c r="L70" s="255"/>
      <c r="M70" s="255"/>
      <c r="N70" s="255"/>
      <c r="O70" s="255"/>
      <c r="P70" s="255"/>
      <c r="Q70" s="255"/>
      <c r="R70" s="255">
        <f t="shared" ca="1" si="15"/>
        <v>472.82400000000001</v>
      </c>
      <c r="S70" s="255">
        <f t="shared" ca="1" si="15"/>
        <v>463.27199999999999</v>
      </c>
      <c r="T70" s="255">
        <f t="shared" ca="1" si="15"/>
        <v>453.71999999999997</v>
      </c>
      <c r="Y70" s="255"/>
      <c r="Z70" s="255"/>
      <c r="AA70" s="254"/>
      <c r="AB70" s="255">
        <f t="shared" ca="1" si="16"/>
        <v>429.83999999999992</v>
      </c>
      <c r="AC70" s="255">
        <f t="shared" ca="1" si="16"/>
        <v>391.63199999999995</v>
      </c>
      <c r="AD70" s="255">
        <f t="shared" ca="1" si="16"/>
        <v>353.42399999999986</v>
      </c>
      <c r="AJ70" s="255"/>
    </row>
    <row r="71" spans="3:36" s="283" customFormat="1" ht="11.25" customHeight="1">
      <c r="C71" s="291" t="str">
        <f t="shared" si="14"/>
        <v>Enhanced Equipment Trust Certificate</v>
      </c>
      <c r="E71" s="255"/>
      <c r="F71" s="255"/>
      <c r="G71" s="255"/>
      <c r="H71" s="255"/>
      <c r="I71" s="255"/>
      <c r="J71" s="255"/>
      <c r="K71" s="255"/>
      <c r="L71" s="255"/>
      <c r="M71" s="255"/>
      <c r="N71" s="255"/>
      <c r="O71" s="255"/>
      <c r="P71" s="255"/>
      <c r="Q71" s="255"/>
      <c r="R71" s="255">
        <f t="shared" si="15"/>
        <v>229.68</v>
      </c>
      <c r="S71" s="255">
        <f t="shared" si="15"/>
        <v>225.04000000000002</v>
      </c>
      <c r="T71" s="255">
        <f t="shared" si="15"/>
        <v>220.40000000000003</v>
      </c>
      <c r="Y71" s="255"/>
      <c r="Z71" s="255"/>
      <c r="AA71" s="254"/>
      <c r="AB71" s="255">
        <f t="shared" si="16"/>
        <v>208.80000000000004</v>
      </c>
      <c r="AC71" s="255">
        <f t="shared" si="16"/>
        <v>190.24000000000004</v>
      </c>
      <c r="AD71" s="255">
        <f t="shared" si="16"/>
        <v>171.68000000000004</v>
      </c>
      <c r="AJ71" s="255"/>
    </row>
    <row r="72" spans="3:36" s="283" customFormat="1" ht="11.25" customHeight="1">
      <c r="C72" s="291" t="str">
        <f t="shared" si="14"/>
        <v>Enhanced Equipment Trust Certificate</v>
      </c>
      <c r="E72" s="255"/>
      <c r="F72" s="255"/>
      <c r="G72" s="255"/>
      <c r="H72" s="255"/>
      <c r="I72" s="255"/>
      <c r="J72" s="255"/>
      <c r="K72" s="255"/>
      <c r="L72" s="255"/>
      <c r="M72" s="255"/>
      <c r="N72" s="255"/>
      <c r="O72" s="255"/>
      <c r="P72" s="255"/>
      <c r="Q72" s="255"/>
      <c r="R72" s="255">
        <f t="shared" si="15"/>
        <v>2970</v>
      </c>
      <c r="S72" s="255">
        <f t="shared" si="15"/>
        <v>2910</v>
      </c>
      <c r="T72" s="255">
        <f t="shared" si="15"/>
        <v>2850</v>
      </c>
      <c r="Y72" s="255"/>
      <c r="Z72" s="255"/>
      <c r="AA72" s="254"/>
      <c r="AB72" s="255">
        <f t="shared" si="16"/>
        <v>2700</v>
      </c>
      <c r="AC72" s="255">
        <f t="shared" si="16"/>
        <v>2460</v>
      </c>
      <c r="AD72" s="255">
        <f t="shared" si="16"/>
        <v>2220</v>
      </c>
      <c r="AJ72" s="255"/>
    </row>
    <row r="73" spans="3:36" s="283" customFormat="1" ht="11.25" customHeight="1">
      <c r="C73" s="291" t="str">
        <f t="shared" si="14"/>
        <v>Enhanced Equipment Trust Certificate</v>
      </c>
      <c r="E73" s="255"/>
      <c r="F73" s="255"/>
      <c r="G73" s="255"/>
      <c r="H73" s="255"/>
      <c r="I73" s="255"/>
      <c r="J73" s="255"/>
      <c r="K73" s="255"/>
      <c r="L73" s="255"/>
      <c r="M73" s="255"/>
      <c r="N73" s="255"/>
      <c r="O73" s="255"/>
      <c r="P73" s="255"/>
      <c r="Q73" s="255"/>
      <c r="R73" s="255">
        <f t="shared" si="15"/>
        <v>103.95</v>
      </c>
      <c r="S73" s="255">
        <f t="shared" si="15"/>
        <v>101.85000000000001</v>
      </c>
      <c r="T73" s="255">
        <f t="shared" si="15"/>
        <v>99.750000000000014</v>
      </c>
      <c r="Y73" s="255"/>
      <c r="Z73" s="255"/>
      <c r="AA73" s="254"/>
      <c r="AB73" s="255">
        <f t="shared" si="16"/>
        <v>94.500000000000014</v>
      </c>
      <c r="AC73" s="255">
        <f t="shared" si="16"/>
        <v>86.100000000000009</v>
      </c>
      <c r="AD73" s="255">
        <f t="shared" si="16"/>
        <v>77.7</v>
      </c>
      <c r="AJ73" s="255"/>
    </row>
    <row r="74" spans="3:36" s="283" customFormat="1" ht="11.25" customHeight="1">
      <c r="C74" s="291" t="str">
        <f t="shared" si="14"/>
        <v>Enhanced Equipment Trust Certificate</v>
      </c>
      <c r="E74" s="255"/>
      <c r="F74" s="255"/>
      <c r="G74" s="255"/>
      <c r="H74" s="255"/>
      <c r="I74" s="255"/>
      <c r="J74" s="255"/>
      <c r="K74" s="255"/>
      <c r="L74" s="255"/>
      <c r="M74" s="255"/>
      <c r="N74" s="255"/>
      <c r="O74" s="255"/>
      <c r="P74" s="255"/>
      <c r="Q74" s="255"/>
      <c r="R74" s="255">
        <f t="shared" si="15"/>
        <v>7696.26</v>
      </c>
      <c r="S74" s="255">
        <f t="shared" si="15"/>
        <v>7540.7800000000007</v>
      </c>
      <c r="T74" s="255">
        <f t="shared" si="15"/>
        <v>7385.3000000000011</v>
      </c>
      <c r="Y74" s="255"/>
      <c r="Z74" s="255"/>
      <c r="AA74" s="254"/>
      <c r="AB74" s="255">
        <f t="shared" si="16"/>
        <v>6996.6000000000013</v>
      </c>
      <c r="AC74" s="255">
        <f t="shared" si="16"/>
        <v>6374.6800000000012</v>
      </c>
      <c r="AD74" s="255">
        <f t="shared" si="16"/>
        <v>5752.7600000000011</v>
      </c>
      <c r="AJ74" s="255"/>
    </row>
    <row r="75" spans="3:36" s="283" customFormat="1" ht="11.25" customHeight="1">
      <c r="C75" s="291" t="str">
        <f t="shared" si="14"/>
        <v>New Aircraft Notes</v>
      </c>
      <c r="E75" s="255"/>
      <c r="F75" s="255"/>
      <c r="G75" s="255"/>
      <c r="H75" s="255"/>
      <c r="I75" s="255"/>
      <c r="J75" s="255"/>
      <c r="K75" s="255"/>
      <c r="L75" s="255"/>
      <c r="M75" s="255"/>
      <c r="N75" s="255"/>
      <c r="O75" s="255"/>
      <c r="P75" s="255"/>
      <c r="Q75" s="255"/>
      <c r="R75" s="255">
        <f t="shared" si="15"/>
        <v>499.69167523124355</v>
      </c>
      <c r="S75" s="255">
        <f t="shared" si="15"/>
        <v>1505.4813292223364</v>
      </c>
      <c r="T75" s="255">
        <f t="shared" si="15"/>
        <v>2705.7896539910926</v>
      </c>
      <c r="Y75" s="255"/>
      <c r="Z75" s="255"/>
      <c r="AA75" s="254"/>
      <c r="AB75" s="255">
        <f t="shared" si="16"/>
        <v>6000</v>
      </c>
      <c r="AC75" s="255">
        <f t="shared" si="16"/>
        <v>10100</v>
      </c>
      <c r="AD75" s="255">
        <f t="shared" si="16"/>
        <v>13050</v>
      </c>
      <c r="AJ75" s="255"/>
    </row>
    <row r="76" spans="3:36" s="283" customFormat="1" ht="11.25" customHeight="1">
      <c r="C76" s="291" t="str">
        <f t="shared" si="14"/>
        <v>Special Facility Revenue Bonds</v>
      </c>
      <c r="E76" s="255"/>
      <c r="F76" s="255"/>
      <c r="G76" s="255"/>
      <c r="H76" s="255"/>
      <c r="I76" s="255"/>
      <c r="J76" s="255"/>
      <c r="K76" s="255"/>
      <c r="L76" s="255"/>
      <c r="M76" s="255"/>
      <c r="N76" s="255"/>
      <c r="O76" s="255"/>
      <c r="P76" s="255"/>
      <c r="Q76" s="255"/>
      <c r="R76" s="255">
        <f t="shared" si="15"/>
        <v>157.41</v>
      </c>
      <c r="S76" s="255">
        <f t="shared" si="15"/>
        <v>154.22999999999999</v>
      </c>
      <c r="T76" s="255">
        <f t="shared" si="15"/>
        <v>151.04999999999998</v>
      </c>
      <c r="Y76" s="255"/>
      <c r="Z76" s="255"/>
      <c r="AA76" s="254"/>
      <c r="AB76" s="255">
        <f t="shared" si="16"/>
        <v>143.09999999999997</v>
      </c>
      <c r="AC76" s="255">
        <f t="shared" si="16"/>
        <v>130.38</v>
      </c>
      <c r="AD76" s="255">
        <f t="shared" si="16"/>
        <v>117.65999999999998</v>
      </c>
      <c r="AJ76" s="255"/>
    </row>
    <row r="77" spans="3:36" s="283" customFormat="1" ht="11.25" customHeight="1">
      <c r="C77" s="291" t="str">
        <f t="shared" si="14"/>
        <v>4.375% Senior Secured Notes Due 2026</v>
      </c>
      <c r="E77" s="255"/>
      <c r="F77" s="255"/>
      <c r="G77" s="255"/>
      <c r="H77" s="255"/>
      <c r="I77" s="255"/>
      <c r="J77" s="255"/>
      <c r="K77" s="255"/>
      <c r="L77" s="255"/>
      <c r="M77" s="255"/>
      <c r="N77" s="255"/>
      <c r="O77" s="255"/>
      <c r="P77" s="255"/>
      <c r="Q77" s="255"/>
      <c r="R77" s="255">
        <f t="shared" ca="1" si="15"/>
        <v>346.5</v>
      </c>
      <c r="S77" s="255">
        <f t="shared" ca="1" si="15"/>
        <v>339.5</v>
      </c>
      <c r="T77" s="255">
        <f t="shared" ca="1" si="15"/>
        <v>332.5</v>
      </c>
      <c r="Y77" s="255"/>
      <c r="Z77" s="255"/>
      <c r="AA77" s="254"/>
      <c r="AB77" s="255">
        <f t="shared" ca="1" si="16"/>
        <v>315</v>
      </c>
      <c r="AC77" s="255">
        <f t="shared" ca="1" si="16"/>
        <v>287</v>
      </c>
      <c r="AD77" s="255">
        <f t="shared" ca="1" si="16"/>
        <v>259</v>
      </c>
      <c r="AJ77" s="255"/>
    </row>
    <row r="78" spans="3:36" s="283" customFormat="1" ht="11.25" customHeight="1">
      <c r="C78" s="291" t="str">
        <f t="shared" si="14"/>
        <v>4.625% Senior Secured Notes Due 2029</v>
      </c>
      <c r="E78" s="255"/>
      <c r="F78" s="255"/>
      <c r="G78" s="255"/>
      <c r="H78" s="255"/>
      <c r="I78" s="255"/>
      <c r="J78" s="255"/>
      <c r="K78" s="255"/>
      <c r="L78" s="255"/>
      <c r="M78" s="255"/>
      <c r="N78" s="255"/>
      <c r="O78" s="255"/>
      <c r="P78" s="255"/>
      <c r="Q78" s="255"/>
      <c r="R78" s="255">
        <f t="shared" ca="1" si="15"/>
        <v>1980</v>
      </c>
      <c r="S78" s="255">
        <f t="shared" ca="1" si="15"/>
        <v>1940</v>
      </c>
      <c r="T78" s="255">
        <f t="shared" ca="1" si="15"/>
        <v>1900</v>
      </c>
      <c r="Y78" s="255"/>
      <c r="Z78" s="255"/>
      <c r="AA78" s="254"/>
      <c r="AB78" s="255">
        <f t="shared" ca="1" si="16"/>
        <v>1800</v>
      </c>
      <c r="AC78" s="255">
        <f t="shared" ca="1" si="16"/>
        <v>1640</v>
      </c>
      <c r="AD78" s="255">
        <f t="shared" ca="1" si="16"/>
        <v>1480</v>
      </c>
      <c r="AJ78" s="255"/>
    </row>
    <row r="79" spans="3:36" s="283" customFormat="1" ht="11.25" customHeight="1">
      <c r="C79" s="291" t="str">
        <f t="shared" si="14"/>
        <v>Notes</v>
      </c>
      <c r="E79" s="255"/>
      <c r="F79" s="255"/>
      <c r="G79" s="255"/>
      <c r="H79" s="255"/>
      <c r="I79" s="255"/>
      <c r="J79" s="255"/>
      <c r="K79" s="255"/>
      <c r="L79" s="255"/>
      <c r="M79" s="255"/>
      <c r="N79" s="255"/>
      <c r="O79" s="255"/>
      <c r="P79" s="255"/>
      <c r="Q79" s="255"/>
      <c r="R79" s="255">
        <f t="shared" si="15"/>
        <v>219.60971999999998</v>
      </c>
      <c r="S79" s="255">
        <f t="shared" si="15"/>
        <v>215.17316</v>
      </c>
      <c r="T79" s="255">
        <f t="shared" si="15"/>
        <v>210.73660000000001</v>
      </c>
      <c r="Y79" s="255"/>
      <c r="Z79" s="255"/>
      <c r="AA79" s="254"/>
      <c r="AB79" s="255">
        <f t="shared" si="16"/>
        <v>199.64520000000002</v>
      </c>
      <c r="AC79" s="255">
        <f t="shared" si="16"/>
        <v>181.89896000000002</v>
      </c>
      <c r="AD79" s="255">
        <f t="shared" si="16"/>
        <v>164.15272000000002</v>
      </c>
      <c r="AJ79" s="255"/>
    </row>
    <row r="80" spans="3:36" s="283" customFormat="1" ht="11.25" customHeight="1">
      <c r="C80" s="291" t="str">
        <f t="shared" si="14"/>
        <v>4.25% Senior Notes Due 2022</v>
      </c>
      <c r="E80" s="255"/>
      <c r="F80" s="255"/>
      <c r="G80" s="255"/>
      <c r="H80" s="255"/>
      <c r="I80" s="255"/>
      <c r="J80" s="255"/>
      <c r="K80" s="255"/>
      <c r="L80" s="255"/>
      <c r="M80" s="255"/>
      <c r="N80" s="255"/>
      <c r="O80" s="255"/>
      <c r="P80" s="255"/>
      <c r="Q80" s="255"/>
      <c r="R80" s="255">
        <f t="shared" si="15"/>
        <v>0</v>
      </c>
      <c r="S80" s="255">
        <f t="shared" si="15"/>
        <v>0</v>
      </c>
      <c r="T80" s="255">
        <f t="shared" si="15"/>
        <v>0</v>
      </c>
      <c r="Y80" s="255"/>
      <c r="Z80" s="255"/>
      <c r="AA80" s="254"/>
      <c r="AB80" s="255">
        <f t="shared" si="16"/>
        <v>0</v>
      </c>
      <c r="AC80" s="255">
        <f t="shared" si="16"/>
        <v>0</v>
      </c>
      <c r="AD80" s="255">
        <f t="shared" si="16"/>
        <v>0</v>
      </c>
      <c r="AJ80" s="255"/>
    </row>
    <row r="81" spans="2:36" s="283" customFormat="1" ht="11.25" customHeight="1">
      <c r="C81" s="291" t="str">
        <f t="shared" si="14"/>
        <v>5% Senior Notes Due 2024 *</v>
      </c>
      <c r="E81" s="255"/>
      <c r="F81" s="255"/>
      <c r="G81" s="255"/>
      <c r="H81" s="255"/>
      <c r="I81" s="255"/>
      <c r="J81" s="255"/>
      <c r="K81" s="255"/>
      <c r="L81" s="255"/>
      <c r="M81" s="255"/>
      <c r="N81" s="255"/>
      <c r="O81" s="255"/>
      <c r="P81" s="255"/>
      <c r="Q81" s="255"/>
      <c r="R81" s="255">
        <f t="shared" ca="1" si="15"/>
        <v>297</v>
      </c>
      <c r="S81" s="255">
        <f t="shared" ca="1" si="15"/>
        <v>291</v>
      </c>
      <c r="T81" s="255">
        <f t="shared" ca="1" si="15"/>
        <v>285</v>
      </c>
      <c r="Y81" s="255"/>
      <c r="Z81" s="255"/>
      <c r="AA81" s="254"/>
      <c r="AB81" s="255">
        <f t="shared" ca="1" si="16"/>
        <v>270</v>
      </c>
      <c r="AC81" s="255">
        <f t="shared" ca="1" si="16"/>
        <v>129</v>
      </c>
      <c r="AD81" s="255">
        <f t="shared" ca="1" si="16"/>
        <v>0</v>
      </c>
      <c r="AJ81" s="255"/>
    </row>
    <row r="82" spans="2:36" s="283" customFormat="1" ht="11.25" customHeight="1">
      <c r="C82" s="291" t="str">
        <f t="shared" si="14"/>
        <v>4.875% Senior Notes *</v>
      </c>
      <c r="E82" s="255"/>
      <c r="F82" s="255"/>
      <c r="G82" s="255"/>
      <c r="H82" s="255"/>
      <c r="I82" s="255"/>
      <c r="J82" s="255"/>
      <c r="K82" s="255"/>
      <c r="L82" s="255"/>
      <c r="M82" s="255"/>
      <c r="N82" s="255"/>
      <c r="O82" s="255"/>
      <c r="P82" s="255"/>
      <c r="Q82" s="255"/>
      <c r="R82" s="255">
        <f t="shared" ca="1" si="15"/>
        <v>346.5</v>
      </c>
      <c r="S82" s="255">
        <f t="shared" ca="1" si="15"/>
        <v>339.5</v>
      </c>
      <c r="T82" s="255">
        <f t="shared" ca="1" si="15"/>
        <v>332.5</v>
      </c>
      <c r="Y82" s="255"/>
      <c r="Z82" s="255"/>
      <c r="AA82" s="254"/>
      <c r="AB82" s="255">
        <f t="shared" ca="1" si="16"/>
        <v>315</v>
      </c>
      <c r="AC82" s="255">
        <f t="shared" ca="1" si="16"/>
        <v>287</v>
      </c>
      <c r="AD82" s="255">
        <f t="shared" ca="1" si="16"/>
        <v>136.5</v>
      </c>
      <c r="AJ82" s="255"/>
    </row>
    <row r="83" spans="2:36" s="283" customFormat="1" ht="11.25" customHeight="1">
      <c r="C83" s="291" t="str">
        <f t="shared" si="14"/>
        <v>PSP Note - COVID19</v>
      </c>
      <c r="E83" s="255"/>
      <c r="F83" s="255"/>
      <c r="G83" s="255"/>
      <c r="H83" s="255"/>
      <c r="I83" s="255"/>
      <c r="J83" s="255"/>
      <c r="K83" s="255"/>
      <c r="L83" s="255"/>
      <c r="M83" s="255"/>
      <c r="N83" s="255"/>
      <c r="O83" s="255"/>
      <c r="P83" s="255"/>
      <c r="Q83" s="255"/>
      <c r="R83" s="255">
        <f t="shared" si="15"/>
        <v>1485.99</v>
      </c>
      <c r="S83" s="255">
        <f t="shared" si="15"/>
        <v>1455.97</v>
      </c>
      <c r="T83" s="255">
        <f t="shared" si="15"/>
        <v>1425.95</v>
      </c>
      <c r="Y83" s="255"/>
      <c r="Z83" s="255"/>
      <c r="AA83" s="254"/>
      <c r="AB83" s="255">
        <f t="shared" si="16"/>
        <v>1350.9</v>
      </c>
      <c r="AC83" s="255">
        <f t="shared" si="16"/>
        <v>1230.8200000000002</v>
      </c>
      <c r="AD83" s="255">
        <f t="shared" si="16"/>
        <v>1110.7400000000002</v>
      </c>
      <c r="AJ83" s="255"/>
    </row>
    <row r="84" spans="2:36" s="283" customFormat="1" ht="11.25" customHeight="1">
      <c r="C84" s="291" t="str">
        <f t="shared" si="14"/>
        <v>Senior Unsecured Promissory Note</v>
      </c>
      <c r="E84" s="255"/>
      <c r="F84" s="255"/>
      <c r="G84" s="255"/>
      <c r="H84" s="255"/>
      <c r="I84" s="255"/>
      <c r="J84" s="255"/>
      <c r="K84" s="255"/>
      <c r="L84" s="255"/>
      <c r="M84" s="255"/>
      <c r="N84" s="255"/>
      <c r="O84" s="255"/>
      <c r="P84" s="255"/>
      <c r="Q84" s="255"/>
      <c r="R84" s="255">
        <f t="shared" si="15"/>
        <v>861.3</v>
      </c>
      <c r="S84" s="255">
        <f t="shared" si="15"/>
        <v>843.90000000000009</v>
      </c>
      <c r="T84" s="255">
        <f t="shared" si="15"/>
        <v>826.5</v>
      </c>
      <c r="Y84" s="255"/>
      <c r="Z84" s="255"/>
      <c r="AA84" s="254"/>
      <c r="AB84" s="255">
        <f t="shared" si="16"/>
        <v>783</v>
      </c>
      <c r="AC84" s="255">
        <f t="shared" si="16"/>
        <v>713.40000000000009</v>
      </c>
      <c r="AD84" s="255">
        <f t="shared" si="16"/>
        <v>643.79999999999995</v>
      </c>
      <c r="AJ84" s="255"/>
    </row>
    <row r="85" spans="2:36" s="283" customFormat="1" ht="11.25" customHeight="1">
      <c r="C85" s="291" t="str">
        <f t="shared" si="14"/>
        <v>Senior Unsecured Promissory Note</v>
      </c>
      <c r="E85" s="255"/>
      <c r="F85" s="255"/>
      <c r="G85" s="255"/>
      <c r="H85" s="255"/>
      <c r="I85" s="255"/>
      <c r="J85" s="255"/>
      <c r="K85" s="255"/>
      <c r="L85" s="255"/>
      <c r="M85" s="255"/>
      <c r="N85" s="255"/>
      <c r="O85" s="255"/>
      <c r="P85" s="255"/>
      <c r="Q85" s="255"/>
      <c r="R85" s="255">
        <f t="shared" si="15"/>
        <v>801.9</v>
      </c>
      <c r="S85" s="255">
        <f t="shared" si="15"/>
        <v>785.69999999999993</v>
      </c>
      <c r="T85" s="255">
        <f t="shared" si="15"/>
        <v>769.49999999999989</v>
      </c>
      <c r="Y85" s="255"/>
      <c r="Z85" s="255"/>
      <c r="AA85" s="254"/>
      <c r="AB85" s="255">
        <f t="shared" si="16"/>
        <v>728.99999999999989</v>
      </c>
      <c r="AC85" s="255">
        <f t="shared" si="16"/>
        <v>664.19999999999993</v>
      </c>
      <c r="AD85" s="255">
        <f t="shared" si="16"/>
        <v>599.4</v>
      </c>
      <c r="AJ85" s="255"/>
    </row>
    <row r="86" spans="2:36" s="283" customFormat="1" ht="11.25" customHeight="1">
      <c r="C86" s="291" t="str">
        <f t="shared" si="14"/>
        <v>Other unsecured debt</v>
      </c>
      <c r="E86" s="255"/>
      <c r="F86" s="255"/>
      <c r="G86" s="255"/>
      <c r="H86" s="255"/>
      <c r="I86" s="255"/>
      <c r="J86" s="255"/>
      <c r="K86" s="255"/>
      <c r="L86" s="255"/>
      <c r="M86" s="255"/>
      <c r="N86" s="255"/>
      <c r="O86" s="255"/>
      <c r="P86" s="255"/>
      <c r="Q86" s="255"/>
      <c r="R86" s="255">
        <f>+AVERAGE(Q31:R31)</f>
        <v>592.02</v>
      </c>
      <c r="S86" s="255">
        <f>+AVERAGE(R31:S31)</f>
        <v>580.05999999999995</v>
      </c>
      <c r="T86" s="255">
        <f>+AVERAGE(S31:T31)</f>
        <v>568.09999999999991</v>
      </c>
      <c r="Y86" s="255"/>
      <c r="Z86" s="255"/>
      <c r="AA86" s="254"/>
      <c r="AB86" s="255">
        <f t="shared" si="16"/>
        <v>538.19999999999982</v>
      </c>
      <c r="AC86" s="255">
        <f t="shared" si="16"/>
        <v>490.35999999999984</v>
      </c>
      <c r="AD86" s="255">
        <f t="shared" si="16"/>
        <v>442.51999999999981</v>
      </c>
      <c r="AJ86" s="255"/>
    </row>
    <row r="87" spans="2:36" ht="11.25" customHeight="1">
      <c r="C87" s="291" t="str">
        <f t="shared" si="14"/>
        <v>Credit Facility</v>
      </c>
      <c r="R87" s="255">
        <f t="shared" ref="R87:T88" ca="1" si="17">+AVERAGE(Q32:R32)</f>
        <v>0</v>
      </c>
      <c r="S87" s="255">
        <f t="shared" ca="1" si="17"/>
        <v>0</v>
      </c>
      <c r="T87" s="255">
        <f t="shared" ca="1" si="17"/>
        <v>0</v>
      </c>
      <c r="AA87" s="254"/>
      <c r="AB87" s="255">
        <f t="shared" ref="AB87:AD88" ca="1" si="18">+AVERAGE(AA32:AB32)</f>
        <v>0</v>
      </c>
      <c r="AC87" s="255">
        <f t="shared" ca="1" si="18"/>
        <v>0</v>
      </c>
      <c r="AD87" s="255">
        <f t="shared" ca="1" si="18"/>
        <v>0</v>
      </c>
    </row>
    <row r="88" spans="2:36" s="283" customFormat="1" ht="11.25" customHeight="1">
      <c r="C88" s="291" t="str">
        <f t="shared" si="14"/>
        <v>Additional Drawdown</v>
      </c>
      <c r="E88" s="255"/>
      <c r="F88" s="255"/>
      <c r="G88" s="255"/>
      <c r="H88" s="255"/>
      <c r="I88" s="255"/>
      <c r="J88" s="255"/>
      <c r="K88" s="255"/>
      <c r="L88" s="255"/>
      <c r="M88" s="255"/>
      <c r="N88" s="255"/>
      <c r="O88" s="255"/>
      <c r="P88" s="255"/>
      <c r="Q88" s="255"/>
      <c r="R88" s="255">
        <f t="shared" ca="1" si="17"/>
        <v>0</v>
      </c>
      <c r="S88" s="255">
        <f t="shared" ca="1" si="17"/>
        <v>0</v>
      </c>
      <c r="T88" s="255">
        <f t="shared" ca="1" si="17"/>
        <v>0</v>
      </c>
      <c r="Y88" s="255"/>
      <c r="Z88" s="255"/>
      <c r="AA88" s="254"/>
      <c r="AB88" s="255">
        <f t="shared" ca="1" si="18"/>
        <v>0</v>
      </c>
      <c r="AC88" s="255">
        <f t="shared" ca="1" si="18"/>
        <v>0</v>
      </c>
      <c r="AD88" s="255">
        <f t="shared" ca="1" si="18"/>
        <v>0</v>
      </c>
      <c r="AJ88" s="255"/>
    </row>
    <row r="89" spans="2:36" s="283" customFormat="1" ht="11.25" customHeight="1">
      <c r="C89" s="286" t="s">
        <v>277</v>
      </c>
      <c r="E89" s="280"/>
      <c r="F89" s="280"/>
      <c r="G89" s="280"/>
      <c r="H89" s="280"/>
      <c r="I89" s="280"/>
      <c r="J89" s="280"/>
      <c r="K89" s="280"/>
      <c r="L89" s="280"/>
      <c r="M89" s="280"/>
      <c r="N89" s="280"/>
      <c r="O89" s="280"/>
      <c r="P89" s="280"/>
      <c r="Q89" s="280"/>
      <c r="R89" s="357">
        <f ca="1">SUM(R65:R88)</f>
        <v>27846.365395231249</v>
      </c>
      <c r="S89" s="357">
        <f ca="1">SUM(S65:S88)</f>
        <v>28274.646489222345</v>
      </c>
      <c r="T89" s="357">
        <f ca="1">SUM(T65:T88)</f>
        <v>28727.446253991093</v>
      </c>
      <c r="U89" s="280"/>
      <c r="V89" s="280"/>
      <c r="W89" s="280"/>
      <c r="X89" s="280"/>
      <c r="Y89" s="280"/>
      <c r="AA89" s="280"/>
      <c r="AB89" s="357">
        <f ca="1">SUM(AB65:AB88)</f>
        <v>30152.885200000001</v>
      </c>
      <c r="AC89" s="357">
        <f ca="1">SUM(AC65:AC88)</f>
        <v>31145.850960000003</v>
      </c>
      <c r="AD89" s="357">
        <f ca="1">SUM(AD65:AD88)</f>
        <v>30878.316720000003</v>
      </c>
      <c r="AJ89" s="255"/>
    </row>
    <row r="91" spans="2:36" ht="11.25" customHeight="1">
      <c r="B91" s="258" t="s">
        <v>133</v>
      </c>
      <c r="C91" s="259" t="s">
        <v>243</v>
      </c>
      <c r="D91" s="259"/>
      <c r="E91" s="259"/>
      <c r="F91" s="259"/>
      <c r="G91" s="259"/>
      <c r="H91" s="259"/>
      <c r="I91" s="259"/>
      <c r="J91" s="259"/>
      <c r="K91" s="259"/>
      <c r="L91" s="259"/>
      <c r="M91" s="259"/>
      <c r="N91" s="259"/>
      <c r="O91" s="259"/>
      <c r="P91" s="259"/>
      <c r="Q91" s="259"/>
      <c r="R91" s="259"/>
      <c r="S91" s="259"/>
      <c r="T91" s="259"/>
      <c r="V91" s="258"/>
      <c r="W91" s="258"/>
      <c r="X91" s="258"/>
      <c r="Y91" s="258"/>
      <c r="Z91" s="258"/>
      <c r="AA91" s="258"/>
      <c r="AB91" s="258"/>
      <c r="AC91" s="258"/>
      <c r="AD91" s="258"/>
    </row>
    <row r="92" spans="2:36" s="283" customFormat="1" ht="11.25" customHeight="1">
      <c r="C92" s="286"/>
      <c r="AJ92" s="255"/>
    </row>
    <row r="93" spans="2:36" s="283" customFormat="1" ht="11.25" customHeight="1">
      <c r="C93" s="291" t="str">
        <f t="shared" ref="C93:C116" si="19">+$C10</f>
        <v>Term Loan</v>
      </c>
      <c r="E93" s="255"/>
      <c r="F93" s="255"/>
      <c r="G93" s="255"/>
      <c r="H93" s="255"/>
      <c r="I93" s="255"/>
      <c r="J93" s="255"/>
      <c r="K93" s="255"/>
      <c r="L93" s="255"/>
      <c r="M93" s="255"/>
      <c r="N93" s="255"/>
      <c r="O93" s="255"/>
      <c r="P93" s="255"/>
      <c r="Q93" s="255"/>
      <c r="R93" s="255">
        <f t="shared" ref="R93:T101" ca="1" si="20">+R65*$D10/4</f>
        <v>42.6796875</v>
      </c>
      <c r="S93" s="255">
        <f t="shared" ca="1" si="20"/>
        <v>42.5390625</v>
      </c>
      <c r="T93" s="255">
        <f t="shared" ca="1" si="20"/>
        <v>42.3984375</v>
      </c>
      <c r="Y93" s="255"/>
      <c r="Z93" s="255"/>
      <c r="AA93" s="255"/>
      <c r="AB93" s="255">
        <f t="shared" ref="AB93:AD101" ca="1" si="21">+AB65*$D10</f>
        <v>168.1875</v>
      </c>
      <c r="AC93" s="255">
        <f t="shared" ca="1" si="21"/>
        <v>165.9375</v>
      </c>
      <c r="AD93" s="255">
        <f t="shared" ca="1" si="21"/>
        <v>163.6875</v>
      </c>
      <c r="AJ93" s="255"/>
    </row>
    <row r="94" spans="2:36" s="283" customFormat="1" ht="11.25" customHeight="1">
      <c r="C94" s="291" t="str">
        <f t="shared" si="19"/>
        <v xml:space="preserve">MileagePlus Term Loan Facility </v>
      </c>
      <c r="E94" s="255"/>
      <c r="F94" s="255"/>
      <c r="G94" s="255"/>
      <c r="H94" s="255"/>
      <c r="I94" s="255"/>
      <c r="J94" s="255"/>
      <c r="K94" s="255"/>
      <c r="L94" s="255"/>
      <c r="M94" s="255"/>
      <c r="N94" s="255"/>
      <c r="O94" s="255"/>
      <c r="P94" s="255"/>
      <c r="Q94" s="255"/>
      <c r="R94" s="255">
        <f t="shared" ca="1" si="20"/>
        <v>31.25</v>
      </c>
      <c r="S94" s="255">
        <f t="shared" ca="1" si="20"/>
        <v>30.078125</v>
      </c>
      <c r="T94" s="255">
        <f t="shared" ca="1" si="20"/>
        <v>27.734375</v>
      </c>
      <c r="Y94" s="255"/>
      <c r="Z94" s="255"/>
      <c r="AA94" s="255"/>
      <c r="AB94" s="255">
        <f t="shared" ca="1" si="21"/>
        <v>87.5</v>
      </c>
      <c r="AC94" s="255">
        <f t="shared" ca="1" si="21"/>
        <v>50</v>
      </c>
      <c r="AD94" s="255">
        <f t="shared" ca="1" si="21"/>
        <v>12.5</v>
      </c>
      <c r="AJ94" s="255"/>
    </row>
    <row r="95" spans="2:36" s="283" customFormat="1" ht="11.25" customHeight="1">
      <c r="C95" s="291" t="str">
        <f t="shared" si="19"/>
        <v>MileagePlus Senior Secured Notes</v>
      </c>
      <c r="E95" s="255"/>
      <c r="F95" s="255"/>
      <c r="G95" s="255"/>
      <c r="H95" s="255"/>
      <c r="I95" s="255"/>
      <c r="J95" s="255"/>
      <c r="K95" s="255"/>
      <c r="L95" s="255"/>
      <c r="M95" s="255"/>
      <c r="N95" s="255"/>
      <c r="O95" s="255"/>
      <c r="P95" s="255"/>
      <c r="Q95" s="255"/>
      <c r="R95" s="255">
        <f t="shared" ca="1" si="20"/>
        <v>32.5</v>
      </c>
      <c r="S95" s="255">
        <f t="shared" ca="1" si="20"/>
        <v>30.956250000000001</v>
      </c>
      <c r="T95" s="255">
        <f t="shared" ca="1" si="20"/>
        <v>27.868750000000002</v>
      </c>
      <c r="Y95" s="255"/>
      <c r="Z95" s="255"/>
      <c r="AA95" s="255"/>
      <c r="AB95" s="255">
        <f t="shared" ca="1" si="21"/>
        <v>80.600000000000009</v>
      </c>
      <c r="AC95" s="255">
        <f t="shared" ca="1" si="21"/>
        <v>31.200000000000003</v>
      </c>
      <c r="AD95" s="255">
        <f t="shared" ca="1" si="21"/>
        <v>-18.2</v>
      </c>
      <c r="AJ95" s="255"/>
    </row>
    <row r="96" spans="2:36" s="283" customFormat="1" ht="11.25" customHeight="1">
      <c r="C96" s="291" t="str">
        <f t="shared" si="19"/>
        <v>Enhanced Equipment Trust Certificate</v>
      </c>
      <c r="E96" s="255"/>
      <c r="F96" s="255"/>
      <c r="G96" s="255"/>
      <c r="H96" s="255"/>
      <c r="I96" s="255"/>
      <c r="J96" s="255"/>
      <c r="K96" s="255"/>
      <c r="L96" s="255"/>
      <c r="M96" s="255"/>
      <c r="N96" s="255"/>
      <c r="O96" s="255"/>
      <c r="P96" s="255"/>
      <c r="Q96" s="255"/>
      <c r="R96" s="255">
        <f t="shared" si="20"/>
        <v>4.6911149999999999</v>
      </c>
      <c r="S96" s="255">
        <f t="shared" si="20"/>
        <v>4.5963450000000003</v>
      </c>
      <c r="T96" s="255">
        <f t="shared" si="20"/>
        <v>4.5015750000000008</v>
      </c>
      <c r="Y96" s="255"/>
      <c r="Z96" s="255"/>
      <c r="AA96" s="255"/>
      <c r="AB96" s="255">
        <f t="shared" si="21"/>
        <v>17.058600000000006</v>
      </c>
      <c r="AC96" s="255">
        <f t="shared" si="21"/>
        <v>15.542280000000002</v>
      </c>
      <c r="AD96" s="255">
        <f t="shared" si="21"/>
        <v>14.025960000000003</v>
      </c>
      <c r="AJ96" s="255"/>
    </row>
    <row r="97" spans="3:36" s="283" customFormat="1" ht="11.25" customHeight="1">
      <c r="C97" s="291" t="str">
        <f t="shared" si="19"/>
        <v>Enhanced Equipment Trust Certificate</v>
      </c>
      <c r="E97" s="255"/>
      <c r="F97" s="255"/>
      <c r="G97" s="255"/>
      <c r="H97" s="255"/>
      <c r="I97" s="255"/>
      <c r="J97" s="255"/>
      <c r="K97" s="255"/>
      <c r="L97" s="255"/>
      <c r="M97" s="255"/>
      <c r="N97" s="255"/>
      <c r="O97" s="255"/>
      <c r="P97" s="255"/>
      <c r="Q97" s="255"/>
      <c r="R97" s="255">
        <f t="shared" ca="1" si="20"/>
        <v>2.1532500000000003</v>
      </c>
      <c r="S97" s="255">
        <f t="shared" ca="1" si="20"/>
        <v>2.10975</v>
      </c>
      <c r="T97" s="255">
        <f t="shared" ca="1" si="20"/>
        <v>2.0662500000000001</v>
      </c>
      <c r="Y97" s="255"/>
      <c r="Z97" s="255"/>
      <c r="AA97" s="255"/>
      <c r="AB97" s="255">
        <f t="shared" ca="1" si="21"/>
        <v>7.83</v>
      </c>
      <c r="AC97" s="255">
        <f t="shared" ca="1" si="21"/>
        <v>7.1340000000000003</v>
      </c>
      <c r="AD97" s="255">
        <f t="shared" ca="1" si="21"/>
        <v>6.4380000000000006</v>
      </c>
      <c r="AJ97" s="255"/>
    </row>
    <row r="98" spans="3:36" s="283" customFormat="1" ht="11.25" customHeight="1">
      <c r="C98" s="291" t="str">
        <f t="shared" si="19"/>
        <v>Enhanced Equipment Trust Certificate</v>
      </c>
      <c r="E98" s="255"/>
      <c r="F98" s="255"/>
      <c r="G98" s="255"/>
      <c r="H98" s="255"/>
      <c r="I98" s="255"/>
      <c r="J98" s="255"/>
      <c r="K98" s="255"/>
      <c r="L98" s="255"/>
      <c r="M98" s="255"/>
      <c r="N98" s="255"/>
      <c r="O98" s="255"/>
      <c r="P98" s="255"/>
      <c r="Q98" s="255"/>
      <c r="R98" s="255">
        <f t="shared" ca="1" si="20"/>
        <v>5.7684528000000004</v>
      </c>
      <c r="S98" s="255">
        <f t="shared" ca="1" si="20"/>
        <v>5.6519184000000005</v>
      </c>
      <c r="T98" s="255">
        <f t="shared" ca="1" si="20"/>
        <v>5.5353839999999996</v>
      </c>
      <c r="Y98" s="255"/>
      <c r="Z98" s="255"/>
      <c r="AA98" s="255"/>
      <c r="AB98" s="255">
        <f t="shared" ca="1" si="21"/>
        <v>20.976191999999998</v>
      </c>
      <c r="AC98" s="255">
        <f t="shared" ca="1" si="21"/>
        <v>19.111641599999999</v>
      </c>
      <c r="AD98" s="255">
        <f t="shared" ca="1" si="21"/>
        <v>17.247091199999993</v>
      </c>
      <c r="AJ98" s="255"/>
    </row>
    <row r="99" spans="3:36" s="283" customFormat="1" ht="11.25" customHeight="1">
      <c r="C99" s="291" t="str">
        <f t="shared" si="19"/>
        <v>Enhanced Equipment Trust Certificate</v>
      </c>
      <c r="E99" s="255"/>
      <c r="F99" s="255"/>
      <c r="G99" s="255"/>
      <c r="H99" s="255"/>
      <c r="I99" s="255"/>
      <c r="J99" s="255"/>
      <c r="K99" s="255"/>
      <c r="L99" s="255"/>
      <c r="M99" s="255"/>
      <c r="N99" s="255"/>
      <c r="O99" s="255"/>
      <c r="P99" s="255"/>
      <c r="Q99" s="255"/>
      <c r="R99" s="255">
        <f t="shared" si="20"/>
        <v>2.0097</v>
      </c>
      <c r="S99" s="255">
        <f t="shared" si="20"/>
        <v>1.9691000000000003</v>
      </c>
      <c r="T99" s="255">
        <f t="shared" si="20"/>
        <v>1.9285000000000005</v>
      </c>
      <c r="Y99" s="255"/>
      <c r="Z99" s="255"/>
      <c r="AA99" s="255"/>
      <c r="AB99" s="255">
        <f t="shared" si="21"/>
        <v>7.3080000000000025</v>
      </c>
      <c r="AC99" s="255">
        <f t="shared" si="21"/>
        <v>6.6584000000000021</v>
      </c>
      <c r="AD99" s="255">
        <f t="shared" si="21"/>
        <v>6.0088000000000017</v>
      </c>
      <c r="AJ99" s="255"/>
    </row>
    <row r="100" spans="3:36" s="283" customFormat="1" ht="11.25" customHeight="1">
      <c r="C100" s="291" t="str">
        <f t="shared" si="19"/>
        <v>Enhanced Equipment Trust Certificate</v>
      </c>
      <c r="E100" s="255"/>
      <c r="F100" s="255"/>
      <c r="G100" s="255"/>
      <c r="H100" s="255"/>
      <c r="I100" s="255"/>
      <c r="J100" s="255"/>
      <c r="K100" s="255"/>
      <c r="L100" s="255"/>
      <c r="M100" s="255"/>
      <c r="N100" s="255"/>
      <c r="O100" s="255"/>
      <c r="P100" s="255"/>
      <c r="Q100" s="255"/>
      <c r="R100" s="255">
        <f t="shared" si="20"/>
        <v>43.658999999999999</v>
      </c>
      <c r="S100" s="255">
        <f t="shared" si="20"/>
        <v>42.777000000000001</v>
      </c>
      <c r="T100" s="255">
        <f t="shared" si="20"/>
        <v>41.894999999999996</v>
      </c>
      <c r="Y100" s="255"/>
      <c r="Z100" s="255"/>
      <c r="AA100" s="255"/>
      <c r="AB100" s="255">
        <f t="shared" si="21"/>
        <v>158.76</v>
      </c>
      <c r="AC100" s="255">
        <f t="shared" si="21"/>
        <v>144.648</v>
      </c>
      <c r="AD100" s="255">
        <f t="shared" si="21"/>
        <v>130.536</v>
      </c>
      <c r="AJ100" s="255"/>
    </row>
    <row r="101" spans="3:36" s="283" customFormat="1" ht="11.25" customHeight="1">
      <c r="C101" s="291" t="str">
        <f t="shared" si="19"/>
        <v>Enhanced Equipment Trust Certificate</v>
      </c>
      <c r="E101" s="255"/>
      <c r="F101" s="255"/>
      <c r="G101" s="255"/>
      <c r="H101" s="255"/>
      <c r="I101" s="255"/>
      <c r="J101" s="255"/>
      <c r="K101" s="255"/>
      <c r="L101" s="255"/>
      <c r="M101" s="255"/>
      <c r="N101" s="255"/>
      <c r="O101" s="255"/>
      <c r="P101" s="255"/>
      <c r="Q101" s="255"/>
      <c r="R101" s="255">
        <f t="shared" si="20"/>
        <v>1.528065</v>
      </c>
      <c r="S101" s="255">
        <f t="shared" si="20"/>
        <v>1.4971950000000001</v>
      </c>
      <c r="T101" s="255">
        <f t="shared" si="20"/>
        <v>1.4663250000000001</v>
      </c>
      <c r="Y101" s="255"/>
      <c r="Z101" s="255"/>
      <c r="AA101" s="255"/>
      <c r="AB101" s="255">
        <f t="shared" si="21"/>
        <v>5.5566000000000004</v>
      </c>
      <c r="AC101" s="255">
        <f t="shared" si="21"/>
        <v>5.0626800000000003</v>
      </c>
      <c r="AD101" s="255">
        <f t="shared" si="21"/>
        <v>4.5687600000000002</v>
      </c>
      <c r="AJ101" s="255"/>
    </row>
    <row r="102" spans="3:36" s="283" customFormat="1" ht="11.25" customHeight="1">
      <c r="C102" s="291" t="str">
        <f t="shared" si="19"/>
        <v>Enhanced Equipment Trust Certificate</v>
      </c>
      <c r="E102" s="255"/>
      <c r="F102" s="255"/>
      <c r="G102" s="255"/>
      <c r="H102" s="255"/>
      <c r="I102" s="255"/>
      <c r="J102" s="255"/>
      <c r="K102" s="255"/>
      <c r="L102" s="255"/>
      <c r="M102" s="255"/>
      <c r="N102" s="255"/>
      <c r="O102" s="255"/>
      <c r="P102" s="255"/>
      <c r="Q102" s="255"/>
      <c r="R102" s="255">
        <f t="shared" ref="R102:T103" si="22">+R74*$D19/4</f>
        <v>113.13502200000001</v>
      </c>
      <c r="S102" s="255">
        <f t="shared" si="22"/>
        <v>110.84946600000001</v>
      </c>
      <c r="T102" s="255">
        <f t="shared" si="22"/>
        <v>108.56391000000001</v>
      </c>
      <c r="Y102" s="255"/>
      <c r="Z102" s="255"/>
      <c r="AA102" s="255"/>
      <c r="AB102" s="255">
        <f t="shared" ref="AB102:AD103" si="23">+AB74*$D19</f>
        <v>411.40008000000006</v>
      </c>
      <c r="AC102" s="255">
        <f t="shared" si="23"/>
        <v>374.83118400000006</v>
      </c>
      <c r="AD102" s="255">
        <f t="shared" si="23"/>
        <v>338.26228800000007</v>
      </c>
      <c r="AJ102" s="255"/>
    </row>
    <row r="103" spans="3:36" s="283" customFormat="1" ht="11.25" customHeight="1">
      <c r="C103" s="291" t="str">
        <f t="shared" si="19"/>
        <v>New Aircraft Notes</v>
      </c>
      <c r="E103" s="255"/>
      <c r="F103" s="255"/>
      <c r="G103" s="255"/>
      <c r="H103" s="255"/>
      <c r="I103" s="255"/>
      <c r="J103" s="255"/>
      <c r="K103" s="255"/>
      <c r="L103" s="255"/>
      <c r="M103" s="255"/>
      <c r="N103" s="255"/>
      <c r="O103" s="255"/>
      <c r="P103" s="255"/>
      <c r="Q103" s="255"/>
      <c r="R103" s="255">
        <f t="shared" si="22"/>
        <v>7.3454676258992802</v>
      </c>
      <c r="S103" s="255">
        <f t="shared" si="22"/>
        <v>22.130575539568344</v>
      </c>
      <c r="T103" s="255">
        <f t="shared" si="22"/>
        <v>39.775107913669061</v>
      </c>
      <c r="Y103" s="255"/>
      <c r="Z103" s="255"/>
      <c r="AA103" s="255"/>
      <c r="AB103" s="255">
        <f t="shared" si="23"/>
        <v>352.8</v>
      </c>
      <c r="AC103" s="255">
        <f t="shared" si="23"/>
        <v>593.88</v>
      </c>
      <c r="AD103" s="255">
        <f t="shared" si="23"/>
        <v>767.34</v>
      </c>
      <c r="AJ103" s="255"/>
    </row>
    <row r="104" spans="3:36" s="283" customFormat="1" ht="11.25" customHeight="1">
      <c r="C104" s="291" t="str">
        <f t="shared" si="19"/>
        <v>Special Facility Revenue Bonds</v>
      </c>
      <c r="E104" s="255"/>
      <c r="F104" s="255"/>
      <c r="G104" s="255"/>
      <c r="H104" s="255"/>
      <c r="I104" s="255"/>
      <c r="J104" s="255"/>
      <c r="K104" s="255"/>
      <c r="L104" s="255"/>
      <c r="M104" s="255"/>
      <c r="N104" s="255"/>
      <c r="O104" s="255"/>
      <c r="P104" s="255"/>
      <c r="Q104" s="255"/>
      <c r="R104" s="255">
        <f t="shared" ref="R104:T113" si="24">+R76*$D21/4</f>
        <v>1.5741000000000001</v>
      </c>
      <c r="S104" s="255">
        <f t="shared" si="24"/>
        <v>1.5423</v>
      </c>
      <c r="T104" s="255">
        <f t="shared" si="24"/>
        <v>1.5105</v>
      </c>
      <c r="Y104" s="255"/>
      <c r="Z104" s="255"/>
      <c r="AA104" s="255"/>
      <c r="AB104" s="255">
        <f t="shared" ref="AB104:AD114" si="25">+AB76*$D21</f>
        <v>5.7239999999999984</v>
      </c>
      <c r="AC104" s="255">
        <f t="shared" si="25"/>
        <v>5.2152000000000003</v>
      </c>
      <c r="AD104" s="255">
        <f t="shared" si="25"/>
        <v>4.7063999999999995</v>
      </c>
      <c r="AJ104" s="255"/>
    </row>
    <row r="105" spans="3:36" s="283" customFormat="1" ht="11.25" customHeight="1">
      <c r="C105" s="291" t="str">
        <f t="shared" si="19"/>
        <v>4.375% Senior Secured Notes Due 2026</v>
      </c>
      <c r="E105" s="255"/>
      <c r="F105" s="255"/>
      <c r="G105" s="255"/>
      <c r="H105" s="255"/>
      <c r="I105" s="255"/>
      <c r="J105" s="255"/>
      <c r="K105" s="255"/>
      <c r="L105" s="255"/>
      <c r="M105" s="255"/>
      <c r="N105" s="255"/>
      <c r="O105" s="255"/>
      <c r="P105" s="255"/>
      <c r="Q105" s="255"/>
      <c r="R105" s="255">
        <f t="shared" ca="1" si="24"/>
        <v>3.7898437499999997</v>
      </c>
      <c r="S105" s="255">
        <f t="shared" ca="1" si="24"/>
        <v>3.7132812499999996</v>
      </c>
      <c r="T105" s="255">
        <f t="shared" ca="1" si="24"/>
        <v>3.6367187499999996</v>
      </c>
      <c r="Y105" s="255"/>
      <c r="Z105" s="255"/>
      <c r="AA105" s="255"/>
      <c r="AB105" s="255">
        <f t="shared" ca="1" si="25"/>
        <v>13.78125</v>
      </c>
      <c r="AC105" s="255">
        <f t="shared" ca="1" si="25"/>
        <v>12.556249999999999</v>
      </c>
      <c r="AD105" s="255">
        <f t="shared" ca="1" si="25"/>
        <v>11.331249999999999</v>
      </c>
      <c r="AJ105" s="255"/>
    </row>
    <row r="106" spans="3:36" s="283" customFormat="1" ht="11.25" customHeight="1">
      <c r="C106" s="291" t="str">
        <f t="shared" si="19"/>
        <v>4.625% Senior Secured Notes Due 2029</v>
      </c>
      <c r="E106" s="255"/>
      <c r="F106" s="255"/>
      <c r="G106" s="255"/>
      <c r="H106" s="255"/>
      <c r="I106" s="255"/>
      <c r="J106" s="255"/>
      <c r="K106" s="255"/>
      <c r="L106" s="255"/>
      <c r="M106" s="255"/>
      <c r="N106" s="255"/>
      <c r="O106" s="255"/>
      <c r="P106" s="255"/>
      <c r="Q106" s="255"/>
      <c r="R106" s="255">
        <f t="shared" ca="1" si="24"/>
        <v>22.893750000000001</v>
      </c>
      <c r="S106" s="255">
        <f t="shared" ca="1" si="24"/>
        <v>22.431249999999999</v>
      </c>
      <c r="T106" s="255">
        <f t="shared" ca="1" si="24"/>
        <v>21.96875</v>
      </c>
      <c r="Y106" s="255"/>
      <c r="Z106" s="255"/>
      <c r="AA106" s="255"/>
      <c r="AB106" s="255">
        <f t="shared" ca="1" si="25"/>
        <v>83.25</v>
      </c>
      <c r="AC106" s="255">
        <f t="shared" ca="1" si="25"/>
        <v>75.849999999999994</v>
      </c>
      <c r="AD106" s="255">
        <f t="shared" ca="1" si="25"/>
        <v>68.45</v>
      </c>
      <c r="AJ106" s="255"/>
    </row>
    <row r="107" spans="3:36" s="283" customFormat="1" ht="11.25" customHeight="1">
      <c r="C107" s="291" t="str">
        <f t="shared" si="19"/>
        <v>Notes</v>
      </c>
      <c r="E107" s="255"/>
      <c r="F107" s="255"/>
      <c r="G107" s="255"/>
      <c r="H107" s="255"/>
      <c r="I107" s="255"/>
      <c r="J107" s="255"/>
      <c r="K107" s="255"/>
      <c r="L107" s="255"/>
      <c r="M107" s="255"/>
      <c r="N107" s="255"/>
      <c r="O107" s="255"/>
      <c r="P107" s="255"/>
      <c r="Q107" s="255"/>
      <c r="R107" s="255">
        <f t="shared" si="24"/>
        <v>2.1960972000000001</v>
      </c>
      <c r="S107" s="255">
        <f t="shared" si="24"/>
        <v>2.1517316000000002</v>
      </c>
      <c r="T107" s="255">
        <f t="shared" si="24"/>
        <v>2.1073660000000003</v>
      </c>
      <c r="Y107" s="255"/>
      <c r="Z107" s="255"/>
      <c r="AA107" s="255"/>
      <c r="AB107" s="255">
        <f t="shared" si="25"/>
        <v>7.9858080000000005</v>
      </c>
      <c r="AC107" s="255">
        <f t="shared" si="25"/>
        <v>7.2759584000000004</v>
      </c>
      <c r="AD107" s="255">
        <f t="shared" si="25"/>
        <v>6.5661088000000012</v>
      </c>
      <c r="AJ107" s="255"/>
    </row>
    <row r="108" spans="3:36" s="283" customFormat="1" ht="11.25" customHeight="1">
      <c r="C108" s="291" t="str">
        <f t="shared" si="19"/>
        <v>4.25% Senior Notes Due 2022</v>
      </c>
      <c r="E108" s="255"/>
      <c r="F108" s="255"/>
      <c r="G108" s="255"/>
      <c r="H108" s="255"/>
      <c r="I108" s="255"/>
      <c r="J108" s="255"/>
      <c r="K108" s="255"/>
      <c r="L108" s="255"/>
      <c r="M108" s="255"/>
      <c r="N108" s="255"/>
      <c r="O108" s="255"/>
      <c r="P108" s="255"/>
      <c r="Q108" s="255"/>
      <c r="R108" s="255">
        <f t="shared" si="24"/>
        <v>0</v>
      </c>
      <c r="S108" s="255">
        <f t="shared" si="24"/>
        <v>0</v>
      </c>
      <c r="T108" s="255">
        <f t="shared" si="24"/>
        <v>0</v>
      </c>
      <c r="Y108" s="255"/>
      <c r="Z108" s="255"/>
      <c r="AA108" s="255"/>
      <c r="AB108" s="255">
        <f t="shared" si="25"/>
        <v>0</v>
      </c>
      <c r="AC108" s="255">
        <f t="shared" si="25"/>
        <v>0</v>
      </c>
      <c r="AD108" s="255">
        <f t="shared" si="25"/>
        <v>0</v>
      </c>
      <c r="AJ108" s="255"/>
    </row>
    <row r="109" spans="3:36" s="283" customFormat="1" ht="11.25" customHeight="1">
      <c r="C109" s="291" t="str">
        <f t="shared" si="19"/>
        <v>5% Senior Notes Due 2024 *</v>
      </c>
      <c r="E109" s="255"/>
      <c r="F109" s="255"/>
      <c r="G109" s="255"/>
      <c r="H109" s="255"/>
      <c r="I109" s="255"/>
      <c r="J109" s="255"/>
      <c r="K109" s="255"/>
      <c r="L109" s="255"/>
      <c r="M109" s="255"/>
      <c r="N109" s="255"/>
      <c r="O109" s="255"/>
      <c r="P109" s="255"/>
      <c r="Q109" s="255"/>
      <c r="R109" s="255">
        <f t="shared" ca="1" si="24"/>
        <v>3.7125000000000004</v>
      </c>
      <c r="S109" s="255">
        <f t="shared" ca="1" si="24"/>
        <v>3.6375000000000002</v>
      </c>
      <c r="T109" s="255">
        <f t="shared" ca="1" si="24"/>
        <v>3.5625</v>
      </c>
      <c r="Y109" s="255"/>
      <c r="Z109" s="255"/>
      <c r="AA109" s="255"/>
      <c r="AB109" s="255">
        <f t="shared" ca="1" si="25"/>
        <v>13.5</v>
      </c>
      <c r="AC109" s="255">
        <f t="shared" ca="1" si="25"/>
        <v>6.45</v>
      </c>
      <c r="AD109" s="255">
        <f t="shared" ca="1" si="25"/>
        <v>0</v>
      </c>
      <c r="AJ109" s="255"/>
    </row>
    <row r="110" spans="3:36" s="283" customFormat="1" ht="11.25" customHeight="1">
      <c r="C110" s="291" t="str">
        <f t="shared" si="19"/>
        <v>4.875% Senior Notes *</v>
      </c>
      <c r="E110" s="255"/>
      <c r="F110" s="255"/>
      <c r="G110" s="255"/>
      <c r="H110" s="255"/>
      <c r="I110" s="255"/>
      <c r="J110" s="255"/>
      <c r="K110" s="255"/>
      <c r="L110" s="255"/>
      <c r="M110" s="255"/>
      <c r="N110" s="255"/>
      <c r="O110" s="255"/>
      <c r="P110" s="255"/>
      <c r="Q110" s="255"/>
      <c r="R110" s="255">
        <f t="shared" ca="1" si="24"/>
        <v>4.2229687499999997</v>
      </c>
      <c r="S110" s="255">
        <f t="shared" ca="1" si="24"/>
        <v>4.13765625</v>
      </c>
      <c r="T110" s="255">
        <f t="shared" ca="1" si="24"/>
        <v>4.0523437500000004</v>
      </c>
      <c r="Y110" s="255"/>
      <c r="Z110" s="255"/>
      <c r="AA110" s="255"/>
      <c r="AB110" s="255">
        <f t="shared" ca="1" si="25"/>
        <v>15.356250000000001</v>
      </c>
      <c r="AC110" s="255">
        <f t="shared" ca="1" si="25"/>
        <v>13.991250000000001</v>
      </c>
      <c r="AD110" s="255">
        <f t="shared" ca="1" si="25"/>
        <v>6.6543749999999999</v>
      </c>
      <c r="AJ110" s="255"/>
    </row>
    <row r="111" spans="3:36" s="283" customFormat="1" ht="11.25" customHeight="1">
      <c r="C111" s="291" t="str">
        <f t="shared" si="19"/>
        <v>PSP Note - COVID19</v>
      </c>
      <c r="E111" s="255"/>
      <c r="F111" s="255"/>
      <c r="G111" s="255"/>
      <c r="H111" s="255"/>
      <c r="I111" s="255"/>
      <c r="J111" s="255"/>
      <c r="K111" s="255"/>
      <c r="L111" s="255"/>
      <c r="M111" s="255"/>
      <c r="N111" s="255"/>
      <c r="O111" s="255"/>
      <c r="P111" s="255"/>
      <c r="Q111" s="255"/>
      <c r="R111" s="255">
        <f t="shared" si="24"/>
        <v>3.7149749999999999</v>
      </c>
      <c r="S111" s="255">
        <f t="shared" si="24"/>
        <v>3.6399250000000003</v>
      </c>
      <c r="T111" s="255">
        <f t="shared" si="24"/>
        <v>3.5648750000000002</v>
      </c>
      <c r="Y111" s="255"/>
      <c r="Z111" s="255"/>
      <c r="AA111" s="255"/>
      <c r="AB111" s="255">
        <f t="shared" si="25"/>
        <v>13.509</v>
      </c>
      <c r="AC111" s="255">
        <f t="shared" si="25"/>
        <v>12.308200000000001</v>
      </c>
      <c r="AD111" s="255">
        <f t="shared" si="25"/>
        <v>11.107400000000002</v>
      </c>
      <c r="AJ111" s="255"/>
    </row>
    <row r="112" spans="3:36" s="283" customFormat="1" ht="11.25" customHeight="1">
      <c r="C112" s="291" t="str">
        <f t="shared" si="19"/>
        <v>Senior Unsecured Promissory Note</v>
      </c>
      <c r="E112" s="255"/>
      <c r="F112" s="255"/>
      <c r="G112" s="255"/>
      <c r="H112" s="255"/>
      <c r="I112" s="255"/>
      <c r="J112" s="255"/>
      <c r="K112" s="255"/>
      <c r="L112" s="255"/>
      <c r="M112" s="255"/>
      <c r="N112" s="255"/>
      <c r="O112" s="255"/>
      <c r="P112" s="255"/>
      <c r="Q112" s="255"/>
      <c r="R112" s="255">
        <f t="shared" si="24"/>
        <v>2.1532499999999999</v>
      </c>
      <c r="S112" s="255">
        <f t="shared" si="24"/>
        <v>2.1097500000000005</v>
      </c>
      <c r="T112" s="255">
        <f t="shared" si="24"/>
        <v>2.0662500000000001</v>
      </c>
      <c r="Y112" s="255"/>
      <c r="Z112" s="255"/>
      <c r="AA112" s="255"/>
      <c r="AB112" s="255">
        <f t="shared" si="25"/>
        <v>7.83</v>
      </c>
      <c r="AC112" s="255">
        <f t="shared" si="25"/>
        <v>7.1340000000000012</v>
      </c>
      <c r="AD112" s="255">
        <f t="shared" si="25"/>
        <v>6.4379999999999997</v>
      </c>
      <c r="AJ112" s="255"/>
    </row>
    <row r="113" spans="2:36" s="283" customFormat="1" ht="11.25" customHeight="1">
      <c r="C113" s="291" t="str">
        <f t="shared" si="19"/>
        <v>Senior Unsecured Promissory Note</v>
      </c>
      <c r="E113" s="255"/>
      <c r="F113" s="255"/>
      <c r="G113" s="255"/>
      <c r="H113" s="255"/>
      <c r="I113" s="255"/>
      <c r="J113" s="255"/>
      <c r="K113" s="255"/>
      <c r="L113" s="255"/>
      <c r="M113" s="255"/>
      <c r="N113" s="255"/>
      <c r="O113" s="255"/>
      <c r="P113" s="255"/>
      <c r="Q113" s="255"/>
      <c r="R113" s="255">
        <f t="shared" si="24"/>
        <v>2.00475</v>
      </c>
      <c r="S113" s="255">
        <f t="shared" si="24"/>
        <v>1.9642499999999998</v>
      </c>
      <c r="T113" s="255">
        <f t="shared" si="24"/>
        <v>1.9237499999999998</v>
      </c>
      <c r="Y113" s="255"/>
      <c r="Z113" s="255"/>
      <c r="AA113" s="255"/>
      <c r="AB113" s="255">
        <f t="shared" si="25"/>
        <v>7.2899999999999991</v>
      </c>
      <c r="AC113" s="255">
        <f t="shared" si="25"/>
        <v>6.6419999999999995</v>
      </c>
      <c r="AD113" s="255">
        <f t="shared" si="25"/>
        <v>5.9939999999999998</v>
      </c>
      <c r="AJ113" s="255"/>
    </row>
    <row r="114" spans="2:36" s="283" customFormat="1" ht="11.25" customHeight="1">
      <c r="C114" s="291" t="str">
        <f t="shared" si="19"/>
        <v>Other unsecured debt</v>
      </c>
      <c r="E114" s="255"/>
      <c r="F114" s="255"/>
      <c r="G114" s="255"/>
      <c r="H114" s="255"/>
      <c r="I114" s="255"/>
      <c r="J114" s="255"/>
      <c r="K114" s="255"/>
      <c r="L114" s="255"/>
      <c r="M114" s="255"/>
      <c r="N114" s="255"/>
      <c r="O114" s="255"/>
      <c r="P114" s="255"/>
      <c r="Q114" s="255"/>
      <c r="R114" s="255">
        <f>+R86*$D31/4</f>
        <v>4.2551437500000002</v>
      </c>
      <c r="S114" s="255">
        <f>+S86*$D31/4</f>
        <v>4.1691812499999994</v>
      </c>
      <c r="T114" s="255">
        <f>+T86*$D31/4</f>
        <v>4.0832187499999995</v>
      </c>
      <c r="Y114" s="255"/>
      <c r="Z114" s="255"/>
      <c r="AA114" s="255"/>
      <c r="AB114" s="255">
        <f t="shared" si="25"/>
        <v>15.473249999999995</v>
      </c>
      <c r="AC114" s="255">
        <f t="shared" si="25"/>
        <v>14.097849999999996</v>
      </c>
      <c r="AD114" s="255">
        <f t="shared" si="25"/>
        <v>12.722449999999995</v>
      </c>
    </row>
    <row r="115" spans="2:36" s="283" customFormat="1" ht="11.25" customHeight="1">
      <c r="C115" s="291" t="str">
        <f t="shared" si="19"/>
        <v>Credit Facility</v>
      </c>
      <c r="E115" s="255"/>
      <c r="F115" s="255"/>
      <c r="G115" s="255"/>
      <c r="H115" s="255"/>
      <c r="I115" s="255"/>
      <c r="J115" s="255"/>
      <c r="K115" s="255"/>
      <c r="L115" s="255"/>
      <c r="M115" s="255"/>
      <c r="N115" s="255"/>
      <c r="O115" s="255"/>
      <c r="P115" s="255"/>
      <c r="Q115" s="255"/>
      <c r="R115" s="255">
        <f ca="1">+R87*$D32/4</f>
        <v>0</v>
      </c>
      <c r="S115" s="255">
        <f t="shared" ref="S115:T116" ca="1" si="26">+S87*$D32/4</f>
        <v>0</v>
      </c>
      <c r="T115" s="255">
        <f t="shared" ca="1" si="26"/>
        <v>0</v>
      </c>
      <c r="Y115" s="255"/>
      <c r="Z115" s="255"/>
      <c r="AA115" s="255"/>
      <c r="AB115" s="255">
        <f t="shared" ref="AB115:AD116" ca="1" si="27">+AB87*$D32</f>
        <v>0</v>
      </c>
      <c r="AC115" s="255">
        <f t="shared" ca="1" si="27"/>
        <v>0</v>
      </c>
      <c r="AD115" s="255">
        <f t="shared" ca="1" si="27"/>
        <v>0</v>
      </c>
    </row>
    <row r="116" spans="2:36" s="283" customFormat="1" ht="11.25" customHeight="1">
      <c r="C116" s="291" t="str">
        <f t="shared" si="19"/>
        <v>Additional Drawdown</v>
      </c>
      <c r="E116" s="255"/>
      <c r="F116" s="255"/>
      <c r="G116" s="255"/>
      <c r="H116" s="255"/>
      <c r="I116" s="255"/>
      <c r="J116" s="255"/>
      <c r="K116" s="255"/>
      <c r="L116" s="255"/>
      <c r="M116" s="255"/>
      <c r="N116" s="255"/>
      <c r="O116" s="255"/>
      <c r="P116" s="255"/>
      <c r="Q116" s="255"/>
      <c r="R116" s="255">
        <f ca="1">+R88*$D33/4</f>
        <v>0</v>
      </c>
      <c r="S116" s="255">
        <f t="shared" ca="1" si="26"/>
        <v>0</v>
      </c>
      <c r="T116" s="255">
        <f t="shared" ca="1" si="26"/>
        <v>0</v>
      </c>
      <c r="Y116" s="255"/>
      <c r="Z116" s="255"/>
      <c r="AA116" s="255"/>
      <c r="AB116" s="255">
        <f t="shared" ca="1" si="27"/>
        <v>0</v>
      </c>
      <c r="AC116" s="255">
        <f t="shared" ca="1" si="27"/>
        <v>0</v>
      </c>
      <c r="AD116" s="255">
        <f t="shared" ca="1" si="27"/>
        <v>0</v>
      </c>
    </row>
    <row r="117" spans="2:36" s="283" customFormat="1" ht="11.25" customHeight="1">
      <c r="C117" s="286" t="s">
        <v>278</v>
      </c>
      <c r="E117" s="280"/>
      <c r="F117" s="280"/>
      <c r="G117" s="280"/>
      <c r="H117" s="280"/>
      <c r="I117" s="305"/>
      <c r="J117" s="255"/>
      <c r="K117" s="280"/>
      <c r="L117" s="280"/>
      <c r="M117" s="280"/>
      <c r="N117" s="280"/>
      <c r="O117" s="280"/>
      <c r="P117" s="280"/>
      <c r="Q117" s="280"/>
      <c r="R117" s="357">
        <f ca="1">IF(Circ=0,0,SUM(R93:R116))</f>
        <v>337.23713837589924</v>
      </c>
      <c r="S117" s="357">
        <f ca="1">IF(Circ=0,0,SUM(S93:S116))</f>
        <v>344.65161278956839</v>
      </c>
      <c r="T117" s="357">
        <f ca="1">IF(Circ=0,0,SUM(T93:T116))</f>
        <v>352.20988666366901</v>
      </c>
      <c r="U117" s="280"/>
      <c r="V117" s="280"/>
      <c r="W117" s="280"/>
      <c r="X117" s="280"/>
      <c r="Y117" s="280"/>
      <c r="Z117" s="255"/>
      <c r="AA117" s="280"/>
      <c r="AB117" s="357">
        <f ca="1">IF(Circ=0,0,SUM(AB93:AB116))</f>
        <v>1501.6765299999997</v>
      </c>
      <c r="AC117" s="357">
        <f ca="1">IF(Circ=0,0,SUM(AC93:AC116))</f>
        <v>1575.5263940000004</v>
      </c>
      <c r="AD117" s="357">
        <f ca="1">IF(Circ=0,0,SUM(AD93:AD116))</f>
        <v>1576.3843830000001</v>
      </c>
    </row>
    <row r="118" spans="2:36" ht="11.25" customHeight="1">
      <c r="U118" s="280"/>
    </row>
    <row r="119" spans="2:36" ht="11.25" customHeight="1">
      <c r="B119" s="258" t="s">
        <v>133</v>
      </c>
      <c r="C119" s="259" t="s">
        <v>244</v>
      </c>
      <c r="D119" s="259"/>
      <c r="E119" s="258"/>
      <c r="F119" s="258"/>
      <c r="G119" s="258"/>
      <c r="H119" s="258"/>
      <c r="I119" s="258"/>
      <c r="J119" s="258"/>
      <c r="K119" s="258"/>
      <c r="L119" s="258"/>
      <c r="M119" s="258"/>
      <c r="N119" s="258"/>
      <c r="O119" s="258"/>
      <c r="P119" s="258"/>
      <c r="Q119" s="258"/>
      <c r="R119" s="258"/>
      <c r="S119" s="258"/>
      <c r="T119" s="258"/>
      <c r="U119" s="280"/>
      <c r="V119" s="258"/>
      <c r="W119" s="258"/>
      <c r="X119" s="258"/>
      <c r="Y119" s="258"/>
      <c r="Z119" s="258"/>
      <c r="AA119" s="258"/>
      <c r="AB119" s="258"/>
      <c r="AC119" s="258"/>
      <c r="AD119" s="258"/>
    </row>
    <row r="120" spans="2:36" ht="11.25" customHeight="1">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row>
    <row r="121" spans="2:36" ht="11.25" customHeight="1">
      <c r="C121" s="255" t="s">
        <v>161</v>
      </c>
      <c r="E121" s="287"/>
      <c r="F121" s="287"/>
      <c r="G121" s="287"/>
      <c r="H121" s="287"/>
      <c r="I121" s="277"/>
      <c r="J121" s="287"/>
      <c r="K121" s="287"/>
      <c r="L121" s="287"/>
      <c r="M121" s="287"/>
      <c r="N121" s="287"/>
      <c r="O121" s="287"/>
      <c r="P121" s="287"/>
      <c r="Q121" s="287"/>
      <c r="R121" s="287">
        <f ca="1">'UAL Financials'!R61</f>
        <v>374.51217819958697</v>
      </c>
      <c r="S121" s="287">
        <f ca="1">'UAL Financials'!S61</f>
        <v>-987.2499254451543</v>
      </c>
      <c r="T121" s="287">
        <f ca="1">'UAL Financials'!T61</f>
        <v>-1637.0443870282963</v>
      </c>
      <c r="U121" s="287"/>
      <c r="V121" s="287"/>
      <c r="W121" s="287"/>
      <c r="X121" s="287"/>
      <c r="Z121" s="287"/>
      <c r="AA121" s="287"/>
      <c r="AB121" s="287">
        <f ca="1">'UAL Financials'!AB61</f>
        <v>-3132.2202159737772</v>
      </c>
      <c r="AC121" s="287">
        <f ca="1">'UAL Financials'!AC61</f>
        <v>2241.0424914407868</v>
      </c>
      <c r="AD121" s="287">
        <f ca="1">'UAL Financials'!AD61</f>
        <v>2741.6740851570521</v>
      </c>
      <c r="AE121" s="277"/>
      <c r="AF121" s="277"/>
      <c r="AG121" s="277"/>
      <c r="AH121" s="254"/>
    </row>
    <row r="122" spans="2:36" ht="11.25" customHeight="1">
      <c r="C122" s="255" t="s">
        <v>245</v>
      </c>
      <c r="E122" s="287"/>
      <c r="F122" s="287"/>
      <c r="G122" s="287"/>
      <c r="H122" s="287"/>
      <c r="I122" s="277"/>
      <c r="J122" s="287"/>
      <c r="K122" s="287"/>
      <c r="L122" s="287"/>
      <c r="M122" s="287"/>
      <c r="N122" s="287"/>
      <c r="O122" s="287"/>
      <c r="P122" s="287"/>
      <c r="Q122" s="287"/>
      <c r="R122" s="287">
        <f>'UAL Financials'!R252</f>
        <v>18723</v>
      </c>
      <c r="S122" s="287">
        <f ca="1">'UAL Financials'!S252</f>
        <v>14101.814968662071</v>
      </c>
      <c r="T122" s="287">
        <f ca="1">'UAL Financials'!T252</f>
        <v>13379.252440736618</v>
      </c>
      <c r="U122" s="287"/>
      <c r="V122" s="287"/>
      <c r="W122" s="287"/>
      <c r="X122" s="287"/>
      <c r="Y122" s="254"/>
      <c r="Z122" s="287"/>
      <c r="AA122" s="287"/>
      <c r="AB122" s="287">
        <f ca="1">'UAL Financials'!AB252</f>
        <v>12383.12018572614</v>
      </c>
      <c r="AC122" s="287">
        <f ca="1">'UAL Financials'!AC252</f>
        <v>11460.86572975236</v>
      </c>
      <c r="AD122" s="287">
        <f ca="1">'UAL Financials'!AD252</f>
        <v>13477.873981193141</v>
      </c>
      <c r="AE122" s="277"/>
      <c r="AF122" s="277"/>
      <c r="AG122" s="277"/>
      <c r="AH122" s="254"/>
    </row>
    <row r="123" spans="2:36" ht="11.25" customHeight="1">
      <c r="C123" s="255" t="s">
        <v>246</v>
      </c>
      <c r="D123" s="333">
        <v>100</v>
      </c>
      <c r="E123" s="277"/>
      <c r="F123" s="277"/>
      <c r="G123" s="254"/>
      <c r="H123" s="254"/>
      <c r="I123" s="277"/>
      <c r="J123" s="254"/>
      <c r="K123" s="254"/>
      <c r="L123" s="254"/>
      <c r="M123" s="254"/>
      <c r="N123" s="254"/>
      <c r="O123" s="254"/>
      <c r="P123" s="254"/>
      <c r="Q123" s="254"/>
      <c r="R123" s="254">
        <f>-$D$123</f>
        <v>-100</v>
      </c>
      <c r="S123" s="254">
        <f>-$D$123</f>
        <v>-100</v>
      </c>
      <c r="T123" s="254">
        <f>-$D$123</f>
        <v>-100</v>
      </c>
      <c r="U123" s="277"/>
      <c r="V123" s="277"/>
      <c r="W123" s="277"/>
      <c r="X123" s="277"/>
      <c r="Y123" s="254"/>
      <c r="Z123" s="254"/>
      <c r="AA123" s="254"/>
      <c r="AB123" s="254">
        <f>-$D$123</f>
        <v>-100</v>
      </c>
      <c r="AC123" s="254">
        <f>-$D$123</f>
        <v>-100</v>
      </c>
      <c r="AD123" s="254">
        <f>-$D$123</f>
        <v>-100</v>
      </c>
      <c r="AE123" s="277"/>
      <c r="AF123" s="277"/>
      <c r="AG123" s="277"/>
      <c r="AH123" s="277"/>
    </row>
    <row r="124" spans="2:36" ht="11.25" customHeight="1">
      <c r="C124" s="286" t="s">
        <v>279</v>
      </c>
      <c r="E124" s="254"/>
      <c r="F124" s="254"/>
      <c r="G124" s="254"/>
      <c r="H124" s="254"/>
      <c r="I124" s="277"/>
      <c r="J124" s="254"/>
      <c r="K124" s="254"/>
      <c r="L124" s="254"/>
      <c r="M124" s="254"/>
      <c r="N124" s="254"/>
      <c r="O124" s="254"/>
      <c r="P124" s="254"/>
      <c r="Q124" s="254"/>
      <c r="R124" s="359">
        <f ca="1">SUM(R121:R123)</f>
        <v>18997.512178199588</v>
      </c>
      <c r="S124" s="359">
        <f ca="1">SUM(S121:S123)</f>
        <v>13014.565043216917</v>
      </c>
      <c r="T124" s="359">
        <f ca="1">SUM(T121:T123)</f>
        <v>11642.208053708322</v>
      </c>
      <c r="U124" s="254"/>
      <c r="V124" s="254"/>
      <c r="W124" s="254"/>
      <c r="X124" s="254"/>
      <c r="Y124" s="254"/>
      <c r="Z124" s="254"/>
      <c r="AA124" s="254"/>
      <c r="AB124" s="359">
        <f ca="1">SUM(AB121:AB123)</f>
        <v>9150.8999697523632</v>
      </c>
      <c r="AC124" s="359">
        <f ca="1">SUM(AC121:AC123)</f>
        <v>13601.908221193147</v>
      </c>
      <c r="AD124" s="359">
        <f ca="1">SUM(AD121:AD123)</f>
        <v>16119.548066350193</v>
      </c>
      <c r="AE124" s="277"/>
      <c r="AF124" s="277"/>
      <c r="AG124" s="277"/>
      <c r="AH124" s="254"/>
    </row>
    <row r="125" spans="2:36" ht="11.25" customHeight="1">
      <c r="C125" s="255" t="s">
        <v>247</v>
      </c>
      <c r="E125" s="254"/>
      <c r="F125" s="254"/>
      <c r="G125" s="254"/>
      <c r="H125" s="254"/>
      <c r="I125" s="277"/>
      <c r="J125" s="254"/>
      <c r="K125" s="254"/>
      <c r="L125" s="254"/>
      <c r="M125" s="254"/>
      <c r="N125" s="254"/>
      <c r="O125" s="254"/>
      <c r="P125" s="254"/>
      <c r="Q125" s="254"/>
      <c r="R125" s="254">
        <f ca="1">-R61</f>
        <v>591.87479046248711</v>
      </c>
      <c r="S125" s="254">
        <f ca="1">-S61</f>
        <v>264.68739751969866</v>
      </c>
      <c r="T125" s="254">
        <f ca="1">-T61</f>
        <v>640.9121320178142</v>
      </c>
      <c r="U125" s="254"/>
      <c r="V125" s="254"/>
      <c r="W125" s="254"/>
      <c r="X125" s="254"/>
      <c r="Y125" s="254"/>
      <c r="Z125" s="254"/>
      <c r="AA125" s="254"/>
      <c r="AB125" s="254">
        <f ca="1">-AB61</f>
        <v>2209.96576</v>
      </c>
      <c r="AC125" s="254">
        <f ca="1">-AC61</f>
        <v>-224.0342400000001</v>
      </c>
      <c r="AD125" s="254">
        <f ca="1">-AD61</f>
        <v>-311.03424000000007</v>
      </c>
      <c r="AE125" s="277"/>
      <c r="AF125" s="277"/>
      <c r="AG125" s="277"/>
      <c r="AH125" s="254"/>
    </row>
    <row r="126" spans="2:36" s="283" customFormat="1" ht="11.25" customHeight="1">
      <c r="C126" s="286" t="s">
        <v>280</v>
      </c>
      <c r="E126" s="280"/>
      <c r="F126" s="280"/>
      <c r="G126" s="280"/>
      <c r="H126" s="254"/>
      <c r="I126" s="277"/>
      <c r="J126" s="280"/>
      <c r="K126" s="280"/>
      <c r="L126" s="280"/>
      <c r="M126" s="280"/>
      <c r="N126" s="280"/>
      <c r="O126" s="280"/>
      <c r="P126" s="280"/>
      <c r="Q126" s="280"/>
      <c r="R126" s="357">
        <f ca="1">SUM(R124:R125)</f>
        <v>19589.386968662075</v>
      </c>
      <c r="S126" s="357">
        <f ca="1">SUM(S124:S125)</f>
        <v>13279.252440736616</v>
      </c>
      <c r="T126" s="357">
        <f ca="1">SUM(T124:T125)</f>
        <v>12283.120185726137</v>
      </c>
      <c r="U126" s="280"/>
      <c r="V126" s="280"/>
      <c r="W126" s="280"/>
      <c r="X126" s="280"/>
      <c r="Y126" s="280"/>
      <c r="Z126" s="280"/>
      <c r="AA126" s="254"/>
      <c r="AB126" s="357">
        <f ca="1">SUM(AB124:AB125)</f>
        <v>11360.865729752364</v>
      </c>
      <c r="AC126" s="357">
        <f ca="1">SUM(AC124:AC125)</f>
        <v>13377.873981193146</v>
      </c>
      <c r="AD126" s="357">
        <f ca="1">SUM(AD124:AD125)</f>
        <v>15808.513826350192</v>
      </c>
      <c r="AE126" s="285"/>
      <c r="AF126" s="285"/>
      <c r="AG126" s="285"/>
      <c r="AH126" s="280"/>
    </row>
    <row r="127" spans="2:36" s="283" customFormat="1" ht="11.25" customHeight="1">
      <c r="C127" s="286"/>
      <c r="E127" s="280"/>
      <c r="F127" s="280"/>
      <c r="G127" s="280"/>
      <c r="H127" s="254"/>
      <c r="I127" s="277"/>
      <c r="J127" s="280"/>
      <c r="K127" s="280"/>
      <c r="L127" s="254"/>
      <c r="M127" s="254"/>
      <c r="N127" s="254"/>
      <c r="O127" s="254"/>
      <c r="P127" s="254"/>
      <c r="Q127" s="254"/>
      <c r="R127" s="280"/>
      <c r="S127" s="280"/>
      <c r="T127" s="280"/>
      <c r="U127" s="280"/>
      <c r="V127" s="280"/>
      <c r="W127" s="280"/>
      <c r="X127" s="280"/>
      <c r="Y127" s="280"/>
      <c r="Z127" s="280"/>
      <c r="AA127" s="254"/>
      <c r="AB127" s="280"/>
      <c r="AC127" s="280"/>
      <c r="AD127" s="280"/>
      <c r="AE127" s="285"/>
      <c r="AF127" s="285"/>
      <c r="AG127" s="285"/>
      <c r="AH127" s="280"/>
    </row>
    <row r="128" spans="2:36" ht="11.25" customHeight="1">
      <c r="C128" s="283" t="s">
        <v>248</v>
      </c>
      <c r="D128" s="372">
        <f>+'UAL One Pager'!S29</f>
        <v>1750</v>
      </c>
      <c r="E128" s="277"/>
      <c r="F128" s="277"/>
      <c r="G128" s="280"/>
      <c r="H128" s="277"/>
      <c r="I128" s="277"/>
      <c r="J128" s="277"/>
      <c r="K128" s="277"/>
      <c r="L128" s="254"/>
      <c r="M128" s="254"/>
      <c r="N128" s="254"/>
      <c r="O128" s="254"/>
      <c r="P128" s="254"/>
      <c r="Q128" s="254"/>
      <c r="R128" s="277"/>
      <c r="S128" s="277"/>
      <c r="T128" s="277"/>
      <c r="U128" s="277"/>
      <c r="V128" s="277"/>
      <c r="W128" s="277"/>
      <c r="X128" s="277"/>
      <c r="Y128" s="277"/>
      <c r="Z128" s="277"/>
      <c r="AA128" s="277"/>
      <c r="AB128" s="277"/>
      <c r="AC128" s="277"/>
      <c r="AD128" s="277"/>
      <c r="AE128" s="277"/>
      <c r="AF128" s="277"/>
      <c r="AG128" s="277"/>
      <c r="AH128" s="277"/>
    </row>
    <row r="129" spans="2:34" ht="11.25" customHeight="1">
      <c r="C129" s="282" t="s">
        <v>249</v>
      </c>
      <c r="E129" s="254"/>
      <c r="F129" s="254"/>
      <c r="G129" s="280"/>
      <c r="H129" s="254"/>
      <c r="I129" s="254"/>
      <c r="J129" s="254"/>
      <c r="K129" s="254"/>
      <c r="L129" s="254"/>
      <c r="M129" s="254"/>
      <c r="N129" s="254"/>
      <c r="O129" s="254"/>
      <c r="P129" s="254"/>
      <c r="Q129" s="254"/>
      <c r="R129" s="254">
        <f ca="1">+Q131</f>
        <v>0</v>
      </c>
      <c r="S129" s="254">
        <f ca="1">+R131</f>
        <v>0</v>
      </c>
      <c r="T129" s="254">
        <f ca="1">+S131</f>
        <v>0</v>
      </c>
      <c r="U129" s="254"/>
      <c r="V129" s="254"/>
      <c r="W129" s="254"/>
      <c r="X129" s="254"/>
      <c r="Y129" s="254"/>
      <c r="Z129" s="254"/>
      <c r="AA129" s="254"/>
      <c r="AB129" s="254">
        <f ca="1">+AA131</f>
        <v>0</v>
      </c>
      <c r="AC129" s="254">
        <f ca="1">+AB131</f>
        <v>0</v>
      </c>
      <c r="AD129" s="254">
        <f ca="1">+AC131</f>
        <v>0</v>
      </c>
      <c r="AE129" s="277"/>
      <c r="AF129" s="277"/>
      <c r="AG129" s="277"/>
      <c r="AH129" s="254"/>
    </row>
    <row r="130" spans="2:34" ht="11.25" customHeight="1">
      <c r="C130" s="282" t="s">
        <v>250</v>
      </c>
      <c r="E130" s="254"/>
      <c r="F130" s="254"/>
      <c r="G130" s="280"/>
      <c r="H130" s="254"/>
      <c r="I130" s="254"/>
      <c r="J130" s="254"/>
      <c r="K130" s="254"/>
      <c r="L130" s="254"/>
      <c r="M130" s="254"/>
      <c r="N130" s="254"/>
      <c r="O130" s="254"/>
      <c r="P130" s="254"/>
      <c r="Q130" s="254"/>
      <c r="R130" s="254">
        <f ca="1">IF(R6&lt;$AF$130,IF(AND(R126&lt;0,ABS(R126)&lt;($D$128-Q131)),-R126,IF(R126&gt;0,-MIN(R126,R129),($D$128-Q131))),-R129)</f>
        <v>0</v>
      </c>
      <c r="S130" s="254">
        <f ca="1">IF(S6&lt;$AF$130,IF(AND(S126&lt;0,ABS(S126)&lt;($D$128-R131)),-S126,IF(S126&gt;0,-MIN(S126,S129),($D$128-R131))),-S129)</f>
        <v>0</v>
      </c>
      <c r="T130" s="254">
        <f ca="1">IF(T6&lt;$AF$130,IF(AND(T126&lt;0,ABS(T126)&lt;($D$128-S131)),-T126,IF(T126&gt;0,-MIN(T126,T129),($D$128-S131))),-T129)</f>
        <v>0</v>
      </c>
      <c r="U130" s="254"/>
      <c r="V130" s="254"/>
      <c r="W130" s="254"/>
      <c r="X130" s="254"/>
      <c r="AA130" s="254"/>
      <c r="AB130" s="254">
        <f ca="1">IF(AB6&lt;$AF$130,IF(AND(AB126&lt;0,ABS(AB126)&lt;($D$128-AA131)),-AB126,IF(AB126&gt;0,-MIN(AB126,AB129),($D$128-AA131))),-AB129)</f>
        <v>0</v>
      </c>
      <c r="AC130" s="254">
        <f ca="1">IF(AC6&lt;$AF$130,IF(AND(AC126&lt;0,ABS(AC126)&lt;($D$128-AB131)),-AC126,IF(AC126&gt;0,-MIN(AC126,AC129),($D$128-AB131))),-AC129)</f>
        <v>0</v>
      </c>
      <c r="AD130" s="254">
        <f ca="1">IF(AD6&lt;$AF$130,IF(AND(AD126&lt;0,ABS(AD126)&lt;($D$128-AC131)),-AD126,IF(AD126&gt;0,-MIN(AD126,AD129),($D$128-AC131))),-AD129)</f>
        <v>0</v>
      </c>
      <c r="AE130" s="277"/>
      <c r="AF130" s="295">
        <f>+AF32</f>
        <v>45768</v>
      </c>
      <c r="AG130" s="284" t="s">
        <v>251</v>
      </c>
      <c r="AH130" s="254"/>
    </row>
    <row r="131" spans="2:34" ht="11.25" customHeight="1">
      <c r="C131" s="281" t="s">
        <v>281</v>
      </c>
      <c r="E131" s="254"/>
      <c r="F131" s="254"/>
      <c r="G131" s="280"/>
      <c r="H131" s="254"/>
      <c r="I131" s="254"/>
      <c r="J131" s="280"/>
      <c r="K131" s="280"/>
      <c r="L131" s="254"/>
      <c r="M131" s="254"/>
      <c r="N131" s="254"/>
      <c r="O131" s="254"/>
      <c r="P131" s="254"/>
      <c r="Q131" s="357">
        <f ca="1">+Q32</f>
        <v>0</v>
      </c>
      <c r="R131" s="357">
        <f ca="1">SUM(R129:R130)</f>
        <v>0</v>
      </c>
      <c r="S131" s="357">
        <f ca="1">SUM(S129:S130)</f>
        <v>0</v>
      </c>
      <c r="T131" s="357">
        <f ca="1">SUM(T129:T130)</f>
        <v>0</v>
      </c>
      <c r="U131" s="280"/>
      <c r="V131" s="280"/>
      <c r="W131" s="280"/>
      <c r="X131" s="280"/>
      <c r="Y131" s="280"/>
      <c r="AA131" s="357">
        <f ca="1">+T131</f>
        <v>0</v>
      </c>
      <c r="AB131" s="357">
        <f ca="1">SUM(AB129:AB130)</f>
        <v>0</v>
      </c>
      <c r="AC131" s="357">
        <f ca="1">SUM(AC129:AC130)</f>
        <v>0</v>
      </c>
      <c r="AD131" s="357">
        <f ca="1">SUM(AD129:AD130)</f>
        <v>0</v>
      </c>
      <c r="AE131" s="277"/>
      <c r="AF131" s="277"/>
      <c r="AG131" s="277"/>
      <c r="AH131" s="280"/>
    </row>
    <row r="132" spans="2:34" ht="11.25" customHeight="1">
      <c r="E132" s="277"/>
      <c r="F132" s="277"/>
      <c r="G132" s="280"/>
      <c r="H132" s="277"/>
      <c r="I132" s="254"/>
      <c r="J132" s="254"/>
      <c r="K132" s="277"/>
      <c r="L132" s="254"/>
      <c r="M132" s="254"/>
      <c r="N132" s="254"/>
      <c r="O132" s="254"/>
      <c r="P132" s="254"/>
      <c r="Q132" s="277"/>
      <c r="R132" s="277"/>
      <c r="S132" s="277"/>
      <c r="T132" s="277"/>
      <c r="U132" s="277"/>
      <c r="V132" s="277"/>
      <c r="W132" s="277"/>
      <c r="X132" s="277"/>
      <c r="Y132" s="277"/>
      <c r="Z132" s="277"/>
      <c r="AA132" s="277"/>
      <c r="AB132" s="277"/>
      <c r="AC132" s="277"/>
      <c r="AD132" s="277"/>
      <c r="AE132" s="277"/>
      <c r="AF132" s="277"/>
      <c r="AG132" s="277"/>
      <c r="AH132" s="277"/>
    </row>
    <row r="133" spans="2:34" ht="11.25" customHeight="1">
      <c r="C133" s="283" t="s">
        <v>282</v>
      </c>
      <c r="E133" s="277"/>
      <c r="F133" s="277"/>
      <c r="G133" s="280"/>
      <c r="H133" s="277"/>
      <c r="I133" s="254"/>
      <c r="J133" s="254"/>
      <c r="K133" s="277"/>
      <c r="L133" s="254"/>
      <c r="M133" s="254"/>
      <c r="N133" s="254"/>
      <c r="O133" s="254"/>
      <c r="P133" s="254"/>
      <c r="Q133" s="277"/>
      <c r="R133" s="277"/>
      <c r="S133" s="277"/>
      <c r="T133" s="277"/>
      <c r="U133" s="277"/>
      <c r="V133" s="277"/>
      <c r="W133" s="277"/>
      <c r="X133" s="277"/>
      <c r="Y133" s="277"/>
      <c r="Z133" s="277"/>
      <c r="AA133" s="277"/>
      <c r="AB133" s="277"/>
      <c r="AC133" s="277"/>
      <c r="AD133" s="277"/>
      <c r="AE133" s="277"/>
      <c r="AF133" s="277"/>
      <c r="AG133" s="277"/>
      <c r="AH133" s="277"/>
    </row>
    <row r="134" spans="2:34" ht="11.25" customHeight="1">
      <c r="C134" s="282" t="s">
        <v>249</v>
      </c>
      <c r="E134" s="254"/>
      <c r="F134" s="254"/>
      <c r="G134" s="280"/>
      <c r="H134" s="277"/>
      <c r="I134" s="254"/>
      <c r="J134" s="254"/>
      <c r="K134" s="254"/>
      <c r="L134" s="254"/>
      <c r="M134" s="254"/>
      <c r="N134" s="254"/>
      <c r="O134" s="254"/>
      <c r="P134" s="254"/>
      <c r="Q134" s="254"/>
      <c r="R134" s="254">
        <f>Q136</f>
        <v>0</v>
      </c>
      <c r="S134" s="254">
        <f ca="1">R136</f>
        <v>0</v>
      </c>
      <c r="T134" s="254">
        <f ca="1">S136</f>
        <v>0</v>
      </c>
      <c r="U134" s="254"/>
      <c r="V134" s="254"/>
      <c r="W134" s="254"/>
      <c r="X134" s="254"/>
      <c r="Y134" s="254"/>
      <c r="Z134" s="254"/>
      <c r="AA134" s="254"/>
      <c r="AB134" s="254">
        <f ca="1">T136</f>
        <v>0</v>
      </c>
      <c r="AC134" s="254">
        <f ca="1">AB136</f>
        <v>0</v>
      </c>
      <c r="AD134" s="254">
        <f ca="1">AC136</f>
        <v>0</v>
      </c>
      <c r="AE134" s="277"/>
      <c r="AF134" s="277"/>
      <c r="AG134" s="277"/>
      <c r="AH134" s="254"/>
    </row>
    <row r="135" spans="2:34" ht="11.25" customHeight="1">
      <c r="C135" s="282" t="s">
        <v>250</v>
      </c>
      <c r="E135" s="254"/>
      <c r="F135" s="254"/>
      <c r="G135" s="280"/>
      <c r="H135" s="277"/>
      <c r="I135" s="254"/>
      <c r="J135" s="254"/>
      <c r="K135" s="254"/>
      <c r="L135" s="254"/>
      <c r="M135" s="254"/>
      <c r="N135" s="254"/>
      <c r="O135" s="254"/>
      <c r="P135" s="254"/>
      <c r="Q135" s="254"/>
      <c r="R135" s="254">
        <f ca="1">+IF(AND(R126&lt;0,ABS(R126)&gt;(R130)),-MIN(R126+R130),IF(R126&gt;0,-MIN((R126+R130),R134),0))</f>
        <v>0</v>
      </c>
      <c r="S135" s="254">
        <f ca="1">+IF(AND(S126&lt;0,ABS(S126)&gt;(S130)),-MIN(S126+S130),IF(S126&gt;0,-MIN((S126+S130),S134),0))</f>
        <v>0</v>
      </c>
      <c r="T135" s="254">
        <f ca="1">+IF(AND(T126&lt;0,ABS(T126)&gt;(T130)),-MIN(T126+T130),IF(T126&gt;0,-MIN((T126+T130),T134),0))</f>
        <v>0</v>
      </c>
      <c r="U135" s="254"/>
      <c r="V135" s="254"/>
      <c r="W135" s="254"/>
      <c r="X135" s="254"/>
      <c r="AA135" s="254"/>
      <c r="AB135" s="254">
        <f ca="1">+IF(AND(AB126&lt;0,ABS(AB126)&gt;(AB130)),-MIN(AB126+AB130),IF(AB126&gt;0,-MIN((AB126+AB130),AB134),0))</f>
        <v>0</v>
      </c>
      <c r="AC135" s="254">
        <f ca="1">+IF(AND(AC126&lt;0,ABS(AC126)&gt;(AC130)),-MIN(AC126+AC130),IF(AC126&gt;0,-MIN((AC126+AC130),AC134),0))</f>
        <v>0</v>
      </c>
      <c r="AD135" s="254">
        <f ca="1">+IF(AND(AD126&lt;0,ABS(AD126)&gt;(AD130)),-MIN(AD126+AD130),IF(AD126&gt;0,-MIN((AD126+AD130),AD134),0))</f>
        <v>0</v>
      </c>
      <c r="AE135" s="277"/>
      <c r="AF135" s="277"/>
      <c r="AG135" s="277"/>
      <c r="AH135" s="254"/>
    </row>
    <row r="136" spans="2:34" ht="11.25" customHeight="1">
      <c r="C136" s="281" t="s">
        <v>281</v>
      </c>
      <c r="E136" s="277"/>
      <c r="F136" s="277"/>
      <c r="G136" s="280"/>
      <c r="H136" s="277"/>
      <c r="I136" s="254"/>
      <c r="J136" s="277"/>
      <c r="K136" s="277"/>
      <c r="L136" s="254"/>
      <c r="M136" s="254"/>
      <c r="N136" s="254"/>
      <c r="O136" s="254"/>
      <c r="P136" s="254"/>
      <c r="Q136" s="360">
        <v>0</v>
      </c>
      <c r="R136" s="357">
        <f ca="1">SUM(R134:R135)</f>
        <v>0</v>
      </c>
      <c r="S136" s="357">
        <f ca="1">SUM(S134:S135)</f>
        <v>0</v>
      </c>
      <c r="T136" s="357">
        <f ca="1">SUM(T134:T135)</f>
        <v>0</v>
      </c>
      <c r="U136" s="280"/>
      <c r="V136" s="280"/>
      <c r="W136" s="280"/>
      <c r="X136" s="280"/>
      <c r="Y136" s="280"/>
      <c r="AA136" s="254"/>
      <c r="AB136" s="357">
        <f ca="1">SUM(AB134:AB135)</f>
        <v>0</v>
      </c>
      <c r="AC136" s="357">
        <f ca="1">SUM(AC134:AC135)</f>
        <v>0</v>
      </c>
      <c r="AD136" s="357">
        <f ca="1">SUM(AD134:AD135)</f>
        <v>0</v>
      </c>
      <c r="AE136" s="277"/>
      <c r="AF136" s="277"/>
      <c r="AG136" s="277"/>
      <c r="AH136" s="280"/>
    </row>
    <row r="137" spans="2:34" ht="11.25" customHeight="1">
      <c r="E137" s="277"/>
      <c r="F137" s="277"/>
      <c r="G137" s="277"/>
      <c r="H137" s="277"/>
      <c r="I137" s="277"/>
      <c r="J137" s="254"/>
      <c r="K137" s="277"/>
      <c r="L137" s="254"/>
      <c r="M137" s="254"/>
      <c r="N137" s="254"/>
      <c r="O137" s="254"/>
      <c r="P137" s="254"/>
      <c r="Q137" s="277"/>
      <c r="R137" s="277"/>
      <c r="S137" s="277"/>
      <c r="T137" s="277"/>
      <c r="U137" s="277"/>
      <c r="V137" s="277"/>
      <c r="W137" s="277"/>
      <c r="X137" s="277"/>
      <c r="Y137" s="277"/>
      <c r="Z137" s="277"/>
      <c r="AA137" s="277"/>
      <c r="AB137" s="277"/>
      <c r="AC137" s="277"/>
      <c r="AD137" s="277"/>
      <c r="AE137" s="277"/>
      <c r="AF137" s="277"/>
      <c r="AG137" s="277"/>
      <c r="AH137" s="277"/>
    </row>
    <row r="138" spans="2:34" ht="11.25" customHeight="1">
      <c r="B138" s="258" t="s">
        <v>133</v>
      </c>
      <c r="C138" s="259" t="s">
        <v>563</v>
      </c>
      <c r="D138" s="259"/>
      <c r="E138" s="258"/>
      <c r="F138" s="258"/>
      <c r="G138" s="258"/>
      <c r="H138" s="258"/>
      <c r="I138" s="258"/>
      <c r="J138" s="258"/>
      <c r="K138" s="258"/>
      <c r="L138" s="258"/>
      <c r="M138" s="258"/>
      <c r="N138" s="258"/>
      <c r="O138" s="258"/>
      <c r="P138" s="258"/>
      <c r="Q138" s="258"/>
      <c r="R138" s="258"/>
      <c r="S138" s="258"/>
      <c r="T138" s="258"/>
      <c r="U138" s="280"/>
      <c r="V138" s="258"/>
      <c r="W138" s="258"/>
      <c r="X138" s="258"/>
      <c r="Y138" s="258"/>
      <c r="Z138" s="258"/>
      <c r="AA138" s="258"/>
      <c r="AB138" s="258"/>
      <c r="AC138" s="258"/>
      <c r="AD138" s="258"/>
    </row>
    <row r="140" spans="2:34" s="253" customFormat="1" ht="11.25" customHeight="1">
      <c r="C140" s="253" t="s">
        <v>564</v>
      </c>
      <c r="E140" s="287">
        <f>'UAL Financials'!E116+'UAL Financials'!E117+'UAL Financials'!E120</f>
        <v>4170</v>
      </c>
      <c r="F140" s="287">
        <f>'UAL Financials'!F116+'UAL Financials'!F117+'UAL Financials'!F120</f>
        <v>5549</v>
      </c>
      <c r="G140" s="287">
        <f>'UAL Financials'!G116+'UAL Financials'!G117+'UAL Financials'!G120</f>
        <v>5226</v>
      </c>
      <c r="H140" s="287">
        <f>'UAL Financials'!H116+'UAL Financials'!H117+'UAL Financials'!H120</f>
        <v>5050</v>
      </c>
      <c r="I140" s="287">
        <f>'UAL Financials'!I116+'UAL Financials'!I117+'UAL Financials'!I120</f>
        <v>5327</v>
      </c>
      <c r="J140" s="287">
        <f>'UAL Financials'!J116+'UAL Financials'!J117+'UAL Financials'!J120</f>
        <v>7536</v>
      </c>
      <c r="K140" s="287">
        <f>'UAL Financials'!K116+'UAL Financials'!K117+'UAL Financials'!K120</f>
        <v>13950</v>
      </c>
      <c r="L140" s="287">
        <f>'UAL Financials'!L116+'UAL Financials'!L117+'UAL Financials'!L120</f>
        <v>12156</v>
      </c>
      <c r="M140" s="287">
        <f>'UAL Financials'!M116+'UAL Financials'!M117+'UAL Financials'!M120</f>
        <v>13447</v>
      </c>
      <c r="N140" s="287">
        <f>'UAL Financials'!N116+'UAL Financials'!N117+'UAL Financials'!N120</f>
        <v>21538</v>
      </c>
      <c r="O140" s="287">
        <f>'UAL Financials'!O116+'UAL Financials'!O117+'UAL Financials'!O120</f>
        <v>19891</v>
      </c>
      <c r="P140" s="287">
        <f>'UAL Financials'!P116+'UAL Financials'!P117+'UAL Financials'!P120</f>
        <v>18656</v>
      </c>
      <c r="Q140" s="287">
        <f>'UAL Financials'!Q116+'UAL Financials'!Q117+'UAL Financials'!Q120</f>
        <v>18934</v>
      </c>
      <c r="R140" s="287">
        <f ca="1">'UAL Financials'!R116+'UAL Financials'!R117+'UAL Financials'!R120</f>
        <v>14312.814968662071</v>
      </c>
      <c r="S140" s="287">
        <f ca="1">'UAL Financials'!S116+'UAL Financials'!S117+'UAL Financials'!S120</f>
        <v>13590.252440736618</v>
      </c>
      <c r="T140" s="287">
        <f ca="1">'UAL Financials'!T116+'UAL Financials'!T117+'UAL Financials'!T120</f>
        <v>12594.120185726139</v>
      </c>
      <c r="U140" s="483"/>
      <c r="V140" s="287">
        <f>'UAL Financials'!V116</f>
        <v>1482</v>
      </c>
      <c r="W140" s="287">
        <f>'UAL Financials'!W116</f>
        <v>1694</v>
      </c>
      <c r="X140" s="287">
        <f>'UAL Financials'!X116</f>
        <v>2762</v>
      </c>
      <c r="Y140" s="287">
        <f>'UAL Financials'!Y116</f>
        <v>11269</v>
      </c>
      <c r="Z140" s="287">
        <f>'UAL Financials'!Z116</f>
        <v>18283</v>
      </c>
      <c r="AA140" s="287">
        <f ca="1">'UAL Financials'!AA116+'UAL Financials'!AA117+'UAL Financials'!AA120</f>
        <v>12594.120185726139</v>
      </c>
      <c r="AB140" s="287">
        <f ca="1">'UAL Financials'!AB116+'UAL Financials'!AB117+'UAL Financials'!AB120</f>
        <v>11671.86572975236</v>
      </c>
      <c r="AC140" s="287">
        <f ca="1">'UAL Financials'!AC116+'UAL Financials'!AC117+'UAL Financials'!AC120</f>
        <v>13688.873981193141</v>
      </c>
      <c r="AD140" s="287">
        <f ca="1">'UAL Financials'!AD116+'UAL Financials'!AD117+'UAL Financials'!AD120</f>
        <v>16119.513826350201</v>
      </c>
    </row>
    <row r="141" spans="2:34" s="253" customFormat="1" ht="11.25" customHeight="1">
      <c r="C141" s="253" t="str">
        <f>'UAL Financials'!C32</f>
        <v>Interest income</v>
      </c>
      <c r="E141" s="287">
        <f>-'UAL Financials'!E32</f>
        <v>29</v>
      </c>
      <c r="F141" s="287">
        <f>-'UAL Financials'!F32</f>
        <v>38</v>
      </c>
      <c r="G141" s="287">
        <f>-'UAL Financials'!G32</f>
        <v>36</v>
      </c>
      <c r="H141" s="287">
        <f>-'UAL Financials'!H32</f>
        <v>30</v>
      </c>
      <c r="I141" s="287">
        <f>-'UAL Financials'!I32</f>
        <v>26</v>
      </c>
      <c r="J141" s="287">
        <f>-'UAL Financials'!J32</f>
        <v>11</v>
      </c>
      <c r="K141" s="287">
        <f>-'UAL Financials'!K32</f>
        <v>8</v>
      </c>
      <c r="L141" s="287">
        <f>-'UAL Financials'!L32</f>
        <v>5</v>
      </c>
      <c r="M141" s="287">
        <f>-'UAL Financials'!M32</f>
        <v>7</v>
      </c>
      <c r="N141" s="287">
        <f>-'UAL Financials'!N32</f>
        <v>12</v>
      </c>
      <c r="O141" s="287">
        <f>-'UAL Financials'!O32</f>
        <v>11</v>
      </c>
      <c r="P141" s="287">
        <f>-'UAL Financials'!P32</f>
        <v>6</v>
      </c>
      <c r="Q141" s="287">
        <f>-'UAL Financials'!Q32</f>
        <v>5</v>
      </c>
      <c r="R141" s="255">
        <f ca="1">IF(Circ=0,0,R142*AVERAGE(Q140:R140))</f>
        <v>4.4222951541183928</v>
      </c>
      <c r="S141" s="255">
        <f ca="1">IF(Circ=0,0,S142*AVERAGE(R140:S140))</f>
        <v>3.7115013845967932</v>
      </c>
      <c r="T141" s="255">
        <f ca="1">IF(Circ=0,0,T142*AVERAGE(S140:T140))</f>
        <v>3.4828907457385947</v>
      </c>
      <c r="V141" s="255"/>
      <c r="W141" s="255">
        <f>-'UAL Financials'!W32</f>
        <v>101</v>
      </c>
      <c r="X141" s="255">
        <f>-'UAL Financials'!X32</f>
        <v>133</v>
      </c>
      <c r="Y141" s="255">
        <f>-'UAL Financials'!Y32</f>
        <v>50</v>
      </c>
      <c r="Z141" s="255">
        <f>-'UAL Financials'!Z32</f>
        <v>36</v>
      </c>
      <c r="AA141" s="255">
        <f ca="1">-'UAL Financials'!AA32</f>
        <v>22.706571844068215</v>
      </c>
      <c r="AB141" s="255">
        <f ca="1">IF(Circ=0,0,AB142*AVERAGE(AA140:AB140))</f>
        <v>17.84484269396583</v>
      </c>
      <c r="AC141" s="255">
        <f ca="1">IF(Circ=0,0,AC142*AVERAGE(AB140:AC140))</f>
        <v>18.649908242786967</v>
      </c>
      <c r="AD141" s="255">
        <f ca="1">IF(Circ=0,0,AD142*AVERAGE(AC140:AD140))</f>
        <v>21.920642055884539</v>
      </c>
    </row>
    <row r="142" spans="2:34" s="278" customFormat="1" ht="11.25" customHeight="1">
      <c r="C142" s="298" t="s">
        <v>474</v>
      </c>
      <c r="F142" s="297">
        <f t="shared" ref="F142:Q142" si="28">F141/AVERAGE(E140:F140)</f>
        <v>7.8197345405905949E-3</v>
      </c>
      <c r="G142" s="297">
        <f t="shared" si="28"/>
        <v>6.6821345707656615E-3</v>
      </c>
      <c r="H142" s="297">
        <f t="shared" si="28"/>
        <v>5.8388478007006615E-3</v>
      </c>
      <c r="I142" s="297">
        <f t="shared" si="28"/>
        <v>5.0110822010214894E-3</v>
      </c>
      <c r="J142" s="297">
        <f t="shared" si="28"/>
        <v>1.7103319598849413E-3</v>
      </c>
      <c r="K142" s="297">
        <f t="shared" si="28"/>
        <v>7.4467094852462073E-4</v>
      </c>
      <c r="L142" s="297">
        <f t="shared" si="28"/>
        <v>3.8305370412931893E-4</v>
      </c>
      <c r="M142" s="297">
        <f t="shared" si="28"/>
        <v>5.4681092059524273E-4</v>
      </c>
      <c r="N142" s="297">
        <f t="shared" si="28"/>
        <v>6.8600828926682869E-4</v>
      </c>
      <c r="O142" s="297">
        <f t="shared" si="28"/>
        <v>5.310289893552825E-4</v>
      </c>
      <c r="P142" s="297">
        <f t="shared" si="28"/>
        <v>3.1130827301735546E-4</v>
      </c>
      <c r="Q142" s="297">
        <f t="shared" si="28"/>
        <v>2.6602819898909286E-4</v>
      </c>
      <c r="R142" s="419">
        <f>Q142</f>
        <v>2.6602819898909286E-4</v>
      </c>
      <c r="S142" s="419">
        <f>R142</f>
        <v>2.6602819898909286E-4</v>
      </c>
      <c r="T142" s="419">
        <f>S142</f>
        <v>2.6602819898909286E-4</v>
      </c>
      <c r="W142" s="297">
        <f>W141/AVERAGE(V140:W140)</f>
        <v>6.3602015113350133E-2</v>
      </c>
      <c r="X142" s="297">
        <f>X141/AVERAGE(W140:X140)</f>
        <v>5.9694793536804305E-2</v>
      </c>
      <c r="Y142" s="297">
        <f>Y141/AVERAGE(X140:Y140)</f>
        <v>7.1270757608153379E-3</v>
      </c>
      <c r="Z142" s="297">
        <f>Z141/AVERAGE(Y140:Z140)</f>
        <v>2.4363833243096914E-3</v>
      </c>
      <c r="AA142" s="297">
        <f ca="1">AA141/AVERAGE(Z140:AA140)</f>
        <v>1.4707700528733244E-3</v>
      </c>
      <c r="AB142" s="419">
        <f ca="1">AA142</f>
        <v>1.4707700528733244E-3</v>
      </c>
      <c r="AC142" s="419">
        <f ca="1">AB142</f>
        <v>1.4707700528733244E-3</v>
      </c>
      <c r="AD142" s="419">
        <f ca="1">AC142</f>
        <v>1.4707700528733244E-3</v>
      </c>
    </row>
    <row r="143" spans="2:34" s="253" customFormat="1" ht="11.25" customHeight="1">
      <c r="F143" s="383"/>
      <c r="G143" s="383"/>
      <c r="H143" s="383"/>
      <c r="I143" s="383"/>
      <c r="J143" s="383"/>
      <c r="K143" s="383"/>
      <c r="L143" s="383"/>
      <c r="M143" s="383"/>
      <c r="N143" s="383"/>
      <c r="O143" s="383"/>
      <c r="P143" s="383"/>
    </row>
  </sheetData>
  <dataValidations count="1">
    <dataValidation type="list" allowBlank="1" showInputMessage="1" showErrorMessage="1" sqref="R2" xr:uid="{7623E257-D4B0-42B4-8412-BAE20A431F81}">
      <formula1>$S$2:$S$3</formula1>
    </dataValidation>
  </dataValidations>
  <pageMargins left="0" right="0" top="0.25" bottom="0.5" header="0" footer="0.5"/>
  <pageSetup scale="63" fitToHeight="2" pageOrder="overThenDown" orientation="landscape" r:id="rId1"/>
  <colBreaks count="1" manualBreakCount="1">
    <brk id="30" max="1048575" man="1"/>
  </colBreaks>
  <ignoredErrors>
    <ignoredError sqref="E34:G34 E33:G33"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E2261-7B57-4D72-9A98-E754B70680F0}">
  <dimension ref="B1:BH233"/>
  <sheetViews>
    <sheetView showGridLines="0" topLeftCell="C1" zoomScale="85" zoomScaleNormal="85" workbookViewId="0">
      <selection activeCell="T4" sqref="T4:AH232"/>
    </sheetView>
  </sheetViews>
  <sheetFormatPr defaultColWidth="8.796875" defaultRowHeight="10.5"/>
  <cols>
    <col min="1" max="4" width="8.796875" style="253"/>
    <col min="5" max="5" width="8.796875" style="253" bestFit="1" customWidth="1"/>
    <col min="6" max="16384" width="8.796875" style="253"/>
  </cols>
  <sheetData>
    <row r="1" spans="2:58">
      <c r="AP1" s="253" t="s">
        <v>1315</v>
      </c>
      <c r="AV1" s="253" t="s">
        <v>1316</v>
      </c>
    </row>
    <row r="2" spans="2:58" ht="11.55" customHeight="1" thickBot="1">
      <c r="B2" s="899" t="s">
        <v>1471</v>
      </c>
      <c r="C2" s="899" t="s">
        <v>536</v>
      </c>
      <c r="D2" s="899" t="s">
        <v>357</v>
      </c>
      <c r="E2" s="899"/>
      <c r="F2" s="899"/>
      <c r="G2" s="899" t="s">
        <v>357</v>
      </c>
      <c r="H2" s="899"/>
      <c r="I2" s="899"/>
      <c r="J2" s="899" t="s">
        <v>357</v>
      </c>
      <c r="K2" s="899"/>
      <c r="L2" s="899"/>
      <c r="M2" s="899" t="s">
        <v>357</v>
      </c>
      <c r="N2" s="899"/>
      <c r="O2" s="899"/>
      <c r="P2" s="899" t="s">
        <v>357</v>
      </c>
      <c r="Q2" s="899"/>
      <c r="R2" s="899"/>
      <c r="T2" s="899" t="s">
        <v>537</v>
      </c>
      <c r="U2" s="899"/>
      <c r="V2" s="899"/>
      <c r="W2" s="899" t="s">
        <v>537</v>
      </c>
      <c r="X2" s="899"/>
      <c r="Y2" s="899"/>
      <c r="Z2" s="899" t="s">
        <v>537</v>
      </c>
      <c r="AA2" s="899"/>
      <c r="AB2" s="899"/>
      <c r="AC2" s="899" t="s">
        <v>537</v>
      </c>
      <c r="AD2" s="899"/>
      <c r="AE2" s="899"/>
      <c r="AF2" s="899" t="s">
        <v>537</v>
      </c>
      <c r="AG2" s="899"/>
      <c r="AH2" s="899"/>
      <c r="AI2" s="899" t="s">
        <v>47</v>
      </c>
      <c r="AJ2" s="899"/>
      <c r="AK2" s="899"/>
      <c r="AL2" s="899" t="s">
        <v>47</v>
      </c>
      <c r="AM2" s="899"/>
      <c r="AN2" s="899"/>
      <c r="AP2" s="899" t="s">
        <v>65</v>
      </c>
      <c r="AQ2" s="899" t="s">
        <v>536</v>
      </c>
      <c r="AR2" s="899" t="s">
        <v>47</v>
      </c>
      <c r="AS2" s="899"/>
      <c r="AT2" s="899"/>
      <c r="AV2" s="899" t="s">
        <v>1471</v>
      </c>
      <c r="AW2" s="899" t="s">
        <v>536</v>
      </c>
      <c r="AX2" s="899" t="s">
        <v>47</v>
      </c>
      <c r="AY2" s="899"/>
      <c r="AZ2" s="899"/>
      <c r="BB2" s="899" t="s">
        <v>65</v>
      </c>
      <c r="BC2" s="899" t="s">
        <v>536</v>
      </c>
      <c r="BD2" s="899" t="s">
        <v>47</v>
      </c>
      <c r="BE2" s="899"/>
      <c r="BF2" s="899"/>
    </row>
    <row r="3" spans="2:58" ht="35.25" thickBot="1">
      <c r="B3" s="899"/>
      <c r="C3" s="899"/>
      <c r="D3" s="913" t="s">
        <v>1484</v>
      </c>
      <c r="E3" s="913" t="s">
        <v>1485</v>
      </c>
      <c r="F3" s="913" t="s">
        <v>1488</v>
      </c>
      <c r="G3" s="912" t="s">
        <v>1486</v>
      </c>
      <c r="H3" s="912" t="s">
        <v>1489</v>
      </c>
      <c r="I3" s="912" t="s">
        <v>1487</v>
      </c>
      <c r="J3" s="912" t="s">
        <v>1490</v>
      </c>
      <c r="K3" s="912" t="s">
        <v>1491</v>
      </c>
      <c r="L3" s="912" t="s">
        <v>1492</v>
      </c>
      <c r="M3" s="912" t="s">
        <v>1500</v>
      </c>
      <c r="N3" s="912" t="s">
        <v>1497</v>
      </c>
      <c r="O3" s="912" t="s">
        <v>1494</v>
      </c>
      <c r="P3" s="912" t="s">
        <v>1499</v>
      </c>
      <c r="Q3" s="912" t="s">
        <v>1498</v>
      </c>
      <c r="R3" s="912" t="s">
        <v>1496</v>
      </c>
      <c r="T3" s="912" t="s">
        <v>1484</v>
      </c>
      <c r="U3" s="912" t="s">
        <v>1485</v>
      </c>
      <c r="V3" s="912" t="s">
        <v>1488</v>
      </c>
      <c r="W3" s="912" t="s">
        <v>1486</v>
      </c>
      <c r="X3" s="912" t="s">
        <v>1489</v>
      </c>
      <c r="Y3" s="912" t="s">
        <v>1487</v>
      </c>
      <c r="Z3" s="912" t="s">
        <v>1490</v>
      </c>
      <c r="AA3" s="912" t="s">
        <v>1491</v>
      </c>
      <c r="AB3" s="912" t="s">
        <v>1492</v>
      </c>
      <c r="AC3" s="912" t="s">
        <v>1501</v>
      </c>
      <c r="AD3" s="912" t="s">
        <v>1497</v>
      </c>
      <c r="AE3" s="912" t="s">
        <v>1494</v>
      </c>
      <c r="AF3" s="912" t="s">
        <v>1502</v>
      </c>
      <c r="AG3" s="912" t="s">
        <v>1498</v>
      </c>
      <c r="AH3" s="912" t="s">
        <v>1496</v>
      </c>
      <c r="AI3" s="899" t="s">
        <v>1484</v>
      </c>
      <c r="AJ3" s="899" t="s">
        <v>1485</v>
      </c>
      <c r="AK3" s="899" t="s">
        <v>540</v>
      </c>
      <c r="AL3" s="899" t="s">
        <v>1486</v>
      </c>
      <c r="AM3" s="899" t="s">
        <v>1489</v>
      </c>
      <c r="AN3" s="899" t="s">
        <v>1487</v>
      </c>
      <c r="AP3" s="899"/>
      <c r="AQ3" s="899"/>
      <c r="AR3" s="899" t="s">
        <v>1490</v>
      </c>
      <c r="AS3" s="899" t="s">
        <v>1491</v>
      </c>
      <c r="AT3" s="899" t="s">
        <v>1492</v>
      </c>
      <c r="AV3" s="899"/>
      <c r="AW3" s="899"/>
      <c r="AX3" s="899" t="s">
        <v>1495</v>
      </c>
      <c r="AY3" s="899" t="s">
        <v>1493</v>
      </c>
      <c r="AZ3" s="899" t="s">
        <v>1494</v>
      </c>
      <c r="BB3" s="899"/>
      <c r="BC3" s="899"/>
      <c r="BD3" s="912" t="s">
        <v>1503</v>
      </c>
      <c r="BE3" s="912" t="s">
        <v>1498</v>
      </c>
      <c r="BF3" s="912" t="s">
        <v>1496</v>
      </c>
    </row>
    <row r="4" spans="2:58" ht="10.9" thickBot="1">
      <c r="B4" s="900">
        <v>2003</v>
      </c>
      <c r="C4" s="915">
        <v>37652</v>
      </c>
      <c r="D4" s="909">
        <v>1027.5999999999999</v>
      </c>
      <c r="E4" s="909">
        <v>855.2</v>
      </c>
      <c r="F4" s="914">
        <v>0.83</v>
      </c>
      <c r="G4" s="906">
        <v>180201</v>
      </c>
      <c r="H4" s="906">
        <v>141345</v>
      </c>
      <c r="I4" s="902">
        <v>0.78</v>
      </c>
      <c r="J4" s="906">
        <v>137002</v>
      </c>
      <c r="K4" s="906">
        <v>109962</v>
      </c>
      <c r="L4" s="902">
        <v>0.8</v>
      </c>
      <c r="M4" s="906">
        <v>115190</v>
      </c>
      <c r="N4" s="906">
        <v>95714</v>
      </c>
      <c r="O4" s="902">
        <v>0.83</v>
      </c>
      <c r="P4" s="907">
        <v>94309</v>
      </c>
      <c r="Q4" s="907">
        <v>64937</v>
      </c>
      <c r="R4" s="905">
        <v>0.69</v>
      </c>
      <c r="T4" s="902">
        <v>377.8</v>
      </c>
      <c r="U4" s="902">
        <v>339.5</v>
      </c>
      <c r="V4" s="902">
        <v>0.9</v>
      </c>
      <c r="W4" s="906">
        <v>70310</v>
      </c>
      <c r="X4" s="906">
        <v>64455</v>
      </c>
      <c r="Y4" s="902">
        <v>0.92</v>
      </c>
      <c r="Z4" s="906">
        <v>41963</v>
      </c>
      <c r="AA4" s="906">
        <v>33681</v>
      </c>
      <c r="AB4" s="902">
        <v>0.8</v>
      </c>
      <c r="AC4" s="906">
        <v>76586</v>
      </c>
      <c r="AD4" s="906">
        <v>72262</v>
      </c>
      <c r="AE4" s="902">
        <v>0.94</v>
      </c>
      <c r="AF4" s="905">
        <v>0</v>
      </c>
      <c r="AG4" s="905">
        <v>0</v>
      </c>
      <c r="AH4" s="905" t="s">
        <v>1483</v>
      </c>
      <c r="AI4" s="901">
        <v>1405.4</v>
      </c>
      <c r="AJ4" s="901">
        <v>1194.7</v>
      </c>
      <c r="AK4" s="902">
        <v>0.85</v>
      </c>
      <c r="AL4" s="906">
        <v>250511</v>
      </c>
      <c r="AM4" s="906">
        <v>205800</v>
      </c>
      <c r="AN4" s="902">
        <v>0.82</v>
      </c>
      <c r="AP4" s="900">
        <v>2003</v>
      </c>
      <c r="AQ4" s="900" t="s">
        <v>1472</v>
      </c>
      <c r="AR4" s="906">
        <v>178965</v>
      </c>
      <c r="AS4" s="906">
        <v>143643</v>
      </c>
      <c r="AT4" s="902">
        <v>0.8</v>
      </c>
      <c r="AV4" s="900">
        <v>2003</v>
      </c>
      <c r="AW4" s="900" t="s">
        <v>1472</v>
      </c>
      <c r="AX4" s="906">
        <v>191776</v>
      </c>
      <c r="AY4" s="906">
        <v>167976</v>
      </c>
      <c r="AZ4" s="902">
        <v>0.88</v>
      </c>
      <c r="BB4" s="903">
        <v>2003</v>
      </c>
      <c r="BC4" s="903" t="s">
        <v>1472</v>
      </c>
      <c r="BD4" s="907">
        <v>94309</v>
      </c>
      <c r="BE4" s="907">
        <v>64937</v>
      </c>
      <c r="BF4" s="905">
        <v>0.69</v>
      </c>
    </row>
    <row r="5" spans="2:58" ht="10.9" thickBot="1">
      <c r="B5" s="903">
        <v>2003</v>
      </c>
      <c r="C5" s="263">
        <f t="shared" ref="C5:C68" si="0">EOMONTH(C4,1)</f>
        <v>37680</v>
      </c>
      <c r="D5" s="909">
        <v>928.9</v>
      </c>
      <c r="E5" s="909">
        <v>815.4</v>
      </c>
      <c r="F5" s="914">
        <v>0.88</v>
      </c>
      <c r="G5" s="907">
        <v>158501</v>
      </c>
      <c r="H5" s="907">
        <v>130486</v>
      </c>
      <c r="I5" s="905">
        <v>0.82</v>
      </c>
      <c r="J5" s="907">
        <v>118675</v>
      </c>
      <c r="K5" s="907">
        <v>88810</v>
      </c>
      <c r="L5" s="905">
        <v>0.75</v>
      </c>
      <c r="M5" s="907">
        <v>99880</v>
      </c>
      <c r="N5" s="907">
        <v>97897</v>
      </c>
      <c r="O5" s="905">
        <v>0.98</v>
      </c>
      <c r="P5" s="906">
        <v>86595</v>
      </c>
      <c r="Q5" s="906">
        <v>53766</v>
      </c>
      <c r="R5" s="902">
        <v>0.62</v>
      </c>
      <c r="T5" s="905">
        <v>329.9</v>
      </c>
      <c r="U5" s="905">
        <v>313.5</v>
      </c>
      <c r="V5" s="905">
        <v>0.95</v>
      </c>
      <c r="W5" s="907">
        <v>61854</v>
      </c>
      <c r="X5" s="907">
        <v>56575</v>
      </c>
      <c r="Y5" s="905">
        <v>0.91</v>
      </c>
      <c r="Z5" s="907">
        <v>32428</v>
      </c>
      <c r="AA5" s="907">
        <v>24267</v>
      </c>
      <c r="AB5" s="905">
        <v>0.75</v>
      </c>
      <c r="AC5" s="907">
        <v>68238</v>
      </c>
      <c r="AD5" s="907">
        <v>70798</v>
      </c>
      <c r="AE5" s="905">
        <v>1.04</v>
      </c>
      <c r="AF5" s="902">
        <v>0</v>
      </c>
      <c r="AG5" s="902">
        <v>0</v>
      </c>
      <c r="AH5" s="902" t="s">
        <v>1483</v>
      </c>
      <c r="AI5" s="904">
        <v>1258.8</v>
      </c>
      <c r="AJ5" s="904">
        <v>1128.9000000000001</v>
      </c>
      <c r="AK5" s="905">
        <v>0.9</v>
      </c>
      <c r="AL5" s="907">
        <v>220355</v>
      </c>
      <c r="AM5" s="907">
        <v>187061</v>
      </c>
      <c r="AN5" s="905">
        <v>0.85</v>
      </c>
      <c r="AP5" s="903">
        <v>2003</v>
      </c>
      <c r="AQ5" s="903" t="s">
        <v>1473</v>
      </c>
      <c r="AR5" s="907">
        <v>151103</v>
      </c>
      <c r="AS5" s="907">
        <v>113076</v>
      </c>
      <c r="AT5" s="905">
        <v>0.75</v>
      </c>
      <c r="AV5" s="903">
        <v>2003</v>
      </c>
      <c r="AW5" s="903" t="s">
        <v>1473</v>
      </c>
      <c r="AX5" s="907">
        <v>168118</v>
      </c>
      <c r="AY5" s="907">
        <v>168695</v>
      </c>
      <c r="AZ5" s="905">
        <v>1</v>
      </c>
      <c r="BB5" s="900">
        <v>2003</v>
      </c>
      <c r="BC5" s="900" t="s">
        <v>1473</v>
      </c>
      <c r="BD5" s="906">
        <v>86595</v>
      </c>
      <c r="BE5" s="906">
        <v>53766</v>
      </c>
      <c r="BF5" s="902">
        <v>0.62</v>
      </c>
    </row>
    <row r="6" spans="2:58" ht="10.9" thickBot="1">
      <c r="B6" s="900">
        <v>2003</v>
      </c>
      <c r="C6" s="263">
        <f t="shared" si="0"/>
        <v>37711</v>
      </c>
      <c r="D6" s="909">
        <v>1061.0999999999999</v>
      </c>
      <c r="E6" s="909">
        <v>1050.7</v>
      </c>
      <c r="F6" s="914">
        <v>0.99</v>
      </c>
      <c r="G6" s="906">
        <v>179428</v>
      </c>
      <c r="H6" s="906">
        <v>167782</v>
      </c>
      <c r="I6" s="902">
        <v>0.94</v>
      </c>
      <c r="J6" s="906">
        <v>136516</v>
      </c>
      <c r="K6" s="906">
        <v>128469</v>
      </c>
      <c r="L6" s="902">
        <v>0.94</v>
      </c>
      <c r="M6" s="906">
        <v>115426</v>
      </c>
      <c r="N6" s="906">
        <v>114146</v>
      </c>
      <c r="O6" s="902">
        <v>0.99</v>
      </c>
      <c r="P6" s="907">
        <v>96365</v>
      </c>
      <c r="Q6" s="907">
        <v>89846</v>
      </c>
      <c r="R6" s="905">
        <v>0.93</v>
      </c>
      <c r="T6" s="902">
        <v>374.2</v>
      </c>
      <c r="U6" s="902">
        <v>360.1</v>
      </c>
      <c r="V6" s="902">
        <v>0.96</v>
      </c>
      <c r="W6" s="906">
        <v>70110</v>
      </c>
      <c r="X6" s="906">
        <v>72962</v>
      </c>
      <c r="Y6" s="902">
        <v>1.04</v>
      </c>
      <c r="Z6" s="906">
        <v>39596</v>
      </c>
      <c r="AA6" s="906">
        <v>37262</v>
      </c>
      <c r="AB6" s="902">
        <v>0.94</v>
      </c>
      <c r="AC6" s="906">
        <v>77412</v>
      </c>
      <c r="AD6" s="906">
        <v>75339</v>
      </c>
      <c r="AE6" s="902">
        <v>0.97</v>
      </c>
      <c r="AF6" s="905">
        <v>0</v>
      </c>
      <c r="AG6" s="905">
        <v>0</v>
      </c>
      <c r="AH6" s="905" t="s">
        <v>1483</v>
      </c>
      <c r="AI6" s="901">
        <v>1435.2</v>
      </c>
      <c r="AJ6" s="901">
        <v>1410.9</v>
      </c>
      <c r="AK6" s="902">
        <v>0.98</v>
      </c>
      <c r="AL6" s="906">
        <v>249538</v>
      </c>
      <c r="AM6" s="906">
        <v>240744</v>
      </c>
      <c r="AN6" s="902">
        <v>0.96</v>
      </c>
      <c r="AP6" s="900">
        <v>2003</v>
      </c>
      <c r="AQ6" s="900" t="s">
        <v>1474</v>
      </c>
      <c r="AR6" s="906">
        <v>176111</v>
      </c>
      <c r="AS6" s="906">
        <v>165731</v>
      </c>
      <c r="AT6" s="902">
        <v>0.94</v>
      </c>
      <c r="AV6" s="900">
        <v>2003</v>
      </c>
      <c r="AW6" s="900" t="s">
        <v>1474</v>
      </c>
      <c r="AX6" s="906">
        <v>192837</v>
      </c>
      <c r="AY6" s="906">
        <v>189485</v>
      </c>
      <c r="AZ6" s="902">
        <v>0.98</v>
      </c>
      <c r="BB6" s="903">
        <v>2003</v>
      </c>
      <c r="BC6" s="903" t="s">
        <v>1474</v>
      </c>
      <c r="BD6" s="907">
        <v>96365</v>
      </c>
      <c r="BE6" s="907">
        <v>89846</v>
      </c>
      <c r="BF6" s="905">
        <v>0.93</v>
      </c>
    </row>
    <row r="7" spans="2:58" ht="10.9" thickBot="1">
      <c r="B7" s="903">
        <v>2003</v>
      </c>
      <c r="C7" s="263">
        <f t="shared" si="0"/>
        <v>37741</v>
      </c>
      <c r="D7" s="909">
        <v>996.2</v>
      </c>
      <c r="E7" s="909">
        <v>828.1</v>
      </c>
      <c r="F7" s="914">
        <v>0.83</v>
      </c>
      <c r="G7" s="907">
        <v>169099</v>
      </c>
      <c r="H7" s="907">
        <v>136934</v>
      </c>
      <c r="I7" s="905">
        <v>0.81</v>
      </c>
      <c r="J7" s="907">
        <v>124575</v>
      </c>
      <c r="K7" s="907">
        <v>100093</v>
      </c>
      <c r="L7" s="905">
        <v>0.8</v>
      </c>
      <c r="M7" s="907">
        <v>106265</v>
      </c>
      <c r="N7" s="907">
        <v>88489</v>
      </c>
      <c r="O7" s="905">
        <v>0.83</v>
      </c>
      <c r="P7" s="906">
        <v>93282</v>
      </c>
      <c r="Q7" s="906">
        <v>66455</v>
      </c>
      <c r="R7" s="902">
        <v>0.71</v>
      </c>
      <c r="T7" s="905">
        <v>338.1</v>
      </c>
      <c r="U7" s="905">
        <v>309.3</v>
      </c>
      <c r="V7" s="905">
        <v>0.91</v>
      </c>
      <c r="W7" s="907">
        <v>65688</v>
      </c>
      <c r="X7" s="907">
        <v>59744</v>
      </c>
      <c r="Y7" s="905">
        <v>0.91</v>
      </c>
      <c r="Z7" s="907">
        <v>34904</v>
      </c>
      <c r="AA7" s="907">
        <v>28044</v>
      </c>
      <c r="AB7" s="905">
        <v>0.8</v>
      </c>
      <c r="AC7" s="907">
        <v>63132</v>
      </c>
      <c r="AD7" s="907">
        <v>58121</v>
      </c>
      <c r="AE7" s="905">
        <v>0.92</v>
      </c>
      <c r="AF7" s="902">
        <v>0</v>
      </c>
      <c r="AG7" s="902">
        <v>0</v>
      </c>
      <c r="AH7" s="902" t="s">
        <v>1483</v>
      </c>
      <c r="AI7" s="904">
        <v>1334.3</v>
      </c>
      <c r="AJ7" s="904">
        <v>1137.4000000000001</v>
      </c>
      <c r="AK7" s="905">
        <v>0.85</v>
      </c>
      <c r="AL7" s="907">
        <v>234788</v>
      </c>
      <c r="AM7" s="907">
        <v>196679</v>
      </c>
      <c r="AN7" s="905">
        <v>0.84</v>
      </c>
      <c r="AP7" s="903">
        <v>2003</v>
      </c>
      <c r="AQ7" s="903" t="s">
        <v>1475</v>
      </c>
      <c r="AR7" s="907">
        <v>159479</v>
      </c>
      <c r="AS7" s="907">
        <v>128137</v>
      </c>
      <c r="AT7" s="905">
        <v>0.8</v>
      </c>
      <c r="AV7" s="903">
        <v>2003</v>
      </c>
      <c r="AW7" s="903" t="s">
        <v>1475</v>
      </c>
      <c r="AX7" s="907">
        <v>169397</v>
      </c>
      <c r="AY7" s="907">
        <v>146610</v>
      </c>
      <c r="AZ7" s="905">
        <v>0.87</v>
      </c>
      <c r="BB7" s="900">
        <v>2003</v>
      </c>
      <c r="BC7" s="900" t="s">
        <v>1475</v>
      </c>
      <c r="BD7" s="906">
        <v>93282</v>
      </c>
      <c r="BE7" s="906">
        <v>66455</v>
      </c>
      <c r="BF7" s="902">
        <v>0.71</v>
      </c>
    </row>
    <row r="8" spans="2:58" ht="10.9" thickBot="1">
      <c r="B8" s="900">
        <v>2003</v>
      </c>
      <c r="C8" s="263">
        <f t="shared" si="0"/>
        <v>37772</v>
      </c>
      <c r="D8" s="909">
        <v>1022.1</v>
      </c>
      <c r="E8" s="909">
        <v>775.6</v>
      </c>
      <c r="F8" s="914">
        <v>0.76</v>
      </c>
      <c r="G8" s="906">
        <v>174023</v>
      </c>
      <c r="H8" s="906">
        <v>128080</v>
      </c>
      <c r="I8" s="902">
        <v>0.74</v>
      </c>
      <c r="J8" s="906">
        <v>122498</v>
      </c>
      <c r="K8" s="906">
        <v>88782</v>
      </c>
      <c r="L8" s="902">
        <v>0.72</v>
      </c>
      <c r="M8" s="906">
        <v>110327</v>
      </c>
      <c r="N8" s="906">
        <v>84414</v>
      </c>
      <c r="O8" s="902">
        <v>0.77</v>
      </c>
      <c r="P8" s="907">
        <v>96432</v>
      </c>
      <c r="Q8" s="907">
        <v>65112</v>
      </c>
      <c r="R8" s="905">
        <v>0.68</v>
      </c>
      <c r="T8" s="902">
        <v>374.9</v>
      </c>
      <c r="U8" s="902">
        <v>271.5</v>
      </c>
      <c r="V8" s="902">
        <v>0.72</v>
      </c>
      <c r="W8" s="906">
        <v>65405</v>
      </c>
      <c r="X8" s="906">
        <v>52782</v>
      </c>
      <c r="Y8" s="902">
        <v>0.81</v>
      </c>
      <c r="Z8" s="906">
        <v>35720</v>
      </c>
      <c r="AA8" s="906">
        <v>25889</v>
      </c>
      <c r="AB8" s="902">
        <v>0.72</v>
      </c>
      <c r="AC8" s="906">
        <v>58350</v>
      </c>
      <c r="AD8" s="906">
        <v>49433</v>
      </c>
      <c r="AE8" s="902">
        <v>0.85</v>
      </c>
      <c r="AF8" s="905">
        <v>0</v>
      </c>
      <c r="AG8" s="905">
        <v>0</v>
      </c>
      <c r="AH8" s="905" t="s">
        <v>1483</v>
      </c>
      <c r="AI8" s="901">
        <v>1397</v>
      </c>
      <c r="AJ8" s="901">
        <v>1047.0999999999999</v>
      </c>
      <c r="AK8" s="902">
        <v>0.75</v>
      </c>
      <c r="AL8" s="906">
        <v>239428</v>
      </c>
      <c r="AM8" s="906">
        <v>180862</v>
      </c>
      <c r="AN8" s="902">
        <v>0.76</v>
      </c>
      <c r="AP8" s="900">
        <v>2003</v>
      </c>
      <c r="AQ8" s="900" t="s">
        <v>1465</v>
      </c>
      <c r="AR8" s="906">
        <v>158218</v>
      </c>
      <c r="AS8" s="906">
        <v>114671</v>
      </c>
      <c r="AT8" s="902">
        <v>0.72</v>
      </c>
      <c r="AV8" s="900">
        <v>2003</v>
      </c>
      <c r="AW8" s="900" t="s">
        <v>1465</v>
      </c>
      <c r="AX8" s="906">
        <v>168678</v>
      </c>
      <c r="AY8" s="906">
        <v>133847</v>
      </c>
      <c r="AZ8" s="902">
        <v>0.79</v>
      </c>
      <c r="BB8" s="903">
        <v>2003</v>
      </c>
      <c r="BC8" s="903" t="s">
        <v>1465</v>
      </c>
      <c r="BD8" s="907">
        <v>96432</v>
      </c>
      <c r="BE8" s="907">
        <v>65112</v>
      </c>
      <c r="BF8" s="905">
        <v>0.68</v>
      </c>
    </row>
    <row r="9" spans="2:58" ht="10.9" thickBot="1">
      <c r="B9" s="903">
        <v>2003</v>
      </c>
      <c r="C9" s="263">
        <f t="shared" si="0"/>
        <v>37802</v>
      </c>
      <c r="D9" s="909">
        <v>1041.0999999999999</v>
      </c>
      <c r="E9" s="909">
        <v>778.6</v>
      </c>
      <c r="F9" s="914">
        <v>0.75</v>
      </c>
      <c r="G9" s="907">
        <v>176062</v>
      </c>
      <c r="H9" s="907">
        <v>125915</v>
      </c>
      <c r="I9" s="905">
        <v>0.72</v>
      </c>
      <c r="J9" s="907">
        <v>124688</v>
      </c>
      <c r="K9" s="907">
        <v>88228</v>
      </c>
      <c r="L9" s="905">
        <v>0.71</v>
      </c>
      <c r="M9" s="907">
        <v>116135</v>
      </c>
      <c r="N9" s="907">
        <v>85957</v>
      </c>
      <c r="O9" s="905">
        <v>0.74</v>
      </c>
      <c r="P9" s="906">
        <v>95934</v>
      </c>
      <c r="Q9" s="906">
        <v>60989</v>
      </c>
      <c r="R9" s="902">
        <v>0.64</v>
      </c>
      <c r="T9" s="905">
        <v>361.6</v>
      </c>
      <c r="U9" s="905">
        <v>287.8</v>
      </c>
      <c r="V9" s="905">
        <v>0.8</v>
      </c>
      <c r="W9" s="907">
        <v>70591</v>
      </c>
      <c r="X9" s="907">
        <v>56489</v>
      </c>
      <c r="Y9" s="905">
        <v>0.8</v>
      </c>
      <c r="Z9" s="907">
        <v>40363</v>
      </c>
      <c r="AA9" s="907">
        <v>28560</v>
      </c>
      <c r="AB9" s="905">
        <v>0.71</v>
      </c>
      <c r="AC9" s="907">
        <v>64899</v>
      </c>
      <c r="AD9" s="907">
        <v>54665</v>
      </c>
      <c r="AE9" s="905">
        <v>0.84</v>
      </c>
      <c r="AF9" s="902">
        <v>0</v>
      </c>
      <c r="AG9" s="902">
        <v>0</v>
      </c>
      <c r="AH9" s="902" t="s">
        <v>1483</v>
      </c>
      <c r="AI9" s="904">
        <v>1402.6</v>
      </c>
      <c r="AJ9" s="904">
        <v>1066.4000000000001</v>
      </c>
      <c r="AK9" s="905">
        <v>0.76</v>
      </c>
      <c r="AL9" s="907">
        <v>246653</v>
      </c>
      <c r="AM9" s="907">
        <v>182404</v>
      </c>
      <c r="AN9" s="905">
        <v>0.74</v>
      </c>
      <c r="AP9" s="903">
        <v>2003</v>
      </c>
      <c r="AQ9" s="903" t="s">
        <v>1476</v>
      </c>
      <c r="AR9" s="907">
        <v>165051</v>
      </c>
      <c r="AS9" s="907">
        <v>116788</v>
      </c>
      <c r="AT9" s="905">
        <v>0.71</v>
      </c>
      <c r="AV9" s="903">
        <v>2003</v>
      </c>
      <c r="AW9" s="903" t="s">
        <v>1476</v>
      </c>
      <c r="AX9" s="907">
        <v>181034</v>
      </c>
      <c r="AY9" s="907">
        <v>140622</v>
      </c>
      <c r="AZ9" s="905">
        <v>0.78</v>
      </c>
      <c r="BB9" s="900">
        <v>2003</v>
      </c>
      <c r="BC9" s="900" t="s">
        <v>1476</v>
      </c>
      <c r="BD9" s="906">
        <v>95934</v>
      </c>
      <c r="BE9" s="906">
        <v>60989</v>
      </c>
      <c r="BF9" s="902">
        <v>0.64</v>
      </c>
    </row>
    <row r="10" spans="2:58" ht="10.9" thickBot="1">
      <c r="B10" s="900">
        <v>2003</v>
      </c>
      <c r="C10" s="263">
        <f t="shared" si="0"/>
        <v>37833</v>
      </c>
      <c r="D10" s="909">
        <v>1105.3</v>
      </c>
      <c r="E10" s="909">
        <v>861.4</v>
      </c>
      <c r="F10" s="914">
        <v>0.78</v>
      </c>
      <c r="G10" s="906">
        <v>187937</v>
      </c>
      <c r="H10" s="906">
        <v>139107</v>
      </c>
      <c r="I10" s="902">
        <v>0.74</v>
      </c>
      <c r="J10" s="906">
        <v>130109</v>
      </c>
      <c r="K10" s="906">
        <v>96471</v>
      </c>
      <c r="L10" s="902">
        <v>0.74</v>
      </c>
      <c r="M10" s="906">
        <v>125964</v>
      </c>
      <c r="N10" s="906">
        <v>101509</v>
      </c>
      <c r="O10" s="902">
        <v>0.81</v>
      </c>
      <c r="P10" s="907">
        <v>99573</v>
      </c>
      <c r="Q10" s="907">
        <v>69540</v>
      </c>
      <c r="R10" s="905">
        <v>0.7</v>
      </c>
      <c r="T10" s="902">
        <v>390.9</v>
      </c>
      <c r="U10" s="902">
        <v>315.89999999999998</v>
      </c>
      <c r="V10" s="902">
        <v>0.81</v>
      </c>
      <c r="W10" s="906">
        <v>77384</v>
      </c>
      <c r="X10" s="906">
        <v>63836</v>
      </c>
      <c r="Y10" s="902">
        <v>0.82</v>
      </c>
      <c r="Z10" s="906">
        <v>43172</v>
      </c>
      <c r="AA10" s="906">
        <v>32011</v>
      </c>
      <c r="AB10" s="902">
        <v>0.74</v>
      </c>
      <c r="AC10" s="906">
        <v>67856</v>
      </c>
      <c r="AD10" s="906">
        <v>59046</v>
      </c>
      <c r="AE10" s="902">
        <v>0.87</v>
      </c>
      <c r="AF10" s="905">
        <v>0</v>
      </c>
      <c r="AG10" s="905">
        <v>0</v>
      </c>
      <c r="AH10" s="905" t="s">
        <v>1483</v>
      </c>
      <c r="AI10" s="901">
        <v>1496.3</v>
      </c>
      <c r="AJ10" s="901">
        <v>1177.3</v>
      </c>
      <c r="AK10" s="902">
        <v>0.79</v>
      </c>
      <c r="AL10" s="906">
        <v>265321</v>
      </c>
      <c r="AM10" s="906">
        <v>202943</v>
      </c>
      <c r="AN10" s="902">
        <v>0.76</v>
      </c>
      <c r="AP10" s="900">
        <v>2003</v>
      </c>
      <c r="AQ10" s="900" t="s">
        <v>1477</v>
      </c>
      <c r="AR10" s="906">
        <v>173281</v>
      </c>
      <c r="AS10" s="906">
        <v>128482</v>
      </c>
      <c r="AT10" s="902">
        <v>0.74</v>
      </c>
      <c r="AV10" s="900">
        <v>2003</v>
      </c>
      <c r="AW10" s="900" t="s">
        <v>1477</v>
      </c>
      <c r="AX10" s="906">
        <v>193820</v>
      </c>
      <c r="AY10" s="906">
        <v>160555</v>
      </c>
      <c r="AZ10" s="902">
        <v>0.83</v>
      </c>
      <c r="BB10" s="903">
        <v>2003</v>
      </c>
      <c r="BC10" s="903" t="s">
        <v>1477</v>
      </c>
      <c r="BD10" s="907">
        <v>99573</v>
      </c>
      <c r="BE10" s="907">
        <v>69540</v>
      </c>
      <c r="BF10" s="905">
        <v>0.7</v>
      </c>
    </row>
    <row r="11" spans="2:58" ht="10.9" thickBot="1">
      <c r="B11" s="903">
        <v>2003</v>
      </c>
      <c r="C11" s="263">
        <f t="shared" si="0"/>
        <v>37864</v>
      </c>
      <c r="D11" s="909">
        <v>1103.2</v>
      </c>
      <c r="E11" s="909">
        <v>909.9</v>
      </c>
      <c r="F11" s="914">
        <v>0.82</v>
      </c>
      <c r="G11" s="907">
        <v>187413</v>
      </c>
      <c r="H11" s="907">
        <v>148309</v>
      </c>
      <c r="I11" s="905">
        <v>0.79</v>
      </c>
      <c r="J11" s="907">
        <v>132748</v>
      </c>
      <c r="K11" s="907">
        <v>103947</v>
      </c>
      <c r="L11" s="905">
        <v>0.78</v>
      </c>
      <c r="M11" s="907">
        <v>123325</v>
      </c>
      <c r="N11" s="907">
        <v>103661</v>
      </c>
      <c r="O11" s="905">
        <v>0.84</v>
      </c>
      <c r="P11" s="906">
        <v>98759</v>
      </c>
      <c r="Q11" s="906">
        <v>73424</v>
      </c>
      <c r="R11" s="902">
        <v>0.74</v>
      </c>
      <c r="T11" s="905">
        <v>401.5</v>
      </c>
      <c r="U11" s="905">
        <v>338</v>
      </c>
      <c r="V11" s="905">
        <v>0.84</v>
      </c>
      <c r="W11" s="907">
        <v>77645</v>
      </c>
      <c r="X11" s="907">
        <v>66600</v>
      </c>
      <c r="Y11" s="905">
        <v>0.86</v>
      </c>
      <c r="Z11" s="907">
        <v>44735</v>
      </c>
      <c r="AA11" s="907">
        <v>35029</v>
      </c>
      <c r="AB11" s="905">
        <v>0.78</v>
      </c>
      <c r="AC11" s="907">
        <v>72489</v>
      </c>
      <c r="AD11" s="907">
        <v>65813</v>
      </c>
      <c r="AE11" s="905">
        <v>0.91</v>
      </c>
      <c r="AF11" s="902">
        <v>0</v>
      </c>
      <c r="AG11" s="902">
        <v>0</v>
      </c>
      <c r="AH11" s="902" t="s">
        <v>1483</v>
      </c>
      <c r="AI11" s="904">
        <v>1504.7</v>
      </c>
      <c r="AJ11" s="904">
        <v>1247.9000000000001</v>
      </c>
      <c r="AK11" s="905">
        <v>0.83</v>
      </c>
      <c r="AL11" s="907">
        <v>265058</v>
      </c>
      <c r="AM11" s="907">
        <v>214909</v>
      </c>
      <c r="AN11" s="905">
        <v>0.81</v>
      </c>
      <c r="AP11" s="903">
        <v>2003</v>
      </c>
      <c r="AQ11" s="903" t="s">
        <v>1478</v>
      </c>
      <c r="AR11" s="907">
        <v>177482</v>
      </c>
      <c r="AS11" s="907">
        <v>138977</v>
      </c>
      <c r="AT11" s="905">
        <v>0.78</v>
      </c>
      <c r="AV11" s="903">
        <v>2003</v>
      </c>
      <c r="AW11" s="903" t="s">
        <v>1478</v>
      </c>
      <c r="AX11" s="907">
        <v>195814</v>
      </c>
      <c r="AY11" s="907">
        <v>169473</v>
      </c>
      <c r="AZ11" s="905">
        <v>0.87</v>
      </c>
      <c r="BB11" s="900">
        <v>2003</v>
      </c>
      <c r="BC11" s="900" t="s">
        <v>1478</v>
      </c>
      <c r="BD11" s="906">
        <v>98759</v>
      </c>
      <c r="BE11" s="906">
        <v>73424</v>
      </c>
      <c r="BF11" s="902">
        <v>0.74</v>
      </c>
    </row>
    <row r="12" spans="2:58" ht="10.9" thickBot="1">
      <c r="B12" s="900">
        <v>2003</v>
      </c>
      <c r="C12" s="263">
        <f t="shared" si="0"/>
        <v>37894</v>
      </c>
      <c r="D12" s="909">
        <v>993.6</v>
      </c>
      <c r="E12" s="909">
        <v>796.5</v>
      </c>
      <c r="F12" s="914">
        <v>0.8</v>
      </c>
      <c r="G12" s="906">
        <v>167551</v>
      </c>
      <c r="H12" s="906">
        <v>130256</v>
      </c>
      <c r="I12" s="902">
        <v>0.78</v>
      </c>
      <c r="J12" s="906">
        <v>122147</v>
      </c>
      <c r="K12" s="906">
        <v>95075</v>
      </c>
      <c r="L12" s="902">
        <v>0.78</v>
      </c>
      <c r="M12" s="906">
        <v>107131</v>
      </c>
      <c r="N12" s="906">
        <v>84897</v>
      </c>
      <c r="O12" s="902">
        <v>0.79</v>
      </c>
      <c r="P12" s="907">
        <v>93881</v>
      </c>
      <c r="Q12" s="907">
        <v>70666</v>
      </c>
      <c r="R12" s="905">
        <v>0.75</v>
      </c>
      <c r="T12" s="902">
        <v>389.5</v>
      </c>
      <c r="U12" s="902">
        <v>317.10000000000002</v>
      </c>
      <c r="V12" s="902">
        <v>0.81</v>
      </c>
      <c r="W12" s="906">
        <v>69972</v>
      </c>
      <c r="X12" s="906">
        <v>60033</v>
      </c>
      <c r="Y12" s="902">
        <v>0.86</v>
      </c>
      <c r="Z12" s="906">
        <v>42405</v>
      </c>
      <c r="AA12" s="906">
        <v>33006</v>
      </c>
      <c r="AB12" s="902">
        <v>0.78</v>
      </c>
      <c r="AC12" s="906">
        <v>82125</v>
      </c>
      <c r="AD12" s="906">
        <v>62727</v>
      </c>
      <c r="AE12" s="902">
        <v>0.76</v>
      </c>
      <c r="AF12" s="905">
        <v>0</v>
      </c>
      <c r="AG12" s="905">
        <v>0</v>
      </c>
      <c r="AH12" s="905" t="s">
        <v>1483</v>
      </c>
      <c r="AI12" s="901">
        <v>1383.1</v>
      </c>
      <c r="AJ12" s="901">
        <v>1113.5999999999999</v>
      </c>
      <c r="AK12" s="902">
        <v>0.81</v>
      </c>
      <c r="AL12" s="906">
        <v>237523</v>
      </c>
      <c r="AM12" s="906">
        <v>190289</v>
      </c>
      <c r="AN12" s="902">
        <v>0.8</v>
      </c>
      <c r="AP12" s="900">
        <v>2003</v>
      </c>
      <c r="AQ12" s="900" t="s">
        <v>1479</v>
      </c>
      <c r="AR12" s="906">
        <v>164552</v>
      </c>
      <c r="AS12" s="906">
        <v>128081</v>
      </c>
      <c r="AT12" s="902">
        <v>0.78</v>
      </c>
      <c r="AV12" s="900">
        <v>2003</v>
      </c>
      <c r="AW12" s="900" t="s">
        <v>1479</v>
      </c>
      <c r="AX12" s="906">
        <v>189256</v>
      </c>
      <c r="AY12" s="906">
        <v>147624</v>
      </c>
      <c r="AZ12" s="902">
        <v>0.78</v>
      </c>
      <c r="BB12" s="903">
        <v>2003</v>
      </c>
      <c r="BC12" s="903" t="s">
        <v>1479</v>
      </c>
      <c r="BD12" s="907">
        <v>93881</v>
      </c>
      <c r="BE12" s="907">
        <v>70666</v>
      </c>
      <c r="BF12" s="905">
        <v>0.75</v>
      </c>
    </row>
    <row r="13" spans="2:58" ht="10.9" thickBot="1">
      <c r="B13" s="903">
        <v>2003</v>
      </c>
      <c r="C13" s="263">
        <f t="shared" si="0"/>
        <v>37925</v>
      </c>
      <c r="D13" s="909">
        <v>1055</v>
      </c>
      <c r="E13" s="909">
        <v>857.5</v>
      </c>
      <c r="F13" s="914">
        <v>0.81</v>
      </c>
      <c r="G13" s="907">
        <v>175722</v>
      </c>
      <c r="H13" s="907">
        <v>132901</v>
      </c>
      <c r="I13" s="905">
        <v>0.76</v>
      </c>
      <c r="J13" s="907">
        <v>129852</v>
      </c>
      <c r="K13" s="907">
        <v>105943</v>
      </c>
      <c r="L13" s="905">
        <v>0.82</v>
      </c>
      <c r="M13" s="907">
        <v>113043</v>
      </c>
      <c r="N13" s="907">
        <v>93433</v>
      </c>
      <c r="O13" s="905">
        <v>0.83</v>
      </c>
      <c r="P13" s="906">
        <v>98378</v>
      </c>
      <c r="Q13" s="906">
        <v>72477</v>
      </c>
      <c r="R13" s="902">
        <v>0.74</v>
      </c>
      <c r="T13" s="905">
        <v>383.4</v>
      </c>
      <c r="U13" s="905">
        <v>328.2</v>
      </c>
      <c r="V13" s="905">
        <v>0.86</v>
      </c>
      <c r="W13" s="907">
        <v>70808</v>
      </c>
      <c r="X13" s="907">
        <v>60502</v>
      </c>
      <c r="Y13" s="905">
        <v>0.85</v>
      </c>
      <c r="Z13" s="907">
        <v>41353</v>
      </c>
      <c r="AA13" s="907">
        <v>33738</v>
      </c>
      <c r="AB13" s="905">
        <v>0.82</v>
      </c>
      <c r="AC13" s="907">
        <v>75097</v>
      </c>
      <c r="AD13" s="907">
        <v>68307</v>
      </c>
      <c r="AE13" s="905">
        <v>0.91</v>
      </c>
      <c r="AF13" s="902">
        <v>0</v>
      </c>
      <c r="AG13" s="902">
        <v>0</v>
      </c>
      <c r="AH13" s="902" t="s">
        <v>1483</v>
      </c>
      <c r="AI13" s="904">
        <v>1438.5</v>
      </c>
      <c r="AJ13" s="904">
        <v>1185.7</v>
      </c>
      <c r="AK13" s="905">
        <v>0.82</v>
      </c>
      <c r="AL13" s="907">
        <v>246529</v>
      </c>
      <c r="AM13" s="907">
        <v>193403</v>
      </c>
      <c r="AN13" s="905">
        <v>0.78</v>
      </c>
      <c r="AP13" s="903">
        <v>2003</v>
      </c>
      <c r="AQ13" s="903" t="s">
        <v>1480</v>
      </c>
      <c r="AR13" s="907">
        <v>171205</v>
      </c>
      <c r="AS13" s="907">
        <v>139682</v>
      </c>
      <c r="AT13" s="905">
        <v>0.82</v>
      </c>
      <c r="AV13" s="903">
        <v>2003</v>
      </c>
      <c r="AW13" s="903" t="s">
        <v>1480</v>
      </c>
      <c r="AX13" s="907">
        <v>188140</v>
      </c>
      <c r="AY13" s="907">
        <v>161740</v>
      </c>
      <c r="AZ13" s="905">
        <v>0.86</v>
      </c>
      <c r="BB13" s="900">
        <v>2003</v>
      </c>
      <c r="BC13" s="900" t="s">
        <v>1480</v>
      </c>
      <c r="BD13" s="906">
        <v>98378</v>
      </c>
      <c r="BE13" s="906">
        <v>72477</v>
      </c>
      <c r="BF13" s="902">
        <v>0.74</v>
      </c>
    </row>
    <row r="14" spans="2:58" ht="10.9" thickBot="1">
      <c r="B14" s="900">
        <v>2003</v>
      </c>
      <c r="C14" s="263">
        <f t="shared" si="0"/>
        <v>37955</v>
      </c>
      <c r="D14" s="909">
        <v>1007.5</v>
      </c>
      <c r="E14" s="909">
        <v>844.7</v>
      </c>
      <c r="F14" s="914">
        <v>0.84</v>
      </c>
      <c r="G14" s="906">
        <v>166521</v>
      </c>
      <c r="H14" s="906">
        <v>132043</v>
      </c>
      <c r="I14" s="902">
        <v>0.79</v>
      </c>
      <c r="J14" s="906">
        <v>125879</v>
      </c>
      <c r="K14" s="906">
        <v>100944</v>
      </c>
      <c r="L14" s="902">
        <v>0.8</v>
      </c>
      <c r="M14" s="906">
        <v>108162</v>
      </c>
      <c r="N14" s="906">
        <v>95675</v>
      </c>
      <c r="O14" s="902">
        <v>0.88</v>
      </c>
      <c r="P14" s="907">
        <v>92995</v>
      </c>
      <c r="Q14" s="907">
        <v>70006</v>
      </c>
      <c r="R14" s="905">
        <v>0.75</v>
      </c>
      <c r="T14" s="902">
        <v>360.4</v>
      </c>
      <c r="U14" s="902">
        <v>317.5</v>
      </c>
      <c r="V14" s="902">
        <v>0.88</v>
      </c>
      <c r="W14" s="906">
        <v>69769</v>
      </c>
      <c r="X14" s="906">
        <v>62438</v>
      </c>
      <c r="Y14" s="902">
        <v>0.89</v>
      </c>
      <c r="Z14" s="906">
        <v>38266</v>
      </c>
      <c r="AA14" s="906">
        <v>30686</v>
      </c>
      <c r="AB14" s="902">
        <v>0.8</v>
      </c>
      <c r="AC14" s="906">
        <v>72812</v>
      </c>
      <c r="AD14" s="906">
        <v>66105</v>
      </c>
      <c r="AE14" s="902">
        <v>0.91</v>
      </c>
      <c r="AF14" s="905">
        <v>0</v>
      </c>
      <c r="AG14" s="905">
        <v>0</v>
      </c>
      <c r="AH14" s="905" t="s">
        <v>1483</v>
      </c>
      <c r="AI14" s="901">
        <v>1367.8</v>
      </c>
      <c r="AJ14" s="901">
        <v>1162.2</v>
      </c>
      <c r="AK14" s="902">
        <v>0.85</v>
      </c>
      <c r="AL14" s="906">
        <v>236290</v>
      </c>
      <c r="AM14" s="906">
        <v>194481</v>
      </c>
      <c r="AN14" s="902">
        <v>0.82</v>
      </c>
      <c r="AP14" s="900">
        <v>2003</v>
      </c>
      <c r="AQ14" s="900" t="s">
        <v>1481</v>
      </c>
      <c r="AR14" s="906">
        <v>164145</v>
      </c>
      <c r="AS14" s="906">
        <v>131630</v>
      </c>
      <c r="AT14" s="902">
        <v>0.8</v>
      </c>
      <c r="AV14" s="900">
        <v>2003</v>
      </c>
      <c r="AW14" s="900" t="s">
        <v>1481</v>
      </c>
      <c r="AX14" s="906">
        <v>180975</v>
      </c>
      <c r="AY14" s="906">
        <v>161780</v>
      </c>
      <c r="AZ14" s="902">
        <v>0.89</v>
      </c>
      <c r="BB14" s="903">
        <v>2003</v>
      </c>
      <c r="BC14" s="903" t="s">
        <v>1481</v>
      </c>
      <c r="BD14" s="907">
        <v>92995</v>
      </c>
      <c r="BE14" s="907">
        <v>70006</v>
      </c>
      <c r="BF14" s="905">
        <v>0.75</v>
      </c>
    </row>
    <row r="15" spans="2:58" ht="11.2" customHeight="1" thickBot="1">
      <c r="B15" s="903">
        <v>2003</v>
      </c>
      <c r="C15" s="263">
        <f t="shared" si="0"/>
        <v>37986</v>
      </c>
      <c r="D15" s="909">
        <v>1075.4000000000001</v>
      </c>
      <c r="E15" s="909">
        <v>941.8</v>
      </c>
      <c r="F15" s="914">
        <v>0.88</v>
      </c>
      <c r="G15" s="907">
        <v>174060</v>
      </c>
      <c r="H15" s="907">
        <v>144959</v>
      </c>
      <c r="I15" s="905">
        <v>0.83</v>
      </c>
      <c r="J15" s="907">
        <v>130048</v>
      </c>
      <c r="K15" s="907">
        <v>111219</v>
      </c>
      <c r="L15" s="905">
        <v>0.86</v>
      </c>
      <c r="M15" s="907">
        <v>114954</v>
      </c>
      <c r="N15" s="907">
        <v>107667</v>
      </c>
      <c r="O15" s="905">
        <v>0.94</v>
      </c>
      <c r="P15" s="906">
        <v>96149</v>
      </c>
      <c r="Q15" s="906">
        <v>71139</v>
      </c>
      <c r="R15" s="902">
        <v>0.74</v>
      </c>
      <c r="T15" s="905">
        <v>368.9</v>
      </c>
      <c r="U15" s="905">
        <v>339.8</v>
      </c>
      <c r="V15" s="905">
        <v>0.92</v>
      </c>
      <c r="W15" s="907">
        <v>73248</v>
      </c>
      <c r="X15" s="907">
        <v>68994</v>
      </c>
      <c r="Y15" s="905">
        <v>0.94</v>
      </c>
      <c r="Z15" s="907">
        <v>39683</v>
      </c>
      <c r="AA15" s="907">
        <v>33937</v>
      </c>
      <c r="AB15" s="905">
        <v>0.86</v>
      </c>
      <c r="AC15" s="907">
        <v>74614</v>
      </c>
      <c r="AD15" s="907">
        <v>71110</v>
      </c>
      <c r="AE15" s="905">
        <v>0.95</v>
      </c>
      <c r="AF15" s="902">
        <v>0</v>
      </c>
      <c r="AG15" s="902">
        <v>0</v>
      </c>
      <c r="AH15" s="902" t="s">
        <v>1483</v>
      </c>
      <c r="AI15" s="904">
        <v>1444.3</v>
      </c>
      <c r="AJ15" s="904">
        <v>1281.5999999999999</v>
      </c>
      <c r="AK15" s="905">
        <v>0.89</v>
      </c>
      <c r="AL15" s="907">
        <v>247308</v>
      </c>
      <c r="AM15" s="907">
        <v>213953</v>
      </c>
      <c r="AN15" s="905">
        <v>0.87</v>
      </c>
      <c r="AP15" s="903">
        <v>2003</v>
      </c>
      <c r="AQ15" s="903" t="s">
        <v>1482</v>
      </c>
      <c r="AR15" s="907">
        <v>169730</v>
      </c>
      <c r="AS15" s="907">
        <v>145156</v>
      </c>
      <c r="AT15" s="905">
        <v>0.86</v>
      </c>
      <c r="AV15" s="903">
        <v>2003</v>
      </c>
      <c r="AW15" s="903" t="s">
        <v>1482</v>
      </c>
      <c r="AX15" s="907">
        <v>189568</v>
      </c>
      <c r="AY15" s="907">
        <v>178777</v>
      </c>
      <c r="AZ15" s="905">
        <v>0.94</v>
      </c>
      <c r="BB15" s="900">
        <v>2003</v>
      </c>
      <c r="BC15" s="900" t="s">
        <v>1482</v>
      </c>
      <c r="BD15" s="906">
        <v>96149</v>
      </c>
      <c r="BE15" s="906">
        <v>71139</v>
      </c>
      <c r="BF15" s="902">
        <v>0.74</v>
      </c>
    </row>
    <row r="16" spans="2:58" ht="10.9" thickBot="1">
      <c r="B16" s="900">
        <v>2004</v>
      </c>
      <c r="C16" s="263">
        <f t="shared" si="0"/>
        <v>38017</v>
      </c>
      <c r="D16" s="909">
        <v>1065.2</v>
      </c>
      <c r="E16" s="909">
        <v>1008.2</v>
      </c>
      <c r="F16" s="914">
        <v>0.95</v>
      </c>
      <c r="G16" s="906">
        <v>173768</v>
      </c>
      <c r="H16" s="906">
        <v>156325</v>
      </c>
      <c r="I16" s="902">
        <v>0.9</v>
      </c>
      <c r="J16" s="906">
        <v>131566</v>
      </c>
      <c r="K16" s="906">
        <v>120822</v>
      </c>
      <c r="L16" s="902">
        <v>0.92</v>
      </c>
      <c r="M16" s="906">
        <v>106291</v>
      </c>
      <c r="N16" s="906">
        <v>105695</v>
      </c>
      <c r="O16" s="902">
        <v>0.99</v>
      </c>
      <c r="P16" s="907">
        <v>95238</v>
      </c>
      <c r="Q16" s="907">
        <v>72759</v>
      </c>
      <c r="R16" s="905">
        <v>0.76</v>
      </c>
      <c r="T16" s="902">
        <v>371.3</v>
      </c>
      <c r="U16" s="902">
        <v>368.9</v>
      </c>
      <c r="V16" s="902">
        <v>0.99</v>
      </c>
      <c r="W16" s="906">
        <v>74446</v>
      </c>
      <c r="X16" s="906">
        <v>73474</v>
      </c>
      <c r="Y16" s="902">
        <v>0.99</v>
      </c>
      <c r="Z16" s="906">
        <v>37667</v>
      </c>
      <c r="AA16" s="906">
        <v>34591</v>
      </c>
      <c r="AB16" s="902">
        <v>0.92</v>
      </c>
      <c r="AC16" s="906">
        <v>82576</v>
      </c>
      <c r="AD16" s="906">
        <v>83344</v>
      </c>
      <c r="AE16" s="902">
        <v>1.01</v>
      </c>
      <c r="AF16" s="905">
        <v>0</v>
      </c>
      <c r="AG16" s="905">
        <v>0</v>
      </c>
      <c r="AH16" s="905" t="s">
        <v>1483</v>
      </c>
      <c r="AI16" s="901">
        <v>1436.5</v>
      </c>
      <c r="AJ16" s="901">
        <v>1377.1</v>
      </c>
      <c r="AK16" s="902">
        <v>0.96</v>
      </c>
      <c r="AL16" s="906">
        <v>248215</v>
      </c>
      <c r="AM16" s="906">
        <v>229799</v>
      </c>
      <c r="AN16" s="902">
        <v>0.93</v>
      </c>
      <c r="AP16" s="900">
        <v>2004</v>
      </c>
      <c r="AQ16" s="900" t="s">
        <v>1472</v>
      </c>
      <c r="AR16" s="906">
        <v>169232</v>
      </c>
      <c r="AS16" s="906">
        <v>155412</v>
      </c>
      <c r="AT16" s="902">
        <v>0.92</v>
      </c>
      <c r="AV16" s="900">
        <v>2004</v>
      </c>
      <c r="AW16" s="900" t="s">
        <v>1472</v>
      </c>
      <c r="AX16" s="906">
        <v>188868</v>
      </c>
      <c r="AY16" s="906">
        <v>189039</v>
      </c>
      <c r="AZ16" s="902">
        <v>1</v>
      </c>
      <c r="BB16" s="903">
        <v>2004</v>
      </c>
      <c r="BC16" s="903" t="s">
        <v>1472</v>
      </c>
      <c r="BD16" s="907">
        <v>95238</v>
      </c>
      <c r="BE16" s="907">
        <v>72759</v>
      </c>
      <c r="BF16" s="905">
        <v>0.76</v>
      </c>
    </row>
    <row r="17" spans="2:58" ht="10.9" thickBot="1">
      <c r="B17" s="903">
        <v>2004</v>
      </c>
      <c r="C17" s="263">
        <f t="shared" si="0"/>
        <v>38046</v>
      </c>
      <c r="D17" s="909">
        <v>1032.4000000000001</v>
      </c>
      <c r="E17" s="909">
        <v>997.4</v>
      </c>
      <c r="F17" s="914">
        <v>0.97</v>
      </c>
      <c r="G17" s="907">
        <v>165668</v>
      </c>
      <c r="H17" s="907">
        <v>153448</v>
      </c>
      <c r="I17" s="905">
        <v>0.93</v>
      </c>
      <c r="J17" s="907">
        <v>125372</v>
      </c>
      <c r="K17" s="907">
        <v>115958</v>
      </c>
      <c r="L17" s="905">
        <v>0.92</v>
      </c>
      <c r="M17" s="907">
        <v>111068</v>
      </c>
      <c r="N17" s="907">
        <v>110720</v>
      </c>
      <c r="O17" s="905">
        <v>1</v>
      </c>
      <c r="P17" s="906">
        <v>91767</v>
      </c>
      <c r="Q17" s="906">
        <v>73733</v>
      </c>
      <c r="R17" s="902">
        <v>0.8</v>
      </c>
      <c r="T17" s="905">
        <v>347.1</v>
      </c>
      <c r="U17" s="905">
        <v>352.4</v>
      </c>
      <c r="V17" s="905">
        <v>1.02</v>
      </c>
      <c r="W17" s="907">
        <v>69334</v>
      </c>
      <c r="X17" s="907">
        <v>72888</v>
      </c>
      <c r="Y17" s="905">
        <v>1.05</v>
      </c>
      <c r="Z17" s="907">
        <v>34518</v>
      </c>
      <c r="AA17" s="907">
        <v>31926</v>
      </c>
      <c r="AB17" s="905">
        <v>0.92</v>
      </c>
      <c r="AC17" s="907">
        <v>66742</v>
      </c>
      <c r="AD17" s="907">
        <v>66760</v>
      </c>
      <c r="AE17" s="905">
        <v>1</v>
      </c>
      <c r="AF17" s="902">
        <v>0</v>
      </c>
      <c r="AG17" s="902">
        <v>0</v>
      </c>
      <c r="AH17" s="902" t="s">
        <v>1483</v>
      </c>
      <c r="AI17" s="904">
        <v>1379.5</v>
      </c>
      <c r="AJ17" s="904">
        <v>1349.8</v>
      </c>
      <c r="AK17" s="905">
        <v>0.98</v>
      </c>
      <c r="AL17" s="907">
        <v>235002</v>
      </c>
      <c r="AM17" s="907">
        <v>226337</v>
      </c>
      <c r="AN17" s="905">
        <v>0.96</v>
      </c>
      <c r="AP17" s="903">
        <v>2004</v>
      </c>
      <c r="AQ17" s="903" t="s">
        <v>1473</v>
      </c>
      <c r="AR17" s="907">
        <v>159890</v>
      </c>
      <c r="AS17" s="907">
        <v>147884</v>
      </c>
      <c r="AT17" s="905">
        <v>0.92</v>
      </c>
      <c r="AV17" s="903">
        <v>2004</v>
      </c>
      <c r="AW17" s="903" t="s">
        <v>1473</v>
      </c>
      <c r="AX17" s="907">
        <v>177809</v>
      </c>
      <c r="AY17" s="907">
        <v>177481</v>
      </c>
      <c r="AZ17" s="905">
        <v>1</v>
      </c>
      <c r="BB17" s="900">
        <v>2004</v>
      </c>
      <c r="BC17" s="900" t="s">
        <v>1473</v>
      </c>
      <c r="BD17" s="906">
        <v>91767</v>
      </c>
      <c r="BE17" s="906">
        <v>73733</v>
      </c>
      <c r="BF17" s="902">
        <v>0.8</v>
      </c>
    </row>
    <row r="18" spans="2:58" ht="10.9" thickBot="1">
      <c r="B18" s="900">
        <v>2004</v>
      </c>
      <c r="C18" s="263">
        <f t="shared" si="0"/>
        <v>38077</v>
      </c>
      <c r="D18" s="909">
        <v>1140.5</v>
      </c>
      <c r="E18" s="909">
        <v>1116.5</v>
      </c>
      <c r="F18" s="914">
        <v>0.98</v>
      </c>
      <c r="G18" s="906">
        <v>188446</v>
      </c>
      <c r="H18" s="906">
        <v>169654</v>
      </c>
      <c r="I18" s="902">
        <v>0.9</v>
      </c>
      <c r="J18" s="906">
        <v>137490</v>
      </c>
      <c r="K18" s="906">
        <v>129528</v>
      </c>
      <c r="L18" s="902">
        <v>0.94</v>
      </c>
      <c r="M18" s="906">
        <v>116576</v>
      </c>
      <c r="N18" s="906">
        <v>121548</v>
      </c>
      <c r="O18" s="902">
        <v>1.04</v>
      </c>
      <c r="P18" s="907">
        <v>100400</v>
      </c>
      <c r="Q18" s="907">
        <v>82954</v>
      </c>
      <c r="R18" s="905">
        <v>0.83</v>
      </c>
      <c r="T18" s="902">
        <v>373.6</v>
      </c>
      <c r="U18" s="902">
        <v>394.5</v>
      </c>
      <c r="V18" s="902">
        <v>1.06</v>
      </c>
      <c r="W18" s="906">
        <v>65688</v>
      </c>
      <c r="X18" s="906">
        <v>75686</v>
      </c>
      <c r="Y18" s="902">
        <v>1.1499999999999999</v>
      </c>
      <c r="Z18" s="906">
        <v>37259</v>
      </c>
      <c r="AA18" s="906">
        <v>35101</v>
      </c>
      <c r="AB18" s="902">
        <v>0.94</v>
      </c>
      <c r="AC18" s="906">
        <v>76972</v>
      </c>
      <c r="AD18" s="906">
        <v>76730</v>
      </c>
      <c r="AE18" s="902">
        <v>1</v>
      </c>
      <c r="AF18" s="905">
        <v>0</v>
      </c>
      <c r="AG18" s="905">
        <v>0</v>
      </c>
      <c r="AH18" s="905" t="s">
        <v>1483</v>
      </c>
      <c r="AI18" s="901">
        <v>1514</v>
      </c>
      <c r="AJ18" s="901">
        <v>1511</v>
      </c>
      <c r="AK18" s="902">
        <v>1</v>
      </c>
      <c r="AL18" s="906">
        <v>254134</v>
      </c>
      <c r="AM18" s="906">
        <v>245340</v>
      </c>
      <c r="AN18" s="902">
        <v>0.97</v>
      </c>
      <c r="AP18" s="900">
        <v>2004</v>
      </c>
      <c r="AQ18" s="900" t="s">
        <v>1474</v>
      </c>
      <c r="AR18" s="906">
        <v>174748</v>
      </c>
      <c r="AS18" s="906">
        <v>164629</v>
      </c>
      <c r="AT18" s="902">
        <v>0.94</v>
      </c>
      <c r="AV18" s="900">
        <v>2004</v>
      </c>
      <c r="AW18" s="900" t="s">
        <v>1474</v>
      </c>
      <c r="AX18" s="906">
        <v>193548</v>
      </c>
      <c r="AY18" s="906">
        <v>198278</v>
      </c>
      <c r="AZ18" s="902">
        <v>1.02</v>
      </c>
      <c r="BB18" s="903">
        <v>2004</v>
      </c>
      <c r="BC18" s="903" t="s">
        <v>1474</v>
      </c>
      <c r="BD18" s="907">
        <v>100400</v>
      </c>
      <c r="BE18" s="907">
        <v>82954</v>
      </c>
      <c r="BF18" s="905">
        <v>0.83</v>
      </c>
    </row>
    <row r="19" spans="2:58" ht="10.9" thickBot="1">
      <c r="B19" s="903">
        <v>2004</v>
      </c>
      <c r="C19" s="263">
        <f t="shared" si="0"/>
        <v>38107</v>
      </c>
      <c r="D19" s="909">
        <v>1094.4000000000001</v>
      </c>
      <c r="E19" s="909">
        <v>1092.5</v>
      </c>
      <c r="F19" s="914">
        <v>1</v>
      </c>
      <c r="G19" s="907">
        <v>174019</v>
      </c>
      <c r="H19" s="907">
        <v>167068</v>
      </c>
      <c r="I19" s="905">
        <v>0.96</v>
      </c>
      <c r="J19" s="907">
        <v>131800</v>
      </c>
      <c r="K19" s="907">
        <v>126672</v>
      </c>
      <c r="L19" s="905">
        <v>0.96</v>
      </c>
      <c r="M19" s="907">
        <v>116177</v>
      </c>
      <c r="N19" s="907">
        <v>124490</v>
      </c>
      <c r="O19" s="905">
        <v>1.07</v>
      </c>
      <c r="P19" s="906">
        <v>97270</v>
      </c>
      <c r="Q19" s="906">
        <v>77959</v>
      </c>
      <c r="R19" s="902">
        <v>0.8</v>
      </c>
      <c r="T19" s="905">
        <v>380.9</v>
      </c>
      <c r="U19" s="905">
        <v>393.6</v>
      </c>
      <c r="V19" s="905">
        <v>1.03</v>
      </c>
      <c r="W19" s="907">
        <v>74942</v>
      </c>
      <c r="X19" s="907">
        <v>79743</v>
      </c>
      <c r="Y19" s="905">
        <v>1.06</v>
      </c>
      <c r="Z19" s="907">
        <v>41679</v>
      </c>
      <c r="AA19" s="907">
        <v>40057</v>
      </c>
      <c r="AB19" s="905">
        <v>0.96</v>
      </c>
      <c r="AC19" s="907">
        <v>74575</v>
      </c>
      <c r="AD19" s="907">
        <v>77582</v>
      </c>
      <c r="AE19" s="905">
        <v>1.04</v>
      </c>
      <c r="AF19" s="902">
        <v>0</v>
      </c>
      <c r="AG19" s="902">
        <v>0</v>
      </c>
      <c r="AH19" s="902" t="s">
        <v>1483</v>
      </c>
      <c r="AI19" s="904">
        <v>1475.4</v>
      </c>
      <c r="AJ19" s="904">
        <v>1486.1</v>
      </c>
      <c r="AK19" s="905">
        <v>1.01</v>
      </c>
      <c r="AL19" s="907">
        <v>248960</v>
      </c>
      <c r="AM19" s="907">
        <v>246811</v>
      </c>
      <c r="AN19" s="905">
        <v>0.99</v>
      </c>
      <c r="AP19" s="903">
        <v>2004</v>
      </c>
      <c r="AQ19" s="903" t="s">
        <v>1475</v>
      </c>
      <c r="AR19" s="907">
        <v>173479</v>
      </c>
      <c r="AS19" s="907">
        <v>166729</v>
      </c>
      <c r="AT19" s="905">
        <v>0.96</v>
      </c>
      <c r="AV19" s="903">
        <v>2004</v>
      </c>
      <c r="AW19" s="903" t="s">
        <v>1475</v>
      </c>
      <c r="AX19" s="907">
        <v>190752</v>
      </c>
      <c r="AY19" s="907">
        <v>202071</v>
      </c>
      <c r="AZ19" s="905">
        <v>1.06</v>
      </c>
      <c r="BB19" s="900">
        <v>2004</v>
      </c>
      <c r="BC19" s="900" t="s">
        <v>1475</v>
      </c>
      <c r="BD19" s="906">
        <v>97270</v>
      </c>
      <c r="BE19" s="906">
        <v>77959</v>
      </c>
      <c r="BF19" s="902">
        <v>0.8</v>
      </c>
    </row>
    <row r="20" spans="2:58" ht="10.9" thickBot="1">
      <c r="B20" s="900">
        <v>2004</v>
      </c>
      <c r="C20" s="263">
        <f t="shared" si="0"/>
        <v>38138</v>
      </c>
      <c r="D20" s="909">
        <v>1120.4000000000001</v>
      </c>
      <c r="E20" s="909">
        <v>1206.5</v>
      </c>
      <c r="F20" s="914">
        <v>1.08</v>
      </c>
      <c r="G20" s="906">
        <v>173732</v>
      </c>
      <c r="H20" s="906">
        <v>188240</v>
      </c>
      <c r="I20" s="902">
        <v>1.08</v>
      </c>
      <c r="J20" s="906">
        <v>134861</v>
      </c>
      <c r="K20" s="906">
        <v>140088</v>
      </c>
      <c r="L20" s="902">
        <v>1.04</v>
      </c>
      <c r="M20" s="906">
        <v>120662</v>
      </c>
      <c r="N20" s="906">
        <v>136762</v>
      </c>
      <c r="O20" s="902">
        <v>1.1299999999999999</v>
      </c>
      <c r="P20" s="907">
        <v>100184</v>
      </c>
      <c r="Q20" s="907">
        <v>83654</v>
      </c>
      <c r="R20" s="905">
        <v>0.84</v>
      </c>
      <c r="T20" s="902">
        <v>402.4</v>
      </c>
      <c r="U20" s="902">
        <v>443.9</v>
      </c>
      <c r="V20" s="902">
        <v>1.1000000000000001</v>
      </c>
      <c r="W20" s="906">
        <v>80120</v>
      </c>
      <c r="X20" s="906">
        <v>86914</v>
      </c>
      <c r="Y20" s="902">
        <v>1.08</v>
      </c>
      <c r="Z20" s="906">
        <v>46198</v>
      </c>
      <c r="AA20" s="906">
        <v>47989</v>
      </c>
      <c r="AB20" s="902">
        <v>1.04</v>
      </c>
      <c r="AC20" s="906">
        <v>74151</v>
      </c>
      <c r="AD20" s="906">
        <v>82263</v>
      </c>
      <c r="AE20" s="902">
        <v>1.1100000000000001</v>
      </c>
      <c r="AF20" s="905">
        <v>0</v>
      </c>
      <c r="AG20" s="905">
        <v>0</v>
      </c>
      <c r="AH20" s="905" t="s">
        <v>1483</v>
      </c>
      <c r="AI20" s="901">
        <v>1522.8</v>
      </c>
      <c r="AJ20" s="901">
        <v>1650.5</v>
      </c>
      <c r="AK20" s="902">
        <v>1.08</v>
      </c>
      <c r="AL20" s="906">
        <v>253852</v>
      </c>
      <c r="AM20" s="906">
        <v>275154</v>
      </c>
      <c r="AN20" s="902">
        <v>1.08</v>
      </c>
      <c r="AP20" s="900">
        <v>2004</v>
      </c>
      <c r="AQ20" s="900" t="s">
        <v>1465</v>
      </c>
      <c r="AR20" s="906">
        <v>181060</v>
      </c>
      <c r="AS20" s="906">
        <v>188077</v>
      </c>
      <c r="AT20" s="902">
        <v>1.04</v>
      </c>
      <c r="AV20" s="900">
        <v>2004</v>
      </c>
      <c r="AW20" s="900" t="s">
        <v>1465</v>
      </c>
      <c r="AX20" s="906">
        <v>194812</v>
      </c>
      <c r="AY20" s="906">
        <v>219025</v>
      </c>
      <c r="AZ20" s="902">
        <v>1.1200000000000001</v>
      </c>
      <c r="BB20" s="903">
        <v>2004</v>
      </c>
      <c r="BC20" s="903" t="s">
        <v>1465</v>
      </c>
      <c r="BD20" s="907">
        <v>100184</v>
      </c>
      <c r="BE20" s="907">
        <v>83654</v>
      </c>
      <c r="BF20" s="905">
        <v>0.84</v>
      </c>
    </row>
    <row r="21" spans="2:58" ht="10.9" thickBot="1">
      <c r="B21" s="903">
        <v>2004</v>
      </c>
      <c r="C21" s="263">
        <f t="shared" si="0"/>
        <v>38168</v>
      </c>
      <c r="D21" s="909">
        <v>1136.3</v>
      </c>
      <c r="E21" s="909">
        <v>1218.3</v>
      </c>
      <c r="F21" s="914">
        <v>1.07</v>
      </c>
      <c r="G21" s="907">
        <v>177187</v>
      </c>
      <c r="H21" s="907">
        <v>191101</v>
      </c>
      <c r="I21" s="905">
        <v>1.08</v>
      </c>
      <c r="J21" s="907">
        <v>136958</v>
      </c>
      <c r="K21" s="907">
        <v>146419</v>
      </c>
      <c r="L21" s="905">
        <v>1.07</v>
      </c>
      <c r="M21" s="907">
        <v>124298</v>
      </c>
      <c r="N21" s="907">
        <v>143298</v>
      </c>
      <c r="O21" s="905">
        <v>1.1499999999999999</v>
      </c>
      <c r="P21" s="906">
        <v>100574</v>
      </c>
      <c r="Q21" s="906">
        <v>83216</v>
      </c>
      <c r="R21" s="902">
        <v>0.83</v>
      </c>
      <c r="T21" s="905">
        <v>413</v>
      </c>
      <c r="U21" s="905">
        <v>465.8</v>
      </c>
      <c r="V21" s="905">
        <v>1.1299999999999999</v>
      </c>
      <c r="W21" s="907">
        <v>80750</v>
      </c>
      <c r="X21" s="907">
        <v>88596</v>
      </c>
      <c r="Y21" s="905">
        <v>1.1000000000000001</v>
      </c>
      <c r="Z21" s="907">
        <v>48245</v>
      </c>
      <c r="AA21" s="907">
        <v>51578</v>
      </c>
      <c r="AB21" s="905">
        <v>1.07</v>
      </c>
      <c r="AC21" s="907">
        <v>77251</v>
      </c>
      <c r="AD21" s="907">
        <v>87514</v>
      </c>
      <c r="AE21" s="905">
        <v>1.1299999999999999</v>
      </c>
      <c r="AF21" s="902">
        <v>0</v>
      </c>
      <c r="AG21" s="902">
        <v>0</v>
      </c>
      <c r="AH21" s="902" t="s">
        <v>1483</v>
      </c>
      <c r="AI21" s="904">
        <v>1549.3</v>
      </c>
      <c r="AJ21" s="904">
        <v>1684.1</v>
      </c>
      <c r="AK21" s="905">
        <v>1.0900000000000001</v>
      </c>
      <c r="AL21" s="907">
        <v>257937</v>
      </c>
      <c r="AM21" s="907">
        <v>279697</v>
      </c>
      <c r="AN21" s="905">
        <v>1.08</v>
      </c>
      <c r="AP21" s="903">
        <v>2004</v>
      </c>
      <c r="AQ21" s="903" t="s">
        <v>1476</v>
      </c>
      <c r="AR21" s="907">
        <v>185203</v>
      </c>
      <c r="AS21" s="907">
        <v>197996</v>
      </c>
      <c r="AT21" s="905">
        <v>1.07</v>
      </c>
      <c r="AV21" s="903">
        <v>2004</v>
      </c>
      <c r="AW21" s="903" t="s">
        <v>1476</v>
      </c>
      <c r="AX21" s="907">
        <v>201549</v>
      </c>
      <c r="AY21" s="907">
        <v>230812</v>
      </c>
      <c r="AZ21" s="905">
        <v>1.1499999999999999</v>
      </c>
      <c r="BB21" s="900">
        <v>2004</v>
      </c>
      <c r="BC21" s="900" t="s">
        <v>1476</v>
      </c>
      <c r="BD21" s="906">
        <v>100574</v>
      </c>
      <c r="BE21" s="906">
        <v>83216</v>
      </c>
      <c r="BF21" s="902">
        <v>0.83</v>
      </c>
    </row>
    <row r="22" spans="2:58" ht="10.9" thickBot="1">
      <c r="B22" s="900">
        <v>2004</v>
      </c>
      <c r="C22" s="263">
        <f t="shared" si="0"/>
        <v>38199</v>
      </c>
      <c r="D22" s="909">
        <v>1181.5999999999999</v>
      </c>
      <c r="E22" s="909">
        <v>1309</v>
      </c>
      <c r="F22" s="914">
        <v>1.1100000000000001</v>
      </c>
      <c r="G22" s="906">
        <v>181870</v>
      </c>
      <c r="H22" s="906">
        <v>200552</v>
      </c>
      <c r="I22" s="902">
        <v>1.1000000000000001</v>
      </c>
      <c r="J22" s="906">
        <v>140549</v>
      </c>
      <c r="K22" s="906">
        <v>152515</v>
      </c>
      <c r="L22" s="902">
        <v>1.0900000000000001</v>
      </c>
      <c r="M22" s="906">
        <v>128768</v>
      </c>
      <c r="N22" s="906">
        <v>148193</v>
      </c>
      <c r="O22" s="902">
        <v>1.1499999999999999</v>
      </c>
      <c r="P22" s="907">
        <v>104139</v>
      </c>
      <c r="Q22" s="907">
        <v>84066</v>
      </c>
      <c r="R22" s="905">
        <v>0.81</v>
      </c>
      <c r="T22" s="902">
        <v>432.1</v>
      </c>
      <c r="U22" s="902">
        <v>493.7</v>
      </c>
      <c r="V22" s="902">
        <v>1.1399999999999999</v>
      </c>
      <c r="W22" s="906">
        <v>88939</v>
      </c>
      <c r="X22" s="906">
        <v>100881</v>
      </c>
      <c r="Y22" s="902">
        <v>1.1299999999999999</v>
      </c>
      <c r="Z22" s="906">
        <v>50104</v>
      </c>
      <c r="AA22" s="906">
        <v>54370</v>
      </c>
      <c r="AB22" s="902">
        <v>1.0900000000000001</v>
      </c>
      <c r="AC22" s="906">
        <v>81278</v>
      </c>
      <c r="AD22" s="906">
        <v>93662</v>
      </c>
      <c r="AE22" s="902">
        <v>1.1499999999999999</v>
      </c>
      <c r="AF22" s="905">
        <v>0</v>
      </c>
      <c r="AG22" s="905">
        <v>0</v>
      </c>
      <c r="AH22" s="905" t="s">
        <v>1483</v>
      </c>
      <c r="AI22" s="901">
        <v>1613.7</v>
      </c>
      <c r="AJ22" s="901">
        <v>1802.8</v>
      </c>
      <c r="AK22" s="902">
        <v>1.1200000000000001</v>
      </c>
      <c r="AL22" s="906">
        <v>270809</v>
      </c>
      <c r="AM22" s="906">
        <v>301433</v>
      </c>
      <c r="AN22" s="902">
        <v>1.1100000000000001</v>
      </c>
      <c r="AP22" s="900">
        <v>2004</v>
      </c>
      <c r="AQ22" s="900" t="s">
        <v>1477</v>
      </c>
      <c r="AR22" s="906">
        <v>190653</v>
      </c>
      <c r="AS22" s="906">
        <v>206885</v>
      </c>
      <c r="AT22" s="902">
        <v>1.0900000000000001</v>
      </c>
      <c r="AV22" s="900">
        <v>2004</v>
      </c>
      <c r="AW22" s="900" t="s">
        <v>1477</v>
      </c>
      <c r="AX22" s="906">
        <v>210047</v>
      </c>
      <c r="AY22" s="906">
        <v>241856</v>
      </c>
      <c r="AZ22" s="902">
        <v>1.1499999999999999</v>
      </c>
      <c r="BB22" s="903">
        <v>2004</v>
      </c>
      <c r="BC22" s="903" t="s">
        <v>1477</v>
      </c>
      <c r="BD22" s="907">
        <v>104139</v>
      </c>
      <c r="BE22" s="907">
        <v>84066</v>
      </c>
      <c r="BF22" s="905">
        <v>0.81</v>
      </c>
    </row>
    <row r="23" spans="2:58" ht="10.9" thickBot="1">
      <c r="B23" s="903">
        <v>2004</v>
      </c>
      <c r="C23" s="263">
        <f t="shared" si="0"/>
        <v>38230</v>
      </c>
      <c r="D23" s="909">
        <v>1185.4000000000001</v>
      </c>
      <c r="E23" s="909">
        <v>1392</v>
      </c>
      <c r="F23" s="914">
        <v>1.17</v>
      </c>
      <c r="G23" s="907">
        <v>182099</v>
      </c>
      <c r="H23" s="907">
        <v>220259</v>
      </c>
      <c r="I23" s="905">
        <v>1.21</v>
      </c>
      <c r="J23" s="907">
        <v>138398</v>
      </c>
      <c r="K23" s="907">
        <v>166522</v>
      </c>
      <c r="L23" s="905">
        <v>1.2</v>
      </c>
      <c r="M23" s="907">
        <v>130856</v>
      </c>
      <c r="N23" s="907">
        <v>163659</v>
      </c>
      <c r="O23" s="905">
        <v>1.25</v>
      </c>
      <c r="P23" s="906">
        <v>104914</v>
      </c>
      <c r="Q23" s="906">
        <v>84989</v>
      </c>
      <c r="R23" s="902">
        <v>0.81</v>
      </c>
      <c r="T23" s="905">
        <v>432.4</v>
      </c>
      <c r="U23" s="905">
        <v>530.79999999999995</v>
      </c>
      <c r="V23" s="905">
        <v>1.23</v>
      </c>
      <c r="W23" s="907">
        <v>87825</v>
      </c>
      <c r="X23" s="907">
        <v>108287</v>
      </c>
      <c r="Y23" s="905">
        <v>1.23</v>
      </c>
      <c r="Z23" s="907">
        <v>48494</v>
      </c>
      <c r="AA23" s="907">
        <v>58356</v>
      </c>
      <c r="AB23" s="905">
        <v>1.2</v>
      </c>
      <c r="AC23" s="907">
        <v>83029</v>
      </c>
      <c r="AD23" s="907">
        <v>103558</v>
      </c>
      <c r="AE23" s="905">
        <v>1.25</v>
      </c>
      <c r="AF23" s="902">
        <v>0</v>
      </c>
      <c r="AG23" s="902">
        <v>0</v>
      </c>
      <c r="AH23" s="902" t="s">
        <v>1483</v>
      </c>
      <c r="AI23" s="904">
        <v>1617.8</v>
      </c>
      <c r="AJ23" s="904">
        <v>1922.8</v>
      </c>
      <c r="AK23" s="905">
        <v>1.19</v>
      </c>
      <c r="AL23" s="907">
        <v>269925</v>
      </c>
      <c r="AM23" s="907">
        <v>328545</v>
      </c>
      <c r="AN23" s="905">
        <v>1.22</v>
      </c>
      <c r="AP23" s="903">
        <v>2004</v>
      </c>
      <c r="AQ23" s="903" t="s">
        <v>1478</v>
      </c>
      <c r="AR23" s="907">
        <v>186892</v>
      </c>
      <c r="AS23" s="907">
        <v>224877</v>
      </c>
      <c r="AT23" s="905">
        <v>1.2</v>
      </c>
      <c r="AV23" s="903">
        <v>2004</v>
      </c>
      <c r="AW23" s="903" t="s">
        <v>1478</v>
      </c>
      <c r="AX23" s="907">
        <v>213885</v>
      </c>
      <c r="AY23" s="907">
        <v>267217</v>
      </c>
      <c r="AZ23" s="905">
        <v>1.25</v>
      </c>
      <c r="BB23" s="900">
        <v>2004</v>
      </c>
      <c r="BC23" s="900" t="s">
        <v>1478</v>
      </c>
      <c r="BD23" s="906">
        <v>104914</v>
      </c>
      <c r="BE23" s="906">
        <v>84989</v>
      </c>
      <c r="BF23" s="902">
        <v>0.81</v>
      </c>
    </row>
    <row r="24" spans="2:58" ht="10.9" thickBot="1">
      <c r="B24" s="900">
        <v>2004</v>
      </c>
      <c r="C24" s="263">
        <f t="shared" si="0"/>
        <v>38260</v>
      </c>
      <c r="D24" s="909">
        <v>1058.2</v>
      </c>
      <c r="E24" s="909">
        <v>1304.4000000000001</v>
      </c>
      <c r="F24" s="914">
        <v>1.23</v>
      </c>
      <c r="G24" s="906">
        <v>154759</v>
      </c>
      <c r="H24" s="906">
        <v>192276</v>
      </c>
      <c r="I24" s="902">
        <v>1.24</v>
      </c>
      <c r="J24" s="906">
        <v>125663</v>
      </c>
      <c r="K24" s="906">
        <v>157988</v>
      </c>
      <c r="L24" s="902">
        <v>1.26</v>
      </c>
      <c r="M24" s="906">
        <v>114198</v>
      </c>
      <c r="N24" s="906">
        <v>152068</v>
      </c>
      <c r="O24" s="902">
        <v>1.33</v>
      </c>
      <c r="P24" s="907">
        <v>96758</v>
      </c>
      <c r="Q24" s="907">
        <v>77433</v>
      </c>
      <c r="R24" s="905">
        <v>0.8</v>
      </c>
      <c r="T24" s="902">
        <v>402.3</v>
      </c>
      <c r="U24" s="902">
        <v>523.5</v>
      </c>
      <c r="V24" s="902">
        <v>1.3</v>
      </c>
      <c r="W24" s="906">
        <v>75823</v>
      </c>
      <c r="X24" s="906">
        <v>98502</v>
      </c>
      <c r="Y24" s="902">
        <v>1.3</v>
      </c>
      <c r="Z24" s="906">
        <v>44563</v>
      </c>
      <c r="AA24" s="906">
        <v>56044</v>
      </c>
      <c r="AB24" s="902">
        <v>1.26</v>
      </c>
      <c r="AC24" s="906">
        <v>79983</v>
      </c>
      <c r="AD24" s="906">
        <v>97740</v>
      </c>
      <c r="AE24" s="902">
        <v>1.22</v>
      </c>
      <c r="AF24" s="905">
        <v>0</v>
      </c>
      <c r="AG24" s="905">
        <v>0</v>
      </c>
      <c r="AH24" s="905" t="s">
        <v>1483</v>
      </c>
      <c r="AI24" s="901">
        <v>1460.5</v>
      </c>
      <c r="AJ24" s="901">
        <v>1827.9</v>
      </c>
      <c r="AK24" s="902">
        <v>1.25</v>
      </c>
      <c r="AL24" s="906">
        <v>230582</v>
      </c>
      <c r="AM24" s="906">
        <v>290778</v>
      </c>
      <c r="AN24" s="902">
        <v>1.26</v>
      </c>
      <c r="AP24" s="900">
        <v>2004</v>
      </c>
      <c r="AQ24" s="900" t="s">
        <v>1479</v>
      </c>
      <c r="AR24" s="906">
        <v>170226</v>
      </c>
      <c r="AS24" s="906">
        <v>214033</v>
      </c>
      <c r="AT24" s="902">
        <v>1.26</v>
      </c>
      <c r="AV24" s="900">
        <v>2004</v>
      </c>
      <c r="AW24" s="900" t="s">
        <v>1479</v>
      </c>
      <c r="AX24" s="906">
        <v>194181</v>
      </c>
      <c r="AY24" s="906">
        <v>249808</v>
      </c>
      <c r="AZ24" s="902">
        <v>1.29</v>
      </c>
      <c r="BB24" s="903">
        <v>2004</v>
      </c>
      <c r="BC24" s="903" t="s">
        <v>1479</v>
      </c>
      <c r="BD24" s="907">
        <v>96758</v>
      </c>
      <c r="BE24" s="907">
        <v>77433</v>
      </c>
      <c r="BF24" s="905">
        <v>0.8</v>
      </c>
    </row>
    <row r="25" spans="2:58" ht="10.9" thickBot="1">
      <c r="B25" s="903">
        <v>2004</v>
      </c>
      <c r="C25" s="263">
        <f t="shared" si="0"/>
        <v>38291</v>
      </c>
      <c r="D25" s="909">
        <v>1137.9000000000001</v>
      </c>
      <c r="E25" s="909">
        <v>1562.7</v>
      </c>
      <c r="F25" s="914">
        <v>1.37</v>
      </c>
      <c r="G25" s="907">
        <v>167278</v>
      </c>
      <c r="H25" s="907">
        <v>246444</v>
      </c>
      <c r="I25" s="905">
        <v>1.47</v>
      </c>
      <c r="J25" s="907">
        <v>135426</v>
      </c>
      <c r="K25" s="907">
        <v>196586</v>
      </c>
      <c r="L25" s="905">
        <v>1.45</v>
      </c>
      <c r="M25" s="907">
        <v>120095</v>
      </c>
      <c r="N25" s="907">
        <v>164407</v>
      </c>
      <c r="O25" s="905">
        <v>1.37</v>
      </c>
      <c r="P25" s="906">
        <v>104253</v>
      </c>
      <c r="Q25" s="906">
        <v>88833</v>
      </c>
      <c r="R25" s="902">
        <v>0.85</v>
      </c>
      <c r="T25" s="905">
        <v>411.8</v>
      </c>
      <c r="U25" s="905">
        <v>592.4</v>
      </c>
      <c r="V25" s="905">
        <v>1.44</v>
      </c>
      <c r="W25" s="907">
        <v>79953</v>
      </c>
      <c r="X25" s="907">
        <v>111664</v>
      </c>
      <c r="Y25" s="905">
        <v>1.4</v>
      </c>
      <c r="Z25" s="907">
        <v>44489</v>
      </c>
      <c r="AA25" s="907">
        <v>64581</v>
      </c>
      <c r="AB25" s="905">
        <v>1.45</v>
      </c>
      <c r="AC25" s="907">
        <v>81973</v>
      </c>
      <c r="AD25" s="907">
        <v>111010</v>
      </c>
      <c r="AE25" s="905">
        <v>1.35</v>
      </c>
      <c r="AF25" s="902">
        <v>0</v>
      </c>
      <c r="AG25" s="902">
        <v>0</v>
      </c>
      <c r="AH25" s="902" t="s">
        <v>1483</v>
      </c>
      <c r="AI25" s="904">
        <v>1549.8</v>
      </c>
      <c r="AJ25" s="904">
        <v>2155.1999999999998</v>
      </c>
      <c r="AK25" s="905">
        <v>1.39</v>
      </c>
      <c r="AL25" s="907">
        <v>247231</v>
      </c>
      <c r="AM25" s="907">
        <v>358108</v>
      </c>
      <c r="AN25" s="905">
        <v>1.45</v>
      </c>
      <c r="AP25" s="903">
        <v>2004</v>
      </c>
      <c r="AQ25" s="903" t="s">
        <v>1480</v>
      </c>
      <c r="AR25" s="907">
        <v>179916</v>
      </c>
      <c r="AS25" s="907">
        <v>261168</v>
      </c>
      <c r="AT25" s="905">
        <v>1.45</v>
      </c>
      <c r="AV25" s="903">
        <v>2004</v>
      </c>
      <c r="AW25" s="903" t="s">
        <v>1480</v>
      </c>
      <c r="AX25" s="907">
        <v>202068</v>
      </c>
      <c r="AY25" s="907">
        <v>275417</v>
      </c>
      <c r="AZ25" s="905">
        <v>1.36</v>
      </c>
      <c r="BB25" s="900">
        <v>2004</v>
      </c>
      <c r="BC25" s="900" t="s">
        <v>1480</v>
      </c>
      <c r="BD25" s="906">
        <v>104253</v>
      </c>
      <c r="BE25" s="906">
        <v>88833</v>
      </c>
      <c r="BF25" s="902">
        <v>0.85</v>
      </c>
    </row>
    <row r="26" spans="2:58" ht="10.9" thickBot="1">
      <c r="B26" s="900">
        <v>2004</v>
      </c>
      <c r="C26" s="263">
        <f t="shared" si="0"/>
        <v>38321</v>
      </c>
      <c r="D26" s="909">
        <v>1084.8</v>
      </c>
      <c r="E26" s="909">
        <v>1479.2</v>
      </c>
      <c r="F26" s="914">
        <v>1.36</v>
      </c>
      <c r="G26" s="906">
        <v>162969</v>
      </c>
      <c r="H26" s="906">
        <v>233206</v>
      </c>
      <c r="I26" s="902">
        <v>1.43</v>
      </c>
      <c r="J26" s="906">
        <v>131454</v>
      </c>
      <c r="K26" s="906">
        <v>182950</v>
      </c>
      <c r="L26" s="902">
        <v>1.39</v>
      </c>
      <c r="M26" s="906">
        <v>104064</v>
      </c>
      <c r="N26" s="906">
        <v>151268</v>
      </c>
      <c r="O26" s="902">
        <v>1.45</v>
      </c>
      <c r="P26" s="907">
        <v>100196</v>
      </c>
      <c r="Q26" s="907">
        <v>90314</v>
      </c>
      <c r="R26" s="905">
        <v>0.9</v>
      </c>
      <c r="T26" s="902">
        <v>390.2</v>
      </c>
      <c r="U26" s="902">
        <v>569.29999999999995</v>
      </c>
      <c r="V26" s="902">
        <v>1.46</v>
      </c>
      <c r="W26" s="906">
        <v>74648</v>
      </c>
      <c r="X26" s="906">
        <v>111067</v>
      </c>
      <c r="Y26" s="902">
        <v>1.49</v>
      </c>
      <c r="Z26" s="906">
        <v>40888</v>
      </c>
      <c r="AA26" s="906">
        <v>56906</v>
      </c>
      <c r="AB26" s="902">
        <v>1.39</v>
      </c>
      <c r="AC26" s="906">
        <v>80700</v>
      </c>
      <c r="AD26" s="906">
        <v>116820</v>
      </c>
      <c r="AE26" s="902">
        <v>1.45</v>
      </c>
      <c r="AF26" s="905">
        <v>0</v>
      </c>
      <c r="AG26" s="905">
        <v>0</v>
      </c>
      <c r="AH26" s="905" t="s">
        <v>1483</v>
      </c>
      <c r="AI26" s="901">
        <v>1475</v>
      </c>
      <c r="AJ26" s="901">
        <v>2048.4</v>
      </c>
      <c r="AK26" s="902">
        <v>1.39</v>
      </c>
      <c r="AL26" s="906">
        <v>237617</v>
      </c>
      <c r="AM26" s="906">
        <v>344272</v>
      </c>
      <c r="AN26" s="902">
        <v>1.45</v>
      </c>
      <c r="AP26" s="900">
        <v>2004</v>
      </c>
      <c r="AQ26" s="900" t="s">
        <v>1481</v>
      </c>
      <c r="AR26" s="906">
        <v>172342</v>
      </c>
      <c r="AS26" s="906">
        <v>239856</v>
      </c>
      <c r="AT26" s="902">
        <v>1.39</v>
      </c>
      <c r="AV26" s="900">
        <v>2004</v>
      </c>
      <c r="AW26" s="900" t="s">
        <v>1481</v>
      </c>
      <c r="AX26" s="906">
        <v>184764</v>
      </c>
      <c r="AY26" s="906">
        <v>268088</v>
      </c>
      <c r="AZ26" s="902">
        <v>1.45</v>
      </c>
      <c r="BB26" s="903">
        <v>2004</v>
      </c>
      <c r="BC26" s="903" t="s">
        <v>1481</v>
      </c>
      <c r="BD26" s="907">
        <v>100196</v>
      </c>
      <c r="BE26" s="907">
        <v>90314</v>
      </c>
      <c r="BF26" s="905">
        <v>0.9</v>
      </c>
    </row>
    <row r="27" spans="2:58" ht="11.2" customHeight="1" thickBot="1">
      <c r="B27" s="903">
        <v>2004</v>
      </c>
      <c r="C27" s="263">
        <f t="shared" si="0"/>
        <v>38352</v>
      </c>
      <c r="D27" s="909">
        <v>1142.8</v>
      </c>
      <c r="E27" s="909">
        <v>1454.4</v>
      </c>
      <c r="F27" s="914">
        <v>1.27</v>
      </c>
      <c r="G27" s="907">
        <v>170721</v>
      </c>
      <c r="H27" s="907">
        <v>224017</v>
      </c>
      <c r="I27" s="905">
        <v>1.31</v>
      </c>
      <c r="J27" s="907">
        <v>130927</v>
      </c>
      <c r="K27" s="907">
        <v>176081</v>
      </c>
      <c r="L27" s="905">
        <v>1.34</v>
      </c>
      <c r="M27" s="907">
        <v>108632</v>
      </c>
      <c r="N27" s="907">
        <v>141976</v>
      </c>
      <c r="O27" s="905">
        <v>1.31</v>
      </c>
      <c r="P27" s="906">
        <v>104874</v>
      </c>
      <c r="Q27" s="906">
        <v>97481</v>
      </c>
      <c r="R27" s="902">
        <v>0.93</v>
      </c>
      <c r="T27" s="905">
        <v>407.5</v>
      </c>
      <c r="U27" s="905">
        <v>561.79999999999995</v>
      </c>
      <c r="V27" s="905">
        <v>1.38</v>
      </c>
      <c r="W27" s="907">
        <v>80603</v>
      </c>
      <c r="X27" s="907">
        <v>112095</v>
      </c>
      <c r="Y27" s="905">
        <v>1.39</v>
      </c>
      <c r="Z27" s="907">
        <v>44250</v>
      </c>
      <c r="AA27" s="907">
        <v>59511</v>
      </c>
      <c r="AB27" s="905">
        <v>1.34</v>
      </c>
      <c r="AC27" s="907">
        <v>84324</v>
      </c>
      <c r="AD27" s="907">
        <v>113434</v>
      </c>
      <c r="AE27" s="905">
        <v>1.35</v>
      </c>
      <c r="AF27" s="902">
        <v>0</v>
      </c>
      <c r="AG27" s="902">
        <v>0</v>
      </c>
      <c r="AH27" s="902" t="s">
        <v>1483</v>
      </c>
      <c r="AI27" s="904">
        <v>1550.3</v>
      </c>
      <c r="AJ27" s="904">
        <v>2016.2</v>
      </c>
      <c r="AK27" s="905">
        <v>1.3</v>
      </c>
      <c r="AL27" s="907">
        <v>251324</v>
      </c>
      <c r="AM27" s="907">
        <v>336112</v>
      </c>
      <c r="AN27" s="905">
        <v>1.34</v>
      </c>
      <c r="AP27" s="903">
        <v>2004</v>
      </c>
      <c r="AQ27" s="903" t="s">
        <v>1482</v>
      </c>
      <c r="AR27" s="907">
        <v>175177</v>
      </c>
      <c r="AS27" s="907">
        <v>235592</v>
      </c>
      <c r="AT27" s="905">
        <v>1.34</v>
      </c>
      <c r="AV27" s="903">
        <v>2004</v>
      </c>
      <c r="AW27" s="903" t="s">
        <v>1482</v>
      </c>
      <c r="AX27" s="907">
        <v>192956</v>
      </c>
      <c r="AY27" s="907">
        <v>255410</v>
      </c>
      <c r="AZ27" s="905">
        <v>1.32</v>
      </c>
      <c r="BB27" s="900">
        <v>2004</v>
      </c>
      <c r="BC27" s="900" t="s">
        <v>1482</v>
      </c>
      <c r="BD27" s="906">
        <v>104874</v>
      </c>
      <c r="BE27" s="906">
        <v>97481</v>
      </c>
      <c r="BF27" s="902">
        <v>0.93</v>
      </c>
    </row>
    <row r="28" spans="2:58" ht="10.9" thickBot="1">
      <c r="B28" s="900">
        <v>2005</v>
      </c>
      <c r="C28" s="263">
        <f t="shared" si="0"/>
        <v>38383</v>
      </c>
      <c r="D28" s="909">
        <v>1084.7</v>
      </c>
      <c r="E28" s="909">
        <v>1378.2</v>
      </c>
      <c r="F28" s="914">
        <v>1.27</v>
      </c>
      <c r="G28" s="906">
        <v>164428</v>
      </c>
      <c r="H28" s="906">
        <v>209724</v>
      </c>
      <c r="I28" s="902">
        <v>1.28</v>
      </c>
      <c r="J28" s="906">
        <v>129183</v>
      </c>
      <c r="K28" s="906">
        <v>172081</v>
      </c>
      <c r="L28" s="902">
        <v>1.33</v>
      </c>
      <c r="M28" s="906">
        <v>100655</v>
      </c>
      <c r="N28" s="906">
        <v>137313</v>
      </c>
      <c r="O28" s="902">
        <v>1.36</v>
      </c>
      <c r="P28" s="907">
        <v>103178</v>
      </c>
      <c r="Q28" s="907">
        <v>93447</v>
      </c>
      <c r="R28" s="905">
        <v>0.91</v>
      </c>
      <c r="T28" s="902">
        <v>405.2</v>
      </c>
      <c r="U28" s="902">
        <v>538.70000000000005</v>
      </c>
      <c r="V28" s="902">
        <v>1.33</v>
      </c>
      <c r="W28" s="906">
        <v>81140</v>
      </c>
      <c r="X28" s="906">
        <v>107572</v>
      </c>
      <c r="Y28" s="902">
        <v>1.33</v>
      </c>
      <c r="Z28" s="906">
        <v>43454</v>
      </c>
      <c r="AA28" s="906">
        <v>57884</v>
      </c>
      <c r="AB28" s="902">
        <v>1.33</v>
      </c>
      <c r="AC28" s="906">
        <v>87571</v>
      </c>
      <c r="AD28" s="906">
        <v>115248</v>
      </c>
      <c r="AE28" s="902">
        <v>1.32</v>
      </c>
      <c r="AF28" s="905">
        <v>0</v>
      </c>
      <c r="AG28" s="905">
        <v>0</v>
      </c>
      <c r="AH28" s="905" t="s">
        <v>1483</v>
      </c>
      <c r="AI28" s="901">
        <v>1489.9</v>
      </c>
      <c r="AJ28" s="901">
        <v>1916.9</v>
      </c>
      <c r="AK28" s="902">
        <v>1.29</v>
      </c>
      <c r="AL28" s="906">
        <v>245568</v>
      </c>
      <c r="AM28" s="906">
        <v>317297</v>
      </c>
      <c r="AN28" s="902">
        <v>1.29</v>
      </c>
      <c r="AP28" s="900">
        <v>2005</v>
      </c>
      <c r="AQ28" s="900" t="s">
        <v>1472</v>
      </c>
      <c r="AR28" s="906">
        <v>172637</v>
      </c>
      <c r="AS28" s="906">
        <v>229965</v>
      </c>
      <c r="AT28" s="902">
        <v>1.33</v>
      </c>
      <c r="AV28" s="900">
        <v>2005</v>
      </c>
      <c r="AW28" s="900" t="s">
        <v>1472</v>
      </c>
      <c r="AX28" s="906">
        <v>188227</v>
      </c>
      <c r="AY28" s="906">
        <v>252560</v>
      </c>
      <c r="AZ28" s="902">
        <v>1.34</v>
      </c>
      <c r="BB28" s="903">
        <v>2005</v>
      </c>
      <c r="BC28" s="903" t="s">
        <v>1472</v>
      </c>
      <c r="BD28" s="907">
        <v>103178</v>
      </c>
      <c r="BE28" s="907">
        <v>93447</v>
      </c>
      <c r="BF28" s="905">
        <v>0.91</v>
      </c>
    </row>
    <row r="29" spans="2:58" ht="10.9" thickBot="1">
      <c r="B29" s="903">
        <v>2005</v>
      </c>
      <c r="C29" s="263">
        <f t="shared" si="0"/>
        <v>38411</v>
      </c>
      <c r="D29" s="909">
        <v>1017</v>
      </c>
      <c r="E29" s="909">
        <v>1333.5</v>
      </c>
      <c r="F29" s="914">
        <v>1.31</v>
      </c>
      <c r="G29" s="907">
        <v>152435</v>
      </c>
      <c r="H29" s="907">
        <v>206426</v>
      </c>
      <c r="I29" s="905">
        <v>1.35</v>
      </c>
      <c r="J29" s="907">
        <v>125230</v>
      </c>
      <c r="K29" s="907">
        <v>170813</v>
      </c>
      <c r="L29" s="905">
        <v>1.36</v>
      </c>
      <c r="M29" s="907">
        <v>90457</v>
      </c>
      <c r="N29" s="907">
        <v>129127</v>
      </c>
      <c r="O29" s="905">
        <v>1.43</v>
      </c>
      <c r="P29" s="906">
        <v>95192</v>
      </c>
      <c r="Q29" s="906">
        <v>83424</v>
      </c>
      <c r="R29" s="902">
        <v>0.88</v>
      </c>
      <c r="T29" s="905">
        <v>368.3</v>
      </c>
      <c r="U29" s="905">
        <v>503</v>
      </c>
      <c r="V29" s="905">
        <v>1.37</v>
      </c>
      <c r="W29" s="907">
        <v>74442</v>
      </c>
      <c r="X29" s="907">
        <v>101575</v>
      </c>
      <c r="Y29" s="905">
        <v>1.36</v>
      </c>
      <c r="Z29" s="907">
        <v>37887</v>
      </c>
      <c r="AA29" s="907">
        <v>51678</v>
      </c>
      <c r="AB29" s="905">
        <v>1.36</v>
      </c>
      <c r="AC29" s="907">
        <v>77591</v>
      </c>
      <c r="AD29" s="907">
        <v>105459</v>
      </c>
      <c r="AE29" s="905">
        <v>1.36</v>
      </c>
      <c r="AF29" s="902">
        <v>0</v>
      </c>
      <c r="AG29" s="902">
        <v>0</v>
      </c>
      <c r="AH29" s="902" t="s">
        <v>1483</v>
      </c>
      <c r="AI29" s="904">
        <v>1385.3</v>
      </c>
      <c r="AJ29" s="904">
        <v>1836.5</v>
      </c>
      <c r="AK29" s="905">
        <v>1.33</v>
      </c>
      <c r="AL29" s="907">
        <v>226876</v>
      </c>
      <c r="AM29" s="907">
        <v>308001</v>
      </c>
      <c r="AN29" s="905">
        <v>1.36</v>
      </c>
      <c r="AP29" s="903">
        <v>2005</v>
      </c>
      <c r="AQ29" s="903" t="s">
        <v>1473</v>
      </c>
      <c r="AR29" s="907">
        <v>163117</v>
      </c>
      <c r="AS29" s="907">
        <v>222491</v>
      </c>
      <c r="AT29" s="905">
        <v>1.36</v>
      </c>
      <c r="AV29" s="903">
        <v>2005</v>
      </c>
      <c r="AW29" s="903" t="s">
        <v>1473</v>
      </c>
      <c r="AX29" s="907">
        <v>168048</v>
      </c>
      <c r="AY29" s="907">
        <v>234585</v>
      </c>
      <c r="AZ29" s="905">
        <v>1.4</v>
      </c>
      <c r="BB29" s="900">
        <v>2005</v>
      </c>
      <c r="BC29" s="900" t="s">
        <v>1473</v>
      </c>
      <c r="BD29" s="906">
        <v>95192</v>
      </c>
      <c r="BE29" s="906">
        <v>83424</v>
      </c>
      <c r="BF29" s="902">
        <v>0.88</v>
      </c>
    </row>
    <row r="30" spans="2:58" ht="10.9" thickBot="1">
      <c r="B30" s="900">
        <v>2005</v>
      </c>
      <c r="C30" s="263">
        <f t="shared" si="0"/>
        <v>38442</v>
      </c>
      <c r="D30" s="909">
        <v>1162.9000000000001</v>
      </c>
      <c r="E30" s="909">
        <v>1675.5</v>
      </c>
      <c r="F30" s="914">
        <v>1.44</v>
      </c>
      <c r="G30" s="906">
        <v>170001</v>
      </c>
      <c r="H30" s="906">
        <v>249597</v>
      </c>
      <c r="I30" s="902">
        <v>1.47</v>
      </c>
      <c r="J30" s="906">
        <v>139200</v>
      </c>
      <c r="K30" s="906">
        <v>211176</v>
      </c>
      <c r="L30" s="902">
        <v>1.52</v>
      </c>
      <c r="M30" s="906">
        <v>104423</v>
      </c>
      <c r="N30" s="906">
        <v>154767</v>
      </c>
      <c r="O30" s="902">
        <v>1.48</v>
      </c>
      <c r="P30" s="907">
        <v>108138</v>
      </c>
      <c r="Q30" s="907">
        <v>100952</v>
      </c>
      <c r="R30" s="905">
        <v>0.93</v>
      </c>
      <c r="T30" s="902">
        <v>424.1</v>
      </c>
      <c r="U30" s="902">
        <v>604</v>
      </c>
      <c r="V30" s="902">
        <v>1.42</v>
      </c>
      <c r="W30" s="906">
        <v>83384</v>
      </c>
      <c r="X30" s="906">
        <v>126694</v>
      </c>
      <c r="Y30" s="902">
        <v>1.52</v>
      </c>
      <c r="Z30" s="906">
        <v>45222</v>
      </c>
      <c r="AA30" s="906">
        <v>53625</v>
      </c>
      <c r="AB30" s="902">
        <v>1.19</v>
      </c>
      <c r="AC30" s="906">
        <v>88426</v>
      </c>
      <c r="AD30" s="906">
        <v>124741</v>
      </c>
      <c r="AE30" s="902">
        <v>1.41</v>
      </c>
      <c r="AF30" s="905">
        <v>0</v>
      </c>
      <c r="AG30" s="905">
        <v>0</v>
      </c>
      <c r="AH30" s="905" t="s">
        <v>1483</v>
      </c>
      <c r="AI30" s="901">
        <v>1587</v>
      </c>
      <c r="AJ30" s="901">
        <v>2279.4</v>
      </c>
      <c r="AK30" s="902">
        <v>1.44</v>
      </c>
      <c r="AL30" s="906">
        <v>253385</v>
      </c>
      <c r="AM30" s="906">
        <v>376291</v>
      </c>
      <c r="AN30" s="902">
        <v>1.49</v>
      </c>
      <c r="AP30" s="900">
        <v>2005</v>
      </c>
      <c r="AQ30" s="900" t="s">
        <v>1474</v>
      </c>
      <c r="AR30" s="906">
        <v>184422</v>
      </c>
      <c r="AS30" s="906">
        <v>264800</v>
      </c>
      <c r="AT30" s="902">
        <v>1.44</v>
      </c>
      <c r="AV30" s="900">
        <v>2005</v>
      </c>
      <c r="AW30" s="900" t="s">
        <v>1474</v>
      </c>
      <c r="AX30" s="906">
        <v>192849</v>
      </c>
      <c r="AY30" s="906">
        <v>279508</v>
      </c>
      <c r="AZ30" s="902">
        <v>1.45</v>
      </c>
      <c r="BB30" s="903">
        <v>2005</v>
      </c>
      <c r="BC30" s="903" t="s">
        <v>1474</v>
      </c>
      <c r="BD30" s="907">
        <v>108138</v>
      </c>
      <c r="BE30" s="907">
        <v>100952</v>
      </c>
      <c r="BF30" s="905">
        <v>0.93</v>
      </c>
    </row>
    <row r="31" spans="2:58" ht="10.9" thickBot="1">
      <c r="B31" s="903">
        <v>2005</v>
      </c>
      <c r="C31" s="263">
        <f t="shared" si="0"/>
        <v>38472</v>
      </c>
      <c r="D31" s="909">
        <v>1098.7</v>
      </c>
      <c r="E31" s="909">
        <v>1705.3</v>
      </c>
      <c r="F31" s="914">
        <v>1.55</v>
      </c>
      <c r="G31" s="907">
        <v>161061</v>
      </c>
      <c r="H31" s="907">
        <v>254767</v>
      </c>
      <c r="I31" s="905">
        <v>1.58</v>
      </c>
      <c r="J31" s="907">
        <v>132212</v>
      </c>
      <c r="K31" s="907">
        <v>215223</v>
      </c>
      <c r="L31" s="905">
        <v>1.63</v>
      </c>
      <c r="M31" s="907">
        <v>96001</v>
      </c>
      <c r="N31" s="907">
        <v>161477</v>
      </c>
      <c r="O31" s="905">
        <v>1.68</v>
      </c>
      <c r="P31" s="906">
        <v>104026</v>
      </c>
      <c r="Q31" s="906">
        <v>102578</v>
      </c>
      <c r="R31" s="902">
        <v>0.99</v>
      </c>
      <c r="T31" s="905">
        <v>410.4</v>
      </c>
      <c r="U31" s="905">
        <v>698.8</v>
      </c>
      <c r="V31" s="905">
        <v>1.7</v>
      </c>
      <c r="W31" s="907">
        <v>82067</v>
      </c>
      <c r="X31" s="907">
        <v>133854</v>
      </c>
      <c r="Y31" s="905">
        <v>1.63</v>
      </c>
      <c r="Z31" s="907">
        <v>45430</v>
      </c>
      <c r="AA31" s="907">
        <v>73954</v>
      </c>
      <c r="AB31" s="905">
        <v>1.63</v>
      </c>
      <c r="AC31" s="907">
        <v>81676</v>
      </c>
      <c r="AD31" s="907">
        <v>131708</v>
      </c>
      <c r="AE31" s="905">
        <v>1.61</v>
      </c>
      <c r="AF31" s="902">
        <v>0</v>
      </c>
      <c r="AG31" s="902">
        <v>0</v>
      </c>
      <c r="AH31" s="902" t="s">
        <v>1483</v>
      </c>
      <c r="AI31" s="904">
        <v>1509.1</v>
      </c>
      <c r="AJ31" s="904">
        <v>2404.1</v>
      </c>
      <c r="AK31" s="905">
        <v>1.59</v>
      </c>
      <c r="AL31" s="907">
        <v>243128</v>
      </c>
      <c r="AM31" s="907">
        <v>388621</v>
      </c>
      <c r="AN31" s="905">
        <v>1.6</v>
      </c>
      <c r="AP31" s="903">
        <v>2005</v>
      </c>
      <c r="AQ31" s="903" t="s">
        <v>1475</v>
      </c>
      <c r="AR31" s="907">
        <v>177643</v>
      </c>
      <c r="AS31" s="907">
        <v>289178</v>
      </c>
      <c r="AT31" s="905">
        <v>1.63</v>
      </c>
      <c r="AV31" s="903">
        <v>2005</v>
      </c>
      <c r="AW31" s="903" t="s">
        <v>1475</v>
      </c>
      <c r="AX31" s="907">
        <v>177677</v>
      </c>
      <c r="AY31" s="907">
        <v>293185</v>
      </c>
      <c r="AZ31" s="905">
        <v>1.65</v>
      </c>
      <c r="BB31" s="900">
        <v>2005</v>
      </c>
      <c r="BC31" s="900" t="s">
        <v>1475</v>
      </c>
      <c r="BD31" s="906">
        <v>104026</v>
      </c>
      <c r="BE31" s="906">
        <v>102578</v>
      </c>
      <c r="BF31" s="902">
        <v>0.99</v>
      </c>
    </row>
    <row r="32" spans="2:58" ht="10.9" thickBot="1">
      <c r="B32" s="900">
        <v>2005</v>
      </c>
      <c r="C32" s="263">
        <f t="shared" si="0"/>
        <v>38503</v>
      </c>
      <c r="D32" s="909">
        <v>1123.5999999999999</v>
      </c>
      <c r="E32" s="909">
        <v>1699.2</v>
      </c>
      <c r="F32" s="914">
        <v>1.51</v>
      </c>
      <c r="G32" s="906">
        <v>164450</v>
      </c>
      <c r="H32" s="906">
        <v>251550</v>
      </c>
      <c r="I32" s="902">
        <v>1.53</v>
      </c>
      <c r="J32" s="906">
        <v>135474</v>
      </c>
      <c r="K32" s="906">
        <v>209981</v>
      </c>
      <c r="L32" s="902">
        <v>1.55</v>
      </c>
      <c r="M32" s="906">
        <v>103632</v>
      </c>
      <c r="N32" s="906">
        <v>168256</v>
      </c>
      <c r="O32" s="902">
        <v>1.62</v>
      </c>
      <c r="P32" s="907">
        <v>108765</v>
      </c>
      <c r="Q32" s="907">
        <v>116646</v>
      </c>
      <c r="R32" s="905">
        <v>1.07</v>
      </c>
      <c r="T32" s="902">
        <v>426.1</v>
      </c>
      <c r="U32" s="902">
        <v>700</v>
      </c>
      <c r="V32" s="902">
        <v>1.64</v>
      </c>
      <c r="W32" s="906">
        <v>84774</v>
      </c>
      <c r="X32" s="906">
        <v>136205</v>
      </c>
      <c r="Y32" s="902">
        <v>1.61</v>
      </c>
      <c r="Z32" s="906">
        <v>50369</v>
      </c>
      <c r="AA32" s="906">
        <v>78071</v>
      </c>
      <c r="AB32" s="902">
        <v>1.55</v>
      </c>
      <c r="AC32" s="906">
        <v>85940</v>
      </c>
      <c r="AD32" s="906">
        <v>143225</v>
      </c>
      <c r="AE32" s="902">
        <v>1.67</v>
      </c>
      <c r="AF32" s="905">
        <v>0</v>
      </c>
      <c r="AG32" s="905">
        <v>0</v>
      </c>
      <c r="AH32" s="905" t="s">
        <v>1483</v>
      </c>
      <c r="AI32" s="901">
        <v>1549.7</v>
      </c>
      <c r="AJ32" s="901">
        <v>2399.1999999999998</v>
      </c>
      <c r="AK32" s="902">
        <v>1.55</v>
      </c>
      <c r="AL32" s="906">
        <v>249225</v>
      </c>
      <c r="AM32" s="906">
        <v>387755</v>
      </c>
      <c r="AN32" s="902">
        <v>1.56</v>
      </c>
      <c r="AP32" s="900">
        <v>2005</v>
      </c>
      <c r="AQ32" s="900" t="s">
        <v>1465</v>
      </c>
      <c r="AR32" s="906">
        <v>185843</v>
      </c>
      <c r="AS32" s="906">
        <v>288052</v>
      </c>
      <c r="AT32" s="902">
        <v>1.55</v>
      </c>
      <c r="AV32" s="900">
        <v>2005</v>
      </c>
      <c r="AW32" s="900" t="s">
        <v>1465</v>
      </c>
      <c r="AX32" s="906">
        <v>189572</v>
      </c>
      <c r="AY32" s="906">
        <v>311481</v>
      </c>
      <c r="AZ32" s="902">
        <v>1.64</v>
      </c>
      <c r="BB32" s="903">
        <v>2005</v>
      </c>
      <c r="BC32" s="903" t="s">
        <v>1465</v>
      </c>
      <c r="BD32" s="907">
        <v>108765</v>
      </c>
      <c r="BE32" s="907">
        <v>116646</v>
      </c>
      <c r="BF32" s="905">
        <v>1.07</v>
      </c>
    </row>
    <row r="33" spans="2:58" ht="10.9" thickBot="1">
      <c r="B33" s="903">
        <v>2005</v>
      </c>
      <c r="C33" s="263">
        <f t="shared" si="0"/>
        <v>38533</v>
      </c>
      <c r="D33" s="909">
        <v>1148.9000000000001</v>
      </c>
      <c r="E33" s="909">
        <v>1777.3</v>
      </c>
      <c r="F33" s="914">
        <v>1.55</v>
      </c>
      <c r="G33" s="907">
        <v>169128</v>
      </c>
      <c r="H33" s="907">
        <v>267800</v>
      </c>
      <c r="I33" s="905">
        <v>1.58</v>
      </c>
      <c r="J33" s="907">
        <v>135023</v>
      </c>
      <c r="K33" s="907">
        <v>218137</v>
      </c>
      <c r="L33" s="905">
        <v>1.62</v>
      </c>
      <c r="M33" s="907">
        <v>106344</v>
      </c>
      <c r="N33" s="907">
        <v>175623</v>
      </c>
      <c r="O33" s="905">
        <v>1.65</v>
      </c>
      <c r="P33" s="906">
        <v>108972</v>
      </c>
      <c r="Q33" s="906">
        <v>109072</v>
      </c>
      <c r="R33" s="902">
        <v>1</v>
      </c>
      <c r="T33" s="905">
        <v>441</v>
      </c>
      <c r="U33" s="905">
        <v>709.6</v>
      </c>
      <c r="V33" s="905">
        <v>1.61</v>
      </c>
      <c r="W33" s="907">
        <v>86531</v>
      </c>
      <c r="X33" s="907">
        <v>138511</v>
      </c>
      <c r="Y33" s="905">
        <v>1.6</v>
      </c>
      <c r="Z33" s="907">
        <v>51797</v>
      </c>
      <c r="AA33" s="907">
        <v>83681</v>
      </c>
      <c r="AB33" s="905">
        <v>1.62</v>
      </c>
      <c r="AC33" s="907">
        <v>85877</v>
      </c>
      <c r="AD33" s="907">
        <v>134597</v>
      </c>
      <c r="AE33" s="905">
        <v>1.57</v>
      </c>
      <c r="AF33" s="902">
        <v>0</v>
      </c>
      <c r="AG33" s="902">
        <v>0</v>
      </c>
      <c r="AH33" s="902" t="s">
        <v>1483</v>
      </c>
      <c r="AI33" s="904">
        <v>1589.9</v>
      </c>
      <c r="AJ33" s="904">
        <v>2486.9</v>
      </c>
      <c r="AK33" s="905">
        <v>1.56</v>
      </c>
      <c r="AL33" s="907">
        <v>255659</v>
      </c>
      <c r="AM33" s="907">
        <v>406311</v>
      </c>
      <c r="AN33" s="905">
        <v>1.59</v>
      </c>
      <c r="AP33" s="903">
        <v>2005</v>
      </c>
      <c r="AQ33" s="903" t="s">
        <v>1476</v>
      </c>
      <c r="AR33" s="907">
        <v>186820</v>
      </c>
      <c r="AS33" s="907">
        <v>301818</v>
      </c>
      <c r="AT33" s="905">
        <v>1.62</v>
      </c>
      <c r="AV33" s="903">
        <v>2005</v>
      </c>
      <c r="AW33" s="903" t="s">
        <v>1476</v>
      </c>
      <c r="AX33" s="907">
        <v>192222</v>
      </c>
      <c r="AY33" s="907">
        <v>310220</v>
      </c>
      <c r="AZ33" s="905">
        <v>1.61</v>
      </c>
      <c r="BB33" s="900">
        <v>2005</v>
      </c>
      <c r="BC33" s="900" t="s">
        <v>1476</v>
      </c>
      <c r="BD33" s="906">
        <v>108972</v>
      </c>
      <c r="BE33" s="906">
        <v>109072</v>
      </c>
      <c r="BF33" s="902">
        <v>1</v>
      </c>
    </row>
    <row r="34" spans="2:58" ht="10.9" thickBot="1">
      <c r="B34" s="900">
        <v>2005</v>
      </c>
      <c r="C34" s="263">
        <f t="shared" si="0"/>
        <v>38564</v>
      </c>
      <c r="D34" s="909">
        <v>1193.7</v>
      </c>
      <c r="E34" s="909">
        <v>1915.2</v>
      </c>
      <c r="F34" s="914">
        <v>1.6</v>
      </c>
      <c r="G34" s="906">
        <v>177210</v>
      </c>
      <c r="H34" s="906">
        <v>294359</v>
      </c>
      <c r="I34" s="902">
        <v>1.66</v>
      </c>
      <c r="J34" s="906">
        <v>140860</v>
      </c>
      <c r="K34" s="906">
        <v>238178</v>
      </c>
      <c r="L34" s="902">
        <v>1.69</v>
      </c>
      <c r="M34" s="906">
        <v>109966</v>
      </c>
      <c r="N34" s="906">
        <v>188583</v>
      </c>
      <c r="O34" s="902">
        <v>1.71</v>
      </c>
      <c r="P34" s="907">
        <v>113489</v>
      </c>
      <c r="Q34" s="907">
        <v>104026</v>
      </c>
      <c r="R34" s="905">
        <v>0.92</v>
      </c>
      <c r="T34" s="902">
        <v>460.9</v>
      </c>
      <c r="U34" s="902">
        <v>785.7</v>
      </c>
      <c r="V34" s="902">
        <v>1.7</v>
      </c>
      <c r="W34" s="906">
        <v>91607</v>
      </c>
      <c r="X34" s="906">
        <v>158957</v>
      </c>
      <c r="Y34" s="902">
        <v>1.74</v>
      </c>
      <c r="Z34" s="906">
        <v>55408</v>
      </c>
      <c r="AA34" s="906">
        <v>93688</v>
      </c>
      <c r="AB34" s="902">
        <v>1.69</v>
      </c>
      <c r="AC34" s="906">
        <v>89172</v>
      </c>
      <c r="AD34" s="906">
        <v>152295</v>
      </c>
      <c r="AE34" s="902">
        <v>1.71</v>
      </c>
      <c r="AF34" s="905">
        <v>0</v>
      </c>
      <c r="AG34" s="905">
        <v>0</v>
      </c>
      <c r="AH34" s="905" t="s">
        <v>1483</v>
      </c>
      <c r="AI34" s="901">
        <v>1654.6</v>
      </c>
      <c r="AJ34" s="901">
        <v>2701</v>
      </c>
      <c r="AK34" s="902">
        <v>1.63</v>
      </c>
      <c r="AL34" s="906">
        <v>268817</v>
      </c>
      <c r="AM34" s="906">
        <v>453317</v>
      </c>
      <c r="AN34" s="902">
        <v>1.69</v>
      </c>
      <c r="AP34" s="900">
        <v>2005</v>
      </c>
      <c r="AQ34" s="900" t="s">
        <v>1477</v>
      </c>
      <c r="AR34" s="906">
        <v>196267</v>
      </c>
      <c r="AS34" s="906">
        <v>331866</v>
      </c>
      <c r="AT34" s="902">
        <v>1.69</v>
      </c>
      <c r="AV34" s="900">
        <v>2005</v>
      </c>
      <c r="AW34" s="900" t="s">
        <v>1477</v>
      </c>
      <c r="AX34" s="906">
        <v>199138</v>
      </c>
      <c r="AY34" s="906">
        <v>340878</v>
      </c>
      <c r="AZ34" s="902">
        <v>1.71</v>
      </c>
      <c r="BB34" s="903">
        <v>2005</v>
      </c>
      <c r="BC34" s="903" t="s">
        <v>1477</v>
      </c>
      <c r="BD34" s="907">
        <v>113489</v>
      </c>
      <c r="BE34" s="907">
        <v>104026</v>
      </c>
      <c r="BF34" s="905">
        <v>0.92</v>
      </c>
    </row>
    <row r="35" spans="2:58" ht="10.9" thickBot="1">
      <c r="B35" s="903">
        <v>2005</v>
      </c>
      <c r="C35" s="263">
        <f t="shared" si="0"/>
        <v>38595</v>
      </c>
      <c r="D35" s="909">
        <v>1185.4000000000001</v>
      </c>
      <c r="E35" s="909">
        <v>2118.3000000000002</v>
      </c>
      <c r="F35" s="914">
        <v>1.79</v>
      </c>
      <c r="G35" s="907">
        <v>171657</v>
      </c>
      <c r="H35" s="907">
        <v>306125</v>
      </c>
      <c r="I35" s="905">
        <v>1.78</v>
      </c>
      <c r="J35" s="907">
        <v>138373</v>
      </c>
      <c r="K35" s="907">
        <v>246330</v>
      </c>
      <c r="L35" s="905">
        <v>1.78</v>
      </c>
      <c r="M35" s="907">
        <v>110321</v>
      </c>
      <c r="N35" s="907">
        <v>205431</v>
      </c>
      <c r="O35" s="905">
        <v>1.86</v>
      </c>
      <c r="P35" s="906">
        <v>113895</v>
      </c>
      <c r="Q35" s="906">
        <v>121584</v>
      </c>
      <c r="R35" s="902">
        <v>1.07</v>
      </c>
      <c r="T35" s="905">
        <v>456.7</v>
      </c>
      <c r="U35" s="905">
        <v>816.1</v>
      </c>
      <c r="V35" s="905">
        <v>1.79</v>
      </c>
      <c r="W35" s="907">
        <v>88224</v>
      </c>
      <c r="X35" s="907">
        <v>157462</v>
      </c>
      <c r="Y35" s="905">
        <v>1.78</v>
      </c>
      <c r="Z35" s="907">
        <v>54738</v>
      </c>
      <c r="AA35" s="907">
        <v>97443</v>
      </c>
      <c r="AB35" s="905">
        <v>1.78</v>
      </c>
      <c r="AC35" s="907">
        <v>90197</v>
      </c>
      <c r="AD35" s="907">
        <v>157093</v>
      </c>
      <c r="AE35" s="905">
        <v>1.74</v>
      </c>
      <c r="AF35" s="902">
        <v>0</v>
      </c>
      <c r="AG35" s="902">
        <v>0</v>
      </c>
      <c r="AH35" s="902" t="s">
        <v>1483</v>
      </c>
      <c r="AI35" s="904">
        <v>1642.2</v>
      </c>
      <c r="AJ35" s="904">
        <v>2934.3</v>
      </c>
      <c r="AK35" s="905">
        <v>1.79</v>
      </c>
      <c r="AL35" s="907">
        <v>259880</v>
      </c>
      <c r="AM35" s="907">
        <v>463588</v>
      </c>
      <c r="AN35" s="905">
        <v>1.78</v>
      </c>
      <c r="AP35" s="903">
        <v>2005</v>
      </c>
      <c r="AQ35" s="903" t="s">
        <v>1478</v>
      </c>
      <c r="AR35" s="907">
        <v>193111</v>
      </c>
      <c r="AS35" s="907">
        <v>343774</v>
      </c>
      <c r="AT35" s="905">
        <v>1.78</v>
      </c>
      <c r="AV35" s="903">
        <v>2005</v>
      </c>
      <c r="AW35" s="903" t="s">
        <v>1478</v>
      </c>
      <c r="AX35" s="907">
        <v>200518</v>
      </c>
      <c r="AY35" s="907">
        <v>362524</v>
      </c>
      <c r="AZ35" s="905">
        <v>1.81</v>
      </c>
      <c r="BB35" s="900">
        <v>2005</v>
      </c>
      <c r="BC35" s="900" t="s">
        <v>1478</v>
      </c>
      <c r="BD35" s="906">
        <v>113895</v>
      </c>
      <c r="BE35" s="906">
        <v>121584</v>
      </c>
      <c r="BF35" s="902">
        <v>1.07</v>
      </c>
    </row>
    <row r="36" spans="2:58" ht="10.9" thickBot="1">
      <c r="B36" s="900">
        <v>2005</v>
      </c>
      <c r="C36" s="263">
        <f t="shared" si="0"/>
        <v>38625</v>
      </c>
      <c r="D36" s="909">
        <v>1054.4000000000001</v>
      </c>
      <c r="E36" s="909">
        <v>1986</v>
      </c>
      <c r="F36" s="914">
        <v>1.88</v>
      </c>
      <c r="G36" s="906">
        <v>151657</v>
      </c>
      <c r="H36" s="906">
        <v>301473</v>
      </c>
      <c r="I36" s="902">
        <v>1.99</v>
      </c>
      <c r="J36" s="906">
        <v>118003</v>
      </c>
      <c r="K36" s="906">
        <v>236346</v>
      </c>
      <c r="L36" s="902">
        <v>2</v>
      </c>
      <c r="M36" s="906">
        <v>98362</v>
      </c>
      <c r="N36" s="906">
        <v>200558</v>
      </c>
      <c r="O36" s="902">
        <v>2.04</v>
      </c>
      <c r="P36" s="907">
        <v>104956</v>
      </c>
      <c r="Q36" s="907">
        <v>109999</v>
      </c>
      <c r="R36" s="905">
        <v>1.05</v>
      </c>
      <c r="T36" s="902">
        <v>421.9</v>
      </c>
      <c r="U36" s="902">
        <v>829.2</v>
      </c>
      <c r="V36" s="902">
        <v>1.97</v>
      </c>
      <c r="W36" s="906">
        <v>82088</v>
      </c>
      <c r="X36" s="906">
        <v>163563</v>
      </c>
      <c r="Y36" s="902">
        <v>1.99</v>
      </c>
      <c r="Z36" s="906">
        <v>52060</v>
      </c>
      <c r="AA36" s="906">
        <v>104270</v>
      </c>
      <c r="AB36" s="902">
        <v>2</v>
      </c>
      <c r="AC36" s="906">
        <v>84123</v>
      </c>
      <c r="AD36" s="906">
        <v>157024</v>
      </c>
      <c r="AE36" s="902">
        <v>1.87</v>
      </c>
      <c r="AF36" s="905">
        <v>0</v>
      </c>
      <c r="AG36" s="905">
        <v>0</v>
      </c>
      <c r="AH36" s="905" t="s">
        <v>1483</v>
      </c>
      <c r="AI36" s="901">
        <v>1476.2</v>
      </c>
      <c r="AJ36" s="901">
        <v>2815.2</v>
      </c>
      <c r="AK36" s="902">
        <v>1.91</v>
      </c>
      <c r="AL36" s="906">
        <v>233745</v>
      </c>
      <c r="AM36" s="906">
        <v>465036</v>
      </c>
      <c r="AN36" s="902">
        <v>1.99</v>
      </c>
      <c r="AP36" s="900">
        <v>2005</v>
      </c>
      <c r="AQ36" s="900" t="s">
        <v>1479</v>
      </c>
      <c r="AR36" s="906">
        <v>170062</v>
      </c>
      <c r="AS36" s="906">
        <v>340616</v>
      </c>
      <c r="AT36" s="902">
        <v>2</v>
      </c>
      <c r="AV36" s="900">
        <v>2005</v>
      </c>
      <c r="AW36" s="900" t="s">
        <v>1479</v>
      </c>
      <c r="AX36" s="906">
        <v>182485</v>
      </c>
      <c r="AY36" s="906">
        <v>357582</v>
      </c>
      <c r="AZ36" s="902">
        <v>1.96</v>
      </c>
      <c r="BB36" s="903">
        <v>2005</v>
      </c>
      <c r="BC36" s="903" t="s">
        <v>1479</v>
      </c>
      <c r="BD36" s="907">
        <v>104956</v>
      </c>
      <c r="BE36" s="907">
        <v>109999</v>
      </c>
      <c r="BF36" s="905">
        <v>1.05</v>
      </c>
    </row>
    <row r="37" spans="2:58" ht="10.9" thickBot="1">
      <c r="B37" s="903">
        <v>2005</v>
      </c>
      <c r="C37" s="263">
        <f t="shared" si="0"/>
        <v>38656</v>
      </c>
      <c r="D37" s="909">
        <v>1062</v>
      </c>
      <c r="E37" s="909">
        <v>2280.4</v>
      </c>
      <c r="F37" s="914">
        <v>2.15</v>
      </c>
      <c r="G37" s="907">
        <v>152910</v>
      </c>
      <c r="H37" s="907">
        <v>353692</v>
      </c>
      <c r="I37" s="905">
        <v>2.31</v>
      </c>
      <c r="J37" s="907">
        <v>121030</v>
      </c>
      <c r="K37" s="907">
        <v>273991</v>
      </c>
      <c r="L37" s="905">
        <v>2.2599999999999998</v>
      </c>
      <c r="M37" s="907">
        <v>102187</v>
      </c>
      <c r="N37" s="907">
        <v>223045</v>
      </c>
      <c r="O37" s="905">
        <v>2.1800000000000002</v>
      </c>
      <c r="P37" s="906">
        <v>109752</v>
      </c>
      <c r="Q37" s="906">
        <v>144010</v>
      </c>
      <c r="R37" s="902">
        <v>1.31</v>
      </c>
      <c r="T37" s="905">
        <v>417.1</v>
      </c>
      <c r="U37" s="905">
        <v>886.5</v>
      </c>
      <c r="V37" s="905">
        <v>2.13</v>
      </c>
      <c r="W37" s="907">
        <v>80873</v>
      </c>
      <c r="X37" s="907">
        <v>168121</v>
      </c>
      <c r="Y37" s="905">
        <v>2.08</v>
      </c>
      <c r="Z37" s="907">
        <v>48177</v>
      </c>
      <c r="AA37" s="907">
        <v>109063</v>
      </c>
      <c r="AB37" s="905">
        <v>2.2599999999999998</v>
      </c>
      <c r="AC37" s="907">
        <v>85802</v>
      </c>
      <c r="AD37" s="907">
        <v>172865</v>
      </c>
      <c r="AE37" s="905">
        <v>2.0099999999999998</v>
      </c>
      <c r="AF37" s="902">
        <v>0</v>
      </c>
      <c r="AG37" s="902">
        <v>0</v>
      </c>
      <c r="AH37" s="902" t="s">
        <v>1483</v>
      </c>
      <c r="AI37" s="904">
        <v>1479.1</v>
      </c>
      <c r="AJ37" s="904">
        <v>3166.9</v>
      </c>
      <c r="AK37" s="905">
        <v>2.14</v>
      </c>
      <c r="AL37" s="907">
        <v>233783</v>
      </c>
      <c r="AM37" s="907">
        <v>521813</v>
      </c>
      <c r="AN37" s="905">
        <v>2.23</v>
      </c>
      <c r="AP37" s="903">
        <v>2005</v>
      </c>
      <c r="AQ37" s="903" t="s">
        <v>1480</v>
      </c>
      <c r="AR37" s="907">
        <v>169207</v>
      </c>
      <c r="AS37" s="907">
        <v>383053</v>
      </c>
      <c r="AT37" s="905">
        <v>2.2599999999999998</v>
      </c>
      <c r="AV37" s="903">
        <v>2005</v>
      </c>
      <c r="AW37" s="903" t="s">
        <v>1480</v>
      </c>
      <c r="AX37" s="907">
        <v>187989</v>
      </c>
      <c r="AY37" s="907">
        <v>395910</v>
      </c>
      <c r="AZ37" s="905">
        <v>2.11</v>
      </c>
      <c r="BB37" s="900">
        <v>2005</v>
      </c>
      <c r="BC37" s="900" t="s">
        <v>1480</v>
      </c>
      <c r="BD37" s="906">
        <v>109752</v>
      </c>
      <c r="BE37" s="906">
        <v>144010</v>
      </c>
      <c r="BF37" s="902">
        <v>1.31</v>
      </c>
    </row>
    <row r="38" spans="2:58" ht="10.9" thickBot="1">
      <c r="B38" s="900">
        <v>2005</v>
      </c>
      <c r="C38" s="263">
        <f t="shared" si="0"/>
        <v>38686</v>
      </c>
      <c r="D38" s="909">
        <v>1055.0999999999999</v>
      </c>
      <c r="E38" s="909">
        <v>1961</v>
      </c>
      <c r="F38" s="914">
        <v>1.86</v>
      </c>
      <c r="G38" s="906">
        <v>154014</v>
      </c>
      <c r="H38" s="906">
        <v>292210</v>
      </c>
      <c r="I38" s="902">
        <v>1.9</v>
      </c>
      <c r="J38" s="906">
        <v>116285</v>
      </c>
      <c r="K38" s="906">
        <v>239159</v>
      </c>
      <c r="L38" s="902">
        <v>2.06</v>
      </c>
      <c r="M38" s="906">
        <v>99020</v>
      </c>
      <c r="N38" s="906">
        <v>204206</v>
      </c>
      <c r="O38" s="902">
        <v>2.06</v>
      </c>
      <c r="P38" s="907">
        <v>106115</v>
      </c>
      <c r="Q38" s="907">
        <v>130005</v>
      </c>
      <c r="R38" s="905">
        <v>1.23</v>
      </c>
      <c r="T38" s="902">
        <v>393.3</v>
      </c>
      <c r="U38" s="902">
        <v>783.7</v>
      </c>
      <c r="V38" s="902">
        <v>1.99</v>
      </c>
      <c r="W38" s="906">
        <v>76503</v>
      </c>
      <c r="X38" s="906">
        <v>154583</v>
      </c>
      <c r="Y38" s="902">
        <v>2.02</v>
      </c>
      <c r="Z38" s="906">
        <v>42968</v>
      </c>
      <c r="AA38" s="906">
        <v>88370</v>
      </c>
      <c r="AB38" s="902">
        <v>2.06</v>
      </c>
      <c r="AC38" s="906">
        <v>80659</v>
      </c>
      <c r="AD38" s="906">
        <v>160140</v>
      </c>
      <c r="AE38" s="902">
        <v>1.99</v>
      </c>
      <c r="AF38" s="905">
        <v>0</v>
      </c>
      <c r="AG38" s="905">
        <v>0</v>
      </c>
      <c r="AH38" s="905" t="s">
        <v>1483</v>
      </c>
      <c r="AI38" s="901">
        <v>1448.4</v>
      </c>
      <c r="AJ38" s="901">
        <v>2744.6</v>
      </c>
      <c r="AK38" s="902">
        <v>1.89</v>
      </c>
      <c r="AL38" s="906">
        <v>230517</v>
      </c>
      <c r="AM38" s="906">
        <v>446794</v>
      </c>
      <c r="AN38" s="902">
        <v>1.94</v>
      </c>
      <c r="AP38" s="900">
        <v>2005</v>
      </c>
      <c r="AQ38" s="900" t="s">
        <v>1481</v>
      </c>
      <c r="AR38" s="906">
        <v>159253</v>
      </c>
      <c r="AS38" s="906">
        <v>327529</v>
      </c>
      <c r="AT38" s="902">
        <v>2.06</v>
      </c>
      <c r="AV38" s="900">
        <v>2005</v>
      </c>
      <c r="AW38" s="900" t="s">
        <v>1481</v>
      </c>
      <c r="AX38" s="906">
        <v>179679</v>
      </c>
      <c r="AY38" s="906">
        <v>364346</v>
      </c>
      <c r="AZ38" s="902">
        <v>2.0299999999999998</v>
      </c>
      <c r="BB38" s="903">
        <v>2005</v>
      </c>
      <c r="BC38" s="903" t="s">
        <v>1481</v>
      </c>
      <c r="BD38" s="907">
        <v>106115</v>
      </c>
      <c r="BE38" s="907">
        <v>130005</v>
      </c>
      <c r="BF38" s="905">
        <v>1.23</v>
      </c>
    </row>
    <row r="39" spans="2:58" ht="11.2" customHeight="1" thickBot="1">
      <c r="B39" s="903">
        <v>2005</v>
      </c>
      <c r="C39" s="263">
        <f t="shared" si="0"/>
        <v>38717</v>
      </c>
      <c r="D39" s="909">
        <v>1097.8</v>
      </c>
      <c r="E39" s="909">
        <v>1853</v>
      </c>
      <c r="F39" s="914">
        <v>1.69</v>
      </c>
      <c r="G39" s="907">
        <v>158510</v>
      </c>
      <c r="H39" s="907">
        <v>267558</v>
      </c>
      <c r="I39" s="905">
        <v>1.69</v>
      </c>
      <c r="J39" s="907">
        <v>115033</v>
      </c>
      <c r="K39" s="907">
        <v>208420</v>
      </c>
      <c r="L39" s="905">
        <v>1.81</v>
      </c>
      <c r="M39" s="907">
        <v>104476</v>
      </c>
      <c r="N39" s="907">
        <v>195808</v>
      </c>
      <c r="O39" s="905">
        <v>1.87</v>
      </c>
      <c r="P39" s="906">
        <v>110875</v>
      </c>
      <c r="Q39" s="906">
        <v>117301</v>
      </c>
      <c r="R39" s="902">
        <v>1.06</v>
      </c>
      <c r="T39" s="905">
        <v>415.3</v>
      </c>
      <c r="U39" s="905">
        <v>745.6</v>
      </c>
      <c r="V39" s="905">
        <v>1.8</v>
      </c>
      <c r="W39" s="907">
        <v>82043</v>
      </c>
      <c r="X39" s="907">
        <v>144349</v>
      </c>
      <c r="Y39" s="905">
        <v>1.76</v>
      </c>
      <c r="Z39" s="907">
        <v>48379</v>
      </c>
      <c r="AA39" s="907">
        <v>87654</v>
      </c>
      <c r="AB39" s="905">
        <v>1.81</v>
      </c>
      <c r="AC39" s="907">
        <v>85202</v>
      </c>
      <c r="AD39" s="907">
        <v>154305</v>
      </c>
      <c r="AE39" s="905">
        <v>1.81</v>
      </c>
      <c r="AF39" s="902">
        <v>0</v>
      </c>
      <c r="AG39" s="902">
        <v>0</v>
      </c>
      <c r="AH39" s="902" t="s">
        <v>1483</v>
      </c>
      <c r="AI39" s="904">
        <v>1513.1</v>
      </c>
      <c r="AJ39" s="904">
        <v>2598.6</v>
      </c>
      <c r="AK39" s="905">
        <v>1.72</v>
      </c>
      <c r="AL39" s="907">
        <v>240553</v>
      </c>
      <c r="AM39" s="907">
        <v>411906</v>
      </c>
      <c r="AN39" s="905">
        <v>1.71</v>
      </c>
      <c r="AP39" s="903">
        <v>2005</v>
      </c>
      <c r="AQ39" s="903" t="s">
        <v>1482</v>
      </c>
      <c r="AR39" s="907">
        <v>163412</v>
      </c>
      <c r="AS39" s="907">
        <v>296073</v>
      </c>
      <c r="AT39" s="905">
        <v>1.81</v>
      </c>
      <c r="AV39" s="903">
        <v>2005</v>
      </c>
      <c r="AW39" s="903" t="s">
        <v>1482</v>
      </c>
      <c r="AX39" s="907">
        <v>189678</v>
      </c>
      <c r="AY39" s="907">
        <v>350112</v>
      </c>
      <c r="AZ39" s="905">
        <v>1.85</v>
      </c>
      <c r="BB39" s="900">
        <v>2005</v>
      </c>
      <c r="BC39" s="900" t="s">
        <v>1482</v>
      </c>
      <c r="BD39" s="906">
        <v>110875</v>
      </c>
      <c r="BE39" s="906">
        <v>117301</v>
      </c>
      <c r="BF39" s="902">
        <v>1.06</v>
      </c>
    </row>
    <row r="40" spans="2:58" ht="10.9" thickBot="1">
      <c r="B40" s="900">
        <v>2006</v>
      </c>
      <c r="C40" s="263">
        <f t="shared" si="0"/>
        <v>38748</v>
      </c>
      <c r="D40" s="909">
        <v>1048</v>
      </c>
      <c r="E40" s="909">
        <v>1874.3</v>
      </c>
      <c r="F40" s="914">
        <v>1.79</v>
      </c>
      <c r="G40" s="906">
        <v>158012</v>
      </c>
      <c r="H40" s="906">
        <v>278165</v>
      </c>
      <c r="I40" s="902">
        <v>1.76</v>
      </c>
      <c r="J40" s="906">
        <v>107376</v>
      </c>
      <c r="K40" s="906">
        <v>198735</v>
      </c>
      <c r="L40" s="902">
        <v>1.85</v>
      </c>
      <c r="M40" s="906">
        <v>99670</v>
      </c>
      <c r="N40" s="906">
        <v>198159</v>
      </c>
      <c r="O40" s="902">
        <v>1.99</v>
      </c>
      <c r="P40" s="907">
        <v>111444</v>
      </c>
      <c r="Q40" s="907">
        <v>167768</v>
      </c>
      <c r="R40" s="905">
        <v>1.51</v>
      </c>
      <c r="T40" s="902">
        <v>411.2</v>
      </c>
      <c r="U40" s="902">
        <v>748.2</v>
      </c>
      <c r="V40" s="902">
        <v>1.82</v>
      </c>
      <c r="W40" s="906">
        <v>82984</v>
      </c>
      <c r="X40" s="906">
        <v>150233</v>
      </c>
      <c r="Y40" s="902">
        <v>1.81</v>
      </c>
      <c r="Z40" s="906">
        <v>45833</v>
      </c>
      <c r="AA40" s="906">
        <v>84829</v>
      </c>
      <c r="AB40" s="902">
        <v>1.85</v>
      </c>
      <c r="AC40" s="906">
        <v>84923</v>
      </c>
      <c r="AD40" s="906">
        <v>150619</v>
      </c>
      <c r="AE40" s="902">
        <v>1.77</v>
      </c>
      <c r="AF40" s="905">
        <v>0</v>
      </c>
      <c r="AG40" s="905">
        <v>0</v>
      </c>
      <c r="AH40" s="905" t="s">
        <v>1483</v>
      </c>
      <c r="AI40" s="901">
        <v>1459.2</v>
      </c>
      <c r="AJ40" s="901">
        <v>2622.6</v>
      </c>
      <c r="AK40" s="902">
        <v>1.8</v>
      </c>
      <c r="AL40" s="906">
        <v>240996</v>
      </c>
      <c r="AM40" s="906">
        <v>428398</v>
      </c>
      <c r="AN40" s="902">
        <v>1.78</v>
      </c>
      <c r="AP40" s="900">
        <v>2006</v>
      </c>
      <c r="AQ40" s="900" t="s">
        <v>1472</v>
      </c>
      <c r="AR40" s="906">
        <v>153210</v>
      </c>
      <c r="AS40" s="906">
        <v>283564</v>
      </c>
      <c r="AT40" s="902">
        <v>1.85</v>
      </c>
      <c r="AV40" s="900">
        <v>2006</v>
      </c>
      <c r="AW40" s="900" t="s">
        <v>1472</v>
      </c>
      <c r="AX40" s="906">
        <v>184593</v>
      </c>
      <c r="AY40" s="906">
        <v>348779</v>
      </c>
      <c r="AZ40" s="902">
        <v>1.89</v>
      </c>
      <c r="BB40" s="903">
        <v>2006</v>
      </c>
      <c r="BC40" s="903" t="s">
        <v>1472</v>
      </c>
      <c r="BD40" s="907">
        <v>111444</v>
      </c>
      <c r="BE40" s="907">
        <v>167768</v>
      </c>
      <c r="BF40" s="905">
        <v>1.51</v>
      </c>
    </row>
    <row r="41" spans="2:58" ht="10.9" thickBot="1">
      <c r="B41" s="903">
        <v>2006</v>
      </c>
      <c r="C41" s="263">
        <f t="shared" si="0"/>
        <v>38776</v>
      </c>
      <c r="D41" s="909">
        <v>967.2</v>
      </c>
      <c r="E41" s="909">
        <v>1754.9</v>
      </c>
      <c r="F41" s="914">
        <v>1.81</v>
      </c>
      <c r="G41" s="907">
        <v>142963</v>
      </c>
      <c r="H41" s="907">
        <v>264880</v>
      </c>
      <c r="I41" s="905">
        <v>1.85</v>
      </c>
      <c r="J41" s="907">
        <v>97333</v>
      </c>
      <c r="K41" s="907">
        <v>180949</v>
      </c>
      <c r="L41" s="905">
        <v>1.86</v>
      </c>
      <c r="M41" s="907">
        <v>93718</v>
      </c>
      <c r="N41" s="907">
        <v>183810</v>
      </c>
      <c r="O41" s="905">
        <v>1.96</v>
      </c>
      <c r="P41" s="906">
        <v>102545</v>
      </c>
      <c r="Q41" s="906">
        <v>159821</v>
      </c>
      <c r="R41" s="902">
        <v>1.56</v>
      </c>
      <c r="T41" s="905">
        <v>372.1</v>
      </c>
      <c r="U41" s="905">
        <v>693.6</v>
      </c>
      <c r="V41" s="905">
        <v>1.86</v>
      </c>
      <c r="W41" s="907">
        <v>73480</v>
      </c>
      <c r="X41" s="907">
        <v>137317</v>
      </c>
      <c r="Y41" s="905">
        <v>1.87</v>
      </c>
      <c r="Z41" s="907">
        <v>40416</v>
      </c>
      <c r="AA41" s="907">
        <v>75136</v>
      </c>
      <c r="AB41" s="905">
        <v>1.86</v>
      </c>
      <c r="AC41" s="907">
        <v>75628</v>
      </c>
      <c r="AD41" s="907">
        <v>133984</v>
      </c>
      <c r="AE41" s="905">
        <v>1.77</v>
      </c>
      <c r="AF41" s="902">
        <v>0</v>
      </c>
      <c r="AG41" s="902">
        <v>0</v>
      </c>
      <c r="AH41" s="902" t="s">
        <v>1483</v>
      </c>
      <c r="AI41" s="904">
        <v>1339.3</v>
      </c>
      <c r="AJ41" s="904">
        <v>2448.5</v>
      </c>
      <c r="AK41" s="905">
        <v>1.83</v>
      </c>
      <c r="AL41" s="907">
        <v>216443</v>
      </c>
      <c r="AM41" s="907">
        <v>402197</v>
      </c>
      <c r="AN41" s="905">
        <v>1.86</v>
      </c>
      <c r="AP41" s="903">
        <v>2006</v>
      </c>
      <c r="AQ41" s="903" t="s">
        <v>1473</v>
      </c>
      <c r="AR41" s="907">
        <v>137749</v>
      </c>
      <c r="AS41" s="907">
        <v>256085</v>
      </c>
      <c r="AT41" s="905">
        <v>1.86</v>
      </c>
      <c r="AV41" s="903">
        <v>2006</v>
      </c>
      <c r="AW41" s="903" t="s">
        <v>1473</v>
      </c>
      <c r="AX41" s="907">
        <v>169346</v>
      </c>
      <c r="AY41" s="907">
        <v>317795</v>
      </c>
      <c r="AZ41" s="905">
        <v>1.88</v>
      </c>
      <c r="BB41" s="900">
        <v>2006</v>
      </c>
      <c r="BC41" s="900" t="s">
        <v>1473</v>
      </c>
      <c r="BD41" s="906">
        <v>102545</v>
      </c>
      <c r="BE41" s="906">
        <v>159821</v>
      </c>
      <c r="BF41" s="902">
        <v>1.56</v>
      </c>
    </row>
    <row r="42" spans="2:58" ht="10.9" thickBot="1">
      <c r="B42" s="900">
        <v>2006</v>
      </c>
      <c r="C42" s="263">
        <f t="shared" si="0"/>
        <v>38807</v>
      </c>
      <c r="D42" s="909">
        <v>1118</v>
      </c>
      <c r="E42" s="909">
        <v>2015.1</v>
      </c>
      <c r="F42" s="914">
        <v>1.8</v>
      </c>
      <c r="G42" s="906">
        <v>162953</v>
      </c>
      <c r="H42" s="906">
        <v>299223</v>
      </c>
      <c r="I42" s="902">
        <v>1.84</v>
      </c>
      <c r="J42" s="906">
        <v>112929</v>
      </c>
      <c r="K42" s="906">
        <v>211783</v>
      </c>
      <c r="L42" s="902">
        <v>1.88</v>
      </c>
      <c r="M42" s="906">
        <v>106922</v>
      </c>
      <c r="N42" s="906">
        <v>200462</v>
      </c>
      <c r="O42" s="902">
        <v>1.87</v>
      </c>
      <c r="P42" s="907">
        <v>115796</v>
      </c>
      <c r="Q42" s="907">
        <v>172155</v>
      </c>
      <c r="R42" s="905">
        <v>1.49</v>
      </c>
      <c r="T42" s="902">
        <v>440.4</v>
      </c>
      <c r="U42" s="902">
        <v>824</v>
      </c>
      <c r="V42" s="902">
        <v>1.87</v>
      </c>
      <c r="W42" s="906">
        <v>83455</v>
      </c>
      <c r="X42" s="906">
        <v>153629</v>
      </c>
      <c r="Y42" s="902">
        <v>1.84</v>
      </c>
      <c r="Z42" s="906">
        <v>51462</v>
      </c>
      <c r="AA42" s="906">
        <v>96510</v>
      </c>
      <c r="AB42" s="902">
        <v>1.88</v>
      </c>
      <c r="AC42" s="906">
        <v>87173</v>
      </c>
      <c r="AD42" s="906">
        <v>156146</v>
      </c>
      <c r="AE42" s="902">
        <v>1.79</v>
      </c>
      <c r="AF42" s="905">
        <v>0</v>
      </c>
      <c r="AG42" s="905">
        <v>0</v>
      </c>
      <c r="AH42" s="905" t="s">
        <v>1483</v>
      </c>
      <c r="AI42" s="901">
        <v>1558.4</v>
      </c>
      <c r="AJ42" s="901">
        <v>2839.1</v>
      </c>
      <c r="AK42" s="902">
        <v>1.82</v>
      </c>
      <c r="AL42" s="906">
        <v>246408</v>
      </c>
      <c r="AM42" s="906">
        <v>452852</v>
      </c>
      <c r="AN42" s="902">
        <v>1.84</v>
      </c>
      <c r="AP42" s="900">
        <v>2006</v>
      </c>
      <c r="AQ42" s="900" t="s">
        <v>1474</v>
      </c>
      <c r="AR42" s="906">
        <v>164391</v>
      </c>
      <c r="AS42" s="906">
        <v>308293</v>
      </c>
      <c r="AT42" s="902">
        <v>1.88</v>
      </c>
      <c r="AV42" s="900">
        <v>2006</v>
      </c>
      <c r="AW42" s="900" t="s">
        <v>1474</v>
      </c>
      <c r="AX42" s="906">
        <v>194095</v>
      </c>
      <c r="AY42" s="906">
        <v>356608</v>
      </c>
      <c r="AZ42" s="902">
        <v>1.84</v>
      </c>
      <c r="BB42" s="903">
        <v>2006</v>
      </c>
      <c r="BC42" s="903" t="s">
        <v>1474</v>
      </c>
      <c r="BD42" s="907">
        <v>115796</v>
      </c>
      <c r="BE42" s="907">
        <v>172155</v>
      </c>
      <c r="BF42" s="905">
        <v>1.49</v>
      </c>
    </row>
    <row r="43" spans="2:58" ht="10.9" thickBot="1">
      <c r="B43" s="903">
        <v>2006</v>
      </c>
      <c r="C43" s="263">
        <f t="shared" si="0"/>
        <v>38837</v>
      </c>
      <c r="D43" s="909">
        <v>1070.8</v>
      </c>
      <c r="E43" s="909">
        <v>2026.3</v>
      </c>
      <c r="F43" s="914">
        <v>1.89</v>
      </c>
      <c r="G43" s="907">
        <v>155481</v>
      </c>
      <c r="H43" s="907">
        <v>305356</v>
      </c>
      <c r="I43" s="905">
        <v>1.96</v>
      </c>
      <c r="J43" s="907">
        <v>106376</v>
      </c>
      <c r="K43" s="907">
        <v>209688</v>
      </c>
      <c r="L43" s="905">
        <v>1.97</v>
      </c>
      <c r="M43" s="907">
        <v>106389</v>
      </c>
      <c r="N43" s="907">
        <v>212107</v>
      </c>
      <c r="O43" s="905">
        <v>1.99</v>
      </c>
      <c r="P43" s="906">
        <v>111878</v>
      </c>
      <c r="Q43" s="906">
        <v>145765</v>
      </c>
      <c r="R43" s="902">
        <v>1.3</v>
      </c>
      <c r="T43" s="905">
        <v>426.2</v>
      </c>
      <c r="U43" s="905">
        <v>838.3</v>
      </c>
      <c r="V43" s="905">
        <v>1.97</v>
      </c>
      <c r="W43" s="907">
        <v>84262</v>
      </c>
      <c r="X43" s="907">
        <v>160317</v>
      </c>
      <c r="Y43" s="905">
        <v>1.9</v>
      </c>
      <c r="Z43" s="907">
        <v>51831</v>
      </c>
      <c r="AA43" s="907">
        <v>102168</v>
      </c>
      <c r="AB43" s="905">
        <v>1.97</v>
      </c>
      <c r="AC43" s="907">
        <v>83344</v>
      </c>
      <c r="AD43" s="907">
        <v>158930</v>
      </c>
      <c r="AE43" s="905">
        <v>1.91</v>
      </c>
      <c r="AF43" s="902">
        <v>0</v>
      </c>
      <c r="AG43" s="902">
        <v>0</v>
      </c>
      <c r="AH43" s="902" t="s">
        <v>1483</v>
      </c>
      <c r="AI43" s="904">
        <v>1497</v>
      </c>
      <c r="AJ43" s="904">
        <v>2864.6</v>
      </c>
      <c r="AK43" s="905">
        <v>1.91</v>
      </c>
      <c r="AL43" s="907">
        <v>239743</v>
      </c>
      <c r="AM43" s="907">
        <v>465673</v>
      </c>
      <c r="AN43" s="905">
        <v>1.94</v>
      </c>
      <c r="AP43" s="903">
        <v>2006</v>
      </c>
      <c r="AQ43" s="903" t="s">
        <v>1475</v>
      </c>
      <c r="AR43" s="907">
        <v>158207</v>
      </c>
      <c r="AS43" s="907">
        <v>311856</v>
      </c>
      <c r="AT43" s="905">
        <v>1.97</v>
      </c>
      <c r="AV43" s="903">
        <v>2006</v>
      </c>
      <c r="AW43" s="903" t="s">
        <v>1475</v>
      </c>
      <c r="AX43" s="907">
        <v>189733</v>
      </c>
      <c r="AY43" s="907">
        <v>371037</v>
      </c>
      <c r="AZ43" s="905">
        <v>1.96</v>
      </c>
      <c r="BB43" s="900">
        <v>2006</v>
      </c>
      <c r="BC43" s="900" t="s">
        <v>1475</v>
      </c>
      <c r="BD43" s="906">
        <v>111878</v>
      </c>
      <c r="BE43" s="906">
        <v>145765</v>
      </c>
      <c r="BF43" s="902">
        <v>1.3</v>
      </c>
    </row>
    <row r="44" spans="2:58" ht="10.9" thickBot="1">
      <c r="B44" s="900">
        <v>2006</v>
      </c>
      <c r="C44" s="263">
        <f t="shared" si="0"/>
        <v>38868</v>
      </c>
      <c r="D44" s="909">
        <v>1084.9000000000001</v>
      </c>
      <c r="E44" s="909">
        <v>2213</v>
      </c>
      <c r="F44" s="914">
        <v>2.04</v>
      </c>
      <c r="G44" s="906">
        <v>160982</v>
      </c>
      <c r="H44" s="906">
        <v>330935</v>
      </c>
      <c r="I44" s="902">
        <v>2.06</v>
      </c>
      <c r="J44" s="906">
        <v>102298</v>
      </c>
      <c r="K44" s="906">
        <v>213356</v>
      </c>
      <c r="L44" s="902">
        <v>2.09</v>
      </c>
      <c r="M44" s="906">
        <v>109279</v>
      </c>
      <c r="N44" s="906">
        <v>240992</v>
      </c>
      <c r="O44" s="902">
        <v>2.21</v>
      </c>
      <c r="P44" s="907">
        <v>115853</v>
      </c>
      <c r="Q44" s="907">
        <v>175004</v>
      </c>
      <c r="R44" s="905">
        <v>1.51</v>
      </c>
      <c r="T44" s="902">
        <v>448.1</v>
      </c>
      <c r="U44" s="902">
        <v>937.7</v>
      </c>
      <c r="V44" s="902">
        <v>2.09</v>
      </c>
      <c r="W44" s="906">
        <v>88263</v>
      </c>
      <c r="X44" s="906">
        <v>183591</v>
      </c>
      <c r="Y44" s="902">
        <v>2.08</v>
      </c>
      <c r="Z44" s="906">
        <v>57345</v>
      </c>
      <c r="AA44" s="906">
        <v>119601</v>
      </c>
      <c r="AB44" s="902">
        <v>2.09</v>
      </c>
      <c r="AC44" s="906">
        <v>83148</v>
      </c>
      <c r="AD44" s="906">
        <v>169836</v>
      </c>
      <c r="AE44" s="902">
        <v>2.04</v>
      </c>
      <c r="AF44" s="905">
        <v>0</v>
      </c>
      <c r="AG44" s="905">
        <v>0</v>
      </c>
      <c r="AH44" s="905" t="s">
        <v>1483</v>
      </c>
      <c r="AI44" s="901">
        <v>1533</v>
      </c>
      <c r="AJ44" s="901">
        <v>3150.7</v>
      </c>
      <c r="AK44" s="902">
        <v>2.06</v>
      </c>
      <c r="AL44" s="906">
        <v>249245</v>
      </c>
      <c r="AM44" s="906">
        <v>514526</v>
      </c>
      <c r="AN44" s="902">
        <v>2.06</v>
      </c>
      <c r="AP44" s="900">
        <v>2006</v>
      </c>
      <c r="AQ44" s="900" t="s">
        <v>1465</v>
      </c>
      <c r="AR44" s="906">
        <v>159644</v>
      </c>
      <c r="AS44" s="906">
        <v>332957</v>
      </c>
      <c r="AT44" s="902">
        <v>2.09</v>
      </c>
      <c r="AV44" s="900">
        <v>2006</v>
      </c>
      <c r="AW44" s="900" t="s">
        <v>1465</v>
      </c>
      <c r="AX44" s="906">
        <v>192427</v>
      </c>
      <c r="AY44" s="906">
        <v>410828</v>
      </c>
      <c r="AZ44" s="902">
        <v>2.13</v>
      </c>
      <c r="BB44" s="903">
        <v>2006</v>
      </c>
      <c r="BC44" s="903" t="s">
        <v>1465</v>
      </c>
      <c r="BD44" s="907">
        <v>115853</v>
      </c>
      <c r="BE44" s="907">
        <v>175004</v>
      </c>
      <c r="BF44" s="905">
        <v>1.51</v>
      </c>
    </row>
    <row r="45" spans="2:58" ht="10.9" thickBot="1">
      <c r="B45" s="903">
        <v>2006</v>
      </c>
      <c r="C45" s="263">
        <f t="shared" si="0"/>
        <v>38898</v>
      </c>
      <c r="D45" s="909">
        <v>1117.3</v>
      </c>
      <c r="E45" s="909">
        <v>2294.3000000000002</v>
      </c>
      <c r="F45" s="914">
        <v>2.0499999999999998</v>
      </c>
      <c r="G45" s="907">
        <v>158815</v>
      </c>
      <c r="H45" s="907">
        <v>322539</v>
      </c>
      <c r="I45" s="905">
        <v>2.0299999999999998</v>
      </c>
      <c r="J45" s="907">
        <v>114157</v>
      </c>
      <c r="K45" s="907">
        <v>246875</v>
      </c>
      <c r="L45" s="905">
        <v>2.16</v>
      </c>
      <c r="M45" s="907">
        <v>112514</v>
      </c>
      <c r="N45" s="907">
        <v>247792</v>
      </c>
      <c r="O45" s="905">
        <v>2.2000000000000002</v>
      </c>
      <c r="P45" s="906">
        <v>115895</v>
      </c>
      <c r="Q45" s="906">
        <v>195548</v>
      </c>
      <c r="R45" s="902">
        <v>1.69</v>
      </c>
      <c r="T45" s="905">
        <v>437.9</v>
      </c>
      <c r="U45" s="905">
        <v>955.2</v>
      </c>
      <c r="V45" s="905">
        <v>2.1800000000000002</v>
      </c>
      <c r="W45" s="907">
        <v>88198</v>
      </c>
      <c r="X45" s="907">
        <v>186722</v>
      </c>
      <c r="Y45" s="905">
        <v>2.12</v>
      </c>
      <c r="Z45" s="907">
        <v>47025</v>
      </c>
      <c r="AA45" s="907">
        <v>125623</v>
      </c>
      <c r="AB45" s="905">
        <v>2.67</v>
      </c>
      <c r="AC45" s="907">
        <v>83363</v>
      </c>
      <c r="AD45" s="907">
        <v>174354</v>
      </c>
      <c r="AE45" s="905">
        <v>2.09</v>
      </c>
      <c r="AF45" s="902">
        <v>0</v>
      </c>
      <c r="AG45" s="902">
        <v>0</v>
      </c>
      <c r="AH45" s="902" t="s">
        <v>1483</v>
      </c>
      <c r="AI45" s="904">
        <v>1555.3</v>
      </c>
      <c r="AJ45" s="904">
        <v>3249.5</v>
      </c>
      <c r="AK45" s="905">
        <v>2.09</v>
      </c>
      <c r="AL45" s="907">
        <v>247013</v>
      </c>
      <c r="AM45" s="907">
        <v>509261</v>
      </c>
      <c r="AN45" s="905">
        <v>2.06</v>
      </c>
      <c r="AP45" s="903">
        <v>2006</v>
      </c>
      <c r="AQ45" s="903" t="s">
        <v>1476</v>
      </c>
      <c r="AR45" s="907">
        <v>161182</v>
      </c>
      <c r="AS45" s="907">
        <v>372498</v>
      </c>
      <c r="AT45" s="905">
        <v>2.31</v>
      </c>
      <c r="AV45" s="903">
        <v>2006</v>
      </c>
      <c r="AW45" s="903" t="s">
        <v>1476</v>
      </c>
      <c r="AX45" s="907">
        <v>195877</v>
      </c>
      <c r="AY45" s="907">
        <v>422146</v>
      </c>
      <c r="AZ45" s="905">
        <v>2.16</v>
      </c>
      <c r="BB45" s="900">
        <v>2006</v>
      </c>
      <c r="BC45" s="900" t="s">
        <v>1476</v>
      </c>
      <c r="BD45" s="906">
        <v>115895</v>
      </c>
      <c r="BE45" s="906">
        <v>195548</v>
      </c>
      <c r="BF45" s="902">
        <v>1.69</v>
      </c>
    </row>
    <row r="46" spans="2:58" ht="10.9" thickBot="1">
      <c r="B46" s="900">
        <v>2006</v>
      </c>
      <c r="C46" s="263">
        <f t="shared" si="0"/>
        <v>38929</v>
      </c>
      <c r="D46" s="909">
        <v>1141.9000000000001</v>
      </c>
      <c r="E46" s="909">
        <v>2370.6999999999998</v>
      </c>
      <c r="F46" s="914">
        <v>2.08</v>
      </c>
      <c r="G46" s="906">
        <v>158643</v>
      </c>
      <c r="H46" s="906">
        <v>338777</v>
      </c>
      <c r="I46" s="902">
        <v>2.14</v>
      </c>
      <c r="J46" s="906">
        <v>111927</v>
      </c>
      <c r="K46" s="906">
        <v>240301</v>
      </c>
      <c r="L46" s="902">
        <v>2.15</v>
      </c>
      <c r="M46" s="906">
        <v>115486</v>
      </c>
      <c r="N46" s="906">
        <v>258064</v>
      </c>
      <c r="O46" s="902">
        <v>2.23</v>
      </c>
      <c r="P46" s="907">
        <v>120724</v>
      </c>
      <c r="Q46" s="907">
        <v>198331</v>
      </c>
      <c r="R46" s="905">
        <v>1.64</v>
      </c>
      <c r="T46" s="902">
        <v>472.8</v>
      </c>
      <c r="U46" s="901">
        <v>1023.5</v>
      </c>
      <c r="V46" s="902">
        <v>2.16</v>
      </c>
      <c r="W46" s="906">
        <v>96535</v>
      </c>
      <c r="X46" s="906">
        <v>197235</v>
      </c>
      <c r="Y46" s="902">
        <v>2.04</v>
      </c>
      <c r="Z46" s="906">
        <v>69814</v>
      </c>
      <c r="AA46" s="906">
        <v>149886</v>
      </c>
      <c r="AB46" s="902">
        <v>2.15</v>
      </c>
      <c r="AC46" s="906">
        <v>86329</v>
      </c>
      <c r="AD46" s="906">
        <v>181014</v>
      </c>
      <c r="AE46" s="902">
        <v>2.1</v>
      </c>
      <c r="AF46" s="905">
        <v>0</v>
      </c>
      <c r="AG46" s="905">
        <v>0</v>
      </c>
      <c r="AH46" s="905" t="s">
        <v>1483</v>
      </c>
      <c r="AI46" s="901">
        <v>1614.8</v>
      </c>
      <c r="AJ46" s="901">
        <v>3394.2</v>
      </c>
      <c r="AK46" s="902">
        <v>2.1</v>
      </c>
      <c r="AL46" s="906">
        <v>255178</v>
      </c>
      <c r="AM46" s="906">
        <v>536012</v>
      </c>
      <c r="AN46" s="902">
        <v>2.1</v>
      </c>
      <c r="AP46" s="900">
        <v>2006</v>
      </c>
      <c r="AQ46" s="900" t="s">
        <v>1477</v>
      </c>
      <c r="AR46" s="906">
        <v>181741</v>
      </c>
      <c r="AS46" s="906">
        <v>390187</v>
      </c>
      <c r="AT46" s="902">
        <v>2.15</v>
      </c>
      <c r="AV46" s="900">
        <v>2006</v>
      </c>
      <c r="AW46" s="900" t="s">
        <v>1477</v>
      </c>
      <c r="AX46" s="906">
        <v>201815</v>
      </c>
      <c r="AY46" s="906">
        <v>439078</v>
      </c>
      <c r="AZ46" s="902">
        <v>2.1800000000000002</v>
      </c>
      <c r="BB46" s="903">
        <v>2006</v>
      </c>
      <c r="BC46" s="903" t="s">
        <v>1477</v>
      </c>
      <c r="BD46" s="907">
        <v>120724</v>
      </c>
      <c r="BE46" s="907">
        <v>198331</v>
      </c>
      <c r="BF46" s="905">
        <v>1.64</v>
      </c>
    </row>
    <row r="47" spans="2:58" ht="10.9" thickBot="1">
      <c r="B47" s="903">
        <v>2006</v>
      </c>
      <c r="C47" s="263">
        <f t="shared" si="0"/>
        <v>38960</v>
      </c>
      <c r="D47" s="909">
        <v>1160.5</v>
      </c>
      <c r="E47" s="909">
        <v>2460.3000000000002</v>
      </c>
      <c r="F47" s="914">
        <v>2.12</v>
      </c>
      <c r="G47" s="907">
        <v>162208</v>
      </c>
      <c r="H47" s="907">
        <v>340471</v>
      </c>
      <c r="I47" s="905">
        <v>2.1</v>
      </c>
      <c r="J47" s="907">
        <v>112251</v>
      </c>
      <c r="K47" s="907">
        <v>254990</v>
      </c>
      <c r="L47" s="905">
        <v>2.27</v>
      </c>
      <c r="M47" s="907">
        <v>116359</v>
      </c>
      <c r="N47" s="907">
        <v>262837</v>
      </c>
      <c r="O47" s="905">
        <v>2.2599999999999998</v>
      </c>
      <c r="P47" s="906">
        <v>122313</v>
      </c>
      <c r="Q47" s="906">
        <v>195732</v>
      </c>
      <c r="R47" s="902">
        <v>1.6</v>
      </c>
      <c r="T47" s="905">
        <v>474.4</v>
      </c>
      <c r="U47" s="904">
        <v>1044</v>
      </c>
      <c r="V47" s="905">
        <v>2.2000000000000002</v>
      </c>
      <c r="W47" s="907">
        <v>90817</v>
      </c>
      <c r="X47" s="907">
        <v>199618</v>
      </c>
      <c r="Y47" s="905">
        <v>2.2000000000000002</v>
      </c>
      <c r="Z47" s="907">
        <v>67870</v>
      </c>
      <c r="AA47" s="907">
        <v>154175</v>
      </c>
      <c r="AB47" s="905">
        <v>2.27</v>
      </c>
      <c r="AC47" s="907">
        <v>86756</v>
      </c>
      <c r="AD47" s="907">
        <v>184639</v>
      </c>
      <c r="AE47" s="905">
        <v>2.13</v>
      </c>
      <c r="AF47" s="902">
        <v>0</v>
      </c>
      <c r="AG47" s="902">
        <v>0</v>
      </c>
      <c r="AH47" s="902" t="s">
        <v>1483</v>
      </c>
      <c r="AI47" s="904">
        <v>1634.9</v>
      </c>
      <c r="AJ47" s="904">
        <v>3504.3</v>
      </c>
      <c r="AK47" s="905">
        <v>2.14</v>
      </c>
      <c r="AL47" s="907">
        <v>253025</v>
      </c>
      <c r="AM47" s="907">
        <v>540089</v>
      </c>
      <c r="AN47" s="905">
        <v>2.13</v>
      </c>
      <c r="AP47" s="903">
        <v>2006</v>
      </c>
      <c r="AQ47" s="903" t="s">
        <v>1478</v>
      </c>
      <c r="AR47" s="907">
        <v>180121</v>
      </c>
      <c r="AS47" s="907">
        <v>409164</v>
      </c>
      <c r="AT47" s="905">
        <v>2.27</v>
      </c>
      <c r="AV47" s="903">
        <v>2006</v>
      </c>
      <c r="AW47" s="903" t="s">
        <v>1478</v>
      </c>
      <c r="AX47" s="907">
        <v>203115</v>
      </c>
      <c r="AY47" s="907">
        <v>447476</v>
      </c>
      <c r="AZ47" s="905">
        <v>2.2000000000000002</v>
      </c>
      <c r="BB47" s="900">
        <v>2006</v>
      </c>
      <c r="BC47" s="900" t="s">
        <v>1478</v>
      </c>
      <c r="BD47" s="906">
        <v>122313</v>
      </c>
      <c r="BE47" s="906">
        <v>195732</v>
      </c>
      <c r="BF47" s="902">
        <v>1.6</v>
      </c>
    </row>
    <row r="48" spans="2:58" ht="10.9" thickBot="1">
      <c r="B48" s="900">
        <v>2006</v>
      </c>
      <c r="C48" s="263">
        <f t="shared" si="0"/>
        <v>38990</v>
      </c>
      <c r="D48" s="909">
        <v>1052</v>
      </c>
      <c r="E48" s="909">
        <v>2091.6999999999998</v>
      </c>
      <c r="F48" s="914">
        <v>1.99</v>
      </c>
      <c r="G48" s="906">
        <v>148564</v>
      </c>
      <c r="H48" s="906">
        <v>294963</v>
      </c>
      <c r="I48" s="902">
        <v>1.99</v>
      </c>
      <c r="J48" s="906">
        <v>97373</v>
      </c>
      <c r="K48" s="906">
        <v>227718</v>
      </c>
      <c r="L48" s="902">
        <v>2.34</v>
      </c>
      <c r="M48" s="906">
        <v>104689</v>
      </c>
      <c r="N48" s="906">
        <v>230808</v>
      </c>
      <c r="O48" s="902">
        <v>2.2000000000000002</v>
      </c>
      <c r="P48" s="907">
        <v>115493</v>
      </c>
      <c r="Q48" s="907">
        <v>167256</v>
      </c>
      <c r="R48" s="905">
        <v>1.45</v>
      </c>
      <c r="T48" s="902">
        <v>441.3</v>
      </c>
      <c r="U48" s="902">
        <v>954.7</v>
      </c>
      <c r="V48" s="902">
        <v>2.16</v>
      </c>
      <c r="W48" s="906">
        <v>83616</v>
      </c>
      <c r="X48" s="906">
        <v>173791</v>
      </c>
      <c r="Y48" s="902">
        <v>2.08</v>
      </c>
      <c r="Z48" s="906">
        <v>61082</v>
      </c>
      <c r="AA48" s="906">
        <v>140510</v>
      </c>
      <c r="AB48" s="902">
        <v>2.2999999999999998</v>
      </c>
      <c r="AC48" s="906">
        <v>82066</v>
      </c>
      <c r="AD48" s="906">
        <v>170594</v>
      </c>
      <c r="AE48" s="902">
        <v>2.08</v>
      </c>
      <c r="AF48" s="905">
        <v>0</v>
      </c>
      <c r="AG48" s="905">
        <v>0</v>
      </c>
      <c r="AH48" s="905" t="s">
        <v>1483</v>
      </c>
      <c r="AI48" s="901">
        <v>1493.3</v>
      </c>
      <c r="AJ48" s="901">
        <v>3046.4</v>
      </c>
      <c r="AK48" s="902">
        <v>2.04</v>
      </c>
      <c r="AL48" s="906">
        <v>232179</v>
      </c>
      <c r="AM48" s="906">
        <v>468755</v>
      </c>
      <c r="AN48" s="902">
        <v>2.02</v>
      </c>
      <c r="AP48" s="900">
        <v>2006</v>
      </c>
      <c r="AQ48" s="900" t="s">
        <v>1479</v>
      </c>
      <c r="AR48" s="906">
        <v>158455</v>
      </c>
      <c r="AS48" s="906">
        <v>368229</v>
      </c>
      <c r="AT48" s="902">
        <v>2.3199999999999998</v>
      </c>
      <c r="AV48" s="900">
        <v>2006</v>
      </c>
      <c r="AW48" s="900" t="s">
        <v>1479</v>
      </c>
      <c r="AX48" s="906">
        <v>186755</v>
      </c>
      <c r="AY48" s="906">
        <v>401402</v>
      </c>
      <c r="AZ48" s="902">
        <v>2.15</v>
      </c>
      <c r="BB48" s="903">
        <v>2006</v>
      </c>
      <c r="BC48" s="903" t="s">
        <v>1479</v>
      </c>
      <c r="BD48" s="907">
        <v>115493</v>
      </c>
      <c r="BE48" s="907">
        <v>167256</v>
      </c>
      <c r="BF48" s="905">
        <v>1.45</v>
      </c>
    </row>
    <row r="49" spans="2:58" ht="10.9" thickBot="1">
      <c r="B49" s="903">
        <v>2006</v>
      </c>
      <c r="C49" s="263">
        <f t="shared" si="0"/>
        <v>39021</v>
      </c>
      <c r="D49" s="909">
        <v>1095.4000000000001</v>
      </c>
      <c r="E49" s="909">
        <v>2041.9</v>
      </c>
      <c r="F49" s="914">
        <v>1.86</v>
      </c>
      <c r="G49" s="907">
        <v>153789</v>
      </c>
      <c r="H49" s="907">
        <v>276695</v>
      </c>
      <c r="I49" s="905">
        <v>1.8</v>
      </c>
      <c r="J49" s="907">
        <v>101249</v>
      </c>
      <c r="K49" s="907">
        <v>225151</v>
      </c>
      <c r="L49" s="905">
        <v>2.2200000000000002</v>
      </c>
      <c r="M49" s="907">
        <v>108179</v>
      </c>
      <c r="N49" s="907">
        <v>215811</v>
      </c>
      <c r="O49" s="905">
        <v>1.99</v>
      </c>
      <c r="P49" s="906">
        <v>122492</v>
      </c>
      <c r="Q49" s="906">
        <v>183629</v>
      </c>
      <c r="R49" s="902">
        <v>1.5</v>
      </c>
      <c r="T49" s="905">
        <v>440</v>
      </c>
      <c r="U49" s="905">
        <v>887.2</v>
      </c>
      <c r="V49" s="905">
        <v>2.02</v>
      </c>
      <c r="W49" s="907">
        <v>84087</v>
      </c>
      <c r="X49" s="907">
        <v>159115</v>
      </c>
      <c r="Y49" s="905">
        <v>1.89</v>
      </c>
      <c r="Z49" s="907">
        <v>59735</v>
      </c>
      <c r="AA49" s="907">
        <v>132834</v>
      </c>
      <c r="AB49" s="905">
        <v>2.2200000000000002</v>
      </c>
      <c r="AC49" s="907">
        <v>83327</v>
      </c>
      <c r="AD49" s="907">
        <v>161426</v>
      </c>
      <c r="AE49" s="905">
        <v>1.94</v>
      </c>
      <c r="AF49" s="902">
        <v>0</v>
      </c>
      <c r="AG49" s="902">
        <v>0</v>
      </c>
      <c r="AH49" s="902" t="s">
        <v>1483</v>
      </c>
      <c r="AI49" s="904">
        <v>1535.4</v>
      </c>
      <c r="AJ49" s="904">
        <v>2929.1</v>
      </c>
      <c r="AK49" s="905">
        <v>1.91</v>
      </c>
      <c r="AL49" s="907">
        <v>237876</v>
      </c>
      <c r="AM49" s="907">
        <v>435810</v>
      </c>
      <c r="AN49" s="905">
        <v>1.83</v>
      </c>
      <c r="AP49" s="903">
        <v>2006</v>
      </c>
      <c r="AQ49" s="903" t="s">
        <v>1480</v>
      </c>
      <c r="AR49" s="907">
        <v>160984</v>
      </c>
      <c r="AS49" s="907">
        <v>357986</v>
      </c>
      <c r="AT49" s="905">
        <v>2.2200000000000002</v>
      </c>
      <c r="AV49" s="903">
        <v>2006</v>
      </c>
      <c r="AW49" s="903" t="s">
        <v>1480</v>
      </c>
      <c r="AX49" s="907">
        <v>191505</v>
      </c>
      <c r="AY49" s="907">
        <v>377237</v>
      </c>
      <c r="AZ49" s="905">
        <v>1.97</v>
      </c>
      <c r="BB49" s="900">
        <v>2006</v>
      </c>
      <c r="BC49" s="900" t="s">
        <v>1480</v>
      </c>
      <c r="BD49" s="906">
        <v>122492</v>
      </c>
      <c r="BE49" s="906">
        <v>183629</v>
      </c>
      <c r="BF49" s="902">
        <v>1.5</v>
      </c>
    </row>
    <row r="50" spans="2:58" ht="10.9" thickBot="1">
      <c r="B50" s="900">
        <v>2006</v>
      </c>
      <c r="C50" s="263">
        <f t="shared" si="0"/>
        <v>39051</v>
      </c>
      <c r="D50" s="909">
        <v>1061.5999999999999</v>
      </c>
      <c r="E50" s="909">
        <v>1914.8</v>
      </c>
      <c r="F50" s="914">
        <v>1.8</v>
      </c>
      <c r="G50" s="906">
        <v>143739</v>
      </c>
      <c r="H50" s="906">
        <v>250919</v>
      </c>
      <c r="I50" s="902">
        <v>1.75</v>
      </c>
      <c r="J50" s="906">
        <v>101276</v>
      </c>
      <c r="K50" s="906">
        <v>225210</v>
      </c>
      <c r="L50" s="902">
        <v>2.2200000000000002</v>
      </c>
      <c r="M50" s="906">
        <v>103703</v>
      </c>
      <c r="N50" s="906">
        <v>195997</v>
      </c>
      <c r="O50" s="902">
        <v>1.89</v>
      </c>
      <c r="P50" s="907">
        <v>116852</v>
      </c>
      <c r="Q50" s="907">
        <v>179896</v>
      </c>
      <c r="R50" s="905">
        <v>1.54</v>
      </c>
      <c r="T50" s="902">
        <v>423.8</v>
      </c>
      <c r="U50" s="902">
        <v>800.3</v>
      </c>
      <c r="V50" s="902">
        <v>1.89</v>
      </c>
      <c r="W50" s="906">
        <v>79346</v>
      </c>
      <c r="X50" s="906">
        <v>140985</v>
      </c>
      <c r="Y50" s="902">
        <v>1.78</v>
      </c>
      <c r="Z50" s="906">
        <v>59774</v>
      </c>
      <c r="AA50" s="906">
        <v>132922</v>
      </c>
      <c r="AB50" s="902">
        <v>2.2200000000000002</v>
      </c>
      <c r="AC50" s="906">
        <v>79849</v>
      </c>
      <c r="AD50" s="906">
        <v>146668</v>
      </c>
      <c r="AE50" s="902">
        <v>1.84</v>
      </c>
      <c r="AF50" s="905">
        <v>0</v>
      </c>
      <c r="AG50" s="905">
        <v>0</v>
      </c>
      <c r="AH50" s="905" t="s">
        <v>1483</v>
      </c>
      <c r="AI50" s="901">
        <v>1485.4</v>
      </c>
      <c r="AJ50" s="901">
        <v>2715.1</v>
      </c>
      <c r="AK50" s="902">
        <v>1.83</v>
      </c>
      <c r="AL50" s="906">
        <v>223085</v>
      </c>
      <c r="AM50" s="906">
        <v>391903</v>
      </c>
      <c r="AN50" s="902">
        <v>1.76</v>
      </c>
      <c r="AP50" s="900">
        <v>2006</v>
      </c>
      <c r="AQ50" s="900" t="s">
        <v>1481</v>
      </c>
      <c r="AR50" s="906">
        <v>161050</v>
      </c>
      <c r="AS50" s="906">
        <v>358132</v>
      </c>
      <c r="AT50" s="902">
        <v>2.2200000000000002</v>
      </c>
      <c r="AV50" s="900">
        <v>2006</v>
      </c>
      <c r="AW50" s="900" t="s">
        <v>1481</v>
      </c>
      <c r="AX50" s="906">
        <v>183552</v>
      </c>
      <c r="AY50" s="906">
        <v>342664</v>
      </c>
      <c r="AZ50" s="902">
        <v>1.87</v>
      </c>
      <c r="BB50" s="903">
        <v>2006</v>
      </c>
      <c r="BC50" s="903" t="s">
        <v>1481</v>
      </c>
      <c r="BD50" s="907">
        <v>116852</v>
      </c>
      <c r="BE50" s="907">
        <v>179896</v>
      </c>
      <c r="BF50" s="905">
        <v>1.54</v>
      </c>
    </row>
    <row r="51" spans="2:58" ht="11.2" customHeight="1" thickBot="1">
      <c r="B51" s="903">
        <v>2006</v>
      </c>
      <c r="C51" s="263">
        <f t="shared" si="0"/>
        <v>39082</v>
      </c>
      <c r="D51" s="909">
        <v>1101.7</v>
      </c>
      <c r="E51" s="909">
        <v>2048.1</v>
      </c>
      <c r="F51" s="914">
        <v>1.86</v>
      </c>
      <c r="G51" s="907">
        <v>153361</v>
      </c>
      <c r="H51" s="907">
        <v>278866</v>
      </c>
      <c r="I51" s="905">
        <v>1.82</v>
      </c>
      <c r="J51" s="907">
        <v>99759</v>
      </c>
      <c r="K51" s="907">
        <v>204887</v>
      </c>
      <c r="L51" s="905">
        <v>2.0499999999999998</v>
      </c>
      <c r="M51" s="907">
        <v>105183</v>
      </c>
      <c r="N51" s="907">
        <v>201893</v>
      </c>
      <c r="O51" s="905">
        <v>1.92</v>
      </c>
      <c r="P51" s="906">
        <v>118651</v>
      </c>
      <c r="Q51" s="906">
        <v>192106</v>
      </c>
      <c r="R51" s="902">
        <v>1.62</v>
      </c>
      <c r="T51" s="905">
        <v>432</v>
      </c>
      <c r="U51" s="905">
        <v>828.4</v>
      </c>
      <c r="V51" s="905">
        <v>1.92</v>
      </c>
      <c r="W51" s="907">
        <v>82389</v>
      </c>
      <c r="X51" s="907">
        <v>154192</v>
      </c>
      <c r="Y51" s="905">
        <v>1.87</v>
      </c>
      <c r="Z51" s="907">
        <v>56199</v>
      </c>
      <c r="AA51" s="907">
        <v>115424</v>
      </c>
      <c r="AB51" s="905">
        <v>2.0499999999999998</v>
      </c>
      <c r="AC51" s="907">
        <v>83374</v>
      </c>
      <c r="AD51" s="907">
        <v>151581</v>
      </c>
      <c r="AE51" s="905">
        <v>1.82</v>
      </c>
      <c r="AF51" s="902">
        <v>0</v>
      </c>
      <c r="AG51" s="902">
        <v>0</v>
      </c>
      <c r="AH51" s="902" t="s">
        <v>1483</v>
      </c>
      <c r="AI51" s="904">
        <v>1533.7</v>
      </c>
      <c r="AJ51" s="904">
        <v>2876.5</v>
      </c>
      <c r="AK51" s="905">
        <v>1.88</v>
      </c>
      <c r="AL51" s="907">
        <v>235750</v>
      </c>
      <c r="AM51" s="907">
        <v>433058</v>
      </c>
      <c r="AN51" s="905">
        <v>1.84</v>
      </c>
      <c r="AP51" s="903">
        <v>2006</v>
      </c>
      <c r="AQ51" s="903" t="s">
        <v>1482</v>
      </c>
      <c r="AR51" s="907">
        <v>155958</v>
      </c>
      <c r="AS51" s="907">
        <v>320310</v>
      </c>
      <c r="AT51" s="905">
        <v>2.0499999999999998</v>
      </c>
      <c r="AV51" s="903">
        <v>2006</v>
      </c>
      <c r="AW51" s="903" t="s">
        <v>1482</v>
      </c>
      <c r="AX51" s="907">
        <v>188556</v>
      </c>
      <c r="AY51" s="907">
        <v>353474</v>
      </c>
      <c r="AZ51" s="905">
        <v>1.87</v>
      </c>
      <c r="BB51" s="900">
        <v>2006</v>
      </c>
      <c r="BC51" s="900" t="s">
        <v>1482</v>
      </c>
      <c r="BD51" s="906">
        <v>118651</v>
      </c>
      <c r="BE51" s="906">
        <v>192106</v>
      </c>
      <c r="BF51" s="902">
        <v>1.62</v>
      </c>
    </row>
    <row r="52" spans="2:58" ht="10.9" thickBot="1">
      <c r="B52" s="900">
        <v>2007</v>
      </c>
      <c r="C52" s="263">
        <f t="shared" si="0"/>
        <v>39113</v>
      </c>
      <c r="D52" s="909">
        <v>1062.2</v>
      </c>
      <c r="E52" s="909">
        <v>1929.7</v>
      </c>
      <c r="F52" s="914">
        <v>1.82</v>
      </c>
      <c r="G52" s="906">
        <v>155341</v>
      </c>
      <c r="H52" s="906">
        <v>269131</v>
      </c>
      <c r="I52" s="902">
        <v>1.73</v>
      </c>
      <c r="J52" s="906">
        <v>97585</v>
      </c>
      <c r="K52" s="906">
        <v>191453</v>
      </c>
      <c r="L52" s="902">
        <v>1.96</v>
      </c>
      <c r="M52" s="906">
        <v>104875</v>
      </c>
      <c r="N52" s="906">
        <v>199456</v>
      </c>
      <c r="O52" s="902">
        <v>1.9</v>
      </c>
      <c r="P52" s="907">
        <v>119510</v>
      </c>
      <c r="Q52" s="907">
        <v>198507</v>
      </c>
      <c r="R52" s="905">
        <v>1.66</v>
      </c>
      <c r="T52" s="902">
        <v>431.5</v>
      </c>
      <c r="U52" s="902">
        <v>821.4</v>
      </c>
      <c r="V52" s="902">
        <v>1.9</v>
      </c>
      <c r="W52" s="906">
        <v>83457</v>
      </c>
      <c r="X52" s="906">
        <v>151780</v>
      </c>
      <c r="Y52" s="902">
        <v>1.82</v>
      </c>
      <c r="Z52" s="906">
        <v>56433</v>
      </c>
      <c r="AA52" s="906">
        <v>110717</v>
      </c>
      <c r="AB52" s="902">
        <v>1.96</v>
      </c>
      <c r="AC52" s="906">
        <v>82455</v>
      </c>
      <c r="AD52" s="906">
        <v>149882</v>
      </c>
      <c r="AE52" s="902">
        <v>1.82</v>
      </c>
      <c r="AF52" s="905">
        <v>0</v>
      </c>
      <c r="AG52" s="905">
        <v>0</v>
      </c>
      <c r="AH52" s="905" t="s">
        <v>1483</v>
      </c>
      <c r="AI52" s="901">
        <v>1493.7</v>
      </c>
      <c r="AJ52" s="901">
        <v>2751</v>
      </c>
      <c r="AK52" s="902">
        <v>1.84</v>
      </c>
      <c r="AL52" s="906">
        <v>238798</v>
      </c>
      <c r="AM52" s="906">
        <v>420912</v>
      </c>
      <c r="AN52" s="902">
        <v>1.76</v>
      </c>
      <c r="AP52" s="900">
        <v>2007</v>
      </c>
      <c r="AQ52" s="900" t="s">
        <v>1472</v>
      </c>
      <c r="AR52" s="906">
        <v>154018</v>
      </c>
      <c r="AS52" s="906">
        <v>302169</v>
      </c>
      <c r="AT52" s="902">
        <v>1.96</v>
      </c>
      <c r="AV52" s="900">
        <v>2007</v>
      </c>
      <c r="AW52" s="900" t="s">
        <v>1472</v>
      </c>
      <c r="AX52" s="906">
        <v>187330</v>
      </c>
      <c r="AY52" s="906">
        <v>349338</v>
      </c>
      <c r="AZ52" s="902">
        <v>1.86</v>
      </c>
      <c r="BB52" s="903">
        <v>2007</v>
      </c>
      <c r="BC52" s="903" t="s">
        <v>1472</v>
      </c>
      <c r="BD52" s="907">
        <v>119510</v>
      </c>
      <c r="BE52" s="907">
        <v>198507</v>
      </c>
      <c r="BF52" s="905">
        <v>1.66</v>
      </c>
    </row>
    <row r="53" spans="2:58" ht="10.9" thickBot="1">
      <c r="B53" s="903">
        <v>2007</v>
      </c>
      <c r="C53" s="263">
        <f t="shared" si="0"/>
        <v>39141</v>
      </c>
      <c r="D53" s="909">
        <v>970.1</v>
      </c>
      <c r="E53" s="909">
        <v>1689.2</v>
      </c>
      <c r="F53" s="914">
        <v>1.74</v>
      </c>
      <c r="G53" s="907">
        <v>138814</v>
      </c>
      <c r="H53" s="907">
        <v>234472</v>
      </c>
      <c r="I53" s="905">
        <v>1.69</v>
      </c>
      <c r="J53" s="907">
        <v>87531</v>
      </c>
      <c r="K53" s="907">
        <v>165109</v>
      </c>
      <c r="L53" s="905">
        <v>1.89</v>
      </c>
      <c r="M53" s="907">
        <v>94383</v>
      </c>
      <c r="N53" s="907">
        <v>172221</v>
      </c>
      <c r="O53" s="905">
        <v>1.82</v>
      </c>
      <c r="P53" s="906">
        <v>109813</v>
      </c>
      <c r="Q53" s="906">
        <v>173439</v>
      </c>
      <c r="R53" s="902">
        <v>1.58</v>
      </c>
      <c r="T53" s="905">
        <v>382.6</v>
      </c>
      <c r="U53" s="905">
        <v>681.1</v>
      </c>
      <c r="V53" s="905">
        <v>1.78</v>
      </c>
      <c r="W53" s="907">
        <v>73224</v>
      </c>
      <c r="X53" s="907">
        <v>128646</v>
      </c>
      <c r="Y53" s="905">
        <v>1.76</v>
      </c>
      <c r="Z53" s="907">
        <v>48995</v>
      </c>
      <c r="AA53" s="907">
        <v>92419</v>
      </c>
      <c r="AB53" s="905">
        <v>1.89</v>
      </c>
      <c r="AC53" s="907">
        <v>73934</v>
      </c>
      <c r="AD53" s="907">
        <v>134353</v>
      </c>
      <c r="AE53" s="905">
        <v>1.82</v>
      </c>
      <c r="AF53" s="902">
        <v>0</v>
      </c>
      <c r="AG53" s="902">
        <v>0</v>
      </c>
      <c r="AH53" s="902" t="s">
        <v>1483</v>
      </c>
      <c r="AI53" s="904">
        <v>1352.6</v>
      </c>
      <c r="AJ53" s="904">
        <v>2370.3000000000002</v>
      </c>
      <c r="AK53" s="905">
        <v>1.75</v>
      </c>
      <c r="AL53" s="907">
        <v>212038</v>
      </c>
      <c r="AM53" s="907">
        <v>363118</v>
      </c>
      <c r="AN53" s="905">
        <v>1.71</v>
      </c>
      <c r="AP53" s="903">
        <v>2007</v>
      </c>
      <c r="AQ53" s="903" t="s">
        <v>1473</v>
      </c>
      <c r="AR53" s="907">
        <v>136526</v>
      </c>
      <c r="AS53" s="907">
        <v>257529</v>
      </c>
      <c r="AT53" s="905">
        <v>1.89</v>
      </c>
      <c r="AV53" s="903">
        <v>2007</v>
      </c>
      <c r="AW53" s="903" t="s">
        <v>1473</v>
      </c>
      <c r="AX53" s="907">
        <v>168317</v>
      </c>
      <c r="AY53" s="907">
        <v>306574</v>
      </c>
      <c r="AZ53" s="905">
        <v>1.82</v>
      </c>
      <c r="BB53" s="900">
        <v>2007</v>
      </c>
      <c r="BC53" s="900" t="s">
        <v>1473</v>
      </c>
      <c r="BD53" s="906">
        <v>109813</v>
      </c>
      <c r="BE53" s="906">
        <v>173439</v>
      </c>
      <c r="BF53" s="902">
        <v>1.58</v>
      </c>
    </row>
    <row r="54" spans="2:58" ht="10.9" thickBot="1">
      <c r="B54" s="900">
        <v>2007</v>
      </c>
      <c r="C54" s="263">
        <f t="shared" si="0"/>
        <v>39172</v>
      </c>
      <c r="D54" s="909">
        <v>1113.2</v>
      </c>
      <c r="E54" s="909">
        <v>2019.1</v>
      </c>
      <c r="F54" s="914">
        <v>1.81</v>
      </c>
      <c r="G54" s="906">
        <v>156965</v>
      </c>
      <c r="H54" s="906">
        <v>285709</v>
      </c>
      <c r="I54" s="902">
        <v>1.82</v>
      </c>
      <c r="J54" s="906">
        <v>102164</v>
      </c>
      <c r="K54" s="906">
        <v>200218</v>
      </c>
      <c r="L54" s="902">
        <v>1.96</v>
      </c>
      <c r="M54" s="906">
        <v>110332</v>
      </c>
      <c r="N54" s="906">
        <v>205385</v>
      </c>
      <c r="O54" s="902">
        <v>1.86</v>
      </c>
      <c r="P54" s="907">
        <v>123515</v>
      </c>
      <c r="Q54" s="907">
        <v>191490</v>
      </c>
      <c r="R54" s="905">
        <v>1.55</v>
      </c>
      <c r="T54" s="902">
        <v>450.7</v>
      </c>
      <c r="U54" s="902">
        <v>838.4</v>
      </c>
      <c r="V54" s="902">
        <v>1.86</v>
      </c>
      <c r="W54" s="906">
        <v>83456</v>
      </c>
      <c r="X54" s="906">
        <v>155999</v>
      </c>
      <c r="Y54" s="902">
        <v>1.87</v>
      </c>
      <c r="Z54" s="906">
        <v>58963</v>
      </c>
      <c r="AA54" s="906">
        <v>115555</v>
      </c>
      <c r="AB54" s="902">
        <v>1.96</v>
      </c>
      <c r="AC54" s="906">
        <v>84108</v>
      </c>
      <c r="AD54" s="906">
        <v>154401</v>
      </c>
      <c r="AE54" s="902">
        <v>1.84</v>
      </c>
      <c r="AF54" s="905">
        <v>0</v>
      </c>
      <c r="AG54" s="905">
        <v>0</v>
      </c>
      <c r="AH54" s="905" t="s">
        <v>1483</v>
      </c>
      <c r="AI54" s="901">
        <v>1563.9</v>
      </c>
      <c r="AJ54" s="901">
        <v>2857.6</v>
      </c>
      <c r="AK54" s="902">
        <v>1.83</v>
      </c>
      <c r="AL54" s="906">
        <v>240421</v>
      </c>
      <c r="AM54" s="906">
        <v>441708</v>
      </c>
      <c r="AN54" s="902">
        <v>1.84</v>
      </c>
      <c r="AP54" s="900">
        <v>2007</v>
      </c>
      <c r="AQ54" s="900" t="s">
        <v>1474</v>
      </c>
      <c r="AR54" s="906">
        <v>161127</v>
      </c>
      <c r="AS54" s="906">
        <v>315773</v>
      </c>
      <c r="AT54" s="902">
        <v>1.96</v>
      </c>
      <c r="AV54" s="900">
        <v>2007</v>
      </c>
      <c r="AW54" s="900" t="s">
        <v>1474</v>
      </c>
      <c r="AX54" s="906">
        <v>194440</v>
      </c>
      <c r="AY54" s="906">
        <v>359786</v>
      </c>
      <c r="AZ54" s="902">
        <v>1.85</v>
      </c>
      <c r="BB54" s="903">
        <v>2007</v>
      </c>
      <c r="BC54" s="903" t="s">
        <v>1474</v>
      </c>
      <c r="BD54" s="907">
        <v>123515</v>
      </c>
      <c r="BE54" s="907">
        <v>191490</v>
      </c>
      <c r="BF54" s="905">
        <v>1.55</v>
      </c>
    </row>
    <row r="55" spans="2:58" ht="10.9" thickBot="1">
      <c r="B55" s="903">
        <v>2007</v>
      </c>
      <c r="C55" s="263">
        <f t="shared" si="0"/>
        <v>39202</v>
      </c>
      <c r="D55" s="909">
        <v>1075.9000000000001</v>
      </c>
      <c r="E55" s="909">
        <v>2082.1</v>
      </c>
      <c r="F55" s="914">
        <v>1.94</v>
      </c>
      <c r="G55" s="907">
        <v>150732</v>
      </c>
      <c r="H55" s="907">
        <v>297529</v>
      </c>
      <c r="I55" s="905">
        <v>1.97</v>
      </c>
      <c r="J55" s="907">
        <v>96258</v>
      </c>
      <c r="K55" s="907">
        <v>194353</v>
      </c>
      <c r="L55" s="905">
        <v>2.02</v>
      </c>
      <c r="M55" s="907">
        <v>110332</v>
      </c>
      <c r="N55" s="907">
        <v>205385</v>
      </c>
      <c r="O55" s="905">
        <v>1.86</v>
      </c>
      <c r="P55" s="906">
        <v>122194</v>
      </c>
      <c r="Q55" s="906">
        <v>195010</v>
      </c>
      <c r="R55" s="902">
        <v>1.6</v>
      </c>
      <c r="T55" s="905">
        <v>436.6</v>
      </c>
      <c r="U55" s="905">
        <v>851.8</v>
      </c>
      <c r="V55" s="905">
        <v>1.95</v>
      </c>
      <c r="W55" s="907">
        <v>82787</v>
      </c>
      <c r="X55" s="907">
        <v>162166</v>
      </c>
      <c r="Y55" s="905">
        <v>1.96</v>
      </c>
      <c r="Z55" s="907">
        <v>58836</v>
      </c>
      <c r="AA55" s="907">
        <v>118794</v>
      </c>
      <c r="AB55" s="905">
        <v>2.02</v>
      </c>
      <c r="AC55" s="907">
        <v>84108</v>
      </c>
      <c r="AD55" s="907">
        <v>154401</v>
      </c>
      <c r="AE55" s="905">
        <v>1.84</v>
      </c>
      <c r="AF55" s="902">
        <v>0</v>
      </c>
      <c r="AG55" s="902">
        <v>0</v>
      </c>
      <c r="AH55" s="902" t="s">
        <v>1483</v>
      </c>
      <c r="AI55" s="904">
        <v>1512.5</v>
      </c>
      <c r="AJ55" s="904">
        <v>2933.8</v>
      </c>
      <c r="AK55" s="905">
        <v>1.94</v>
      </c>
      <c r="AL55" s="907">
        <v>233519</v>
      </c>
      <c r="AM55" s="907">
        <v>459696</v>
      </c>
      <c r="AN55" s="905">
        <v>1.97</v>
      </c>
      <c r="AP55" s="903">
        <v>2007</v>
      </c>
      <c r="AQ55" s="903" t="s">
        <v>1475</v>
      </c>
      <c r="AR55" s="907">
        <v>155093</v>
      </c>
      <c r="AS55" s="907">
        <v>313147</v>
      </c>
      <c r="AT55" s="905">
        <v>2.02</v>
      </c>
      <c r="AV55" s="903">
        <v>2007</v>
      </c>
      <c r="AW55" s="903" t="s">
        <v>1475</v>
      </c>
      <c r="AX55" s="907">
        <v>194440</v>
      </c>
      <c r="AY55" s="907">
        <v>359786</v>
      </c>
      <c r="AZ55" s="905">
        <v>1.85</v>
      </c>
      <c r="BB55" s="900">
        <v>2007</v>
      </c>
      <c r="BC55" s="900" t="s">
        <v>1475</v>
      </c>
      <c r="BD55" s="906">
        <v>122194</v>
      </c>
      <c r="BE55" s="906">
        <v>195010</v>
      </c>
      <c r="BF55" s="902">
        <v>1.6</v>
      </c>
    </row>
    <row r="56" spans="2:58" ht="10.9" thickBot="1">
      <c r="B56" s="900">
        <v>2007</v>
      </c>
      <c r="C56" s="263">
        <f t="shared" si="0"/>
        <v>39233</v>
      </c>
      <c r="D56" s="909">
        <v>1101.8</v>
      </c>
      <c r="E56" s="909">
        <v>2248.1999999999998</v>
      </c>
      <c r="F56" s="914">
        <v>2.04</v>
      </c>
      <c r="G56" s="906">
        <v>155958</v>
      </c>
      <c r="H56" s="906">
        <v>314218</v>
      </c>
      <c r="I56" s="902">
        <v>2.0099999999999998</v>
      </c>
      <c r="J56" s="906">
        <v>96132</v>
      </c>
      <c r="K56" s="906">
        <v>214096</v>
      </c>
      <c r="L56" s="902">
        <v>2.23</v>
      </c>
      <c r="M56" s="906">
        <v>107813</v>
      </c>
      <c r="N56" s="906">
        <v>225275</v>
      </c>
      <c r="O56" s="902">
        <v>2.09</v>
      </c>
      <c r="P56" s="907">
        <v>126000</v>
      </c>
      <c r="Q56" s="907">
        <v>207177</v>
      </c>
      <c r="R56" s="905">
        <v>1.64</v>
      </c>
      <c r="T56" s="902">
        <v>456.8</v>
      </c>
      <c r="U56" s="902">
        <v>985</v>
      </c>
      <c r="V56" s="902">
        <v>2.16</v>
      </c>
      <c r="W56" s="906">
        <v>84561</v>
      </c>
      <c r="X56" s="906">
        <v>175973</v>
      </c>
      <c r="Y56" s="902">
        <v>2.08</v>
      </c>
      <c r="Z56" s="906">
        <v>64053</v>
      </c>
      <c r="AA56" s="906">
        <v>142653</v>
      </c>
      <c r="AB56" s="902">
        <v>2.23</v>
      </c>
      <c r="AC56" s="906">
        <v>86761</v>
      </c>
      <c r="AD56" s="906">
        <v>178174</v>
      </c>
      <c r="AE56" s="902">
        <v>2.0499999999999998</v>
      </c>
      <c r="AF56" s="905">
        <v>0</v>
      </c>
      <c r="AG56" s="905">
        <v>0</v>
      </c>
      <c r="AH56" s="905" t="s">
        <v>1483</v>
      </c>
      <c r="AI56" s="901">
        <v>1558.5</v>
      </c>
      <c r="AJ56" s="901">
        <v>3233.2</v>
      </c>
      <c r="AK56" s="902">
        <v>2.0699999999999998</v>
      </c>
      <c r="AL56" s="906">
        <v>240519</v>
      </c>
      <c r="AM56" s="906">
        <v>490191</v>
      </c>
      <c r="AN56" s="902">
        <v>2.04</v>
      </c>
      <c r="AP56" s="900">
        <v>2007</v>
      </c>
      <c r="AQ56" s="900" t="s">
        <v>1465</v>
      </c>
      <c r="AR56" s="906">
        <v>160185</v>
      </c>
      <c r="AS56" s="906">
        <v>356749</v>
      </c>
      <c r="AT56" s="902">
        <v>2.23</v>
      </c>
      <c r="AV56" s="900">
        <v>2007</v>
      </c>
      <c r="AW56" s="900" t="s">
        <v>1465</v>
      </c>
      <c r="AX56" s="906">
        <v>194574</v>
      </c>
      <c r="AY56" s="906">
        <v>403449</v>
      </c>
      <c r="AZ56" s="902">
        <v>2.0699999999999998</v>
      </c>
      <c r="BB56" s="903">
        <v>2007</v>
      </c>
      <c r="BC56" s="903" t="s">
        <v>1465</v>
      </c>
      <c r="BD56" s="907">
        <v>126000</v>
      </c>
      <c r="BE56" s="907">
        <v>207177</v>
      </c>
      <c r="BF56" s="905">
        <v>1.64</v>
      </c>
    </row>
    <row r="57" spans="2:58" ht="10.9" thickBot="1">
      <c r="B57" s="903">
        <v>2007</v>
      </c>
      <c r="C57" s="263">
        <f t="shared" si="0"/>
        <v>39263</v>
      </c>
      <c r="D57" s="909">
        <v>1114.5</v>
      </c>
      <c r="E57" s="909">
        <v>2255.3000000000002</v>
      </c>
      <c r="F57" s="914">
        <v>2.02</v>
      </c>
      <c r="G57" s="907">
        <v>153144</v>
      </c>
      <c r="H57" s="907">
        <v>301741</v>
      </c>
      <c r="I57" s="905">
        <v>1.97</v>
      </c>
      <c r="J57" s="907">
        <v>103785</v>
      </c>
      <c r="K57" s="907">
        <v>230860</v>
      </c>
      <c r="L57" s="905">
        <v>2.2200000000000002</v>
      </c>
      <c r="M57" s="907">
        <v>108853</v>
      </c>
      <c r="N57" s="907">
        <v>231918</v>
      </c>
      <c r="O57" s="905">
        <v>2.13</v>
      </c>
      <c r="P57" s="906">
        <v>126246</v>
      </c>
      <c r="Q57" s="906">
        <v>203215</v>
      </c>
      <c r="R57" s="902">
        <v>1.61</v>
      </c>
      <c r="T57" s="905">
        <v>468.4</v>
      </c>
      <c r="U57" s="905">
        <v>982.2</v>
      </c>
      <c r="V57" s="905">
        <v>2.1</v>
      </c>
      <c r="W57" s="907">
        <v>84629</v>
      </c>
      <c r="X57" s="907">
        <v>175653</v>
      </c>
      <c r="Y57" s="905">
        <v>2.08</v>
      </c>
      <c r="Z57" s="907">
        <v>73275</v>
      </c>
      <c r="AA57" s="907">
        <v>162995</v>
      </c>
      <c r="AB57" s="905">
        <v>2.2200000000000002</v>
      </c>
      <c r="AC57" s="907">
        <v>87194</v>
      </c>
      <c r="AD57" s="907">
        <v>182724</v>
      </c>
      <c r="AE57" s="905">
        <v>2.1</v>
      </c>
      <c r="AF57" s="902">
        <v>0</v>
      </c>
      <c r="AG57" s="902">
        <v>0</v>
      </c>
      <c r="AH57" s="902" t="s">
        <v>1483</v>
      </c>
      <c r="AI57" s="904">
        <v>1582.9</v>
      </c>
      <c r="AJ57" s="904">
        <v>3237.5</v>
      </c>
      <c r="AK57" s="905">
        <v>2.0499999999999998</v>
      </c>
      <c r="AL57" s="907">
        <v>237773</v>
      </c>
      <c r="AM57" s="907">
        <v>477394</v>
      </c>
      <c r="AN57" s="905">
        <v>2.0099999999999998</v>
      </c>
      <c r="AP57" s="903">
        <v>2007</v>
      </c>
      <c r="AQ57" s="903" t="s">
        <v>1476</v>
      </c>
      <c r="AR57" s="907">
        <v>177060</v>
      </c>
      <c r="AS57" s="907">
        <v>393855</v>
      </c>
      <c r="AT57" s="905">
        <v>2.2200000000000002</v>
      </c>
      <c r="AV57" s="903">
        <v>2007</v>
      </c>
      <c r="AW57" s="903" t="s">
        <v>1476</v>
      </c>
      <c r="AX57" s="907">
        <v>196047</v>
      </c>
      <c r="AY57" s="907">
        <v>414642</v>
      </c>
      <c r="AZ57" s="905">
        <v>2.12</v>
      </c>
      <c r="BB57" s="900">
        <v>2007</v>
      </c>
      <c r="BC57" s="900" t="s">
        <v>1476</v>
      </c>
      <c r="BD57" s="906">
        <v>126246</v>
      </c>
      <c r="BE57" s="906">
        <v>203215</v>
      </c>
      <c r="BF57" s="902">
        <v>1.61</v>
      </c>
    </row>
    <row r="58" spans="2:58" ht="10.9" thickBot="1">
      <c r="B58" s="900">
        <v>2007</v>
      </c>
      <c r="C58" s="263">
        <f t="shared" si="0"/>
        <v>39294</v>
      </c>
      <c r="D58" s="909">
        <v>1143.2</v>
      </c>
      <c r="E58" s="909">
        <v>2391.1999999999998</v>
      </c>
      <c r="F58" s="914">
        <v>2.09</v>
      </c>
      <c r="G58" s="906">
        <v>155477</v>
      </c>
      <c r="H58" s="906">
        <v>324755</v>
      </c>
      <c r="I58" s="902">
        <v>2.09</v>
      </c>
      <c r="J58" s="906">
        <v>109104</v>
      </c>
      <c r="K58" s="906">
        <v>245873</v>
      </c>
      <c r="L58" s="902">
        <v>2.25</v>
      </c>
      <c r="M58" s="906">
        <v>112938</v>
      </c>
      <c r="N58" s="906">
        <v>249999</v>
      </c>
      <c r="O58" s="902">
        <v>2.21</v>
      </c>
      <c r="P58" s="907">
        <v>130955</v>
      </c>
      <c r="Q58" s="907">
        <v>221985</v>
      </c>
      <c r="R58" s="905">
        <v>1.7</v>
      </c>
      <c r="T58" s="902">
        <v>499.3</v>
      </c>
      <c r="U58" s="901">
        <v>1062</v>
      </c>
      <c r="V58" s="902">
        <v>2.13</v>
      </c>
      <c r="W58" s="906">
        <v>92695</v>
      </c>
      <c r="X58" s="906">
        <v>191015</v>
      </c>
      <c r="Y58" s="902">
        <v>2.06</v>
      </c>
      <c r="Z58" s="906">
        <v>77478</v>
      </c>
      <c r="AA58" s="906">
        <v>174602</v>
      </c>
      <c r="AB58" s="902">
        <v>2.25</v>
      </c>
      <c r="AC58" s="906">
        <v>89918</v>
      </c>
      <c r="AD58" s="906">
        <v>188474</v>
      </c>
      <c r="AE58" s="902">
        <v>2.1</v>
      </c>
      <c r="AF58" s="905">
        <v>0</v>
      </c>
      <c r="AG58" s="905">
        <v>0</v>
      </c>
      <c r="AH58" s="905" t="s">
        <v>1483</v>
      </c>
      <c r="AI58" s="901">
        <v>1642.4</v>
      </c>
      <c r="AJ58" s="901">
        <v>3453.3</v>
      </c>
      <c r="AK58" s="902">
        <v>2.1</v>
      </c>
      <c r="AL58" s="906">
        <v>248171</v>
      </c>
      <c r="AM58" s="906">
        <v>515770</v>
      </c>
      <c r="AN58" s="902">
        <v>2.08</v>
      </c>
      <c r="AP58" s="900">
        <v>2007</v>
      </c>
      <c r="AQ58" s="900" t="s">
        <v>1477</v>
      </c>
      <c r="AR58" s="906">
        <v>186582</v>
      </c>
      <c r="AS58" s="906">
        <v>420475</v>
      </c>
      <c r="AT58" s="902">
        <v>2.25</v>
      </c>
      <c r="AV58" s="900">
        <v>2007</v>
      </c>
      <c r="AW58" s="900" t="s">
        <v>1477</v>
      </c>
      <c r="AX58" s="906">
        <v>202856</v>
      </c>
      <c r="AY58" s="906">
        <v>438473</v>
      </c>
      <c r="AZ58" s="902">
        <v>2.16</v>
      </c>
      <c r="BB58" s="903">
        <v>2007</v>
      </c>
      <c r="BC58" s="903" t="s">
        <v>1477</v>
      </c>
      <c r="BD58" s="907">
        <v>130955</v>
      </c>
      <c r="BE58" s="907">
        <v>221985</v>
      </c>
      <c r="BF58" s="905">
        <v>1.7</v>
      </c>
    </row>
    <row r="59" spans="2:58" ht="10.9" thickBot="1">
      <c r="B59" s="903">
        <v>2007</v>
      </c>
      <c r="C59" s="263">
        <f t="shared" si="0"/>
        <v>39325</v>
      </c>
      <c r="D59" s="909">
        <v>1157.2</v>
      </c>
      <c r="E59" s="909">
        <v>2455.4</v>
      </c>
      <c r="F59" s="914">
        <v>2.12</v>
      </c>
      <c r="G59" s="907">
        <v>158210</v>
      </c>
      <c r="H59" s="907">
        <v>334275</v>
      </c>
      <c r="I59" s="905">
        <v>2.11</v>
      </c>
      <c r="J59" s="907">
        <v>108132</v>
      </c>
      <c r="K59" s="907">
        <v>248342</v>
      </c>
      <c r="L59" s="905">
        <v>2.2999999999999998</v>
      </c>
      <c r="M59" s="907">
        <v>114733</v>
      </c>
      <c r="N59" s="907">
        <v>255010</v>
      </c>
      <c r="O59" s="905">
        <v>2.2200000000000002</v>
      </c>
      <c r="P59" s="906">
        <v>131028</v>
      </c>
      <c r="Q59" s="906">
        <v>229456</v>
      </c>
      <c r="R59" s="902">
        <v>1.75</v>
      </c>
      <c r="T59" s="905">
        <v>496.1</v>
      </c>
      <c r="U59" s="904">
        <v>1093.2</v>
      </c>
      <c r="V59" s="905">
        <v>2.2000000000000002</v>
      </c>
      <c r="W59" s="907">
        <v>88891</v>
      </c>
      <c r="X59" s="907">
        <v>189507</v>
      </c>
      <c r="Y59" s="905">
        <v>2.13</v>
      </c>
      <c r="Z59" s="907">
        <v>76835</v>
      </c>
      <c r="AA59" s="907">
        <v>176464</v>
      </c>
      <c r="AB59" s="905">
        <v>2.2999999999999998</v>
      </c>
      <c r="AC59" s="907">
        <v>90486</v>
      </c>
      <c r="AD59" s="907">
        <v>193693</v>
      </c>
      <c r="AE59" s="905">
        <v>2.14</v>
      </c>
      <c r="AF59" s="902">
        <v>0</v>
      </c>
      <c r="AG59" s="902">
        <v>0</v>
      </c>
      <c r="AH59" s="902" t="s">
        <v>1483</v>
      </c>
      <c r="AI59" s="904">
        <v>1653.3</v>
      </c>
      <c r="AJ59" s="904">
        <v>3548.6</v>
      </c>
      <c r="AK59" s="905">
        <v>2.15</v>
      </c>
      <c r="AL59" s="907">
        <v>247101</v>
      </c>
      <c r="AM59" s="907">
        <v>523782</v>
      </c>
      <c r="AN59" s="905">
        <v>2.12</v>
      </c>
      <c r="AP59" s="903">
        <v>2007</v>
      </c>
      <c r="AQ59" s="903" t="s">
        <v>1478</v>
      </c>
      <c r="AR59" s="907">
        <v>184966</v>
      </c>
      <c r="AS59" s="907">
        <v>424807</v>
      </c>
      <c r="AT59" s="905">
        <v>2.2999999999999998</v>
      </c>
      <c r="AV59" s="903">
        <v>2007</v>
      </c>
      <c r="AW59" s="903" t="s">
        <v>1478</v>
      </c>
      <c r="AX59" s="907">
        <v>205219</v>
      </c>
      <c r="AY59" s="907">
        <v>448702</v>
      </c>
      <c r="AZ59" s="905">
        <v>2.19</v>
      </c>
      <c r="BB59" s="900">
        <v>2007</v>
      </c>
      <c r="BC59" s="900" t="s">
        <v>1478</v>
      </c>
      <c r="BD59" s="906">
        <v>131028</v>
      </c>
      <c r="BE59" s="906">
        <v>229456</v>
      </c>
      <c r="BF59" s="902">
        <v>1.75</v>
      </c>
    </row>
    <row r="60" spans="2:58" ht="10.9" thickBot="1">
      <c r="B60" s="900">
        <v>2007</v>
      </c>
      <c r="C60" s="263">
        <f t="shared" si="0"/>
        <v>39355</v>
      </c>
      <c r="D60" s="909">
        <v>1038.4000000000001</v>
      </c>
      <c r="E60" s="909">
        <v>2183.8000000000002</v>
      </c>
      <c r="F60" s="914">
        <v>2.1</v>
      </c>
      <c r="G60" s="906">
        <v>147281</v>
      </c>
      <c r="H60" s="906">
        <v>297887</v>
      </c>
      <c r="I60" s="902">
        <v>2.02</v>
      </c>
      <c r="J60" s="906">
        <v>95870</v>
      </c>
      <c r="K60" s="906">
        <v>214775</v>
      </c>
      <c r="L60" s="902">
        <v>2.2400000000000002</v>
      </c>
      <c r="M60" s="906">
        <v>100009</v>
      </c>
      <c r="N60" s="906">
        <v>224363</v>
      </c>
      <c r="O60" s="902">
        <v>2.2400000000000002</v>
      </c>
      <c r="P60" s="907">
        <v>125805</v>
      </c>
      <c r="Q60" s="907">
        <v>207088</v>
      </c>
      <c r="R60" s="905">
        <v>1.65</v>
      </c>
      <c r="T60" s="902">
        <v>455</v>
      </c>
      <c r="U60" s="902">
        <v>977.7</v>
      </c>
      <c r="V60" s="902">
        <v>2.15</v>
      </c>
      <c r="W60" s="906">
        <v>81758</v>
      </c>
      <c r="X60" s="906">
        <v>179621</v>
      </c>
      <c r="Y60" s="902">
        <v>2.2000000000000002</v>
      </c>
      <c r="Z60" s="906">
        <v>66950</v>
      </c>
      <c r="AA60" s="906">
        <v>149988</v>
      </c>
      <c r="AB60" s="902">
        <v>2.2400000000000002</v>
      </c>
      <c r="AC60" s="906">
        <v>86203</v>
      </c>
      <c r="AD60" s="906">
        <v>182717</v>
      </c>
      <c r="AE60" s="902">
        <v>2.12</v>
      </c>
      <c r="AF60" s="905">
        <v>0</v>
      </c>
      <c r="AG60" s="905">
        <v>0</v>
      </c>
      <c r="AH60" s="905" t="s">
        <v>1483</v>
      </c>
      <c r="AI60" s="901">
        <v>1493.4</v>
      </c>
      <c r="AJ60" s="901">
        <v>3161.4</v>
      </c>
      <c r="AK60" s="902">
        <v>2.12</v>
      </c>
      <c r="AL60" s="906">
        <v>229039</v>
      </c>
      <c r="AM60" s="906">
        <v>477508</v>
      </c>
      <c r="AN60" s="902">
        <v>2.08</v>
      </c>
      <c r="AP60" s="900">
        <v>2007</v>
      </c>
      <c r="AQ60" s="900" t="s">
        <v>1479</v>
      </c>
      <c r="AR60" s="906">
        <v>162820</v>
      </c>
      <c r="AS60" s="906">
        <v>364762</v>
      </c>
      <c r="AT60" s="902">
        <v>2.2400000000000002</v>
      </c>
      <c r="AV60" s="900">
        <v>2007</v>
      </c>
      <c r="AW60" s="900" t="s">
        <v>1479</v>
      </c>
      <c r="AX60" s="906">
        <v>186212</v>
      </c>
      <c r="AY60" s="906">
        <v>407080</v>
      </c>
      <c r="AZ60" s="902">
        <v>2.19</v>
      </c>
      <c r="BB60" s="903">
        <v>2007</v>
      </c>
      <c r="BC60" s="903" t="s">
        <v>1479</v>
      </c>
      <c r="BD60" s="907">
        <v>125805</v>
      </c>
      <c r="BE60" s="907">
        <v>207088</v>
      </c>
      <c r="BF60" s="905">
        <v>1.65</v>
      </c>
    </row>
    <row r="61" spans="2:58" ht="10.9" thickBot="1">
      <c r="B61" s="903">
        <v>2007</v>
      </c>
      <c r="C61" s="263">
        <f t="shared" si="0"/>
        <v>39386</v>
      </c>
      <c r="D61" s="909">
        <v>1092</v>
      </c>
      <c r="E61" s="909">
        <v>2404.1</v>
      </c>
      <c r="F61" s="914">
        <v>2.2000000000000002</v>
      </c>
      <c r="G61" s="907">
        <v>155619</v>
      </c>
      <c r="H61" s="907">
        <v>338714</v>
      </c>
      <c r="I61" s="905">
        <v>2.1800000000000002</v>
      </c>
      <c r="J61" s="907">
        <v>100697</v>
      </c>
      <c r="K61" s="907">
        <v>244773</v>
      </c>
      <c r="L61" s="905">
        <v>2.4300000000000002</v>
      </c>
      <c r="M61" s="907">
        <v>105338</v>
      </c>
      <c r="N61" s="907">
        <v>245283</v>
      </c>
      <c r="O61" s="905">
        <v>2.33</v>
      </c>
      <c r="P61" s="906">
        <v>127930</v>
      </c>
      <c r="Q61" s="906">
        <v>223717</v>
      </c>
      <c r="R61" s="902">
        <v>1.75</v>
      </c>
      <c r="T61" s="905">
        <v>457.3</v>
      </c>
      <c r="U61" s="904">
        <v>1044.0999999999999</v>
      </c>
      <c r="V61" s="905">
        <v>2.2799999999999998</v>
      </c>
      <c r="W61" s="907">
        <v>82959</v>
      </c>
      <c r="X61" s="907">
        <v>193006</v>
      </c>
      <c r="Y61" s="905">
        <v>2.33</v>
      </c>
      <c r="Z61" s="907">
        <v>64591</v>
      </c>
      <c r="AA61" s="907">
        <v>157007</v>
      </c>
      <c r="AB61" s="905">
        <v>2.4300000000000002</v>
      </c>
      <c r="AC61" s="907">
        <v>87307</v>
      </c>
      <c r="AD61" s="907">
        <v>200055</v>
      </c>
      <c r="AE61" s="905">
        <v>2.29</v>
      </c>
      <c r="AF61" s="902">
        <v>0</v>
      </c>
      <c r="AG61" s="902">
        <v>0</v>
      </c>
      <c r="AH61" s="902" t="s">
        <v>1483</v>
      </c>
      <c r="AI61" s="904">
        <v>1549.4</v>
      </c>
      <c r="AJ61" s="904">
        <v>3448.3</v>
      </c>
      <c r="AK61" s="905">
        <v>2.23</v>
      </c>
      <c r="AL61" s="907">
        <v>238578</v>
      </c>
      <c r="AM61" s="907">
        <v>531720</v>
      </c>
      <c r="AN61" s="905">
        <v>2.23</v>
      </c>
      <c r="AP61" s="903">
        <v>2007</v>
      </c>
      <c r="AQ61" s="903" t="s">
        <v>1480</v>
      </c>
      <c r="AR61" s="907">
        <v>165289</v>
      </c>
      <c r="AS61" s="907">
        <v>401780</v>
      </c>
      <c r="AT61" s="905">
        <v>2.4300000000000002</v>
      </c>
      <c r="AV61" s="903">
        <v>2007</v>
      </c>
      <c r="AW61" s="903" t="s">
        <v>1480</v>
      </c>
      <c r="AX61" s="907">
        <v>192645</v>
      </c>
      <c r="AY61" s="907">
        <v>445338</v>
      </c>
      <c r="AZ61" s="905">
        <v>2.31</v>
      </c>
      <c r="BB61" s="900">
        <v>2007</v>
      </c>
      <c r="BC61" s="900" t="s">
        <v>1480</v>
      </c>
      <c r="BD61" s="906">
        <v>127930</v>
      </c>
      <c r="BE61" s="906">
        <v>223717</v>
      </c>
      <c r="BF61" s="902">
        <v>1.75</v>
      </c>
    </row>
    <row r="62" spans="2:58" ht="10.9" thickBot="1">
      <c r="B62" s="900">
        <v>2007</v>
      </c>
      <c r="C62" s="263">
        <f t="shared" si="0"/>
        <v>39416</v>
      </c>
      <c r="D62" s="909">
        <v>1047.5</v>
      </c>
      <c r="E62" s="909">
        <v>2541.9</v>
      </c>
      <c r="F62" s="914">
        <v>2.4300000000000002</v>
      </c>
      <c r="G62" s="906">
        <v>148647</v>
      </c>
      <c r="H62" s="906">
        <v>329871</v>
      </c>
      <c r="I62" s="902">
        <v>2.2200000000000002</v>
      </c>
      <c r="J62" s="906">
        <v>96755</v>
      </c>
      <c r="K62" s="906">
        <v>266770</v>
      </c>
      <c r="L62" s="902">
        <v>2.76</v>
      </c>
      <c r="M62" s="906">
        <v>98940</v>
      </c>
      <c r="N62" s="906">
        <v>253311</v>
      </c>
      <c r="O62" s="902">
        <v>2.56</v>
      </c>
      <c r="P62" s="907">
        <v>122780</v>
      </c>
      <c r="Q62" s="907">
        <v>220953</v>
      </c>
      <c r="R62" s="905">
        <v>1.8</v>
      </c>
      <c r="T62" s="902">
        <v>435.1</v>
      </c>
      <c r="U62" s="901">
        <v>1114</v>
      </c>
      <c r="V62" s="902">
        <v>2.56</v>
      </c>
      <c r="W62" s="906">
        <v>78223</v>
      </c>
      <c r="X62" s="906">
        <v>201056</v>
      </c>
      <c r="Y62" s="902">
        <v>2.57</v>
      </c>
      <c r="Z62" s="906">
        <v>57819</v>
      </c>
      <c r="AA62" s="906">
        <v>159416</v>
      </c>
      <c r="AB62" s="902">
        <v>2.76</v>
      </c>
      <c r="AC62" s="906">
        <v>83269</v>
      </c>
      <c r="AD62" s="906">
        <v>210788</v>
      </c>
      <c r="AE62" s="902">
        <v>2.5299999999999998</v>
      </c>
      <c r="AF62" s="905">
        <v>0</v>
      </c>
      <c r="AG62" s="905">
        <v>0</v>
      </c>
      <c r="AH62" s="905" t="s">
        <v>1483</v>
      </c>
      <c r="AI62" s="901">
        <v>1482.5</v>
      </c>
      <c r="AJ62" s="901">
        <v>3655.9</v>
      </c>
      <c r="AK62" s="902">
        <v>2.4700000000000002</v>
      </c>
      <c r="AL62" s="906">
        <v>226869</v>
      </c>
      <c r="AM62" s="906">
        <v>530927</v>
      </c>
      <c r="AN62" s="902">
        <v>2.34</v>
      </c>
      <c r="AP62" s="900">
        <v>2007</v>
      </c>
      <c r="AQ62" s="900" t="s">
        <v>1481</v>
      </c>
      <c r="AR62" s="906">
        <v>154574</v>
      </c>
      <c r="AS62" s="906">
        <v>426187</v>
      </c>
      <c r="AT62" s="902">
        <v>2.76</v>
      </c>
      <c r="AV62" s="900">
        <v>2007</v>
      </c>
      <c r="AW62" s="900" t="s">
        <v>1481</v>
      </c>
      <c r="AX62" s="906">
        <v>182209</v>
      </c>
      <c r="AY62" s="906">
        <v>464099</v>
      </c>
      <c r="AZ62" s="902">
        <v>2.5499999999999998</v>
      </c>
      <c r="BB62" s="903">
        <v>2007</v>
      </c>
      <c r="BC62" s="903" t="s">
        <v>1481</v>
      </c>
      <c r="BD62" s="907">
        <v>122780</v>
      </c>
      <c r="BE62" s="907">
        <v>220953</v>
      </c>
      <c r="BF62" s="905">
        <v>1.8</v>
      </c>
    </row>
    <row r="63" spans="2:58" ht="11.2" customHeight="1" thickBot="1">
      <c r="B63" s="903">
        <v>2007</v>
      </c>
      <c r="C63" s="263">
        <f t="shared" si="0"/>
        <v>39447</v>
      </c>
      <c r="D63" s="909">
        <v>1083</v>
      </c>
      <c r="E63" s="909">
        <v>2699.9</v>
      </c>
      <c r="F63" s="914">
        <v>2.4900000000000002</v>
      </c>
      <c r="G63" s="907">
        <v>152071</v>
      </c>
      <c r="H63" s="907">
        <v>339231</v>
      </c>
      <c r="I63" s="905">
        <v>2.23</v>
      </c>
      <c r="J63" s="907">
        <v>97738</v>
      </c>
      <c r="K63" s="907">
        <v>279578</v>
      </c>
      <c r="L63" s="905">
        <v>2.86</v>
      </c>
      <c r="M63" s="907">
        <v>100922</v>
      </c>
      <c r="N63" s="907">
        <v>269073</v>
      </c>
      <c r="O63" s="905">
        <v>2.67</v>
      </c>
      <c r="P63" s="906">
        <v>125022</v>
      </c>
      <c r="Q63" s="906">
        <v>257770</v>
      </c>
      <c r="R63" s="902">
        <v>2.06</v>
      </c>
      <c r="T63" s="905">
        <v>458.6</v>
      </c>
      <c r="U63" s="904">
        <v>1234.0999999999999</v>
      </c>
      <c r="V63" s="905">
        <v>2.69</v>
      </c>
      <c r="W63" s="907">
        <v>85481</v>
      </c>
      <c r="X63" s="907">
        <v>230065</v>
      </c>
      <c r="Y63" s="905">
        <v>2.69</v>
      </c>
      <c r="Z63" s="907">
        <v>63361</v>
      </c>
      <c r="AA63" s="907">
        <v>181242</v>
      </c>
      <c r="AB63" s="905">
        <v>2.86</v>
      </c>
      <c r="AC63" s="907">
        <v>88640</v>
      </c>
      <c r="AD63" s="907">
        <v>231983</v>
      </c>
      <c r="AE63" s="905">
        <v>2.62</v>
      </c>
      <c r="AF63" s="902">
        <v>0</v>
      </c>
      <c r="AG63" s="902">
        <v>0</v>
      </c>
      <c r="AH63" s="902" t="s">
        <v>1483</v>
      </c>
      <c r="AI63" s="904">
        <v>1541.6</v>
      </c>
      <c r="AJ63" s="904">
        <v>3934</v>
      </c>
      <c r="AK63" s="905">
        <v>2.5499999999999998</v>
      </c>
      <c r="AL63" s="907">
        <v>237552</v>
      </c>
      <c r="AM63" s="907">
        <v>569296</v>
      </c>
      <c r="AN63" s="905">
        <v>2.4</v>
      </c>
      <c r="AP63" s="903">
        <v>2007</v>
      </c>
      <c r="AQ63" s="903" t="s">
        <v>1482</v>
      </c>
      <c r="AR63" s="907">
        <v>161098</v>
      </c>
      <c r="AS63" s="907">
        <v>460821</v>
      </c>
      <c r="AT63" s="905">
        <v>2.86</v>
      </c>
      <c r="AV63" s="903">
        <v>2007</v>
      </c>
      <c r="AW63" s="903" t="s">
        <v>1482</v>
      </c>
      <c r="AX63" s="907">
        <v>189563</v>
      </c>
      <c r="AY63" s="907">
        <v>501056</v>
      </c>
      <c r="AZ63" s="905">
        <v>2.64</v>
      </c>
      <c r="BB63" s="900">
        <v>2007</v>
      </c>
      <c r="BC63" s="900" t="s">
        <v>1482</v>
      </c>
      <c r="BD63" s="906">
        <v>125022</v>
      </c>
      <c r="BE63" s="906">
        <v>257770</v>
      </c>
      <c r="BF63" s="902">
        <v>2.06</v>
      </c>
    </row>
    <row r="64" spans="2:58" ht="10.9" thickBot="1">
      <c r="B64" s="900">
        <v>2008</v>
      </c>
      <c r="C64" s="263">
        <f t="shared" si="0"/>
        <v>39478</v>
      </c>
      <c r="D64" s="909">
        <v>1071.5999999999999</v>
      </c>
      <c r="E64" s="909">
        <v>2747.8</v>
      </c>
      <c r="F64" s="914">
        <v>2.56</v>
      </c>
      <c r="G64" s="906">
        <v>149790</v>
      </c>
      <c r="H64" s="906">
        <v>396510</v>
      </c>
      <c r="I64" s="902">
        <v>2.65</v>
      </c>
      <c r="J64" s="906">
        <v>93521</v>
      </c>
      <c r="K64" s="906">
        <v>267876</v>
      </c>
      <c r="L64" s="902">
        <v>2.86</v>
      </c>
      <c r="M64" s="906">
        <v>95136</v>
      </c>
      <c r="N64" s="906">
        <v>262186</v>
      </c>
      <c r="O64" s="902">
        <v>2.76</v>
      </c>
      <c r="P64" s="907">
        <v>126111</v>
      </c>
      <c r="Q64" s="907">
        <v>232172</v>
      </c>
      <c r="R64" s="905">
        <v>1.84</v>
      </c>
      <c r="T64" s="902">
        <v>451.1</v>
      </c>
      <c r="U64" s="901">
        <v>1229.4000000000001</v>
      </c>
      <c r="V64" s="902">
        <v>2.73</v>
      </c>
      <c r="W64" s="906">
        <v>84802</v>
      </c>
      <c r="X64" s="906">
        <v>229618</v>
      </c>
      <c r="Y64" s="902">
        <v>2.71</v>
      </c>
      <c r="Z64" s="906">
        <v>60302</v>
      </c>
      <c r="AA64" s="906">
        <v>172726</v>
      </c>
      <c r="AB64" s="902">
        <v>2.86</v>
      </c>
      <c r="AC64" s="906">
        <v>88692</v>
      </c>
      <c r="AD64" s="906">
        <v>237494</v>
      </c>
      <c r="AE64" s="902">
        <v>2.68</v>
      </c>
      <c r="AF64" s="905">
        <v>0</v>
      </c>
      <c r="AG64" s="905">
        <v>0</v>
      </c>
      <c r="AH64" s="905" t="s">
        <v>1483</v>
      </c>
      <c r="AI64" s="901">
        <v>1522.7</v>
      </c>
      <c r="AJ64" s="901">
        <v>3977.2</v>
      </c>
      <c r="AK64" s="902">
        <v>2.61</v>
      </c>
      <c r="AL64" s="906">
        <v>234591</v>
      </c>
      <c r="AM64" s="906">
        <v>626128</v>
      </c>
      <c r="AN64" s="902">
        <v>2.67</v>
      </c>
      <c r="AP64" s="900">
        <v>2008</v>
      </c>
      <c r="AQ64" s="900" t="s">
        <v>1472</v>
      </c>
      <c r="AR64" s="906">
        <v>153823</v>
      </c>
      <c r="AS64" s="906">
        <v>440603</v>
      </c>
      <c r="AT64" s="902">
        <v>2.86</v>
      </c>
      <c r="AV64" s="900">
        <v>2008</v>
      </c>
      <c r="AW64" s="900" t="s">
        <v>1472</v>
      </c>
      <c r="AX64" s="906">
        <v>183828</v>
      </c>
      <c r="AY64" s="906">
        <v>499680</v>
      </c>
      <c r="AZ64" s="902">
        <v>2.72</v>
      </c>
      <c r="BB64" s="903">
        <v>2008</v>
      </c>
      <c r="BC64" s="903" t="s">
        <v>1472</v>
      </c>
      <c r="BD64" s="907">
        <v>126111</v>
      </c>
      <c r="BE64" s="907">
        <v>232172</v>
      </c>
      <c r="BF64" s="905">
        <v>1.84</v>
      </c>
    </row>
    <row r="65" spans="2:58" ht="10.9" thickBot="1">
      <c r="B65" s="903">
        <v>2008</v>
      </c>
      <c r="C65" s="263">
        <f t="shared" si="0"/>
        <v>39507</v>
      </c>
      <c r="D65" s="909">
        <v>1025.7</v>
      </c>
      <c r="E65" s="909">
        <v>2613.4</v>
      </c>
      <c r="F65" s="914">
        <v>2.5499999999999998</v>
      </c>
      <c r="G65" s="907">
        <v>137848</v>
      </c>
      <c r="H65" s="907">
        <v>332909</v>
      </c>
      <c r="I65" s="905">
        <v>2.42</v>
      </c>
      <c r="J65" s="907">
        <v>89706</v>
      </c>
      <c r="K65" s="907">
        <v>252768</v>
      </c>
      <c r="L65" s="905">
        <v>2.82</v>
      </c>
      <c r="M65" s="907">
        <v>92755</v>
      </c>
      <c r="N65" s="907">
        <v>257258</v>
      </c>
      <c r="O65" s="905">
        <v>2.77</v>
      </c>
      <c r="P65" s="906">
        <v>117689</v>
      </c>
      <c r="Q65" s="906">
        <v>232812</v>
      </c>
      <c r="R65" s="902">
        <v>1.98</v>
      </c>
      <c r="T65" s="905">
        <v>418.4</v>
      </c>
      <c r="U65" s="904">
        <v>1119.0999999999999</v>
      </c>
      <c r="V65" s="905">
        <v>2.67</v>
      </c>
      <c r="W65" s="907">
        <v>77274</v>
      </c>
      <c r="X65" s="907">
        <v>206901</v>
      </c>
      <c r="Y65" s="905">
        <v>2.68</v>
      </c>
      <c r="Z65" s="907">
        <v>55260</v>
      </c>
      <c r="AA65" s="907">
        <v>155709</v>
      </c>
      <c r="AB65" s="905">
        <v>2.82</v>
      </c>
      <c r="AC65" s="907">
        <v>83092</v>
      </c>
      <c r="AD65" s="907">
        <v>219434</v>
      </c>
      <c r="AE65" s="905">
        <v>2.64</v>
      </c>
      <c r="AF65" s="902">
        <v>0</v>
      </c>
      <c r="AG65" s="902">
        <v>0</v>
      </c>
      <c r="AH65" s="902" t="s">
        <v>1483</v>
      </c>
      <c r="AI65" s="904">
        <v>1444.1</v>
      </c>
      <c r="AJ65" s="904">
        <v>3732.5</v>
      </c>
      <c r="AK65" s="905">
        <v>2.58</v>
      </c>
      <c r="AL65" s="907">
        <v>215123</v>
      </c>
      <c r="AM65" s="907">
        <v>539809</v>
      </c>
      <c r="AN65" s="905">
        <v>2.5099999999999998</v>
      </c>
      <c r="AP65" s="903">
        <v>2008</v>
      </c>
      <c r="AQ65" s="903" t="s">
        <v>1473</v>
      </c>
      <c r="AR65" s="907">
        <v>144966</v>
      </c>
      <c r="AS65" s="907">
        <v>408477</v>
      </c>
      <c r="AT65" s="905">
        <v>2.82</v>
      </c>
      <c r="AV65" s="903">
        <v>2008</v>
      </c>
      <c r="AW65" s="903" t="s">
        <v>1473</v>
      </c>
      <c r="AX65" s="907">
        <v>175848</v>
      </c>
      <c r="AY65" s="907">
        <v>476692</v>
      </c>
      <c r="AZ65" s="905">
        <v>2.71</v>
      </c>
      <c r="BB65" s="900">
        <v>2008</v>
      </c>
      <c r="BC65" s="900" t="s">
        <v>1473</v>
      </c>
      <c r="BD65" s="906">
        <v>117689</v>
      </c>
      <c r="BE65" s="906">
        <v>232812</v>
      </c>
      <c r="BF65" s="902">
        <v>1.98</v>
      </c>
    </row>
    <row r="66" spans="2:58" ht="10.9" thickBot="1">
      <c r="B66" s="900">
        <v>2008</v>
      </c>
      <c r="C66" s="263">
        <f t="shared" si="0"/>
        <v>39538</v>
      </c>
      <c r="D66" s="909">
        <v>1117.9000000000001</v>
      </c>
      <c r="E66" s="909">
        <v>3197</v>
      </c>
      <c r="F66" s="914">
        <v>2.86</v>
      </c>
      <c r="G66" s="906">
        <v>146904</v>
      </c>
      <c r="H66" s="906">
        <v>388910</v>
      </c>
      <c r="I66" s="902">
        <v>2.65</v>
      </c>
      <c r="J66" s="906">
        <v>98987</v>
      </c>
      <c r="K66" s="906">
        <v>301513</v>
      </c>
      <c r="L66" s="902">
        <v>3.05</v>
      </c>
      <c r="M66" s="906">
        <v>104285</v>
      </c>
      <c r="N66" s="906">
        <v>323315</v>
      </c>
      <c r="O66" s="902">
        <v>3.1</v>
      </c>
      <c r="P66" s="907">
        <v>129204</v>
      </c>
      <c r="Q66" s="907">
        <v>285532</v>
      </c>
      <c r="R66" s="905">
        <v>2.21</v>
      </c>
      <c r="T66" s="902">
        <v>461.7</v>
      </c>
      <c r="U66" s="901">
        <v>1374.1</v>
      </c>
      <c r="V66" s="902">
        <v>2.98</v>
      </c>
      <c r="W66" s="906">
        <v>82416</v>
      </c>
      <c r="X66" s="906">
        <v>244509</v>
      </c>
      <c r="Y66" s="902">
        <v>2.97</v>
      </c>
      <c r="Z66" s="906">
        <v>63964</v>
      </c>
      <c r="AA66" s="906">
        <v>194835</v>
      </c>
      <c r="AB66" s="902">
        <v>3.05</v>
      </c>
      <c r="AC66" s="906">
        <v>89854</v>
      </c>
      <c r="AD66" s="906">
        <v>263282</v>
      </c>
      <c r="AE66" s="902">
        <v>2.93</v>
      </c>
      <c r="AF66" s="905">
        <v>0</v>
      </c>
      <c r="AG66" s="905">
        <v>0</v>
      </c>
      <c r="AH66" s="905" t="s">
        <v>1483</v>
      </c>
      <c r="AI66" s="901">
        <v>1579.6</v>
      </c>
      <c r="AJ66" s="901">
        <v>4571.1000000000004</v>
      </c>
      <c r="AK66" s="902">
        <v>2.89</v>
      </c>
      <c r="AL66" s="906">
        <v>229321</v>
      </c>
      <c r="AM66" s="906">
        <v>633419</v>
      </c>
      <c r="AN66" s="902">
        <v>2.76</v>
      </c>
      <c r="AP66" s="900">
        <v>2008</v>
      </c>
      <c r="AQ66" s="900" t="s">
        <v>1474</v>
      </c>
      <c r="AR66" s="906">
        <v>162951</v>
      </c>
      <c r="AS66" s="906">
        <v>496348</v>
      </c>
      <c r="AT66" s="902">
        <v>3.05</v>
      </c>
      <c r="AV66" s="900">
        <v>2008</v>
      </c>
      <c r="AW66" s="900" t="s">
        <v>1474</v>
      </c>
      <c r="AX66" s="906">
        <v>194139</v>
      </c>
      <c r="AY66" s="906">
        <v>586596</v>
      </c>
      <c r="AZ66" s="902">
        <v>3.02</v>
      </c>
      <c r="BB66" s="903">
        <v>2008</v>
      </c>
      <c r="BC66" s="903" t="s">
        <v>1474</v>
      </c>
      <c r="BD66" s="907">
        <v>129204</v>
      </c>
      <c r="BE66" s="907">
        <v>285532</v>
      </c>
      <c r="BF66" s="905">
        <v>2.21</v>
      </c>
    </row>
    <row r="67" spans="2:58" ht="10.9" thickBot="1">
      <c r="B67" s="903">
        <v>2008</v>
      </c>
      <c r="C67" s="263">
        <f t="shared" si="0"/>
        <v>39568</v>
      </c>
      <c r="D67" s="909">
        <v>1059.5999999999999</v>
      </c>
      <c r="E67" s="909">
        <v>3143.8</v>
      </c>
      <c r="F67" s="914">
        <v>2.97</v>
      </c>
      <c r="G67" s="907">
        <v>137226</v>
      </c>
      <c r="H67" s="907">
        <v>365842</v>
      </c>
      <c r="I67" s="905">
        <v>2.67</v>
      </c>
      <c r="J67" s="907">
        <v>90559</v>
      </c>
      <c r="K67" s="907">
        <v>282257</v>
      </c>
      <c r="L67" s="905">
        <v>3.12</v>
      </c>
      <c r="M67" s="907">
        <v>98535</v>
      </c>
      <c r="N67" s="907">
        <v>331245</v>
      </c>
      <c r="O67" s="905">
        <v>3.36</v>
      </c>
      <c r="P67" s="906">
        <v>126293</v>
      </c>
      <c r="Q67" s="906">
        <v>267524</v>
      </c>
      <c r="R67" s="902">
        <v>2.12</v>
      </c>
      <c r="T67" s="905">
        <v>465.3</v>
      </c>
      <c r="U67" s="904">
        <v>1443.6</v>
      </c>
      <c r="V67" s="905">
        <v>3.1</v>
      </c>
      <c r="W67" s="907">
        <v>83525</v>
      </c>
      <c r="X67" s="907">
        <v>257039</v>
      </c>
      <c r="Y67" s="905">
        <v>3.08</v>
      </c>
      <c r="Z67" s="907">
        <v>66838</v>
      </c>
      <c r="AA67" s="907">
        <v>208322</v>
      </c>
      <c r="AB67" s="905">
        <v>3.12</v>
      </c>
      <c r="AC67" s="907">
        <v>85937</v>
      </c>
      <c r="AD67" s="907">
        <v>272925</v>
      </c>
      <c r="AE67" s="905">
        <v>3.18</v>
      </c>
      <c r="AF67" s="902">
        <v>0</v>
      </c>
      <c r="AG67" s="902">
        <v>0</v>
      </c>
      <c r="AH67" s="902" t="s">
        <v>1483</v>
      </c>
      <c r="AI67" s="904">
        <v>1525</v>
      </c>
      <c r="AJ67" s="904">
        <v>4587.5</v>
      </c>
      <c r="AK67" s="905">
        <v>3.01</v>
      </c>
      <c r="AL67" s="907">
        <v>220751</v>
      </c>
      <c r="AM67" s="907">
        <v>622881</v>
      </c>
      <c r="AN67" s="905">
        <v>2.82</v>
      </c>
      <c r="AP67" s="903">
        <v>2008</v>
      </c>
      <c r="AQ67" s="903" t="s">
        <v>1475</v>
      </c>
      <c r="AR67" s="907">
        <v>157396</v>
      </c>
      <c r="AS67" s="907">
        <v>490580</v>
      </c>
      <c r="AT67" s="905">
        <v>3.12</v>
      </c>
      <c r="AV67" s="903">
        <v>2008</v>
      </c>
      <c r="AW67" s="903" t="s">
        <v>1475</v>
      </c>
      <c r="AX67" s="907">
        <v>184472</v>
      </c>
      <c r="AY67" s="907">
        <v>604171</v>
      </c>
      <c r="AZ67" s="905">
        <v>3.28</v>
      </c>
      <c r="BB67" s="900">
        <v>2008</v>
      </c>
      <c r="BC67" s="900" t="s">
        <v>1475</v>
      </c>
      <c r="BD67" s="906">
        <v>126293</v>
      </c>
      <c r="BE67" s="906">
        <v>267524</v>
      </c>
      <c r="BF67" s="902">
        <v>2.12</v>
      </c>
    </row>
    <row r="68" spans="2:58" ht="10.9" thickBot="1">
      <c r="B68" s="900">
        <v>2008</v>
      </c>
      <c r="C68" s="263">
        <f t="shared" si="0"/>
        <v>39599</v>
      </c>
      <c r="D68" s="909">
        <v>1087.7</v>
      </c>
      <c r="E68" s="909">
        <v>3465.6</v>
      </c>
      <c r="F68" s="914">
        <v>3.19</v>
      </c>
      <c r="G68" s="906">
        <v>151321</v>
      </c>
      <c r="H68" s="906">
        <v>435603</v>
      </c>
      <c r="I68" s="902">
        <v>2.88</v>
      </c>
      <c r="J68" s="906">
        <v>88528</v>
      </c>
      <c r="K68" s="906">
        <v>281640</v>
      </c>
      <c r="L68" s="902">
        <v>3.18</v>
      </c>
      <c r="M68" s="906">
        <v>102097</v>
      </c>
      <c r="N68" s="906">
        <v>366253</v>
      </c>
      <c r="O68" s="902">
        <v>3.59</v>
      </c>
      <c r="P68" s="907">
        <v>131095</v>
      </c>
      <c r="Q68" s="907">
        <v>290984</v>
      </c>
      <c r="R68" s="905">
        <v>2.2200000000000002</v>
      </c>
      <c r="T68" s="902">
        <v>481.7</v>
      </c>
      <c r="U68" s="901">
        <v>1602.9</v>
      </c>
      <c r="V68" s="902">
        <v>3.33</v>
      </c>
      <c r="W68" s="906">
        <v>85159</v>
      </c>
      <c r="X68" s="906">
        <v>292542</v>
      </c>
      <c r="Y68" s="902">
        <v>3.44</v>
      </c>
      <c r="Z68" s="906">
        <v>73704</v>
      </c>
      <c r="AA68" s="906">
        <v>234480</v>
      </c>
      <c r="AB68" s="902">
        <v>3.18</v>
      </c>
      <c r="AC68" s="906">
        <v>89029</v>
      </c>
      <c r="AD68" s="906">
        <v>303592</v>
      </c>
      <c r="AE68" s="902">
        <v>3.41</v>
      </c>
      <c r="AF68" s="905">
        <v>0</v>
      </c>
      <c r="AG68" s="905">
        <v>0</v>
      </c>
      <c r="AH68" s="905" t="s">
        <v>1483</v>
      </c>
      <c r="AI68" s="901">
        <v>1569.4</v>
      </c>
      <c r="AJ68" s="901">
        <v>5068.5</v>
      </c>
      <c r="AK68" s="902">
        <v>3.23</v>
      </c>
      <c r="AL68" s="906">
        <v>236479</v>
      </c>
      <c r="AM68" s="906">
        <v>728145</v>
      </c>
      <c r="AN68" s="902">
        <v>3.08</v>
      </c>
      <c r="AP68" s="900">
        <v>2008</v>
      </c>
      <c r="AQ68" s="900" t="s">
        <v>1465</v>
      </c>
      <c r="AR68" s="906">
        <v>162233</v>
      </c>
      <c r="AS68" s="906">
        <v>516121</v>
      </c>
      <c r="AT68" s="902">
        <v>3.18</v>
      </c>
      <c r="AV68" s="900">
        <v>2008</v>
      </c>
      <c r="AW68" s="900" t="s">
        <v>1465</v>
      </c>
      <c r="AX68" s="906">
        <v>191126</v>
      </c>
      <c r="AY68" s="906">
        <v>669845</v>
      </c>
      <c r="AZ68" s="902">
        <v>3.5</v>
      </c>
      <c r="BB68" s="903">
        <v>2008</v>
      </c>
      <c r="BC68" s="903" t="s">
        <v>1465</v>
      </c>
      <c r="BD68" s="907">
        <v>131095</v>
      </c>
      <c r="BE68" s="907">
        <v>290984</v>
      </c>
      <c r="BF68" s="905">
        <v>2.2200000000000002</v>
      </c>
    </row>
    <row r="69" spans="2:58" ht="10.9" thickBot="1">
      <c r="B69" s="903">
        <v>2008</v>
      </c>
      <c r="C69" s="263">
        <f t="shared" ref="C69:C132" si="1">EOMONTH(C68,1)</f>
        <v>39629</v>
      </c>
      <c r="D69" s="909">
        <v>1094.8</v>
      </c>
      <c r="E69" s="909">
        <v>3717.1</v>
      </c>
      <c r="F69" s="914">
        <v>3.4</v>
      </c>
      <c r="G69" s="907">
        <v>145339</v>
      </c>
      <c r="H69" s="907">
        <v>454418</v>
      </c>
      <c r="I69" s="905">
        <v>3.13</v>
      </c>
      <c r="J69" s="907">
        <v>96101</v>
      </c>
      <c r="K69" s="907">
        <v>310650</v>
      </c>
      <c r="L69" s="905">
        <v>3.23</v>
      </c>
      <c r="M69" s="907">
        <v>106123</v>
      </c>
      <c r="N69" s="907">
        <v>409409</v>
      </c>
      <c r="O69" s="905">
        <v>3.86</v>
      </c>
      <c r="P69" s="906">
        <v>130482</v>
      </c>
      <c r="Q69" s="906">
        <v>329844</v>
      </c>
      <c r="R69" s="902">
        <v>2.5299999999999998</v>
      </c>
      <c r="T69" s="905">
        <v>486.4</v>
      </c>
      <c r="U69" s="904">
        <v>1752.1</v>
      </c>
      <c r="V69" s="905">
        <v>3.6</v>
      </c>
      <c r="W69" s="907">
        <v>84213</v>
      </c>
      <c r="X69" s="907">
        <v>310145</v>
      </c>
      <c r="Y69" s="905">
        <v>3.68</v>
      </c>
      <c r="Z69" s="907">
        <v>82785</v>
      </c>
      <c r="AA69" s="907">
        <v>267607</v>
      </c>
      <c r="AB69" s="905">
        <v>3.23</v>
      </c>
      <c r="AC69" s="907">
        <v>86898</v>
      </c>
      <c r="AD69" s="907">
        <v>337473</v>
      </c>
      <c r="AE69" s="905">
        <v>3.88</v>
      </c>
      <c r="AF69" s="902">
        <v>0</v>
      </c>
      <c r="AG69" s="902">
        <v>0</v>
      </c>
      <c r="AH69" s="902" t="s">
        <v>1483</v>
      </c>
      <c r="AI69" s="904">
        <v>1581.2</v>
      </c>
      <c r="AJ69" s="904">
        <v>5469.2</v>
      </c>
      <c r="AK69" s="905">
        <v>3.46</v>
      </c>
      <c r="AL69" s="907">
        <v>229552</v>
      </c>
      <c r="AM69" s="907">
        <v>764563</v>
      </c>
      <c r="AN69" s="905">
        <v>3.33</v>
      </c>
      <c r="AP69" s="903">
        <v>2008</v>
      </c>
      <c r="AQ69" s="903" t="s">
        <v>1476</v>
      </c>
      <c r="AR69" s="907">
        <v>178886</v>
      </c>
      <c r="AS69" s="907">
        <v>578257</v>
      </c>
      <c r="AT69" s="905">
        <v>3.23</v>
      </c>
      <c r="AV69" s="903">
        <v>2008</v>
      </c>
      <c r="AW69" s="903" t="s">
        <v>1476</v>
      </c>
      <c r="AX69" s="907">
        <v>193021</v>
      </c>
      <c r="AY69" s="907">
        <v>746882</v>
      </c>
      <c r="AZ69" s="905">
        <v>3.87</v>
      </c>
      <c r="BB69" s="900">
        <v>2008</v>
      </c>
      <c r="BC69" s="900" t="s">
        <v>1476</v>
      </c>
      <c r="BD69" s="906">
        <v>130482</v>
      </c>
      <c r="BE69" s="906">
        <v>329844</v>
      </c>
      <c r="BF69" s="902">
        <v>2.5299999999999998</v>
      </c>
    </row>
    <row r="70" spans="2:58" ht="10.9" thickBot="1">
      <c r="B70" s="900">
        <v>2008</v>
      </c>
      <c r="C70" s="263">
        <f t="shared" si="1"/>
        <v>39660</v>
      </c>
      <c r="D70" s="909">
        <v>1133</v>
      </c>
      <c r="E70" s="909">
        <v>4184.2</v>
      </c>
      <c r="F70" s="914">
        <v>3.69</v>
      </c>
      <c r="G70" s="906">
        <v>150115</v>
      </c>
      <c r="H70" s="906">
        <v>506711</v>
      </c>
      <c r="I70" s="902">
        <v>3.38</v>
      </c>
      <c r="J70" s="906">
        <v>99003</v>
      </c>
      <c r="K70" s="906">
        <v>353105</v>
      </c>
      <c r="L70" s="902">
        <v>3.57</v>
      </c>
      <c r="M70" s="906">
        <v>108645</v>
      </c>
      <c r="N70" s="906">
        <v>433507</v>
      </c>
      <c r="O70" s="902">
        <v>3.99</v>
      </c>
      <c r="P70" s="907">
        <v>132512</v>
      </c>
      <c r="Q70" s="907">
        <v>344438</v>
      </c>
      <c r="R70" s="905">
        <v>2.6</v>
      </c>
      <c r="T70" s="902">
        <v>510.8</v>
      </c>
      <c r="U70" s="901">
        <v>2093.8000000000002</v>
      </c>
      <c r="V70" s="902">
        <v>4.0999999999999996</v>
      </c>
      <c r="W70" s="906">
        <v>88927</v>
      </c>
      <c r="X70" s="906">
        <v>373001</v>
      </c>
      <c r="Y70" s="902">
        <v>4.1900000000000004</v>
      </c>
      <c r="Z70" s="906">
        <v>88809</v>
      </c>
      <c r="AA70" s="906">
        <v>316747</v>
      </c>
      <c r="AB70" s="902">
        <v>3.57</v>
      </c>
      <c r="AC70" s="906">
        <v>89239</v>
      </c>
      <c r="AD70" s="906">
        <v>358252</v>
      </c>
      <c r="AE70" s="902">
        <v>4.01</v>
      </c>
      <c r="AF70" s="905">
        <v>0</v>
      </c>
      <c r="AG70" s="905">
        <v>0</v>
      </c>
      <c r="AH70" s="905" t="s">
        <v>1483</v>
      </c>
      <c r="AI70" s="901">
        <v>1643.8</v>
      </c>
      <c r="AJ70" s="901">
        <v>6278.1</v>
      </c>
      <c r="AK70" s="902">
        <v>3.82</v>
      </c>
      <c r="AL70" s="906">
        <v>239042</v>
      </c>
      <c r="AM70" s="906">
        <v>879712</v>
      </c>
      <c r="AN70" s="902">
        <v>3.68</v>
      </c>
      <c r="AP70" s="900">
        <v>2008</v>
      </c>
      <c r="AQ70" s="900" t="s">
        <v>1477</v>
      </c>
      <c r="AR70" s="906">
        <v>187812</v>
      </c>
      <c r="AS70" s="906">
        <v>669852</v>
      </c>
      <c r="AT70" s="902">
        <v>3.57</v>
      </c>
      <c r="AV70" s="900">
        <v>2008</v>
      </c>
      <c r="AW70" s="900" t="s">
        <v>1477</v>
      </c>
      <c r="AX70" s="906">
        <v>197884</v>
      </c>
      <c r="AY70" s="906">
        <v>791759</v>
      </c>
      <c r="AZ70" s="902">
        <v>4</v>
      </c>
      <c r="BB70" s="903">
        <v>2008</v>
      </c>
      <c r="BC70" s="903" t="s">
        <v>1477</v>
      </c>
      <c r="BD70" s="907">
        <v>132512</v>
      </c>
      <c r="BE70" s="907">
        <v>344438</v>
      </c>
      <c r="BF70" s="905">
        <v>2.6</v>
      </c>
    </row>
    <row r="71" spans="2:58" ht="10.9" thickBot="1">
      <c r="B71" s="903">
        <v>2008</v>
      </c>
      <c r="C71" s="263">
        <f t="shared" si="1"/>
        <v>39691</v>
      </c>
      <c r="D71" s="909">
        <v>1101.5</v>
      </c>
      <c r="E71" s="909">
        <v>3747</v>
      </c>
      <c r="F71" s="914">
        <v>3.4</v>
      </c>
      <c r="G71" s="907">
        <v>149545</v>
      </c>
      <c r="H71" s="907">
        <v>508789</v>
      </c>
      <c r="I71" s="905">
        <v>3.4</v>
      </c>
      <c r="J71" s="907">
        <v>95831</v>
      </c>
      <c r="K71" s="907">
        <v>336732</v>
      </c>
      <c r="L71" s="905">
        <v>3.51</v>
      </c>
      <c r="M71" s="907">
        <v>106378</v>
      </c>
      <c r="N71" s="907">
        <v>396895</v>
      </c>
      <c r="O71" s="905">
        <v>3.73</v>
      </c>
      <c r="P71" s="906">
        <v>130132</v>
      </c>
      <c r="Q71" s="906">
        <v>334780</v>
      </c>
      <c r="R71" s="902">
        <v>2.57</v>
      </c>
      <c r="T71" s="905">
        <v>502.4</v>
      </c>
      <c r="U71" s="904">
        <v>1919.3</v>
      </c>
      <c r="V71" s="905">
        <v>3.82</v>
      </c>
      <c r="W71" s="907">
        <v>88909</v>
      </c>
      <c r="X71" s="907">
        <v>322960</v>
      </c>
      <c r="Y71" s="905">
        <v>3.63</v>
      </c>
      <c r="Z71" s="907">
        <v>87255</v>
      </c>
      <c r="AA71" s="907">
        <v>306596</v>
      </c>
      <c r="AB71" s="905">
        <v>3.51</v>
      </c>
      <c r="AC71" s="907">
        <v>88730</v>
      </c>
      <c r="AD71" s="907">
        <v>338818</v>
      </c>
      <c r="AE71" s="905">
        <v>3.82</v>
      </c>
      <c r="AF71" s="902">
        <v>0</v>
      </c>
      <c r="AG71" s="902">
        <v>0</v>
      </c>
      <c r="AH71" s="902" t="s">
        <v>1483</v>
      </c>
      <c r="AI71" s="904">
        <v>1603.9</v>
      </c>
      <c r="AJ71" s="904">
        <v>5666.3</v>
      </c>
      <c r="AK71" s="905">
        <v>3.53</v>
      </c>
      <c r="AL71" s="907">
        <v>238454</v>
      </c>
      <c r="AM71" s="907">
        <v>831750</v>
      </c>
      <c r="AN71" s="905">
        <v>3.49</v>
      </c>
      <c r="AP71" s="903">
        <v>2008</v>
      </c>
      <c r="AQ71" s="903" t="s">
        <v>1478</v>
      </c>
      <c r="AR71" s="907">
        <v>183086</v>
      </c>
      <c r="AS71" s="907">
        <v>643328</v>
      </c>
      <c r="AT71" s="905">
        <v>3.51</v>
      </c>
      <c r="AV71" s="903">
        <v>2008</v>
      </c>
      <c r="AW71" s="903" t="s">
        <v>1478</v>
      </c>
      <c r="AX71" s="907">
        <v>195109</v>
      </c>
      <c r="AY71" s="907">
        <v>735713</v>
      </c>
      <c r="AZ71" s="905">
        <v>3.77</v>
      </c>
      <c r="BB71" s="900">
        <v>2008</v>
      </c>
      <c r="BC71" s="900" t="s">
        <v>1478</v>
      </c>
      <c r="BD71" s="906">
        <v>130132</v>
      </c>
      <c r="BE71" s="906">
        <v>334780</v>
      </c>
      <c r="BF71" s="902">
        <v>2.57</v>
      </c>
    </row>
    <row r="72" spans="2:58" ht="10.9" thickBot="1">
      <c r="B72" s="900">
        <v>2008</v>
      </c>
      <c r="C72" s="263">
        <f t="shared" si="1"/>
        <v>39721</v>
      </c>
      <c r="D72" s="909">
        <v>925.3</v>
      </c>
      <c r="E72" s="909">
        <v>3083.8</v>
      </c>
      <c r="F72" s="914">
        <v>3.33</v>
      </c>
      <c r="G72" s="906">
        <v>131916</v>
      </c>
      <c r="H72" s="906">
        <v>410759</v>
      </c>
      <c r="I72" s="902">
        <v>3.11</v>
      </c>
      <c r="J72" s="906">
        <v>83738</v>
      </c>
      <c r="K72" s="906">
        <v>284993</v>
      </c>
      <c r="L72" s="902">
        <v>3.4</v>
      </c>
      <c r="M72" s="906">
        <v>87974</v>
      </c>
      <c r="N72" s="906">
        <v>302886</v>
      </c>
      <c r="O72" s="902">
        <v>3.44</v>
      </c>
      <c r="P72" s="907">
        <v>119703</v>
      </c>
      <c r="Q72" s="907">
        <v>315614</v>
      </c>
      <c r="R72" s="905">
        <v>2.64</v>
      </c>
      <c r="T72" s="902">
        <v>448.8</v>
      </c>
      <c r="U72" s="901">
        <v>1603.3</v>
      </c>
      <c r="V72" s="902">
        <v>3.57</v>
      </c>
      <c r="W72" s="906">
        <v>79651</v>
      </c>
      <c r="X72" s="906">
        <v>276477</v>
      </c>
      <c r="Y72" s="902">
        <v>3.47</v>
      </c>
      <c r="Z72" s="906">
        <v>75528</v>
      </c>
      <c r="AA72" s="906">
        <v>257053</v>
      </c>
      <c r="AB72" s="902">
        <v>3.4</v>
      </c>
      <c r="AC72" s="906">
        <v>79360</v>
      </c>
      <c r="AD72" s="906">
        <v>263445</v>
      </c>
      <c r="AE72" s="902">
        <v>3.32</v>
      </c>
      <c r="AF72" s="905">
        <v>0</v>
      </c>
      <c r="AG72" s="905">
        <v>0</v>
      </c>
      <c r="AH72" s="905" t="s">
        <v>1483</v>
      </c>
      <c r="AI72" s="901">
        <v>1374.1</v>
      </c>
      <c r="AJ72" s="901">
        <v>4687.1000000000004</v>
      </c>
      <c r="AK72" s="902">
        <v>3.41</v>
      </c>
      <c r="AL72" s="906">
        <v>211567</v>
      </c>
      <c r="AM72" s="906">
        <v>687236</v>
      </c>
      <c r="AN72" s="902">
        <v>3.25</v>
      </c>
      <c r="AP72" s="900">
        <v>2008</v>
      </c>
      <c r="AQ72" s="900" t="s">
        <v>1479</v>
      </c>
      <c r="AR72" s="906">
        <v>159266</v>
      </c>
      <c r="AS72" s="906">
        <v>542046</v>
      </c>
      <c r="AT72" s="902">
        <v>3.4</v>
      </c>
      <c r="AV72" s="900">
        <v>2008</v>
      </c>
      <c r="AW72" s="900" t="s">
        <v>1479</v>
      </c>
      <c r="AX72" s="906">
        <v>167334</v>
      </c>
      <c r="AY72" s="906">
        <v>566331</v>
      </c>
      <c r="AZ72" s="902">
        <v>3.38</v>
      </c>
      <c r="BB72" s="903">
        <v>2008</v>
      </c>
      <c r="BC72" s="903" t="s">
        <v>1479</v>
      </c>
      <c r="BD72" s="907">
        <v>119703</v>
      </c>
      <c r="BE72" s="907">
        <v>315614</v>
      </c>
      <c r="BF72" s="905">
        <v>2.64</v>
      </c>
    </row>
    <row r="73" spans="2:58" ht="10.9" thickBot="1">
      <c r="B73" s="903">
        <v>2008</v>
      </c>
      <c r="C73" s="263">
        <f t="shared" si="1"/>
        <v>39752</v>
      </c>
      <c r="D73" s="909">
        <v>968.3</v>
      </c>
      <c r="E73" s="909">
        <v>3088.5</v>
      </c>
      <c r="F73" s="914">
        <v>3.19</v>
      </c>
      <c r="G73" s="907">
        <v>136113</v>
      </c>
      <c r="H73" s="907">
        <v>400671</v>
      </c>
      <c r="I73" s="905">
        <v>2.94</v>
      </c>
      <c r="J73" s="907">
        <v>88415</v>
      </c>
      <c r="K73" s="907">
        <v>337255</v>
      </c>
      <c r="L73" s="905">
        <v>3.81</v>
      </c>
      <c r="M73" s="907">
        <v>90175</v>
      </c>
      <c r="N73" s="907">
        <v>268677</v>
      </c>
      <c r="O73" s="905">
        <v>2.98</v>
      </c>
      <c r="P73" s="906">
        <v>127187</v>
      </c>
      <c r="Q73" s="906">
        <v>353182</v>
      </c>
      <c r="R73" s="902">
        <v>2.78</v>
      </c>
      <c r="T73" s="905">
        <v>444</v>
      </c>
      <c r="U73" s="904">
        <v>1620.9</v>
      </c>
      <c r="V73" s="905">
        <v>3.65</v>
      </c>
      <c r="W73" s="907">
        <v>80455</v>
      </c>
      <c r="X73" s="907">
        <v>266459</v>
      </c>
      <c r="Y73" s="905">
        <v>3.31</v>
      </c>
      <c r="Z73" s="907">
        <v>72219</v>
      </c>
      <c r="AA73" s="907">
        <v>275476</v>
      </c>
      <c r="AB73" s="905">
        <v>3.81</v>
      </c>
      <c r="AC73" s="907">
        <v>79761</v>
      </c>
      <c r="AD73" s="907">
        <v>238312</v>
      </c>
      <c r="AE73" s="905">
        <v>2.99</v>
      </c>
      <c r="AF73" s="902">
        <v>0</v>
      </c>
      <c r="AG73" s="902">
        <v>0</v>
      </c>
      <c r="AH73" s="902" t="s">
        <v>1483</v>
      </c>
      <c r="AI73" s="904">
        <v>1412.3</v>
      </c>
      <c r="AJ73" s="904">
        <v>4709.3</v>
      </c>
      <c r="AK73" s="905">
        <v>3.33</v>
      </c>
      <c r="AL73" s="907">
        <v>216568</v>
      </c>
      <c r="AM73" s="907">
        <v>667130</v>
      </c>
      <c r="AN73" s="905">
        <v>3.08</v>
      </c>
      <c r="AP73" s="903">
        <v>2008</v>
      </c>
      <c r="AQ73" s="903" t="s">
        <v>1480</v>
      </c>
      <c r="AR73" s="907">
        <v>160633</v>
      </c>
      <c r="AS73" s="907">
        <v>612731</v>
      </c>
      <c r="AT73" s="905">
        <v>3.81</v>
      </c>
      <c r="AV73" s="903">
        <v>2008</v>
      </c>
      <c r="AW73" s="903" t="s">
        <v>1480</v>
      </c>
      <c r="AX73" s="907">
        <v>169936</v>
      </c>
      <c r="AY73" s="907">
        <v>506989</v>
      </c>
      <c r="AZ73" s="905">
        <v>2.98</v>
      </c>
      <c r="BB73" s="900">
        <v>2008</v>
      </c>
      <c r="BC73" s="900" t="s">
        <v>1480</v>
      </c>
      <c r="BD73" s="906">
        <v>127187</v>
      </c>
      <c r="BE73" s="906">
        <v>353182</v>
      </c>
      <c r="BF73" s="902">
        <v>2.78</v>
      </c>
    </row>
    <row r="74" spans="2:58" ht="10.9" thickBot="1">
      <c r="B74" s="900">
        <v>2008</v>
      </c>
      <c r="C74" s="263">
        <f t="shared" si="1"/>
        <v>39782</v>
      </c>
      <c r="D74" s="909">
        <v>909.1</v>
      </c>
      <c r="E74" s="909">
        <v>2276.1999999999998</v>
      </c>
      <c r="F74" s="914">
        <v>2.5</v>
      </c>
      <c r="G74" s="906">
        <v>125383</v>
      </c>
      <c r="H74" s="906">
        <v>331944</v>
      </c>
      <c r="I74" s="902">
        <v>2.65</v>
      </c>
      <c r="J74" s="906">
        <v>84588</v>
      </c>
      <c r="K74" s="906">
        <v>272076</v>
      </c>
      <c r="L74" s="902">
        <v>3.22</v>
      </c>
      <c r="M74" s="906">
        <v>80293</v>
      </c>
      <c r="N74" s="906">
        <v>202151</v>
      </c>
      <c r="O74" s="902">
        <v>2.52</v>
      </c>
      <c r="P74" s="907">
        <v>118697</v>
      </c>
      <c r="Q74" s="907">
        <v>277103</v>
      </c>
      <c r="R74" s="905">
        <v>2.33</v>
      </c>
      <c r="T74" s="902">
        <v>411.1</v>
      </c>
      <c r="U74" s="901">
        <v>1088.5</v>
      </c>
      <c r="V74" s="902">
        <v>2.65</v>
      </c>
      <c r="W74" s="906">
        <v>78646</v>
      </c>
      <c r="X74" s="906">
        <v>178570</v>
      </c>
      <c r="Y74" s="902">
        <v>2.27</v>
      </c>
      <c r="Z74" s="906">
        <v>65209</v>
      </c>
      <c r="AA74" s="906">
        <v>209745</v>
      </c>
      <c r="AB74" s="902">
        <v>3.22</v>
      </c>
      <c r="AC74" s="906">
        <v>72515</v>
      </c>
      <c r="AD74" s="906">
        <v>177014</v>
      </c>
      <c r="AE74" s="902">
        <v>2.44</v>
      </c>
      <c r="AF74" s="905">
        <v>0</v>
      </c>
      <c r="AG74" s="905">
        <v>0</v>
      </c>
      <c r="AH74" s="905" t="s">
        <v>1483</v>
      </c>
      <c r="AI74" s="901">
        <v>1320.2</v>
      </c>
      <c r="AJ74" s="901">
        <v>3364.7</v>
      </c>
      <c r="AK74" s="902">
        <v>2.5499999999999998</v>
      </c>
      <c r="AL74" s="906">
        <v>204029</v>
      </c>
      <c r="AM74" s="906">
        <v>510515</v>
      </c>
      <c r="AN74" s="902">
        <v>2.5</v>
      </c>
      <c r="AP74" s="900">
        <v>2008</v>
      </c>
      <c r="AQ74" s="900" t="s">
        <v>1481</v>
      </c>
      <c r="AR74" s="906">
        <v>149797</v>
      </c>
      <c r="AS74" s="906">
        <v>481820</v>
      </c>
      <c r="AT74" s="902">
        <v>3.22</v>
      </c>
      <c r="AV74" s="900">
        <v>2008</v>
      </c>
      <c r="AW74" s="900" t="s">
        <v>1481</v>
      </c>
      <c r="AX74" s="906">
        <v>152809</v>
      </c>
      <c r="AY74" s="906">
        <v>379165</v>
      </c>
      <c r="AZ74" s="902">
        <v>2.48</v>
      </c>
      <c r="BB74" s="903">
        <v>2008</v>
      </c>
      <c r="BC74" s="903" t="s">
        <v>1481</v>
      </c>
      <c r="BD74" s="907">
        <v>118697</v>
      </c>
      <c r="BE74" s="907">
        <v>277103</v>
      </c>
      <c r="BF74" s="905">
        <v>2.33</v>
      </c>
    </row>
    <row r="75" spans="2:58" ht="11.2" customHeight="1" thickBot="1">
      <c r="B75" s="903">
        <v>2008</v>
      </c>
      <c r="C75" s="263">
        <f t="shared" si="1"/>
        <v>39813</v>
      </c>
      <c r="D75" s="909">
        <v>975</v>
      </c>
      <c r="E75" s="909">
        <v>1930.6</v>
      </c>
      <c r="F75" s="914">
        <v>1.98</v>
      </c>
      <c r="G75" s="907">
        <v>133668</v>
      </c>
      <c r="H75" s="907">
        <v>288120</v>
      </c>
      <c r="I75" s="905">
        <v>2.16</v>
      </c>
      <c r="J75" s="907">
        <v>88224</v>
      </c>
      <c r="K75" s="907">
        <v>236752</v>
      </c>
      <c r="L75" s="905">
        <v>2.68</v>
      </c>
      <c r="M75" s="907">
        <v>86822</v>
      </c>
      <c r="N75" s="907">
        <v>163988</v>
      </c>
      <c r="O75" s="905">
        <v>1.89</v>
      </c>
      <c r="P75" s="906">
        <v>121705</v>
      </c>
      <c r="Q75" s="906">
        <v>246941</v>
      </c>
      <c r="R75" s="902">
        <v>2.0299999999999998</v>
      </c>
      <c r="T75" s="905">
        <v>427.2</v>
      </c>
      <c r="U75" s="905">
        <v>926.3</v>
      </c>
      <c r="V75" s="905">
        <v>2.17</v>
      </c>
      <c r="W75" s="907">
        <v>81745</v>
      </c>
      <c r="X75" s="907">
        <v>169901</v>
      </c>
      <c r="Y75" s="905">
        <v>2.08</v>
      </c>
      <c r="Z75" s="907">
        <v>71924</v>
      </c>
      <c r="AA75" s="907">
        <v>193011</v>
      </c>
      <c r="AB75" s="905">
        <v>2.68</v>
      </c>
      <c r="AC75" s="907">
        <v>76971</v>
      </c>
      <c r="AD75" s="907">
        <v>142392</v>
      </c>
      <c r="AE75" s="905">
        <v>1.85</v>
      </c>
      <c r="AF75" s="902">
        <v>0</v>
      </c>
      <c r="AG75" s="902">
        <v>0</v>
      </c>
      <c r="AH75" s="902" t="s">
        <v>1483</v>
      </c>
      <c r="AI75" s="904">
        <v>1402.2</v>
      </c>
      <c r="AJ75" s="904">
        <v>2856.9</v>
      </c>
      <c r="AK75" s="905">
        <v>2.04</v>
      </c>
      <c r="AL75" s="907">
        <v>215413</v>
      </c>
      <c r="AM75" s="907">
        <v>458021</v>
      </c>
      <c r="AN75" s="905">
        <v>2.13</v>
      </c>
      <c r="AP75" s="903">
        <v>2008</v>
      </c>
      <c r="AQ75" s="903" t="s">
        <v>1482</v>
      </c>
      <c r="AR75" s="907">
        <v>160148</v>
      </c>
      <c r="AS75" s="907">
        <v>429763</v>
      </c>
      <c r="AT75" s="905">
        <v>2.68</v>
      </c>
      <c r="AV75" s="903">
        <v>2008</v>
      </c>
      <c r="AW75" s="903" t="s">
        <v>1482</v>
      </c>
      <c r="AX75" s="907">
        <v>163794</v>
      </c>
      <c r="AY75" s="907">
        <v>306380</v>
      </c>
      <c r="AZ75" s="905">
        <v>1.87</v>
      </c>
      <c r="BB75" s="900">
        <v>2008</v>
      </c>
      <c r="BC75" s="900" t="s">
        <v>1482</v>
      </c>
      <c r="BD75" s="906">
        <v>121705</v>
      </c>
      <c r="BE75" s="906">
        <v>246941</v>
      </c>
      <c r="BF75" s="902">
        <v>2.0299999999999998</v>
      </c>
    </row>
    <row r="76" spans="2:58" ht="10.9" thickBot="1">
      <c r="B76" s="900">
        <v>2009</v>
      </c>
      <c r="C76" s="263">
        <f t="shared" si="1"/>
        <v>39844</v>
      </c>
      <c r="D76" s="909">
        <v>922.1</v>
      </c>
      <c r="E76" s="909">
        <v>1620.4</v>
      </c>
      <c r="F76" s="914">
        <v>1.76</v>
      </c>
      <c r="G76" s="906">
        <v>130723</v>
      </c>
      <c r="H76" s="906">
        <v>256809</v>
      </c>
      <c r="I76" s="902">
        <v>1.96</v>
      </c>
      <c r="J76" s="906">
        <v>85838</v>
      </c>
      <c r="K76" s="906">
        <v>243919</v>
      </c>
      <c r="L76" s="902">
        <v>2.84</v>
      </c>
      <c r="M76" s="906">
        <v>82127</v>
      </c>
      <c r="N76" s="906">
        <v>141769</v>
      </c>
      <c r="O76" s="902">
        <v>1.73</v>
      </c>
      <c r="P76" s="907">
        <v>117231</v>
      </c>
      <c r="Q76" s="907">
        <v>236984</v>
      </c>
      <c r="R76" s="905">
        <v>2.02</v>
      </c>
      <c r="T76" s="902">
        <v>416.7</v>
      </c>
      <c r="U76" s="902">
        <v>713.6</v>
      </c>
      <c r="V76" s="902">
        <v>1.71</v>
      </c>
      <c r="W76" s="906">
        <v>81484</v>
      </c>
      <c r="X76" s="906">
        <v>155352</v>
      </c>
      <c r="Y76" s="902">
        <v>1.91</v>
      </c>
      <c r="Z76" s="906">
        <v>66396</v>
      </c>
      <c r="AA76" s="906">
        <v>188673</v>
      </c>
      <c r="AB76" s="902">
        <v>2.84</v>
      </c>
      <c r="AC76" s="906">
        <v>75957</v>
      </c>
      <c r="AD76" s="906">
        <v>120572</v>
      </c>
      <c r="AE76" s="902">
        <v>1.59</v>
      </c>
      <c r="AF76" s="905">
        <v>0</v>
      </c>
      <c r="AG76" s="905">
        <v>0</v>
      </c>
      <c r="AH76" s="905" t="s">
        <v>1483</v>
      </c>
      <c r="AI76" s="901">
        <v>1338.9</v>
      </c>
      <c r="AJ76" s="901">
        <v>2334</v>
      </c>
      <c r="AK76" s="902">
        <v>1.74</v>
      </c>
      <c r="AL76" s="906">
        <v>212207</v>
      </c>
      <c r="AM76" s="906">
        <v>412161</v>
      </c>
      <c r="AN76" s="902">
        <v>1.94</v>
      </c>
      <c r="AP76" s="900">
        <v>2009</v>
      </c>
      <c r="AQ76" s="900" t="s">
        <v>1472</v>
      </c>
      <c r="AR76" s="906">
        <v>152234</v>
      </c>
      <c r="AS76" s="906">
        <v>432592</v>
      </c>
      <c r="AT76" s="902">
        <v>2.84</v>
      </c>
      <c r="AV76" s="900">
        <v>2009</v>
      </c>
      <c r="AW76" s="900" t="s">
        <v>1472</v>
      </c>
      <c r="AX76" s="906">
        <v>158084</v>
      </c>
      <c r="AY76" s="906">
        <v>262340</v>
      </c>
      <c r="AZ76" s="902">
        <v>1.66</v>
      </c>
      <c r="BB76" s="903">
        <v>2009</v>
      </c>
      <c r="BC76" s="903" t="s">
        <v>1472</v>
      </c>
      <c r="BD76" s="907">
        <v>117231</v>
      </c>
      <c r="BE76" s="907">
        <v>236984</v>
      </c>
      <c r="BF76" s="905">
        <v>2.02</v>
      </c>
    </row>
    <row r="77" spans="2:58" ht="10.9" thickBot="1">
      <c r="B77" s="903">
        <v>2009</v>
      </c>
      <c r="C77" s="263">
        <f t="shared" si="1"/>
        <v>39872</v>
      </c>
      <c r="D77" s="909">
        <v>849.6</v>
      </c>
      <c r="E77" s="909">
        <v>1567.3</v>
      </c>
      <c r="F77" s="914">
        <v>1.84</v>
      </c>
      <c r="G77" s="907">
        <v>118453</v>
      </c>
      <c r="H77" s="907">
        <v>256818</v>
      </c>
      <c r="I77" s="905">
        <v>2.17</v>
      </c>
      <c r="J77" s="907">
        <v>77154</v>
      </c>
      <c r="K77" s="907">
        <v>238455</v>
      </c>
      <c r="L77" s="905">
        <v>3.09</v>
      </c>
      <c r="M77" s="907">
        <v>77381</v>
      </c>
      <c r="N77" s="907">
        <v>121709</v>
      </c>
      <c r="O77" s="905">
        <v>1.57</v>
      </c>
      <c r="P77" s="906">
        <v>106750</v>
      </c>
      <c r="Q77" s="906">
        <v>213411</v>
      </c>
      <c r="R77" s="902">
        <v>2</v>
      </c>
      <c r="T77" s="905">
        <v>369.6</v>
      </c>
      <c r="U77" s="905">
        <v>677</v>
      </c>
      <c r="V77" s="905">
        <v>1.83</v>
      </c>
      <c r="W77" s="907">
        <v>71123</v>
      </c>
      <c r="X77" s="907">
        <v>102965</v>
      </c>
      <c r="Y77" s="905">
        <v>1.45</v>
      </c>
      <c r="Z77" s="907">
        <v>57960</v>
      </c>
      <c r="AA77" s="907">
        <v>179132</v>
      </c>
      <c r="AB77" s="905">
        <v>3.09</v>
      </c>
      <c r="AC77" s="907">
        <v>64901</v>
      </c>
      <c r="AD77" s="907">
        <v>96698</v>
      </c>
      <c r="AE77" s="905">
        <v>1.49</v>
      </c>
      <c r="AF77" s="902">
        <v>0</v>
      </c>
      <c r="AG77" s="902">
        <v>0</v>
      </c>
      <c r="AH77" s="902" t="s">
        <v>1483</v>
      </c>
      <c r="AI77" s="904">
        <v>1219.2</v>
      </c>
      <c r="AJ77" s="904">
        <v>2244.3000000000002</v>
      </c>
      <c r="AK77" s="905">
        <v>1.84</v>
      </c>
      <c r="AL77" s="907">
        <v>189576</v>
      </c>
      <c r="AM77" s="907">
        <v>359783</v>
      </c>
      <c r="AN77" s="905">
        <v>1.9</v>
      </c>
      <c r="AP77" s="903">
        <v>2009</v>
      </c>
      <c r="AQ77" s="903" t="s">
        <v>1473</v>
      </c>
      <c r="AR77" s="907">
        <v>135114</v>
      </c>
      <c r="AS77" s="907">
        <v>417587</v>
      </c>
      <c r="AT77" s="905">
        <v>3.09</v>
      </c>
      <c r="AV77" s="903">
        <v>2009</v>
      </c>
      <c r="AW77" s="903" t="s">
        <v>1473</v>
      </c>
      <c r="AX77" s="907">
        <v>142283</v>
      </c>
      <c r="AY77" s="907">
        <v>218407</v>
      </c>
      <c r="AZ77" s="905">
        <v>1.54</v>
      </c>
      <c r="BB77" s="900">
        <v>2009</v>
      </c>
      <c r="BC77" s="900" t="s">
        <v>1473</v>
      </c>
      <c r="BD77" s="906">
        <v>106750</v>
      </c>
      <c r="BE77" s="906">
        <v>213411</v>
      </c>
      <c r="BF77" s="902">
        <v>2</v>
      </c>
    </row>
    <row r="78" spans="2:58" ht="10.9" thickBot="1">
      <c r="B78" s="900">
        <v>2009</v>
      </c>
      <c r="C78" s="263">
        <f t="shared" si="1"/>
        <v>39903</v>
      </c>
      <c r="D78" s="909">
        <v>966.3</v>
      </c>
      <c r="E78" s="909">
        <v>1587</v>
      </c>
      <c r="F78" s="914">
        <v>1.64</v>
      </c>
      <c r="G78" s="906">
        <v>133762</v>
      </c>
      <c r="H78" s="906">
        <v>260308</v>
      </c>
      <c r="I78" s="902">
        <v>1.95</v>
      </c>
      <c r="J78" s="906">
        <v>87512</v>
      </c>
      <c r="K78" s="906">
        <v>242918</v>
      </c>
      <c r="L78" s="902">
        <v>2.78</v>
      </c>
      <c r="M78" s="906">
        <v>89903</v>
      </c>
      <c r="N78" s="906">
        <v>127917</v>
      </c>
      <c r="O78" s="902">
        <v>1.42</v>
      </c>
      <c r="P78" s="907">
        <v>125228</v>
      </c>
      <c r="Q78" s="907">
        <v>212457</v>
      </c>
      <c r="R78" s="905">
        <v>1.7</v>
      </c>
      <c r="T78" s="902">
        <v>416.5</v>
      </c>
      <c r="U78" s="902">
        <v>686.5</v>
      </c>
      <c r="V78" s="902">
        <v>1.65</v>
      </c>
      <c r="W78" s="906">
        <v>80623</v>
      </c>
      <c r="X78" s="906">
        <v>109662</v>
      </c>
      <c r="Y78" s="902">
        <v>1.36</v>
      </c>
      <c r="Z78" s="906">
        <v>66343</v>
      </c>
      <c r="AA78" s="906">
        <v>184155</v>
      </c>
      <c r="AB78" s="902">
        <v>2.78</v>
      </c>
      <c r="AC78" s="906">
        <v>75838</v>
      </c>
      <c r="AD78" s="906">
        <v>102216</v>
      </c>
      <c r="AE78" s="902">
        <v>1.35</v>
      </c>
      <c r="AF78" s="905">
        <v>0</v>
      </c>
      <c r="AG78" s="905">
        <v>0</v>
      </c>
      <c r="AH78" s="905" t="s">
        <v>1483</v>
      </c>
      <c r="AI78" s="901">
        <v>1382.8</v>
      </c>
      <c r="AJ78" s="901">
        <v>2273.5</v>
      </c>
      <c r="AK78" s="902">
        <v>1.64</v>
      </c>
      <c r="AL78" s="906">
        <v>214385</v>
      </c>
      <c r="AM78" s="906">
        <v>369970</v>
      </c>
      <c r="AN78" s="902">
        <v>1.73</v>
      </c>
      <c r="AP78" s="900">
        <v>2009</v>
      </c>
      <c r="AQ78" s="900" t="s">
        <v>1474</v>
      </c>
      <c r="AR78" s="906">
        <v>153855</v>
      </c>
      <c r="AS78" s="906">
        <v>427073</v>
      </c>
      <c r="AT78" s="902">
        <v>2.78</v>
      </c>
      <c r="AV78" s="900">
        <v>2009</v>
      </c>
      <c r="AW78" s="900" t="s">
        <v>1474</v>
      </c>
      <c r="AX78" s="906">
        <v>165741</v>
      </c>
      <c r="AY78" s="906">
        <v>230133</v>
      </c>
      <c r="AZ78" s="902">
        <v>1.39</v>
      </c>
      <c r="BB78" s="903">
        <v>2009</v>
      </c>
      <c r="BC78" s="903" t="s">
        <v>1474</v>
      </c>
      <c r="BD78" s="907">
        <v>125228</v>
      </c>
      <c r="BE78" s="907">
        <v>212457</v>
      </c>
      <c r="BF78" s="905">
        <v>1.7</v>
      </c>
    </row>
    <row r="79" spans="2:58" ht="10.9" thickBot="1">
      <c r="B79" s="903">
        <v>2009</v>
      </c>
      <c r="C79" s="263">
        <f t="shared" si="1"/>
        <v>39933</v>
      </c>
      <c r="D79" s="909">
        <v>935.7</v>
      </c>
      <c r="E79" s="909">
        <v>1629.3</v>
      </c>
      <c r="F79" s="914">
        <v>1.74</v>
      </c>
      <c r="G79" s="907">
        <v>129672</v>
      </c>
      <c r="H79" s="907">
        <v>254379</v>
      </c>
      <c r="I79" s="905">
        <v>1.96</v>
      </c>
      <c r="J79" s="907">
        <v>83910</v>
      </c>
      <c r="K79" s="907">
        <v>219004</v>
      </c>
      <c r="L79" s="905">
        <v>2.61</v>
      </c>
      <c r="M79" s="907">
        <v>83916</v>
      </c>
      <c r="N79" s="907">
        <v>128764</v>
      </c>
      <c r="O79" s="905">
        <v>1.53</v>
      </c>
      <c r="P79" s="906">
        <v>122815</v>
      </c>
      <c r="Q79" s="906">
        <v>217218</v>
      </c>
      <c r="R79" s="902">
        <v>1.77</v>
      </c>
      <c r="T79" s="905">
        <v>417.3</v>
      </c>
      <c r="U79" s="905">
        <v>727.4</v>
      </c>
      <c r="V79" s="905">
        <v>1.74</v>
      </c>
      <c r="W79" s="907">
        <v>79017</v>
      </c>
      <c r="X79" s="907">
        <v>119080</v>
      </c>
      <c r="Y79" s="905">
        <v>1.51</v>
      </c>
      <c r="Z79" s="907">
        <v>65096</v>
      </c>
      <c r="AA79" s="907">
        <v>169901</v>
      </c>
      <c r="AB79" s="905">
        <v>2.61</v>
      </c>
      <c r="AC79" s="907">
        <v>77714</v>
      </c>
      <c r="AD79" s="907">
        <v>109587</v>
      </c>
      <c r="AE79" s="905">
        <v>1.41</v>
      </c>
      <c r="AF79" s="902">
        <v>0</v>
      </c>
      <c r="AG79" s="902">
        <v>0</v>
      </c>
      <c r="AH79" s="902" t="s">
        <v>1483</v>
      </c>
      <c r="AI79" s="904">
        <v>1353</v>
      </c>
      <c r="AJ79" s="904">
        <v>2356.6999999999998</v>
      </c>
      <c r="AK79" s="905">
        <v>1.74</v>
      </c>
      <c r="AL79" s="907">
        <v>208689</v>
      </c>
      <c r="AM79" s="907">
        <v>373458</v>
      </c>
      <c r="AN79" s="905">
        <v>1.79</v>
      </c>
      <c r="AP79" s="903">
        <v>2009</v>
      </c>
      <c r="AQ79" s="903" t="s">
        <v>1475</v>
      </c>
      <c r="AR79" s="907">
        <v>149006</v>
      </c>
      <c r="AS79" s="907">
        <v>388905</v>
      </c>
      <c r="AT79" s="905">
        <v>2.61</v>
      </c>
      <c r="AV79" s="903">
        <v>2009</v>
      </c>
      <c r="AW79" s="903" t="s">
        <v>1475</v>
      </c>
      <c r="AX79" s="907">
        <v>161629</v>
      </c>
      <c r="AY79" s="907">
        <v>238351</v>
      </c>
      <c r="AZ79" s="905">
        <v>1.47</v>
      </c>
      <c r="BB79" s="900">
        <v>2009</v>
      </c>
      <c r="BC79" s="900" t="s">
        <v>1475</v>
      </c>
      <c r="BD79" s="906">
        <v>122815</v>
      </c>
      <c r="BE79" s="906">
        <v>217218</v>
      </c>
      <c r="BF79" s="902">
        <v>1.77</v>
      </c>
    </row>
    <row r="80" spans="2:58" ht="10.9" thickBot="1">
      <c r="B80" s="900">
        <v>2009</v>
      </c>
      <c r="C80" s="263">
        <f t="shared" si="1"/>
        <v>39964</v>
      </c>
      <c r="D80" s="909">
        <v>949.3</v>
      </c>
      <c r="E80" s="909">
        <v>1648.6</v>
      </c>
      <c r="F80" s="914">
        <v>1.74</v>
      </c>
      <c r="G80" s="906">
        <v>132368</v>
      </c>
      <c r="H80" s="906">
        <v>254140</v>
      </c>
      <c r="I80" s="902">
        <v>1.92</v>
      </c>
      <c r="J80" s="906">
        <v>84397</v>
      </c>
      <c r="K80" s="906">
        <v>212186</v>
      </c>
      <c r="L80" s="902">
        <v>2.5099999999999998</v>
      </c>
      <c r="M80" s="906">
        <v>85614</v>
      </c>
      <c r="N80" s="906">
        <v>133046</v>
      </c>
      <c r="O80" s="902">
        <v>1.55</v>
      </c>
      <c r="P80" s="907">
        <v>124694</v>
      </c>
      <c r="Q80" s="907">
        <v>223793</v>
      </c>
      <c r="R80" s="905">
        <v>1.79</v>
      </c>
      <c r="T80" s="902">
        <v>428.2</v>
      </c>
      <c r="U80" s="902">
        <v>734</v>
      </c>
      <c r="V80" s="902">
        <v>1.71</v>
      </c>
      <c r="W80" s="906">
        <v>82974</v>
      </c>
      <c r="X80" s="906">
        <v>119629</v>
      </c>
      <c r="Y80" s="902">
        <v>1.44</v>
      </c>
      <c r="Z80" s="906">
        <v>68595</v>
      </c>
      <c r="AA80" s="906">
        <v>172459</v>
      </c>
      <c r="AB80" s="902">
        <v>2.5099999999999998</v>
      </c>
      <c r="AC80" s="906">
        <v>79880</v>
      </c>
      <c r="AD80" s="906">
        <v>113680</v>
      </c>
      <c r="AE80" s="902">
        <v>1.42</v>
      </c>
      <c r="AF80" s="905">
        <v>0</v>
      </c>
      <c r="AG80" s="905">
        <v>0</v>
      </c>
      <c r="AH80" s="905" t="s">
        <v>1483</v>
      </c>
      <c r="AI80" s="901">
        <v>1377.4</v>
      </c>
      <c r="AJ80" s="901">
        <v>2382.6</v>
      </c>
      <c r="AK80" s="902">
        <v>1.73</v>
      </c>
      <c r="AL80" s="906">
        <v>215342</v>
      </c>
      <c r="AM80" s="906">
        <v>373769</v>
      </c>
      <c r="AN80" s="902">
        <v>1.74</v>
      </c>
      <c r="AP80" s="900">
        <v>2009</v>
      </c>
      <c r="AQ80" s="900" t="s">
        <v>1465</v>
      </c>
      <c r="AR80" s="906">
        <v>152992</v>
      </c>
      <c r="AS80" s="906">
        <v>384644</v>
      </c>
      <c r="AT80" s="902">
        <v>2.5099999999999998</v>
      </c>
      <c r="AV80" s="900">
        <v>2009</v>
      </c>
      <c r="AW80" s="900" t="s">
        <v>1465</v>
      </c>
      <c r="AX80" s="906">
        <v>165494</v>
      </c>
      <c r="AY80" s="906">
        <v>246726</v>
      </c>
      <c r="AZ80" s="902">
        <v>1.49</v>
      </c>
      <c r="BB80" s="903">
        <v>2009</v>
      </c>
      <c r="BC80" s="903" t="s">
        <v>1465</v>
      </c>
      <c r="BD80" s="907">
        <v>124694</v>
      </c>
      <c r="BE80" s="907">
        <v>223793</v>
      </c>
      <c r="BF80" s="905">
        <v>1.79</v>
      </c>
    </row>
    <row r="81" spans="2:58" ht="10.9" thickBot="1">
      <c r="B81" s="903">
        <v>2009</v>
      </c>
      <c r="C81" s="263">
        <f t="shared" si="1"/>
        <v>39994</v>
      </c>
      <c r="D81" s="909">
        <v>973.1</v>
      </c>
      <c r="E81" s="909">
        <v>1853.4</v>
      </c>
      <c r="F81" s="914">
        <v>1.9</v>
      </c>
      <c r="G81" s="907">
        <v>130895</v>
      </c>
      <c r="H81" s="907">
        <v>273965</v>
      </c>
      <c r="I81" s="905">
        <v>2.09</v>
      </c>
      <c r="J81" s="907">
        <v>102267</v>
      </c>
      <c r="K81" s="907">
        <v>205628</v>
      </c>
      <c r="L81" s="905">
        <v>2.0099999999999998</v>
      </c>
      <c r="M81" s="907">
        <v>91127</v>
      </c>
      <c r="N81" s="907">
        <v>160969</v>
      </c>
      <c r="O81" s="905">
        <v>1.77</v>
      </c>
      <c r="P81" s="906">
        <v>123827</v>
      </c>
      <c r="Q81" s="906">
        <v>249072</v>
      </c>
      <c r="R81" s="902">
        <v>2.0099999999999998</v>
      </c>
      <c r="T81" s="905">
        <v>470</v>
      </c>
      <c r="U81" s="905">
        <v>855.6</v>
      </c>
      <c r="V81" s="905">
        <v>1.82</v>
      </c>
      <c r="W81" s="907">
        <v>82116</v>
      </c>
      <c r="X81" s="907">
        <v>141348</v>
      </c>
      <c r="Y81" s="905">
        <v>1.72</v>
      </c>
      <c r="Z81" s="907">
        <v>95316</v>
      </c>
      <c r="AA81" s="907">
        <v>191652</v>
      </c>
      <c r="AB81" s="905">
        <v>2.0099999999999998</v>
      </c>
      <c r="AC81" s="907">
        <v>79600</v>
      </c>
      <c r="AD81" s="907">
        <v>134659</v>
      </c>
      <c r="AE81" s="905">
        <v>1.69</v>
      </c>
      <c r="AF81" s="902">
        <v>0</v>
      </c>
      <c r="AG81" s="902">
        <v>0</v>
      </c>
      <c r="AH81" s="902" t="s">
        <v>1483</v>
      </c>
      <c r="AI81" s="904">
        <v>1443.1</v>
      </c>
      <c r="AJ81" s="904">
        <v>2709</v>
      </c>
      <c r="AK81" s="905">
        <v>1.88</v>
      </c>
      <c r="AL81" s="907">
        <v>213012</v>
      </c>
      <c r="AM81" s="907">
        <v>415313</v>
      </c>
      <c r="AN81" s="905">
        <v>1.95</v>
      </c>
      <c r="AP81" s="903">
        <v>2009</v>
      </c>
      <c r="AQ81" s="903" t="s">
        <v>1476</v>
      </c>
      <c r="AR81" s="907">
        <v>197583</v>
      </c>
      <c r="AS81" s="907">
        <v>397280</v>
      </c>
      <c r="AT81" s="905">
        <v>2.0099999999999998</v>
      </c>
      <c r="AV81" s="903">
        <v>2009</v>
      </c>
      <c r="AW81" s="903" t="s">
        <v>1476</v>
      </c>
      <c r="AX81" s="907">
        <v>170727</v>
      </c>
      <c r="AY81" s="907">
        <v>295628</v>
      </c>
      <c r="AZ81" s="905">
        <v>1.73</v>
      </c>
      <c r="BB81" s="900">
        <v>2009</v>
      </c>
      <c r="BC81" s="900" t="s">
        <v>1476</v>
      </c>
      <c r="BD81" s="906">
        <v>123827</v>
      </c>
      <c r="BE81" s="906">
        <v>249072</v>
      </c>
      <c r="BF81" s="902">
        <v>2.0099999999999998</v>
      </c>
    </row>
    <row r="82" spans="2:58" ht="10.9" thickBot="1">
      <c r="B82" s="900">
        <v>2009</v>
      </c>
      <c r="C82" s="263">
        <f t="shared" si="1"/>
        <v>40025</v>
      </c>
      <c r="D82" s="909">
        <v>1026.3</v>
      </c>
      <c r="E82" s="909">
        <v>1961.2</v>
      </c>
      <c r="F82" s="914">
        <v>1.91</v>
      </c>
      <c r="G82" s="906">
        <v>136209</v>
      </c>
      <c r="H82" s="906">
        <v>276484</v>
      </c>
      <c r="I82" s="902">
        <v>2.0299999999999998</v>
      </c>
      <c r="J82" s="906">
        <v>113947</v>
      </c>
      <c r="K82" s="906">
        <v>225452</v>
      </c>
      <c r="L82" s="902">
        <v>1.98</v>
      </c>
      <c r="M82" s="906">
        <v>94917</v>
      </c>
      <c r="N82" s="906">
        <v>175000</v>
      </c>
      <c r="O82" s="902">
        <v>1.84</v>
      </c>
      <c r="P82" s="907">
        <v>127823</v>
      </c>
      <c r="Q82" s="907">
        <v>274630</v>
      </c>
      <c r="R82" s="905">
        <v>2.15</v>
      </c>
      <c r="T82" s="902">
        <v>494.7</v>
      </c>
      <c r="U82" s="902">
        <v>930.9</v>
      </c>
      <c r="V82" s="902">
        <v>1.88</v>
      </c>
      <c r="W82" s="906">
        <v>85185</v>
      </c>
      <c r="X82" s="906">
        <v>155897</v>
      </c>
      <c r="Y82" s="902">
        <v>1.83</v>
      </c>
      <c r="Z82" s="906">
        <v>107299</v>
      </c>
      <c r="AA82" s="906">
        <v>212297</v>
      </c>
      <c r="AB82" s="902">
        <v>1.98</v>
      </c>
      <c r="AC82" s="906">
        <v>82382</v>
      </c>
      <c r="AD82" s="906">
        <v>150093</v>
      </c>
      <c r="AE82" s="902">
        <v>1.82</v>
      </c>
      <c r="AF82" s="905">
        <v>0</v>
      </c>
      <c r="AG82" s="905">
        <v>0</v>
      </c>
      <c r="AH82" s="905" t="s">
        <v>1483</v>
      </c>
      <c r="AI82" s="901">
        <v>1521</v>
      </c>
      <c r="AJ82" s="901">
        <v>2892.1</v>
      </c>
      <c r="AK82" s="902">
        <v>1.9</v>
      </c>
      <c r="AL82" s="906">
        <v>221394</v>
      </c>
      <c r="AM82" s="906">
        <v>432382</v>
      </c>
      <c r="AN82" s="902">
        <v>1.95</v>
      </c>
      <c r="AP82" s="900">
        <v>2009</v>
      </c>
      <c r="AQ82" s="900" t="s">
        <v>1477</v>
      </c>
      <c r="AR82" s="906">
        <v>221246</v>
      </c>
      <c r="AS82" s="906">
        <v>437748</v>
      </c>
      <c r="AT82" s="902">
        <v>1.98</v>
      </c>
      <c r="AV82" s="900">
        <v>2009</v>
      </c>
      <c r="AW82" s="900" t="s">
        <v>1477</v>
      </c>
      <c r="AX82" s="906">
        <v>177299</v>
      </c>
      <c r="AY82" s="906">
        <v>325093</v>
      </c>
      <c r="AZ82" s="902">
        <v>1.83</v>
      </c>
      <c r="BB82" s="903">
        <v>2009</v>
      </c>
      <c r="BC82" s="903" t="s">
        <v>1477</v>
      </c>
      <c r="BD82" s="907">
        <v>127823</v>
      </c>
      <c r="BE82" s="907">
        <v>274630</v>
      </c>
      <c r="BF82" s="905">
        <v>2.15</v>
      </c>
    </row>
    <row r="83" spans="2:58" ht="10.9" thickBot="1">
      <c r="B83" s="903">
        <v>2009</v>
      </c>
      <c r="C83" s="263">
        <f t="shared" si="1"/>
        <v>40056</v>
      </c>
      <c r="D83" s="909">
        <v>969.5</v>
      </c>
      <c r="E83" s="909">
        <v>1965.4</v>
      </c>
      <c r="F83" s="914">
        <v>2.0299999999999998</v>
      </c>
      <c r="G83" s="907">
        <v>133903</v>
      </c>
      <c r="H83" s="907">
        <v>285484</v>
      </c>
      <c r="I83" s="905">
        <v>2.13</v>
      </c>
      <c r="J83" s="907">
        <v>92428</v>
      </c>
      <c r="K83" s="907">
        <v>213791</v>
      </c>
      <c r="L83" s="905">
        <v>2.31</v>
      </c>
      <c r="M83" s="907">
        <v>94452</v>
      </c>
      <c r="N83" s="907">
        <v>179270</v>
      </c>
      <c r="O83" s="905">
        <v>1.9</v>
      </c>
      <c r="P83" s="906">
        <v>122450</v>
      </c>
      <c r="Q83" s="906">
        <v>267047</v>
      </c>
      <c r="R83" s="902">
        <v>2.1800000000000002</v>
      </c>
      <c r="T83" s="905">
        <v>458.6</v>
      </c>
      <c r="U83" s="905">
        <v>914.9</v>
      </c>
      <c r="V83" s="905">
        <v>1.99</v>
      </c>
      <c r="W83" s="907">
        <v>83126</v>
      </c>
      <c r="X83" s="907">
        <v>155300</v>
      </c>
      <c r="Y83" s="905">
        <v>1.87</v>
      </c>
      <c r="Z83" s="907">
        <v>84584</v>
      </c>
      <c r="AA83" s="907">
        <v>195647</v>
      </c>
      <c r="AB83" s="905">
        <v>2.31</v>
      </c>
      <c r="AC83" s="907">
        <v>76819</v>
      </c>
      <c r="AD83" s="907">
        <v>153755</v>
      </c>
      <c r="AE83" s="905">
        <v>2</v>
      </c>
      <c r="AF83" s="902">
        <v>0</v>
      </c>
      <c r="AG83" s="902">
        <v>0</v>
      </c>
      <c r="AH83" s="902" t="s">
        <v>1483</v>
      </c>
      <c r="AI83" s="904">
        <v>1428.1</v>
      </c>
      <c r="AJ83" s="904">
        <v>2880.3</v>
      </c>
      <c r="AK83" s="905">
        <v>2.02</v>
      </c>
      <c r="AL83" s="907">
        <v>217029</v>
      </c>
      <c r="AM83" s="907">
        <v>440783</v>
      </c>
      <c r="AN83" s="905">
        <v>2.0299999999999998</v>
      </c>
      <c r="AP83" s="903">
        <v>2009</v>
      </c>
      <c r="AQ83" s="903" t="s">
        <v>1478</v>
      </c>
      <c r="AR83" s="907">
        <v>177012</v>
      </c>
      <c r="AS83" s="907">
        <v>409438</v>
      </c>
      <c r="AT83" s="905">
        <v>2.31</v>
      </c>
      <c r="AV83" s="903">
        <v>2009</v>
      </c>
      <c r="AW83" s="903" t="s">
        <v>1478</v>
      </c>
      <c r="AX83" s="907">
        <v>171271</v>
      </c>
      <c r="AY83" s="907">
        <v>333026</v>
      </c>
      <c r="AZ83" s="905">
        <v>1.94</v>
      </c>
      <c r="BB83" s="900">
        <v>2009</v>
      </c>
      <c r="BC83" s="900" t="s">
        <v>1478</v>
      </c>
      <c r="BD83" s="906">
        <v>122450</v>
      </c>
      <c r="BE83" s="906">
        <v>267047</v>
      </c>
      <c r="BF83" s="902">
        <v>2.1800000000000002</v>
      </c>
    </row>
    <row r="84" spans="2:58" ht="10.9" thickBot="1">
      <c r="B84" s="900">
        <v>2009</v>
      </c>
      <c r="C84" s="263">
        <f t="shared" si="1"/>
        <v>40086</v>
      </c>
      <c r="D84" s="909">
        <v>870.8</v>
      </c>
      <c r="E84" s="909">
        <v>1735.9</v>
      </c>
      <c r="F84" s="914">
        <v>1.99</v>
      </c>
      <c r="G84" s="906">
        <v>132049</v>
      </c>
      <c r="H84" s="906">
        <v>257118</v>
      </c>
      <c r="I84" s="902">
        <v>1.95</v>
      </c>
      <c r="J84" s="906">
        <v>80712</v>
      </c>
      <c r="K84" s="906">
        <v>195331</v>
      </c>
      <c r="L84" s="902">
        <v>2.42</v>
      </c>
      <c r="M84" s="906">
        <v>80001</v>
      </c>
      <c r="N84" s="906">
        <v>155314</v>
      </c>
      <c r="O84" s="902">
        <v>1.94</v>
      </c>
      <c r="P84" s="907">
        <v>112384</v>
      </c>
      <c r="Q84" s="907">
        <v>242428</v>
      </c>
      <c r="R84" s="905">
        <v>2.16</v>
      </c>
      <c r="T84" s="902">
        <v>410.3</v>
      </c>
      <c r="U84" s="902">
        <v>828.1</v>
      </c>
      <c r="V84" s="902">
        <v>2.02</v>
      </c>
      <c r="W84" s="906">
        <v>73548</v>
      </c>
      <c r="X84" s="906">
        <v>138549</v>
      </c>
      <c r="Y84" s="902">
        <v>1.88</v>
      </c>
      <c r="Z84" s="906">
        <v>71015</v>
      </c>
      <c r="AA84" s="906">
        <v>171865</v>
      </c>
      <c r="AB84" s="902">
        <v>2.42</v>
      </c>
      <c r="AC84" s="906">
        <v>76159</v>
      </c>
      <c r="AD84" s="906">
        <v>145213</v>
      </c>
      <c r="AE84" s="902">
        <v>1.91</v>
      </c>
      <c r="AF84" s="905">
        <v>0</v>
      </c>
      <c r="AG84" s="905">
        <v>0</v>
      </c>
      <c r="AH84" s="905" t="s">
        <v>1483</v>
      </c>
      <c r="AI84" s="901">
        <v>1281.0999999999999</v>
      </c>
      <c r="AJ84" s="901">
        <v>2564</v>
      </c>
      <c r="AK84" s="902">
        <v>2</v>
      </c>
      <c r="AL84" s="906">
        <v>205596</v>
      </c>
      <c r="AM84" s="906">
        <v>395666</v>
      </c>
      <c r="AN84" s="902">
        <v>1.92</v>
      </c>
      <c r="AP84" s="900">
        <v>2009</v>
      </c>
      <c r="AQ84" s="900" t="s">
        <v>1479</v>
      </c>
      <c r="AR84" s="906">
        <v>151727</v>
      </c>
      <c r="AS84" s="906">
        <v>367196</v>
      </c>
      <c r="AT84" s="902">
        <v>2.42</v>
      </c>
      <c r="AV84" s="900">
        <v>2009</v>
      </c>
      <c r="AW84" s="900" t="s">
        <v>1479</v>
      </c>
      <c r="AX84" s="906">
        <v>156161</v>
      </c>
      <c r="AY84" s="906">
        <v>300527</v>
      </c>
      <c r="AZ84" s="902">
        <v>1.92</v>
      </c>
      <c r="BB84" s="903">
        <v>2009</v>
      </c>
      <c r="BC84" s="903" t="s">
        <v>1479</v>
      </c>
      <c r="BD84" s="907">
        <v>112384</v>
      </c>
      <c r="BE84" s="907">
        <v>242428</v>
      </c>
      <c r="BF84" s="905">
        <v>2.16</v>
      </c>
    </row>
    <row r="85" spans="2:58" ht="10.9" thickBot="1">
      <c r="B85" s="903">
        <v>2009</v>
      </c>
      <c r="C85" s="263">
        <f t="shared" si="1"/>
        <v>40117</v>
      </c>
      <c r="D85" s="909">
        <v>913.4</v>
      </c>
      <c r="E85" s="909">
        <v>1821.3</v>
      </c>
      <c r="F85" s="914">
        <v>1.99</v>
      </c>
      <c r="G85" s="907">
        <v>129919</v>
      </c>
      <c r="H85" s="907">
        <v>267873</v>
      </c>
      <c r="I85" s="905">
        <v>2.06</v>
      </c>
      <c r="J85" s="907">
        <v>85460</v>
      </c>
      <c r="K85" s="907">
        <v>184144</v>
      </c>
      <c r="L85" s="905">
        <v>2.15</v>
      </c>
      <c r="M85" s="907">
        <v>84868</v>
      </c>
      <c r="N85" s="907">
        <v>166859</v>
      </c>
      <c r="O85" s="905">
        <v>1.97</v>
      </c>
      <c r="P85" s="906">
        <v>118447</v>
      </c>
      <c r="Q85" s="906">
        <v>255000</v>
      </c>
      <c r="R85" s="902">
        <v>2.15</v>
      </c>
      <c r="T85" s="905">
        <v>411.4</v>
      </c>
      <c r="U85" s="905">
        <v>798</v>
      </c>
      <c r="V85" s="905">
        <v>1.94</v>
      </c>
      <c r="W85" s="907">
        <v>76216</v>
      </c>
      <c r="X85" s="907">
        <v>141679</v>
      </c>
      <c r="Y85" s="905">
        <v>1.86</v>
      </c>
      <c r="Z85" s="907">
        <v>67545</v>
      </c>
      <c r="AA85" s="907">
        <v>145540</v>
      </c>
      <c r="AB85" s="905">
        <v>2.15</v>
      </c>
      <c r="AC85" s="907">
        <v>75853</v>
      </c>
      <c r="AD85" s="907">
        <v>141392</v>
      </c>
      <c r="AE85" s="905">
        <v>1.86</v>
      </c>
      <c r="AF85" s="902">
        <v>0</v>
      </c>
      <c r="AG85" s="902">
        <v>0</v>
      </c>
      <c r="AH85" s="902" t="s">
        <v>1483</v>
      </c>
      <c r="AI85" s="904">
        <v>1324.8</v>
      </c>
      <c r="AJ85" s="904">
        <v>2619.3000000000002</v>
      </c>
      <c r="AK85" s="905">
        <v>1.98</v>
      </c>
      <c r="AL85" s="907">
        <v>206135</v>
      </c>
      <c r="AM85" s="907">
        <v>409552</v>
      </c>
      <c r="AN85" s="905">
        <v>1.99</v>
      </c>
      <c r="AP85" s="903">
        <v>2009</v>
      </c>
      <c r="AQ85" s="903" t="s">
        <v>1480</v>
      </c>
      <c r="AR85" s="907">
        <v>153005</v>
      </c>
      <c r="AS85" s="907">
        <v>329684</v>
      </c>
      <c r="AT85" s="905">
        <v>2.15</v>
      </c>
      <c r="AV85" s="903">
        <v>2009</v>
      </c>
      <c r="AW85" s="903" t="s">
        <v>1480</v>
      </c>
      <c r="AX85" s="907">
        <v>160721</v>
      </c>
      <c r="AY85" s="907">
        <v>308252</v>
      </c>
      <c r="AZ85" s="905">
        <v>1.92</v>
      </c>
      <c r="BB85" s="900">
        <v>2009</v>
      </c>
      <c r="BC85" s="900" t="s">
        <v>1480</v>
      </c>
      <c r="BD85" s="906">
        <v>118447</v>
      </c>
      <c r="BE85" s="906">
        <v>255000</v>
      </c>
      <c r="BF85" s="902">
        <v>2.15</v>
      </c>
    </row>
    <row r="86" spans="2:58" ht="10.9" thickBot="1">
      <c r="B86" s="900">
        <v>2009</v>
      </c>
      <c r="C86" s="263">
        <f t="shared" si="1"/>
        <v>40147</v>
      </c>
      <c r="D86" s="909">
        <v>845</v>
      </c>
      <c r="E86" s="909">
        <v>1812.7</v>
      </c>
      <c r="F86" s="914">
        <v>2.15</v>
      </c>
      <c r="G86" s="906">
        <v>120974</v>
      </c>
      <c r="H86" s="906">
        <v>270814</v>
      </c>
      <c r="I86" s="902">
        <v>2.2400000000000002</v>
      </c>
      <c r="J86" s="906">
        <v>81113</v>
      </c>
      <c r="K86" s="906">
        <v>185734</v>
      </c>
      <c r="L86" s="902">
        <v>2.29</v>
      </c>
      <c r="M86" s="906">
        <v>76922</v>
      </c>
      <c r="N86" s="906">
        <v>164141</v>
      </c>
      <c r="O86" s="902">
        <v>2.13</v>
      </c>
      <c r="P86" s="907">
        <v>110659</v>
      </c>
      <c r="Q86" s="907">
        <v>247329</v>
      </c>
      <c r="R86" s="905">
        <v>2.2400000000000002</v>
      </c>
      <c r="T86" s="902">
        <v>384.9</v>
      </c>
      <c r="U86" s="902">
        <v>796.1</v>
      </c>
      <c r="V86" s="902">
        <v>2.0699999999999998</v>
      </c>
      <c r="W86" s="906">
        <v>72872</v>
      </c>
      <c r="X86" s="906">
        <v>145434</v>
      </c>
      <c r="Y86" s="902">
        <v>2</v>
      </c>
      <c r="Z86" s="906">
        <v>59580</v>
      </c>
      <c r="AA86" s="906">
        <v>136427</v>
      </c>
      <c r="AB86" s="902">
        <v>2.29</v>
      </c>
      <c r="AC86" s="906">
        <v>68549</v>
      </c>
      <c r="AD86" s="906">
        <v>138168</v>
      </c>
      <c r="AE86" s="902">
        <v>2.02</v>
      </c>
      <c r="AF86" s="905">
        <v>0</v>
      </c>
      <c r="AG86" s="905">
        <v>0</v>
      </c>
      <c r="AH86" s="905" t="s">
        <v>1483</v>
      </c>
      <c r="AI86" s="901">
        <v>1229.9000000000001</v>
      </c>
      <c r="AJ86" s="901">
        <v>2608.8000000000002</v>
      </c>
      <c r="AK86" s="902">
        <v>2.12</v>
      </c>
      <c r="AL86" s="906">
        <v>193846</v>
      </c>
      <c r="AM86" s="906">
        <v>416248</v>
      </c>
      <c r="AN86" s="902">
        <v>2.15</v>
      </c>
      <c r="AP86" s="900">
        <v>2009</v>
      </c>
      <c r="AQ86" s="900" t="s">
        <v>1481</v>
      </c>
      <c r="AR86" s="906">
        <v>140692</v>
      </c>
      <c r="AS86" s="906">
        <v>322160</v>
      </c>
      <c r="AT86" s="902">
        <v>2.29</v>
      </c>
      <c r="AV86" s="900">
        <v>2009</v>
      </c>
      <c r="AW86" s="900" t="s">
        <v>1481</v>
      </c>
      <c r="AX86" s="906">
        <v>145471</v>
      </c>
      <c r="AY86" s="906">
        <v>302309</v>
      </c>
      <c r="AZ86" s="902">
        <v>2.08</v>
      </c>
      <c r="BB86" s="903">
        <v>2009</v>
      </c>
      <c r="BC86" s="903" t="s">
        <v>1481</v>
      </c>
      <c r="BD86" s="907">
        <v>110659</v>
      </c>
      <c r="BE86" s="907">
        <v>247329</v>
      </c>
      <c r="BF86" s="905">
        <v>2.2400000000000002</v>
      </c>
    </row>
    <row r="87" spans="2:58" ht="11.2" customHeight="1" thickBot="1">
      <c r="B87" s="903">
        <v>2009</v>
      </c>
      <c r="C87" s="263">
        <f t="shared" si="1"/>
        <v>40178</v>
      </c>
      <c r="D87" s="909">
        <v>926.5</v>
      </c>
      <c r="E87" s="909">
        <v>1965.9</v>
      </c>
      <c r="F87" s="914">
        <v>2.12</v>
      </c>
      <c r="G87" s="907">
        <v>129759</v>
      </c>
      <c r="H87" s="907">
        <v>295146</v>
      </c>
      <c r="I87" s="905">
        <v>2.27</v>
      </c>
      <c r="J87" s="907">
        <v>84490</v>
      </c>
      <c r="K87" s="907">
        <v>196213</v>
      </c>
      <c r="L87" s="905">
        <v>2.3199999999999998</v>
      </c>
      <c r="M87" s="907">
        <v>82294</v>
      </c>
      <c r="N87" s="907">
        <v>163982</v>
      </c>
      <c r="O87" s="905">
        <v>1.99</v>
      </c>
      <c r="P87" s="906">
        <v>115561</v>
      </c>
      <c r="Q87" s="906">
        <v>252601</v>
      </c>
      <c r="R87" s="902">
        <v>2.19</v>
      </c>
      <c r="T87" s="905">
        <v>408.3</v>
      </c>
      <c r="U87" s="905">
        <v>852.4</v>
      </c>
      <c r="V87" s="905">
        <v>2.09</v>
      </c>
      <c r="W87" s="907">
        <v>77986</v>
      </c>
      <c r="X87" s="907">
        <v>157448</v>
      </c>
      <c r="Y87" s="905">
        <v>2.02</v>
      </c>
      <c r="Z87" s="907">
        <v>65766</v>
      </c>
      <c r="AA87" s="907">
        <v>152730</v>
      </c>
      <c r="AB87" s="905">
        <v>2.3199999999999998</v>
      </c>
      <c r="AC87" s="907">
        <v>71186</v>
      </c>
      <c r="AD87" s="907">
        <v>137804</v>
      </c>
      <c r="AE87" s="905">
        <v>1.94</v>
      </c>
      <c r="AF87" s="902">
        <v>0</v>
      </c>
      <c r="AG87" s="902">
        <v>0</v>
      </c>
      <c r="AH87" s="902" t="s">
        <v>1483</v>
      </c>
      <c r="AI87" s="904">
        <v>1334.8</v>
      </c>
      <c r="AJ87" s="904">
        <v>2818.4</v>
      </c>
      <c r="AK87" s="905">
        <v>2.11</v>
      </c>
      <c r="AL87" s="907">
        <v>207745</v>
      </c>
      <c r="AM87" s="907">
        <v>452594</v>
      </c>
      <c r="AN87" s="905">
        <v>2.1800000000000002</v>
      </c>
      <c r="AP87" s="903">
        <v>2009</v>
      </c>
      <c r="AQ87" s="903" t="s">
        <v>1482</v>
      </c>
      <c r="AR87" s="907">
        <v>150257</v>
      </c>
      <c r="AS87" s="907">
        <v>348942</v>
      </c>
      <c r="AT87" s="905">
        <v>2.3199999999999998</v>
      </c>
      <c r="AV87" s="903">
        <v>2009</v>
      </c>
      <c r="AW87" s="903" t="s">
        <v>1482</v>
      </c>
      <c r="AX87" s="907">
        <v>153480</v>
      </c>
      <c r="AY87" s="907">
        <v>301787</v>
      </c>
      <c r="AZ87" s="905">
        <v>1.97</v>
      </c>
      <c r="BB87" s="900">
        <v>2009</v>
      </c>
      <c r="BC87" s="900" t="s">
        <v>1482</v>
      </c>
      <c r="BD87" s="906">
        <v>115561</v>
      </c>
      <c r="BE87" s="906">
        <v>252601</v>
      </c>
      <c r="BF87" s="902">
        <v>2.19</v>
      </c>
    </row>
    <row r="88" spans="2:58" ht="10.9" thickBot="1">
      <c r="B88" s="900">
        <v>2010</v>
      </c>
      <c r="C88" s="263">
        <f t="shared" si="1"/>
        <v>40209</v>
      </c>
      <c r="D88" s="909">
        <v>872.7</v>
      </c>
      <c r="E88" s="909">
        <v>1931.6</v>
      </c>
      <c r="F88" s="914">
        <v>2.21</v>
      </c>
      <c r="G88" s="906">
        <v>128336</v>
      </c>
      <c r="H88" s="906">
        <v>298477</v>
      </c>
      <c r="I88" s="902">
        <v>2.33</v>
      </c>
      <c r="J88" s="906">
        <v>128690</v>
      </c>
      <c r="K88" s="906">
        <v>281361</v>
      </c>
      <c r="L88" s="902">
        <v>2.19</v>
      </c>
      <c r="M88" s="906">
        <v>78471</v>
      </c>
      <c r="N88" s="906">
        <v>168027</v>
      </c>
      <c r="O88" s="902">
        <v>2.14</v>
      </c>
      <c r="P88" s="907">
        <v>110707</v>
      </c>
      <c r="Q88" s="907">
        <v>263646</v>
      </c>
      <c r="R88" s="905">
        <v>2.38</v>
      </c>
      <c r="T88" s="902">
        <v>410</v>
      </c>
      <c r="U88" s="902">
        <v>873.9</v>
      </c>
      <c r="V88" s="902">
        <v>2.13</v>
      </c>
      <c r="W88" s="906">
        <v>77527</v>
      </c>
      <c r="X88" s="906">
        <v>159848</v>
      </c>
      <c r="Y88" s="902">
        <v>2.06</v>
      </c>
      <c r="Z88" s="906">
        <v>104862</v>
      </c>
      <c r="AA88" s="906">
        <v>229265</v>
      </c>
      <c r="AB88" s="902">
        <v>2.19</v>
      </c>
      <c r="AC88" s="906">
        <v>72369</v>
      </c>
      <c r="AD88" s="906">
        <v>150411</v>
      </c>
      <c r="AE88" s="902">
        <v>2.08</v>
      </c>
      <c r="AF88" s="905">
        <v>0</v>
      </c>
      <c r="AG88" s="905">
        <v>0</v>
      </c>
      <c r="AH88" s="905" t="s">
        <v>1483</v>
      </c>
      <c r="AI88" s="901">
        <v>1282.7</v>
      </c>
      <c r="AJ88" s="901">
        <v>2805.5</v>
      </c>
      <c r="AK88" s="902">
        <v>2.19</v>
      </c>
      <c r="AL88" s="906">
        <v>205863</v>
      </c>
      <c r="AM88" s="906">
        <v>458325</v>
      </c>
      <c r="AN88" s="902">
        <v>2.23</v>
      </c>
      <c r="AP88" s="900">
        <v>2010</v>
      </c>
      <c r="AQ88" s="900" t="s">
        <v>1472</v>
      </c>
      <c r="AR88" s="906">
        <v>233552</v>
      </c>
      <c r="AS88" s="906">
        <v>510625</v>
      </c>
      <c r="AT88" s="902">
        <v>2.19</v>
      </c>
      <c r="AV88" s="900">
        <v>2010</v>
      </c>
      <c r="AW88" s="900" t="s">
        <v>1472</v>
      </c>
      <c r="AX88" s="906">
        <v>150840</v>
      </c>
      <c r="AY88" s="906">
        <v>318439</v>
      </c>
      <c r="AZ88" s="902">
        <v>2.11</v>
      </c>
      <c r="BB88" s="903">
        <v>2010</v>
      </c>
      <c r="BC88" s="903" t="s">
        <v>1472</v>
      </c>
      <c r="BD88" s="907">
        <v>110707</v>
      </c>
      <c r="BE88" s="907">
        <v>263646</v>
      </c>
      <c r="BF88" s="905">
        <v>2.38</v>
      </c>
    </row>
    <row r="89" spans="2:58" ht="10.9" thickBot="1">
      <c r="B89" s="903">
        <v>2010</v>
      </c>
      <c r="C89" s="263">
        <f t="shared" si="1"/>
        <v>40237</v>
      </c>
      <c r="D89" s="909">
        <v>786.9</v>
      </c>
      <c r="E89" s="909">
        <v>1696.7</v>
      </c>
      <c r="F89" s="914">
        <v>2.16</v>
      </c>
      <c r="G89" s="907">
        <v>113861</v>
      </c>
      <c r="H89" s="907">
        <v>247304</v>
      </c>
      <c r="I89" s="905">
        <v>2.17</v>
      </c>
      <c r="J89" s="907">
        <v>116495</v>
      </c>
      <c r="K89" s="907">
        <v>263225</v>
      </c>
      <c r="L89" s="905">
        <v>2.2599999999999998</v>
      </c>
      <c r="M89" s="907">
        <v>70834</v>
      </c>
      <c r="N89" s="907">
        <v>150367</v>
      </c>
      <c r="O89" s="905">
        <v>2.12</v>
      </c>
      <c r="P89" s="906">
        <v>98385</v>
      </c>
      <c r="Q89" s="906">
        <v>232684</v>
      </c>
      <c r="R89" s="902">
        <v>2.37</v>
      </c>
      <c r="T89" s="905">
        <v>361.5</v>
      </c>
      <c r="U89" s="905">
        <v>771</v>
      </c>
      <c r="V89" s="905">
        <v>2.13</v>
      </c>
      <c r="W89" s="907">
        <v>68087</v>
      </c>
      <c r="X89" s="907">
        <v>140546</v>
      </c>
      <c r="Y89" s="905">
        <v>2.06</v>
      </c>
      <c r="Z89" s="907">
        <v>94363</v>
      </c>
      <c r="AA89" s="907">
        <v>213217</v>
      </c>
      <c r="AB89" s="905">
        <v>2.2599999999999998</v>
      </c>
      <c r="AC89" s="907">
        <v>62013</v>
      </c>
      <c r="AD89" s="907">
        <v>127079</v>
      </c>
      <c r="AE89" s="905">
        <v>2.0499999999999998</v>
      </c>
      <c r="AF89" s="902">
        <v>0</v>
      </c>
      <c r="AG89" s="902">
        <v>0</v>
      </c>
      <c r="AH89" s="902" t="s">
        <v>1483</v>
      </c>
      <c r="AI89" s="904">
        <v>1148.4000000000001</v>
      </c>
      <c r="AJ89" s="904">
        <v>2467.6999999999998</v>
      </c>
      <c r="AK89" s="905">
        <v>2.15</v>
      </c>
      <c r="AL89" s="907">
        <v>181948</v>
      </c>
      <c r="AM89" s="907">
        <v>387850</v>
      </c>
      <c r="AN89" s="905">
        <v>2.13</v>
      </c>
      <c r="AP89" s="903">
        <v>2010</v>
      </c>
      <c r="AQ89" s="903" t="s">
        <v>1473</v>
      </c>
      <c r="AR89" s="907">
        <v>210858</v>
      </c>
      <c r="AS89" s="907">
        <v>476442</v>
      </c>
      <c r="AT89" s="905">
        <v>2.2599999999999998</v>
      </c>
      <c r="AV89" s="903">
        <v>2010</v>
      </c>
      <c r="AW89" s="903" t="s">
        <v>1473</v>
      </c>
      <c r="AX89" s="907">
        <v>132847</v>
      </c>
      <c r="AY89" s="907">
        <v>277446</v>
      </c>
      <c r="AZ89" s="905">
        <v>2.09</v>
      </c>
      <c r="BB89" s="900">
        <v>2010</v>
      </c>
      <c r="BC89" s="900" t="s">
        <v>1473</v>
      </c>
      <c r="BD89" s="906">
        <v>98385</v>
      </c>
      <c r="BE89" s="906">
        <v>232684</v>
      </c>
      <c r="BF89" s="902">
        <v>2.37</v>
      </c>
    </row>
    <row r="90" spans="2:58" ht="10.9" thickBot="1">
      <c r="B90" s="900">
        <v>2010</v>
      </c>
      <c r="C90" s="263">
        <f t="shared" si="1"/>
        <v>40268</v>
      </c>
      <c r="D90" s="909">
        <v>928.2</v>
      </c>
      <c r="E90" s="909">
        <v>2046</v>
      </c>
      <c r="F90" s="914">
        <v>2.2000000000000002</v>
      </c>
      <c r="G90" s="906">
        <v>131381</v>
      </c>
      <c r="H90" s="906">
        <v>288934</v>
      </c>
      <c r="I90" s="902">
        <v>2.2000000000000002</v>
      </c>
      <c r="J90" s="906">
        <v>139635</v>
      </c>
      <c r="K90" s="906">
        <v>310668</v>
      </c>
      <c r="L90" s="902">
        <v>2.2200000000000002</v>
      </c>
      <c r="M90" s="906">
        <v>84726</v>
      </c>
      <c r="N90" s="906">
        <v>186148</v>
      </c>
      <c r="O90" s="902">
        <v>2.2000000000000002</v>
      </c>
      <c r="P90" s="907">
        <v>120122</v>
      </c>
      <c r="Q90" s="907">
        <v>285021</v>
      </c>
      <c r="R90" s="905">
        <v>2.37</v>
      </c>
      <c r="T90" s="902">
        <v>423.7</v>
      </c>
      <c r="U90" s="902">
        <v>911.9</v>
      </c>
      <c r="V90" s="902">
        <v>2.15</v>
      </c>
      <c r="W90" s="906">
        <v>78256</v>
      </c>
      <c r="X90" s="906">
        <v>164806</v>
      </c>
      <c r="Y90" s="902">
        <v>2.11</v>
      </c>
      <c r="Z90" s="906">
        <v>108851</v>
      </c>
      <c r="AA90" s="906">
        <v>242177</v>
      </c>
      <c r="AB90" s="902">
        <v>2.2200000000000002</v>
      </c>
      <c r="AC90" s="906">
        <v>74010</v>
      </c>
      <c r="AD90" s="906">
        <v>152967</v>
      </c>
      <c r="AE90" s="902">
        <v>2.0699999999999998</v>
      </c>
      <c r="AF90" s="905">
        <v>0</v>
      </c>
      <c r="AG90" s="905">
        <v>0</v>
      </c>
      <c r="AH90" s="905" t="s">
        <v>1483</v>
      </c>
      <c r="AI90" s="901">
        <v>1351.9</v>
      </c>
      <c r="AJ90" s="901">
        <v>2957.9</v>
      </c>
      <c r="AK90" s="902">
        <v>2.19</v>
      </c>
      <c r="AL90" s="906">
        <v>209637</v>
      </c>
      <c r="AM90" s="906">
        <v>453740</v>
      </c>
      <c r="AN90" s="902">
        <v>2.16</v>
      </c>
      <c r="AP90" s="900">
        <v>2010</v>
      </c>
      <c r="AQ90" s="900" t="s">
        <v>1474</v>
      </c>
      <c r="AR90" s="906">
        <v>248486</v>
      </c>
      <c r="AS90" s="906">
        <v>552845</v>
      </c>
      <c r="AT90" s="902">
        <v>2.2200000000000002</v>
      </c>
      <c r="AV90" s="900">
        <v>2010</v>
      </c>
      <c r="AW90" s="900" t="s">
        <v>1474</v>
      </c>
      <c r="AX90" s="906">
        <v>158736</v>
      </c>
      <c r="AY90" s="906">
        <v>339115</v>
      </c>
      <c r="AZ90" s="902">
        <v>2.14</v>
      </c>
      <c r="BB90" s="903">
        <v>2010</v>
      </c>
      <c r="BC90" s="903" t="s">
        <v>1474</v>
      </c>
      <c r="BD90" s="907">
        <v>120122</v>
      </c>
      <c r="BE90" s="907">
        <v>285021</v>
      </c>
      <c r="BF90" s="905">
        <v>2.37</v>
      </c>
    </row>
    <row r="91" spans="2:58" ht="10.9" thickBot="1">
      <c r="B91" s="903">
        <v>2010</v>
      </c>
      <c r="C91" s="263">
        <f t="shared" si="1"/>
        <v>40298</v>
      </c>
      <c r="D91" s="909">
        <v>900.9</v>
      </c>
      <c r="E91" s="909">
        <v>2075.1999999999998</v>
      </c>
      <c r="F91" s="914">
        <v>2.2999999999999998</v>
      </c>
      <c r="G91" s="907">
        <v>125513</v>
      </c>
      <c r="H91" s="907">
        <v>291918</v>
      </c>
      <c r="I91" s="905">
        <v>2.33</v>
      </c>
      <c r="J91" s="907">
        <v>134564</v>
      </c>
      <c r="K91" s="907">
        <v>311468</v>
      </c>
      <c r="L91" s="905">
        <v>2.31</v>
      </c>
      <c r="M91" s="907">
        <v>81289</v>
      </c>
      <c r="N91" s="907">
        <v>187017</v>
      </c>
      <c r="O91" s="905">
        <v>2.2999999999999998</v>
      </c>
      <c r="P91" s="906">
        <v>119272</v>
      </c>
      <c r="Q91" s="906">
        <v>286486</v>
      </c>
      <c r="R91" s="902">
        <v>2.4</v>
      </c>
      <c r="T91" s="905">
        <v>410.5</v>
      </c>
      <c r="U91" s="905">
        <v>928.4</v>
      </c>
      <c r="V91" s="905">
        <v>2.2599999999999998</v>
      </c>
      <c r="W91" s="907">
        <v>74182</v>
      </c>
      <c r="X91" s="907">
        <v>169158</v>
      </c>
      <c r="Y91" s="905">
        <v>2.2799999999999998</v>
      </c>
      <c r="Z91" s="907">
        <v>102007</v>
      </c>
      <c r="AA91" s="907">
        <v>236111</v>
      </c>
      <c r="AB91" s="905">
        <v>2.31</v>
      </c>
      <c r="AC91" s="907">
        <v>73935</v>
      </c>
      <c r="AD91" s="907">
        <v>160181</v>
      </c>
      <c r="AE91" s="905">
        <v>2.17</v>
      </c>
      <c r="AF91" s="902">
        <v>0</v>
      </c>
      <c r="AG91" s="902">
        <v>0</v>
      </c>
      <c r="AH91" s="902" t="s">
        <v>1483</v>
      </c>
      <c r="AI91" s="904">
        <v>1311.3</v>
      </c>
      <c r="AJ91" s="904">
        <v>3003.6</v>
      </c>
      <c r="AK91" s="905">
        <v>2.29</v>
      </c>
      <c r="AL91" s="907">
        <v>199695</v>
      </c>
      <c r="AM91" s="907">
        <v>461076</v>
      </c>
      <c r="AN91" s="905">
        <v>2.31</v>
      </c>
      <c r="AP91" s="903">
        <v>2010</v>
      </c>
      <c r="AQ91" s="903" t="s">
        <v>1475</v>
      </c>
      <c r="AR91" s="907">
        <v>236572</v>
      </c>
      <c r="AS91" s="907">
        <v>547579</v>
      </c>
      <c r="AT91" s="905">
        <v>2.31</v>
      </c>
      <c r="AV91" s="903">
        <v>2010</v>
      </c>
      <c r="AW91" s="903" t="s">
        <v>1475</v>
      </c>
      <c r="AX91" s="907">
        <v>155224</v>
      </c>
      <c r="AY91" s="907">
        <v>347198</v>
      </c>
      <c r="AZ91" s="905">
        <v>2.2400000000000002</v>
      </c>
      <c r="BB91" s="900">
        <v>2010</v>
      </c>
      <c r="BC91" s="900" t="s">
        <v>1475</v>
      </c>
      <c r="BD91" s="906">
        <v>119272</v>
      </c>
      <c r="BE91" s="906">
        <v>286486</v>
      </c>
      <c r="BF91" s="902">
        <v>2.4</v>
      </c>
    </row>
    <row r="92" spans="2:58" ht="10.9" thickBot="1">
      <c r="B92" s="900">
        <v>2010</v>
      </c>
      <c r="C92" s="263">
        <f t="shared" si="1"/>
        <v>40329</v>
      </c>
      <c r="D92" s="909">
        <v>940</v>
      </c>
      <c r="E92" s="909">
        <v>2189.6999999999998</v>
      </c>
      <c r="F92" s="914">
        <v>2.33</v>
      </c>
      <c r="G92" s="906">
        <v>129285</v>
      </c>
      <c r="H92" s="906">
        <v>313210</v>
      </c>
      <c r="I92" s="902">
        <v>2.42</v>
      </c>
      <c r="J92" s="906">
        <v>141431</v>
      </c>
      <c r="K92" s="906">
        <v>331363</v>
      </c>
      <c r="L92" s="902">
        <v>2.34</v>
      </c>
      <c r="M92" s="906">
        <v>83987</v>
      </c>
      <c r="N92" s="906">
        <v>192724</v>
      </c>
      <c r="O92" s="902">
        <v>2.29</v>
      </c>
      <c r="P92" s="907">
        <v>125546</v>
      </c>
      <c r="Q92" s="907">
        <v>310942</v>
      </c>
      <c r="R92" s="905">
        <v>2.48</v>
      </c>
      <c r="T92" s="902">
        <v>453.7</v>
      </c>
      <c r="U92" s="901">
        <v>1040.0999999999999</v>
      </c>
      <c r="V92" s="902">
        <v>2.29</v>
      </c>
      <c r="W92" s="906">
        <v>87319</v>
      </c>
      <c r="X92" s="906">
        <v>189531</v>
      </c>
      <c r="Y92" s="902">
        <v>2.17</v>
      </c>
      <c r="Z92" s="906">
        <v>118098</v>
      </c>
      <c r="AA92" s="906">
        <v>276695</v>
      </c>
      <c r="AB92" s="902">
        <v>2.34</v>
      </c>
      <c r="AC92" s="906">
        <v>85246</v>
      </c>
      <c r="AD92" s="906">
        <v>191782</v>
      </c>
      <c r="AE92" s="902">
        <v>2.25</v>
      </c>
      <c r="AF92" s="905">
        <v>0</v>
      </c>
      <c r="AG92" s="905">
        <v>0</v>
      </c>
      <c r="AH92" s="905" t="s">
        <v>1483</v>
      </c>
      <c r="AI92" s="901">
        <v>1393.6</v>
      </c>
      <c r="AJ92" s="901">
        <v>3229.8</v>
      </c>
      <c r="AK92" s="902">
        <v>2.3199999999999998</v>
      </c>
      <c r="AL92" s="906">
        <v>216604</v>
      </c>
      <c r="AM92" s="906">
        <v>502741</v>
      </c>
      <c r="AN92" s="902">
        <v>2.3199999999999998</v>
      </c>
      <c r="AP92" s="900">
        <v>2010</v>
      </c>
      <c r="AQ92" s="900" t="s">
        <v>1465</v>
      </c>
      <c r="AR92" s="906">
        <v>259529</v>
      </c>
      <c r="AS92" s="906">
        <v>608059</v>
      </c>
      <c r="AT92" s="902">
        <v>2.34</v>
      </c>
      <c r="AV92" s="900">
        <v>2010</v>
      </c>
      <c r="AW92" s="900" t="s">
        <v>1465</v>
      </c>
      <c r="AX92" s="906">
        <v>169233</v>
      </c>
      <c r="AY92" s="906">
        <v>384506</v>
      </c>
      <c r="AZ92" s="902">
        <v>2.27</v>
      </c>
      <c r="BB92" s="903">
        <v>2010</v>
      </c>
      <c r="BC92" s="903" t="s">
        <v>1465</v>
      </c>
      <c r="BD92" s="907">
        <v>125546</v>
      </c>
      <c r="BE92" s="907">
        <v>310942</v>
      </c>
      <c r="BF92" s="905">
        <v>2.48</v>
      </c>
    </row>
    <row r="93" spans="2:58" ht="10.9" thickBot="1">
      <c r="B93" s="903">
        <v>2010</v>
      </c>
      <c r="C93" s="263">
        <f t="shared" si="1"/>
        <v>40359</v>
      </c>
      <c r="D93" s="909">
        <v>959.8</v>
      </c>
      <c r="E93" s="909">
        <v>2090.8000000000002</v>
      </c>
      <c r="F93" s="914">
        <v>2.1800000000000002</v>
      </c>
      <c r="G93" s="907">
        <v>128400</v>
      </c>
      <c r="H93" s="907">
        <v>263411</v>
      </c>
      <c r="I93" s="905">
        <v>2.0499999999999998</v>
      </c>
      <c r="J93" s="907">
        <v>147802</v>
      </c>
      <c r="K93" s="907">
        <v>338107</v>
      </c>
      <c r="L93" s="905">
        <v>2.29</v>
      </c>
      <c r="M93" s="907">
        <v>87393</v>
      </c>
      <c r="N93" s="907">
        <v>191879</v>
      </c>
      <c r="O93" s="905">
        <v>2.2000000000000002</v>
      </c>
      <c r="P93" s="906">
        <v>126930</v>
      </c>
      <c r="Q93" s="906">
        <v>294300</v>
      </c>
      <c r="R93" s="902">
        <v>2.3199999999999998</v>
      </c>
      <c r="T93" s="905">
        <v>468</v>
      </c>
      <c r="U93" s="904">
        <v>1059.7</v>
      </c>
      <c r="V93" s="905">
        <v>2.2599999999999998</v>
      </c>
      <c r="W93" s="907">
        <v>84408</v>
      </c>
      <c r="X93" s="907">
        <v>205219</v>
      </c>
      <c r="Y93" s="905">
        <v>2.4300000000000002</v>
      </c>
      <c r="Z93" s="907">
        <v>134816</v>
      </c>
      <c r="AA93" s="907">
        <v>308399</v>
      </c>
      <c r="AB93" s="905">
        <v>2.29</v>
      </c>
      <c r="AC93" s="907">
        <v>83549</v>
      </c>
      <c r="AD93" s="907">
        <v>180023</v>
      </c>
      <c r="AE93" s="905">
        <v>2.15</v>
      </c>
      <c r="AF93" s="902">
        <v>0</v>
      </c>
      <c r="AG93" s="902">
        <v>0</v>
      </c>
      <c r="AH93" s="902" t="s">
        <v>1483</v>
      </c>
      <c r="AI93" s="904">
        <v>1427.7</v>
      </c>
      <c r="AJ93" s="904">
        <v>3150.5</v>
      </c>
      <c r="AK93" s="905">
        <v>2.21</v>
      </c>
      <c r="AL93" s="907">
        <v>212808</v>
      </c>
      <c r="AM93" s="907">
        <v>468629</v>
      </c>
      <c r="AN93" s="905">
        <v>2.2000000000000002</v>
      </c>
      <c r="AP93" s="903">
        <v>2010</v>
      </c>
      <c r="AQ93" s="903" t="s">
        <v>1476</v>
      </c>
      <c r="AR93" s="907">
        <v>282618</v>
      </c>
      <c r="AS93" s="907">
        <v>646506</v>
      </c>
      <c r="AT93" s="905">
        <v>2.29</v>
      </c>
      <c r="AV93" s="903">
        <v>2010</v>
      </c>
      <c r="AW93" s="903" t="s">
        <v>1476</v>
      </c>
      <c r="AX93" s="907">
        <v>170942</v>
      </c>
      <c r="AY93" s="907">
        <v>371902</v>
      </c>
      <c r="AZ93" s="905">
        <v>2.1800000000000002</v>
      </c>
      <c r="BB93" s="900">
        <v>2010</v>
      </c>
      <c r="BC93" s="900" t="s">
        <v>1476</v>
      </c>
      <c r="BD93" s="906">
        <v>126930</v>
      </c>
      <c r="BE93" s="906">
        <v>294300</v>
      </c>
      <c r="BF93" s="902">
        <v>2.3199999999999998</v>
      </c>
    </row>
    <row r="94" spans="2:58" ht="10.9" thickBot="1">
      <c r="B94" s="900">
        <v>2010</v>
      </c>
      <c r="C94" s="263">
        <f t="shared" si="1"/>
        <v>40390</v>
      </c>
      <c r="D94" s="909">
        <v>1010.8</v>
      </c>
      <c r="E94" s="909">
        <v>2235.3000000000002</v>
      </c>
      <c r="F94" s="914">
        <v>2.21</v>
      </c>
      <c r="G94" s="906">
        <v>132974</v>
      </c>
      <c r="H94" s="906">
        <v>291497</v>
      </c>
      <c r="I94" s="902">
        <v>2.19</v>
      </c>
      <c r="J94" s="906">
        <v>154894</v>
      </c>
      <c r="K94" s="906">
        <v>355737</v>
      </c>
      <c r="L94" s="902">
        <v>2.2999999999999998</v>
      </c>
      <c r="M94" s="906">
        <v>91077</v>
      </c>
      <c r="N94" s="906">
        <v>198945</v>
      </c>
      <c r="O94" s="902">
        <v>2.1800000000000002</v>
      </c>
      <c r="P94" s="907">
        <v>130299</v>
      </c>
      <c r="Q94" s="907">
        <v>302289</v>
      </c>
      <c r="R94" s="905">
        <v>2.3199999999999998</v>
      </c>
      <c r="T94" s="902">
        <v>495.9</v>
      </c>
      <c r="U94" s="901">
        <v>1091.3</v>
      </c>
      <c r="V94" s="902">
        <v>2.2000000000000002</v>
      </c>
      <c r="W94" s="906">
        <v>91202</v>
      </c>
      <c r="X94" s="906">
        <v>193496</v>
      </c>
      <c r="Y94" s="902">
        <v>2.12</v>
      </c>
      <c r="Z94" s="906">
        <v>143131</v>
      </c>
      <c r="AA94" s="906">
        <v>328721</v>
      </c>
      <c r="AB94" s="902">
        <v>2.2999999999999998</v>
      </c>
      <c r="AC94" s="906">
        <v>88080</v>
      </c>
      <c r="AD94" s="906">
        <v>188768</v>
      </c>
      <c r="AE94" s="902">
        <v>2.14</v>
      </c>
      <c r="AF94" s="905">
        <v>0</v>
      </c>
      <c r="AG94" s="905">
        <v>0</v>
      </c>
      <c r="AH94" s="905" t="s">
        <v>1483</v>
      </c>
      <c r="AI94" s="901">
        <v>1506.7</v>
      </c>
      <c r="AJ94" s="901">
        <v>3326.6</v>
      </c>
      <c r="AK94" s="902">
        <v>2.21</v>
      </c>
      <c r="AL94" s="906">
        <v>224176</v>
      </c>
      <c r="AM94" s="906">
        <v>484993</v>
      </c>
      <c r="AN94" s="902">
        <v>2.16</v>
      </c>
      <c r="AP94" s="900">
        <v>2010</v>
      </c>
      <c r="AQ94" s="900" t="s">
        <v>1477</v>
      </c>
      <c r="AR94" s="906">
        <v>298024</v>
      </c>
      <c r="AS94" s="906">
        <v>684458</v>
      </c>
      <c r="AT94" s="902">
        <v>2.2999999999999998</v>
      </c>
      <c r="AV94" s="900">
        <v>2010</v>
      </c>
      <c r="AW94" s="900" t="s">
        <v>1477</v>
      </c>
      <c r="AX94" s="906">
        <v>179158</v>
      </c>
      <c r="AY94" s="906">
        <v>387712</v>
      </c>
      <c r="AZ94" s="902">
        <v>2.16</v>
      </c>
      <c r="BB94" s="903">
        <v>2010</v>
      </c>
      <c r="BC94" s="903" t="s">
        <v>1477</v>
      </c>
      <c r="BD94" s="907">
        <v>130299</v>
      </c>
      <c r="BE94" s="907">
        <v>302289</v>
      </c>
      <c r="BF94" s="905">
        <v>2.3199999999999998</v>
      </c>
    </row>
    <row r="95" spans="2:58" ht="10.9" thickBot="1">
      <c r="B95" s="903">
        <v>2010</v>
      </c>
      <c r="C95" s="263">
        <f t="shared" si="1"/>
        <v>40421</v>
      </c>
      <c r="D95" s="909">
        <v>994.4</v>
      </c>
      <c r="E95" s="909">
        <v>2214.6</v>
      </c>
      <c r="F95" s="914">
        <v>2.23</v>
      </c>
      <c r="G95" s="907">
        <v>129847</v>
      </c>
      <c r="H95" s="907">
        <v>282147</v>
      </c>
      <c r="I95" s="905">
        <v>2.17</v>
      </c>
      <c r="J95" s="907">
        <v>152452</v>
      </c>
      <c r="K95" s="907">
        <v>348643</v>
      </c>
      <c r="L95" s="905">
        <v>2.29</v>
      </c>
      <c r="M95" s="907">
        <v>90430</v>
      </c>
      <c r="N95" s="907">
        <v>194675</v>
      </c>
      <c r="O95" s="905">
        <v>2.15</v>
      </c>
      <c r="P95" s="906">
        <v>126992</v>
      </c>
      <c r="Q95" s="906">
        <v>302269</v>
      </c>
      <c r="R95" s="902">
        <v>2.38</v>
      </c>
      <c r="T95" s="905">
        <v>484.2</v>
      </c>
      <c r="U95" s="904">
        <v>1069</v>
      </c>
      <c r="V95" s="905">
        <v>2.21</v>
      </c>
      <c r="W95" s="907">
        <v>88127</v>
      </c>
      <c r="X95" s="907">
        <v>187599</v>
      </c>
      <c r="Y95" s="905">
        <v>2.13</v>
      </c>
      <c r="Z95" s="907">
        <v>141347</v>
      </c>
      <c r="AA95" s="907">
        <v>323248</v>
      </c>
      <c r="AB95" s="905">
        <v>2.29</v>
      </c>
      <c r="AC95" s="907">
        <v>87016</v>
      </c>
      <c r="AD95" s="907">
        <v>189169</v>
      </c>
      <c r="AE95" s="905">
        <v>2.17</v>
      </c>
      <c r="AF95" s="902">
        <v>0</v>
      </c>
      <c r="AG95" s="902">
        <v>0</v>
      </c>
      <c r="AH95" s="902" t="s">
        <v>1483</v>
      </c>
      <c r="AI95" s="904">
        <v>1478.6</v>
      </c>
      <c r="AJ95" s="904">
        <v>3283.6</v>
      </c>
      <c r="AK95" s="905">
        <v>2.2200000000000002</v>
      </c>
      <c r="AL95" s="907">
        <v>217974</v>
      </c>
      <c r="AM95" s="907">
        <v>469746</v>
      </c>
      <c r="AN95" s="905">
        <v>2.16</v>
      </c>
      <c r="AP95" s="903">
        <v>2010</v>
      </c>
      <c r="AQ95" s="903" t="s">
        <v>1478</v>
      </c>
      <c r="AR95" s="907">
        <v>293799</v>
      </c>
      <c r="AS95" s="907">
        <v>671891</v>
      </c>
      <c r="AT95" s="905">
        <v>2.29</v>
      </c>
      <c r="AV95" s="903">
        <v>2010</v>
      </c>
      <c r="AW95" s="903" t="s">
        <v>1478</v>
      </c>
      <c r="AX95" s="907">
        <v>177446</v>
      </c>
      <c r="AY95" s="907">
        <v>383844</v>
      </c>
      <c r="AZ95" s="905">
        <v>2.16</v>
      </c>
      <c r="BB95" s="900">
        <v>2010</v>
      </c>
      <c r="BC95" s="900" t="s">
        <v>1478</v>
      </c>
      <c r="BD95" s="906">
        <v>126992</v>
      </c>
      <c r="BE95" s="906">
        <v>302269</v>
      </c>
      <c r="BF95" s="902">
        <v>2.38</v>
      </c>
    </row>
    <row r="96" spans="2:58" ht="10.9" thickBot="1">
      <c r="B96" s="900">
        <v>2010</v>
      </c>
      <c r="C96" s="263">
        <f t="shared" si="1"/>
        <v>40451</v>
      </c>
      <c r="D96" s="909">
        <v>914.9</v>
      </c>
      <c r="E96" s="909">
        <v>1996.9</v>
      </c>
      <c r="F96" s="914">
        <v>2.1800000000000002</v>
      </c>
      <c r="G96" s="906">
        <v>121194</v>
      </c>
      <c r="H96" s="906">
        <v>257454</v>
      </c>
      <c r="I96" s="902">
        <v>2.12</v>
      </c>
      <c r="J96" s="906">
        <v>138090</v>
      </c>
      <c r="K96" s="906">
        <v>314167</v>
      </c>
      <c r="L96" s="902">
        <v>2.2799999999999998</v>
      </c>
      <c r="M96" s="906">
        <v>80030</v>
      </c>
      <c r="N96" s="906">
        <v>174260</v>
      </c>
      <c r="O96" s="902">
        <v>2.1800000000000002</v>
      </c>
      <c r="P96" s="907">
        <v>117235</v>
      </c>
      <c r="Q96" s="907">
        <v>278409</v>
      </c>
      <c r="R96" s="905">
        <v>2.37</v>
      </c>
      <c r="T96" s="902">
        <v>439.8</v>
      </c>
      <c r="U96" s="902">
        <v>967.7</v>
      </c>
      <c r="V96" s="902">
        <v>2.2000000000000002</v>
      </c>
      <c r="W96" s="906">
        <v>81104</v>
      </c>
      <c r="X96" s="906">
        <v>172603</v>
      </c>
      <c r="Y96" s="902">
        <v>2.13</v>
      </c>
      <c r="Z96" s="906">
        <v>122238</v>
      </c>
      <c r="AA96" s="906">
        <v>278103</v>
      </c>
      <c r="AB96" s="902">
        <v>2.2799999999999998</v>
      </c>
      <c r="AC96" s="906">
        <v>82802</v>
      </c>
      <c r="AD96" s="906">
        <v>182214</v>
      </c>
      <c r="AE96" s="902">
        <v>2.2000000000000002</v>
      </c>
      <c r="AF96" s="905">
        <v>0</v>
      </c>
      <c r="AG96" s="905">
        <v>0</v>
      </c>
      <c r="AH96" s="905" t="s">
        <v>1483</v>
      </c>
      <c r="AI96" s="901">
        <v>1354.7</v>
      </c>
      <c r="AJ96" s="901">
        <v>2964.6</v>
      </c>
      <c r="AK96" s="902">
        <v>2.19</v>
      </c>
      <c r="AL96" s="906">
        <v>202298</v>
      </c>
      <c r="AM96" s="906">
        <v>430058</v>
      </c>
      <c r="AN96" s="902">
        <v>2.13</v>
      </c>
      <c r="AP96" s="900">
        <v>2010</v>
      </c>
      <c r="AQ96" s="900" t="s">
        <v>1479</v>
      </c>
      <c r="AR96" s="906">
        <v>260327</v>
      </c>
      <c r="AS96" s="906">
        <v>592269</v>
      </c>
      <c r="AT96" s="902">
        <v>2.2799999999999998</v>
      </c>
      <c r="AV96" s="900">
        <v>2010</v>
      </c>
      <c r="AW96" s="900" t="s">
        <v>1479</v>
      </c>
      <c r="AX96" s="906">
        <v>162831</v>
      </c>
      <c r="AY96" s="906">
        <v>356475</v>
      </c>
      <c r="AZ96" s="902">
        <v>2.19</v>
      </c>
      <c r="BB96" s="903">
        <v>2010</v>
      </c>
      <c r="BC96" s="903" t="s">
        <v>1479</v>
      </c>
      <c r="BD96" s="907">
        <v>117235</v>
      </c>
      <c r="BE96" s="907">
        <v>278409</v>
      </c>
      <c r="BF96" s="905">
        <v>2.37</v>
      </c>
    </row>
    <row r="97" spans="2:58" ht="10.9" thickBot="1">
      <c r="B97" s="903">
        <v>2010</v>
      </c>
      <c r="C97" s="263">
        <f t="shared" si="1"/>
        <v>40482</v>
      </c>
      <c r="D97" s="909">
        <v>925</v>
      </c>
      <c r="E97" s="909">
        <v>2177.1</v>
      </c>
      <c r="F97" s="914">
        <v>2.35</v>
      </c>
      <c r="G97" s="907">
        <v>123471</v>
      </c>
      <c r="H97" s="907">
        <v>290129</v>
      </c>
      <c r="I97" s="905">
        <v>2.35</v>
      </c>
      <c r="J97" s="907">
        <v>141079</v>
      </c>
      <c r="K97" s="907">
        <v>336403</v>
      </c>
      <c r="L97" s="905">
        <v>2.38</v>
      </c>
      <c r="M97" s="907">
        <v>83201</v>
      </c>
      <c r="N97" s="907">
        <v>186833</v>
      </c>
      <c r="O97" s="905">
        <v>2.25</v>
      </c>
      <c r="P97" s="906">
        <v>122422</v>
      </c>
      <c r="Q97" s="906">
        <v>294790</v>
      </c>
      <c r="R97" s="902">
        <v>2.41</v>
      </c>
      <c r="T97" s="905">
        <v>446.3</v>
      </c>
      <c r="U97" s="904">
        <v>1042.7</v>
      </c>
      <c r="V97" s="905">
        <v>2.34</v>
      </c>
      <c r="W97" s="907">
        <v>83468</v>
      </c>
      <c r="X97" s="907">
        <v>182951</v>
      </c>
      <c r="Y97" s="905">
        <v>2.19</v>
      </c>
      <c r="Z97" s="907">
        <v>121766</v>
      </c>
      <c r="AA97" s="907">
        <v>290352</v>
      </c>
      <c r="AB97" s="905">
        <v>2.38</v>
      </c>
      <c r="AC97" s="907">
        <v>83821</v>
      </c>
      <c r="AD97" s="907">
        <v>190415</v>
      </c>
      <c r="AE97" s="905">
        <v>2.27</v>
      </c>
      <c r="AF97" s="902">
        <v>0</v>
      </c>
      <c r="AG97" s="902">
        <v>0</v>
      </c>
      <c r="AH97" s="902" t="s">
        <v>1483</v>
      </c>
      <c r="AI97" s="904">
        <v>1371.3</v>
      </c>
      <c r="AJ97" s="904">
        <v>3219.8</v>
      </c>
      <c r="AK97" s="905">
        <v>2.35</v>
      </c>
      <c r="AL97" s="907">
        <v>206939</v>
      </c>
      <c r="AM97" s="907">
        <v>473080</v>
      </c>
      <c r="AN97" s="905">
        <v>2.29</v>
      </c>
      <c r="AP97" s="903">
        <v>2010</v>
      </c>
      <c r="AQ97" s="903" t="s">
        <v>1480</v>
      </c>
      <c r="AR97" s="907">
        <v>262845</v>
      </c>
      <c r="AS97" s="907">
        <v>626756</v>
      </c>
      <c r="AT97" s="905">
        <v>2.38</v>
      </c>
      <c r="AV97" s="903">
        <v>2010</v>
      </c>
      <c r="AW97" s="903" t="s">
        <v>1480</v>
      </c>
      <c r="AX97" s="907">
        <v>167022</v>
      </c>
      <c r="AY97" s="907">
        <v>377249</v>
      </c>
      <c r="AZ97" s="905">
        <v>2.2599999999999998</v>
      </c>
      <c r="BB97" s="900">
        <v>2010</v>
      </c>
      <c r="BC97" s="900" t="s">
        <v>1480</v>
      </c>
      <c r="BD97" s="906">
        <v>122422</v>
      </c>
      <c r="BE97" s="906">
        <v>294790</v>
      </c>
      <c r="BF97" s="902">
        <v>2.41</v>
      </c>
    </row>
    <row r="98" spans="2:58" ht="10.9" thickBot="1">
      <c r="B98" s="900">
        <v>2010</v>
      </c>
      <c r="C98" s="263">
        <f t="shared" si="1"/>
        <v>40512</v>
      </c>
      <c r="D98" s="909">
        <v>891.7</v>
      </c>
      <c r="E98" s="909">
        <v>2146.1999999999998</v>
      </c>
      <c r="F98" s="914">
        <v>2.41</v>
      </c>
      <c r="G98" s="906">
        <v>119662</v>
      </c>
      <c r="H98" s="906">
        <v>281902</v>
      </c>
      <c r="I98" s="902">
        <v>2.36</v>
      </c>
      <c r="J98" s="906">
        <v>132433</v>
      </c>
      <c r="K98" s="906">
        <v>327076</v>
      </c>
      <c r="L98" s="902">
        <v>2.4700000000000002</v>
      </c>
      <c r="M98" s="906">
        <v>78098</v>
      </c>
      <c r="N98" s="906">
        <v>185062</v>
      </c>
      <c r="O98" s="902">
        <v>2.37</v>
      </c>
      <c r="P98" s="907">
        <v>118223</v>
      </c>
      <c r="Q98" s="907">
        <v>290225</v>
      </c>
      <c r="R98" s="905">
        <v>2.4500000000000002</v>
      </c>
      <c r="T98" s="902">
        <v>411.9</v>
      </c>
      <c r="U98" s="902">
        <v>981.6</v>
      </c>
      <c r="V98" s="902">
        <v>2.38</v>
      </c>
      <c r="W98" s="906">
        <v>77508</v>
      </c>
      <c r="X98" s="906">
        <v>179841</v>
      </c>
      <c r="Y98" s="902">
        <v>2.3199999999999998</v>
      </c>
      <c r="Z98" s="906">
        <v>108200</v>
      </c>
      <c r="AA98" s="906">
        <v>267226</v>
      </c>
      <c r="AB98" s="902">
        <v>2.4700000000000002</v>
      </c>
      <c r="AC98" s="906">
        <v>74129</v>
      </c>
      <c r="AD98" s="906">
        <v>175826</v>
      </c>
      <c r="AE98" s="902">
        <v>2.37</v>
      </c>
      <c r="AF98" s="905">
        <v>0</v>
      </c>
      <c r="AG98" s="905">
        <v>0</v>
      </c>
      <c r="AH98" s="905" t="s">
        <v>1483</v>
      </c>
      <c r="AI98" s="901">
        <v>1303.5999999999999</v>
      </c>
      <c r="AJ98" s="901">
        <v>3127.8</v>
      </c>
      <c r="AK98" s="902">
        <v>2.4</v>
      </c>
      <c r="AL98" s="906">
        <v>197170</v>
      </c>
      <c r="AM98" s="906">
        <v>461743</v>
      </c>
      <c r="AN98" s="902">
        <v>2.34</v>
      </c>
      <c r="AP98" s="900">
        <v>2010</v>
      </c>
      <c r="AQ98" s="900" t="s">
        <v>1481</v>
      </c>
      <c r="AR98" s="906">
        <v>240632</v>
      </c>
      <c r="AS98" s="906">
        <v>594303</v>
      </c>
      <c r="AT98" s="902">
        <v>2.4700000000000002</v>
      </c>
      <c r="AV98" s="900">
        <v>2010</v>
      </c>
      <c r="AW98" s="900" t="s">
        <v>1481</v>
      </c>
      <c r="AX98" s="906">
        <v>152228</v>
      </c>
      <c r="AY98" s="906">
        <v>360888</v>
      </c>
      <c r="AZ98" s="902">
        <v>2.37</v>
      </c>
      <c r="BB98" s="903">
        <v>2010</v>
      </c>
      <c r="BC98" s="903" t="s">
        <v>1481</v>
      </c>
      <c r="BD98" s="907">
        <v>118223</v>
      </c>
      <c r="BE98" s="907">
        <v>290225</v>
      </c>
      <c r="BF98" s="905">
        <v>2.4500000000000002</v>
      </c>
    </row>
    <row r="99" spans="2:58" ht="11.2" customHeight="1" thickBot="1">
      <c r="B99" s="903">
        <v>2010</v>
      </c>
      <c r="C99" s="263">
        <f t="shared" si="1"/>
        <v>40543</v>
      </c>
      <c r="D99" s="909">
        <v>931.5</v>
      </c>
      <c r="E99" s="909">
        <v>2303.5</v>
      </c>
      <c r="F99" s="914">
        <v>2.4700000000000002</v>
      </c>
      <c r="G99" s="907">
        <v>124099</v>
      </c>
      <c r="H99" s="907">
        <v>297338</v>
      </c>
      <c r="I99" s="905">
        <v>2.4</v>
      </c>
      <c r="J99" s="907">
        <v>132942</v>
      </c>
      <c r="K99" s="907">
        <v>334583</v>
      </c>
      <c r="L99" s="905">
        <v>2.52</v>
      </c>
      <c r="M99" s="907">
        <v>78741</v>
      </c>
      <c r="N99" s="907">
        <v>195367</v>
      </c>
      <c r="O99" s="905">
        <v>2.48</v>
      </c>
      <c r="P99" s="906">
        <v>120570</v>
      </c>
      <c r="Q99" s="906">
        <v>313448</v>
      </c>
      <c r="R99" s="902">
        <v>2.6</v>
      </c>
      <c r="T99" s="905">
        <v>441.1</v>
      </c>
      <c r="U99" s="904">
        <v>1090.7</v>
      </c>
      <c r="V99" s="905">
        <v>2.4700000000000002</v>
      </c>
      <c r="W99" s="907">
        <v>80739</v>
      </c>
      <c r="X99" s="907">
        <v>196686</v>
      </c>
      <c r="Y99" s="905">
        <v>2.44</v>
      </c>
      <c r="Z99" s="907">
        <v>116801</v>
      </c>
      <c r="AA99" s="907">
        <v>293959</v>
      </c>
      <c r="AB99" s="905">
        <v>2.52</v>
      </c>
      <c r="AC99" s="907">
        <v>78680</v>
      </c>
      <c r="AD99" s="907">
        <v>195361</v>
      </c>
      <c r="AE99" s="905">
        <v>2.48</v>
      </c>
      <c r="AF99" s="902">
        <v>0</v>
      </c>
      <c r="AG99" s="902">
        <v>0</v>
      </c>
      <c r="AH99" s="902" t="s">
        <v>1483</v>
      </c>
      <c r="AI99" s="904">
        <v>1372.6</v>
      </c>
      <c r="AJ99" s="904">
        <v>3394.2</v>
      </c>
      <c r="AK99" s="905">
        <v>2.4700000000000002</v>
      </c>
      <c r="AL99" s="907">
        <v>204838</v>
      </c>
      <c r="AM99" s="907">
        <v>494025</v>
      </c>
      <c r="AN99" s="905">
        <v>2.41</v>
      </c>
      <c r="AP99" s="903">
        <v>2010</v>
      </c>
      <c r="AQ99" s="903" t="s">
        <v>1482</v>
      </c>
      <c r="AR99" s="907">
        <v>249743</v>
      </c>
      <c r="AS99" s="907">
        <v>628541</v>
      </c>
      <c r="AT99" s="905">
        <v>2.52</v>
      </c>
      <c r="AV99" s="903">
        <v>2010</v>
      </c>
      <c r="AW99" s="903" t="s">
        <v>1482</v>
      </c>
      <c r="AX99" s="907">
        <v>157421</v>
      </c>
      <c r="AY99" s="907">
        <v>390729</v>
      </c>
      <c r="AZ99" s="905">
        <v>2.48</v>
      </c>
      <c r="BB99" s="900">
        <v>2010</v>
      </c>
      <c r="BC99" s="900" t="s">
        <v>1482</v>
      </c>
      <c r="BD99" s="906">
        <v>120570</v>
      </c>
      <c r="BE99" s="906">
        <v>313448</v>
      </c>
      <c r="BF99" s="902">
        <v>2.6</v>
      </c>
    </row>
    <row r="100" spans="2:58" ht="10.9" thickBot="1">
      <c r="B100" s="900">
        <v>2011</v>
      </c>
      <c r="C100" s="263">
        <f t="shared" si="1"/>
        <v>40574</v>
      </c>
      <c r="D100" s="909">
        <v>861.6</v>
      </c>
      <c r="E100" s="909">
        <v>2272.1999999999998</v>
      </c>
      <c r="F100" s="914">
        <v>2.64</v>
      </c>
      <c r="G100" s="906">
        <v>122738</v>
      </c>
      <c r="H100" s="906">
        <v>312767</v>
      </c>
      <c r="I100" s="902">
        <v>2.5499999999999998</v>
      </c>
      <c r="J100" s="906">
        <v>122733</v>
      </c>
      <c r="K100" s="906">
        <v>326486</v>
      </c>
      <c r="L100" s="902">
        <v>2.66</v>
      </c>
      <c r="M100" s="906">
        <v>73535</v>
      </c>
      <c r="N100" s="906">
        <v>188791</v>
      </c>
      <c r="O100" s="902">
        <v>2.57</v>
      </c>
      <c r="P100" s="907">
        <v>118506</v>
      </c>
      <c r="Q100" s="907">
        <v>311076</v>
      </c>
      <c r="R100" s="905">
        <v>2.62</v>
      </c>
      <c r="T100" s="902">
        <v>448.2</v>
      </c>
      <c r="U100" s="901">
        <v>1169.8</v>
      </c>
      <c r="V100" s="902">
        <v>2.61</v>
      </c>
      <c r="W100" s="906">
        <v>82537</v>
      </c>
      <c r="X100" s="906">
        <v>210888</v>
      </c>
      <c r="Y100" s="902">
        <v>2.56</v>
      </c>
      <c r="Z100" s="906">
        <v>124223</v>
      </c>
      <c r="AA100" s="906">
        <v>330449</v>
      </c>
      <c r="AB100" s="902">
        <v>2.66</v>
      </c>
      <c r="AC100" s="906">
        <v>78410</v>
      </c>
      <c r="AD100" s="906">
        <v>205266</v>
      </c>
      <c r="AE100" s="902">
        <v>2.62</v>
      </c>
      <c r="AF100" s="905">
        <v>0</v>
      </c>
      <c r="AG100" s="905">
        <v>0</v>
      </c>
      <c r="AH100" s="905" t="s">
        <v>1483</v>
      </c>
      <c r="AI100" s="901">
        <v>1309.8</v>
      </c>
      <c r="AJ100" s="901">
        <v>3442</v>
      </c>
      <c r="AK100" s="902">
        <v>2.63</v>
      </c>
      <c r="AL100" s="906">
        <v>205275</v>
      </c>
      <c r="AM100" s="906">
        <v>523656</v>
      </c>
      <c r="AN100" s="902">
        <v>2.5499999999999998</v>
      </c>
      <c r="AP100" s="900">
        <v>2011</v>
      </c>
      <c r="AQ100" s="900" t="s">
        <v>1472</v>
      </c>
      <c r="AR100" s="906">
        <v>246956</v>
      </c>
      <c r="AS100" s="906">
        <v>656934</v>
      </c>
      <c r="AT100" s="902">
        <v>2.66</v>
      </c>
      <c r="AV100" s="900">
        <v>2011</v>
      </c>
      <c r="AW100" s="900" t="s">
        <v>1472</v>
      </c>
      <c r="AX100" s="906">
        <v>151945</v>
      </c>
      <c r="AY100" s="906">
        <v>394057</v>
      </c>
      <c r="AZ100" s="902">
        <v>2.59</v>
      </c>
      <c r="BB100" s="903">
        <v>2011</v>
      </c>
      <c r="BC100" s="903" t="s">
        <v>1472</v>
      </c>
      <c r="BD100" s="907">
        <v>118506</v>
      </c>
      <c r="BE100" s="907">
        <v>311076</v>
      </c>
      <c r="BF100" s="905">
        <v>2.62</v>
      </c>
    </row>
    <row r="101" spans="2:58" ht="10.9" thickBot="1">
      <c r="B101" s="903">
        <v>2011</v>
      </c>
      <c r="C101" s="263">
        <f t="shared" si="1"/>
        <v>40602</v>
      </c>
      <c r="D101" s="909">
        <v>794.2</v>
      </c>
      <c r="E101" s="909">
        <v>2206.1</v>
      </c>
      <c r="F101" s="914">
        <v>2.78</v>
      </c>
      <c r="G101" s="907">
        <v>109009</v>
      </c>
      <c r="H101" s="907">
        <v>277487</v>
      </c>
      <c r="I101" s="905">
        <v>2.5499999999999998</v>
      </c>
      <c r="J101" s="907">
        <v>112959</v>
      </c>
      <c r="K101" s="907">
        <v>323124</v>
      </c>
      <c r="L101" s="905">
        <v>2.86</v>
      </c>
      <c r="M101" s="907">
        <v>67768</v>
      </c>
      <c r="N101" s="907">
        <v>189002</v>
      </c>
      <c r="O101" s="905">
        <v>2.79</v>
      </c>
      <c r="P101" s="906">
        <v>106882</v>
      </c>
      <c r="Q101" s="906">
        <v>286083</v>
      </c>
      <c r="R101" s="902">
        <v>2.68</v>
      </c>
      <c r="T101" s="905">
        <v>395.1</v>
      </c>
      <c r="U101" s="904">
        <v>1098.9000000000001</v>
      </c>
      <c r="V101" s="905">
        <v>2.78</v>
      </c>
      <c r="W101" s="907">
        <v>72769</v>
      </c>
      <c r="X101" s="907">
        <v>199116</v>
      </c>
      <c r="Y101" s="905">
        <v>2.74</v>
      </c>
      <c r="Z101" s="907">
        <v>111369</v>
      </c>
      <c r="AA101" s="907">
        <v>318576</v>
      </c>
      <c r="AB101" s="905">
        <v>2.86</v>
      </c>
      <c r="AC101" s="907">
        <v>68222</v>
      </c>
      <c r="AD101" s="907">
        <v>181656</v>
      </c>
      <c r="AE101" s="905">
        <v>2.66</v>
      </c>
      <c r="AF101" s="902">
        <v>0</v>
      </c>
      <c r="AG101" s="902">
        <v>0</v>
      </c>
      <c r="AH101" s="902" t="s">
        <v>1483</v>
      </c>
      <c r="AI101" s="904">
        <v>1189.3</v>
      </c>
      <c r="AJ101" s="904">
        <v>3305</v>
      </c>
      <c r="AK101" s="905">
        <v>2.78</v>
      </c>
      <c r="AL101" s="907">
        <v>181778</v>
      </c>
      <c r="AM101" s="907">
        <v>476603</v>
      </c>
      <c r="AN101" s="905">
        <v>2.62</v>
      </c>
      <c r="AP101" s="903">
        <v>2011</v>
      </c>
      <c r="AQ101" s="903" t="s">
        <v>1473</v>
      </c>
      <c r="AR101" s="907">
        <v>224327</v>
      </c>
      <c r="AS101" s="907">
        <v>641699</v>
      </c>
      <c r="AT101" s="905">
        <v>2.86</v>
      </c>
      <c r="AV101" s="903">
        <v>2011</v>
      </c>
      <c r="AW101" s="903" t="s">
        <v>1473</v>
      </c>
      <c r="AX101" s="907">
        <v>135990</v>
      </c>
      <c r="AY101" s="907">
        <v>370658</v>
      </c>
      <c r="AZ101" s="905">
        <v>2.73</v>
      </c>
      <c r="BB101" s="900">
        <v>2011</v>
      </c>
      <c r="BC101" s="900" t="s">
        <v>1473</v>
      </c>
      <c r="BD101" s="906">
        <v>106882</v>
      </c>
      <c r="BE101" s="906">
        <v>286083</v>
      </c>
      <c r="BF101" s="902">
        <v>2.68</v>
      </c>
    </row>
    <row r="102" spans="2:58" ht="10.9" thickBot="1">
      <c r="B102" s="900">
        <v>2011</v>
      </c>
      <c r="C102" s="263">
        <f t="shared" si="1"/>
        <v>40633</v>
      </c>
      <c r="D102" s="909">
        <v>944</v>
      </c>
      <c r="E102" s="909">
        <v>2858.6</v>
      </c>
      <c r="F102" s="914">
        <v>3.03</v>
      </c>
      <c r="G102" s="906">
        <v>126142</v>
      </c>
      <c r="H102" s="906">
        <v>341979</v>
      </c>
      <c r="I102" s="902">
        <v>2.71</v>
      </c>
      <c r="J102" s="906">
        <v>136692</v>
      </c>
      <c r="K102" s="906">
        <v>399188</v>
      </c>
      <c r="L102" s="902">
        <v>2.92</v>
      </c>
      <c r="M102" s="906">
        <v>80390</v>
      </c>
      <c r="N102" s="906">
        <v>255156</v>
      </c>
      <c r="O102" s="902">
        <v>3.17</v>
      </c>
      <c r="P102" s="907">
        <v>130243</v>
      </c>
      <c r="Q102" s="907">
        <v>388635</v>
      </c>
      <c r="R102" s="905">
        <v>2.98</v>
      </c>
      <c r="T102" s="902">
        <v>466.6</v>
      </c>
      <c r="U102" s="901">
        <v>1396</v>
      </c>
      <c r="V102" s="902">
        <v>2.99</v>
      </c>
      <c r="W102" s="906">
        <v>82715</v>
      </c>
      <c r="X102" s="906">
        <v>245630</v>
      </c>
      <c r="Y102" s="902">
        <v>2.97</v>
      </c>
      <c r="Z102" s="906">
        <v>129804</v>
      </c>
      <c r="AA102" s="906">
        <v>379075</v>
      </c>
      <c r="AB102" s="902">
        <v>2.92</v>
      </c>
      <c r="AC102" s="906">
        <v>77778</v>
      </c>
      <c r="AD102" s="906">
        <v>234935</v>
      </c>
      <c r="AE102" s="902">
        <v>3.02</v>
      </c>
      <c r="AF102" s="905">
        <v>0</v>
      </c>
      <c r="AG102" s="905">
        <v>0</v>
      </c>
      <c r="AH102" s="905" t="s">
        <v>1483</v>
      </c>
      <c r="AI102" s="901">
        <v>1410.5</v>
      </c>
      <c r="AJ102" s="901">
        <v>4254.5</v>
      </c>
      <c r="AK102" s="902">
        <v>3.02</v>
      </c>
      <c r="AL102" s="906">
        <v>208857</v>
      </c>
      <c r="AM102" s="906">
        <v>587609</v>
      </c>
      <c r="AN102" s="902">
        <v>2.81</v>
      </c>
      <c r="AP102" s="900">
        <v>2011</v>
      </c>
      <c r="AQ102" s="900" t="s">
        <v>1474</v>
      </c>
      <c r="AR102" s="906">
        <v>266496</v>
      </c>
      <c r="AS102" s="906">
        <v>778263</v>
      </c>
      <c r="AT102" s="902">
        <v>2.92</v>
      </c>
      <c r="AV102" s="900">
        <v>2011</v>
      </c>
      <c r="AW102" s="900" t="s">
        <v>1474</v>
      </c>
      <c r="AX102" s="906">
        <v>158168</v>
      </c>
      <c r="AY102" s="906">
        <v>490092</v>
      </c>
      <c r="AZ102" s="902">
        <v>3.1</v>
      </c>
      <c r="BB102" s="903">
        <v>2011</v>
      </c>
      <c r="BC102" s="903" t="s">
        <v>1474</v>
      </c>
      <c r="BD102" s="907">
        <v>130243</v>
      </c>
      <c r="BE102" s="907">
        <v>388635</v>
      </c>
      <c r="BF102" s="905">
        <v>2.98</v>
      </c>
    </row>
    <row r="103" spans="2:58" ht="10.9" thickBot="1">
      <c r="B103" s="903">
        <v>2011</v>
      </c>
      <c r="C103" s="263">
        <f t="shared" si="1"/>
        <v>40663</v>
      </c>
      <c r="D103" s="909">
        <v>909.7</v>
      </c>
      <c r="E103" s="909">
        <v>2919.7</v>
      </c>
      <c r="F103" s="914">
        <v>3.21</v>
      </c>
      <c r="G103" s="907">
        <v>123045</v>
      </c>
      <c r="H103" s="907">
        <v>346930</v>
      </c>
      <c r="I103" s="905">
        <v>2.82</v>
      </c>
      <c r="J103" s="907">
        <v>128395</v>
      </c>
      <c r="K103" s="907">
        <v>413173</v>
      </c>
      <c r="L103" s="905">
        <v>3.22</v>
      </c>
      <c r="M103" s="907">
        <v>75586</v>
      </c>
      <c r="N103" s="907">
        <v>253116</v>
      </c>
      <c r="O103" s="905">
        <v>3.35</v>
      </c>
      <c r="P103" s="906">
        <v>128067</v>
      </c>
      <c r="Q103" s="906">
        <v>405490</v>
      </c>
      <c r="R103" s="902">
        <v>3.17</v>
      </c>
      <c r="T103" s="905">
        <v>460.6</v>
      </c>
      <c r="U103" s="904">
        <v>1485.8</v>
      </c>
      <c r="V103" s="905">
        <v>3.23</v>
      </c>
      <c r="W103" s="907">
        <v>82202</v>
      </c>
      <c r="X103" s="907">
        <v>270506</v>
      </c>
      <c r="Y103" s="905">
        <v>3.29</v>
      </c>
      <c r="Z103" s="907">
        <v>126194</v>
      </c>
      <c r="AA103" s="907">
        <v>406091</v>
      </c>
      <c r="AB103" s="905">
        <v>3.22</v>
      </c>
      <c r="AC103" s="907">
        <v>81393</v>
      </c>
      <c r="AD103" s="907">
        <v>259391</v>
      </c>
      <c r="AE103" s="905">
        <v>3.19</v>
      </c>
      <c r="AF103" s="902">
        <v>0</v>
      </c>
      <c r="AG103" s="902">
        <v>0</v>
      </c>
      <c r="AH103" s="902" t="s">
        <v>1483</v>
      </c>
      <c r="AI103" s="904">
        <v>1370.4</v>
      </c>
      <c r="AJ103" s="904">
        <v>4405.5</v>
      </c>
      <c r="AK103" s="905">
        <v>3.21</v>
      </c>
      <c r="AL103" s="907">
        <v>205247</v>
      </c>
      <c r="AM103" s="907">
        <v>617436</v>
      </c>
      <c r="AN103" s="905">
        <v>3.01</v>
      </c>
      <c r="AP103" s="903">
        <v>2011</v>
      </c>
      <c r="AQ103" s="903" t="s">
        <v>1475</v>
      </c>
      <c r="AR103" s="907">
        <v>254589</v>
      </c>
      <c r="AS103" s="907">
        <v>819265</v>
      </c>
      <c r="AT103" s="905">
        <v>3.22</v>
      </c>
      <c r="AV103" s="903">
        <v>2011</v>
      </c>
      <c r="AW103" s="903" t="s">
        <v>1475</v>
      </c>
      <c r="AX103" s="907">
        <v>156979</v>
      </c>
      <c r="AY103" s="907">
        <v>512507</v>
      </c>
      <c r="AZ103" s="905">
        <v>3.26</v>
      </c>
      <c r="BB103" s="900">
        <v>2011</v>
      </c>
      <c r="BC103" s="900" t="s">
        <v>1475</v>
      </c>
      <c r="BD103" s="906">
        <v>128067</v>
      </c>
      <c r="BE103" s="906">
        <v>405490</v>
      </c>
      <c r="BF103" s="902">
        <v>3.17</v>
      </c>
    </row>
    <row r="104" spans="2:58" ht="10.9" thickBot="1">
      <c r="B104" s="900">
        <v>2011</v>
      </c>
      <c r="C104" s="263">
        <f t="shared" si="1"/>
        <v>40694</v>
      </c>
      <c r="D104" s="909">
        <v>921.9</v>
      </c>
      <c r="E104" s="909">
        <v>2993.1</v>
      </c>
      <c r="F104" s="914">
        <v>3.25</v>
      </c>
      <c r="G104" s="906">
        <v>122594</v>
      </c>
      <c r="H104" s="906">
        <v>373152</v>
      </c>
      <c r="I104" s="902">
        <v>3.04</v>
      </c>
      <c r="J104" s="906">
        <v>133809</v>
      </c>
      <c r="K104" s="906">
        <v>436135</v>
      </c>
      <c r="L104" s="902">
        <v>3.26</v>
      </c>
      <c r="M104" s="906">
        <v>77219</v>
      </c>
      <c r="N104" s="906">
        <v>258094</v>
      </c>
      <c r="O104" s="902">
        <v>3.34</v>
      </c>
      <c r="P104" s="907">
        <v>131070</v>
      </c>
      <c r="Q104" s="907">
        <v>422417</v>
      </c>
      <c r="R104" s="905">
        <v>3.22</v>
      </c>
      <c r="T104" s="902">
        <v>476.1</v>
      </c>
      <c r="U104" s="901">
        <v>1548.3</v>
      </c>
      <c r="V104" s="902">
        <v>3.25</v>
      </c>
      <c r="W104" s="906">
        <v>87085</v>
      </c>
      <c r="X104" s="906">
        <v>277924</v>
      </c>
      <c r="Y104" s="902">
        <v>3.19</v>
      </c>
      <c r="Z104" s="906">
        <v>130453</v>
      </c>
      <c r="AA104" s="906">
        <v>425195</v>
      </c>
      <c r="AB104" s="902">
        <v>3.26</v>
      </c>
      <c r="AC104" s="906">
        <v>84815</v>
      </c>
      <c r="AD104" s="906">
        <v>276325</v>
      </c>
      <c r="AE104" s="902">
        <v>3.26</v>
      </c>
      <c r="AF104" s="905">
        <v>0</v>
      </c>
      <c r="AG104" s="905">
        <v>0</v>
      </c>
      <c r="AH104" s="905" t="s">
        <v>1483</v>
      </c>
      <c r="AI104" s="901">
        <v>1398</v>
      </c>
      <c r="AJ104" s="901">
        <v>4541.3999999999996</v>
      </c>
      <c r="AK104" s="902">
        <v>3.25</v>
      </c>
      <c r="AL104" s="906">
        <v>209679</v>
      </c>
      <c r="AM104" s="906">
        <v>651076</v>
      </c>
      <c r="AN104" s="902">
        <v>3.11</v>
      </c>
      <c r="AP104" s="900">
        <v>2011</v>
      </c>
      <c r="AQ104" s="900" t="s">
        <v>1465</v>
      </c>
      <c r="AR104" s="906">
        <v>264262</v>
      </c>
      <c r="AS104" s="906">
        <v>861330</v>
      </c>
      <c r="AT104" s="902">
        <v>3.26</v>
      </c>
      <c r="AV104" s="900">
        <v>2011</v>
      </c>
      <c r="AW104" s="900" t="s">
        <v>1465</v>
      </c>
      <c r="AX104" s="906">
        <v>162034</v>
      </c>
      <c r="AY104" s="906">
        <v>534419</v>
      </c>
      <c r="AZ104" s="902">
        <v>3.3</v>
      </c>
      <c r="BB104" s="903">
        <v>2011</v>
      </c>
      <c r="BC104" s="903" t="s">
        <v>1465</v>
      </c>
      <c r="BD104" s="907">
        <v>131070</v>
      </c>
      <c r="BE104" s="907">
        <v>422417</v>
      </c>
      <c r="BF104" s="905">
        <v>3.22</v>
      </c>
    </row>
    <row r="105" spans="2:58" ht="10.9" thickBot="1">
      <c r="B105" s="903">
        <v>2011</v>
      </c>
      <c r="C105" s="263">
        <f t="shared" si="1"/>
        <v>40724</v>
      </c>
      <c r="D105" s="909">
        <v>953.7</v>
      </c>
      <c r="E105" s="909">
        <v>2984.1</v>
      </c>
      <c r="F105" s="914">
        <v>3.13</v>
      </c>
      <c r="G105" s="907">
        <v>125055</v>
      </c>
      <c r="H105" s="907">
        <v>360743</v>
      </c>
      <c r="I105" s="905">
        <v>2.88</v>
      </c>
      <c r="J105" s="907">
        <v>138649</v>
      </c>
      <c r="K105" s="907">
        <v>426438</v>
      </c>
      <c r="L105" s="905">
        <v>3.08</v>
      </c>
      <c r="M105" s="907">
        <v>83462</v>
      </c>
      <c r="N105" s="907">
        <v>257165</v>
      </c>
      <c r="O105" s="905">
        <v>3.08</v>
      </c>
      <c r="P105" s="906">
        <v>134089</v>
      </c>
      <c r="Q105" s="906">
        <v>429056</v>
      </c>
      <c r="R105" s="902">
        <v>3.2</v>
      </c>
      <c r="T105" s="905">
        <v>494.9</v>
      </c>
      <c r="U105" s="904">
        <v>1524.7</v>
      </c>
      <c r="V105" s="905">
        <v>3.08</v>
      </c>
      <c r="W105" s="907">
        <v>86255</v>
      </c>
      <c r="X105" s="907">
        <v>263656</v>
      </c>
      <c r="Y105" s="905">
        <v>3.06</v>
      </c>
      <c r="Z105" s="907">
        <v>146632</v>
      </c>
      <c r="AA105" s="907">
        <v>450990</v>
      </c>
      <c r="AB105" s="905">
        <v>3.08</v>
      </c>
      <c r="AC105" s="907">
        <v>84193</v>
      </c>
      <c r="AD105" s="907">
        <v>250356</v>
      </c>
      <c r="AE105" s="905">
        <v>2.97</v>
      </c>
      <c r="AF105" s="902">
        <v>0</v>
      </c>
      <c r="AG105" s="902">
        <v>0</v>
      </c>
      <c r="AH105" s="902" t="s">
        <v>1483</v>
      </c>
      <c r="AI105" s="904">
        <v>1448.6</v>
      </c>
      <c r="AJ105" s="904">
        <v>4508.8</v>
      </c>
      <c r="AK105" s="905">
        <v>3.11</v>
      </c>
      <c r="AL105" s="907">
        <v>211310</v>
      </c>
      <c r="AM105" s="907">
        <v>624399</v>
      </c>
      <c r="AN105" s="905">
        <v>2.95</v>
      </c>
      <c r="AP105" s="903">
        <v>2011</v>
      </c>
      <c r="AQ105" s="903" t="s">
        <v>1476</v>
      </c>
      <c r="AR105" s="907">
        <v>285281</v>
      </c>
      <c r="AS105" s="907">
        <v>877428</v>
      </c>
      <c r="AT105" s="905">
        <v>3.08</v>
      </c>
      <c r="AV105" s="903">
        <v>2011</v>
      </c>
      <c r="AW105" s="903" t="s">
        <v>1476</v>
      </c>
      <c r="AX105" s="907">
        <v>167656</v>
      </c>
      <c r="AY105" s="907">
        <v>507522</v>
      </c>
      <c r="AZ105" s="905">
        <v>3.03</v>
      </c>
      <c r="BB105" s="900">
        <v>2011</v>
      </c>
      <c r="BC105" s="900" t="s">
        <v>1476</v>
      </c>
      <c r="BD105" s="906">
        <v>134089</v>
      </c>
      <c r="BE105" s="906">
        <v>429056</v>
      </c>
      <c r="BF105" s="902">
        <v>3.2</v>
      </c>
    </row>
    <row r="106" spans="2:58" ht="10.9" thickBot="1">
      <c r="B106" s="900">
        <v>2011</v>
      </c>
      <c r="C106" s="263">
        <f t="shared" si="1"/>
        <v>40755</v>
      </c>
      <c r="D106" s="909">
        <v>978.8</v>
      </c>
      <c r="E106" s="909">
        <v>3042.7</v>
      </c>
      <c r="F106" s="914">
        <v>3.11</v>
      </c>
      <c r="G106" s="906">
        <v>128585</v>
      </c>
      <c r="H106" s="906">
        <v>381087</v>
      </c>
      <c r="I106" s="902">
        <v>2.96</v>
      </c>
      <c r="J106" s="906">
        <v>144988</v>
      </c>
      <c r="K106" s="906">
        <v>445346</v>
      </c>
      <c r="L106" s="902">
        <v>3.07</v>
      </c>
      <c r="M106" s="906">
        <v>85643</v>
      </c>
      <c r="N106" s="906">
        <v>269149</v>
      </c>
      <c r="O106" s="902">
        <v>3.14</v>
      </c>
      <c r="P106" s="907">
        <v>137211</v>
      </c>
      <c r="Q106" s="907">
        <v>418218</v>
      </c>
      <c r="R106" s="905">
        <v>3.05</v>
      </c>
      <c r="T106" s="902">
        <v>528.29999999999995</v>
      </c>
      <c r="U106" s="901">
        <v>1642.5</v>
      </c>
      <c r="V106" s="902">
        <v>3.11</v>
      </c>
      <c r="W106" s="906">
        <v>92742</v>
      </c>
      <c r="X106" s="906">
        <v>283596</v>
      </c>
      <c r="Y106" s="902">
        <v>3.06</v>
      </c>
      <c r="Z106" s="906">
        <v>159312</v>
      </c>
      <c r="AA106" s="906">
        <v>489342</v>
      </c>
      <c r="AB106" s="902">
        <v>3.07</v>
      </c>
      <c r="AC106" s="906">
        <v>91034</v>
      </c>
      <c r="AD106" s="906">
        <v>286092</v>
      </c>
      <c r="AE106" s="902">
        <v>3.14</v>
      </c>
      <c r="AF106" s="905">
        <v>0</v>
      </c>
      <c r="AG106" s="905">
        <v>0</v>
      </c>
      <c r="AH106" s="905" t="s">
        <v>1483</v>
      </c>
      <c r="AI106" s="901">
        <v>1507.2</v>
      </c>
      <c r="AJ106" s="901">
        <v>4685.2</v>
      </c>
      <c r="AK106" s="902">
        <v>3.11</v>
      </c>
      <c r="AL106" s="906">
        <v>221327</v>
      </c>
      <c r="AM106" s="906">
        <v>664682</v>
      </c>
      <c r="AN106" s="902">
        <v>3</v>
      </c>
      <c r="AP106" s="900">
        <v>2011</v>
      </c>
      <c r="AQ106" s="900" t="s">
        <v>1477</v>
      </c>
      <c r="AR106" s="906">
        <v>304300</v>
      </c>
      <c r="AS106" s="906">
        <v>934688</v>
      </c>
      <c r="AT106" s="902">
        <v>3.07</v>
      </c>
      <c r="AV106" s="900">
        <v>2011</v>
      </c>
      <c r="AW106" s="900" t="s">
        <v>1477</v>
      </c>
      <c r="AX106" s="906">
        <v>176677</v>
      </c>
      <c r="AY106" s="906">
        <v>555241</v>
      </c>
      <c r="AZ106" s="902">
        <v>3.14</v>
      </c>
      <c r="BB106" s="903">
        <v>2011</v>
      </c>
      <c r="BC106" s="903" t="s">
        <v>1477</v>
      </c>
      <c r="BD106" s="907">
        <v>137211</v>
      </c>
      <c r="BE106" s="907">
        <v>418218</v>
      </c>
      <c r="BF106" s="905">
        <v>3.05</v>
      </c>
    </row>
    <row r="107" spans="2:58" ht="10.9" thickBot="1">
      <c r="B107" s="903">
        <v>2011</v>
      </c>
      <c r="C107" s="263">
        <f t="shared" si="1"/>
        <v>40786</v>
      </c>
      <c r="D107" s="909">
        <v>952.9</v>
      </c>
      <c r="E107" s="909">
        <v>2978.3</v>
      </c>
      <c r="F107" s="914">
        <v>3.13</v>
      </c>
      <c r="G107" s="907">
        <v>124646</v>
      </c>
      <c r="H107" s="907">
        <v>378969</v>
      </c>
      <c r="I107" s="905">
        <v>3.04</v>
      </c>
      <c r="J107" s="907">
        <v>139682</v>
      </c>
      <c r="K107" s="907">
        <v>424982</v>
      </c>
      <c r="L107" s="905">
        <v>3.04</v>
      </c>
      <c r="M107" s="907">
        <v>84979</v>
      </c>
      <c r="N107" s="907">
        <v>266651</v>
      </c>
      <c r="O107" s="905">
        <v>3.14</v>
      </c>
      <c r="P107" s="906">
        <v>131446</v>
      </c>
      <c r="Q107" s="906">
        <v>415625</v>
      </c>
      <c r="R107" s="902">
        <v>3.16</v>
      </c>
      <c r="T107" s="905">
        <v>508.1</v>
      </c>
      <c r="U107" s="904">
        <v>1574.4</v>
      </c>
      <c r="V107" s="905">
        <v>3.1</v>
      </c>
      <c r="W107" s="907">
        <v>88551</v>
      </c>
      <c r="X107" s="907">
        <v>267451</v>
      </c>
      <c r="Y107" s="905">
        <v>3.02</v>
      </c>
      <c r="Z107" s="907">
        <v>152992</v>
      </c>
      <c r="AA107" s="907">
        <v>465479</v>
      </c>
      <c r="AB107" s="905">
        <v>3.04</v>
      </c>
      <c r="AC107" s="907">
        <v>88391</v>
      </c>
      <c r="AD107" s="907">
        <v>277355</v>
      </c>
      <c r="AE107" s="905">
        <v>3.14</v>
      </c>
      <c r="AF107" s="902">
        <v>0</v>
      </c>
      <c r="AG107" s="902">
        <v>0</v>
      </c>
      <c r="AH107" s="902" t="s">
        <v>1483</v>
      </c>
      <c r="AI107" s="904">
        <v>1461</v>
      </c>
      <c r="AJ107" s="904">
        <v>4552.7</v>
      </c>
      <c r="AK107" s="905">
        <v>3.12</v>
      </c>
      <c r="AL107" s="907">
        <v>213198</v>
      </c>
      <c r="AM107" s="907">
        <v>646420</v>
      </c>
      <c r="AN107" s="905">
        <v>3.03</v>
      </c>
      <c r="AP107" s="903">
        <v>2011</v>
      </c>
      <c r="AQ107" s="903" t="s">
        <v>1478</v>
      </c>
      <c r="AR107" s="907">
        <v>292674</v>
      </c>
      <c r="AS107" s="907">
        <v>890462</v>
      </c>
      <c r="AT107" s="905">
        <v>3.04</v>
      </c>
      <c r="AV107" s="903">
        <v>2011</v>
      </c>
      <c r="AW107" s="903" t="s">
        <v>1478</v>
      </c>
      <c r="AX107" s="907">
        <v>173370</v>
      </c>
      <c r="AY107" s="907">
        <v>544007</v>
      </c>
      <c r="AZ107" s="905">
        <v>3.14</v>
      </c>
      <c r="BB107" s="900">
        <v>2011</v>
      </c>
      <c r="BC107" s="900" t="s">
        <v>1478</v>
      </c>
      <c r="BD107" s="906">
        <v>131446</v>
      </c>
      <c r="BE107" s="906">
        <v>415625</v>
      </c>
      <c r="BF107" s="902">
        <v>3.16</v>
      </c>
    </row>
    <row r="108" spans="2:58" ht="10.9" thickBot="1">
      <c r="B108" s="900">
        <v>2011</v>
      </c>
      <c r="C108" s="263">
        <f t="shared" si="1"/>
        <v>40816</v>
      </c>
      <c r="D108" s="909">
        <v>866.7</v>
      </c>
      <c r="E108" s="909">
        <v>2752.4</v>
      </c>
      <c r="F108" s="914">
        <v>3.18</v>
      </c>
      <c r="G108" s="906">
        <v>117406</v>
      </c>
      <c r="H108" s="906">
        <v>386408</v>
      </c>
      <c r="I108" s="902">
        <v>3.29</v>
      </c>
      <c r="J108" s="906">
        <v>125844</v>
      </c>
      <c r="K108" s="906">
        <v>381491</v>
      </c>
      <c r="L108" s="902">
        <v>3.03</v>
      </c>
      <c r="M108" s="906">
        <v>75263</v>
      </c>
      <c r="N108" s="906">
        <v>235429</v>
      </c>
      <c r="O108" s="902">
        <v>3.13</v>
      </c>
      <c r="P108" s="907">
        <v>121107</v>
      </c>
      <c r="Q108" s="907">
        <v>405860</v>
      </c>
      <c r="R108" s="905">
        <v>3.35</v>
      </c>
      <c r="T108" s="902">
        <v>453.1</v>
      </c>
      <c r="U108" s="901">
        <v>1394.3</v>
      </c>
      <c r="V108" s="902">
        <v>3.08</v>
      </c>
      <c r="W108" s="906">
        <v>81680</v>
      </c>
      <c r="X108" s="906">
        <v>246383</v>
      </c>
      <c r="Y108" s="902">
        <v>3.02</v>
      </c>
      <c r="Z108" s="906">
        <v>127042</v>
      </c>
      <c r="AA108" s="906">
        <v>385121</v>
      </c>
      <c r="AB108" s="902">
        <v>3.03</v>
      </c>
      <c r="AC108" s="906">
        <v>80018</v>
      </c>
      <c r="AD108" s="906">
        <v>250303</v>
      </c>
      <c r="AE108" s="902">
        <v>3.13</v>
      </c>
      <c r="AF108" s="905">
        <v>0</v>
      </c>
      <c r="AG108" s="905">
        <v>0</v>
      </c>
      <c r="AH108" s="905" t="s">
        <v>1483</v>
      </c>
      <c r="AI108" s="901">
        <v>1319.8</v>
      </c>
      <c r="AJ108" s="901">
        <v>4146.7</v>
      </c>
      <c r="AK108" s="902">
        <v>3.14</v>
      </c>
      <c r="AL108" s="906">
        <v>199086</v>
      </c>
      <c r="AM108" s="906">
        <v>632790</v>
      </c>
      <c r="AN108" s="902">
        <v>3.18</v>
      </c>
      <c r="AP108" s="900">
        <v>2011</v>
      </c>
      <c r="AQ108" s="900" t="s">
        <v>1479</v>
      </c>
      <c r="AR108" s="906">
        <v>252886</v>
      </c>
      <c r="AS108" s="906">
        <v>766612</v>
      </c>
      <c r="AT108" s="902">
        <v>3.03</v>
      </c>
      <c r="AV108" s="900">
        <v>2011</v>
      </c>
      <c r="AW108" s="900" t="s">
        <v>1479</v>
      </c>
      <c r="AX108" s="906">
        <v>155282</v>
      </c>
      <c r="AY108" s="906">
        <v>485732</v>
      </c>
      <c r="AZ108" s="902">
        <v>3.13</v>
      </c>
      <c r="BB108" s="903">
        <v>2011</v>
      </c>
      <c r="BC108" s="903" t="s">
        <v>1479</v>
      </c>
      <c r="BD108" s="907">
        <v>121107</v>
      </c>
      <c r="BE108" s="907">
        <v>405860</v>
      </c>
      <c r="BF108" s="905">
        <v>3.35</v>
      </c>
    </row>
    <row r="109" spans="2:58" ht="10.9" thickBot="1">
      <c r="B109" s="903">
        <v>2011</v>
      </c>
      <c r="C109" s="263">
        <f t="shared" si="1"/>
        <v>40847</v>
      </c>
      <c r="D109" s="909">
        <v>895</v>
      </c>
      <c r="E109" s="909">
        <v>2684.7</v>
      </c>
      <c r="F109" s="914">
        <v>3</v>
      </c>
      <c r="G109" s="907">
        <v>118637</v>
      </c>
      <c r="H109" s="907">
        <v>314672</v>
      </c>
      <c r="I109" s="905">
        <v>2.65</v>
      </c>
      <c r="J109" s="907">
        <v>139730</v>
      </c>
      <c r="K109" s="907">
        <v>417340</v>
      </c>
      <c r="L109" s="905">
        <v>2.99</v>
      </c>
      <c r="M109" s="907">
        <v>73898</v>
      </c>
      <c r="N109" s="907">
        <v>225497</v>
      </c>
      <c r="O109" s="905">
        <v>3.05</v>
      </c>
      <c r="P109" s="906">
        <v>126966</v>
      </c>
      <c r="Q109" s="906">
        <v>393304</v>
      </c>
      <c r="R109" s="902">
        <v>3.1</v>
      </c>
      <c r="T109" s="905">
        <v>443.7</v>
      </c>
      <c r="U109" s="904">
        <v>1330.2</v>
      </c>
      <c r="V109" s="905">
        <v>3</v>
      </c>
      <c r="W109" s="907">
        <v>83426</v>
      </c>
      <c r="X109" s="907">
        <v>244978</v>
      </c>
      <c r="Y109" s="905">
        <v>2.94</v>
      </c>
      <c r="Z109" s="907">
        <v>113923</v>
      </c>
      <c r="AA109" s="907">
        <v>340260</v>
      </c>
      <c r="AB109" s="905">
        <v>2.99</v>
      </c>
      <c r="AC109" s="907">
        <v>83965</v>
      </c>
      <c r="AD109" s="907">
        <v>256217</v>
      </c>
      <c r="AE109" s="905">
        <v>3.05</v>
      </c>
      <c r="AF109" s="902">
        <v>0</v>
      </c>
      <c r="AG109" s="902">
        <v>0</v>
      </c>
      <c r="AH109" s="902" t="s">
        <v>1483</v>
      </c>
      <c r="AI109" s="904">
        <v>1338.8</v>
      </c>
      <c r="AJ109" s="904">
        <v>4014.9</v>
      </c>
      <c r="AK109" s="905">
        <v>3</v>
      </c>
      <c r="AL109" s="907">
        <v>202063</v>
      </c>
      <c r="AM109" s="907">
        <v>559650</v>
      </c>
      <c r="AN109" s="905">
        <v>2.77</v>
      </c>
      <c r="AP109" s="903">
        <v>2011</v>
      </c>
      <c r="AQ109" s="903" t="s">
        <v>1480</v>
      </c>
      <c r="AR109" s="907">
        <v>253652</v>
      </c>
      <c r="AS109" s="907">
        <v>757600</v>
      </c>
      <c r="AT109" s="905">
        <v>2.99</v>
      </c>
      <c r="AV109" s="903">
        <v>2011</v>
      </c>
      <c r="AW109" s="903" t="s">
        <v>1480</v>
      </c>
      <c r="AX109" s="907">
        <v>157864</v>
      </c>
      <c r="AY109" s="907">
        <v>481714</v>
      </c>
      <c r="AZ109" s="905">
        <v>3.05</v>
      </c>
      <c r="BB109" s="900">
        <v>2011</v>
      </c>
      <c r="BC109" s="900" t="s">
        <v>1480</v>
      </c>
      <c r="BD109" s="906">
        <v>126966</v>
      </c>
      <c r="BE109" s="906">
        <v>393304</v>
      </c>
      <c r="BF109" s="902">
        <v>3.1</v>
      </c>
    </row>
    <row r="110" spans="2:58" ht="10.9" thickBot="1">
      <c r="B110" s="900">
        <v>2011</v>
      </c>
      <c r="C110" s="263">
        <f t="shared" si="1"/>
        <v>40877</v>
      </c>
      <c r="D110" s="909">
        <v>859.9</v>
      </c>
      <c r="E110" s="909">
        <v>2664.2</v>
      </c>
      <c r="F110" s="914">
        <v>3.1</v>
      </c>
      <c r="G110" s="906">
        <v>112041</v>
      </c>
      <c r="H110" s="906">
        <v>338549</v>
      </c>
      <c r="I110" s="902">
        <v>3.02</v>
      </c>
      <c r="J110" s="906">
        <v>123746</v>
      </c>
      <c r="K110" s="906">
        <v>350912</v>
      </c>
      <c r="L110" s="902">
        <v>2.84</v>
      </c>
      <c r="M110" s="906">
        <v>67342</v>
      </c>
      <c r="N110" s="906">
        <v>207559</v>
      </c>
      <c r="O110" s="902">
        <v>3.08</v>
      </c>
      <c r="P110" s="907">
        <v>119129</v>
      </c>
      <c r="Q110" s="907">
        <v>380345</v>
      </c>
      <c r="R110" s="905">
        <v>3.19</v>
      </c>
      <c r="T110" s="902">
        <v>409.7</v>
      </c>
      <c r="U110" s="901">
        <v>1233.0999999999999</v>
      </c>
      <c r="V110" s="902">
        <v>3.01</v>
      </c>
      <c r="W110" s="906">
        <v>74148</v>
      </c>
      <c r="X110" s="906">
        <v>222454</v>
      </c>
      <c r="Y110" s="902">
        <v>3</v>
      </c>
      <c r="Z110" s="906">
        <v>105018</v>
      </c>
      <c r="AA110" s="906">
        <v>297802</v>
      </c>
      <c r="AB110" s="902">
        <v>2.84</v>
      </c>
      <c r="AC110" s="906">
        <v>72580</v>
      </c>
      <c r="AD110" s="906">
        <v>223701</v>
      </c>
      <c r="AE110" s="902">
        <v>3.08</v>
      </c>
      <c r="AF110" s="905">
        <v>0</v>
      </c>
      <c r="AG110" s="905">
        <v>0</v>
      </c>
      <c r="AH110" s="905" t="s">
        <v>1483</v>
      </c>
      <c r="AI110" s="901">
        <v>1269.7</v>
      </c>
      <c r="AJ110" s="901">
        <v>3897.4</v>
      </c>
      <c r="AK110" s="902">
        <v>3.07</v>
      </c>
      <c r="AL110" s="906">
        <v>186189</v>
      </c>
      <c r="AM110" s="906">
        <v>561003</v>
      </c>
      <c r="AN110" s="902">
        <v>3.01</v>
      </c>
      <c r="AP110" s="900">
        <v>2011</v>
      </c>
      <c r="AQ110" s="900" t="s">
        <v>1481</v>
      </c>
      <c r="AR110" s="906">
        <v>228764</v>
      </c>
      <c r="AS110" s="906">
        <v>648713</v>
      </c>
      <c r="AT110" s="902">
        <v>2.84</v>
      </c>
      <c r="AV110" s="900">
        <v>2011</v>
      </c>
      <c r="AW110" s="900" t="s">
        <v>1481</v>
      </c>
      <c r="AX110" s="906">
        <v>139922</v>
      </c>
      <c r="AY110" s="906">
        <v>431260</v>
      </c>
      <c r="AZ110" s="902">
        <v>3.08</v>
      </c>
      <c r="BB110" s="903">
        <v>2011</v>
      </c>
      <c r="BC110" s="903" t="s">
        <v>1481</v>
      </c>
      <c r="BD110" s="907">
        <v>119129</v>
      </c>
      <c r="BE110" s="907">
        <v>380345</v>
      </c>
      <c r="BF110" s="905">
        <v>3.19</v>
      </c>
    </row>
    <row r="111" spans="2:58" ht="11.2" customHeight="1" thickBot="1">
      <c r="B111" s="903">
        <v>2011</v>
      </c>
      <c r="C111" s="263">
        <f t="shared" si="1"/>
        <v>40908</v>
      </c>
      <c r="D111" s="909">
        <v>889.7</v>
      </c>
      <c r="E111" s="909">
        <v>2742.9</v>
      </c>
      <c r="F111" s="914">
        <v>3.08</v>
      </c>
      <c r="G111" s="907">
        <v>116416</v>
      </c>
      <c r="H111" s="907">
        <v>358237</v>
      </c>
      <c r="I111" s="905">
        <v>3.08</v>
      </c>
      <c r="J111" s="907">
        <v>123973</v>
      </c>
      <c r="K111" s="907">
        <v>362003</v>
      </c>
      <c r="L111" s="905">
        <v>2.92</v>
      </c>
      <c r="M111" s="907">
        <v>72142</v>
      </c>
      <c r="N111" s="907">
        <v>225001</v>
      </c>
      <c r="O111" s="905">
        <v>3.12</v>
      </c>
      <c r="P111" s="906">
        <v>122167</v>
      </c>
      <c r="Q111" s="906">
        <v>400801</v>
      </c>
      <c r="R111" s="902">
        <v>3.28</v>
      </c>
      <c r="T111" s="905">
        <v>436.5</v>
      </c>
      <c r="U111" s="904">
        <v>1318.8</v>
      </c>
      <c r="V111" s="905">
        <v>3.02</v>
      </c>
      <c r="W111" s="907">
        <v>81328</v>
      </c>
      <c r="X111" s="907">
        <v>239622</v>
      </c>
      <c r="Y111" s="905">
        <v>2.95</v>
      </c>
      <c r="Z111" s="907">
        <v>114920</v>
      </c>
      <c r="AA111" s="907">
        <v>335568</v>
      </c>
      <c r="AB111" s="905">
        <v>2.92</v>
      </c>
      <c r="AC111" s="907">
        <v>75225</v>
      </c>
      <c r="AD111" s="907">
        <v>234616</v>
      </c>
      <c r="AE111" s="905">
        <v>3.12</v>
      </c>
      <c r="AF111" s="902">
        <v>0</v>
      </c>
      <c r="AG111" s="902">
        <v>0</v>
      </c>
      <c r="AH111" s="902" t="s">
        <v>1483</v>
      </c>
      <c r="AI111" s="904">
        <v>1326.2</v>
      </c>
      <c r="AJ111" s="904">
        <v>4061.7</v>
      </c>
      <c r="AK111" s="905">
        <v>3.06</v>
      </c>
      <c r="AL111" s="907">
        <v>197745</v>
      </c>
      <c r="AM111" s="907">
        <v>597859</v>
      </c>
      <c r="AN111" s="905">
        <v>3.02</v>
      </c>
      <c r="AP111" s="903">
        <v>2011</v>
      </c>
      <c r="AQ111" s="903" t="s">
        <v>1482</v>
      </c>
      <c r="AR111" s="907">
        <v>238893</v>
      </c>
      <c r="AS111" s="907">
        <v>697571</v>
      </c>
      <c r="AT111" s="905">
        <v>2.92</v>
      </c>
      <c r="AV111" s="903">
        <v>2011</v>
      </c>
      <c r="AW111" s="903" t="s">
        <v>1482</v>
      </c>
      <c r="AX111" s="907">
        <v>147367</v>
      </c>
      <c r="AY111" s="907">
        <v>459617</v>
      </c>
      <c r="AZ111" s="905">
        <v>3.12</v>
      </c>
      <c r="BB111" s="900">
        <v>2011</v>
      </c>
      <c r="BC111" s="900" t="s">
        <v>1482</v>
      </c>
      <c r="BD111" s="906">
        <v>122167</v>
      </c>
      <c r="BE111" s="906">
        <v>400801</v>
      </c>
      <c r="BF111" s="902">
        <v>3.28</v>
      </c>
    </row>
    <row r="112" spans="2:58" ht="10.9" thickBot="1">
      <c r="B112" s="900">
        <v>2012</v>
      </c>
      <c r="C112" s="263">
        <f t="shared" si="1"/>
        <v>40939</v>
      </c>
      <c r="D112" s="909">
        <v>808.5</v>
      </c>
      <c r="E112" s="909">
        <v>2538.5</v>
      </c>
      <c r="F112" s="914">
        <v>3.14</v>
      </c>
      <c r="G112" s="906">
        <v>115609</v>
      </c>
      <c r="H112" s="906">
        <v>352299</v>
      </c>
      <c r="I112" s="902">
        <v>3.05</v>
      </c>
      <c r="J112" s="906">
        <v>115158</v>
      </c>
      <c r="K112" s="906">
        <v>366041</v>
      </c>
      <c r="L112" s="902">
        <v>3.18</v>
      </c>
      <c r="M112" s="906">
        <v>118364</v>
      </c>
      <c r="N112" s="906">
        <v>361450</v>
      </c>
      <c r="O112" s="902">
        <v>3.05</v>
      </c>
      <c r="P112" s="907">
        <v>116468</v>
      </c>
      <c r="Q112" s="907">
        <v>376354</v>
      </c>
      <c r="R112" s="905">
        <v>3.23</v>
      </c>
      <c r="T112" s="902">
        <v>444.2</v>
      </c>
      <c r="U112" s="901">
        <v>1371.9</v>
      </c>
      <c r="V112" s="902">
        <v>3.09</v>
      </c>
      <c r="W112" s="906">
        <v>82359</v>
      </c>
      <c r="X112" s="906">
        <v>248735</v>
      </c>
      <c r="Y112" s="902">
        <v>3.02</v>
      </c>
      <c r="Z112" s="906">
        <v>115884</v>
      </c>
      <c r="AA112" s="906">
        <v>368350</v>
      </c>
      <c r="AB112" s="902">
        <v>3.18</v>
      </c>
      <c r="AC112" s="906">
        <v>141085</v>
      </c>
      <c r="AD112" s="906">
        <v>434432</v>
      </c>
      <c r="AE112" s="902">
        <v>3.08</v>
      </c>
      <c r="AF112" s="905">
        <v>0</v>
      </c>
      <c r="AG112" s="905">
        <v>0</v>
      </c>
      <c r="AH112" s="905" t="s">
        <v>1483</v>
      </c>
      <c r="AI112" s="901">
        <v>1252.7</v>
      </c>
      <c r="AJ112" s="901">
        <v>3910.4</v>
      </c>
      <c r="AK112" s="902">
        <v>3.12</v>
      </c>
      <c r="AL112" s="906">
        <v>197968</v>
      </c>
      <c r="AM112" s="906">
        <v>601034</v>
      </c>
      <c r="AN112" s="902">
        <v>3.04</v>
      </c>
      <c r="AP112" s="900">
        <v>2012</v>
      </c>
      <c r="AQ112" s="900" t="s">
        <v>1472</v>
      </c>
      <c r="AR112" s="906">
        <v>231042</v>
      </c>
      <c r="AS112" s="906">
        <v>734391</v>
      </c>
      <c r="AT112" s="902">
        <v>3.18</v>
      </c>
      <c r="AV112" s="900">
        <v>2012</v>
      </c>
      <c r="AW112" s="900" t="s">
        <v>1472</v>
      </c>
      <c r="AX112" s="906">
        <v>259449</v>
      </c>
      <c r="AY112" s="906">
        <v>795882</v>
      </c>
      <c r="AZ112" s="902">
        <v>3.07</v>
      </c>
      <c r="BB112" s="903">
        <v>2012</v>
      </c>
      <c r="BC112" s="903" t="s">
        <v>1472</v>
      </c>
      <c r="BD112" s="907">
        <v>116468</v>
      </c>
      <c r="BE112" s="907">
        <v>376354</v>
      </c>
      <c r="BF112" s="905">
        <v>3.23</v>
      </c>
    </row>
    <row r="113" spans="2:58" ht="10.9" thickBot="1">
      <c r="B113" s="903">
        <v>2012</v>
      </c>
      <c r="C113" s="263">
        <f t="shared" si="1"/>
        <v>40968</v>
      </c>
      <c r="D113" s="909">
        <v>788.3</v>
      </c>
      <c r="E113" s="909">
        <v>2559.6</v>
      </c>
      <c r="F113" s="914">
        <v>3.25</v>
      </c>
      <c r="G113" s="907">
        <v>111386</v>
      </c>
      <c r="H113" s="907">
        <v>357367</v>
      </c>
      <c r="I113" s="905">
        <v>3.21</v>
      </c>
      <c r="J113" s="907">
        <v>109915</v>
      </c>
      <c r="K113" s="907">
        <v>356942</v>
      </c>
      <c r="L113" s="905">
        <v>3.25</v>
      </c>
      <c r="M113" s="907">
        <v>116618</v>
      </c>
      <c r="N113" s="907">
        <v>365514</v>
      </c>
      <c r="O113" s="905">
        <v>3.13</v>
      </c>
      <c r="P113" s="906">
        <v>112991</v>
      </c>
      <c r="Q113" s="906">
        <v>379447</v>
      </c>
      <c r="R113" s="902">
        <v>3.36</v>
      </c>
      <c r="T113" s="905">
        <v>419.6</v>
      </c>
      <c r="U113" s="904">
        <v>1323</v>
      </c>
      <c r="V113" s="905">
        <v>3.15</v>
      </c>
      <c r="W113" s="907">
        <v>76600</v>
      </c>
      <c r="X113" s="907">
        <v>232506</v>
      </c>
      <c r="Y113" s="905">
        <v>3.04</v>
      </c>
      <c r="Z113" s="907">
        <v>108291</v>
      </c>
      <c r="AA113" s="907">
        <v>351669</v>
      </c>
      <c r="AB113" s="905">
        <v>3.25</v>
      </c>
      <c r="AC113" s="907">
        <v>131512</v>
      </c>
      <c r="AD113" s="907">
        <v>414871</v>
      </c>
      <c r="AE113" s="905">
        <v>3.15</v>
      </c>
      <c r="AF113" s="902">
        <v>0</v>
      </c>
      <c r="AG113" s="902">
        <v>0</v>
      </c>
      <c r="AH113" s="902" t="s">
        <v>1483</v>
      </c>
      <c r="AI113" s="904">
        <v>1207.9000000000001</v>
      </c>
      <c r="AJ113" s="904">
        <v>3882.6</v>
      </c>
      <c r="AK113" s="905">
        <v>3.21</v>
      </c>
      <c r="AL113" s="907">
        <v>187986</v>
      </c>
      <c r="AM113" s="907">
        <v>589873</v>
      </c>
      <c r="AN113" s="905">
        <v>3.14</v>
      </c>
      <c r="AP113" s="903">
        <v>2012</v>
      </c>
      <c r="AQ113" s="903" t="s">
        <v>1473</v>
      </c>
      <c r="AR113" s="907">
        <v>218206</v>
      </c>
      <c r="AS113" s="907">
        <v>708611</v>
      </c>
      <c r="AT113" s="905">
        <v>3.25</v>
      </c>
      <c r="AV113" s="903">
        <v>2012</v>
      </c>
      <c r="AW113" s="903" t="s">
        <v>1473</v>
      </c>
      <c r="AX113" s="907">
        <v>248130</v>
      </c>
      <c r="AY113" s="907">
        <v>780385</v>
      </c>
      <c r="AZ113" s="905">
        <v>3.15</v>
      </c>
      <c r="BB113" s="900">
        <v>2012</v>
      </c>
      <c r="BC113" s="900" t="s">
        <v>1473</v>
      </c>
      <c r="BD113" s="906">
        <v>112991</v>
      </c>
      <c r="BE113" s="906">
        <v>379447</v>
      </c>
      <c r="BF113" s="902">
        <v>3.36</v>
      </c>
    </row>
    <row r="114" spans="2:58" ht="10.9" thickBot="1">
      <c r="B114" s="900">
        <v>2012</v>
      </c>
      <c r="C114" s="263">
        <f t="shared" si="1"/>
        <v>40999</v>
      </c>
      <c r="D114" s="909">
        <v>891.3</v>
      </c>
      <c r="E114" s="909">
        <v>2966.7</v>
      </c>
      <c r="F114" s="914">
        <v>3.33</v>
      </c>
      <c r="G114" s="906">
        <v>123204</v>
      </c>
      <c r="H114" s="906">
        <v>405207</v>
      </c>
      <c r="I114" s="902">
        <v>3.29</v>
      </c>
      <c r="J114" s="906">
        <v>129464</v>
      </c>
      <c r="K114" s="906">
        <v>431407</v>
      </c>
      <c r="L114" s="902">
        <v>3.33</v>
      </c>
      <c r="M114" s="906">
        <v>133792</v>
      </c>
      <c r="N114" s="906">
        <v>440669</v>
      </c>
      <c r="O114" s="902">
        <v>3.29</v>
      </c>
      <c r="P114" s="907">
        <v>130906</v>
      </c>
      <c r="Q114" s="907">
        <v>423754</v>
      </c>
      <c r="R114" s="905">
        <v>3.24</v>
      </c>
      <c r="T114" s="902">
        <v>473.6</v>
      </c>
      <c r="U114" s="901">
        <v>1563</v>
      </c>
      <c r="V114" s="902">
        <v>3.3</v>
      </c>
      <c r="W114" s="906">
        <v>82379</v>
      </c>
      <c r="X114" s="906">
        <v>266537</v>
      </c>
      <c r="Y114" s="902">
        <v>3.24</v>
      </c>
      <c r="Z114" s="906">
        <v>125447</v>
      </c>
      <c r="AA114" s="906">
        <v>418024</v>
      </c>
      <c r="AB114" s="902">
        <v>3.33</v>
      </c>
      <c r="AC114" s="906">
        <v>147110</v>
      </c>
      <c r="AD114" s="906">
        <v>490281</v>
      </c>
      <c r="AE114" s="902">
        <v>3.33</v>
      </c>
      <c r="AF114" s="905">
        <v>0</v>
      </c>
      <c r="AG114" s="905">
        <v>0</v>
      </c>
      <c r="AH114" s="905" t="s">
        <v>1483</v>
      </c>
      <c r="AI114" s="901">
        <v>1364.9</v>
      </c>
      <c r="AJ114" s="901">
        <v>4529.7</v>
      </c>
      <c r="AK114" s="902">
        <v>3.32</v>
      </c>
      <c r="AL114" s="906">
        <v>205582</v>
      </c>
      <c r="AM114" s="906">
        <v>671744</v>
      </c>
      <c r="AN114" s="902">
        <v>3.27</v>
      </c>
      <c r="AP114" s="900">
        <v>2012</v>
      </c>
      <c r="AQ114" s="900" t="s">
        <v>1474</v>
      </c>
      <c r="AR114" s="906">
        <v>254911</v>
      </c>
      <c r="AS114" s="906">
        <v>849431</v>
      </c>
      <c r="AT114" s="902">
        <v>3.33</v>
      </c>
      <c r="AV114" s="900">
        <v>2012</v>
      </c>
      <c r="AW114" s="900" t="s">
        <v>1474</v>
      </c>
      <c r="AX114" s="906">
        <v>280902</v>
      </c>
      <c r="AY114" s="906">
        <v>930950</v>
      </c>
      <c r="AZ114" s="902">
        <v>3.31</v>
      </c>
      <c r="BB114" s="903">
        <v>2012</v>
      </c>
      <c r="BC114" s="903" t="s">
        <v>1474</v>
      </c>
      <c r="BD114" s="907">
        <v>130906</v>
      </c>
      <c r="BE114" s="907">
        <v>423754</v>
      </c>
      <c r="BF114" s="905">
        <v>3.24</v>
      </c>
    </row>
    <row r="115" spans="2:58" ht="10.9" thickBot="1">
      <c r="B115" s="903">
        <v>2012</v>
      </c>
      <c r="C115" s="263">
        <f t="shared" si="1"/>
        <v>41029</v>
      </c>
      <c r="D115" s="909">
        <v>844.9</v>
      </c>
      <c r="E115" s="909">
        <v>2825.1</v>
      </c>
      <c r="F115" s="914">
        <v>3.34</v>
      </c>
      <c r="G115" s="907">
        <v>114731</v>
      </c>
      <c r="H115" s="907">
        <v>386384</v>
      </c>
      <c r="I115" s="905">
        <v>3.37</v>
      </c>
      <c r="J115" s="907">
        <v>122738</v>
      </c>
      <c r="K115" s="907">
        <v>420393</v>
      </c>
      <c r="L115" s="905">
        <v>3.43</v>
      </c>
      <c r="M115" s="907">
        <v>126984</v>
      </c>
      <c r="N115" s="907">
        <v>411627</v>
      </c>
      <c r="O115" s="905">
        <v>3.24</v>
      </c>
      <c r="P115" s="906">
        <v>156198</v>
      </c>
      <c r="Q115" s="906">
        <v>514552</v>
      </c>
      <c r="R115" s="902">
        <v>3.29</v>
      </c>
      <c r="T115" s="905">
        <v>456.5</v>
      </c>
      <c r="U115" s="904">
        <v>1522.3</v>
      </c>
      <c r="V115" s="905">
        <v>3.33</v>
      </c>
      <c r="W115" s="907">
        <v>79198</v>
      </c>
      <c r="X115" s="907">
        <v>257054</v>
      </c>
      <c r="Y115" s="905">
        <v>3.25</v>
      </c>
      <c r="Z115" s="907">
        <v>124110</v>
      </c>
      <c r="AA115" s="907">
        <v>425092</v>
      </c>
      <c r="AB115" s="905">
        <v>3.43</v>
      </c>
      <c r="AC115" s="907">
        <v>142101</v>
      </c>
      <c r="AD115" s="907">
        <v>476418</v>
      </c>
      <c r="AE115" s="905">
        <v>3.35</v>
      </c>
      <c r="AF115" s="902">
        <v>750</v>
      </c>
      <c r="AG115" s="906">
        <v>2595</v>
      </c>
      <c r="AH115" s="902">
        <v>3.46</v>
      </c>
      <c r="AI115" s="904">
        <v>1301.5</v>
      </c>
      <c r="AJ115" s="904">
        <v>4347.3999999999996</v>
      </c>
      <c r="AK115" s="905">
        <v>3.34</v>
      </c>
      <c r="AL115" s="907">
        <v>193929</v>
      </c>
      <c r="AM115" s="907">
        <v>643439</v>
      </c>
      <c r="AN115" s="905">
        <v>3.32</v>
      </c>
      <c r="AP115" s="903">
        <v>2012</v>
      </c>
      <c r="AQ115" s="903" t="s">
        <v>1475</v>
      </c>
      <c r="AR115" s="907">
        <v>246848</v>
      </c>
      <c r="AS115" s="907">
        <v>845485</v>
      </c>
      <c r="AT115" s="905">
        <v>3.43</v>
      </c>
      <c r="AV115" s="903">
        <v>2012</v>
      </c>
      <c r="AW115" s="903" t="s">
        <v>1475</v>
      </c>
      <c r="AX115" s="907">
        <v>269085</v>
      </c>
      <c r="AY115" s="907">
        <v>888045</v>
      </c>
      <c r="AZ115" s="905">
        <v>3.3</v>
      </c>
      <c r="BB115" s="900">
        <v>2012</v>
      </c>
      <c r="BC115" s="900" t="s">
        <v>1475</v>
      </c>
      <c r="BD115" s="906">
        <v>156948</v>
      </c>
      <c r="BE115" s="906">
        <v>517147</v>
      </c>
      <c r="BF115" s="902">
        <v>3.3</v>
      </c>
    </row>
    <row r="116" spans="2:58" ht="10.9" thickBot="1">
      <c r="B116" s="900">
        <v>2012</v>
      </c>
      <c r="C116" s="263">
        <f t="shared" si="1"/>
        <v>41060</v>
      </c>
      <c r="D116" s="909">
        <v>885</v>
      </c>
      <c r="E116" s="909">
        <v>2867.4</v>
      </c>
      <c r="F116" s="914">
        <v>3.24</v>
      </c>
      <c r="G116" s="906">
        <v>122556</v>
      </c>
      <c r="H116" s="906">
        <v>405756</v>
      </c>
      <c r="I116" s="902">
        <v>3.31</v>
      </c>
      <c r="J116" s="906">
        <v>127273</v>
      </c>
      <c r="K116" s="906">
        <v>432638</v>
      </c>
      <c r="L116" s="902">
        <v>3.4</v>
      </c>
      <c r="M116" s="906">
        <v>133833</v>
      </c>
      <c r="N116" s="906">
        <v>419280</v>
      </c>
      <c r="O116" s="902">
        <v>3.13</v>
      </c>
      <c r="P116" s="907">
        <v>162278</v>
      </c>
      <c r="Q116" s="907">
        <v>508466</v>
      </c>
      <c r="R116" s="905">
        <v>3.13</v>
      </c>
      <c r="T116" s="902">
        <v>487.3</v>
      </c>
      <c r="U116" s="901">
        <v>1577</v>
      </c>
      <c r="V116" s="902">
        <v>3.24</v>
      </c>
      <c r="W116" s="906">
        <v>82976</v>
      </c>
      <c r="X116" s="906">
        <v>255294</v>
      </c>
      <c r="Y116" s="902">
        <v>3.08</v>
      </c>
      <c r="Z116" s="906">
        <v>133391</v>
      </c>
      <c r="AA116" s="906">
        <v>453436</v>
      </c>
      <c r="AB116" s="902">
        <v>3.4</v>
      </c>
      <c r="AC116" s="906">
        <v>152557</v>
      </c>
      <c r="AD116" s="906">
        <v>493096</v>
      </c>
      <c r="AE116" s="902">
        <v>3.23</v>
      </c>
      <c r="AF116" s="905">
        <v>695</v>
      </c>
      <c r="AG116" s="907">
        <v>2465</v>
      </c>
      <c r="AH116" s="905">
        <v>3.55</v>
      </c>
      <c r="AI116" s="901">
        <v>1372.3</v>
      </c>
      <c r="AJ116" s="901">
        <v>4444.3999999999996</v>
      </c>
      <c r="AK116" s="902">
        <v>3.24</v>
      </c>
      <c r="AL116" s="906">
        <v>205531</v>
      </c>
      <c r="AM116" s="906">
        <v>661050</v>
      </c>
      <c r="AN116" s="902">
        <v>3.22</v>
      </c>
      <c r="AP116" s="900">
        <v>2012</v>
      </c>
      <c r="AQ116" s="900" t="s">
        <v>1465</v>
      </c>
      <c r="AR116" s="906">
        <v>260664</v>
      </c>
      <c r="AS116" s="906">
        <v>886074</v>
      </c>
      <c r="AT116" s="902">
        <v>3.4</v>
      </c>
      <c r="AV116" s="900">
        <v>2012</v>
      </c>
      <c r="AW116" s="900" t="s">
        <v>1465</v>
      </c>
      <c r="AX116" s="906">
        <v>286390</v>
      </c>
      <c r="AY116" s="906">
        <v>912376</v>
      </c>
      <c r="AZ116" s="902">
        <v>3.19</v>
      </c>
      <c r="BB116" s="903">
        <v>2012</v>
      </c>
      <c r="BC116" s="903" t="s">
        <v>1465</v>
      </c>
      <c r="BD116" s="907">
        <v>162973</v>
      </c>
      <c r="BE116" s="907">
        <v>510931</v>
      </c>
      <c r="BF116" s="905">
        <v>3.14</v>
      </c>
    </row>
    <row r="117" spans="2:58" ht="10.9" thickBot="1">
      <c r="B117" s="903">
        <v>2012</v>
      </c>
      <c r="C117" s="263">
        <f t="shared" si="1"/>
        <v>41090</v>
      </c>
      <c r="D117" s="909">
        <v>905.7</v>
      </c>
      <c r="E117" s="909">
        <v>2708.8</v>
      </c>
      <c r="F117" s="914">
        <v>2.99</v>
      </c>
      <c r="G117" s="907">
        <v>119344</v>
      </c>
      <c r="H117" s="907">
        <v>355009</v>
      </c>
      <c r="I117" s="905">
        <v>2.97</v>
      </c>
      <c r="J117" s="907">
        <v>135706</v>
      </c>
      <c r="K117" s="907">
        <v>459793</v>
      </c>
      <c r="L117" s="905">
        <v>3.39</v>
      </c>
      <c r="M117" s="907">
        <v>141193</v>
      </c>
      <c r="N117" s="907">
        <v>402993</v>
      </c>
      <c r="O117" s="905">
        <v>2.85</v>
      </c>
      <c r="P117" s="906">
        <v>163889</v>
      </c>
      <c r="Q117" s="906">
        <v>484285</v>
      </c>
      <c r="R117" s="902">
        <v>2.95</v>
      </c>
      <c r="T117" s="905">
        <v>498.2</v>
      </c>
      <c r="U117" s="904">
        <v>1525</v>
      </c>
      <c r="V117" s="905">
        <v>3.06</v>
      </c>
      <c r="W117" s="907">
        <v>84326</v>
      </c>
      <c r="X117" s="907">
        <v>240637</v>
      </c>
      <c r="Y117" s="905">
        <v>2.85</v>
      </c>
      <c r="Z117" s="907">
        <v>143164</v>
      </c>
      <c r="AA117" s="907">
        <v>485059</v>
      </c>
      <c r="AB117" s="905">
        <v>3.39</v>
      </c>
      <c r="AC117" s="907">
        <v>150746</v>
      </c>
      <c r="AD117" s="907">
        <v>450847</v>
      </c>
      <c r="AE117" s="905">
        <v>2.99</v>
      </c>
      <c r="AF117" s="902">
        <v>933</v>
      </c>
      <c r="AG117" s="906">
        <v>2873</v>
      </c>
      <c r="AH117" s="902">
        <v>3.08</v>
      </c>
      <c r="AI117" s="904">
        <v>1403.9</v>
      </c>
      <c r="AJ117" s="904">
        <v>4233.8</v>
      </c>
      <c r="AK117" s="905">
        <v>3.02</v>
      </c>
      <c r="AL117" s="907">
        <v>203670</v>
      </c>
      <c r="AM117" s="907">
        <v>595645</v>
      </c>
      <c r="AN117" s="905">
        <v>2.92</v>
      </c>
      <c r="AP117" s="903">
        <v>2012</v>
      </c>
      <c r="AQ117" s="903" t="s">
        <v>1476</v>
      </c>
      <c r="AR117" s="907">
        <v>278870</v>
      </c>
      <c r="AS117" s="907">
        <v>944851</v>
      </c>
      <c r="AT117" s="905">
        <v>3.39</v>
      </c>
      <c r="AV117" s="903">
        <v>2012</v>
      </c>
      <c r="AW117" s="903" t="s">
        <v>1476</v>
      </c>
      <c r="AX117" s="907">
        <v>291939</v>
      </c>
      <c r="AY117" s="907">
        <v>853840</v>
      </c>
      <c r="AZ117" s="905">
        <v>2.92</v>
      </c>
      <c r="BB117" s="900">
        <v>2012</v>
      </c>
      <c r="BC117" s="900" t="s">
        <v>1476</v>
      </c>
      <c r="BD117" s="906">
        <v>164822</v>
      </c>
      <c r="BE117" s="906">
        <v>487157</v>
      </c>
      <c r="BF117" s="902">
        <v>2.96</v>
      </c>
    </row>
    <row r="118" spans="2:58" ht="10.9" thickBot="1">
      <c r="B118" s="900">
        <v>2012</v>
      </c>
      <c r="C118" s="263">
        <f t="shared" si="1"/>
        <v>41121</v>
      </c>
      <c r="D118" s="909">
        <v>918.7</v>
      </c>
      <c r="E118" s="909">
        <v>2716.2</v>
      </c>
      <c r="F118" s="914">
        <v>2.96</v>
      </c>
      <c r="G118" s="906">
        <v>124774</v>
      </c>
      <c r="H118" s="906">
        <v>367782</v>
      </c>
      <c r="I118" s="902">
        <v>2.95</v>
      </c>
      <c r="J118" s="906">
        <v>143255</v>
      </c>
      <c r="K118" s="906">
        <v>456712</v>
      </c>
      <c r="L118" s="902">
        <v>3.19</v>
      </c>
      <c r="M118" s="906">
        <v>146390</v>
      </c>
      <c r="N118" s="906">
        <v>412790</v>
      </c>
      <c r="O118" s="902">
        <v>2.82</v>
      </c>
      <c r="P118" s="907">
        <v>169960</v>
      </c>
      <c r="Q118" s="907">
        <v>495574</v>
      </c>
      <c r="R118" s="905">
        <v>2.92</v>
      </c>
      <c r="T118" s="902">
        <v>523.5</v>
      </c>
      <c r="U118" s="901">
        <v>1531</v>
      </c>
      <c r="V118" s="902">
        <v>2.92</v>
      </c>
      <c r="W118" s="906">
        <v>90465</v>
      </c>
      <c r="X118" s="906">
        <v>251694</v>
      </c>
      <c r="Y118" s="902">
        <v>2.78</v>
      </c>
      <c r="Z118" s="906">
        <v>151328</v>
      </c>
      <c r="AA118" s="906">
        <v>482447</v>
      </c>
      <c r="AB118" s="902">
        <v>3.19</v>
      </c>
      <c r="AC118" s="906">
        <v>158303</v>
      </c>
      <c r="AD118" s="906">
        <v>447886</v>
      </c>
      <c r="AE118" s="902">
        <v>2.83</v>
      </c>
      <c r="AF118" s="905">
        <v>933</v>
      </c>
      <c r="AG118" s="907">
        <v>2938</v>
      </c>
      <c r="AH118" s="905">
        <v>3.15</v>
      </c>
      <c r="AI118" s="901">
        <v>1442.2</v>
      </c>
      <c r="AJ118" s="901">
        <v>4247.2</v>
      </c>
      <c r="AK118" s="902">
        <v>2.95</v>
      </c>
      <c r="AL118" s="906">
        <v>215238</v>
      </c>
      <c r="AM118" s="906">
        <v>619477</v>
      </c>
      <c r="AN118" s="902">
        <v>2.88</v>
      </c>
      <c r="AP118" s="900">
        <v>2012</v>
      </c>
      <c r="AQ118" s="900" t="s">
        <v>1477</v>
      </c>
      <c r="AR118" s="906">
        <v>294583</v>
      </c>
      <c r="AS118" s="906">
        <v>939159</v>
      </c>
      <c r="AT118" s="902">
        <v>3.19</v>
      </c>
      <c r="AV118" s="900">
        <v>2012</v>
      </c>
      <c r="AW118" s="900" t="s">
        <v>1477</v>
      </c>
      <c r="AX118" s="906">
        <v>304693</v>
      </c>
      <c r="AY118" s="906">
        <v>860676</v>
      </c>
      <c r="AZ118" s="902">
        <v>2.82</v>
      </c>
      <c r="BB118" s="903">
        <v>2012</v>
      </c>
      <c r="BC118" s="903" t="s">
        <v>1477</v>
      </c>
      <c r="BD118" s="907">
        <v>170893</v>
      </c>
      <c r="BE118" s="907">
        <v>498512</v>
      </c>
      <c r="BF118" s="905">
        <v>2.92</v>
      </c>
    </row>
    <row r="119" spans="2:58" ht="10.9" thickBot="1">
      <c r="B119" s="903">
        <v>2012</v>
      </c>
      <c r="C119" s="263">
        <f t="shared" si="1"/>
        <v>41152</v>
      </c>
      <c r="D119" s="909">
        <v>904.8</v>
      </c>
      <c r="E119" s="909">
        <v>2796.6</v>
      </c>
      <c r="F119" s="914">
        <v>3.09</v>
      </c>
      <c r="G119" s="907">
        <v>122150</v>
      </c>
      <c r="H119" s="907">
        <v>367026</v>
      </c>
      <c r="I119" s="905">
        <v>3</v>
      </c>
      <c r="J119" s="907">
        <v>141809</v>
      </c>
      <c r="K119" s="907">
        <v>448026</v>
      </c>
      <c r="L119" s="905">
        <v>3.16</v>
      </c>
      <c r="M119" s="907">
        <v>143631</v>
      </c>
      <c r="N119" s="907">
        <v>433360</v>
      </c>
      <c r="O119" s="905">
        <v>3.02</v>
      </c>
      <c r="P119" s="906">
        <v>161469</v>
      </c>
      <c r="Q119" s="906">
        <v>494365</v>
      </c>
      <c r="R119" s="902">
        <v>3.06</v>
      </c>
      <c r="T119" s="905">
        <v>516.20000000000005</v>
      </c>
      <c r="U119" s="904">
        <v>1574.1</v>
      </c>
      <c r="V119" s="905">
        <v>3.05</v>
      </c>
      <c r="W119" s="907">
        <v>87927</v>
      </c>
      <c r="X119" s="907">
        <v>259469</v>
      </c>
      <c r="Y119" s="905">
        <v>2.95</v>
      </c>
      <c r="Z119" s="907">
        <v>149171</v>
      </c>
      <c r="AA119" s="907">
        <v>471287</v>
      </c>
      <c r="AB119" s="905">
        <v>3.16</v>
      </c>
      <c r="AC119" s="907">
        <v>155114</v>
      </c>
      <c r="AD119" s="907">
        <v>472225</v>
      </c>
      <c r="AE119" s="905">
        <v>3.04</v>
      </c>
      <c r="AF119" s="902">
        <v>989</v>
      </c>
      <c r="AG119" s="906">
        <v>3352</v>
      </c>
      <c r="AH119" s="902">
        <v>3.39</v>
      </c>
      <c r="AI119" s="904">
        <v>1421</v>
      </c>
      <c r="AJ119" s="904">
        <v>4370.7</v>
      </c>
      <c r="AK119" s="905">
        <v>3.08</v>
      </c>
      <c r="AL119" s="907">
        <v>210077</v>
      </c>
      <c r="AM119" s="907">
        <v>626495</v>
      </c>
      <c r="AN119" s="905">
        <v>2.98</v>
      </c>
      <c r="AP119" s="903">
        <v>2012</v>
      </c>
      <c r="AQ119" s="903" t="s">
        <v>1478</v>
      </c>
      <c r="AR119" s="907">
        <v>290979</v>
      </c>
      <c r="AS119" s="907">
        <v>919313</v>
      </c>
      <c r="AT119" s="905">
        <v>3.16</v>
      </c>
      <c r="AV119" s="903">
        <v>2012</v>
      </c>
      <c r="AW119" s="903" t="s">
        <v>1478</v>
      </c>
      <c r="AX119" s="907">
        <v>298745</v>
      </c>
      <c r="AY119" s="907">
        <v>905586</v>
      </c>
      <c r="AZ119" s="905">
        <v>3.03</v>
      </c>
      <c r="BB119" s="900">
        <v>2012</v>
      </c>
      <c r="BC119" s="900" t="s">
        <v>1478</v>
      </c>
      <c r="BD119" s="906">
        <v>162458</v>
      </c>
      <c r="BE119" s="906">
        <v>497717</v>
      </c>
      <c r="BF119" s="902">
        <v>3.06</v>
      </c>
    </row>
    <row r="120" spans="2:58" ht="10.9" thickBot="1">
      <c r="B120" s="900">
        <v>2012</v>
      </c>
      <c r="C120" s="263">
        <f t="shared" si="1"/>
        <v>41182</v>
      </c>
      <c r="D120" s="909">
        <v>816.1</v>
      </c>
      <c r="E120" s="909">
        <v>2660.3</v>
      </c>
      <c r="F120" s="914">
        <v>3.26</v>
      </c>
      <c r="G120" s="906">
        <v>110350</v>
      </c>
      <c r="H120" s="906">
        <v>377593</v>
      </c>
      <c r="I120" s="902">
        <v>3.42</v>
      </c>
      <c r="J120" s="906">
        <v>127411</v>
      </c>
      <c r="K120" s="906">
        <v>377425</v>
      </c>
      <c r="L120" s="902">
        <v>2.96</v>
      </c>
      <c r="M120" s="906">
        <v>123789</v>
      </c>
      <c r="N120" s="906">
        <v>399993</v>
      </c>
      <c r="O120" s="902">
        <v>3.23</v>
      </c>
      <c r="P120" s="907">
        <v>143494</v>
      </c>
      <c r="Q120" s="907">
        <v>471834</v>
      </c>
      <c r="R120" s="905">
        <v>3.29</v>
      </c>
      <c r="T120" s="902">
        <v>462.3</v>
      </c>
      <c r="U120" s="901">
        <v>1450.2</v>
      </c>
      <c r="V120" s="902">
        <v>3.14</v>
      </c>
      <c r="W120" s="906">
        <v>81788</v>
      </c>
      <c r="X120" s="906">
        <v>255906</v>
      </c>
      <c r="Y120" s="902">
        <v>3.13</v>
      </c>
      <c r="Z120" s="906">
        <v>127337</v>
      </c>
      <c r="AA120" s="906">
        <v>377205</v>
      </c>
      <c r="AB120" s="902">
        <v>2.96</v>
      </c>
      <c r="AC120" s="906">
        <v>141685</v>
      </c>
      <c r="AD120" s="906">
        <v>462269</v>
      </c>
      <c r="AE120" s="902">
        <v>3.26</v>
      </c>
      <c r="AF120" s="905">
        <v>781</v>
      </c>
      <c r="AG120" s="907">
        <v>2793</v>
      </c>
      <c r="AH120" s="905">
        <v>3.58</v>
      </c>
      <c r="AI120" s="901">
        <v>1278.4000000000001</v>
      </c>
      <c r="AJ120" s="901">
        <v>4110.5</v>
      </c>
      <c r="AK120" s="902">
        <v>3.22</v>
      </c>
      <c r="AL120" s="906">
        <v>192138</v>
      </c>
      <c r="AM120" s="906">
        <v>633499</v>
      </c>
      <c r="AN120" s="902">
        <v>3.3</v>
      </c>
      <c r="AP120" s="900">
        <v>2012</v>
      </c>
      <c r="AQ120" s="900" t="s">
        <v>1479</v>
      </c>
      <c r="AR120" s="906">
        <v>254747</v>
      </c>
      <c r="AS120" s="906">
        <v>754631</v>
      </c>
      <c r="AT120" s="902">
        <v>2.96</v>
      </c>
      <c r="AV120" s="900">
        <v>2012</v>
      </c>
      <c r="AW120" s="900" t="s">
        <v>1479</v>
      </c>
      <c r="AX120" s="906">
        <v>265474</v>
      </c>
      <c r="AY120" s="906">
        <v>862263</v>
      </c>
      <c r="AZ120" s="902">
        <v>3.25</v>
      </c>
      <c r="BB120" s="903">
        <v>2012</v>
      </c>
      <c r="BC120" s="903" t="s">
        <v>1479</v>
      </c>
      <c r="BD120" s="907">
        <v>144274</v>
      </c>
      <c r="BE120" s="907">
        <v>474627</v>
      </c>
      <c r="BF120" s="905">
        <v>3.29</v>
      </c>
    </row>
    <row r="121" spans="2:58" ht="10.9" thickBot="1">
      <c r="B121" s="903">
        <v>2012</v>
      </c>
      <c r="C121" s="263">
        <f t="shared" si="1"/>
        <v>41213</v>
      </c>
      <c r="D121" s="909">
        <v>827.8</v>
      </c>
      <c r="E121" s="909">
        <v>2728.7</v>
      </c>
      <c r="F121" s="914">
        <v>3.3</v>
      </c>
      <c r="G121" s="907">
        <v>113461</v>
      </c>
      <c r="H121" s="907">
        <v>371504</v>
      </c>
      <c r="I121" s="905">
        <v>3.27</v>
      </c>
      <c r="J121" s="907">
        <v>130028</v>
      </c>
      <c r="K121" s="907">
        <v>436338</v>
      </c>
      <c r="L121" s="905">
        <v>3.36</v>
      </c>
      <c r="M121" s="907">
        <v>124522</v>
      </c>
      <c r="N121" s="907">
        <v>398415</v>
      </c>
      <c r="O121" s="905">
        <v>3.2</v>
      </c>
      <c r="P121" s="906">
        <v>150275</v>
      </c>
      <c r="Q121" s="906">
        <v>509367</v>
      </c>
      <c r="R121" s="902">
        <v>3.39</v>
      </c>
      <c r="T121" s="905">
        <v>459.3</v>
      </c>
      <c r="U121" s="904">
        <v>1490.3</v>
      </c>
      <c r="V121" s="905">
        <v>3.25</v>
      </c>
      <c r="W121" s="907">
        <v>83387</v>
      </c>
      <c r="X121" s="907">
        <v>262077</v>
      </c>
      <c r="Y121" s="905">
        <v>3.14</v>
      </c>
      <c r="Z121" s="907">
        <v>124459</v>
      </c>
      <c r="AA121" s="907">
        <v>417650</v>
      </c>
      <c r="AB121" s="905">
        <v>3.36</v>
      </c>
      <c r="AC121" s="907">
        <v>138578</v>
      </c>
      <c r="AD121" s="907">
        <v>451462</v>
      </c>
      <c r="AE121" s="905">
        <v>3.26</v>
      </c>
      <c r="AF121" s="902">
        <v>874</v>
      </c>
      <c r="AG121" s="906">
        <v>3084</v>
      </c>
      <c r="AH121" s="902">
        <v>3.53</v>
      </c>
      <c r="AI121" s="904">
        <v>1287</v>
      </c>
      <c r="AJ121" s="904">
        <v>4219</v>
      </c>
      <c r="AK121" s="905">
        <v>3.28</v>
      </c>
      <c r="AL121" s="907">
        <v>196849</v>
      </c>
      <c r="AM121" s="907">
        <v>633581</v>
      </c>
      <c r="AN121" s="905">
        <v>3.22</v>
      </c>
      <c r="AP121" s="903">
        <v>2012</v>
      </c>
      <c r="AQ121" s="903" t="s">
        <v>1480</v>
      </c>
      <c r="AR121" s="907">
        <v>254487</v>
      </c>
      <c r="AS121" s="907">
        <v>853989</v>
      </c>
      <c r="AT121" s="905">
        <v>3.36</v>
      </c>
      <c r="AV121" s="903">
        <v>2012</v>
      </c>
      <c r="AW121" s="903" t="s">
        <v>1480</v>
      </c>
      <c r="AX121" s="907">
        <v>263099</v>
      </c>
      <c r="AY121" s="907">
        <v>849876</v>
      </c>
      <c r="AZ121" s="905">
        <v>3.23</v>
      </c>
      <c r="BB121" s="900">
        <v>2012</v>
      </c>
      <c r="BC121" s="900" t="s">
        <v>1480</v>
      </c>
      <c r="BD121" s="906">
        <v>151149</v>
      </c>
      <c r="BE121" s="906">
        <v>512450</v>
      </c>
      <c r="BF121" s="902">
        <v>3.39</v>
      </c>
    </row>
    <row r="122" spans="2:58" ht="10.9" thickBot="1">
      <c r="B122" s="900">
        <v>2012</v>
      </c>
      <c r="C122" s="263">
        <f t="shared" si="1"/>
        <v>41243</v>
      </c>
      <c r="D122" s="909">
        <v>795.5</v>
      </c>
      <c r="E122" s="909">
        <v>2525.9</v>
      </c>
      <c r="F122" s="914">
        <v>3.18</v>
      </c>
      <c r="G122" s="906">
        <v>101803</v>
      </c>
      <c r="H122" s="906">
        <v>351507</v>
      </c>
      <c r="I122" s="902">
        <v>3.45</v>
      </c>
      <c r="J122" s="906">
        <v>123735</v>
      </c>
      <c r="K122" s="906">
        <v>389807</v>
      </c>
      <c r="L122" s="902">
        <v>3.15</v>
      </c>
      <c r="M122" s="906">
        <v>116091</v>
      </c>
      <c r="N122" s="906">
        <v>356998</v>
      </c>
      <c r="O122" s="902">
        <v>3.08</v>
      </c>
      <c r="P122" s="907">
        <v>143102</v>
      </c>
      <c r="Q122" s="907">
        <v>453690</v>
      </c>
      <c r="R122" s="905">
        <v>3.17</v>
      </c>
      <c r="T122" s="902">
        <v>433.7</v>
      </c>
      <c r="U122" s="901">
        <v>1319.5</v>
      </c>
      <c r="V122" s="902">
        <v>3.04</v>
      </c>
      <c r="W122" s="906">
        <v>89256</v>
      </c>
      <c r="X122" s="906">
        <v>241550</v>
      </c>
      <c r="Y122" s="902">
        <v>2.71</v>
      </c>
      <c r="Z122" s="906">
        <v>107734</v>
      </c>
      <c r="AA122" s="906">
        <v>339398</v>
      </c>
      <c r="AB122" s="902">
        <v>3.15</v>
      </c>
      <c r="AC122" s="906">
        <v>125477</v>
      </c>
      <c r="AD122" s="906">
        <v>397160</v>
      </c>
      <c r="AE122" s="902">
        <v>3.17</v>
      </c>
      <c r="AF122" s="905">
        <v>825</v>
      </c>
      <c r="AG122" s="907">
        <v>2700</v>
      </c>
      <c r="AH122" s="905">
        <v>3.27</v>
      </c>
      <c r="AI122" s="901">
        <v>1229.0999999999999</v>
      </c>
      <c r="AJ122" s="901">
        <v>3845.4</v>
      </c>
      <c r="AK122" s="902">
        <v>3.13</v>
      </c>
      <c r="AL122" s="906">
        <v>191059</v>
      </c>
      <c r="AM122" s="906">
        <v>593057</v>
      </c>
      <c r="AN122" s="902">
        <v>3.1</v>
      </c>
      <c r="AP122" s="900">
        <v>2012</v>
      </c>
      <c r="AQ122" s="900" t="s">
        <v>1481</v>
      </c>
      <c r="AR122" s="906">
        <v>231469</v>
      </c>
      <c r="AS122" s="906">
        <v>729205</v>
      </c>
      <c r="AT122" s="902">
        <v>3.15</v>
      </c>
      <c r="AV122" s="900">
        <v>2012</v>
      </c>
      <c r="AW122" s="900" t="s">
        <v>1481</v>
      </c>
      <c r="AX122" s="906">
        <v>241568</v>
      </c>
      <c r="AY122" s="906">
        <v>754158</v>
      </c>
      <c r="AZ122" s="902">
        <v>3.12</v>
      </c>
      <c r="BB122" s="903">
        <v>2012</v>
      </c>
      <c r="BC122" s="903" t="s">
        <v>1481</v>
      </c>
      <c r="BD122" s="907">
        <v>143927</v>
      </c>
      <c r="BE122" s="907">
        <v>456390</v>
      </c>
      <c r="BF122" s="905">
        <v>3.17</v>
      </c>
    </row>
    <row r="123" spans="2:58" ht="11.2" customHeight="1" thickBot="1">
      <c r="B123" s="903">
        <v>2012</v>
      </c>
      <c r="C123" s="263">
        <f t="shared" si="1"/>
        <v>41274</v>
      </c>
      <c r="D123" s="909">
        <v>851.5</v>
      </c>
      <c r="E123" s="909">
        <v>2662</v>
      </c>
      <c r="F123" s="914">
        <v>3.13</v>
      </c>
      <c r="G123" s="907">
        <v>120303</v>
      </c>
      <c r="H123" s="907">
        <v>372199</v>
      </c>
      <c r="I123" s="905">
        <v>3.09</v>
      </c>
      <c r="J123" s="907">
        <v>123901</v>
      </c>
      <c r="K123" s="907">
        <v>398604</v>
      </c>
      <c r="L123" s="905">
        <v>3.22</v>
      </c>
      <c r="M123" s="907">
        <v>124434</v>
      </c>
      <c r="N123" s="907">
        <v>376806</v>
      </c>
      <c r="O123" s="905">
        <v>3.03</v>
      </c>
      <c r="P123" s="906">
        <v>147426</v>
      </c>
      <c r="Q123" s="906">
        <v>476005</v>
      </c>
      <c r="R123" s="902">
        <v>3.23</v>
      </c>
      <c r="T123" s="905">
        <v>446.9</v>
      </c>
      <c r="U123" s="904">
        <v>1383.6</v>
      </c>
      <c r="V123" s="905">
        <v>3.1</v>
      </c>
      <c r="W123" s="907">
        <v>85264</v>
      </c>
      <c r="X123" s="907">
        <v>255059</v>
      </c>
      <c r="Y123" s="905">
        <v>2.99</v>
      </c>
      <c r="Z123" s="907">
        <v>116341</v>
      </c>
      <c r="AA123" s="907">
        <v>374282</v>
      </c>
      <c r="AB123" s="905">
        <v>3.22</v>
      </c>
      <c r="AC123" s="907">
        <v>132905</v>
      </c>
      <c r="AD123" s="907">
        <v>412396</v>
      </c>
      <c r="AE123" s="905">
        <v>3.1</v>
      </c>
      <c r="AF123" s="906">
        <v>1172</v>
      </c>
      <c r="AG123" s="906">
        <v>3854</v>
      </c>
      <c r="AH123" s="902">
        <v>3.29</v>
      </c>
      <c r="AI123" s="904">
        <v>1298.4000000000001</v>
      </c>
      <c r="AJ123" s="904">
        <v>4045.6</v>
      </c>
      <c r="AK123" s="905">
        <v>3.12</v>
      </c>
      <c r="AL123" s="907">
        <v>205567</v>
      </c>
      <c r="AM123" s="907">
        <v>627258</v>
      </c>
      <c r="AN123" s="905">
        <v>3.05</v>
      </c>
      <c r="AP123" s="903">
        <v>2012</v>
      </c>
      <c r="AQ123" s="903" t="s">
        <v>1482</v>
      </c>
      <c r="AR123" s="907">
        <v>240242</v>
      </c>
      <c r="AS123" s="907">
        <v>772886</v>
      </c>
      <c r="AT123" s="905">
        <v>3.22</v>
      </c>
      <c r="AV123" s="903">
        <v>2012</v>
      </c>
      <c r="AW123" s="903" t="s">
        <v>1482</v>
      </c>
      <c r="AX123" s="907">
        <v>257339</v>
      </c>
      <c r="AY123" s="907">
        <v>789201</v>
      </c>
      <c r="AZ123" s="905">
        <v>3.07</v>
      </c>
      <c r="BB123" s="900">
        <v>2012</v>
      </c>
      <c r="BC123" s="900" t="s">
        <v>1482</v>
      </c>
      <c r="BD123" s="906">
        <v>148598</v>
      </c>
      <c r="BE123" s="906">
        <v>479859</v>
      </c>
      <c r="BF123" s="902">
        <v>3.23</v>
      </c>
    </row>
    <row r="124" spans="2:58" ht="10.9" thickBot="1">
      <c r="B124" s="900">
        <v>2013</v>
      </c>
      <c r="C124" s="263">
        <f t="shared" si="1"/>
        <v>41305</v>
      </c>
      <c r="D124" s="909">
        <v>810</v>
      </c>
      <c r="E124" s="909">
        <v>2530</v>
      </c>
      <c r="F124" s="914">
        <v>3.12</v>
      </c>
      <c r="G124" s="906">
        <v>118343</v>
      </c>
      <c r="H124" s="906">
        <v>381119</v>
      </c>
      <c r="I124" s="902">
        <v>3.22</v>
      </c>
      <c r="J124" s="906">
        <v>120117</v>
      </c>
      <c r="K124" s="906">
        <v>383049</v>
      </c>
      <c r="L124" s="902">
        <v>3.19</v>
      </c>
      <c r="M124" s="906">
        <v>116720</v>
      </c>
      <c r="N124" s="906">
        <v>359452</v>
      </c>
      <c r="O124" s="902">
        <v>3.08</v>
      </c>
      <c r="P124" s="907">
        <v>139334</v>
      </c>
      <c r="Q124" s="907">
        <v>440611</v>
      </c>
      <c r="R124" s="905">
        <v>3.16</v>
      </c>
      <c r="T124" s="902">
        <v>450.1</v>
      </c>
      <c r="U124" s="901">
        <v>1394</v>
      </c>
      <c r="V124" s="902">
        <v>3.1</v>
      </c>
      <c r="W124" s="906">
        <v>83056</v>
      </c>
      <c r="X124" s="906">
        <v>253461</v>
      </c>
      <c r="Y124" s="902">
        <v>3.05</v>
      </c>
      <c r="Z124" s="906">
        <v>115532</v>
      </c>
      <c r="AA124" s="906">
        <v>368428</v>
      </c>
      <c r="AB124" s="902">
        <v>3.19</v>
      </c>
      <c r="AC124" s="906">
        <v>136846</v>
      </c>
      <c r="AD124" s="906">
        <v>428339</v>
      </c>
      <c r="AE124" s="902">
        <v>3.13</v>
      </c>
      <c r="AF124" s="907">
        <v>1246</v>
      </c>
      <c r="AG124" s="907">
        <v>4236</v>
      </c>
      <c r="AH124" s="905">
        <v>3.4</v>
      </c>
      <c r="AI124" s="901">
        <v>1260.0999999999999</v>
      </c>
      <c r="AJ124" s="901">
        <v>3924</v>
      </c>
      <c r="AK124" s="902">
        <v>3.11</v>
      </c>
      <c r="AL124" s="906">
        <v>201399</v>
      </c>
      <c r="AM124" s="906">
        <v>634580</v>
      </c>
      <c r="AN124" s="902">
        <v>3.15</v>
      </c>
      <c r="AP124" s="900">
        <v>2013</v>
      </c>
      <c r="AQ124" s="900" t="s">
        <v>1472</v>
      </c>
      <c r="AR124" s="906">
        <v>235648</v>
      </c>
      <c r="AS124" s="906">
        <v>751477</v>
      </c>
      <c r="AT124" s="902">
        <v>3.19</v>
      </c>
      <c r="AV124" s="900">
        <v>2013</v>
      </c>
      <c r="AW124" s="900" t="s">
        <v>1472</v>
      </c>
      <c r="AX124" s="906">
        <v>253566</v>
      </c>
      <c r="AY124" s="906">
        <v>787791</v>
      </c>
      <c r="AZ124" s="902">
        <v>3.11</v>
      </c>
      <c r="BB124" s="903">
        <v>2013</v>
      </c>
      <c r="BC124" s="903" t="s">
        <v>1472</v>
      </c>
      <c r="BD124" s="907">
        <v>140581</v>
      </c>
      <c r="BE124" s="907">
        <v>444847</v>
      </c>
      <c r="BF124" s="905">
        <v>3.16</v>
      </c>
    </row>
    <row r="125" spans="2:58" ht="10.9" thickBot="1">
      <c r="B125" s="903">
        <v>2013</v>
      </c>
      <c r="C125" s="263">
        <f t="shared" si="1"/>
        <v>41333</v>
      </c>
      <c r="D125" s="909">
        <v>737.5</v>
      </c>
      <c r="E125" s="909">
        <v>2422.4</v>
      </c>
      <c r="F125" s="914">
        <v>3.28</v>
      </c>
      <c r="G125" s="907">
        <v>107445</v>
      </c>
      <c r="H125" s="907">
        <v>347473</v>
      </c>
      <c r="I125" s="905">
        <v>3.23</v>
      </c>
      <c r="J125" s="907">
        <v>110067</v>
      </c>
      <c r="K125" s="907">
        <v>352353</v>
      </c>
      <c r="L125" s="905">
        <v>3.2</v>
      </c>
      <c r="M125" s="907">
        <v>106911</v>
      </c>
      <c r="N125" s="907">
        <v>343697</v>
      </c>
      <c r="O125" s="905">
        <v>3.21</v>
      </c>
      <c r="P125" s="906">
        <v>129639</v>
      </c>
      <c r="Q125" s="906">
        <v>435751</v>
      </c>
      <c r="R125" s="902">
        <v>3.36</v>
      </c>
      <c r="T125" s="905">
        <v>403.6</v>
      </c>
      <c r="U125" s="904">
        <v>1298.5</v>
      </c>
      <c r="V125" s="905">
        <v>3.22</v>
      </c>
      <c r="W125" s="907">
        <v>75221</v>
      </c>
      <c r="X125" s="907">
        <v>241961</v>
      </c>
      <c r="Y125" s="905">
        <v>3.22</v>
      </c>
      <c r="Z125" s="907">
        <v>106355</v>
      </c>
      <c r="AA125" s="907">
        <v>340472</v>
      </c>
      <c r="AB125" s="905">
        <v>3.2</v>
      </c>
      <c r="AC125" s="907">
        <v>119932</v>
      </c>
      <c r="AD125" s="907">
        <v>389843</v>
      </c>
      <c r="AE125" s="905">
        <v>3.25</v>
      </c>
      <c r="AF125" s="906">
        <v>1339</v>
      </c>
      <c r="AG125" s="906">
        <v>4766</v>
      </c>
      <c r="AH125" s="902">
        <v>3.56</v>
      </c>
      <c r="AI125" s="904">
        <v>1141.0999999999999</v>
      </c>
      <c r="AJ125" s="904">
        <v>3720.9</v>
      </c>
      <c r="AK125" s="905">
        <v>3.26</v>
      </c>
      <c r="AL125" s="907">
        <v>182666</v>
      </c>
      <c r="AM125" s="907">
        <v>589434</v>
      </c>
      <c r="AN125" s="905">
        <v>3.23</v>
      </c>
      <c r="AP125" s="903">
        <v>2013</v>
      </c>
      <c r="AQ125" s="903" t="s">
        <v>1473</v>
      </c>
      <c r="AR125" s="907">
        <v>216422</v>
      </c>
      <c r="AS125" s="907">
        <v>692825</v>
      </c>
      <c r="AT125" s="905">
        <v>3.2</v>
      </c>
      <c r="AV125" s="903">
        <v>2013</v>
      </c>
      <c r="AW125" s="903" t="s">
        <v>1473</v>
      </c>
      <c r="AX125" s="907">
        <v>226843</v>
      </c>
      <c r="AY125" s="907">
        <v>733540</v>
      </c>
      <c r="AZ125" s="905">
        <v>3.23</v>
      </c>
      <c r="BB125" s="900">
        <v>2013</v>
      </c>
      <c r="BC125" s="900" t="s">
        <v>1473</v>
      </c>
      <c r="BD125" s="906">
        <v>130977</v>
      </c>
      <c r="BE125" s="906">
        <v>440516</v>
      </c>
      <c r="BF125" s="902">
        <v>3.36</v>
      </c>
    </row>
    <row r="126" spans="2:58" ht="10.5" customHeight="1" thickBot="1">
      <c r="B126" s="900">
        <v>2013</v>
      </c>
      <c r="C126" s="263">
        <f t="shared" si="1"/>
        <v>41364</v>
      </c>
      <c r="D126" s="909">
        <v>870.8</v>
      </c>
      <c r="E126" s="909">
        <v>2789.2</v>
      </c>
      <c r="F126" s="914">
        <v>3.2</v>
      </c>
      <c r="G126" s="906">
        <v>120703</v>
      </c>
      <c r="H126" s="906">
        <v>384303</v>
      </c>
      <c r="I126" s="902">
        <v>3.18</v>
      </c>
      <c r="J126" s="906">
        <v>135852</v>
      </c>
      <c r="K126" s="906">
        <v>444857</v>
      </c>
      <c r="L126" s="902">
        <v>3.27</v>
      </c>
      <c r="M126" s="906">
        <v>126240</v>
      </c>
      <c r="N126" s="906">
        <v>396028</v>
      </c>
      <c r="O126" s="902">
        <v>3.14</v>
      </c>
      <c r="P126" s="907">
        <v>159027</v>
      </c>
      <c r="Q126" s="907">
        <v>511483</v>
      </c>
      <c r="R126" s="905">
        <v>3.22</v>
      </c>
      <c r="T126" s="902">
        <v>469.1</v>
      </c>
      <c r="U126" s="901">
        <v>1505.3</v>
      </c>
      <c r="V126" s="902">
        <v>3.21</v>
      </c>
      <c r="W126" s="906">
        <v>86435</v>
      </c>
      <c r="X126" s="906">
        <v>268377</v>
      </c>
      <c r="Y126" s="902">
        <v>3.1</v>
      </c>
      <c r="Z126" s="906">
        <v>122684</v>
      </c>
      <c r="AA126" s="906">
        <v>401738</v>
      </c>
      <c r="AB126" s="902">
        <v>3.27</v>
      </c>
      <c r="AC126" s="906">
        <v>140460</v>
      </c>
      <c r="AD126" s="906">
        <v>456735</v>
      </c>
      <c r="AE126" s="902">
        <v>3.25</v>
      </c>
      <c r="AF126" s="907">
        <v>1580</v>
      </c>
      <c r="AG126" s="907">
        <v>5385</v>
      </c>
      <c r="AH126" s="905">
        <v>3.41</v>
      </c>
      <c r="AI126" s="901">
        <v>1339.9</v>
      </c>
      <c r="AJ126" s="901">
        <v>4294.5</v>
      </c>
      <c r="AK126" s="902">
        <v>3.21</v>
      </c>
      <c r="AL126" s="906">
        <v>207138</v>
      </c>
      <c r="AM126" s="906">
        <v>652680</v>
      </c>
      <c r="AN126" s="902">
        <v>3.15</v>
      </c>
      <c r="AP126" s="900">
        <v>2013</v>
      </c>
      <c r="AQ126" s="900" t="s">
        <v>1474</v>
      </c>
      <c r="AR126" s="906">
        <v>258536</v>
      </c>
      <c r="AS126" s="906">
        <v>846595</v>
      </c>
      <c r="AT126" s="902">
        <v>3.27</v>
      </c>
      <c r="AV126" s="900">
        <v>2013</v>
      </c>
      <c r="AW126" s="900" t="s">
        <v>1474</v>
      </c>
      <c r="AX126" s="906">
        <v>266700</v>
      </c>
      <c r="AY126" s="906">
        <v>852764</v>
      </c>
      <c r="AZ126" s="902">
        <v>3.2</v>
      </c>
      <c r="BB126" s="903">
        <v>2013</v>
      </c>
      <c r="BC126" s="903" t="s">
        <v>1474</v>
      </c>
      <c r="BD126" s="907">
        <v>160607</v>
      </c>
      <c r="BE126" s="907">
        <v>516869</v>
      </c>
      <c r="BF126" s="905">
        <v>3.22</v>
      </c>
    </row>
    <row r="127" spans="2:58" ht="10.9" thickBot="1">
      <c r="B127" s="903">
        <v>2013</v>
      </c>
      <c r="C127" s="263">
        <f t="shared" si="1"/>
        <v>41394</v>
      </c>
      <c r="D127" s="909">
        <v>839.4</v>
      </c>
      <c r="E127" s="909">
        <v>2560.4</v>
      </c>
      <c r="F127" s="914">
        <v>3.05</v>
      </c>
      <c r="G127" s="907">
        <v>116285</v>
      </c>
      <c r="H127" s="907">
        <v>367162</v>
      </c>
      <c r="I127" s="905">
        <v>3.16</v>
      </c>
      <c r="J127" s="907">
        <v>129957</v>
      </c>
      <c r="K127" s="907">
        <v>407498</v>
      </c>
      <c r="L127" s="905">
        <v>3.14</v>
      </c>
      <c r="M127" s="907">
        <v>122075</v>
      </c>
      <c r="N127" s="907">
        <v>360348</v>
      </c>
      <c r="O127" s="905">
        <v>2.95</v>
      </c>
      <c r="P127" s="906">
        <v>155384</v>
      </c>
      <c r="Q127" s="906">
        <v>458798</v>
      </c>
      <c r="R127" s="902">
        <v>2.95</v>
      </c>
      <c r="T127" s="905">
        <v>466</v>
      </c>
      <c r="U127" s="904">
        <v>1416.4</v>
      </c>
      <c r="V127" s="905">
        <v>3.04</v>
      </c>
      <c r="W127" s="907">
        <v>83043</v>
      </c>
      <c r="X127" s="907">
        <v>249050</v>
      </c>
      <c r="Y127" s="905">
        <v>3</v>
      </c>
      <c r="Z127" s="907">
        <v>124455</v>
      </c>
      <c r="AA127" s="907">
        <v>390246</v>
      </c>
      <c r="AB127" s="905">
        <v>3.14</v>
      </c>
      <c r="AC127" s="907">
        <v>140682</v>
      </c>
      <c r="AD127" s="907">
        <v>423877</v>
      </c>
      <c r="AE127" s="905">
        <v>3.01</v>
      </c>
      <c r="AF127" s="906">
        <v>1305</v>
      </c>
      <c r="AG127" s="906">
        <v>4224</v>
      </c>
      <c r="AH127" s="902">
        <v>3.24</v>
      </c>
      <c r="AI127" s="904">
        <v>1305.4000000000001</v>
      </c>
      <c r="AJ127" s="904">
        <v>3976.8</v>
      </c>
      <c r="AK127" s="905">
        <v>3.05</v>
      </c>
      <c r="AL127" s="907">
        <v>199329</v>
      </c>
      <c r="AM127" s="907">
        <v>616212</v>
      </c>
      <c r="AN127" s="905">
        <v>3.09</v>
      </c>
      <c r="AP127" s="903">
        <v>2013</v>
      </c>
      <c r="AQ127" s="903" t="s">
        <v>1475</v>
      </c>
      <c r="AR127" s="907">
        <v>254412</v>
      </c>
      <c r="AS127" s="907">
        <v>797744</v>
      </c>
      <c r="AT127" s="905">
        <v>3.14</v>
      </c>
      <c r="AV127" s="903">
        <v>2013</v>
      </c>
      <c r="AW127" s="903" t="s">
        <v>1475</v>
      </c>
      <c r="AX127" s="907">
        <v>262757</v>
      </c>
      <c r="AY127" s="907">
        <v>784225</v>
      </c>
      <c r="AZ127" s="905">
        <v>2.98</v>
      </c>
      <c r="BB127" s="900">
        <v>2013</v>
      </c>
      <c r="BC127" s="900" t="s">
        <v>1475</v>
      </c>
      <c r="BD127" s="906">
        <v>156689</v>
      </c>
      <c r="BE127" s="906">
        <v>463022</v>
      </c>
      <c r="BF127" s="902">
        <v>2.96</v>
      </c>
    </row>
    <row r="128" spans="2:58" ht="10.9" thickBot="1">
      <c r="B128" s="900">
        <v>2013</v>
      </c>
      <c r="C128" s="263">
        <f t="shared" si="1"/>
        <v>41425</v>
      </c>
      <c r="D128" s="909">
        <v>867.8</v>
      </c>
      <c r="E128" s="909">
        <v>2532.8000000000002</v>
      </c>
      <c r="F128" s="914">
        <v>2.92</v>
      </c>
      <c r="G128" s="906">
        <v>121292</v>
      </c>
      <c r="H128" s="906">
        <v>352887</v>
      </c>
      <c r="I128" s="902">
        <v>2.91</v>
      </c>
      <c r="J128" s="906">
        <v>132866</v>
      </c>
      <c r="K128" s="906">
        <v>393031</v>
      </c>
      <c r="L128" s="902">
        <v>2.96</v>
      </c>
      <c r="M128" s="906">
        <v>128334</v>
      </c>
      <c r="N128" s="906">
        <v>358650</v>
      </c>
      <c r="O128" s="902">
        <v>2.79</v>
      </c>
      <c r="P128" s="907">
        <v>158039</v>
      </c>
      <c r="Q128" s="907">
        <v>476588</v>
      </c>
      <c r="R128" s="905">
        <v>3.02</v>
      </c>
      <c r="T128" s="902">
        <v>493.1</v>
      </c>
      <c r="U128" s="901">
        <v>1416.3</v>
      </c>
      <c r="V128" s="902">
        <v>2.87</v>
      </c>
      <c r="W128" s="906">
        <v>88255</v>
      </c>
      <c r="X128" s="906">
        <v>247378</v>
      </c>
      <c r="Y128" s="902">
        <v>2.8</v>
      </c>
      <c r="Z128" s="906">
        <v>133656</v>
      </c>
      <c r="AA128" s="906">
        <v>395366</v>
      </c>
      <c r="AB128" s="902">
        <v>2.96</v>
      </c>
      <c r="AC128" s="906">
        <v>149208</v>
      </c>
      <c r="AD128" s="906">
        <v>427496</v>
      </c>
      <c r="AE128" s="902">
        <v>2.87</v>
      </c>
      <c r="AF128" s="907">
        <v>1326</v>
      </c>
      <c r="AG128" s="907">
        <v>4135</v>
      </c>
      <c r="AH128" s="905">
        <v>3.12</v>
      </c>
      <c r="AI128" s="901">
        <v>1360.9</v>
      </c>
      <c r="AJ128" s="901">
        <v>3949.1</v>
      </c>
      <c r="AK128" s="902">
        <v>2.9</v>
      </c>
      <c r="AL128" s="906">
        <v>209547</v>
      </c>
      <c r="AM128" s="906">
        <v>600266</v>
      </c>
      <c r="AN128" s="902">
        <v>2.86</v>
      </c>
      <c r="AP128" s="900">
        <v>2013</v>
      </c>
      <c r="AQ128" s="900" t="s">
        <v>1465</v>
      </c>
      <c r="AR128" s="906">
        <v>266522</v>
      </c>
      <c r="AS128" s="906">
        <v>788396</v>
      </c>
      <c r="AT128" s="902">
        <v>2.96</v>
      </c>
      <c r="AV128" s="900">
        <v>2013</v>
      </c>
      <c r="AW128" s="900" t="s">
        <v>1465</v>
      </c>
      <c r="AX128" s="906">
        <v>277543</v>
      </c>
      <c r="AY128" s="906">
        <v>786146</v>
      </c>
      <c r="AZ128" s="902">
        <v>2.83</v>
      </c>
      <c r="BB128" s="903">
        <v>2013</v>
      </c>
      <c r="BC128" s="903" t="s">
        <v>1465</v>
      </c>
      <c r="BD128" s="907">
        <v>159365</v>
      </c>
      <c r="BE128" s="907">
        <v>480724</v>
      </c>
      <c r="BF128" s="905">
        <v>3.02</v>
      </c>
    </row>
    <row r="129" spans="2:58" ht="10.9" thickBot="1">
      <c r="B129" s="903">
        <v>2013</v>
      </c>
      <c r="C129" s="263">
        <f t="shared" si="1"/>
        <v>41455</v>
      </c>
      <c r="D129" s="909">
        <v>889.6</v>
      </c>
      <c r="E129" s="909">
        <v>2579.9</v>
      </c>
      <c r="F129" s="914">
        <v>2.9</v>
      </c>
      <c r="G129" s="907">
        <v>122018</v>
      </c>
      <c r="H129" s="907">
        <v>353697</v>
      </c>
      <c r="I129" s="905">
        <v>2.9</v>
      </c>
      <c r="J129" s="907">
        <v>141212</v>
      </c>
      <c r="K129" s="907">
        <v>429749</v>
      </c>
      <c r="L129" s="905">
        <v>3.04</v>
      </c>
      <c r="M129" s="907">
        <v>134755</v>
      </c>
      <c r="N129" s="907">
        <v>373658</v>
      </c>
      <c r="O129" s="905">
        <v>2.77</v>
      </c>
      <c r="P129" s="906">
        <v>160690</v>
      </c>
      <c r="Q129" s="906">
        <v>462735</v>
      </c>
      <c r="R129" s="902">
        <v>2.88</v>
      </c>
      <c r="T129" s="905">
        <v>508.8</v>
      </c>
      <c r="U129" s="904">
        <v>1469.6</v>
      </c>
      <c r="V129" s="905">
        <v>2.89</v>
      </c>
      <c r="W129" s="907">
        <v>91229</v>
      </c>
      <c r="X129" s="907">
        <v>252095</v>
      </c>
      <c r="Y129" s="905">
        <v>2.76</v>
      </c>
      <c r="Z129" s="907">
        <v>145541</v>
      </c>
      <c r="AA129" s="907">
        <v>442922</v>
      </c>
      <c r="AB129" s="905">
        <v>3.04</v>
      </c>
      <c r="AC129" s="907">
        <v>150041</v>
      </c>
      <c r="AD129" s="907">
        <v>427439</v>
      </c>
      <c r="AE129" s="905">
        <v>2.85</v>
      </c>
      <c r="AF129" s="906">
        <v>1466</v>
      </c>
      <c r="AG129" s="906">
        <v>4605</v>
      </c>
      <c r="AH129" s="902">
        <v>3.14</v>
      </c>
      <c r="AI129" s="904">
        <v>1398.5</v>
      </c>
      <c r="AJ129" s="904">
        <v>4049.5</v>
      </c>
      <c r="AK129" s="905">
        <v>2.9</v>
      </c>
      <c r="AL129" s="907">
        <v>213247</v>
      </c>
      <c r="AM129" s="907">
        <v>605792</v>
      </c>
      <c r="AN129" s="905">
        <v>2.84</v>
      </c>
      <c r="AP129" s="903">
        <v>2013</v>
      </c>
      <c r="AQ129" s="903" t="s">
        <v>1476</v>
      </c>
      <c r="AR129" s="907">
        <v>286753</v>
      </c>
      <c r="AS129" s="907">
        <v>872671</v>
      </c>
      <c r="AT129" s="905">
        <v>3.04</v>
      </c>
      <c r="AV129" s="903">
        <v>2013</v>
      </c>
      <c r="AW129" s="903" t="s">
        <v>1476</v>
      </c>
      <c r="AX129" s="907">
        <v>284796</v>
      </c>
      <c r="AY129" s="907">
        <v>801098</v>
      </c>
      <c r="AZ129" s="905">
        <v>2.81</v>
      </c>
      <c r="BB129" s="900">
        <v>2013</v>
      </c>
      <c r="BC129" s="900" t="s">
        <v>1476</v>
      </c>
      <c r="BD129" s="906">
        <v>162156</v>
      </c>
      <c r="BE129" s="906">
        <v>467340</v>
      </c>
      <c r="BF129" s="902">
        <v>2.88</v>
      </c>
    </row>
    <row r="130" spans="2:58" ht="10.9" thickBot="1">
      <c r="B130" s="900">
        <v>2013</v>
      </c>
      <c r="C130" s="263">
        <f t="shared" si="1"/>
        <v>41486</v>
      </c>
      <c r="D130" s="909">
        <v>926.1</v>
      </c>
      <c r="E130" s="909">
        <v>2699.1</v>
      </c>
      <c r="F130" s="914">
        <v>2.91</v>
      </c>
      <c r="G130" s="906">
        <v>126364</v>
      </c>
      <c r="H130" s="906">
        <v>352375</v>
      </c>
      <c r="I130" s="902">
        <v>2.79</v>
      </c>
      <c r="J130" s="906">
        <v>151644</v>
      </c>
      <c r="K130" s="906">
        <v>444976</v>
      </c>
      <c r="L130" s="902">
        <v>2.93</v>
      </c>
      <c r="M130" s="906">
        <v>138490</v>
      </c>
      <c r="N130" s="906">
        <v>399190</v>
      </c>
      <c r="O130" s="902">
        <v>2.88</v>
      </c>
      <c r="P130" s="907">
        <v>165618</v>
      </c>
      <c r="Q130" s="907">
        <v>483756</v>
      </c>
      <c r="R130" s="905">
        <v>2.92</v>
      </c>
      <c r="T130" s="902">
        <v>539.29999999999995</v>
      </c>
      <c r="U130" s="901">
        <v>1565</v>
      </c>
      <c r="V130" s="902">
        <v>2.9</v>
      </c>
      <c r="W130" s="906">
        <v>97431</v>
      </c>
      <c r="X130" s="906">
        <v>274468</v>
      </c>
      <c r="Y130" s="902">
        <v>2.82</v>
      </c>
      <c r="Z130" s="906">
        <v>156711</v>
      </c>
      <c r="AA130" s="906">
        <v>459844</v>
      </c>
      <c r="AB130" s="902">
        <v>2.93</v>
      </c>
      <c r="AC130" s="906">
        <v>156077</v>
      </c>
      <c r="AD130" s="906">
        <v>457166</v>
      </c>
      <c r="AE130" s="902">
        <v>2.93</v>
      </c>
      <c r="AF130" s="907">
        <v>1496</v>
      </c>
      <c r="AG130" s="907">
        <v>4805</v>
      </c>
      <c r="AH130" s="905">
        <v>3.21</v>
      </c>
      <c r="AI130" s="901">
        <v>1465.3</v>
      </c>
      <c r="AJ130" s="901">
        <v>4264.1000000000004</v>
      </c>
      <c r="AK130" s="902">
        <v>2.91</v>
      </c>
      <c r="AL130" s="906">
        <v>223795</v>
      </c>
      <c r="AM130" s="906">
        <v>626843</v>
      </c>
      <c r="AN130" s="902">
        <v>2.8</v>
      </c>
      <c r="AP130" s="900">
        <v>2013</v>
      </c>
      <c r="AQ130" s="900" t="s">
        <v>1477</v>
      </c>
      <c r="AR130" s="906">
        <v>308356</v>
      </c>
      <c r="AS130" s="906">
        <v>904820</v>
      </c>
      <c r="AT130" s="902">
        <v>2.93</v>
      </c>
      <c r="AV130" s="900">
        <v>2013</v>
      </c>
      <c r="AW130" s="900" t="s">
        <v>1477</v>
      </c>
      <c r="AX130" s="906">
        <v>294567</v>
      </c>
      <c r="AY130" s="906">
        <v>856356</v>
      </c>
      <c r="AZ130" s="902">
        <v>2.91</v>
      </c>
      <c r="BB130" s="903">
        <v>2013</v>
      </c>
      <c r="BC130" s="903" t="s">
        <v>1477</v>
      </c>
      <c r="BD130" s="907">
        <v>167115</v>
      </c>
      <c r="BE130" s="907">
        <v>488562</v>
      </c>
      <c r="BF130" s="905">
        <v>2.92</v>
      </c>
    </row>
    <row r="131" spans="2:58" ht="10.9" thickBot="1">
      <c r="B131" s="903">
        <v>2013</v>
      </c>
      <c r="C131" s="263">
        <f t="shared" si="1"/>
        <v>41517</v>
      </c>
      <c r="D131" s="909">
        <v>897.4</v>
      </c>
      <c r="E131" s="909">
        <v>2737.3</v>
      </c>
      <c r="F131" s="914">
        <v>3.05</v>
      </c>
      <c r="G131" s="907">
        <v>112019</v>
      </c>
      <c r="H131" s="907">
        <v>383715</v>
      </c>
      <c r="I131" s="905">
        <v>3.43</v>
      </c>
      <c r="J131" s="907">
        <v>149257</v>
      </c>
      <c r="K131" s="907">
        <v>439047</v>
      </c>
      <c r="L131" s="905">
        <v>2.94</v>
      </c>
      <c r="M131" s="907">
        <v>137973</v>
      </c>
      <c r="N131" s="907">
        <v>408187</v>
      </c>
      <c r="O131" s="905">
        <v>2.96</v>
      </c>
      <c r="P131" s="906">
        <v>156093</v>
      </c>
      <c r="Q131" s="906">
        <v>463946</v>
      </c>
      <c r="R131" s="902">
        <v>2.97</v>
      </c>
      <c r="T131" s="905">
        <v>545.5</v>
      </c>
      <c r="U131" s="904">
        <v>1576.5</v>
      </c>
      <c r="V131" s="905">
        <v>2.89</v>
      </c>
      <c r="W131" s="907">
        <v>108784</v>
      </c>
      <c r="X131" s="907">
        <v>277273</v>
      </c>
      <c r="Y131" s="905">
        <v>2.5499999999999998</v>
      </c>
      <c r="Z131" s="907">
        <v>154207</v>
      </c>
      <c r="AA131" s="907">
        <v>453607</v>
      </c>
      <c r="AB131" s="905">
        <v>2.94</v>
      </c>
      <c r="AC131" s="907">
        <v>154771</v>
      </c>
      <c r="AD131" s="907">
        <v>464541</v>
      </c>
      <c r="AE131" s="905">
        <v>3</v>
      </c>
      <c r="AF131" s="906">
        <v>1336</v>
      </c>
      <c r="AG131" s="906">
        <v>4391</v>
      </c>
      <c r="AH131" s="902">
        <v>3.29</v>
      </c>
      <c r="AI131" s="904">
        <v>1442.9</v>
      </c>
      <c r="AJ131" s="904">
        <v>4313.8</v>
      </c>
      <c r="AK131" s="905">
        <v>2.99</v>
      </c>
      <c r="AL131" s="907">
        <v>220803</v>
      </c>
      <c r="AM131" s="907">
        <v>660989</v>
      </c>
      <c r="AN131" s="905">
        <v>2.99</v>
      </c>
      <c r="AP131" s="903">
        <v>2013</v>
      </c>
      <c r="AQ131" s="903" t="s">
        <v>1478</v>
      </c>
      <c r="AR131" s="907">
        <v>303465</v>
      </c>
      <c r="AS131" s="907">
        <v>892654</v>
      </c>
      <c r="AT131" s="905">
        <v>2.94</v>
      </c>
      <c r="AV131" s="903">
        <v>2013</v>
      </c>
      <c r="AW131" s="903" t="s">
        <v>1478</v>
      </c>
      <c r="AX131" s="907">
        <v>292745</v>
      </c>
      <c r="AY131" s="907">
        <v>872728</v>
      </c>
      <c r="AZ131" s="905">
        <v>2.98</v>
      </c>
      <c r="BB131" s="900">
        <v>2013</v>
      </c>
      <c r="BC131" s="900" t="s">
        <v>1478</v>
      </c>
      <c r="BD131" s="906">
        <v>157428</v>
      </c>
      <c r="BE131" s="906">
        <v>468336</v>
      </c>
      <c r="BF131" s="902">
        <v>2.97</v>
      </c>
    </row>
    <row r="132" spans="2:58" ht="10.9" thickBot="1">
      <c r="B132" s="900">
        <v>2013</v>
      </c>
      <c r="C132" s="263">
        <f t="shared" si="1"/>
        <v>41547</v>
      </c>
      <c r="D132" s="909">
        <v>798.8</v>
      </c>
      <c r="E132" s="909">
        <v>2464.4</v>
      </c>
      <c r="F132" s="914">
        <v>3.09</v>
      </c>
      <c r="G132" s="906">
        <v>111835</v>
      </c>
      <c r="H132" s="906">
        <v>363082</v>
      </c>
      <c r="I132" s="902">
        <v>3.25</v>
      </c>
      <c r="J132" s="906">
        <v>128980</v>
      </c>
      <c r="K132" s="906">
        <v>378652</v>
      </c>
      <c r="L132" s="902">
        <v>2.94</v>
      </c>
      <c r="M132" s="906">
        <v>120623</v>
      </c>
      <c r="N132" s="906">
        <v>364591</v>
      </c>
      <c r="O132" s="902">
        <v>3.02</v>
      </c>
      <c r="P132" s="907">
        <v>140520</v>
      </c>
      <c r="Q132" s="907">
        <v>432713</v>
      </c>
      <c r="R132" s="905">
        <v>3.08</v>
      </c>
      <c r="T132" s="902">
        <v>471.9</v>
      </c>
      <c r="U132" s="901">
        <v>1410.3</v>
      </c>
      <c r="V132" s="902">
        <v>2.99</v>
      </c>
      <c r="W132" s="906">
        <v>84914</v>
      </c>
      <c r="X132" s="906">
        <v>239843</v>
      </c>
      <c r="Y132" s="902">
        <v>2.82</v>
      </c>
      <c r="Z132" s="906">
        <v>132733</v>
      </c>
      <c r="AA132" s="906">
        <v>389670</v>
      </c>
      <c r="AB132" s="902">
        <v>2.94</v>
      </c>
      <c r="AC132" s="906">
        <v>141648</v>
      </c>
      <c r="AD132" s="906">
        <v>437803</v>
      </c>
      <c r="AE132" s="902">
        <v>3.09</v>
      </c>
      <c r="AF132" s="905">
        <v>914</v>
      </c>
      <c r="AG132" s="907">
        <v>3036</v>
      </c>
      <c r="AH132" s="905">
        <v>3.32</v>
      </c>
      <c r="AI132" s="901">
        <v>1270.7</v>
      </c>
      <c r="AJ132" s="901">
        <v>3874.8</v>
      </c>
      <c r="AK132" s="902">
        <v>3.05</v>
      </c>
      <c r="AL132" s="906">
        <v>196749</v>
      </c>
      <c r="AM132" s="906">
        <v>602925</v>
      </c>
      <c r="AN132" s="902">
        <v>3.06</v>
      </c>
      <c r="AP132" s="900">
        <v>2013</v>
      </c>
      <c r="AQ132" s="900" t="s">
        <v>1479</v>
      </c>
      <c r="AR132" s="906">
        <v>261714</v>
      </c>
      <c r="AS132" s="906">
        <v>768322</v>
      </c>
      <c r="AT132" s="902">
        <v>2.94</v>
      </c>
      <c r="AV132" s="900">
        <v>2013</v>
      </c>
      <c r="AW132" s="900" t="s">
        <v>1479</v>
      </c>
      <c r="AX132" s="906">
        <v>262272</v>
      </c>
      <c r="AY132" s="906">
        <v>802394</v>
      </c>
      <c r="AZ132" s="902">
        <v>3.06</v>
      </c>
      <c r="BB132" s="903">
        <v>2013</v>
      </c>
      <c r="BC132" s="903" t="s">
        <v>1479</v>
      </c>
      <c r="BD132" s="907">
        <v>141434</v>
      </c>
      <c r="BE132" s="907">
        <v>435749</v>
      </c>
      <c r="BF132" s="905">
        <v>3.08</v>
      </c>
    </row>
    <row r="133" spans="2:58" ht="10.9" thickBot="1">
      <c r="B133" s="903">
        <v>2013</v>
      </c>
      <c r="C133" s="263">
        <f t="shared" ref="C133:C196" si="2">EOMONTH(C132,1)</f>
        <v>41578</v>
      </c>
      <c r="D133" s="909">
        <v>839.8</v>
      </c>
      <c r="E133" s="909">
        <v>2557.6</v>
      </c>
      <c r="F133" s="914">
        <v>3.05</v>
      </c>
      <c r="G133" s="907">
        <v>105479</v>
      </c>
      <c r="H133" s="907">
        <v>363986</v>
      </c>
      <c r="I133" s="905">
        <v>3.45</v>
      </c>
      <c r="J133" s="907">
        <v>134240</v>
      </c>
      <c r="K133" s="907">
        <v>400727</v>
      </c>
      <c r="L133" s="905">
        <v>2.99</v>
      </c>
      <c r="M133" s="907">
        <v>127404</v>
      </c>
      <c r="N133" s="907">
        <v>374043</v>
      </c>
      <c r="O133" s="905">
        <v>2.94</v>
      </c>
      <c r="P133" s="906">
        <v>148869</v>
      </c>
      <c r="Q133" s="906">
        <v>442097</v>
      </c>
      <c r="R133" s="902">
        <v>2.97</v>
      </c>
      <c r="T133" s="905">
        <v>486.2</v>
      </c>
      <c r="U133" s="904">
        <v>1410.8</v>
      </c>
      <c r="V133" s="905">
        <v>2.9</v>
      </c>
      <c r="W133" s="907">
        <v>99439</v>
      </c>
      <c r="X133" s="907">
        <v>252608</v>
      </c>
      <c r="Y133" s="905">
        <v>2.54</v>
      </c>
      <c r="Z133" s="907">
        <v>129409</v>
      </c>
      <c r="AA133" s="907">
        <v>386304</v>
      </c>
      <c r="AB133" s="905">
        <v>2.99</v>
      </c>
      <c r="AC133" s="907">
        <v>141276</v>
      </c>
      <c r="AD133" s="907">
        <v>427428</v>
      </c>
      <c r="AE133" s="905">
        <v>3.03</v>
      </c>
      <c r="AF133" s="902">
        <v>904</v>
      </c>
      <c r="AG133" s="906">
        <v>2892</v>
      </c>
      <c r="AH133" s="902">
        <v>3.2</v>
      </c>
      <c r="AI133" s="904">
        <v>1326</v>
      </c>
      <c r="AJ133" s="904">
        <v>3968.5</v>
      </c>
      <c r="AK133" s="905">
        <v>2.99</v>
      </c>
      <c r="AL133" s="907">
        <v>204918</v>
      </c>
      <c r="AM133" s="907">
        <v>616594</v>
      </c>
      <c r="AN133" s="905">
        <v>3.01</v>
      </c>
      <c r="AP133" s="903">
        <v>2013</v>
      </c>
      <c r="AQ133" s="903" t="s">
        <v>1480</v>
      </c>
      <c r="AR133" s="907">
        <v>263650</v>
      </c>
      <c r="AS133" s="907">
        <v>787032</v>
      </c>
      <c r="AT133" s="905">
        <v>2.99</v>
      </c>
      <c r="AV133" s="903">
        <v>2013</v>
      </c>
      <c r="AW133" s="903" t="s">
        <v>1480</v>
      </c>
      <c r="AX133" s="907">
        <v>268679</v>
      </c>
      <c r="AY133" s="907">
        <v>801471</v>
      </c>
      <c r="AZ133" s="905">
        <v>2.98</v>
      </c>
      <c r="BB133" s="900">
        <v>2013</v>
      </c>
      <c r="BC133" s="900" t="s">
        <v>1480</v>
      </c>
      <c r="BD133" s="906">
        <v>149773</v>
      </c>
      <c r="BE133" s="906">
        <v>444989</v>
      </c>
      <c r="BF133" s="902">
        <v>2.97</v>
      </c>
    </row>
    <row r="134" spans="2:58" ht="10.9" thickBot="1">
      <c r="B134" s="900">
        <v>2013</v>
      </c>
      <c r="C134" s="263">
        <f t="shared" si="2"/>
        <v>41608</v>
      </c>
      <c r="D134" s="909">
        <v>801.9</v>
      </c>
      <c r="E134" s="909">
        <v>2423</v>
      </c>
      <c r="F134" s="914">
        <v>3.02</v>
      </c>
      <c r="G134" s="906">
        <v>99531</v>
      </c>
      <c r="H134" s="906">
        <v>331407</v>
      </c>
      <c r="I134" s="902">
        <v>3.33</v>
      </c>
      <c r="J134" s="906">
        <v>126083</v>
      </c>
      <c r="K134" s="906">
        <v>387041</v>
      </c>
      <c r="L134" s="902">
        <v>3.07</v>
      </c>
      <c r="M134" s="906">
        <v>119131</v>
      </c>
      <c r="N134" s="906">
        <v>344494</v>
      </c>
      <c r="O134" s="902">
        <v>2.89</v>
      </c>
      <c r="P134" s="907">
        <v>139991</v>
      </c>
      <c r="Q134" s="907">
        <v>415260</v>
      </c>
      <c r="R134" s="905">
        <v>2.97</v>
      </c>
      <c r="T134" s="902">
        <v>450.9</v>
      </c>
      <c r="U134" s="901">
        <v>1309.5999999999999</v>
      </c>
      <c r="V134" s="902">
        <v>2.9</v>
      </c>
      <c r="W134" s="906">
        <v>94198</v>
      </c>
      <c r="X134" s="906">
        <v>237215</v>
      </c>
      <c r="Y134" s="902">
        <v>2.52</v>
      </c>
      <c r="Z134" s="906">
        <v>113021</v>
      </c>
      <c r="AA134" s="906">
        <v>346943</v>
      </c>
      <c r="AB134" s="902">
        <v>3.07</v>
      </c>
      <c r="AC134" s="906">
        <v>129242</v>
      </c>
      <c r="AD134" s="906">
        <v>387532</v>
      </c>
      <c r="AE134" s="902">
        <v>3</v>
      </c>
      <c r="AF134" s="907">
        <v>1006</v>
      </c>
      <c r="AG134" s="907">
        <v>3166</v>
      </c>
      <c r="AH134" s="905">
        <v>3.15</v>
      </c>
      <c r="AI134" s="901">
        <v>1252.7</v>
      </c>
      <c r="AJ134" s="901">
        <v>3732.6</v>
      </c>
      <c r="AK134" s="902">
        <v>2.98</v>
      </c>
      <c r="AL134" s="906">
        <v>193729</v>
      </c>
      <c r="AM134" s="906">
        <v>568622</v>
      </c>
      <c r="AN134" s="902">
        <v>2.94</v>
      </c>
      <c r="AP134" s="900">
        <v>2013</v>
      </c>
      <c r="AQ134" s="900" t="s">
        <v>1481</v>
      </c>
      <c r="AR134" s="906">
        <v>239104</v>
      </c>
      <c r="AS134" s="906">
        <v>733984</v>
      </c>
      <c r="AT134" s="902">
        <v>3.07</v>
      </c>
      <c r="AV134" s="900">
        <v>2013</v>
      </c>
      <c r="AW134" s="900" t="s">
        <v>1481</v>
      </c>
      <c r="AX134" s="906">
        <v>248373</v>
      </c>
      <c r="AY134" s="906">
        <v>732026</v>
      </c>
      <c r="AZ134" s="902">
        <v>2.95</v>
      </c>
      <c r="BB134" s="903">
        <v>2013</v>
      </c>
      <c r="BC134" s="903" t="s">
        <v>1481</v>
      </c>
      <c r="BD134" s="907">
        <v>140998</v>
      </c>
      <c r="BE134" s="907">
        <v>418427</v>
      </c>
      <c r="BF134" s="905">
        <v>2.97</v>
      </c>
    </row>
    <row r="135" spans="2:58" ht="11.2" customHeight="1" thickBot="1">
      <c r="B135" s="903">
        <v>2013</v>
      </c>
      <c r="C135" s="263">
        <f t="shared" si="2"/>
        <v>41639</v>
      </c>
      <c r="D135" s="909">
        <v>877.2</v>
      </c>
      <c r="E135" s="909">
        <v>2656.4</v>
      </c>
      <c r="F135" s="914">
        <v>3.03</v>
      </c>
      <c r="G135" s="907">
        <v>116082</v>
      </c>
      <c r="H135" s="907">
        <v>363307</v>
      </c>
      <c r="I135" s="905">
        <v>3.13</v>
      </c>
      <c r="J135" s="907">
        <v>131142</v>
      </c>
      <c r="K135" s="907">
        <v>400092</v>
      </c>
      <c r="L135" s="905">
        <v>3.05</v>
      </c>
      <c r="M135" s="907">
        <v>124618</v>
      </c>
      <c r="N135" s="907">
        <v>368957</v>
      </c>
      <c r="O135" s="905">
        <v>2.96</v>
      </c>
      <c r="P135" s="906">
        <v>150056</v>
      </c>
      <c r="Q135" s="906">
        <v>444212</v>
      </c>
      <c r="R135" s="902">
        <v>2.96</v>
      </c>
      <c r="T135" s="905">
        <v>464.1</v>
      </c>
      <c r="U135" s="904">
        <v>1391.5</v>
      </c>
      <c r="V135" s="905">
        <v>3</v>
      </c>
      <c r="W135" s="907">
        <v>90235</v>
      </c>
      <c r="X135" s="907">
        <v>263030</v>
      </c>
      <c r="Y135" s="905">
        <v>2.91</v>
      </c>
      <c r="Z135" s="907">
        <v>122850</v>
      </c>
      <c r="AA135" s="907">
        <v>374794</v>
      </c>
      <c r="AB135" s="905">
        <v>3.05</v>
      </c>
      <c r="AC135" s="907">
        <v>132982</v>
      </c>
      <c r="AD135" s="907">
        <v>401874</v>
      </c>
      <c r="AE135" s="905">
        <v>3.02</v>
      </c>
      <c r="AF135" s="906">
        <v>1314</v>
      </c>
      <c r="AG135" s="906">
        <v>4300</v>
      </c>
      <c r="AH135" s="902">
        <v>3.27</v>
      </c>
      <c r="AI135" s="904">
        <v>1341.3</v>
      </c>
      <c r="AJ135" s="904">
        <v>4047.9</v>
      </c>
      <c r="AK135" s="905">
        <v>3.02</v>
      </c>
      <c r="AL135" s="907">
        <v>206317</v>
      </c>
      <c r="AM135" s="907">
        <v>626337</v>
      </c>
      <c r="AN135" s="905">
        <v>3.04</v>
      </c>
      <c r="AP135" s="903">
        <v>2013</v>
      </c>
      <c r="AQ135" s="903" t="s">
        <v>1482</v>
      </c>
      <c r="AR135" s="907">
        <v>253992</v>
      </c>
      <c r="AS135" s="907">
        <v>774886</v>
      </c>
      <c r="AT135" s="905">
        <v>3.05</v>
      </c>
      <c r="AV135" s="903">
        <v>2013</v>
      </c>
      <c r="AW135" s="903" t="s">
        <v>1482</v>
      </c>
      <c r="AX135" s="907">
        <v>257601</v>
      </c>
      <c r="AY135" s="907">
        <v>770831</v>
      </c>
      <c r="AZ135" s="905">
        <v>2.99</v>
      </c>
      <c r="BB135" s="900">
        <v>2013</v>
      </c>
      <c r="BC135" s="900" t="s">
        <v>1482</v>
      </c>
      <c r="BD135" s="906">
        <v>151369</v>
      </c>
      <c r="BE135" s="906">
        <v>448512</v>
      </c>
      <c r="BF135" s="902">
        <v>2.96</v>
      </c>
    </row>
    <row r="136" spans="2:58" ht="10.9" thickBot="1">
      <c r="B136" s="900">
        <v>2014</v>
      </c>
      <c r="C136" s="263">
        <f t="shared" si="2"/>
        <v>41670</v>
      </c>
      <c r="D136" s="909">
        <v>793.7</v>
      </c>
      <c r="E136" s="909">
        <v>2453.9</v>
      </c>
      <c r="F136" s="914">
        <v>3.09</v>
      </c>
      <c r="G136" s="906">
        <v>104800</v>
      </c>
      <c r="H136" s="906">
        <v>368876</v>
      </c>
      <c r="I136" s="902">
        <v>3.52</v>
      </c>
      <c r="J136" s="906">
        <v>119548</v>
      </c>
      <c r="K136" s="906">
        <v>357707</v>
      </c>
      <c r="L136" s="902">
        <v>2.99</v>
      </c>
      <c r="M136" s="906">
        <v>113692</v>
      </c>
      <c r="N136" s="906">
        <v>339592</v>
      </c>
      <c r="O136" s="902">
        <v>2.99</v>
      </c>
      <c r="P136" s="907">
        <v>134238</v>
      </c>
      <c r="Q136" s="907">
        <v>395146</v>
      </c>
      <c r="R136" s="905">
        <v>2.94</v>
      </c>
      <c r="T136" s="902">
        <v>470.3</v>
      </c>
      <c r="U136" s="901">
        <v>1386.3</v>
      </c>
      <c r="V136" s="902">
        <v>2.95</v>
      </c>
      <c r="W136" s="906">
        <v>101277</v>
      </c>
      <c r="X136" s="906">
        <v>265565</v>
      </c>
      <c r="Y136" s="902">
        <v>2.62</v>
      </c>
      <c r="Z136" s="906">
        <v>120739</v>
      </c>
      <c r="AA136" s="906">
        <v>361272</v>
      </c>
      <c r="AB136" s="902">
        <v>2.99</v>
      </c>
      <c r="AC136" s="906">
        <v>132884</v>
      </c>
      <c r="AD136" s="906">
        <v>408277</v>
      </c>
      <c r="AE136" s="902">
        <v>3.07</v>
      </c>
      <c r="AF136" s="907">
        <v>1287</v>
      </c>
      <c r="AG136" s="907">
        <v>4257</v>
      </c>
      <c r="AH136" s="905">
        <v>3.31</v>
      </c>
      <c r="AI136" s="901">
        <v>1264.0999999999999</v>
      </c>
      <c r="AJ136" s="901">
        <v>3840.2</v>
      </c>
      <c r="AK136" s="902">
        <v>3.04</v>
      </c>
      <c r="AL136" s="906">
        <v>206077</v>
      </c>
      <c r="AM136" s="906">
        <v>634441</v>
      </c>
      <c r="AN136" s="902">
        <v>3.08</v>
      </c>
      <c r="AP136" s="900">
        <v>2014</v>
      </c>
      <c r="AQ136" s="900" t="s">
        <v>1472</v>
      </c>
      <c r="AR136" s="906">
        <v>240287</v>
      </c>
      <c r="AS136" s="906">
        <v>718979</v>
      </c>
      <c r="AT136" s="902">
        <v>2.99</v>
      </c>
      <c r="AV136" s="900">
        <v>2014</v>
      </c>
      <c r="AW136" s="900" t="s">
        <v>1472</v>
      </c>
      <c r="AX136" s="906">
        <v>246576</v>
      </c>
      <c r="AY136" s="906">
        <v>747869</v>
      </c>
      <c r="AZ136" s="902">
        <v>3.03</v>
      </c>
      <c r="BB136" s="903">
        <v>2014</v>
      </c>
      <c r="BC136" s="903" t="s">
        <v>1472</v>
      </c>
      <c r="BD136" s="907">
        <v>135525</v>
      </c>
      <c r="BE136" s="907">
        <v>399403</v>
      </c>
      <c r="BF136" s="905">
        <v>2.95</v>
      </c>
    </row>
    <row r="137" spans="2:58" ht="10.9" thickBot="1">
      <c r="B137" s="903">
        <v>2014</v>
      </c>
      <c r="C137" s="263">
        <f t="shared" si="2"/>
        <v>41698</v>
      </c>
      <c r="D137" s="909">
        <v>737.8</v>
      </c>
      <c r="E137" s="909">
        <v>2246.3000000000002</v>
      </c>
      <c r="F137" s="914">
        <v>3.04</v>
      </c>
      <c r="G137" s="907">
        <v>104102</v>
      </c>
      <c r="H137" s="907">
        <v>323287</v>
      </c>
      <c r="I137" s="905">
        <v>3.11</v>
      </c>
      <c r="J137" s="907">
        <v>109374</v>
      </c>
      <c r="K137" s="907">
        <v>325382</v>
      </c>
      <c r="L137" s="905">
        <v>2.97</v>
      </c>
      <c r="M137" s="907">
        <v>105232</v>
      </c>
      <c r="N137" s="907">
        <v>315507</v>
      </c>
      <c r="O137" s="905">
        <v>3</v>
      </c>
      <c r="P137" s="906">
        <v>126199</v>
      </c>
      <c r="Q137" s="906">
        <v>379479</v>
      </c>
      <c r="R137" s="902">
        <v>3.01</v>
      </c>
      <c r="T137" s="905">
        <v>406.6</v>
      </c>
      <c r="U137" s="904">
        <v>1210.2</v>
      </c>
      <c r="V137" s="905">
        <v>2.98</v>
      </c>
      <c r="W137" s="907">
        <v>79550</v>
      </c>
      <c r="X137" s="907">
        <v>227138</v>
      </c>
      <c r="Y137" s="905">
        <v>2.86</v>
      </c>
      <c r="Z137" s="907">
        <v>106235</v>
      </c>
      <c r="AA137" s="907">
        <v>316045</v>
      </c>
      <c r="AB137" s="905">
        <v>2.97</v>
      </c>
      <c r="AC137" s="907">
        <v>120736</v>
      </c>
      <c r="AD137" s="907">
        <v>365473</v>
      </c>
      <c r="AE137" s="905">
        <v>3.03</v>
      </c>
      <c r="AF137" s="906">
        <v>1330</v>
      </c>
      <c r="AG137" s="906">
        <v>4400</v>
      </c>
      <c r="AH137" s="902">
        <v>3.31</v>
      </c>
      <c r="AI137" s="904">
        <v>1144.5</v>
      </c>
      <c r="AJ137" s="904">
        <v>3456.5</v>
      </c>
      <c r="AK137" s="905">
        <v>3.02</v>
      </c>
      <c r="AL137" s="907">
        <v>183652</v>
      </c>
      <c r="AM137" s="907">
        <v>550425</v>
      </c>
      <c r="AN137" s="905">
        <v>3</v>
      </c>
      <c r="AP137" s="903">
        <v>2014</v>
      </c>
      <c r="AQ137" s="903" t="s">
        <v>1473</v>
      </c>
      <c r="AR137" s="907">
        <v>215608</v>
      </c>
      <c r="AS137" s="907">
        <v>641427</v>
      </c>
      <c r="AT137" s="905">
        <v>2.97</v>
      </c>
      <c r="AV137" s="903">
        <v>2014</v>
      </c>
      <c r="AW137" s="903" t="s">
        <v>1473</v>
      </c>
      <c r="AX137" s="907">
        <v>225968</v>
      </c>
      <c r="AY137" s="907">
        <v>680980</v>
      </c>
      <c r="AZ137" s="905">
        <v>3.01</v>
      </c>
      <c r="BB137" s="900">
        <v>2014</v>
      </c>
      <c r="BC137" s="900" t="s">
        <v>1473</v>
      </c>
      <c r="BD137" s="906">
        <v>127528</v>
      </c>
      <c r="BE137" s="906">
        <v>383879</v>
      </c>
      <c r="BF137" s="902">
        <v>3.01</v>
      </c>
    </row>
    <row r="138" spans="2:58" ht="10.9" thickBot="1">
      <c r="B138" s="900">
        <v>2014</v>
      </c>
      <c r="C138" s="263">
        <f t="shared" si="2"/>
        <v>41729</v>
      </c>
      <c r="D138" s="909">
        <v>882.6</v>
      </c>
      <c r="E138" s="909">
        <v>2651.2</v>
      </c>
      <c r="F138" s="914">
        <v>3</v>
      </c>
      <c r="G138" s="906">
        <v>119352</v>
      </c>
      <c r="H138" s="906">
        <v>346448</v>
      </c>
      <c r="I138" s="902">
        <v>2.9</v>
      </c>
      <c r="J138" s="906">
        <v>141111</v>
      </c>
      <c r="K138" s="906">
        <v>426406</v>
      </c>
      <c r="L138" s="902">
        <v>3.02</v>
      </c>
      <c r="M138" s="906">
        <v>125267</v>
      </c>
      <c r="N138" s="906">
        <v>372270</v>
      </c>
      <c r="O138" s="902">
        <v>2.97</v>
      </c>
      <c r="P138" s="907">
        <v>157585</v>
      </c>
      <c r="Q138" s="907">
        <v>469362</v>
      </c>
      <c r="R138" s="905">
        <v>2.98</v>
      </c>
      <c r="T138" s="902">
        <v>486.5</v>
      </c>
      <c r="U138" s="901">
        <v>1481.3</v>
      </c>
      <c r="V138" s="902">
        <v>3.04</v>
      </c>
      <c r="W138" s="906">
        <v>90503</v>
      </c>
      <c r="X138" s="906">
        <v>286122</v>
      </c>
      <c r="Y138" s="902">
        <v>3.16</v>
      </c>
      <c r="Z138" s="906">
        <v>128454</v>
      </c>
      <c r="AA138" s="906">
        <v>388157</v>
      </c>
      <c r="AB138" s="902">
        <v>3.02</v>
      </c>
      <c r="AC138" s="906">
        <v>146296</v>
      </c>
      <c r="AD138" s="906">
        <v>443954</v>
      </c>
      <c r="AE138" s="902">
        <v>3.03</v>
      </c>
      <c r="AF138" s="907">
        <v>1756</v>
      </c>
      <c r="AG138" s="907">
        <v>5803</v>
      </c>
      <c r="AH138" s="905">
        <v>3.31</v>
      </c>
      <c r="AI138" s="901">
        <v>1369</v>
      </c>
      <c r="AJ138" s="901">
        <v>4132.3999999999996</v>
      </c>
      <c r="AK138" s="902">
        <v>3.02</v>
      </c>
      <c r="AL138" s="906">
        <v>209855</v>
      </c>
      <c r="AM138" s="906">
        <v>632569</v>
      </c>
      <c r="AN138" s="902">
        <v>3.01</v>
      </c>
      <c r="AP138" s="900">
        <v>2014</v>
      </c>
      <c r="AQ138" s="900" t="s">
        <v>1474</v>
      </c>
      <c r="AR138" s="906">
        <v>269565</v>
      </c>
      <c r="AS138" s="906">
        <v>814563</v>
      </c>
      <c r="AT138" s="902">
        <v>3.02</v>
      </c>
      <c r="AV138" s="900">
        <v>2014</v>
      </c>
      <c r="AW138" s="900" t="s">
        <v>1474</v>
      </c>
      <c r="AX138" s="906">
        <v>271563</v>
      </c>
      <c r="AY138" s="906">
        <v>816224</v>
      </c>
      <c r="AZ138" s="902">
        <v>3.01</v>
      </c>
      <c r="BB138" s="903">
        <v>2014</v>
      </c>
      <c r="BC138" s="903" t="s">
        <v>1474</v>
      </c>
      <c r="BD138" s="907">
        <v>159341</v>
      </c>
      <c r="BE138" s="907">
        <v>475165</v>
      </c>
      <c r="BF138" s="905">
        <v>2.98</v>
      </c>
    </row>
    <row r="139" spans="2:58" ht="10.9" thickBot="1">
      <c r="B139" s="903">
        <v>2014</v>
      </c>
      <c r="C139" s="263">
        <f t="shared" si="2"/>
        <v>41759</v>
      </c>
      <c r="D139" s="909">
        <v>851.1</v>
      </c>
      <c r="E139" s="909">
        <v>2536.1</v>
      </c>
      <c r="F139" s="914">
        <v>2.98</v>
      </c>
      <c r="G139" s="907">
        <v>112942</v>
      </c>
      <c r="H139" s="907">
        <v>346663</v>
      </c>
      <c r="I139" s="905">
        <v>3.07</v>
      </c>
      <c r="J139" s="907">
        <v>134902</v>
      </c>
      <c r="K139" s="907">
        <v>390364</v>
      </c>
      <c r="L139" s="905">
        <v>2.89</v>
      </c>
      <c r="M139" s="907">
        <v>116130</v>
      </c>
      <c r="N139" s="907">
        <v>342643</v>
      </c>
      <c r="O139" s="905">
        <v>2.95</v>
      </c>
      <c r="P139" s="906">
        <v>151710</v>
      </c>
      <c r="Q139" s="906">
        <v>444219</v>
      </c>
      <c r="R139" s="902">
        <v>2.93</v>
      </c>
      <c r="T139" s="905">
        <v>474.5</v>
      </c>
      <c r="U139" s="904">
        <v>1391.7</v>
      </c>
      <c r="V139" s="905">
        <v>2.93</v>
      </c>
      <c r="W139" s="907">
        <v>87566</v>
      </c>
      <c r="X139" s="907">
        <v>252842</v>
      </c>
      <c r="Y139" s="905">
        <v>2.89</v>
      </c>
      <c r="Z139" s="907">
        <v>125626</v>
      </c>
      <c r="AA139" s="907">
        <v>363521</v>
      </c>
      <c r="AB139" s="905">
        <v>2.89</v>
      </c>
      <c r="AC139" s="907">
        <v>139949</v>
      </c>
      <c r="AD139" s="907">
        <v>419624</v>
      </c>
      <c r="AE139" s="905">
        <v>3</v>
      </c>
      <c r="AF139" s="906">
        <v>1474</v>
      </c>
      <c r="AG139" s="906">
        <v>4843</v>
      </c>
      <c r="AH139" s="902">
        <v>3.29</v>
      </c>
      <c r="AI139" s="904">
        <v>1325.6</v>
      </c>
      <c r="AJ139" s="904">
        <v>3927.8</v>
      </c>
      <c r="AK139" s="905">
        <v>2.96</v>
      </c>
      <c r="AL139" s="907">
        <v>200508</v>
      </c>
      <c r="AM139" s="907">
        <v>599505</v>
      </c>
      <c r="AN139" s="905">
        <v>2.99</v>
      </c>
      <c r="AP139" s="903">
        <v>2014</v>
      </c>
      <c r="AQ139" s="903" t="s">
        <v>1475</v>
      </c>
      <c r="AR139" s="907">
        <v>260527</v>
      </c>
      <c r="AS139" s="907">
        <v>753885</v>
      </c>
      <c r="AT139" s="905">
        <v>2.89</v>
      </c>
      <c r="AV139" s="903">
        <v>2014</v>
      </c>
      <c r="AW139" s="903" t="s">
        <v>1475</v>
      </c>
      <c r="AX139" s="907">
        <v>256079</v>
      </c>
      <c r="AY139" s="907">
        <v>762266</v>
      </c>
      <c r="AZ139" s="905">
        <v>2.98</v>
      </c>
      <c r="BB139" s="900">
        <v>2014</v>
      </c>
      <c r="BC139" s="900" t="s">
        <v>1475</v>
      </c>
      <c r="BD139" s="906">
        <v>153184</v>
      </c>
      <c r="BE139" s="906">
        <v>449062</v>
      </c>
      <c r="BF139" s="902">
        <v>2.93</v>
      </c>
    </row>
    <row r="140" spans="2:58" ht="10.9" thickBot="1">
      <c r="B140" s="900">
        <v>2014</v>
      </c>
      <c r="C140" s="263">
        <f t="shared" si="2"/>
        <v>41790</v>
      </c>
      <c r="D140" s="909">
        <v>874</v>
      </c>
      <c r="E140" s="909">
        <v>2612.6</v>
      </c>
      <c r="F140" s="914">
        <v>2.99</v>
      </c>
      <c r="G140" s="906">
        <v>116203</v>
      </c>
      <c r="H140" s="906">
        <v>346752</v>
      </c>
      <c r="I140" s="902">
        <v>2.98</v>
      </c>
      <c r="J140" s="906">
        <v>139533</v>
      </c>
      <c r="K140" s="906">
        <v>407888</v>
      </c>
      <c r="L140" s="902">
        <v>2.92</v>
      </c>
      <c r="M140" s="906">
        <v>125856</v>
      </c>
      <c r="N140" s="906">
        <v>371469</v>
      </c>
      <c r="O140" s="902">
        <v>2.95</v>
      </c>
      <c r="P140" s="907">
        <v>153657</v>
      </c>
      <c r="Q140" s="907">
        <v>452257</v>
      </c>
      <c r="R140" s="905">
        <v>2.94</v>
      </c>
      <c r="T140" s="902">
        <v>509.5</v>
      </c>
      <c r="U140" s="901">
        <v>1494.7</v>
      </c>
      <c r="V140" s="902">
        <v>2.93</v>
      </c>
      <c r="W140" s="906">
        <v>92605</v>
      </c>
      <c r="X140" s="906">
        <v>263541</v>
      </c>
      <c r="Y140" s="902">
        <v>2.85</v>
      </c>
      <c r="Z140" s="906">
        <v>136579</v>
      </c>
      <c r="AA140" s="906">
        <v>399253</v>
      </c>
      <c r="AB140" s="902">
        <v>2.92</v>
      </c>
      <c r="AC140" s="906">
        <v>152650</v>
      </c>
      <c r="AD140" s="906">
        <v>455747</v>
      </c>
      <c r="AE140" s="902">
        <v>2.99</v>
      </c>
      <c r="AF140" s="907">
        <v>1384</v>
      </c>
      <c r="AG140" s="907">
        <v>4509</v>
      </c>
      <c r="AH140" s="905">
        <v>3.26</v>
      </c>
      <c r="AI140" s="901">
        <v>1383.5</v>
      </c>
      <c r="AJ140" s="901">
        <v>4107.3</v>
      </c>
      <c r="AK140" s="902">
        <v>2.97</v>
      </c>
      <c r="AL140" s="906">
        <v>208808</v>
      </c>
      <c r="AM140" s="906">
        <v>610292</v>
      </c>
      <c r="AN140" s="902">
        <v>2.92</v>
      </c>
      <c r="AP140" s="900">
        <v>2014</v>
      </c>
      <c r="AQ140" s="900" t="s">
        <v>1465</v>
      </c>
      <c r="AR140" s="906">
        <v>276111</v>
      </c>
      <c r="AS140" s="906">
        <v>807142</v>
      </c>
      <c r="AT140" s="902">
        <v>2.92</v>
      </c>
      <c r="AV140" s="900">
        <v>2014</v>
      </c>
      <c r="AW140" s="900" t="s">
        <v>1465</v>
      </c>
      <c r="AX140" s="906">
        <v>278506</v>
      </c>
      <c r="AY140" s="906">
        <v>827216</v>
      </c>
      <c r="AZ140" s="902">
        <v>2.97</v>
      </c>
      <c r="BB140" s="903">
        <v>2014</v>
      </c>
      <c r="BC140" s="903" t="s">
        <v>1465</v>
      </c>
      <c r="BD140" s="907">
        <v>155040</v>
      </c>
      <c r="BE140" s="907">
        <v>456766</v>
      </c>
      <c r="BF140" s="905">
        <v>2.95</v>
      </c>
    </row>
    <row r="141" spans="2:58" ht="10.9" thickBot="1">
      <c r="B141" s="903">
        <v>2014</v>
      </c>
      <c r="C141" s="263">
        <f t="shared" si="2"/>
        <v>41820</v>
      </c>
      <c r="D141" s="909">
        <v>901.2</v>
      </c>
      <c r="E141" s="909">
        <v>2677</v>
      </c>
      <c r="F141" s="914">
        <v>2.97</v>
      </c>
      <c r="G141" s="907">
        <v>119489</v>
      </c>
      <c r="H141" s="907">
        <v>366347</v>
      </c>
      <c r="I141" s="905">
        <v>3.07</v>
      </c>
      <c r="J141" s="907">
        <v>146484</v>
      </c>
      <c r="K141" s="907">
        <v>422068</v>
      </c>
      <c r="L141" s="905">
        <v>2.88</v>
      </c>
      <c r="M141" s="907">
        <v>131764</v>
      </c>
      <c r="N141" s="907">
        <v>385536</v>
      </c>
      <c r="O141" s="905">
        <v>2.93</v>
      </c>
      <c r="P141" s="906">
        <v>159781</v>
      </c>
      <c r="Q141" s="906">
        <v>458815</v>
      </c>
      <c r="R141" s="902">
        <v>2.87</v>
      </c>
      <c r="T141" s="905">
        <v>529.6</v>
      </c>
      <c r="U141" s="904">
        <v>1543.1</v>
      </c>
      <c r="V141" s="905">
        <v>2.91</v>
      </c>
      <c r="W141" s="907">
        <v>95614</v>
      </c>
      <c r="X141" s="907">
        <v>269506</v>
      </c>
      <c r="Y141" s="905">
        <v>2.82</v>
      </c>
      <c r="Z141" s="907">
        <v>151744</v>
      </c>
      <c r="AA141" s="907">
        <v>437223</v>
      </c>
      <c r="AB141" s="905">
        <v>2.88</v>
      </c>
      <c r="AC141" s="907">
        <v>153559</v>
      </c>
      <c r="AD141" s="907">
        <v>456544</v>
      </c>
      <c r="AE141" s="905">
        <v>2.97</v>
      </c>
      <c r="AF141" s="906">
        <v>1372</v>
      </c>
      <c r="AG141" s="906">
        <v>4440</v>
      </c>
      <c r="AH141" s="902">
        <v>3.24</v>
      </c>
      <c r="AI141" s="904">
        <v>1430.8</v>
      </c>
      <c r="AJ141" s="904">
        <v>4220</v>
      </c>
      <c r="AK141" s="905">
        <v>2.95</v>
      </c>
      <c r="AL141" s="907">
        <v>215103</v>
      </c>
      <c r="AM141" s="907">
        <v>635853</v>
      </c>
      <c r="AN141" s="905">
        <v>2.96</v>
      </c>
      <c r="AP141" s="903">
        <v>2014</v>
      </c>
      <c r="AQ141" s="903" t="s">
        <v>1476</v>
      </c>
      <c r="AR141" s="907">
        <v>298228</v>
      </c>
      <c r="AS141" s="907">
        <v>859291</v>
      </c>
      <c r="AT141" s="905">
        <v>2.88</v>
      </c>
      <c r="AV141" s="903">
        <v>2014</v>
      </c>
      <c r="AW141" s="903" t="s">
        <v>1476</v>
      </c>
      <c r="AX141" s="907">
        <v>285323</v>
      </c>
      <c r="AY141" s="907">
        <v>842080</v>
      </c>
      <c r="AZ141" s="905">
        <v>2.95</v>
      </c>
      <c r="BB141" s="900">
        <v>2014</v>
      </c>
      <c r="BC141" s="900" t="s">
        <v>1476</v>
      </c>
      <c r="BD141" s="906">
        <v>161153</v>
      </c>
      <c r="BE141" s="906">
        <v>463254</v>
      </c>
      <c r="BF141" s="902">
        <v>2.87</v>
      </c>
    </row>
    <row r="142" spans="2:58" ht="10.9" thickBot="1">
      <c r="B142" s="900">
        <v>2014</v>
      </c>
      <c r="C142" s="263">
        <f t="shared" si="2"/>
        <v>41851</v>
      </c>
      <c r="D142" s="909">
        <v>928.1</v>
      </c>
      <c r="E142" s="909">
        <v>2783.3</v>
      </c>
      <c r="F142" s="914">
        <v>3</v>
      </c>
      <c r="G142" s="906">
        <v>110538</v>
      </c>
      <c r="H142" s="906">
        <v>377912</v>
      </c>
      <c r="I142" s="902">
        <v>3.42</v>
      </c>
      <c r="J142" s="906">
        <v>153334</v>
      </c>
      <c r="K142" s="906">
        <v>441234</v>
      </c>
      <c r="L142" s="902">
        <v>2.88</v>
      </c>
      <c r="M142" s="906">
        <v>135208</v>
      </c>
      <c r="N142" s="906">
        <v>391585</v>
      </c>
      <c r="O142" s="902">
        <v>2.9</v>
      </c>
      <c r="P142" s="907">
        <v>166393</v>
      </c>
      <c r="Q142" s="907">
        <v>480278</v>
      </c>
      <c r="R142" s="905">
        <v>2.89</v>
      </c>
      <c r="T142" s="902">
        <v>570.1</v>
      </c>
      <c r="U142" s="901">
        <v>1617.1</v>
      </c>
      <c r="V142" s="902">
        <v>2.84</v>
      </c>
      <c r="W142" s="906">
        <v>114273</v>
      </c>
      <c r="X142" s="906">
        <v>281249</v>
      </c>
      <c r="Y142" s="902">
        <v>2.46</v>
      </c>
      <c r="Z142" s="906">
        <v>158479</v>
      </c>
      <c r="AA142" s="906">
        <v>456037</v>
      </c>
      <c r="AB142" s="902">
        <v>2.88</v>
      </c>
      <c r="AC142" s="906">
        <v>160952</v>
      </c>
      <c r="AD142" s="906">
        <v>479305</v>
      </c>
      <c r="AE142" s="902">
        <v>2.98</v>
      </c>
      <c r="AF142" s="907">
        <v>1453</v>
      </c>
      <c r="AG142" s="907">
        <v>4657</v>
      </c>
      <c r="AH142" s="905">
        <v>3.2</v>
      </c>
      <c r="AI142" s="901">
        <v>1498.2</v>
      </c>
      <c r="AJ142" s="901">
        <v>4400.5</v>
      </c>
      <c r="AK142" s="902">
        <v>2.94</v>
      </c>
      <c r="AL142" s="906">
        <v>224811</v>
      </c>
      <c r="AM142" s="906">
        <v>659161</v>
      </c>
      <c r="AN142" s="902">
        <v>2.93</v>
      </c>
      <c r="AP142" s="900">
        <v>2014</v>
      </c>
      <c r="AQ142" s="900" t="s">
        <v>1477</v>
      </c>
      <c r="AR142" s="906">
        <v>311813</v>
      </c>
      <c r="AS142" s="906">
        <v>897272</v>
      </c>
      <c r="AT142" s="902">
        <v>2.88</v>
      </c>
      <c r="AV142" s="900">
        <v>2014</v>
      </c>
      <c r="AW142" s="900" t="s">
        <v>1477</v>
      </c>
      <c r="AX142" s="906">
        <v>296160</v>
      </c>
      <c r="AY142" s="906">
        <v>870890</v>
      </c>
      <c r="AZ142" s="902">
        <v>2.94</v>
      </c>
      <c r="BB142" s="903">
        <v>2014</v>
      </c>
      <c r="BC142" s="903" t="s">
        <v>1477</v>
      </c>
      <c r="BD142" s="907">
        <v>167846</v>
      </c>
      <c r="BE142" s="907">
        <v>484935</v>
      </c>
      <c r="BF142" s="905">
        <v>2.89</v>
      </c>
    </row>
    <row r="143" spans="2:58" ht="10.9" thickBot="1">
      <c r="B143" s="903">
        <v>2014</v>
      </c>
      <c r="C143" s="263">
        <f t="shared" si="2"/>
        <v>41882</v>
      </c>
      <c r="D143" s="909">
        <v>900.4</v>
      </c>
      <c r="E143" s="909">
        <v>2685</v>
      </c>
      <c r="F143" s="914">
        <v>2.98</v>
      </c>
      <c r="G143" s="907">
        <v>106552</v>
      </c>
      <c r="H143" s="907">
        <v>344037</v>
      </c>
      <c r="I143" s="905">
        <v>3.23</v>
      </c>
      <c r="J143" s="907">
        <v>153864</v>
      </c>
      <c r="K143" s="907">
        <v>449066</v>
      </c>
      <c r="L143" s="905">
        <v>2.92</v>
      </c>
      <c r="M143" s="907">
        <v>130634</v>
      </c>
      <c r="N143" s="907">
        <v>377267</v>
      </c>
      <c r="O143" s="905">
        <v>2.89</v>
      </c>
      <c r="P143" s="906">
        <v>154029</v>
      </c>
      <c r="Q143" s="906">
        <v>440958</v>
      </c>
      <c r="R143" s="902">
        <v>2.86</v>
      </c>
      <c r="T143" s="905">
        <v>559</v>
      </c>
      <c r="U143" s="904">
        <v>1587.9</v>
      </c>
      <c r="V143" s="905">
        <v>2.84</v>
      </c>
      <c r="W143" s="907">
        <v>110123</v>
      </c>
      <c r="X143" s="907">
        <v>275018</v>
      </c>
      <c r="Y143" s="905">
        <v>2.5</v>
      </c>
      <c r="Z143" s="907">
        <v>159526</v>
      </c>
      <c r="AA143" s="907">
        <v>465590</v>
      </c>
      <c r="AB143" s="905">
        <v>2.92</v>
      </c>
      <c r="AC143" s="907">
        <v>157747</v>
      </c>
      <c r="AD143" s="907">
        <v>464245</v>
      </c>
      <c r="AE143" s="905">
        <v>2.94</v>
      </c>
      <c r="AF143" s="902">
        <v>915</v>
      </c>
      <c r="AG143" s="906">
        <v>2914</v>
      </c>
      <c r="AH143" s="902">
        <v>3.18</v>
      </c>
      <c r="AI143" s="904">
        <v>1459.3</v>
      </c>
      <c r="AJ143" s="904">
        <v>4272.8999999999996</v>
      </c>
      <c r="AK143" s="905">
        <v>2.93</v>
      </c>
      <c r="AL143" s="907">
        <v>216675</v>
      </c>
      <c r="AM143" s="907">
        <v>619055</v>
      </c>
      <c r="AN143" s="905">
        <v>2.86</v>
      </c>
      <c r="AP143" s="903">
        <v>2014</v>
      </c>
      <c r="AQ143" s="903" t="s">
        <v>1478</v>
      </c>
      <c r="AR143" s="907">
        <v>313390</v>
      </c>
      <c r="AS143" s="907">
        <v>914656</v>
      </c>
      <c r="AT143" s="905">
        <v>2.92</v>
      </c>
      <c r="AV143" s="903">
        <v>2014</v>
      </c>
      <c r="AW143" s="903" t="s">
        <v>1478</v>
      </c>
      <c r="AX143" s="907">
        <v>288381</v>
      </c>
      <c r="AY143" s="907">
        <v>841512</v>
      </c>
      <c r="AZ143" s="905">
        <v>2.92</v>
      </c>
      <c r="BB143" s="900">
        <v>2014</v>
      </c>
      <c r="BC143" s="900" t="s">
        <v>1478</v>
      </c>
      <c r="BD143" s="906">
        <v>154944</v>
      </c>
      <c r="BE143" s="906">
        <v>443872</v>
      </c>
      <c r="BF143" s="902">
        <v>2.86</v>
      </c>
    </row>
    <row r="144" spans="2:58" ht="10.9" thickBot="1">
      <c r="B144" s="900">
        <v>2014</v>
      </c>
      <c r="C144" s="263">
        <f t="shared" si="2"/>
        <v>41912</v>
      </c>
      <c r="D144" s="909">
        <v>822.5</v>
      </c>
      <c r="E144" s="909">
        <v>2376.8000000000002</v>
      </c>
      <c r="F144" s="914">
        <v>2.89</v>
      </c>
      <c r="G144" s="906">
        <v>108846</v>
      </c>
      <c r="H144" s="906">
        <v>323544</v>
      </c>
      <c r="I144" s="902">
        <v>2.97</v>
      </c>
      <c r="J144" s="906">
        <v>135223</v>
      </c>
      <c r="K144" s="906">
        <v>381384</v>
      </c>
      <c r="L144" s="902">
        <v>2.82</v>
      </c>
      <c r="M144" s="906">
        <v>116845</v>
      </c>
      <c r="N144" s="906">
        <v>324878</v>
      </c>
      <c r="O144" s="902">
        <v>2.78</v>
      </c>
      <c r="P144" s="907">
        <v>142172</v>
      </c>
      <c r="Q144" s="907">
        <v>402130</v>
      </c>
      <c r="R144" s="905">
        <v>2.83</v>
      </c>
      <c r="T144" s="902">
        <v>489.6</v>
      </c>
      <c r="U144" s="901">
        <v>1376.8</v>
      </c>
      <c r="V144" s="902">
        <v>2.81</v>
      </c>
      <c r="W144" s="906">
        <v>87264</v>
      </c>
      <c r="X144" s="906">
        <v>235313</v>
      </c>
      <c r="Y144" s="902">
        <v>2.7</v>
      </c>
      <c r="Z144" s="906">
        <v>142927</v>
      </c>
      <c r="AA144" s="906">
        <v>403113</v>
      </c>
      <c r="AB144" s="902">
        <v>2.82</v>
      </c>
      <c r="AC144" s="906">
        <v>141632</v>
      </c>
      <c r="AD144" s="906">
        <v>402587</v>
      </c>
      <c r="AE144" s="902">
        <v>2.84</v>
      </c>
      <c r="AF144" s="905">
        <v>626</v>
      </c>
      <c r="AG144" s="907">
        <v>1976</v>
      </c>
      <c r="AH144" s="905">
        <v>3.16</v>
      </c>
      <c r="AI144" s="901">
        <v>1312.2</v>
      </c>
      <c r="AJ144" s="901">
        <v>3753.6</v>
      </c>
      <c r="AK144" s="902">
        <v>2.86</v>
      </c>
      <c r="AL144" s="906">
        <v>196109</v>
      </c>
      <c r="AM144" s="906">
        <v>558857</v>
      </c>
      <c r="AN144" s="902">
        <v>2.85</v>
      </c>
      <c r="AP144" s="900">
        <v>2014</v>
      </c>
      <c r="AQ144" s="900" t="s">
        <v>1479</v>
      </c>
      <c r="AR144" s="906">
        <v>278151</v>
      </c>
      <c r="AS144" s="906">
        <v>784496</v>
      </c>
      <c r="AT144" s="902">
        <v>2.82</v>
      </c>
      <c r="AV144" s="900">
        <v>2014</v>
      </c>
      <c r="AW144" s="900" t="s">
        <v>1479</v>
      </c>
      <c r="AX144" s="906">
        <v>258477</v>
      </c>
      <c r="AY144" s="906">
        <v>727465</v>
      </c>
      <c r="AZ144" s="902">
        <v>2.81</v>
      </c>
      <c r="BB144" s="903">
        <v>2014</v>
      </c>
      <c r="BC144" s="903" t="s">
        <v>1479</v>
      </c>
      <c r="BD144" s="907">
        <v>142797</v>
      </c>
      <c r="BE144" s="907">
        <v>404105</v>
      </c>
      <c r="BF144" s="905">
        <v>2.83</v>
      </c>
    </row>
    <row r="145" spans="2:58" ht="10.9" thickBot="1">
      <c r="B145" s="903">
        <v>2014</v>
      </c>
      <c r="C145" s="263">
        <f t="shared" si="2"/>
        <v>41943</v>
      </c>
      <c r="D145" s="909">
        <v>872.5</v>
      </c>
      <c r="E145" s="909">
        <v>2349.1</v>
      </c>
      <c r="F145" s="914">
        <v>2.69</v>
      </c>
      <c r="G145" s="907">
        <v>114541</v>
      </c>
      <c r="H145" s="907">
        <v>314247</v>
      </c>
      <c r="I145" s="905">
        <v>2.74</v>
      </c>
      <c r="J145" s="907">
        <v>141567</v>
      </c>
      <c r="K145" s="907">
        <v>380699</v>
      </c>
      <c r="L145" s="905">
        <v>2.69</v>
      </c>
      <c r="M145" s="907">
        <v>123666</v>
      </c>
      <c r="N145" s="907">
        <v>322422</v>
      </c>
      <c r="O145" s="905">
        <v>2.61</v>
      </c>
      <c r="P145" s="906">
        <v>148638</v>
      </c>
      <c r="Q145" s="906">
        <v>393528</v>
      </c>
      <c r="R145" s="902">
        <v>2.65</v>
      </c>
      <c r="T145" s="905">
        <v>483.9</v>
      </c>
      <c r="U145" s="904">
        <v>1291.5999999999999</v>
      </c>
      <c r="V145" s="905">
        <v>2.67</v>
      </c>
      <c r="W145" s="907">
        <v>89942</v>
      </c>
      <c r="X145" s="907">
        <v>228814</v>
      </c>
      <c r="Y145" s="905">
        <v>2.54</v>
      </c>
      <c r="Z145" s="907">
        <v>134136</v>
      </c>
      <c r="AA145" s="907">
        <v>360717</v>
      </c>
      <c r="AB145" s="905">
        <v>2.69</v>
      </c>
      <c r="AC145" s="907">
        <v>143377</v>
      </c>
      <c r="AD145" s="907">
        <v>388474</v>
      </c>
      <c r="AE145" s="905">
        <v>2.71</v>
      </c>
      <c r="AF145" s="902">
        <v>649</v>
      </c>
      <c r="AG145" s="906">
        <v>1881</v>
      </c>
      <c r="AH145" s="902">
        <v>2.9</v>
      </c>
      <c r="AI145" s="904">
        <v>1356.4</v>
      </c>
      <c r="AJ145" s="904">
        <v>3640.7</v>
      </c>
      <c r="AK145" s="905">
        <v>2.68</v>
      </c>
      <c r="AL145" s="907">
        <v>204483</v>
      </c>
      <c r="AM145" s="907">
        <v>543061</v>
      </c>
      <c r="AN145" s="905">
        <v>2.66</v>
      </c>
      <c r="AP145" s="903">
        <v>2014</v>
      </c>
      <c r="AQ145" s="903" t="s">
        <v>1480</v>
      </c>
      <c r="AR145" s="907">
        <v>275703</v>
      </c>
      <c r="AS145" s="907">
        <v>741416</v>
      </c>
      <c r="AT145" s="905">
        <v>2.69</v>
      </c>
      <c r="AV145" s="903">
        <v>2014</v>
      </c>
      <c r="AW145" s="903" t="s">
        <v>1480</v>
      </c>
      <c r="AX145" s="907">
        <v>267043</v>
      </c>
      <c r="AY145" s="907">
        <v>710896</v>
      </c>
      <c r="AZ145" s="905">
        <v>2.66</v>
      </c>
      <c r="BB145" s="900">
        <v>2014</v>
      </c>
      <c r="BC145" s="900" t="s">
        <v>1480</v>
      </c>
      <c r="BD145" s="906">
        <v>149286</v>
      </c>
      <c r="BE145" s="906">
        <v>395409</v>
      </c>
      <c r="BF145" s="902">
        <v>2.65</v>
      </c>
    </row>
    <row r="146" spans="2:58" ht="10.9" thickBot="1">
      <c r="B146" s="900">
        <v>2014</v>
      </c>
      <c r="C146" s="263">
        <f t="shared" si="2"/>
        <v>41973</v>
      </c>
      <c r="D146" s="909">
        <v>830</v>
      </c>
      <c r="E146" s="909">
        <v>2138.3000000000002</v>
      </c>
      <c r="F146" s="914">
        <v>2.58</v>
      </c>
      <c r="G146" s="906">
        <v>108189</v>
      </c>
      <c r="H146" s="906">
        <v>277392</v>
      </c>
      <c r="I146" s="902">
        <v>2.56</v>
      </c>
      <c r="J146" s="906">
        <v>132167</v>
      </c>
      <c r="K146" s="906">
        <v>360691</v>
      </c>
      <c r="L146" s="902">
        <v>2.73</v>
      </c>
      <c r="M146" s="906">
        <v>111463</v>
      </c>
      <c r="N146" s="906">
        <v>273103</v>
      </c>
      <c r="O146" s="902">
        <v>2.4500000000000002</v>
      </c>
      <c r="P146" s="907">
        <v>146430</v>
      </c>
      <c r="Q146" s="907">
        <v>364599</v>
      </c>
      <c r="R146" s="905">
        <v>2.4900000000000002</v>
      </c>
      <c r="T146" s="902">
        <v>445.1</v>
      </c>
      <c r="U146" s="901">
        <v>1135.5999999999999</v>
      </c>
      <c r="V146" s="902">
        <v>2.5499999999999998</v>
      </c>
      <c r="W146" s="906">
        <v>85892</v>
      </c>
      <c r="X146" s="906">
        <v>203685</v>
      </c>
      <c r="Y146" s="902">
        <v>2.37</v>
      </c>
      <c r="Z146" s="906">
        <v>116149</v>
      </c>
      <c r="AA146" s="906">
        <v>316977</v>
      </c>
      <c r="AB146" s="902">
        <v>2.73</v>
      </c>
      <c r="AC146" s="906">
        <v>129971</v>
      </c>
      <c r="AD146" s="906">
        <v>326931</v>
      </c>
      <c r="AE146" s="902">
        <v>2.52</v>
      </c>
      <c r="AF146" s="905">
        <v>789</v>
      </c>
      <c r="AG146" s="907">
        <v>2126</v>
      </c>
      <c r="AH146" s="905">
        <v>2.69</v>
      </c>
      <c r="AI146" s="901">
        <v>1275.0999999999999</v>
      </c>
      <c r="AJ146" s="901">
        <v>3273.9</v>
      </c>
      <c r="AK146" s="902">
        <v>2.57</v>
      </c>
      <c r="AL146" s="906">
        <v>194081</v>
      </c>
      <c r="AM146" s="906">
        <v>481077</v>
      </c>
      <c r="AN146" s="902">
        <v>2.48</v>
      </c>
      <c r="AP146" s="900">
        <v>2014</v>
      </c>
      <c r="AQ146" s="900" t="s">
        <v>1481</v>
      </c>
      <c r="AR146" s="906">
        <v>248316</v>
      </c>
      <c r="AS146" s="906">
        <v>677668</v>
      </c>
      <c r="AT146" s="902">
        <v>2.73</v>
      </c>
      <c r="AV146" s="900">
        <v>2014</v>
      </c>
      <c r="AW146" s="900" t="s">
        <v>1481</v>
      </c>
      <c r="AX146" s="906">
        <v>241433</v>
      </c>
      <c r="AY146" s="906">
        <v>600034</v>
      </c>
      <c r="AZ146" s="902">
        <v>2.4900000000000002</v>
      </c>
      <c r="BB146" s="903">
        <v>2014</v>
      </c>
      <c r="BC146" s="903" t="s">
        <v>1481</v>
      </c>
      <c r="BD146" s="907">
        <v>147219</v>
      </c>
      <c r="BE146" s="907">
        <v>366725</v>
      </c>
      <c r="BF146" s="905">
        <v>2.4900000000000002</v>
      </c>
    </row>
    <row r="147" spans="2:58" ht="11.2" customHeight="1" thickBot="1">
      <c r="B147" s="903">
        <v>2014</v>
      </c>
      <c r="C147" s="263">
        <f t="shared" si="2"/>
        <v>42004</v>
      </c>
      <c r="D147" s="909">
        <v>898.9</v>
      </c>
      <c r="E147" s="909">
        <v>2080.9</v>
      </c>
      <c r="F147" s="914">
        <v>2.3199999999999998</v>
      </c>
      <c r="G147" s="907">
        <v>116957</v>
      </c>
      <c r="H147" s="907">
        <v>257989</v>
      </c>
      <c r="I147" s="905">
        <v>2.21</v>
      </c>
      <c r="J147" s="907">
        <v>135615</v>
      </c>
      <c r="K147" s="907">
        <v>340014</v>
      </c>
      <c r="L147" s="905">
        <v>2.5099999999999998</v>
      </c>
      <c r="M147" s="907">
        <v>118481</v>
      </c>
      <c r="N147" s="907">
        <v>255114</v>
      </c>
      <c r="O147" s="905">
        <v>2.15</v>
      </c>
      <c r="P147" s="906">
        <v>145839</v>
      </c>
      <c r="Q147" s="906">
        <v>348138</v>
      </c>
      <c r="R147" s="902">
        <v>2.39</v>
      </c>
      <c r="T147" s="905">
        <v>474.8</v>
      </c>
      <c r="U147" s="904">
        <v>1104.4000000000001</v>
      </c>
      <c r="V147" s="905">
        <v>2.33</v>
      </c>
      <c r="W147" s="907">
        <v>91796</v>
      </c>
      <c r="X147" s="907">
        <v>196410</v>
      </c>
      <c r="Y147" s="905">
        <v>2.14</v>
      </c>
      <c r="Z147" s="907">
        <v>124218</v>
      </c>
      <c r="AA147" s="907">
        <v>311440</v>
      </c>
      <c r="AB147" s="905">
        <v>2.5099999999999998</v>
      </c>
      <c r="AC147" s="907">
        <v>137501</v>
      </c>
      <c r="AD147" s="907">
        <v>315888</v>
      </c>
      <c r="AE147" s="905">
        <v>2.2999999999999998</v>
      </c>
      <c r="AF147" s="902">
        <v>995</v>
      </c>
      <c r="AG147" s="906">
        <v>2280</v>
      </c>
      <c r="AH147" s="902">
        <v>2.29</v>
      </c>
      <c r="AI147" s="904">
        <v>1373.6</v>
      </c>
      <c r="AJ147" s="904">
        <v>3185.3</v>
      </c>
      <c r="AK147" s="905">
        <v>2.3199999999999998</v>
      </c>
      <c r="AL147" s="907">
        <v>208753</v>
      </c>
      <c r="AM147" s="907">
        <v>454399</v>
      </c>
      <c r="AN147" s="905">
        <v>2.1800000000000002</v>
      </c>
      <c r="AP147" s="903">
        <v>2014</v>
      </c>
      <c r="AQ147" s="903" t="s">
        <v>1482</v>
      </c>
      <c r="AR147" s="907">
        <v>259833</v>
      </c>
      <c r="AS147" s="907">
        <v>651454</v>
      </c>
      <c r="AT147" s="905">
        <v>2.5099999999999998</v>
      </c>
      <c r="AV147" s="903">
        <v>2014</v>
      </c>
      <c r="AW147" s="903" t="s">
        <v>1482</v>
      </c>
      <c r="AX147" s="907">
        <v>255982</v>
      </c>
      <c r="AY147" s="907">
        <v>571002</v>
      </c>
      <c r="AZ147" s="905">
        <v>2.23</v>
      </c>
      <c r="BB147" s="900">
        <v>2014</v>
      </c>
      <c r="BC147" s="900" t="s">
        <v>1482</v>
      </c>
      <c r="BD147" s="906">
        <v>146834</v>
      </c>
      <c r="BE147" s="906">
        <v>350417</v>
      </c>
      <c r="BF147" s="902">
        <v>2.39</v>
      </c>
    </row>
    <row r="148" spans="2:58" ht="10.9" thickBot="1">
      <c r="B148" s="900">
        <v>2015</v>
      </c>
      <c r="C148" s="263">
        <f t="shared" si="2"/>
        <v>42035</v>
      </c>
      <c r="D148" s="909">
        <v>826.8</v>
      </c>
      <c r="E148" s="909">
        <v>1600.8</v>
      </c>
      <c r="F148" s="914">
        <v>1.94</v>
      </c>
      <c r="G148" s="906">
        <v>110155</v>
      </c>
      <c r="H148" s="906">
        <v>195473</v>
      </c>
      <c r="I148" s="902">
        <v>1.77</v>
      </c>
      <c r="J148" s="906">
        <v>128505</v>
      </c>
      <c r="K148" s="906">
        <v>321234</v>
      </c>
      <c r="L148" s="902">
        <v>2.5</v>
      </c>
      <c r="M148" s="906">
        <v>107321</v>
      </c>
      <c r="N148" s="906">
        <v>187329</v>
      </c>
      <c r="O148" s="902">
        <v>1.75</v>
      </c>
      <c r="P148" s="907">
        <v>142391</v>
      </c>
      <c r="Q148" s="907">
        <v>277085</v>
      </c>
      <c r="R148" s="905">
        <v>1.95</v>
      </c>
      <c r="T148" s="902">
        <v>474.1</v>
      </c>
      <c r="U148" s="902">
        <v>964.6</v>
      </c>
      <c r="V148" s="902">
        <v>2.0299999999999998</v>
      </c>
      <c r="W148" s="906">
        <v>89501</v>
      </c>
      <c r="X148" s="906">
        <v>155039</v>
      </c>
      <c r="Y148" s="902">
        <v>1.73</v>
      </c>
      <c r="Z148" s="906">
        <v>126028</v>
      </c>
      <c r="AA148" s="906">
        <v>315041</v>
      </c>
      <c r="AB148" s="902">
        <v>2.5</v>
      </c>
      <c r="AC148" s="906">
        <v>136942</v>
      </c>
      <c r="AD148" s="906">
        <v>257843</v>
      </c>
      <c r="AE148" s="902">
        <v>1.88</v>
      </c>
      <c r="AF148" s="905">
        <v>808</v>
      </c>
      <c r="AG148" s="907">
        <v>1556</v>
      </c>
      <c r="AH148" s="905">
        <v>1.93</v>
      </c>
      <c r="AI148" s="901">
        <v>1300.9000000000001</v>
      </c>
      <c r="AJ148" s="901">
        <v>2565.3000000000002</v>
      </c>
      <c r="AK148" s="902">
        <v>1.97</v>
      </c>
      <c r="AL148" s="906">
        <v>199656</v>
      </c>
      <c r="AM148" s="906">
        <v>350512</v>
      </c>
      <c r="AN148" s="902">
        <v>1.76</v>
      </c>
      <c r="AP148" s="900">
        <v>2015</v>
      </c>
      <c r="AQ148" s="900" t="s">
        <v>1472</v>
      </c>
      <c r="AR148" s="906">
        <v>254534</v>
      </c>
      <c r="AS148" s="906">
        <v>636276</v>
      </c>
      <c r="AT148" s="902">
        <v>2.5</v>
      </c>
      <c r="AV148" s="900">
        <v>2015</v>
      </c>
      <c r="AW148" s="900" t="s">
        <v>1472</v>
      </c>
      <c r="AX148" s="906">
        <v>244263</v>
      </c>
      <c r="AY148" s="906">
        <v>445172</v>
      </c>
      <c r="AZ148" s="902">
        <v>1.82</v>
      </c>
      <c r="BB148" s="903">
        <v>2015</v>
      </c>
      <c r="BC148" s="903" t="s">
        <v>1472</v>
      </c>
      <c r="BD148" s="907">
        <v>143199</v>
      </c>
      <c r="BE148" s="907">
        <v>278641</v>
      </c>
      <c r="BF148" s="905">
        <v>1.95</v>
      </c>
    </row>
    <row r="149" spans="2:58" ht="10.9" thickBot="1">
      <c r="B149" s="903">
        <v>2015</v>
      </c>
      <c r="C149" s="263">
        <f t="shared" si="2"/>
        <v>42063</v>
      </c>
      <c r="D149" s="909">
        <v>755</v>
      </c>
      <c r="E149" s="909">
        <v>1683.1</v>
      </c>
      <c r="F149" s="914">
        <v>2.23</v>
      </c>
      <c r="G149" s="907">
        <v>97299</v>
      </c>
      <c r="H149" s="907">
        <v>172130</v>
      </c>
      <c r="I149" s="905">
        <v>1.77</v>
      </c>
      <c r="J149" s="907">
        <v>120218</v>
      </c>
      <c r="K149" s="907">
        <v>532108</v>
      </c>
      <c r="L149" s="905">
        <v>4.43</v>
      </c>
      <c r="M149" s="907">
        <v>99630</v>
      </c>
      <c r="N149" s="907">
        <v>171051</v>
      </c>
      <c r="O149" s="905">
        <v>1.72</v>
      </c>
      <c r="P149" s="906">
        <v>127521</v>
      </c>
      <c r="Q149" s="906">
        <v>246070</v>
      </c>
      <c r="R149" s="902">
        <v>1.93</v>
      </c>
      <c r="T149" s="905">
        <v>419.8</v>
      </c>
      <c r="U149" s="904">
        <v>1031.2</v>
      </c>
      <c r="V149" s="905">
        <v>2.46</v>
      </c>
      <c r="W149" s="907">
        <v>79376</v>
      </c>
      <c r="X149" s="907">
        <v>137185</v>
      </c>
      <c r="Y149" s="905">
        <v>1.73</v>
      </c>
      <c r="Z149" s="907">
        <v>110340</v>
      </c>
      <c r="AA149" s="907">
        <v>488386</v>
      </c>
      <c r="AB149" s="905">
        <v>4.43</v>
      </c>
      <c r="AC149" s="907">
        <v>121182</v>
      </c>
      <c r="AD149" s="907">
        <v>207867</v>
      </c>
      <c r="AE149" s="905">
        <v>1.72</v>
      </c>
      <c r="AF149" s="902">
        <v>772</v>
      </c>
      <c r="AG149" s="906">
        <v>1564</v>
      </c>
      <c r="AH149" s="902">
        <v>2.0299999999999998</v>
      </c>
      <c r="AI149" s="904">
        <v>1174.8</v>
      </c>
      <c r="AJ149" s="904">
        <v>2714.4</v>
      </c>
      <c r="AK149" s="905">
        <v>2.31</v>
      </c>
      <c r="AL149" s="907">
        <v>176675</v>
      </c>
      <c r="AM149" s="907">
        <v>309315</v>
      </c>
      <c r="AN149" s="905">
        <v>1.75</v>
      </c>
      <c r="AP149" s="903">
        <v>2015</v>
      </c>
      <c r="AQ149" s="903" t="s">
        <v>1473</v>
      </c>
      <c r="AR149" s="907">
        <v>230558</v>
      </c>
      <c r="AS149" s="907">
        <v>1020494</v>
      </c>
      <c r="AT149" s="905">
        <v>4.43</v>
      </c>
      <c r="AV149" s="903">
        <v>2015</v>
      </c>
      <c r="AW149" s="903" t="s">
        <v>1473</v>
      </c>
      <c r="AX149" s="907">
        <v>220812</v>
      </c>
      <c r="AY149" s="907">
        <v>378918</v>
      </c>
      <c r="AZ149" s="905">
        <v>1.72</v>
      </c>
      <c r="BB149" s="900">
        <v>2015</v>
      </c>
      <c r="BC149" s="900" t="s">
        <v>1473</v>
      </c>
      <c r="BD149" s="906">
        <v>128293</v>
      </c>
      <c r="BE149" s="906">
        <v>247634</v>
      </c>
      <c r="BF149" s="902">
        <v>1.93</v>
      </c>
    </row>
    <row r="150" spans="2:58" ht="10.9" thickBot="1">
      <c r="B150" s="900">
        <v>2015</v>
      </c>
      <c r="C150" s="263">
        <f t="shared" si="2"/>
        <v>42094</v>
      </c>
      <c r="D150" s="909">
        <v>906.1</v>
      </c>
      <c r="E150" s="909">
        <v>1818.2</v>
      </c>
      <c r="F150" s="914">
        <v>2.0099999999999998</v>
      </c>
      <c r="G150" s="906">
        <v>115966</v>
      </c>
      <c r="H150" s="906">
        <v>211611</v>
      </c>
      <c r="I150" s="902">
        <v>1.82</v>
      </c>
      <c r="J150" s="906">
        <v>149445</v>
      </c>
      <c r="K150" s="906">
        <v>394715</v>
      </c>
      <c r="L150" s="902">
        <v>2.64</v>
      </c>
      <c r="M150" s="906">
        <v>121172</v>
      </c>
      <c r="N150" s="906">
        <v>218163</v>
      </c>
      <c r="O150" s="902">
        <v>1.8</v>
      </c>
      <c r="P150" s="907">
        <v>161798</v>
      </c>
      <c r="Q150" s="907">
        <v>303974</v>
      </c>
      <c r="R150" s="905">
        <v>1.88</v>
      </c>
      <c r="T150" s="902">
        <v>493</v>
      </c>
      <c r="U150" s="901">
        <v>1021.1</v>
      </c>
      <c r="V150" s="902">
        <v>2.0699999999999998</v>
      </c>
      <c r="W150" s="906">
        <v>90401</v>
      </c>
      <c r="X150" s="906">
        <v>157103</v>
      </c>
      <c r="Y150" s="902">
        <v>1.74</v>
      </c>
      <c r="Z150" s="906">
        <v>131037</v>
      </c>
      <c r="AA150" s="906">
        <v>346097</v>
      </c>
      <c r="AB150" s="902">
        <v>2.64</v>
      </c>
      <c r="AC150" s="906">
        <v>145673</v>
      </c>
      <c r="AD150" s="906">
        <v>272199</v>
      </c>
      <c r="AE150" s="902">
        <v>1.87</v>
      </c>
      <c r="AF150" s="905">
        <v>993</v>
      </c>
      <c r="AG150" s="907">
        <v>2070</v>
      </c>
      <c r="AH150" s="905">
        <v>2.08</v>
      </c>
      <c r="AI150" s="901">
        <v>1399.1</v>
      </c>
      <c r="AJ150" s="901">
        <v>2839.3</v>
      </c>
      <c r="AK150" s="902">
        <v>2.0299999999999998</v>
      </c>
      <c r="AL150" s="906">
        <v>206367</v>
      </c>
      <c r="AM150" s="906">
        <v>368713</v>
      </c>
      <c r="AN150" s="902">
        <v>1.79</v>
      </c>
      <c r="AP150" s="900">
        <v>2015</v>
      </c>
      <c r="AQ150" s="900" t="s">
        <v>1474</v>
      </c>
      <c r="AR150" s="906">
        <v>280482</v>
      </c>
      <c r="AS150" s="906">
        <v>740812</v>
      </c>
      <c r="AT150" s="902">
        <v>2.64</v>
      </c>
      <c r="AV150" s="900">
        <v>2015</v>
      </c>
      <c r="AW150" s="900" t="s">
        <v>1474</v>
      </c>
      <c r="AX150" s="906">
        <v>266845</v>
      </c>
      <c r="AY150" s="906">
        <v>490362</v>
      </c>
      <c r="AZ150" s="902">
        <v>1.84</v>
      </c>
      <c r="BB150" s="903">
        <v>2015</v>
      </c>
      <c r="BC150" s="903" t="s">
        <v>1474</v>
      </c>
      <c r="BD150" s="907">
        <v>162791</v>
      </c>
      <c r="BE150" s="907">
        <v>306044</v>
      </c>
      <c r="BF150" s="905">
        <v>1.88</v>
      </c>
    </row>
    <row r="151" spans="2:58" ht="10.9" thickBot="1">
      <c r="B151" s="903">
        <v>2015</v>
      </c>
      <c r="C151" s="263">
        <f t="shared" si="2"/>
        <v>42124</v>
      </c>
      <c r="D151" s="909">
        <v>884.1</v>
      </c>
      <c r="E151" s="909">
        <v>1699.7</v>
      </c>
      <c r="F151" s="914">
        <v>1.92</v>
      </c>
      <c r="G151" s="907">
        <v>115849</v>
      </c>
      <c r="H151" s="907">
        <v>205606</v>
      </c>
      <c r="I151" s="905">
        <v>1.77</v>
      </c>
      <c r="J151" s="907">
        <v>142984</v>
      </c>
      <c r="K151" s="907">
        <v>354771</v>
      </c>
      <c r="L151" s="905">
        <v>2.48</v>
      </c>
      <c r="M151" s="907">
        <v>115950</v>
      </c>
      <c r="N151" s="907">
        <v>200101</v>
      </c>
      <c r="O151" s="905">
        <v>1.73</v>
      </c>
      <c r="P151" s="906">
        <v>159319</v>
      </c>
      <c r="Q151" s="906">
        <v>292155</v>
      </c>
      <c r="R151" s="902">
        <v>1.83</v>
      </c>
      <c r="T151" s="905">
        <v>490.4</v>
      </c>
      <c r="U151" s="905">
        <v>968.6</v>
      </c>
      <c r="V151" s="905">
        <v>1.98</v>
      </c>
      <c r="W151" s="907">
        <v>87061</v>
      </c>
      <c r="X151" s="907">
        <v>146135</v>
      </c>
      <c r="Y151" s="905">
        <v>1.68</v>
      </c>
      <c r="Z151" s="907">
        <v>132086</v>
      </c>
      <c r="AA151" s="907">
        <v>327733</v>
      </c>
      <c r="AB151" s="905">
        <v>2.48</v>
      </c>
      <c r="AC151" s="907">
        <v>143702</v>
      </c>
      <c r="AD151" s="907">
        <v>255756</v>
      </c>
      <c r="AE151" s="905">
        <v>1.78</v>
      </c>
      <c r="AF151" s="902">
        <v>986</v>
      </c>
      <c r="AG151" s="906">
        <v>1992</v>
      </c>
      <c r="AH151" s="902">
        <v>2.02</v>
      </c>
      <c r="AI151" s="904">
        <v>1374.4</v>
      </c>
      <c r="AJ151" s="904">
        <v>2668.3</v>
      </c>
      <c r="AK151" s="905">
        <v>1.94</v>
      </c>
      <c r="AL151" s="907">
        <v>202910</v>
      </c>
      <c r="AM151" s="907">
        <v>351742</v>
      </c>
      <c r="AN151" s="905">
        <v>1.73</v>
      </c>
      <c r="AP151" s="903">
        <v>2015</v>
      </c>
      <c r="AQ151" s="903" t="s">
        <v>1475</v>
      </c>
      <c r="AR151" s="907">
        <v>275070</v>
      </c>
      <c r="AS151" s="907">
        <v>682504</v>
      </c>
      <c r="AT151" s="905">
        <v>2.48</v>
      </c>
      <c r="AV151" s="903">
        <v>2015</v>
      </c>
      <c r="AW151" s="903" t="s">
        <v>1475</v>
      </c>
      <c r="AX151" s="907">
        <v>259652</v>
      </c>
      <c r="AY151" s="907">
        <v>455857</v>
      </c>
      <c r="AZ151" s="905">
        <v>1.76</v>
      </c>
      <c r="BB151" s="900">
        <v>2015</v>
      </c>
      <c r="BC151" s="900" t="s">
        <v>1475</v>
      </c>
      <c r="BD151" s="906">
        <v>160305</v>
      </c>
      <c r="BE151" s="906">
        <v>294147</v>
      </c>
      <c r="BF151" s="902">
        <v>1.83</v>
      </c>
    </row>
    <row r="152" spans="2:58" ht="10.9" thickBot="1">
      <c r="B152" s="900">
        <v>2015</v>
      </c>
      <c r="C152" s="263">
        <f t="shared" si="2"/>
        <v>42155</v>
      </c>
      <c r="D152" s="909">
        <v>909.8</v>
      </c>
      <c r="E152" s="909">
        <v>1901.9</v>
      </c>
      <c r="F152" s="914">
        <v>2.09</v>
      </c>
      <c r="G152" s="906">
        <v>114993</v>
      </c>
      <c r="H152" s="906">
        <v>224621</v>
      </c>
      <c r="I152" s="902">
        <v>1.95</v>
      </c>
      <c r="J152" s="906">
        <v>149126</v>
      </c>
      <c r="K152" s="906">
        <v>369760</v>
      </c>
      <c r="L152" s="902">
        <v>2.48</v>
      </c>
      <c r="M152" s="906">
        <v>126461</v>
      </c>
      <c r="N152" s="906">
        <v>244028</v>
      </c>
      <c r="O152" s="902">
        <v>1.93</v>
      </c>
      <c r="P152" s="907">
        <v>162320</v>
      </c>
      <c r="Q152" s="907">
        <v>326649</v>
      </c>
      <c r="R152" s="905">
        <v>2.0099999999999998</v>
      </c>
      <c r="T152" s="902">
        <v>522.70000000000005</v>
      </c>
      <c r="U152" s="901">
        <v>1077.0999999999999</v>
      </c>
      <c r="V152" s="902">
        <v>2.06</v>
      </c>
      <c r="W152" s="906">
        <v>96748</v>
      </c>
      <c r="X152" s="906">
        <v>171362</v>
      </c>
      <c r="Y152" s="902">
        <v>1.77</v>
      </c>
      <c r="Z152" s="906">
        <v>142855</v>
      </c>
      <c r="AA152" s="906">
        <v>354212</v>
      </c>
      <c r="AB152" s="902">
        <v>2.48</v>
      </c>
      <c r="AC152" s="906">
        <v>153081</v>
      </c>
      <c r="AD152" s="906">
        <v>292625</v>
      </c>
      <c r="AE152" s="902">
        <v>1.91</v>
      </c>
      <c r="AF152" s="907">
        <v>1099</v>
      </c>
      <c r="AG152" s="907">
        <v>2462</v>
      </c>
      <c r="AH152" s="905">
        <v>2.2400000000000002</v>
      </c>
      <c r="AI152" s="901">
        <v>1432.5</v>
      </c>
      <c r="AJ152" s="901">
        <v>2979</v>
      </c>
      <c r="AK152" s="902">
        <v>2.08</v>
      </c>
      <c r="AL152" s="906">
        <v>211741</v>
      </c>
      <c r="AM152" s="906">
        <v>395983</v>
      </c>
      <c r="AN152" s="902">
        <v>1.87</v>
      </c>
      <c r="AP152" s="900">
        <v>2015</v>
      </c>
      <c r="AQ152" s="900" t="s">
        <v>1465</v>
      </c>
      <c r="AR152" s="906">
        <v>291981</v>
      </c>
      <c r="AS152" s="906">
        <v>723972</v>
      </c>
      <c r="AT152" s="902">
        <v>2.48</v>
      </c>
      <c r="AV152" s="900">
        <v>2015</v>
      </c>
      <c r="AW152" s="900" t="s">
        <v>1465</v>
      </c>
      <c r="AX152" s="906">
        <v>279542</v>
      </c>
      <c r="AY152" s="906">
        <v>536654</v>
      </c>
      <c r="AZ152" s="902">
        <v>1.92</v>
      </c>
      <c r="BB152" s="903">
        <v>2015</v>
      </c>
      <c r="BC152" s="903" t="s">
        <v>1465</v>
      </c>
      <c r="BD152" s="907">
        <v>163419</v>
      </c>
      <c r="BE152" s="907">
        <v>329110</v>
      </c>
      <c r="BF152" s="905">
        <v>2.0099999999999998</v>
      </c>
    </row>
    <row r="153" spans="2:58" ht="10.9" thickBot="1">
      <c r="B153" s="903">
        <v>2015</v>
      </c>
      <c r="C153" s="263">
        <f t="shared" si="2"/>
        <v>42185</v>
      </c>
      <c r="D153" s="909">
        <v>939</v>
      </c>
      <c r="E153" s="909">
        <v>1915.3</v>
      </c>
      <c r="F153" s="914">
        <v>2.04</v>
      </c>
      <c r="G153" s="907">
        <v>116311</v>
      </c>
      <c r="H153" s="907">
        <v>226089</v>
      </c>
      <c r="I153" s="905">
        <v>1.94</v>
      </c>
      <c r="J153" s="907">
        <v>156461</v>
      </c>
      <c r="K153" s="907">
        <v>385248</v>
      </c>
      <c r="L153" s="905">
        <v>2.46</v>
      </c>
      <c r="M153" s="907">
        <v>132666</v>
      </c>
      <c r="N153" s="907">
        <v>246783</v>
      </c>
      <c r="O153" s="905">
        <v>1.86</v>
      </c>
      <c r="P153" s="906">
        <v>167618</v>
      </c>
      <c r="Q153" s="906">
        <v>329547</v>
      </c>
      <c r="R153" s="902">
        <v>1.97</v>
      </c>
      <c r="T153" s="905">
        <v>538.79999999999995</v>
      </c>
      <c r="U153" s="904">
        <v>1115.7</v>
      </c>
      <c r="V153" s="905">
        <v>2.0699999999999998</v>
      </c>
      <c r="W153" s="907">
        <v>97394</v>
      </c>
      <c r="X153" s="907">
        <v>172363</v>
      </c>
      <c r="Y153" s="905">
        <v>1.77</v>
      </c>
      <c r="Z153" s="907">
        <v>152196</v>
      </c>
      <c r="AA153" s="907">
        <v>374746</v>
      </c>
      <c r="AB153" s="905">
        <v>2.46</v>
      </c>
      <c r="AC153" s="907">
        <v>156478</v>
      </c>
      <c r="AD153" s="907">
        <v>302865</v>
      </c>
      <c r="AE153" s="905">
        <v>1.94</v>
      </c>
      <c r="AF153" s="906">
        <v>1288</v>
      </c>
      <c r="AG153" s="906">
        <v>2840</v>
      </c>
      <c r="AH153" s="902">
        <v>2.2000000000000002</v>
      </c>
      <c r="AI153" s="904">
        <v>1477.8</v>
      </c>
      <c r="AJ153" s="904">
        <v>3031</v>
      </c>
      <c r="AK153" s="905">
        <v>2.0499999999999998</v>
      </c>
      <c r="AL153" s="907">
        <v>213706</v>
      </c>
      <c r="AM153" s="907">
        <v>398452</v>
      </c>
      <c r="AN153" s="905">
        <v>1.86</v>
      </c>
      <c r="AP153" s="903">
        <v>2015</v>
      </c>
      <c r="AQ153" s="903" t="s">
        <v>1476</v>
      </c>
      <c r="AR153" s="907">
        <v>308657</v>
      </c>
      <c r="AS153" s="907">
        <v>759994</v>
      </c>
      <c r="AT153" s="905">
        <v>2.46</v>
      </c>
      <c r="AV153" s="903">
        <v>2015</v>
      </c>
      <c r="AW153" s="903" t="s">
        <v>1476</v>
      </c>
      <c r="AX153" s="907">
        <v>289144</v>
      </c>
      <c r="AY153" s="907">
        <v>549648</v>
      </c>
      <c r="AZ153" s="905">
        <v>1.9</v>
      </c>
      <c r="BB153" s="900">
        <v>2015</v>
      </c>
      <c r="BC153" s="900" t="s">
        <v>1476</v>
      </c>
      <c r="BD153" s="906">
        <v>168906</v>
      </c>
      <c r="BE153" s="906">
        <v>332387</v>
      </c>
      <c r="BF153" s="902">
        <v>1.97</v>
      </c>
    </row>
    <row r="154" spans="2:58" ht="10.9" thickBot="1">
      <c r="B154" s="900">
        <v>2015</v>
      </c>
      <c r="C154" s="263">
        <f t="shared" si="2"/>
        <v>42216</v>
      </c>
      <c r="D154" s="909">
        <v>986.7</v>
      </c>
      <c r="E154" s="909">
        <v>1803.6</v>
      </c>
      <c r="F154" s="914">
        <v>1.83</v>
      </c>
      <c r="G154" s="906">
        <v>201408</v>
      </c>
      <c r="H154" s="906">
        <v>352877</v>
      </c>
      <c r="I154" s="902">
        <v>1.75</v>
      </c>
      <c r="J154" s="906">
        <v>165186</v>
      </c>
      <c r="K154" s="906">
        <v>320925</v>
      </c>
      <c r="L154" s="902">
        <v>1.94</v>
      </c>
      <c r="M154" s="906">
        <v>136747</v>
      </c>
      <c r="N154" s="906">
        <v>234705</v>
      </c>
      <c r="O154" s="902">
        <v>1.72</v>
      </c>
      <c r="P154" s="907">
        <v>176208</v>
      </c>
      <c r="Q154" s="907">
        <v>334398</v>
      </c>
      <c r="R154" s="905">
        <v>1.9</v>
      </c>
      <c r="T154" s="902">
        <v>568.5</v>
      </c>
      <c r="U154" s="901">
        <v>1047.8</v>
      </c>
      <c r="V154" s="902">
        <v>1.84</v>
      </c>
      <c r="W154" s="906">
        <v>132634</v>
      </c>
      <c r="X154" s="906">
        <v>226284</v>
      </c>
      <c r="Y154" s="902">
        <v>1.71</v>
      </c>
      <c r="Z154" s="906">
        <v>162513</v>
      </c>
      <c r="AA154" s="906">
        <v>315732</v>
      </c>
      <c r="AB154" s="902">
        <v>1.94</v>
      </c>
      <c r="AC154" s="906">
        <v>165499</v>
      </c>
      <c r="AD154" s="906">
        <v>301164</v>
      </c>
      <c r="AE154" s="902">
        <v>1.82</v>
      </c>
      <c r="AF154" s="907">
        <v>1399</v>
      </c>
      <c r="AG154" s="907">
        <v>2888</v>
      </c>
      <c r="AH154" s="905">
        <v>2.06</v>
      </c>
      <c r="AI154" s="901">
        <v>1555.1</v>
      </c>
      <c r="AJ154" s="901">
        <v>2851.4</v>
      </c>
      <c r="AK154" s="902">
        <v>1.83</v>
      </c>
      <c r="AL154" s="906">
        <v>334042</v>
      </c>
      <c r="AM154" s="906">
        <v>579161</v>
      </c>
      <c r="AN154" s="902">
        <v>1.73</v>
      </c>
      <c r="AP154" s="900">
        <v>2015</v>
      </c>
      <c r="AQ154" s="900" t="s">
        <v>1477</v>
      </c>
      <c r="AR154" s="906">
        <v>327699</v>
      </c>
      <c r="AS154" s="906">
        <v>636656</v>
      </c>
      <c r="AT154" s="902">
        <v>1.94</v>
      </c>
      <c r="AV154" s="900">
        <v>2015</v>
      </c>
      <c r="AW154" s="900" t="s">
        <v>1477</v>
      </c>
      <c r="AX154" s="906">
        <v>302246</v>
      </c>
      <c r="AY154" s="906">
        <v>535870</v>
      </c>
      <c r="AZ154" s="902">
        <v>1.77</v>
      </c>
      <c r="BB154" s="903">
        <v>2015</v>
      </c>
      <c r="BC154" s="903" t="s">
        <v>1477</v>
      </c>
      <c r="BD154" s="907">
        <v>177607</v>
      </c>
      <c r="BE154" s="907">
        <v>337287</v>
      </c>
      <c r="BF154" s="905">
        <v>1.9</v>
      </c>
    </row>
    <row r="155" spans="2:58" ht="10.9" thickBot="1">
      <c r="B155" s="903">
        <v>2015</v>
      </c>
      <c r="C155" s="263">
        <f t="shared" si="2"/>
        <v>42247</v>
      </c>
      <c r="D155" s="909">
        <v>957.2</v>
      </c>
      <c r="E155" s="909">
        <v>1605.2</v>
      </c>
      <c r="F155" s="914">
        <v>1.68</v>
      </c>
      <c r="G155" s="907">
        <v>195906</v>
      </c>
      <c r="H155" s="907">
        <v>317685</v>
      </c>
      <c r="I155" s="905">
        <v>1.62</v>
      </c>
      <c r="J155" s="907">
        <v>168041</v>
      </c>
      <c r="K155" s="907">
        <v>307324</v>
      </c>
      <c r="L155" s="905">
        <v>1.83</v>
      </c>
      <c r="M155" s="907">
        <v>131671</v>
      </c>
      <c r="N155" s="907">
        <v>202059</v>
      </c>
      <c r="O155" s="905">
        <v>1.53</v>
      </c>
      <c r="P155" s="906">
        <v>163922</v>
      </c>
      <c r="Q155" s="906">
        <v>288107</v>
      </c>
      <c r="R155" s="902">
        <v>1.76</v>
      </c>
      <c r="T155" s="905">
        <v>557</v>
      </c>
      <c r="U155" s="905">
        <v>936.5</v>
      </c>
      <c r="V155" s="905">
        <v>1.68</v>
      </c>
      <c r="W155" s="907">
        <v>130251</v>
      </c>
      <c r="X155" s="907">
        <v>199807</v>
      </c>
      <c r="Y155" s="905">
        <v>1.53</v>
      </c>
      <c r="Z155" s="907">
        <v>160655</v>
      </c>
      <c r="AA155" s="907">
        <v>293817</v>
      </c>
      <c r="AB155" s="905">
        <v>1.83</v>
      </c>
      <c r="AC155" s="907">
        <v>162941</v>
      </c>
      <c r="AD155" s="907">
        <v>264122</v>
      </c>
      <c r="AE155" s="905">
        <v>1.62</v>
      </c>
      <c r="AF155" s="902">
        <v>927</v>
      </c>
      <c r="AG155" s="906">
        <v>1727</v>
      </c>
      <c r="AH155" s="902">
        <v>1.86</v>
      </c>
      <c r="AI155" s="904">
        <v>1514.2</v>
      </c>
      <c r="AJ155" s="904">
        <v>2541.6999999999998</v>
      </c>
      <c r="AK155" s="905">
        <v>1.68</v>
      </c>
      <c r="AL155" s="907">
        <v>326156</v>
      </c>
      <c r="AM155" s="907">
        <v>517492</v>
      </c>
      <c r="AN155" s="905">
        <v>1.59</v>
      </c>
      <c r="AP155" s="903">
        <v>2015</v>
      </c>
      <c r="AQ155" s="903" t="s">
        <v>1478</v>
      </c>
      <c r="AR155" s="907">
        <v>328696</v>
      </c>
      <c r="AS155" s="907">
        <v>601141</v>
      </c>
      <c r="AT155" s="905">
        <v>1.83</v>
      </c>
      <c r="AV155" s="903">
        <v>2015</v>
      </c>
      <c r="AW155" s="903" t="s">
        <v>1478</v>
      </c>
      <c r="AX155" s="907">
        <v>294612</v>
      </c>
      <c r="AY155" s="907">
        <v>466182</v>
      </c>
      <c r="AZ155" s="905">
        <v>1.58</v>
      </c>
      <c r="BB155" s="900">
        <v>2015</v>
      </c>
      <c r="BC155" s="900" t="s">
        <v>1478</v>
      </c>
      <c r="BD155" s="906">
        <v>164849</v>
      </c>
      <c r="BE155" s="906">
        <v>289834</v>
      </c>
      <c r="BF155" s="902">
        <v>1.76</v>
      </c>
    </row>
    <row r="156" spans="2:58" ht="10.9" thickBot="1">
      <c r="B156" s="900">
        <v>2015</v>
      </c>
      <c r="C156" s="263">
        <f t="shared" si="2"/>
        <v>42277</v>
      </c>
      <c r="D156" s="909">
        <v>857.1</v>
      </c>
      <c r="E156" s="909">
        <v>1365.8</v>
      </c>
      <c r="F156" s="914">
        <v>1.59</v>
      </c>
      <c r="G156" s="906">
        <v>173332</v>
      </c>
      <c r="H156" s="906">
        <v>262740</v>
      </c>
      <c r="I156" s="902">
        <v>1.52</v>
      </c>
      <c r="J156" s="906">
        <v>140391</v>
      </c>
      <c r="K156" s="906">
        <v>236325</v>
      </c>
      <c r="L156" s="902">
        <v>1.68</v>
      </c>
      <c r="M156" s="906">
        <v>116786</v>
      </c>
      <c r="N156" s="906">
        <v>171612</v>
      </c>
      <c r="O156" s="902">
        <v>1.47</v>
      </c>
      <c r="P156" s="907">
        <v>150235</v>
      </c>
      <c r="Q156" s="907">
        <v>259603</v>
      </c>
      <c r="R156" s="905">
        <v>1.73</v>
      </c>
      <c r="T156" s="902">
        <v>502.3</v>
      </c>
      <c r="U156" s="902">
        <v>783.9</v>
      </c>
      <c r="V156" s="902">
        <v>1.56</v>
      </c>
      <c r="W156" s="906">
        <v>118561</v>
      </c>
      <c r="X156" s="906">
        <v>169539</v>
      </c>
      <c r="Y156" s="902">
        <v>1.43</v>
      </c>
      <c r="Z156" s="906">
        <v>141290</v>
      </c>
      <c r="AA156" s="906">
        <v>237839</v>
      </c>
      <c r="AB156" s="902">
        <v>1.68</v>
      </c>
      <c r="AC156" s="906">
        <v>143585</v>
      </c>
      <c r="AD156" s="906">
        <v>215970</v>
      </c>
      <c r="AE156" s="902">
        <v>1.5</v>
      </c>
      <c r="AF156" s="905">
        <v>609</v>
      </c>
      <c r="AG156" s="907">
        <v>1105</v>
      </c>
      <c r="AH156" s="905">
        <v>1.81</v>
      </c>
      <c r="AI156" s="901">
        <v>1359.4</v>
      </c>
      <c r="AJ156" s="901">
        <v>2149.6</v>
      </c>
      <c r="AK156" s="902">
        <v>1.58</v>
      </c>
      <c r="AL156" s="906">
        <v>291893</v>
      </c>
      <c r="AM156" s="906">
        <v>432280</v>
      </c>
      <c r="AN156" s="902">
        <v>1.48</v>
      </c>
      <c r="AP156" s="900">
        <v>2015</v>
      </c>
      <c r="AQ156" s="900" t="s">
        <v>1479</v>
      </c>
      <c r="AR156" s="906">
        <v>281681</v>
      </c>
      <c r="AS156" s="906">
        <v>474164</v>
      </c>
      <c r="AT156" s="902">
        <v>1.68</v>
      </c>
      <c r="AV156" s="900">
        <v>2015</v>
      </c>
      <c r="AW156" s="900" t="s">
        <v>1479</v>
      </c>
      <c r="AX156" s="906">
        <v>260371</v>
      </c>
      <c r="AY156" s="906">
        <v>387582</v>
      </c>
      <c r="AZ156" s="902">
        <v>1.49</v>
      </c>
      <c r="BB156" s="903">
        <v>2015</v>
      </c>
      <c r="BC156" s="903" t="s">
        <v>1479</v>
      </c>
      <c r="BD156" s="907">
        <v>150845</v>
      </c>
      <c r="BE156" s="907">
        <v>260708</v>
      </c>
      <c r="BF156" s="905">
        <v>1.73</v>
      </c>
    </row>
    <row r="157" spans="2:58" ht="10.9" thickBot="1">
      <c r="B157" s="903">
        <v>2015</v>
      </c>
      <c r="C157" s="263">
        <f t="shared" si="2"/>
        <v>42308</v>
      </c>
      <c r="D157" s="909">
        <v>901.6</v>
      </c>
      <c r="E157" s="909">
        <v>1472.6</v>
      </c>
      <c r="F157" s="914">
        <v>1.63</v>
      </c>
      <c r="G157" s="907">
        <v>181468</v>
      </c>
      <c r="H157" s="907">
        <v>268988</v>
      </c>
      <c r="I157" s="905">
        <v>1.48</v>
      </c>
      <c r="J157" s="907">
        <v>147658</v>
      </c>
      <c r="K157" s="907">
        <v>303123</v>
      </c>
      <c r="L157" s="905">
        <v>2.0499999999999998</v>
      </c>
      <c r="M157" s="907">
        <v>125237</v>
      </c>
      <c r="N157" s="907">
        <v>184248</v>
      </c>
      <c r="O157" s="905">
        <v>1.47</v>
      </c>
      <c r="P157" s="906">
        <v>157095</v>
      </c>
      <c r="Q157" s="906">
        <v>256157</v>
      </c>
      <c r="R157" s="902">
        <v>1.63</v>
      </c>
      <c r="T157" s="905">
        <v>491.8</v>
      </c>
      <c r="U157" s="905">
        <v>820.2</v>
      </c>
      <c r="V157" s="905">
        <v>1.67</v>
      </c>
      <c r="W157" s="907">
        <v>116477</v>
      </c>
      <c r="X157" s="907">
        <v>171309</v>
      </c>
      <c r="Y157" s="905">
        <v>1.47</v>
      </c>
      <c r="Z157" s="907">
        <v>127456</v>
      </c>
      <c r="AA157" s="907">
        <v>261650</v>
      </c>
      <c r="AB157" s="905">
        <v>2.0499999999999998</v>
      </c>
      <c r="AC157" s="907">
        <v>143998</v>
      </c>
      <c r="AD157" s="907">
        <v>216892</v>
      </c>
      <c r="AE157" s="905">
        <v>1.51</v>
      </c>
      <c r="AF157" s="902">
        <v>877</v>
      </c>
      <c r="AG157" s="906">
        <v>1596</v>
      </c>
      <c r="AH157" s="902">
        <v>1.82</v>
      </c>
      <c r="AI157" s="904">
        <v>1393.4</v>
      </c>
      <c r="AJ157" s="904">
        <v>2292.8000000000002</v>
      </c>
      <c r="AK157" s="905">
        <v>1.65</v>
      </c>
      <c r="AL157" s="907">
        <v>297945</v>
      </c>
      <c r="AM157" s="907">
        <v>440296</v>
      </c>
      <c r="AN157" s="905">
        <v>1.48</v>
      </c>
      <c r="AP157" s="903">
        <v>2015</v>
      </c>
      <c r="AQ157" s="903" t="s">
        <v>1480</v>
      </c>
      <c r="AR157" s="907">
        <v>275114</v>
      </c>
      <c r="AS157" s="907">
        <v>564773</v>
      </c>
      <c r="AT157" s="905">
        <v>2.0499999999999998</v>
      </c>
      <c r="AV157" s="903">
        <v>2015</v>
      </c>
      <c r="AW157" s="903" t="s">
        <v>1480</v>
      </c>
      <c r="AX157" s="907">
        <v>269235</v>
      </c>
      <c r="AY157" s="907">
        <v>401141</v>
      </c>
      <c r="AZ157" s="905">
        <v>1.49</v>
      </c>
      <c r="BB157" s="900">
        <v>2015</v>
      </c>
      <c r="BC157" s="900" t="s">
        <v>1480</v>
      </c>
      <c r="BD157" s="906">
        <v>157972</v>
      </c>
      <c r="BE157" s="906">
        <v>257752</v>
      </c>
      <c r="BF157" s="902">
        <v>1.63</v>
      </c>
    </row>
    <row r="158" spans="2:58" ht="10.9" thickBot="1">
      <c r="B158" s="900">
        <v>2015</v>
      </c>
      <c r="C158" s="263">
        <f t="shared" si="2"/>
        <v>42338</v>
      </c>
      <c r="D158" s="909">
        <v>871.9</v>
      </c>
      <c r="E158" s="909">
        <v>1367.5</v>
      </c>
      <c r="F158" s="914">
        <v>1.57</v>
      </c>
      <c r="G158" s="906">
        <v>174445</v>
      </c>
      <c r="H158" s="906">
        <v>257642</v>
      </c>
      <c r="I158" s="902">
        <v>1.48</v>
      </c>
      <c r="J158" s="906">
        <v>141593</v>
      </c>
      <c r="K158" s="906">
        <v>259734</v>
      </c>
      <c r="L158" s="902">
        <v>1.83</v>
      </c>
      <c r="M158" s="906">
        <v>115553</v>
      </c>
      <c r="N158" s="906">
        <v>159043</v>
      </c>
      <c r="O158" s="902">
        <v>1.38</v>
      </c>
      <c r="P158" s="907">
        <v>157575</v>
      </c>
      <c r="Q158" s="907">
        <v>253424</v>
      </c>
      <c r="R158" s="905">
        <v>1.61</v>
      </c>
      <c r="T158" s="902">
        <v>446.7</v>
      </c>
      <c r="U158" s="902">
        <v>704.4</v>
      </c>
      <c r="V158" s="902">
        <v>1.58</v>
      </c>
      <c r="W158" s="906">
        <v>101835</v>
      </c>
      <c r="X158" s="906">
        <v>143006</v>
      </c>
      <c r="Y158" s="902">
        <v>1.4</v>
      </c>
      <c r="Z158" s="906">
        <v>108742</v>
      </c>
      <c r="AA158" s="906">
        <v>199473</v>
      </c>
      <c r="AB158" s="902">
        <v>1.83</v>
      </c>
      <c r="AC158" s="906">
        <v>130683</v>
      </c>
      <c r="AD158" s="906">
        <v>186162</v>
      </c>
      <c r="AE158" s="902">
        <v>1.42</v>
      </c>
      <c r="AF158" s="907">
        <v>1215</v>
      </c>
      <c r="AG158" s="907">
        <v>2131</v>
      </c>
      <c r="AH158" s="905">
        <v>1.75</v>
      </c>
      <c r="AI158" s="901">
        <v>1318.6</v>
      </c>
      <c r="AJ158" s="901">
        <v>2071.9</v>
      </c>
      <c r="AK158" s="902">
        <v>1.57</v>
      </c>
      <c r="AL158" s="906">
        <v>276280</v>
      </c>
      <c r="AM158" s="906">
        <v>400648</v>
      </c>
      <c r="AN158" s="902">
        <v>1.45</v>
      </c>
      <c r="AP158" s="900">
        <v>2015</v>
      </c>
      <c r="AQ158" s="900" t="s">
        <v>1481</v>
      </c>
      <c r="AR158" s="906">
        <v>250336</v>
      </c>
      <c r="AS158" s="906">
        <v>459208</v>
      </c>
      <c r="AT158" s="902">
        <v>1.83</v>
      </c>
      <c r="AV158" s="900">
        <v>2015</v>
      </c>
      <c r="AW158" s="900" t="s">
        <v>1481</v>
      </c>
      <c r="AX158" s="906">
        <v>246236</v>
      </c>
      <c r="AY158" s="906">
        <v>345205</v>
      </c>
      <c r="AZ158" s="902">
        <v>1.4</v>
      </c>
      <c r="BB158" s="903">
        <v>2015</v>
      </c>
      <c r="BC158" s="903" t="s">
        <v>1481</v>
      </c>
      <c r="BD158" s="907">
        <v>158790</v>
      </c>
      <c r="BE158" s="907">
        <v>255554</v>
      </c>
      <c r="BF158" s="905">
        <v>1.61</v>
      </c>
    </row>
    <row r="159" spans="2:58" ht="11.2" customHeight="1" thickBot="1">
      <c r="B159" s="903">
        <v>2015</v>
      </c>
      <c r="C159" s="263">
        <f t="shared" si="2"/>
        <v>42369</v>
      </c>
      <c r="D159" s="909">
        <v>946.1</v>
      </c>
      <c r="E159" s="909">
        <v>1366</v>
      </c>
      <c r="F159" s="914">
        <v>1.44</v>
      </c>
      <c r="G159" s="907">
        <v>184631</v>
      </c>
      <c r="H159" s="907">
        <v>249562</v>
      </c>
      <c r="I159" s="905">
        <v>1.35</v>
      </c>
      <c r="J159" s="907">
        <v>145141</v>
      </c>
      <c r="K159" s="907">
        <v>267495</v>
      </c>
      <c r="L159" s="905">
        <v>1.84</v>
      </c>
      <c r="M159" s="907">
        <v>122309</v>
      </c>
      <c r="N159" s="907">
        <v>156201</v>
      </c>
      <c r="O159" s="905">
        <v>1.28</v>
      </c>
      <c r="P159" s="906">
        <v>162228</v>
      </c>
      <c r="Q159" s="906">
        <v>236813</v>
      </c>
      <c r="R159" s="902">
        <v>1.46</v>
      </c>
      <c r="T159" s="905">
        <v>483.2</v>
      </c>
      <c r="U159" s="905">
        <v>727.1</v>
      </c>
      <c r="V159" s="905">
        <v>1.5</v>
      </c>
      <c r="W159" s="907">
        <v>113733</v>
      </c>
      <c r="X159" s="907">
        <v>148162</v>
      </c>
      <c r="Y159" s="905">
        <v>1.3</v>
      </c>
      <c r="Z159" s="907">
        <v>118597</v>
      </c>
      <c r="AA159" s="907">
        <v>218574</v>
      </c>
      <c r="AB159" s="905">
        <v>1.84</v>
      </c>
      <c r="AC159" s="907">
        <v>140021</v>
      </c>
      <c r="AD159" s="907">
        <v>193738</v>
      </c>
      <c r="AE159" s="905">
        <v>1.38</v>
      </c>
      <c r="AF159" s="906">
        <v>1533</v>
      </c>
      <c r="AG159" s="906">
        <v>2409</v>
      </c>
      <c r="AH159" s="902">
        <v>1.57</v>
      </c>
      <c r="AI159" s="904">
        <v>1429.4</v>
      </c>
      <c r="AJ159" s="904">
        <v>2093.1</v>
      </c>
      <c r="AK159" s="905">
        <v>1.46</v>
      </c>
      <c r="AL159" s="907">
        <v>298364</v>
      </c>
      <c r="AM159" s="907">
        <v>397724</v>
      </c>
      <c r="AN159" s="905">
        <v>1.33</v>
      </c>
      <c r="AP159" s="903">
        <v>2015</v>
      </c>
      <c r="AQ159" s="903" t="s">
        <v>1482</v>
      </c>
      <c r="AR159" s="907">
        <v>263737</v>
      </c>
      <c r="AS159" s="907">
        <v>486070</v>
      </c>
      <c r="AT159" s="905">
        <v>1.84</v>
      </c>
      <c r="AV159" s="903">
        <v>2015</v>
      </c>
      <c r="AW159" s="903" t="s">
        <v>1482</v>
      </c>
      <c r="AX159" s="907">
        <v>262330</v>
      </c>
      <c r="AY159" s="907">
        <v>349939</v>
      </c>
      <c r="AZ159" s="905">
        <v>1.33</v>
      </c>
      <c r="BB159" s="900">
        <v>2015</v>
      </c>
      <c r="BC159" s="900" t="s">
        <v>1482</v>
      </c>
      <c r="BD159" s="906">
        <v>163761</v>
      </c>
      <c r="BE159" s="906">
        <v>239223</v>
      </c>
      <c r="BF159" s="902">
        <v>1.46</v>
      </c>
    </row>
    <row r="160" spans="2:58" ht="10.9" thickBot="1">
      <c r="B160" s="900">
        <v>2016</v>
      </c>
      <c r="C160" s="263">
        <f t="shared" si="2"/>
        <v>42400</v>
      </c>
      <c r="D160" s="909">
        <v>855.7</v>
      </c>
      <c r="E160" s="909">
        <v>1103.0999999999999</v>
      </c>
      <c r="F160" s="914">
        <v>1.29</v>
      </c>
      <c r="G160" s="906">
        <v>174110</v>
      </c>
      <c r="H160" s="906">
        <v>195099</v>
      </c>
      <c r="I160" s="902">
        <v>1.1200000000000001</v>
      </c>
      <c r="J160" s="906">
        <v>137682</v>
      </c>
      <c r="K160" s="906">
        <v>187259</v>
      </c>
      <c r="L160" s="902">
        <v>1.36</v>
      </c>
      <c r="M160" s="906">
        <v>105833</v>
      </c>
      <c r="N160" s="906">
        <v>116934</v>
      </c>
      <c r="O160" s="902">
        <v>1.1000000000000001</v>
      </c>
      <c r="P160" s="907">
        <v>152935</v>
      </c>
      <c r="Q160" s="907">
        <v>275515</v>
      </c>
      <c r="R160" s="905">
        <v>1.8</v>
      </c>
      <c r="T160" s="902">
        <v>465.4</v>
      </c>
      <c r="U160" s="902">
        <v>570</v>
      </c>
      <c r="V160" s="902">
        <v>1.22</v>
      </c>
      <c r="W160" s="906">
        <v>107829</v>
      </c>
      <c r="X160" s="906">
        <v>121344</v>
      </c>
      <c r="Y160" s="902">
        <v>1.1299999999999999</v>
      </c>
      <c r="Z160" s="906">
        <v>120257</v>
      </c>
      <c r="AA160" s="906">
        <v>163559</v>
      </c>
      <c r="AB160" s="902">
        <v>1.36</v>
      </c>
      <c r="AC160" s="906">
        <v>132940</v>
      </c>
      <c r="AD160" s="906">
        <v>158765</v>
      </c>
      <c r="AE160" s="902">
        <v>1.19</v>
      </c>
      <c r="AF160" s="907">
        <v>1247</v>
      </c>
      <c r="AG160" s="907">
        <v>1772</v>
      </c>
      <c r="AH160" s="905">
        <v>1.42</v>
      </c>
      <c r="AI160" s="901">
        <v>1321.1</v>
      </c>
      <c r="AJ160" s="901">
        <v>1673.1</v>
      </c>
      <c r="AK160" s="902">
        <v>1.27</v>
      </c>
      <c r="AL160" s="906">
        <v>281939</v>
      </c>
      <c r="AM160" s="906">
        <v>316442</v>
      </c>
      <c r="AN160" s="902">
        <v>1.1200000000000001</v>
      </c>
      <c r="AP160" s="900">
        <v>2016</v>
      </c>
      <c r="AQ160" s="900" t="s">
        <v>1472</v>
      </c>
      <c r="AR160" s="906">
        <v>257939</v>
      </c>
      <c r="AS160" s="906">
        <v>350819</v>
      </c>
      <c r="AT160" s="902">
        <v>1.36</v>
      </c>
      <c r="AV160" s="900">
        <v>2016</v>
      </c>
      <c r="AW160" s="900" t="s">
        <v>1472</v>
      </c>
      <c r="AX160" s="906">
        <v>238772</v>
      </c>
      <c r="AY160" s="906">
        <v>275699</v>
      </c>
      <c r="AZ160" s="902">
        <v>1.1499999999999999</v>
      </c>
      <c r="BB160" s="903">
        <v>2016</v>
      </c>
      <c r="BC160" s="903" t="s">
        <v>1472</v>
      </c>
      <c r="BD160" s="907">
        <v>154182</v>
      </c>
      <c r="BE160" s="907">
        <v>277287</v>
      </c>
      <c r="BF160" s="905">
        <v>1.8</v>
      </c>
    </row>
    <row r="161" spans="2:58" ht="10.9" thickBot="1">
      <c r="B161" s="903">
        <v>2016</v>
      </c>
      <c r="C161" s="263">
        <f t="shared" si="2"/>
        <v>42429</v>
      </c>
      <c r="D161" s="909">
        <v>824.7</v>
      </c>
      <c r="E161" s="909">
        <v>1020.9</v>
      </c>
      <c r="F161" s="914">
        <v>1.24</v>
      </c>
      <c r="G161" s="907">
        <v>167497</v>
      </c>
      <c r="H161" s="907">
        <v>177571</v>
      </c>
      <c r="I161" s="905">
        <v>1.06</v>
      </c>
      <c r="J161" s="907">
        <v>135851</v>
      </c>
      <c r="K161" s="907">
        <v>182053</v>
      </c>
      <c r="L161" s="905">
        <v>1.34</v>
      </c>
      <c r="M161" s="907">
        <v>104234</v>
      </c>
      <c r="N161" s="907">
        <v>108637</v>
      </c>
      <c r="O161" s="905">
        <v>1.04</v>
      </c>
      <c r="P161" s="906">
        <v>144331</v>
      </c>
      <c r="Q161" s="906">
        <v>251264</v>
      </c>
      <c r="R161" s="902">
        <v>1.74</v>
      </c>
      <c r="T161" s="905">
        <v>419.3</v>
      </c>
      <c r="U161" s="905">
        <v>478.9</v>
      </c>
      <c r="V161" s="905">
        <v>1.1399999999999999</v>
      </c>
      <c r="W161" s="907">
        <v>98777</v>
      </c>
      <c r="X161" s="907">
        <v>103225</v>
      </c>
      <c r="Y161" s="905">
        <v>1.05</v>
      </c>
      <c r="Z161" s="907">
        <v>106661</v>
      </c>
      <c r="AA161" s="907">
        <v>142936</v>
      </c>
      <c r="AB161" s="905">
        <v>1.34</v>
      </c>
      <c r="AC161" s="907">
        <v>123108</v>
      </c>
      <c r="AD161" s="907">
        <v>131683</v>
      </c>
      <c r="AE161" s="905">
        <v>1.07</v>
      </c>
      <c r="AF161" s="906">
        <v>1163</v>
      </c>
      <c r="AG161" s="906">
        <v>1624</v>
      </c>
      <c r="AH161" s="902">
        <v>1.4</v>
      </c>
      <c r="AI161" s="904">
        <v>1244</v>
      </c>
      <c r="AJ161" s="904">
        <v>1499.8</v>
      </c>
      <c r="AK161" s="905">
        <v>1.21</v>
      </c>
      <c r="AL161" s="907">
        <v>266274</v>
      </c>
      <c r="AM161" s="907">
        <v>280796</v>
      </c>
      <c r="AN161" s="905">
        <v>1.05</v>
      </c>
      <c r="AP161" s="903">
        <v>2016</v>
      </c>
      <c r="AQ161" s="903" t="s">
        <v>1473</v>
      </c>
      <c r="AR161" s="907">
        <v>242512</v>
      </c>
      <c r="AS161" s="907">
        <v>324988</v>
      </c>
      <c r="AT161" s="905">
        <v>1.34</v>
      </c>
      <c r="AV161" s="903">
        <v>2016</v>
      </c>
      <c r="AW161" s="903" t="s">
        <v>1473</v>
      </c>
      <c r="AX161" s="907">
        <v>227342</v>
      </c>
      <c r="AY161" s="907">
        <v>240320</v>
      </c>
      <c r="AZ161" s="905">
        <v>1.06</v>
      </c>
      <c r="BB161" s="900">
        <v>2016</v>
      </c>
      <c r="BC161" s="900" t="s">
        <v>1473</v>
      </c>
      <c r="BD161" s="906">
        <v>145494</v>
      </c>
      <c r="BE161" s="906">
        <v>252888</v>
      </c>
      <c r="BF161" s="902">
        <v>1.74</v>
      </c>
    </row>
    <row r="162" spans="2:58" ht="10.9" thickBot="1">
      <c r="B162" s="900">
        <v>2016</v>
      </c>
      <c r="C162" s="263">
        <f t="shared" si="2"/>
        <v>42460</v>
      </c>
      <c r="D162" s="909">
        <v>943.9</v>
      </c>
      <c r="E162" s="909">
        <v>1207.9000000000001</v>
      </c>
      <c r="F162" s="914">
        <v>1.28</v>
      </c>
      <c r="G162" s="906">
        <v>183559</v>
      </c>
      <c r="H162" s="906">
        <v>201271</v>
      </c>
      <c r="I162" s="902">
        <v>1.1000000000000001</v>
      </c>
      <c r="J162" s="906">
        <v>158269</v>
      </c>
      <c r="K162" s="906">
        <v>218289</v>
      </c>
      <c r="L162" s="902">
        <v>1.38</v>
      </c>
      <c r="M162" s="906">
        <v>122317</v>
      </c>
      <c r="N162" s="906">
        <v>135861</v>
      </c>
      <c r="O162" s="902">
        <v>1.1100000000000001</v>
      </c>
      <c r="P162" s="907">
        <v>170974</v>
      </c>
      <c r="Q162" s="907">
        <v>281476</v>
      </c>
      <c r="R162" s="905">
        <v>1.65</v>
      </c>
      <c r="T162" s="902">
        <v>483.2</v>
      </c>
      <c r="U162" s="902">
        <v>586.29999999999995</v>
      </c>
      <c r="V162" s="902">
        <v>1.21</v>
      </c>
      <c r="W162" s="906">
        <v>113369</v>
      </c>
      <c r="X162" s="906">
        <v>130164</v>
      </c>
      <c r="Y162" s="902">
        <v>1.1499999999999999</v>
      </c>
      <c r="Z162" s="906">
        <v>121025</v>
      </c>
      <c r="AA162" s="906">
        <v>166921</v>
      </c>
      <c r="AB162" s="902">
        <v>1.38</v>
      </c>
      <c r="AC162" s="906">
        <v>141321</v>
      </c>
      <c r="AD162" s="906">
        <v>160029</v>
      </c>
      <c r="AE162" s="902">
        <v>1.1299999999999999</v>
      </c>
      <c r="AF162" s="907">
        <v>1413</v>
      </c>
      <c r="AG162" s="907">
        <v>2069</v>
      </c>
      <c r="AH162" s="905">
        <v>1.46</v>
      </c>
      <c r="AI162" s="901">
        <v>1427.1</v>
      </c>
      <c r="AJ162" s="901">
        <v>1794.2</v>
      </c>
      <c r="AK162" s="902">
        <v>1.26</v>
      </c>
      <c r="AL162" s="906">
        <v>296928</v>
      </c>
      <c r="AM162" s="906">
        <v>331434</v>
      </c>
      <c r="AN162" s="902">
        <v>1.1200000000000001</v>
      </c>
      <c r="AP162" s="900">
        <v>2016</v>
      </c>
      <c r="AQ162" s="900" t="s">
        <v>1474</v>
      </c>
      <c r="AR162" s="906">
        <v>279293</v>
      </c>
      <c r="AS162" s="906">
        <v>385211</v>
      </c>
      <c r="AT162" s="902">
        <v>1.38</v>
      </c>
      <c r="AV162" s="900">
        <v>2016</v>
      </c>
      <c r="AW162" s="900" t="s">
        <v>1474</v>
      </c>
      <c r="AX162" s="906">
        <v>263638</v>
      </c>
      <c r="AY162" s="906">
        <v>295890</v>
      </c>
      <c r="AZ162" s="902">
        <v>1.1200000000000001</v>
      </c>
      <c r="BB162" s="903">
        <v>2016</v>
      </c>
      <c r="BC162" s="903" t="s">
        <v>1474</v>
      </c>
      <c r="BD162" s="907">
        <v>172388</v>
      </c>
      <c r="BE162" s="907">
        <v>283544</v>
      </c>
      <c r="BF162" s="905">
        <v>1.64</v>
      </c>
    </row>
    <row r="163" spans="2:58" ht="10.9" thickBot="1">
      <c r="B163" s="903">
        <v>2016</v>
      </c>
      <c r="C163" s="263">
        <f t="shared" si="2"/>
        <v>42490</v>
      </c>
      <c r="D163" s="909">
        <v>903.4</v>
      </c>
      <c r="E163" s="909">
        <v>1201.3</v>
      </c>
      <c r="F163" s="914">
        <v>1.33</v>
      </c>
      <c r="G163" s="907">
        <v>177708</v>
      </c>
      <c r="H163" s="907">
        <v>208343</v>
      </c>
      <c r="I163" s="905">
        <v>1.17</v>
      </c>
      <c r="J163" s="907">
        <v>149301</v>
      </c>
      <c r="K163" s="907">
        <v>228947</v>
      </c>
      <c r="L163" s="905">
        <v>1.53</v>
      </c>
      <c r="M163" s="907">
        <v>117402</v>
      </c>
      <c r="N163" s="907">
        <v>136755</v>
      </c>
      <c r="O163" s="905">
        <v>1.1599999999999999</v>
      </c>
      <c r="P163" s="906">
        <v>164539</v>
      </c>
      <c r="Q163" s="906">
        <v>260326</v>
      </c>
      <c r="R163" s="902">
        <v>1.58</v>
      </c>
      <c r="T163" s="905">
        <v>483.3</v>
      </c>
      <c r="U163" s="905">
        <v>639</v>
      </c>
      <c r="V163" s="905">
        <v>1.32</v>
      </c>
      <c r="W163" s="907">
        <v>113694</v>
      </c>
      <c r="X163" s="907">
        <v>141572</v>
      </c>
      <c r="Y163" s="905">
        <v>1.25</v>
      </c>
      <c r="Z163" s="907">
        <v>128305</v>
      </c>
      <c r="AA163" s="907">
        <v>196750</v>
      </c>
      <c r="AB163" s="905">
        <v>1.53</v>
      </c>
      <c r="AC163" s="907">
        <v>138391</v>
      </c>
      <c r="AD163" s="907">
        <v>168744</v>
      </c>
      <c r="AE163" s="905">
        <v>1.22</v>
      </c>
      <c r="AF163" s="906">
        <v>1328</v>
      </c>
      <c r="AG163" s="906">
        <v>2040</v>
      </c>
      <c r="AH163" s="902">
        <v>1.54</v>
      </c>
      <c r="AI163" s="904">
        <v>1386.7</v>
      </c>
      <c r="AJ163" s="904">
        <v>1840.3</v>
      </c>
      <c r="AK163" s="905">
        <v>1.33</v>
      </c>
      <c r="AL163" s="907">
        <v>291401</v>
      </c>
      <c r="AM163" s="907">
        <v>349915</v>
      </c>
      <c r="AN163" s="905">
        <v>1.2</v>
      </c>
      <c r="AP163" s="903">
        <v>2016</v>
      </c>
      <c r="AQ163" s="903" t="s">
        <v>1475</v>
      </c>
      <c r="AR163" s="907">
        <v>277606</v>
      </c>
      <c r="AS163" s="907">
        <v>425697</v>
      </c>
      <c r="AT163" s="905">
        <v>1.53</v>
      </c>
      <c r="AV163" s="903">
        <v>2016</v>
      </c>
      <c r="AW163" s="903" t="s">
        <v>1475</v>
      </c>
      <c r="AX163" s="907">
        <v>255793</v>
      </c>
      <c r="AY163" s="907">
        <v>305499</v>
      </c>
      <c r="AZ163" s="905">
        <v>1.19</v>
      </c>
      <c r="BB163" s="900">
        <v>2016</v>
      </c>
      <c r="BC163" s="900" t="s">
        <v>1475</v>
      </c>
      <c r="BD163" s="906">
        <v>165867</v>
      </c>
      <c r="BE163" s="906">
        <v>262365</v>
      </c>
      <c r="BF163" s="902">
        <v>1.58</v>
      </c>
    </row>
    <row r="164" spans="2:58" ht="10.9" thickBot="1">
      <c r="B164" s="900">
        <v>2016</v>
      </c>
      <c r="C164" s="263">
        <f t="shared" si="2"/>
        <v>42521</v>
      </c>
      <c r="D164" s="909">
        <v>950.5</v>
      </c>
      <c r="E164" s="909">
        <v>1359.4</v>
      </c>
      <c r="F164" s="914">
        <v>1.43</v>
      </c>
      <c r="G164" s="906">
        <v>188173</v>
      </c>
      <c r="H164" s="906">
        <v>240806</v>
      </c>
      <c r="I164" s="902">
        <v>1.28</v>
      </c>
      <c r="J164" s="906">
        <v>166393</v>
      </c>
      <c r="K164" s="906">
        <v>250668</v>
      </c>
      <c r="L164" s="902">
        <v>1.51</v>
      </c>
      <c r="M164" s="906">
        <v>128090</v>
      </c>
      <c r="N164" s="906">
        <v>166748</v>
      </c>
      <c r="O164" s="902">
        <v>1.3</v>
      </c>
      <c r="P164" s="907">
        <v>168521</v>
      </c>
      <c r="Q164" s="907">
        <v>282700</v>
      </c>
      <c r="R164" s="905">
        <v>1.68</v>
      </c>
      <c r="T164" s="902">
        <v>510.8</v>
      </c>
      <c r="U164" s="902">
        <v>708.1</v>
      </c>
      <c r="V164" s="902">
        <v>1.39</v>
      </c>
      <c r="W164" s="906">
        <v>124250</v>
      </c>
      <c r="X164" s="906">
        <v>166031</v>
      </c>
      <c r="Y164" s="902">
        <v>1.34</v>
      </c>
      <c r="Z164" s="906">
        <v>131796</v>
      </c>
      <c r="AA164" s="906">
        <v>198548</v>
      </c>
      <c r="AB164" s="902">
        <v>1.51</v>
      </c>
      <c r="AC164" s="906">
        <v>151773</v>
      </c>
      <c r="AD164" s="906">
        <v>201724</v>
      </c>
      <c r="AE164" s="902">
        <v>1.33</v>
      </c>
      <c r="AF164" s="907">
        <v>1559</v>
      </c>
      <c r="AG164" s="907">
        <v>2523</v>
      </c>
      <c r="AH164" s="905">
        <v>1.62</v>
      </c>
      <c r="AI164" s="901">
        <v>1461.3</v>
      </c>
      <c r="AJ164" s="901">
        <v>2067.5</v>
      </c>
      <c r="AK164" s="902">
        <v>1.41</v>
      </c>
      <c r="AL164" s="906">
        <v>312423</v>
      </c>
      <c r="AM164" s="906">
        <v>406837</v>
      </c>
      <c r="AN164" s="902">
        <v>1.3</v>
      </c>
      <c r="AP164" s="900">
        <v>2016</v>
      </c>
      <c r="AQ164" s="900" t="s">
        <v>1465</v>
      </c>
      <c r="AR164" s="906">
        <v>298189</v>
      </c>
      <c r="AS164" s="906">
        <v>449216</v>
      </c>
      <c r="AT164" s="902">
        <v>1.51</v>
      </c>
      <c r="AV164" s="900">
        <v>2016</v>
      </c>
      <c r="AW164" s="900" t="s">
        <v>1465</v>
      </c>
      <c r="AX164" s="906">
        <v>279863</v>
      </c>
      <c r="AY164" s="906">
        <v>368473</v>
      </c>
      <c r="AZ164" s="902">
        <v>1.32</v>
      </c>
      <c r="BB164" s="903">
        <v>2016</v>
      </c>
      <c r="BC164" s="903" t="s">
        <v>1465</v>
      </c>
      <c r="BD164" s="907">
        <v>170080</v>
      </c>
      <c r="BE164" s="907">
        <v>285224</v>
      </c>
      <c r="BF164" s="905">
        <v>1.68</v>
      </c>
    </row>
    <row r="165" spans="2:58" ht="10.9" thickBot="1">
      <c r="B165" s="903">
        <v>2016</v>
      </c>
      <c r="C165" s="263">
        <f t="shared" si="2"/>
        <v>42551</v>
      </c>
      <c r="D165" s="909">
        <v>992.2</v>
      </c>
      <c r="E165" s="909">
        <v>1778.7</v>
      </c>
      <c r="F165" s="914">
        <v>1.79</v>
      </c>
      <c r="G165" s="907">
        <v>197907</v>
      </c>
      <c r="H165" s="907">
        <v>275327</v>
      </c>
      <c r="I165" s="905">
        <v>1.39</v>
      </c>
      <c r="J165" s="907">
        <v>172351</v>
      </c>
      <c r="K165" s="907">
        <v>529202</v>
      </c>
      <c r="L165" s="905">
        <v>3.07</v>
      </c>
      <c r="M165" s="907">
        <v>133303</v>
      </c>
      <c r="N165" s="907">
        <v>189385</v>
      </c>
      <c r="O165" s="905">
        <v>1.42</v>
      </c>
      <c r="P165" s="906">
        <v>175189</v>
      </c>
      <c r="Q165" s="906">
        <v>307076</v>
      </c>
      <c r="R165" s="902">
        <v>1.75</v>
      </c>
      <c r="T165" s="905">
        <v>530</v>
      </c>
      <c r="U165" s="904">
        <v>1000.8</v>
      </c>
      <c r="V165" s="905">
        <v>1.89</v>
      </c>
      <c r="W165" s="907">
        <v>126479</v>
      </c>
      <c r="X165" s="907">
        <v>183821</v>
      </c>
      <c r="Y165" s="905">
        <v>1.45</v>
      </c>
      <c r="Z165" s="907">
        <v>139677</v>
      </c>
      <c r="AA165" s="907">
        <v>428878</v>
      </c>
      <c r="AB165" s="905">
        <v>3.07</v>
      </c>
      <c r="AC165" s="907">
        <v>158728</v>
      </c>
      <c r="AD165" s="907">
        <v>230358</v>
      </c>
      <c r="AE165" s="905">
        <v>1.45</v>
      </c>
      <c r="AF165" s="906">
        <v>1811</v>
      </c>
      <c r="AG165" s="906">
        <v>3228</v>
      </c>
      <c r="AH165" s="902">
        <v>1.78</v>
      </c>
      <c r="AI165" s="904">
        <v>1522.3</v>
      </c>
      <c r="AJ165" s="904">
        <v>2779.4</v>
      </c>
      <c r="AK165" s="905">
        <v>1.83</v>
      </c>
      <c r="AL165" s="907">
        <v>324386</v>
      </c>
      <c r="AM165" s="907">
        <v>459147</v>
      </c>
      <c r="AN165" s="905">
        <v>1.42</v>
      </c>
      <c r="AP165" s="903">
        <v>2016</v>
      </c>
      <c r="AQ165" s="903" t="s">
        <v>1476</v>
      </c>
      <c r="AR165" s="907">
        <v>312028</v>
      </c>
      <c r="AS165" s="907">
        <v>958080</v>
      </c>
      <c r="AT165" s="905">
        <v>3.07</v>
      </c>
      <c r="AV165" s="903">
        <v>2016</v>
      </c>
      <c r="AW165" s="903" t="s">
        <v>1476</v>
      </c>
      <c r="AX165" s="907">
        <v>292031</v>
      </c>
      <c r="AY165" s="907">
        <v>419743</v>
      </c>
      <c r="AZ165" s="905">
        <v>1.44</v>
      </c>
      <c r="BB165" s="900">
        <v>2016</v>
      </c>
      <c r="BC165" s="900" t="s">
        <v>1476</v>
      </c>
      <c r="BD165" s="906">
        <v>176999</v>
      </c>
      <c r="BE165" s="906">
        <v>310304</v>
      </c>
      <c r="BF165" s="902">
        <v>1.75</v>
      </c>
    </row>
    <row r="166" spans="2:58" ht="10.9" thickBot="1">
      <c r="B166" s="900">
        <v>2016</v>
      </c>
      <c r="C166" s="263">
        <f t="shared" si="2"/>
        <v>42582</v>
      </c>
      <c r="D166" s="909">
        <v>1027.5999999999999</v>
      </c>
      <c r="E166" s="909">
        <v>1540.6</v>
      </c>
      <c r="F166" s="914">
        <v>1.5</v>
      </c>
      <c r="G166" s="906">
        <v>204635</v>
      </c>
      <c r="H166" s="906">
        <v>282006</v>
      </c>
      <c r="I166" s="902">
        <v>1.38</v>
      </c>
      <c r="J166" s="906">
        <v>183235</v>
      </c>
      <c r="K166" s="906">
        <v>270477</v>
      </c>
      <c r="L166" s="902">
        <v>1.48</v>
      </c>
      <c r="M166" s="906">
        <v>139420</v>
      </c>
      <c r="N166" s="906">
        <v>195543</v>
      </c>
      <c r="O166" s="902">
        <v>1.4</v>
      </c>
      <c r="P166" s="907">
        <v>179338</v>
      </c>
      <c r="Q166" s="907">
        <v>315135</v>
      </c>
      <c r="R166" s="905">
        <v>1.76</v>
      </c>
      <c r="T166" s="902">
        <v>559.4</v>
      </c>
      <c r="U166" s="902">
        <v>824.7</v>
      </c>
      <c r="V166" s="902">
        <v>1.47</v>
      </c>
      <c r="W166" s="906">
        <v>133053</v>
      </c>
      <c r="X166" s="906">
        <v>194104</v>
      </c>
      <c r="Y166" s="902">
        <v>1.46</v>
      </c>
      <c r="Z166" s="906">
        <v>149334</v>
      </c>
      <c r="AA166" s="906">
        <v>220435</v>
      </c>
      <c r="AB166" s="902">
        <v>1.48</v>
      </c>
      <c r="AC166" s="906">
        <v>168983</v>
      </c>
      <c r="AD166" s="906">
        <v>247748</v>
      </c>
      <c r="AE166" s="902">
        <v>1.47</v>
      </c>
      <c r="AF166" s="907">
        <v>1937</v>
      </c>
      <c r="AG166" s="907">
        <v>3650</v>
      </c>
      <c r="AH166" s="905">
        <v>1.88</v>
      </c>
      <c r="AI166" s="901">
        <v>1587</v>
      </c>
      <c r="AJ166" s="901">
        <v>2365.3000000000002</v>
      </c>
      <c r="AK166" s="902">
        <v>1.49</v>
      </c>
      <c r="AL166" s="906">
        <v>337688</v>
      </c>
      <c r="AM166" s="906">
        <v>476110</v>
      </c>
      <c r="AN166" s="902">
        <v>1.41</v>
      </c>
      <c r="AP166" s="900">
        <v>2016</v>
      </c>
      <c r="AQ166" s="900" t="s">
        <v>1477</v>
      </c>
      <c r="AR166" s="906">
        <v>332569</v>
      </c>
      <c r="AS166" s="906">
        <v>490912</v>
      </c>
      <c r="AT166" s="902">
        <v>1.48</v>
      </c>
      <c r="AV166" s="900">
        <v>2016</v>
      </c>
      <c r="AW166" s="900" t="s">
        <v>1477</v>
      </c>
      <c r="AX166" s="906">
        <v>308403</v>
      </c>
      <c r="AY166" s="906">
        <v>443291</v>
      </c>
      <c r="AZ166" s="902">
        <v>1.44</v>
      </c>
      <c r="BB166" s="903">
        <v>2016</v>
      </c>
      <c r="BC166" s="903" t="s">
        <v>1477</v>
      </c>
      <c r="BD166" s="907">
        <v>181275</v>
      </c>
      <c r="BE166" s="907">
        <v>318785</v>
      </c>
      <c r="BF166" s="905">
        <v>1.76</v>
      </c>
    </row>
    <row r="167" spans="2:58" ht="10.9" thickBot="1">
      <c r="B167" s="903">
        <v>2016</v>
      </c>
      <c r="C167" s="263">
        <f t="shared" si="2"/>
        <v>42613</v>
      </c>
      <c r="D167" s="909">
        <v>1006.7</v>
      </c>
      <c r="E167" s="909">
        <v>1450.8</v>
      </c>
      <c r="F167" s="914">
        <v>1.44</v>
      </c>
      <c r="G167" s="907">
        <v>196114</v>
      </c>
      <c r="H167" s="907">
        <v>249131</v>
      </c>
      <c r="I167" s="905">
        <v>1.27</v>
      </c>
      <c r="J167" s="907">
        <v>178323</v>
      </c>
      <c r="K167" s="907">
        <v>274510</v>
      </c>
      <c r="L167" s="905">
        <v>1.54</v>
      </c>
      <c r="M167" s="907">
        <v>141031</v>
      </c>
      <c r="N167" s="907">
        <v>186832</v>
      </c>
      <c r="O167" s="905">
        <v>1.32</v>
      </c>
      <c r="P167" s="906">
        <v>170502</v>
      </c>
      <c r="Q167" s="906">
        <v>293335</v>
      </c>
      <c r="R167" s="902">
        <v>1.72</v>
      </c>
      <c r="T167" s="905">
        <v>546.29999999999995</v>
      </c>
      <c r="U167" s="905">
        <v>789</v>
      </c>
      <c r="V167" s="905">
        <v>1.44</v>
      </c>
      <c r="W167" s="907">
        <v>129269</v>
      </c>
      <c r="X167" s="907">
        <v>187222</v>
      </c>
      <c r="Y167" s="905">
        <v>1.45</v>
      </c>
      <c r="Z167" s="907">
        <v>145834</v>
      </c>
      <c r="AA167" s="907">
        <v>224496</v>
      </c>
      <c r="AB167" s="905">
        <v>1.54</v>
      </c>
      <c r="AC167" s="907">
        <v>161710</v>
      </c>
      <c r="AD167" s="907">
        <v>223098</v>
      </c>
      <c r="AE167" s="905">
        <v>1.38</v>
      </c>
      <c r="AF167" s="906">
        <v>1257</v>
      </c>
      <c r="AG167" s="906">
        <v>2234</v>
      </c>
      <c r="AH167" s="902">
        <v>1.78</v>
      </c>
      <c r="AI167" s="904">
        <v>1553</v>
      </c>
      <c r="AJ167" s="904">
        <v>2239.8000000000002</v>
      </c>
      <c r="AK167" s="905">
        <v>1.44</v>
      </c>
      <c r="AL167" s="907">
        <v>325383</v>
      </c>
      <c r="AM167" s="907">
        <v>436353</v>
      </c>
      <c r="AN167" s="905">
        <v>1.34</v>
      </c>
      <c r="AP167" s="903">
        <v>2016</v>
      </c>
      <c r="AQ167" s="903" t="s">
        <v>1478</v>
      </c>
      <c r="AR167" s="907">
        <v>324157</v>
      </c>
      <c r="AS167" s="907">
        <v>499006</v>
      </c>
      <c r="AT167" s="905">
        <v>1.54</v>
      </c>
      <c r="AV167" s="903">
        <v>2016</v>
      </c>
      <c r="AW167" s="903" t="s">
        <v>1478</v>
      </c>
      <c r="AX167" s="907">
        <v>302741</v>
      </c>
      <c r="AY167" s="907">
        <v>409930</v>
      </c>
      <c r="AZ167" s="905">
        <v>1.35</v>
      </c>
      <c r="BB167" s="900">
        <v>2016</v>
      </c>
      <c r="BC167" s="900" t="s">
        <v>1478</v>
      </c>
      <c r="BD167" s="906">
        <v>171759</v>
      </c>
      <c r="BE167" s="906">
        <v>295569</v>
      </c>
      <c r="BF167" s="902">
        <v>1.72</v>
      </c>
    </row>
    <row r="168" spans="2:58" ht="10.9" thickBot="1">
      <c r="B168" s="900">
        <v>2016</v>
      </c>
      <c r="C168" s="263">
        <f t="shared" si="2"/>
        <v>42643</v>
      </c>
      <c r="D168" s="909">
        <v>897.3</v>
      </c>
      <c r="E168" s="909">
        <v>1327.9</v>
      </c>
      <c r="F168" s="914">
        <v>1.48</v>
      </c>
      <c r="G168" s="906">
        <v>170339</v>
      </c>
      <c r="H168" s="906">
        <v>234901</v>
      </c>
      <c r="I168" s="902">
        <v>1.38</v>
      </c>
      <c r="J168" s="906">
        <v>154742</v>
      </c>
      <c r="K168" s="906">
        <v>219940</v>
      </c>
      <c r="L168" s="902">
        <v>1.42</v>
      </c>
      <c r="M168" s="906">
        <v>128040</v>
      </c>
      <c r="N168" s="906">
        <v>176341</v>
      </c>
      <c r="O168" s="902">
        <v>1.38</v>
      </c>
      <c r="P168" s="907">
        <v>158618</v>
      </c>
      <c r="Q168" s="907">
        <v>281335</v>
      </c>
      <c r="R168" s="905">
        <v>1.77</v>
      </c>
      <c r="T168" s="902">
        <v>491.1</v>
      </c>
      <c r="U168" s="902">
        <v>695.2</v>
      </c>
      <c r="V168" s="902">
        <v>1.42</v>
      </c>
      <c r="W168" s="906">
        <v>116844</v>
      </c>
      <c r="X168" s="906">
        <v>163341</v>
      </c>
      <c r="Y168" s="902">
        <v>1.4</v>
      </c>
      <c r="Z168" s="906">
        <v>127753</v>
      </c>
      <c r="AA168" s="906">
        <v>181579</v>
      </c>
      <c r="AB168" s="902">
        <v>1.42</v>
      </c>
      <c r="AC168" s="906">
        <v>144732</v>
      </c>
      <c r="AD168" s="906">
        <v>203882</v>
      </c>
      <c r="AE168" s="902">
        <v>1.41</v>
      </c>
      <c r="AF168" s="905">
        <v>872</v>
      </c>
      <c r="AG168" s="907">
        <v>1603</v>
      </c>
      <c r="AH168" s="905">
        <v>1.84</v>
      </c>
      <c r="AI168" s="901">
        <v>1388.3</v>
      </c>
      <c r="AJ168" s="901">
        <v>2023.1</v>
      </c>
      <c r="AK168" s="902">
        <v>1.46</v>
      </c>
      <c r="AL168" s="906">
        <v>287183</v>
      </c>
      <c r="AM168" s="906">
        <v>398242</v>
      </c>
      <c r="AN168" s="902">
        <v>1.39</v>
      </c>
      <c r="AP168" s="900">
        <v>2016</v>
      </c>
      <c r="AQ168" s="900" t="s">
        <v>1479</v>
      </c>
      <c r="AR168" s="906">
        <v>282495</v>
      </c>
      <c r="AS168" s="906">
        <v>401519</v>
      </c>
      <c r="AT168" s="902">
        <v>1.42</v>
      </c>
      <c r="AV168" s="900">
        <v>2016</v>
      </c>
      <c r="AW168" s="900" t="s">
        <v>1479</v>
      </c>
      <c r="AX168" s="906">
        <v>272772</v>
      </c>
      <c r="AY168" s="906">
        <v>380223</v>
      </c>
      <c r="AZ168" s="902">
        <v>1.39</v>
      </c>
      <c r="BB168" s="903">
        <v>2016</v>
      </c>
      <c r="BC168" s="903" t="s">
        <v>1479</v>
      </c>
      <c r="BD168" s="907">
        <v>159490</v>
      </c>
      <c r="BE168" s="907">
        <v>282938</v>
      </c>
      <c r="BF168" s="905">
        <v>1.77</v>
      </c>
    </row>
    <row r="169" spans="2:58" ht="10.9" thickBot="1">
      <c r="B169" s="903">
        <v>2016</v>
      </c>
      <c r="C169" s="263">
        <f t="shared" si="2"/>
        <v>42674</v>
      </c>
      <c r="D169" s="909">
        <v>919.7</v>
      </c>
      <c r="E169" s="909">
        <v>1459.8</v>
      </c>
      <c r="F169" s="914">
        <v>1.59</v>
      </c>
      <c r="G169" s="907">
        <v>174992</v>
      </c>
      <c r="H169" s="907">
        <v>249380</v>
      </c>
      <c r="I169" s="905">
        <v>1.43</v>
      </c>
      <c r="J169" s="907">
        <v>160470</v>
      </c>
      <c r="K169" s="907">
        <v>273932</v>
      </c>
      <c r="L169" s="905">
        <v>1.71</v>
      </c>
      <c r="M169" s="907">
        <v>132234</v>
      </c>
      <c r="N169" s="907">
        <v>193065</v>
      </c>
      <c r="O169" s="905">
        <v>1.46</v>
      </c>
      <c r="P169" s="906">
        <v>163400</v>
      </c>
      <c r="Q169" s="906">
        <v>298037</v>
      </c>
      <c r="R169" s="902">
        <v>1.82</v>
      </c>
      <c r="T169" s="905">
        <v>482.5</v>
      </c>
      <c r="U169" s="905">
        <v>739.2</v>
      </c>
      <c r="V169" s="905">
        <v>1.53</v>
      </c>
      <c r="W169" s="907">
        <v>117218</v>
      </c>
      <c r="X169" s="907">
        <v>172286</v>
      </c>
      <c r="Y169" s="905">
        <v>1.47</v>
      </c>
      <c r="Z169" s="907">
        <v>115682</v>
      </c>
      <c r="AA169" s="907">
        <v>197476</v>
      </c>
      <c r="AB169" s="905">
        <v>1.71</v>
      </c>
      <c r="AC169" s="907">
        <v>144486</v>
      </c>
      <c r="AD169" s="907">
        <v>213041</v>
      </c>
      <c r="AE169" s="905">
        <v>1.47</v>
      </c>
      <c r="AF169" s="902">
        <v>948</v>
      </c>
      <c r="AG169" s="906">
        <v>1802</v>
      </c>
      <c r="AH169" s="902">
        <v>1.9</v>
      </c>
      <c r="AI169" s="904">
        <v>1402.2</v>
      </c>
      <c r="AJ169" s="904">
        <v>2199</v>
      </c>
      <c r="AK169" s="905">
        <v>1.57</v>
      </c>
      <c r="AL169" s="907">
        <v>292210</v>
      </c>
      <c r="AM169" s="907">
        <v>421665</v>
      </c>
      <c r="AN169" s="905">
        <v>1.44</v>
      </c>
      <c r="AP169" s="903">
        <v>2016</v>
      </c>
      <c r="AQ169" s="903" t="s">
        <v>1480</v>
      </c>
      <c r="AR169" s="907">
        <v>276152</v>
      </c>
      <c r="AS169" s="907">
        <v>471408</v>
      </c>
      <c r="AT169" s="905">
        <v>1.71</v>
      </c>
      <c r="AV169" s="903">
        <v>2016</v>
      </c>
      <c r="AW169" s="903" t="s">
        <v>1480</v>
      </c>
      <c r="AX169" s="907">
        <v>276721</v>
      </c>
      <c r="AY169" s="907">
        <v>406106</v>
      </c>
      <c r="AZ169" s="905">
        <v>1.47</v>
      </c>
      <c r="BB169" s="900">
        <v>2016</v>
      </c>
      <c r="BC169" s="900" t="s">
        <v>1480</v>
      </c>
      <c r="BD169" s="906">
        <v>164348</v>
      </c>
      <c r="BE169" s="906">
        <v>299839</v>
      </c>
      <c r="BF169" s="902">
        <v>1.82</v>
      </c>
    </row>
    <row r="170" spans="2:58" ht="10.9" thickBot="1">
      <c r="B170" s="900">
        <v>2016</v>
      </c>
      <c r="C170" s="263">
        <f t="shared" si="2"/>
        <v>42704</v>
      </c>
      <c r="D170" s="909">
        <v>886</v>
      </c>
      <c r="E170" s="909">
        <v>1286.4000000000001</v>
      </c>
      <c r="F170" s="914">
        <v>1.45</v>
      </c>
      <c r="G170" s="906">
        <v>169179</v>
      </c>
      <c r="H170" s="906">
        <v>240793</v>
      </c>
      <c r="I170" s="902">
        <v>1.42</v>
      </c>
      <c r="J170" s="906">
        <v>152356</v>
      </c>
      <c r="K170" s="906">
        <v>237909</v>
      </c>
      <c r="L170" s="902">
        <v>1.56</v>
      </c>
      <c r="M170" s="906">
        <v>120544</v>
      </c>
      <c r="N170" s="906">
        <v>172156</v>
      </c>
      <c r="O170" s="902">
        <v>1.43</v>
      </c>
      <c r="P170" s="907">
        <v>162637</v>
      </c>
      <c r="Q170" s="907">
        <v>295934</v>
      </c>
      <c r="R170" s="905">
        <v>1.82</v>
      </c>
      <c r="T170" s="902">
        <v>432.3</v>
      </c>
      <c r="U170" s="902">
        <v>607</v>
      </c>
      <c r="V170" s="902">
        <v>1.4</v>
      </c>
      <c r="W170" s="906">
        <v>99101</v>
      </c>
      <c r="X170" s="906">
        <v>149885</v>
      </c>
      <c r="Y170" s="902">
        <v>1.51</v>
      </c>
      <c r="Z170" s="906">
        <v>92109</v>
      </c>
      <c r="AA170" s="906">
        <v>143832</v>
      </c>
      <c r="AB170" s="902">
        <v>1.56</v>
      </c>
      <c r="AC170" s="906">
        <v>130169</v>
      </c>
      <c r="AD170" s="906">
        <v>195372</v>
      </c>
      <c r="AE170" s="902">
        <v>1.5</v>
      </c>
      <c r="AF170" s="907">
        <v>1164</v>
      </c>
      <c r="AG170" s="907">
        <v>2177</v>
      </c>
      <c r="AH170" s="905">
        <v>1.87</v>
      </c>
      <c r="AI170" s="901">
        <v>1318.3</v>
      </c>
      <c r="AJ170" s="901">
        <v>1893.3</v>
      </c>
      <c r="AK170" s="902">
        <v>1.44</v>
      </c>
      <c r="AL170" s="906">
        <v>268279</v>
      </c>
      <c r="AM170" s="906">
        <v>390678</v>
      </c>
      <c r="AN170" s="902">
        <v>1.46</v>
      </c>
      <c r="AP170" s="900">
        <v>2016</v>
      </c>
      <c r="AQ170" s="900" t="s">
        <v>1481</v>
      </c>
      <c r="AR170" s="906">
        <v>244465</v>
      </c>
      <c r="AS170" s="906">
        <v>381740</v>
      </c>
      <c r="AT170" s="902">
        <v>1.56</v>
      </c>
      <c r="AV170" s="900">
        <v>2016</v>
      </c>
      <c r="AW170" s="900" t="s">
        <v>1481</v>
      </c>
      <c r="AX170" s="906">
        <v>250713</v>
      </c>
      <c r="AY170" s="906">
        <v>367528</v>
      </c>
      <c r="AZ170" s="902">
        <v>1.47</v>
      </c>
      <c r="BB170" s="903">
        <v>2016</v>
      </c>
      <c r="BC170" s="903" t="s">
        <v>1481</v>
      </c>
      <c r="BD170" s="907">
        <v>163801</v>
      </c>
      <c r="BE170" s="907">
        <v>298110</v>
      </c>
      <c r="BF170" s="905">
        <v>1.82</v>
      </c>
    </row>
    <row r="171" spans="2:58" ht="11.2" customHeight="1" thickBot="1">
      <c r="B171" s="903">
        <v>2016</v>
      </c>
      <c r="C171" s="263">
        <f t="shared" si="2"/>
        <v>42735</v>
      </c>
      <c r="D171" s="909">
        <v>959.6</v>
      </c>
      <c r="E171" s="909">
        <v>1543.1</v>
      </c>
      <c r="F171" s="914">
        <v>1.61</v>
      </c>
      <c r="G171" s="907">
        <v>180930</v>
      </c>
      <c r="H171" s="907">
        <v>270264</v>
      </c>
      <c r="I171" s="905">
        <v>1.49</v>
      </c>
      <c r="J171" s="907">
        <v>158940</v>
      </c>
      <c r="K171" s="907">
        <v>258757</v>
      </c>
      <c r="L171" s="905">
        <v>1.63</v>
      </c>
      <c r="M171" s="907">
        <v>128349</v>
      </c>
      <c r="N171" s="907">
        <v>192690</v>
      </c>
      <c r="O171" s="905">
        <v>1.5</v>
      </c>
      <c r="P171" s="906">
        <v>168671</v>
      </c>
      <c r="Q171" s="906">
        <v>309414</v>
      </c>
      <c r="R171" s="902">
        <v>1.83</v>
      </c>
      <c r="T171" s="905">
        <v>473.7</v>
      </c>
      <c r="U171" s="905">
        <v>736</v>
      </c>
      <c r="V171" s="905">
        <v>1.55</v>
      </c>
      <c r="W171" s="907">
        <v>113270</v>
      </c>
      <c r="X171" s="907">
        <v>173836</v>
      </c>
      <c r="Y171" s="905">
        <v>1.53</v>
      </c>
      <c r="Z171" s="907">
        <v>105583</v>
      </c>
      <c r="AA171" s="907">
        <v>171890</v>
      </c>
      <c r="AB171" s="905">
        <v>1.63</v>
      </c>
      <c r="AC171" s="907">
        <v>143078</v>
      </c>
      <c r="AD171" s="907">
        <v>218957</v>
      </c>
      <c r="AE171" s="905">
        <v>1.53</v>
      </c>
      <c r="AF171" s="906">
        <v>1582</v>
      </c>
      <c r="AG171" s="906">
        <v>3017</v>
      </c>
      <c r="AH171" s="902">
        <v>1.91</v>
      </c>
      <c r="AI171" s="904">
        <v>1433.2</v>
      </c>
      <c r="AJ171" s="904">
        <v>2279.1</v>
      </c>
      <c r="AK171" s="905">
        <v>1.59</v>
      </c>
      <c r="AL171" s="907">
        <v>294200</v>
      </c>
      <c r="AM171" s="907">
        <v>444100</v>
      </c>
      <c r="AN171" s="905">
        <v>1.51</v>
      </c>
      <c r="AP171" s="903">
        <v>2016</v>
      </c>
      <c r="AQ171" s="903" t="s">
        <v>1482</v>
      </c>
      <c r="AR171" s="907">
        <v>264523</v>
      </c>
      <c r="AS171" s="907">
        <v>430648</v>
      </c>
      <c r="AT171" s="905">
        <v>1.63</v>
      </c>
      <c r="AV171" s="903">
        <v>2016</v>
      </c>
      <c r="AW171" s="903" t="s">
        <v>1482</v>
      </c>
      <c r="AX171" s="907">
        <v>271428</v>
      </c>
      <c r="AY171" s="907">
        <v>411647</v>
      </c>
      <c r="AZ171" s="905">
        <v>1.52</v>
      </c>
      <c r="BB171" s="900">
        <v>2016</v>
      </c>
      <c r="BC171" s="900" t="s">
        <v>1482</v>
      </c>
      <c r="BD171" s="906">
        <v>170252</v>
      </c>
      <c r="BE171" s="906">
        <v>312431</v>
      </c>
      <c r="BF171" s="902">
        <v>1.84</v>
      </c>
    </row>
    <row r="172" spans="2:58" ht="10.9" thickBot="1">
      <c r="B172" s="900">
        <v>2017</v>
      </c>
      <c r="C172" s="263">
        <f t="shared" si="2"/>
        <v>42766</v>
      </c>
      <c r="D172" s="909">
        <v>882.4</v>
      </c>
      <c r="E172" s="909">
        <v>1451.9</v>
      </c>
      <c r="F172" s="914">
        <v>1.65</v>
      </c>
      <c r="G172" s="906">
        <v>173469</v>
      </c>
      <c r="H172" s="906">
        <v>266034</v>
      </c>
      <c r="I172" s="902">
        <v>1.53</v>
      </c>
      <c r="J172" s="906">
        <v>150473</v>
      </c>
      <c r="K172" s="906">
        <v>250418</v>
      </c>
      <c r="L172" s="902">
        <v>1.66</v>
      </c>
      <c r="M172" s="906">
        <v>114135</v>
      </c>
      <c r="N172" s="906">
        <v>181091</v>
      </c>
      <c r="O172" s="902">
        <v>1.59</v>
      </c>
      <c r="P172" s="907">
        <v>162137</v>
      </c>
      <c r="Q172" s="907">
        <v>288114</v>
      </c>
      <c r="R172" s="905">
        <v>1.78</v>
      </c>
      <c r="T172" s="902">
        <v>460.9</v>
      </c>
      <c r="U172" s="902">
        <v>753.1</v>
      </c>
      <c r="V172" s="902">
        <v>1.63</v>
      </c>
      <c r="W172" s="906">
        <v>107138</v>
      </c>
      <c r="X172" s="906">
        <v>173327</v>
      </c>
      <c r="Y172" s="902">
        <v>1.62</v>
      </c>
      <c r="Z172" s="906">
        <v>105761</v>
      </c>
      <c r="AA172" s="906">
        <v>176008</v>
      </c>
      <c r="AB172" s="902">
        <v>1.66</v>
      </c>
      <c r="AC172" s="906">
        <v>139138</v>
      </c>
      <c r="AD172" s="906">
        <v>228640</v>
      </c>
      <c r="AE172" s="902">
        <v>1.64</v>
      </c>
      <c r="AF172" s="907">
        <v>1328</v>
      </c>
      <c r="AG172" s="907">
        <v>2697</v>
      </c>
      <c r="AH172" s="905">
        <v>2.0299999999999998</v>
      </c>
      <c r="AI172" s="901">
        <v>1343.3</v>
      </c>
      <c r="AJ172" s="901">
        <v>2205.1</v>
      </c>
      <c r="AK172" s="902">
        <v>1.64</v>
      </c>
      <c r="AL172" s="906">
        <v>280608</v>
      </c>
      <c r="AM172" s="906">
        <v>439361</v>
      </c>
      <c r="AN172" s="902">
        <v>1.57</v>
      </c>
      <c r="AP172" s="900">
        <v>2017</v>
      </c>
      <c r="AQ172" s="900" t="s">
        <v>1472</v>
      </c>
      <c r="AR172" s="906">
        <v>256234</v>
      </c>
      <c r="AS172" s="906">
        <v>426426</v>
      </c>
      <c r="AT172" s="902">
        <v>1.66</v>
      </c>
      <c r="AV172" s="900">
        <v>2017</v>
      </c>
      <c r="AW172" s="900" t="s">
        <v>1472</v>
      </c>
      <c r="AX172" s="906">
        <v>253274</v>
      </c>
      <c r="AY172" s="906">
        <v>409730</v>
      </c>
      <c r="AZ172" s="902">
        <v>1.62</v>
      </c>
      <c r="BB172" s="903">
        <v>2017</v>
      </c>
      <c r="BC172" s="903" t="s">
        <v>1472</v>
      </c>
      <c r="BD172" s="907">
        <v>163465</v>
      </c>
      <c r="BE172" s="907">
        <v>290811</v>
      </c>
      <c r="BF172" s="905">
        <v>1.78</v>
      </c>
    </row>
    <row r="173" spans="2:58" ht="10.9" thickBot="1">
      <c r="B173" s="903">
        <v>2017</v>
      </c>
      <c r="C173" s="263">
        <f t="shared" si="2"/>
        <v>42794</v>
      </c>
      <c r="D173" s="909">
        <v>804</v>
      </c>
      <c r="E173" s="909">
        <v>1369.6</v>
      </c>
      <c r="F173" s="914">
        <v>1.7</v>
      </c>
      <c r="G173" s="907">
        <v>156839</v>
      </c>
      <c r="H173" s="907">
        <v>247341</v>
      </c>
      <c r="I173" s="905">
        <v>1.58</v>
      </c>
      <c r="J173" s="907">
        <v>139784</v>
      </c>
      <c r="K173" s="907">
        <v>251050</v>
      </c>
      <c r="L173" s="905">
        <v>1.8</v>
      </c>
      <c r="M173" s="907">
        <v>104880</v>
      </c>
      <c r="N173" s="907">
        <v>168397</v>
      </c>
      <c r="O173" s="905">
        <v>1.61</v>
      </c>
      <c r="P173" s="906">
        <v>144702</v>
      </c>
      <c r="Q173" s="906">
        <v>266326</v>
      </c>
      <c r="R173" s="902">
        <v>1.84</v>
      </c>
      <c r="T173" s="905">
        <v>404</v>
      </c>
      <c r="U173" s="905">
        <v>683.5</v>
      </c>
      <c r="V173" s="905">
        <v>1.69</v>
      </c>
      <c r="W173" s="907">
        <v>94400</v>
      </c>
      <c r="X173" s="907">
        <v>157246</v>
      </c>
      <c r="Y173" s="905">
        <v>1.67</v>
      </c>
      <c r="Z173" s="907">
        <v>91049</v>
      </c>
      <c r="AA173" s="907">
        <v>163522</v>
      </c>
      <c r="AB173" s="905">
        <v>1.8</v>
      </c>
      <c r="AC173" s="907">
        <v>123885</v>
      </c>
      <c r="AD173" s="907">
        <v>204334</v>
      </c>
      <c r="AE173" s="905">
        <v>1.65</v>
      </c>
      <c r="AF173" s="906">
        <v>1357</v>
      </c>
      <c r="AG173" s="906">
        <v>2756</v>
      </c>
      <c r="AH173" s="902">
        <v>2.0299999999999998</v>
      </c>
      <c r="AI173" s="904">
        <v>1208</v>
      </c>
      <c r="AJ173" s="904">
        <v>2053.1</v>
      </c>
      <c r="AK173" s="905">
        <v>1.7</v>
      </c>
      <c r="AL173" s="907">
        <v>251239</v>
      </c>
      <c r="AM173" s="907">
        <v>404587</v>
      </c>
      <c r="AN173" s="905">
        <v>1.61</v>
      </c>
      <c r="AP173" s="903">
        <v>2017</v>
      </c>
      <c r="AQ173" s="903" t="s">
        <v>1473</v>
      </c>
      <c r="AR173" s="907">
        <v>230834</v>
      </c>
      <c r="AS173" s="907">
        <v>414572</v>
      </c>
      <c r="AT173" s="905">
        <v>1.8</v>
      </c>
      <c r="AV173" s="903">
        <v>2017</v>
      </c>
      <c r="AW173" s="903" t="s">
        <v>1473</v>
      </c>
      <c r="AX173" s="907">
        <v>228765</v>
      </c>
      <c r="AY173" s="907">
        <v>372731</v>
      </c>
      <c r="AZ173" s="905">
        <v>1.63</v>
      </c>
      <c r="BB173" s="900">
        <v>2017</v>
      </c>
      <c r="BC173" s="900" t="s">
        <v>1473</v>
      </c>
      <c r="BD173" s="906">
        <v>146059</v>
      </c>
      <c r="BE173" s="906">
        <v>269082</v>
      </c>
      <c r="BF173" s="902">
        <v>1.84</v>
      </c>
    </row>
    <row r="174" spans="2:58" ht="10.9" thickBot="1">
      <c r="B174" s="900">
        <v>2017</v>
      </c>
      <c r="C174" s="263">
        <f t="shared" si="2"/>
        <v>42825</v>
      </c>
      <c r="D174" s="909">
        <v>965</v>
      </c>
      <c r="E174" s="909">
        <v>1590.9</v>
      </c>
      <c r="F174" s="914">
        <v>1.65</v>
      </c>
      <c r="G174" s="906">
        <v>184643</v>
      </c>
      <c r="H174" s="906">
        <v>285712</v>
      </c>
      <c r="I174" s="902">
        <v>1.55</v>
      </c>
      <c r="J174" s="906">
        <v>171602</v>
      </c>
      <c r="K174" s="906">
        <v>287235</v>
      </c>
      <c r="L174" s="902">
        <v>1.67</v>
      </c>
      <c r="M174" s="906">
        <v>130472</v>
      </c>
      <c r="N174" s="906">
        <v>204907</v>
      </c>
      <c r="O174" s="902">
        <v>1.57</v>
      </c>
      <c r="P174" s="907">
        <v>176138</v>
      </c>
      <c r="Q174" s="907">
        <v>316121</v>
      </c>
      <c r="R174" s="905">
        <v>1.79</v>
      </c>
      <c r="T174" s="902">
        <v>481</v>
      </c>
      <c r="U174" s="902">
        <v>792.7</v>
      </c>
      <c r="V174" s="902">
        <v>1.65</v>
      </c>
      <c r="W174" s="906">
        <v>112634</v>
      </c>
      <c r="X174" s="906">
        <v>183572</v>
      </c>
      <c r="Y174" s="902">
        <v>1.63</v>
      </c>
      <c r="Z174" s="906">
        <v>108817</v>
      </c>
      <c r="AA174" s="906">
        <v>182142</v>
      </c>
      <c r="AB174" s="902">
        <v>1.67</v>
      </c>
      <c r="AC174" s="906">
        <v>142639</v>
      </c>
      <c r="AD174" s="906">
        <v>233780</v>
      </c>
      <c r="AE174" s="902">
        <v>1.64</v>
      </c>
      <c r="AF174" s="907">
        <v>1556</v>
      </c>
      <c r="AG174" s="907">
        <v>3162</v>
      </c>
      <c r="AH174" s="905">
        <v>2.0299999999999998</v>
      </c>
      <c r="AI174" s="901">
        <v>1446.1</v>
      </c>
      <c r="AJ174" s="901">
        <v>2383.6</v>
      </c>
      <c r="AK174" s="902">
        <v>1.65</v>
      </c>
      <c r="AL174" s="906">
        <v>297276</v>
      </c>
      <c r="AM174" s="906">
        <v>469284</v>
      </c>
      <c r="AN174" s="902">
        <v>1.58</v>
      </c>
      <c r="AP174" s="900">
        <v>2017</v>
      </c>
      <c r="AQ174" s="900" t="s">
        <v>1474</v>
      </c>
      <c r="AR174" s="906">
        <v>280420</v>
      </c>
      <c r="AS174" s="906">
        <v>469378</v>
      </c>
      <c r="AT174" s="902">
        <v>1.67</v>
      </c>
      <c r="AV174" s="900">
        <v>2017</v>
      </c>
      <c r="AW174" s="900" t="s">
        <v>1474</v>
      </c>
      <c r="AX174" s="906">
        <v>273111</v>
      </c>
      <c r="AY174" s="906">
        <v>438687</v>
      </c>
      <c r="AZ174" s="902">
        <v>1.61</v>
      </c>
      <c r="BB174" s="903">
        <v>2017</v>
      </c>
      <c r="BC174" s="903" t="s">
        <v>1474</v>
      </c>
      <c r="BD174" s="907">
        <v>177694</v>
      </c>
      <c r="BE174" s="907">
        <v>319283</v>
      </c>
      <c r="BF174" s="905">
        <v>1.8</v>
      </c>
    </row>
    <row r="175" spans="2:58" ht="10.9" thickBot="1">
      <c r="B175" s="903">
        <v>2017</v>
      </c>
      <c r="C175" s="263">
        <f t="shared" si="2"/>
        <v>42855</v>
      </c>
      <c r="D175" s="909">
        <v>919.2</v>
      </c>
      <c r="E175" s="909">
        <v>1525.3</v>
      </c>
      <c r="F175" s="914">
        <v>1.66</v>
      </c>
      <c r="G175" s="907">
        <v>174162</v>
      </c>
      <c r="H175" s="907">
        <v>270098</v>
      </c>
      <c r="I175" s="905">
        <v>1.55</v>
      </c>
      <c r="J175" s="907">
        <v>157911</v>
      </c>
      <c r="K175" s="907">
        <v>266831</v>
      </c>
      <c r="L175" s="905">
        <v>1.69</v>
      </c>
      <c r="M175" s="907">
        <v>124867</v>
      </c>
      <c r="N175" s="907">
        <v>196071</v>
      </c>
      <c r="O175" s="905">
        <v>1.57</v>
      </c>
      <c r="P175" s="906">
        <v>174222</v>
      </c>
      <c r="Q175" s="906">
        <v>315492</v>
      </c>
      <c r="R175" s="902">
        <v>1.81</v>
      </c>
      <c r="T175" s="905">
        <v>488.7</v>
      </c>
      <c r="U175" s="905">
        <v>798.2</v>
      </c>
      <c r="V175" s="905">
        <v>1.63</v>
      </c>
      <c r="W175" s="907">
        <v>118448</v>
      </c>
      <c r="X175" s="907">
        <v>191531</v>
      </c>
      <c r="Y175" s="905">
        <v>1.62</v>
      </c>
      <c r="Z175" s="907">
        <v>116616</v>
      </c>
      <c r="AA175" s="907">
        <v>197052</v>
      </c>
      <c r="AB175" s="905">
        <v>1.69</v>
      </c>
      <c r="AC175" s="907">
        <v>142730</v>
      </c>
      <c r="AD175" s="907">
        <v>229224</v>
      </c>
      <c r="AE175" s="905">
        <v>1.61</v>
      </c>
      <c r="AF175" s="906">
        <v>1848</v>
      </c>
      <c r="AG175" s="906">
        <v>3698</v>
      </c>
      <c r="AH175" s="902">
        <v>2</v>
      </c>
      <c r="AI175" s="904">
        <v>1408</v>
      </c>
      <c r="AJ175" s="904">
        <v>2323.5</v>
      </c>
      <c r="AK175" s="905">
        <v>1.65</v>
      </c>
      <c r="AL175" s="907">
        <v>292610</v>
      </c>
      <c r="AM175" s="907">
        <v>461630</v>
      </c>
      <c r="AN175" s="905">
        <v>1.58</v>
      </c>
      <c r="AP175" s="903">
        <v>2017</v>
      </c>
      <c r="AQ175" s="903" t="s">
        <v>1475</v>
      </c>
      <c r="AR175" s="907">
        <v>274527</v>
      </c>
      <c r="AS175" s="907">
        <v>463883</v>
      </c>
      <c r="AT175" s="905">
        <v>1.69</v>
      </c>
      <c r="AV175" s="903">
        <v>2017</v>
      </c>
      <c r="AW175" s="903" t="s">
        <v>1475</v>
      </c>
      <c r="AX175" s="907">
        <v>267597</v>
      </c>
      <c r="AY175" s="907">
        <v>425294</v>
      </c>
      <c r="AZ175" s="905">
        <v>1.59</v>
      </c>
      <c r="BB175" s="900">
        <v>2017</v>
      </c>
      <c r="BC175" s="900" t="s">
        <v>1475</v>
      </c>
      <c r="BD175" s="906">
        <v>176070</v>
      </c>
      <c r="BE175" s="906">
        <v>319190</v>
      </c>
      <c r="BF175" s="902">
        <v>1.81</v>
      </c>
    </row>
    <row r="176" spans="2:58" ht="10.9" thickBot="1">
      <c r="B176" s="900">
        <v>2017</v>
      </c>
      <c r="C176" s="263">
        <f t="shared" si="2"/>
        <v>42886</v>
      </c>
      <c r="D176" s="909">
        <v>963.9</v>
      </c>
      <c r="E176" s="909">
        <v>1544.5</v>
      </c>
      <c r="F176" s="914">
        <v>1.6</v>
      </c>
      <c r="G176" s="906">
        <v>184344</v>
      </c>
      <c r="H176" s="906">
        <v>274555</v>
      </c>
      <c r="I176" s="902">
        <v>1.49</v>
      </c>
      <c r="J176" s="906">
        <v>171735</v>
      </c>
      <c r="K176" s="906">
        <v>290970</v>
      </c>
      <c r="L176" s="902">
        <v>1.69</v>
      </c>
      <c r="M176" s="906">
        <v>136195</v>
      </c>
      <c r="N176" s="906">
        <v>204101</v>
      </c>
      <c r="O176" s="902">
        <v>1.5</v>
      </c>
      <c r="P176" s="907">
        <v>174763</v>
      </c>
      <c r="Q176" s="907">
        <v>310013</v>
      </c>
      <c r="R176" s="905">
        <v>1.77</v>
      </c>
      <c r="T176" s="902">
        <v>523.20000000000005</v>
      </c>
      <c r="U176" s="902">
        <v>839.9</v>
      </c>
      <c r="V176" s="902">
        <v>1.61</v>
      </c>
      <c r="W176" s="906">
        <v>131630</v>
      </c>
      <c r="X176" s="906">
        <v>207552</v>
      </c>
      <c r="Y176" s="902">
        <v>1.58</v>
      </c>
      <c r="Z176" s="906">
        <v>125023</v>
      </c>
      <c r="AA176" s="906">
        <v>211826</v>
      </c>
      <c r="AB176" s="902">
        <v>1.69</v>
      </c>
      <c r="AC176" s="906">
        <v>153866</v>
      </c>
      <c r="AD176" s="906">
        <v>241159</v>
      </c>
      <c r="AE176" s="902">
        <v>1.57</v>
      </c>
      <c r="AF176" s="907">
        <v>1762</v>
      </c>
      <c r="AG176" s="907">
        <v>3271</v>
      </c>
      <c r="AH176" s="905">
        <v>1.86</v>
      </c>
      <c r="AI176" s="901">
        <v>1487.1</v>
      </c>
      <c r="AJ176" s="901">
        <v>2384.5</v>
      </c>
      <c r="AK176" s="902">
        <v>1.6</v>
      </c>
      <c r="AL176" s="906">
        <v>315974</v>
      </c>
      <c r="AM176" s="906">
        <v>482107</v>
      </c>
      <c r="AN176" s="902">
        <v>1.53</v>
      </c>
      <c r="AP176" s="900">
        <v>2017</v>
      </c>
      <c r="AQ176" s="900" t="s">
        <v>1465</v>
      </c>
      <c r="AR176" s="906">
        <v>296758</v>
      </c>
      <c r="AS176" s="906">
        <v>502796</v>
      </c>
      <c r="AT176" s="902">
        <v>1.69</v>
      </c>
      <c r="AV176" s="900">
        <v>2017</v>
      </c>
      <c r="AW176" s="900" t="s">
        <v>1465</v>
      </c>
      <c r="AX176" s="906">
        <v>290061</v>
      </c>
      <c r="AY176" s="906">
        <v>445260</v>
      </c>
      <c r="AZ176" s="902">
        <v>1.54</v>
      </c>
      <c r="BB176" s="903">
        <v>2017</v>
      </c>
      <c r="BC176" s="903" t="s">
        <v>1465</v>
      </c>
      <c r="BD176" s="907">
        <v>176525</v>
      </c>
      <c r="BE176" s="907">
        <v>313284</v>
      </c>
      <c r="BF176" s="905">
        <v>1.77</v>
      </c>
    </row>
    <row r="177" spans="2:58" ht="10.9" thickBot="1">
      <c r="B177" s="903">
        <v>2017</v>
      </c>
      <c r="C177" s="263">
        <f t="shared" si="2"/>
        <v>42916</v>
      </c>
      <c r="D177" s="909">
        <v>1008.7</v>
      </c>
      <c r="E177" s="909">
        <v>1546.7</v>
      </c>
      <c r="F177" s="914">
        <v>1.53</v>
      </c>
      <c r="G177" s="907">
        <v>190148</v>
      </c>
      <c r="H177" s="907">
        <v>266444</v>
      </c>
      <c r="I177" s="905">
        <v>1.4</v>
      </c>
      <c r="J177" s="907">
        <v>181069</v>
      </c>
      <c r="K177" s="907">
        <v>296092</v>
      </c>
      <c r="L177" s="905">
        <v>1.64</v>
      </c>
      <c r="M177" s="907">
        <v>147002</v>
      </c>
      <c r="N177" s="907">
        <v>211562</v>
      </c>
      <c r="O177" s="905">
        <v>1.44</v>
      </c>
      <c r="P177" s="906">
        <v>180432</v>
      </c>
      <c r="Q177" s="906">
        <v>304383</v>
      </c>
      <c r="R177" s="902">
        <v>1.69</v>
      </c>
      <c r="T177" s="905">
        <v>544.9</v>
      </c>
      <c r="U177" s="905">
        <v>843.1</v>
      </c>
      <c r="V177" s="905">
        <v>1.55</v>
      </c>
      <c r="W177" s="907">
        <v>132825</v>
      </c>
      <c r="X177" s="907">
        <v>199996</v>
      </c>
      <c r="Y177" s="905">
        <v>1.51</v>
      </c>
      <c r="Z177" s="907">
        <v>139099</v>
      </c>
      <c r="AA177" s="907">
        <v>227461</v>
      </c>
      <c r="AB177" s="905">
        <v>1.64</v>
      </c>
      <c r="AC177" s="907">
        <v>158309</v>
      </c>
      <c r="AD177" s="907">
        <v>238715</v>
      </c>
      <c r="AE177" s="905">
        <v>1.51</v>
      </c>
      <c r="AF177" s="906">
        <v>2187</v>
      </c>
      <c r="AG177" s="906">
        <v>3992</v>
      </c>
      <c r="AH177" s="902">
        <v>1.83</v>
      </c>
      <c r="AI177" s="904">
        <v>1553.6</v>
      </c>
      <c r="AJ177" s="904">
        <v>2389.8000000000002</v>
      </c>
      <c r="AK177" s="905">
        <v>1.54</v>
      </c>
      <c r="AL177" s="907">
        <v>322973</v>
      </c>
      <c r="AM177" s="907">
        <v>466440</v>
      </c>
      <c r="AN177" s="905">
        <v>1.44</v>
      </c>
      <c r="AP177" s="903">
        <v>2017</v>
      </c>
      <c r="AQ177" s="903" t="s">
        <v>1476</v>
      </c>
      <c r="AR177" s="907">
        <v>320167</v>
      </c>
      <c r="AS177" s="907">
        <v>523552</v>
      </c>
      <c r="AT177" s="905">
        <v>1.64</v>
      </c>
      <c r="AV177" s="903">
        <v>2017</v>
      </c>
      <c r="AW177" s="903" t="s">
        <v>1476</v>
      </c>
      <c r="AX177" s="907">
        <v>305311</v>
      </c>
      <c r="AY177" s="907">
        <v>450277</v>
      </c>
      <c r="AZ177" s="905">
        <v>1.47</v>
      </c>
      <c r="BB177" s="900">
        <v>2017</v>
      </c>
      <c r="BC177" s="900" t="s">
        <v>1476</v>
      </c>
      <c r="BD177" s="906">
        <v>182619</v>
      </c>
      <c r="BE177" s="906">
        <v>308375</v>
      </c>
      <c r="BF177" s="902">
        <v>1.69</v>
      </c>
    </row>
    <row r="178" spans="2:58" ht="10.9" thickBot="1">
      <c r="B178" s="900">
        <v>2017</v>
      </c>
      <c r="C178" s="263">
        <f t="shared" si="2"/>
        <v>42947</v>
      </c>
      <c r="D178" s="909">
        <v>1037.5</v>
      </c>
      <c r="E178" s="909">
        <v>1610.9</v>
      </c>
      <c r="F178" s="914">
        <v>1.55</v>
      </c>
      <c r="G178" s="906">
        <v>197554</v>
      </c>
      <c r="H178" s="906">
        <v>280616</v>
      </c>
      <c r="I178" s="902">
        <v>1.42</v>
      </c>
      <c r="J178" s="906">
        <v>189999</v>
      </c>
      <c r="K178" s="906">
        <v>315405</v>
      </c>
      <c r="L178" s="902">
        <v>1.66</v>
      </c>
      <c r="M178" s="906">
        <v>152991</v>
      </c>
      <c r="N178" s="906">
        <v>221389</v>
      </c>
      <c r="O178" s="902">
        <v>1.45</v>
      </c>
      <c r="P178" s="907">
        <v>185619</v>
      </c>
      <c r="Q178" s="907">
        <v>314227</v>
      </c>
      <c r="R178" s="905">
        <v>1.69</v>
      </c>
      <c r="T178" s="902">
        <v>573.6</v>
      </c>
      <c r="U178" s="902">
        <v>883.8</v>
      </c>
      <c r="V178" s="902">
        <v>1.54</v>
      </c>
      <c r="W178" s="906">
        <v>140066</v>
      </c>
      <c r="X178" s="906">
        <v>210682</v>
      </c>
      <c r="Y178" s="902">
        <v>1.5</v>
      </c>
      <c r="Z178" s="906">
        <v>144937</v>
      </c>
      <c r="AA178" s="906">
        <v>240601</v>
      </c>
      <c r="AB178" s="902">
        <v>1.66</v>
      </c>
      <c r="AC178" s="906">
        <v>167391</v>
      </c>
      <c r="AD178" s="906">
        <v>247876</v>
      </c>
      <c r="AE178" s="902">
        <v>1.48</v>
      </c>
      <c r="AF178" s="907">
        <v>3054</v>
      </c>
      <c r="AG178" s="907">
        <v>5384</v>
      </c>
      <c r="AH178" s="905">
        <v>1.76</v>
      </c>
      <c r="AI178" s="901">
        <v>1611.1</v>
      </c>
      <c r="AJ178" s="901">
        <v>2494.6999999999998</v>
      </c>
      <c r="AK178" s="902">
        <v>1.55</v>
      </c>
      <c r="AL178" s="906">
        <v>337620</v>
      </c>
      <c r="AM178" s="906">
        <v>491298</v>
      </c>
      <c r="AN178" s="902">
        <v>1.46</v>
      </c>
      <c r="AP178" s="900">
        <v>2017</v>
      </c>
      <c r="AQ178" s="900" t="s">
        <v>1477</v>
      </c>
      <c r="AR178" s="906">
        <v>334935</v>
      </c>
      <c r="AS178" s="906">
        <v>556006</v>
      </c>
      <c r="AT178" s="902">
        <v>1.66</v>
      </c>
      <c r="AV178" s="900">
        <v>2017</v>
      </c>
      <c r="AW178" s="900" t="s">
        <v>1477</v>
      </c>
      <c r="AX178" s="906">
        <v>320382</v>
      </c>
      <c r="AY178" s="906">
        <v>469265</v>
      </c>
      <c r="AZ178" s="902">
        <v>1.46</v>
      </c>
      <c r="BB178" s="903">
        <v>2017</v>
      </c>
      <c r="BC178" s="903" t="s">
        <v>1477</v>
      </c>
      <c r="BD178" s="907">
        <v>188673</v>
      </c>
      <c r="BE178" s="907">
        <v>319611</v>
      </c>
      <c r="BF178" s="905">
        <v>1.69</v>
      </c>
    </row>
    <row r="179" spans="2:58" ht="10.9" thickBot="1">
      <c r="B179" s="903">
        <v>2017</v>
      </c>
      <c r="C179" s="263">
        <f t="shared" si="2"/>
        <v>42978</v>
      </c>
      <c r="D179" s="909">
        <v>1030.2</v>
      </c>
      <c r="E179" s="909">
        <v>1696.2</v>
      </c>
      <c r="F179" s="914">
        <v>1.65</v>
      </c>
      <c r="G179" s="907">
        <v>195499</v>
      </c>
      <c r="H179" s="907">
        <v>301129</v>
      </c>
      <c r="I179" s="905">
        <v>1.54</v>
      </c>
      <c r="J179" s="907">
        <v>190236</v>
      </c>
      <c r="K179" s="907">
        <v>303343</v>
      </c>
      <c r="L179" s="905">
        <v>1.59</v>
      </c>
      <c r="M179" s="907">
        <v>150518</v>
      </c>
      <c r="N179" s="907">
        <v>236550</v>
      </c>
      <c r="O179" s="905">
        <v>1.57</v>
      </c>
      <c r="P179" s="906">
        <v>176279</v>
      </c>
      <c r="Q179" s="906">
        <v>322810</v>
      </c>
      <c r="R179" s="902">
        <v>1.83</v>
      </c>
      <c r="T179" s="905">
        <v>559.1</v>
      </c>
      <c r="U179" s="905">
        <v>898.6</v>
      </c>
      <c r="V179" s="905">
        <v>1.61</v>
      </c>
      <c r="W179" s="907">
        <v>135136</v>
      </c>
      <c r="X179" s="907">
        <v>217181</v>
      </c>
      <c r="Y179" s="905">
        <v>1.61</v>
      </c>
      <c r="Z179" s="907">
        <v>143889</v>
      </c>
      <c r="AA179" s="907">
        <v>229439</v>
      </c>
      <c r="AB179" s="905">
        <v>1.59</v>
      </c>
      <c r="AC179" s="907">
        <v>159005</v>
      </c>
      <c r="AD179" s="907">
        <v>253610</v>
      </c>
      <c r="AE179" s="905">
        <v>1.59</v>
      </c>
      <c r="AF179" s="906">
        <v>2026</v>
      </c>
      <c r="AG179" s="906">
        <v>3919</v>
      </c>
      <c r="AH179" s="902">
        <v>1.93</v>
      </c>
      <c r="AI179" s="904">
        <v>1589.3</v>
      </c>
      <c r="AJ179" s="904">
        <v>2594.8000000000002</v>
      </c>
      <c r="AK179" s="905">
        <v>1.63</v>
      </c>
      <c r="AL179" s="907">
        <v>330635</v>
      </c>
      <c r="AM179" s="907">
        <v>518310</v>
      </c>
      <c r="AN179" s="905">
        <v>1.57</v>
      </c>
      <c r="AP179" s="903">
        <v>2017</v>
      </c>
      <c r="AQ179" s="903" t="s">
        <v>1478</v>
      </c>
      <c r="AR179" s="907">
        <v>334125</v>
      </c>
      <c r="AS179" s="907">
        <v>532782</v>
      </c>
      <c r="AT179" s="905">
        <v>1.59</v>
      </c>
      <c r="AV179" s="903">
        <v>2017</v>
      </c>
      <c r="AW179" s="903" t="s">
        <v>1478</v>
      </c>
      <c r="AX179" s="907">
        <v>309523</v>
      </c>
      <c r="AY179" s="907">
        <v>490161</v>
      </c>
      <c r="AZ179" s="905">
        <v>1.58</v>
      </c>
      <c r="BB179" s="900">
        <v>2017</v>
      </c>
      <c r="BC179" s="900" t="s">
        <v>1478</v>
      </c>
      <c r="BD179" s="906">
        <v>178305</v>
      </c>
      <c r="BE179" s="906">
        <v>326729</v>
      </c>
      <c r="BF179" s="902">
        <v>1.83</v>
      </c>
    </row>
    <row r="180" spans="2:58" ht="10.9" thickBot="1">
      <c r="B180" s="900">
        <v>2017</v>
      </c>
      <c r="C180" s="263">
        <f t="shared" si="2"/>
        <v>43008</v>
      </c>
      <c r="D180" s="909">
        <v>879.4</v>
      </c>
      <c r="E180" s="909">
        <v>1589.1</v>
      </c>
      <c r="F180" s="914">
        <v>1.81</v>
      </c>
      <c r="G180" s="906">
        <v>161053</v>
      </c>
      <c r="H180" s="906">
        <v>272400</v>
      </c>
      <c r="I180" s="902">
        <v>1.69</v>
      </c>
      <c r="J180" s="906">
        <v>157763</v>
      </c>
      <c r="K180" s="906">
        <v>276549</v>
      </c>
      <c r="L180" s="902">
        <v>1.75</v>
      </c>
      <c r="M180" s="906">
        <v>129305</v>
      </c>
      <c r="N180" s="906">
        <v>225464</v>
      </c>
      <c r="O180" s="902">
        <v>1.74</v>
      </c>
      <c r="P180" s="907">
        <v>153277</v>
      </c>
      <c r="Q180" s="907">
        <v>300278</v>
      </c>
      <c r="R180" s="905">
        <v>1.96</v>
      </c>
      <c r="T180" s="902">
        <v>494.3</v>
      </c>
      <c r="U180" s="902">
        <v>857.1</v>
      </c>
      <c r="V180" s="902">
        <v>1.73</v>
      </c>
      <c r="W180" s="906">
        <v>114652</v>
      </c>
      <c r="X180" s="906">
        <v>199185</v>
      </c>
      <c r="Y180" s="902">
        <v>1.74</v>
      </c>
      <c r="Z180" s="906">
        <v>123923</v>
      </c>
      <c r="AA180" s="906">
        <v>217229</v>
      </c>
      <c r="AB180" s="902">
        <v>1.75</v>
      </c>
      <c r="AC180" s="906">
        <v>144721</v>
      </c>
      <c r="AD180" s="906">
        <v>249101</v>
      </c>
      <c r="AE180" s="902">
        <v>1.72</v>
      </c>
      <c r="AF180" s="907">
        <v>1127</v>
      </c>
      <c r="AG180" s="907">
        <v>2365</v>
      </c>
      <c r="AH180" s="905">
        <v>2.1</v>
      </c>
      <c r="AI180" s="901">
        <v>1373.6</v>
      </c>
      <c r="AJ180" s="901">
        <v>2446.1</v>
      </c>
      <c r="AK180" s="902">
        <v>1.78</v>
      </c>
      <c r="AL180" s="906">
        <v>275705</v>
      </c>
      <c r="AM180" s="906">
        <v>471586</v>
      </c>
      <c r="AN180" s="902">
        <v>1.71</v>
      </c>
      <c r="AP180" s="900">
        <v>2017</v>
      </c>
      <c r="AQ180" s="900" t="s">
        <v>1479</v>
      </c>
      <c r="AR180" s="906">
        <v>281686</v>
      </c>
      <c r="AS180" s="906">
        <v>493778</v>
      </c>
      <c r="AT180" s="902">
        <v>1.75</v>
      </c>
      <c r="AV180" s="900">
        <v>2017</v>
      </c>
      <c r="AW180" s="900" t="s">
        <v>1479</v>
      </c>
      <c r="AX180" s="906">
        <v>274026</v>
      </c>
      <c r="AY180" s="906">
        <v>474566</v>
      </c>
      <c r="AZ180" s="902">
        <v>1.73</v>
      </c>
      <c r="BB180" s="903">
        <v>2017</v>
      </c>
      <c r="BC180" s="903" t="s">
        <v>1479</v>
      </c>
      <c r="BD180" s="907">
        <v>154403</v>
      </c>
      <c r="BE180" s="907">
        <v>302643</v>
      </c>
      <c r="BF180" s="905">
        <v>1.96</v>
      </c>
    </row>
    <row r="181" spans="2:58" ht="10.9" thickBot="1">
      <c r="B181" s="903">
        <v>2017</v>
      </c>
      <c r="C181" s="263">
        <f t="shared" si="2"/>
        <v>43039</v>
      </c>
      <c r="D181" s="909">
        <v>953.4</v>
      </c>
      <c r="E181" s="909">
        <v>1735.7</v>
      </c>
      <c r="F181" s="914">
        <v>1.82</v>
      </c>
      <c r="G181" s="907">
        <v>177883</v>
      </c>
      <c r="H181" s="907">
        <v>303570</v>
      </c>
      <c r="I181" s="905">
        <v>1.71</v>
      </c>
      <c r="J181" s="907">
        <v>169577</v>
      </c>
      <c r="K181" s="907">
        <v>321516</v>
      </c>
      <c r="L181" s="905">
        <v>1.9</v>
      </c>
      <c r="M181" s="907">
        <v>138941</v>
      </c>
      <c r="N181" s="907">
        <v>242694</v>
      </c>
      <c r="O181" s="905">
        <v>1.75</v>
      </c>
      <c r="P181" s="906">
        <v>164445</v>
      </c>
      <c r="Q181" s="906">
        <v>318148</v>
      </c>
      <c r="R181" s="902">
        <v>1.93</v>
      </c>
      <c r="T181" s="905">
        <v>495.4</v>
      </c>
      <c r="U181" s="905">
        <v>896.6</v>
      </c>
      <c r="V181" s="905">
        <v>1.81</v>
      </c>
      <c r="W181" s="907">
        <v>121796</v>
      </c>
      <c r="X181" s="907">
        <v>217866</v>
      </c>
      <c r="Y181" s="905">
        <v>1.79</v>
      </c>
      <c r="Z181" s="907">
        <v>118109</v>
      </c>
      <c r="AA181" s="907">
        <v>223934</v>
      </c>
      <c r="AB181" s="905">
        <v>1.9</v>
      </c>
      <c r="AC181" s="907">
        <v>141915</v>
      </c>
      <c r="AD181" s="907">
        <v>251849</v>
      </c>
      <c r="AE181" s="905">
        <v>1.77</v>
      </c>
      <c r="AF181" s="906">
        <v>1356</v>
      </c>
      <c r="AG181" s="906">
        <v>2814</v>
      </c>
      <c r="AH181" s="902">
        <v>2.08</v>
      </c>
      <c r="AI181" s="904">
        <v>1448.9</v>
      </c>
      <c r="AJ181" s="904">
        <v>2632.3</v>
      </c>
      <c r="AK181" s="905">
        <v>1.82</v>
      </c>
      <c r="AL181" s="907">
        <v>299679</v>
      </c>
      <c r="AM181" s="907">
        <v>521436</v>
      </c>
      <c r="AN181" s="905">
        <v>1.74</v>
      </c>
      <c r="AP181" s="903">
        <v>2017</v>
      </c>
      <c r="AQ181" s="903" t="s">
        <v>1480</v>
      </c>
      <c r="AR181" s="907">
        <v>287687</v>
      </c>
      <c r="AS181" s="907">
        <v>545451</v>
      </c>
      <c r="AT181" s="905">
        <v>1.9</v>
      </c>
      <c r="AV181" s="903">
        <v>2017</v>
      </c>
      <c r="AW181" s="903" t="s">
        <v>1480</v>
      </c>
      <c r="AX181" s="907">
        <v>280856</v>
      </c>
      <c r="AY181" s="907">
        <v>494543</v>
      </c>
      <c r="AZ181" s="905">
        <v>1.76</v>
      </c>
      <c r="BB181" s="900">
        <v>2017</v>
      </c>
      <c r="BC181" s="900" t="s">
        <v>1480</v>
      </c>
      <c r="BD181" s="906">
        <v>165801</v>
      </c>
      <c r="BE181" s="906">
        <v>320963</v>
      </c>
      <c r="BF181" s="902">
        <v>1.94</v>
      </c>
    </row>
    <row r="182" spans="2:58" ht="10.9" thickBot="1">
      <c r="B182" s="900">
        <v>2017</v>
      </c>
      <c r="C182" s="263">
        <f t="shared" si="2"/>
        <v>43069</v>
      </c>
      <c r="D182" s="909">
        <v>921.7</v>
      </c>
      <c r="E182" s="909">
        <v>1726.6</v>
      </c>
      <c r="F182" s="914">
        <v>1.87</v>
      </c>
      <c r="G182" s="906">
        <v>164455</v>
      </c>
      <c r="H182" s="906">
        <v>287657</v>
      </c>
      <c r="I182" s="902">
        <v>1.75</v>
      </c>
      <c r="J182" s="906">
        <v>158964</v>
      </c>
      <c r="K182" s="906">
        <v>307046</v>
      </c>
      <c r="L182" s="902">
        <v>1.93</v>
      </c>
      <c r="M182" s="906">
        <v>129511</v>
      </c>
      <c r="N182" s="906">
        <v>232156</v>
      </c>
      <c r="O182" s="902">
        <v>1.79</v>
      </c>
      <c r="P182" s="907">
        <v>163759</v>
      </c>
      <c r="Q182" s="907">
        <v>323863</v>
      </c>
      <c r="R182" s="905">
        <v>1.98</v>
      </c>
      <c r="T182" s="902">
        <v>448.8</v>
      </c>
      <c r="U182" s="902">
        <v>831.6</v>
      </c>
      <c r="V182" s="902">
        <v>1.85</v>
      </c>
      <c r="W182" s="906">
        <v>103125</v>
      </c>
      <c r="X182" s="906">
        <v>190182</v>
      </c>
      <c r="Y182" s="902">
        <v>1.84</v>
      </c>
      <c r="Z182" s="906">
        <v>93241</v>
      </c>
      <c r="AA182" s="906">
        <v>180099</v>
      </c>
      <c r="AB182" s="902">
        <v>1.93</v>
      </c>
      <c r="AC182" s="906">
        <v>130116</v>
      </c>
      <c r="AD182" s="906">
        <v>237360</v>
      </c>
      <c r="AE182" s="902">
        <v>1.82</v>
      </c>
      <c r="AF182" s="907">
        <v>1709</v>
      </c>
      <c r="AG182" s="907">
        <v>3672</v>
      </c>
      <c r="AH182" s="905">
        <v>2.15</v>
      </c>
      <c r="AI182" s="901">
        <v>1370.5</v>
      </c>
      <c r="AJ182" s="901">
        <v>2558.1999999999998</v>
      </c>
      <c r="AK182" s="902">
        <v>1.87</v>
      </c>
      <c r="AL182" s="906">
        <v>267580</v>
      </c>
      <c r="AM182" s="906">
        <v>477839</v>
      </c>
      <c r="AN182" s="902">
        <v>1.79</v>
      </c>
      <c r="AP182" s="900">
        <v>2017</v>
      </c>
      <c r="AQ182" s="900" t="s">
        <v>1481</v>
      </c>
      <c r="AR182" s="906">
        <v>252204</v>
      </c>
      <c r="AS182" s="906">
        <v>487145</v>
      </c>
      <c r="AT182" s="902">
        <v>1.93</v>
      </c>
      <c r="AV182" s="900">
        <v>2017</v>
      </c>
      <c r="AW182" s="900" t="s">
        <v>1481</v>
      </c>
      <c r="AX182" s="906">
        <v>259627</v>
      </c>
      <c r="AY182" s="906">
        <v>469515</v>
      </c>
      <c r="AZ182" s="902">
        <v>1.81</v>
      </c>
      <c r="BB182" s="903">
        <v>2017</v>
      </c>
      <c r="BC182" s="903" t="s">
        <v>1481</v>
      </c>
      <c r="BD182" s="907">
        <v>165467</v>
      </c>
      <c r="BE182" s="907">
        <v>327536</v>
      </c>
      <c r="BF182" s="905">
        <v>1.98</v>
      </c>
    </row>
    <row r="183" spans="2:58" ht="11.2" customHeight="1" thickBot="1">
      <c r="B183" s="903">
        <v>2017</v>
      </c>
      <c r="C183" s="263">
        <f t="shared" si="2"/>
        <v>43100</v>
      </c>
      <c r="D183" s="909">
        <v>975</v>
      </c>
      <c r="E183" s="909">
        <v>1862.6</v>
      </c>
      <c r="F183" s="914">
        <v>1.91</v>
      </c>
      <c r="G183" s="907">
        <v>180095</v>
      </c>
      <c r="H183" s="907">
        <v>326994</v>
      </c>
      <c r="I183" s="905">
        <v>1.82</v>
      </c>
      <c r="J183" s="907">
        <v>159888</v>
      </c>
      <c r="K183" s="907">
        <v>313734</v>
      </c>
      <c r="L183" s="905">
        <v>1.96</v>
      </c>
      <c r="M183" s="907">
        <v>135539</v>
      </c>
      <c r="N183" s="907">
        <v>250828</v>
      </c>
      <c r="O183" s="905">
        <v>1.85</v>
      </c>
      <c r="P183" s="906">
        <v>167239</v>
      </c>
      <c r="Q183" s="906">
        <v>324627</v>
      </c>
      <c r="R183" s="902">
        <v>1.94</v>
      </c>
      <c r="T183" s="905">
        <v>480.8</v>
      </c>
      <c r="U183" s="905">
        <v>923.4</v>
      </c>
      <c r="V183" s="905">
        <v>1.92</v>
      </c>
      <c r="W183" s="907">
        <v>115913</v>
      </c>
      <c r="X183" s="907">
        <v>222833</v>
      </c>
      <c r="Y183" s="905">
        <v>1.92</v>
      </c>
      <c r="Z183" s="907">
        <v>105665</v>
      </c>
      <c r="AA183" s="907">
        <v>207337</v>
      </c>
      <c r="AB183" s="905">
        <v>1.96</v>
      </c>
      <c r="AC183" s="907">
        <v>137683</v>
      </c>
      <c r="AD183" s="907">
        <v>261728</v>
      </c>
      <c r="AE183" s="905">
        <v>1.9</v>
      </c>
      <c r="AF183" s="906">
        <v>2227</v>
      </c>
      <c r="AG183" s="906">
        <v>4912</v>
      </c>
      <c r="AH183" s="902">
        <v>2.21</v>
      </c>
      <c r="AI183" s="904">
        <v>1455.8</v>
      </c>
      <c r="AJ183" s="904">
        <v>2785.9</v>
      </c>
      <c r="AK183" s="905">
        <v>1.91</v>
      </c>
      <c r="AL183" s="907">
        <v>296008</v>
      </c>
      <c r="AM183" s="907">
        <v>549826</v>
      </c>
      <c r="AN183" s="905">
        <v>1.86</v>
      </c>
      <c r="AP183" s="903">
        <v>2017</v>
      </c>
      <c r="AQ183" s="903" t="s">
        <v>1482</v>
      </c>
      <c r="AR183" s="907">
        <v>265553</v>
      </c>
      <c r="AS183" s="907">
        <v>521071</v>
      </c>
      <c r="AT183" s="905">
        <v>1.96</v>
      </c>
      <c r="AV183" s="903">
        <v>2017</v>
      </c>
      <c r="AW183" s="903" t="s">
        <v>1482</v>
      </c>
      <c r="AX183" s="907">
        <v>273222</v>
      </c>
      <c r="AY183" s="907">
        <v>512556</v>
      </c>
      <c r="AZ183" s="905">
        <v>1.88</v>
      </c>
      <c r="BB183" s="900">
        <v>2017</v>
      </c>
      <c r="BC183" s="900" t="s">
        <v>1482</v>
      </c>
      <c r="BD183" s="906">
        <v>169466</v>
      </c>
      <c r="BE183" s="906">
        <v>329539</v>
      </c>
      <c r="BF183" s="902">
        <v>1.94</v>
      </c>
    </row>
    <row r="184" spans="2:58" ht="10.9" thickBot="1">
      <c r="B184" s="900">
        <v>2018</v>
      </c>
      <c r="C184" s="263">
        <f t="shared" si="2"/>
        <v>43131</v>
      </c>
      <c r="D184" s="909">
        <v>910.7</v>
      </c>
      <c r="E184" s="909">
        <v>1837.8</v>
      </c>
      <c r="F184" s="914">
        <v>2.02</v>
      </c>
      <c r="G184" s="906">
        <v>173505</v>
      </c>
      <c r="H184" s="906">
        <v>337147</v>
      </c>
      <c r="I184" s="902">
        <v>1.94</v>
      </c>
      <c r="J184" s="906">
        <v>155927</v>
      </c>
      <c r="K184" s="906">
        <v>321400</v>
      </c>
      <c r="L184" s="902">
        <v>2.06</v>
      </c>
      <c r="M184" s="906">
        <v>120128</v>
      </c>
      <c r="N184" s="906">
        <v>237637</v>
      </c>
      <c r="O184" s="902">
        <v>1.98</v>
      </c>
      <c r="P184" s="907">
        <v>161138</v>
      </c>
      <c r="Q184" s="907">
        <v>315017</v>
      </c>
      <c r="R184" s="905">
        <v>1.95</v>
      </c>
      <c r="T184" s="902">
        <v>468.6</v>
      </c>
      <c r="U184" s="902">
        <v>946.5</v>
      </c>
      <c r="V184" s="902">
        <v>2.02</v>
      </c>
      <c r="W184" s="906">
        <v>109532</v>
      </c>
      <c r="X184" s="906">
        <v>221679</v>
      </c>
      <c r="Y184" s="902">
        <v>2.02</v>
      </c>
      <c r="Z184" s="906">
        <v>106820</v>
      </c>
      <c r="AA184" s="906">
        <v>220179</v>
      </c>
      <c r="AB184" s="902">
        <v>2.06</v>
      </c>
      <c r="AC184" s="906">
        <v>134653</v>
      </c>
      <c r="AD184" s="906">
        <v>267964</v>
      </c>
      <c r="AE184" s="902">
        <v>1.99</v>
      </c>
      <c r="AF184" s="907">
        <v>1835</v>
      </c>
      <c r="AG184" s="907">
        <v>4296</v>
      </c>
      <c r="AH184" s="905">
        <v>2.34</v>
      </c>
      <c r="AI184" s="901">
        <v>1379.3</v>
      </c>
      <c r="AJ184" s="901">
        <v>2784.3</v>
      </c>
      <c r="AK184" s="902">
        <v>2.02</v>
      </c>
      <c r="AL184" s="906">
        <v>283037</v>
      </c>
      <c r="AM184" s="906">
        <v>558826</v>
      </c>
      <c r="AN184" s="902">
        <v>1.97</v>
      </c>
      <c r="AP184" s="900">
        <v>2018</v>
      </c>
      <c r="AQ184" s="900" t="s">
        <v>1472</v>
      </c>
      <c r="AR184" s="906">
        <v>262747</v>
      </c>
      <c r="AS184" s="906">
        <v>541579</v>
      </c>
      <c r="AT184" s="902">
        <v>2.06</v>
      </c>
      <c r="AV184" s="900">
        <v>2018</v>
      </c>
      <c r="AW184" s="900" t="s">
        <v>1472</v>
      </c>
      <c r="AX184" s="906">
        <v>254781</v>
      </c>
      <c r="AY184" s="906">
        <v>505600</v>
      </c>
      <c r="AZ184" s="902">
        <v>1.98</v>
      </c>
      <c r="BB184" s="903">
        <v>2018</v>
      </c>
      <c r="BC184" s="903" t="s">
        <v>1472</v>
      </c>
      <c r="BD184" s="907">
        <v>162973</v>
      </c>
      <c r="BE184" s="907">
        <v>319314</v>
      </c>
      <c r="BF184" s="905">
        <v>1.96</v>
      </c>
    </row>
    <row r="185" spans="2:58" ht="10.9" thickBot="1">
      <c r="B185" s="903">
        <v>2018</v>
      </c>
      <c r="C185" s="263">
        <f t="shared" si="2"/>
        <v>43159</v>
      </c>
      <c r="D185" s="909">
        <v>850.9</v>
      </c>
      <c r="E185" s="909">
        <v>1721.2</v>
      </c>
      <c r="F185" s="914">
        <v>2.02</v>
      </c>
      <c r="G185" s="907">
        <v>163177</v>
      </c>
      <c r="H185" s="907">
        <v>320337</v>
      </c>
      <c r="I185" s="905">
        <v>1.96</v>
      </c>
      <c r="J185" s="907">
        <v>148189</v>
      </c>
      <c r="K185" s="907">
        <v>303311</v>
      </c>
      <c r="L185" s="905">
        <v>2.0499999999999998</v>
      </c>
      <c r="M185" s="907">
        <v>112265</v>
      </c>
      <c r="N185" s="907">
        <v>223504</v>
      </c>
      <c r="O185" s="905">
        <v>1.99</v>
      </c>
      <c r="P185" s="906">
        <v>145013</v>
      </c>
      <c r="Q185" s="906">
        <v>291089</v>
      </c>
      <c r="R185" s="902">
        <v>2.0099999999999998</v>
      </c>
      <c r="T185" s="905">
        <v>416.4</v>
      </c>
      <c r="U185" s="905">
        <v>852.6</v>
      </c>
      <c r="V185" s="905">
        <v>2.0499999999999998</v>
      </c>
      <c r="W185" s="907">
        <v>98085</v>
      </c>
      <c r="X185" s="907">
        <v>200224</v>
      </c>
      <c r="Y185" s="905">
        <v>2.04</v>
      </c>
      <c r="Z185" s="907">
        <v>93372</v>
      </c>
      <c r="AA185" s="907">
        <v>191111</v>
      </c>
      <c r="AB185" s="905">
        <v>2.0499999999999998</v>
      </c>
      <c r="AC185" s="907">
        <v>122054</v>
      </c>
      <c r="AD185" s="907">
        <v>249511</v>
      </c>
      <c r="AE185" s="905">
        <v>2.04</v>
      </c>
      <c r="AF185" s="906">
        <v>1842</v>
      </c>
      <c r="AG185" s="906">
        <v>4363</v>
      </c>
      <c r="AH185" s="902">
        <v>2.37</v>
      </c>
      <c r="AI185" s="904">
        <v>1267.4000000000001</v>
      </c>
      <c r="AJ185" s="904">
        <v>2573.8000000000002</v>
      </c>
      <c r="AK185" s="905">
        <v>2.0299999999999998</v>
      </c>
      <c r="AL185" s="907">
        <v>261261</v>
      </c>
      <c r="AM185" s="907">
        <v>520561</v>
      </c>
      <c r="AN185" s="905">
        <v>1.99</v>
      </c>
      <c r="AP185" s="903">
        <v>2018</v>
      </c>
      <c r="AQ185" s="903" t="s">
        <v>1473</v>
      </c>
      <c r="AR185" s="907">
        <v>241561</v>
      </c>
      <c r="AS185" s="907">
        <v>494422</v>
      </c>
      <c r="AT185" s="905">
        <v>2.0499999999999998</v>
      </c>
      <c r="AV185" s="903">
        <v>2018</v>
      </c>
      <c r="AW185" s="903" t="s">
        <v>1473</v>
      </c>
      <c r="AX185" s="907">
        <v>234320</v>
      </c>
      <c r="AY185" s="907">
        <v>473014</v>
      </c>
      <c r="AZ185" s="905">
        <v>2.02</v>
      </c>
      <c r="BB185" s="900">
        <v>2018</v>
      </c>
      <c r="BC185" s="900" t="s">
        <v>1473</v>
      </c>
      <c r="BD185" s="906">
        <v>146855</v>
      </c>
      <c r="BE185" s="906">
        <v>295452</v>
      </c>
      <c r="BF185" s="902">
        <v>2.0099999999999998</v>
      </c>
    </row>
    <row r="186" spans="2:58" ht="10.9" thickBot="1">
      <c r="B186" s="900">
        <v>2018</v>
      </c>
      <c r="C186" s="263">
        <f t="shared" si="2"/>
        <v>43190</v>
      </c>
      <c r="D186" s="909">
        <v>990.3</v>
      </c>
      <c r="E186" s="909">
        <v>1936.7</v>
      </c>
      <c r="F186" s="914">
        <v>1.96</v>
      </c>
      <c r="G186" s="906">
        <v>182348</v>
      </c>
      <c r="H186" s="906">
        <v>350496</v>
      </c>
      <c r="I186" s="902">
        <v>1.92</v>
      </c>
      <c r="J186" s="906">
        <v>179103</v>
      </c>
      <c r="K186" s="906">
        <v>339503</v>
      </c>
      <c r="L186" s="902">
        <v>1.9</v>
      </c>
      <c r="M186" s="906">
        <v>134540</v>
      </c>
      <c r="N186" s="906">
        <v>260560</v>
      </c>
      <c r="O186" s="902">
        <v>1.94</v>
      </c>
      <c r="P186" s="907">
        <v>176770</v>
      </c>
      <c r="Q186" s="907">
        <v>345317</v>
      </c>
      <c r="R186" s="905">
        <v>1.95</v>
      </c>
      <c r="T186" s="902">
        <v>492.7</v>
      </c>
      <c r="U186" s="902">
        <v>977.1</v>
      </c>
      <c r="V186" s="902">
        <v>1.98</v>
      </c>
      <c r="W186" s="906">
        <v>115487</v>
      </c>
      <c r="X186" s="906">
        <v>231113</v>
      </c>
      <c r="Y186" s="902">
        <v>2</v>
      </c>
      <c r="Z186" s="906">
        <v>110469</v>
      </c>
      <c r="AA186" s="906">
        <v>209401</v>
      </c>
      <c r="AB186" s="902">
        <v>1.9</v>
      </c>
      <c r="AC186" s="906">
        <v>143560</v>
      </c>
      <c r="AD186" s="906">
        <v>287444</v>
      </c>
      <c r="AE186" s="902">
        <v>2</v>
      </c>
      <c r="AF186" s="907">
        <v>2506</v>
      </c>
      <c r="AG186" s="907">
        <v>5806</v>
      </c>
      <c r="AH186" s="905">
        <v>2.3199999999999998</v>
      </c>
      <c r="AI186" s="901">
        <v>1483</v>
      </c>
      <c r="AJ186" s="901">
        <v>2913.9</v>
      </c>
      <c r="AK186" s="902">
        <v>1.96</v>
      </c>
      <c r="AL186" s="906">
        <v>297835</v>
      </c>
      <c r="AM186" s="906">
        <v>581609</v>
      </c>
      <c r="AN186" s="902">
        <v>1.95</v>
      </c>
      <c r="AP186" s="900">
        <v>2018</v>
      </c>
      <c r="AQ186" s="900" t="s">
        <v>1474</v>
      </c>
      <c r="AR186" s="906">
        <v>289572</v>
      </c>
      <c r="AS186" s="906">
        <v>548904</v>
      </c>
      <c r="AT186" s="902">
        <v>1.9</v>
      </c>
      <c r="AV186" s="900">
        <v>2018</v>
      </c>
      <c r="AW186" s="900" t="s">
        <v>1474</v>
      </c>
      <c r="AX186" s="906">
        <v>278100</v>
      </c>
      <c r="AY186" s="906">
        <v>548004</v>
      </c>
      <c r="AZ186" s="902">
        <v>1.97</v>
      </c>
      <c r="BB186" s="903">
        <v>2018</v>
      </c>
      <c r="BC186" s="903" t="s">
        <v>1474</v>
      </c>
      <c r="BD186" s="907">
        <v>179276</v>
      </c>
      <c r="BE186" s="907">
        <v>351123</v>
      </c>
      <c r="BF186" s="905">
        <v>1.96</v>
      </c>
    </row>
    <row r="187" spans="2:58" ht="10.9" thickBot="1">
      <c r="B187" s="903">
        <v>2018</v>
      </c>
      <c r="C187" s="263">
        <f t="shared" si="2"/>
        <v>43220</v>
      </c>
      <c r="D187" s="909">
        <v>965.4</v>
      </c>
      <c r="E187" s="909">
        <v>2005.5</v>
      </c>
      <c r="F187" s="914">
        <v>2.08</v>
      </c>
      <c r="G187" s="907">
        <v>176469</v>
      </c>
      <c r="H187" s="907">
        <v>347767</v>
      </c>
      <c r="I187" s="905">
        <v>1.97</v>
      </c>
      <c r="J187" s="907">
        <v>170928</v>
      </c>
      <c r="K187" s="907">
        <v>371620</v>
      </c>
      <c r="L187" s="905">
        <v>2.17</v>
      </c>
      <c r="M187" s="907">
        <v>137001</v>
      </c>
      <c r="N187" s="907">
        <v>279219</v>
      </c>
      <c r="O187" s="905">
        <v>2.04</v>
      </c>
      <c r="P187" s="906">
        <v>174522</v>
      </c>
      <c r="Q187" s="906">
        <v>348976</v>
      </c>
      <c r="R187" s="902">
        <v>2</v>
      </c>
      <c r="T187" s="905">
        <v>489.7</v>
      </c>
      <c r="U187" s="904">
        <v>1024.9000000000001</v>
      </c>
      <c r="V187" s="905">
        <v>2.09</v>
      </c>
      <c r="W187" s="907">
        <v>120585</v>
      </c>
      <c r="X187" s="907">
        <v>249516</v>
      </c>
      <c r="Y187" s="905">
        <v>2.0699999999999998</v>
      </c>
      <c r="Z187" s="907">
        <v>112928</v>
      </c>
      <c r="AA187" s="907">
        <v>245522</v>
      </c>
      <c r="AB187" s="905">
        <v>2.17</v>
      </c>
      <c r="AC187" s="907">
        <v>140020</v>
      </c>
      <c r="AD187" s="907">
        <v>287942</v>
      </c>
      <c r="AE187" s="905">
        <v>2.06</v>
      </c>
      <c r="AF187" s="906">
        <v>1929</v>
      </c>
      <c r="AG187" s="906">
        <v>4713</v>
      </c>
      <c r="AH187" s="902">
        <v>2.44</v>
      </c>
      <c r="AI187" s="904">
        <v>1455.1</v>
      </c>
      <c r="AJ187" s="904">
        <v>3030.4</v>
      </c>
      <c r="AK187" s="905">
        <v>2.08</v>
      </c>
      <c r="AL187" s="907">
        <v>297054</v>
      </c>
      <c r="AM187" s="907">
        <v>597283</v>
      </c>
      <c r="AN187" s="905">
        <v>2.0099999999999998</v>
      </c>
      <c r="AP187" s="903">
        <v>2018</v>
      </c>
      <c r="AQ187" s="903" t="s">
        <v>1475</v>
      </c>
      <c r="AR187" s="907">
        <v>283856</v>
      </c>
      <c r="AS187" s="907">
        <v>617142</v>
      </c>
      <c r="AT187" s="905">
        <v>2.17</v>
      </c>
      <c r="AV187" s="903">
        <v>2018</v>
      </c>
      <c r="AW187" s="903" t="s">
        <v>1475</v>
      </c>
      <c r="AX187" s="907">
        <v>277021</v>
      </c>
      <c r="AY187" s="907">
        <v>567162</v>
      </c>
      <c r="AZ187" s="905">
        <v>2.0499999999999998</v>
      </c>
      <c r="BB187" s="900">
        <v>2018</v>
      </c>
      <c r="BC187" s="900" t="s">
        <v>1475</v>
      </c>
      <c r="BD187" s="906">
        <v>176451</v>
      </c>
      <c r="BE187" s="906">
        <v>353689</v>
      </c>
      <c r="BF187" s="902">
        <v>2</v>
      </c>
    </row>
    <row r="188" spans="2:58" ht="10.9" thickBot="1">
      <c r="B188" s="900">
        <v>2018</v>
      </c>
      <c r="C188" s="263">
        <f t="shared" si="2"/>
        <v>43251</v>
      </c>
      <c r="D188" s="909">
        <v>1011.8</v>
      </c>
      <c r="E188" s="909">
        <v>2209.9</v>
      </c>
      <c r="F188" s="914">
        <v>2.1800000000000002</v>
      </c>
      <c r="G188" s="906">
        <v>186106</v>
      </c>
      <c r="H188" s="906">
        <v>393998</v>
      </c>
      <c r="I188" s="902">
        <v>2.12</v>
      </c>
      <c r="J188" s="906">
        <v>179707</v>
      </c>
      <c r="K188" s="906">
        <v>379473</v>
      </c>
      <c r="L188" s="902">
        <v>2.11</v>
      </c>
      <c r="M188" s="906">
        <v>144733</v>
      </c>
      <c r="N188" s="906">
        <v>314824</v>
      </c>
      <c r="O188" s="902">
        <v>2.1800000000000002</v>
      </c>
      <c r="P188" s="907">
        <v>179255</v>
      </c>
      <c r="Q188" s="907">
        <v>379120</v>
      </c>
      <c r="R188" s="905">
        <v>2.11</v>
      </c>
      <c r="T188" s="902">
        <v>531.29999999999995</v>
      </c>
      <c r="U188" s="901">
        <v>1163</v>
      </c>
      <c r="V188" s="902">
        <v>2.19</v>
      </c>
      <c r="W188" s="906">
        <v>131965</v>
      </c>
      <c r="X188" s="906">
        <v>292211</v>
      </c>
      <c r="Y188" s="902">
        <v>2.21</v>
      </c>
      <c r="Z188" s="906">
        <v>126745</v>
      </c>
      <c r="AA188" s="906">
        <v>267637</v>
      </c>
      <c r="AB188" s="902">
        <v>2.11</v>
      </c>
      <c r="AC188" s="906">
        <v>150711</v>
      </c>
      <c r="AD188" s="906">
        <v>330571</v>
      </c>
      <c r="AE188" s="902">
        <v>2.19</v>
      </c>
      <c r="AF188" s="907">
        <v>2390</v>
      </c>
      <c r="AG188" s="907">
        <v>6221</v>
      </c>
      <c r="AH188" s="905">
        <v>2.6</v>
      </c>
      <c r="AI188" s="901">
        <v>1543.1</v>
      </c>
      <c r="AJ188" s="901">
        <v>3372.8</v>
      </c>
      <c r="AK188" s="902">
        <v>2.19</v>
      </c>
      <c r="AL188" s="906">
        <v>318071</v>
      </c>
      <c r="AM188" s="906">
        <v>686209</v>
      </c>
      <c r="AN188" s="902">
        <v>2.16</v>
      </c>
      <c r="AP188" s="900">
        <v>2018</v>
      </c>
      <c r="AQ188" s="900" t="s">
        <v>1465</v>
      </c>
      <c r="AR188" s="906">
        <v>306453</v>
      </c>
      <c r="AS188" s="906">
        <v>647110</v>
      </c>
      <c r="AT188" s="902">
        <v>2.11</v>
      </c>
      <c r="AV188" s="900">
        <v>2018</v>
      </c>
      <c r="AW188" s="900" t="s">
        <v>1465</v>
      </c>
      <c r="AX188" s="906">
        <v>295445</v>
      </c>
      <c r="AY188" s="906">
        <v>645395</v>
      </c>
      <c r="AZ188" s="902">
        <v>2.1800000000000002</v>
      </c>
      <c r="BB188" s="903">
        <v>2018</v>
      </c>
      <c r="BC188" s="903" t="s">
        <v>1465</v>
      </c>
      <c r="BD188" s="907">
        <v>181645</v>
      </c>
      <c r="BE188" s="907">
        <v>385341</v>
      </c>
      <c r="BF188" s="905">
        <v>2.12</v>
      </c>
    </row>
    <row r="189" spans="2:58" ht="10.9" thickBot="1">
      <c r="B189" s="903">
        <v>2018</v>
      </c>
      <c r="C189" s="263">
        <f t="shared" si="2"/>
        <v>43281</v>
      </c>
      <c r="D189" s="909">
        <v>1038.5999999999999</v>
      </c>
      <c r="E189" s="909">
        <v>2288.3000000000002</v>
      </c>
      <c r="F189" s="914">
        <v>2.2000000000000002</v>
      </c>
      <c r="G189" s="907">
        <v>191942</v>
      </c>
      <c r="H189" s="907">
        <v>413055</v>
      </c>
      <c r="I189" s="905">
        <v>2.15</v>
      </c>
      <c r="J189" s="907">
        <v>189495</v>
      </c>
      <c r="K189" s="907">
        <v>410200</v>
      </c>
      <c r="L189" s="905">
        <v>2.16</v>
      </c>
      <c r="M189" s="907">
        <v>154057</v>
      </c>
      <c r="N189" s="907">
        <v>335404</v>
      </c>
      <c r="O189" s="905">
        <v>2.1800000000000002</v>
      </c>
      <c r="P189" s="906">
        <v>181822</v>
      </c>
      <c r="Q189" s="906">
        <v>394591</v>
      </c>
      <c r="R189" s="902">
        <v>2.17</v>
      </c>
      <c r="T189" s="905">
        <v>548.5</v>
      </c>
      <c r="U189" s="904">
        <v>1222.2</v>
      </c>
      <c r="V189" s="905">
        <v>2.23</v>
      </c>
      <c r="W189" s="907">
        <v>134722</v>
      </c>
      <c r="X189" s="907">
        <v>301178</v>
      </c>
      <c r="Y189" s="905">
        <v>2.2400000000000002</v>
      </c>
      <c r="Z189" s="907">
        <v>134727</v>
      </c>
      <c r="AA189" s="907">
        <v>291643</v>
      </c>
      <c r="AB189" s="905">
        <v>2.16</v>
      </c>
      <c r="AC189" s="907">
        <v>156089</v>
      </c>
      <c r="AD189" s="907">
        <v>349055</v>
      </c>
      <c r="AE189" s="905">
        <v>2.2400000000000002</v>
      </c>
      <c r="AF189" s="906">
        <v>2966</v>
      </c>
      <c r="AG189" s="906">
        <v>7726</v>
      </c>
      <c r="AH189" s="902">
        <v>2.6</v>
      </c>
      <c r="AI189" s="904">
        <v>1587.2</v>
      </c>
      <c r="AJ189" s="904">
        <v>3510.5</v>
      </c>
      <c r="AK189" s="905">
        <v>2.21</v>
      </c>
      <c r="AL189" s="907">
        <v>326665</v>
      </c>
      <c r="AM189" s="907">
        <v>714233</v>
      </c>
      <c r="AN189" s="905">
        <v>2.19</v>
      </c>
      <c r="AP189" s="903">
        <v>2018</v>
      </c>
      <c r="AQ189" s="903" t="s">
        <v>1476</v>
      </c>
      <c r="AR189" s="907">
        <v>324222</v>
      </c>
      <c r="AS189" s="907">
        <v>701843</v>
      </c>
      <c r="AT189" s="905">
        <v>2.16</v>
      </c>
      <c r="AV189" s="903">
        <v>2018</v>
      </c>
      <c r="AW189" s="903" t="s">
        <v>1476</v>
      </c>
      <c r="AX189" s="907">
        <v>310146</v>
      </c>
      <c r="AY189" s="907">
        <v>684459</v>
      </c>
      <c r="AZ189" s="905">
        <v>2.21</v>
      </c>
      <c r="BB189" s="900">
        <v>2018</v>
      </c>
      <c r="BC189" s="900" t="s">
        <v>1476</v>
      </c>
      <c r="BD189" s="906">
        <v>184788</v>
      </c>
      <c r="BE189" s="906">
        <v>402316</v>
      </c>
      <c r="BF189" s="902">
        <v>2.1800000000000002</v>
      </c>
    </row>
    <row r="190" spans="2:58" ht="10.9" thickBot="1">
      <c r="B190" s="900">
        <v>2018</v>
      </c>
      <c r="C190" s="263">
        <f t="shared" si="2"/>
        <v>43312</v>
      </c>
      <c r="D190" s="909">
        <v>1078.4000000000001</v>
      </c>
      <c r="E190" s="909">
        <v>2365.1</v>
      </c>
      <c r="F190" s="914">
        <v>2.19</v>
      </c>
      <c r="G190" s="906">
        <v>200043</v>
      </c>
      <c r="H190" s="906">
        <v>423967</v>
      </c>
      <c r="I190" s="902">
        <v>2.12</v>
      </c>
      <c r="J190" s="906">
        <v>200213</v>
      </c>
      <c r="K190" s="906">
        <v>451144</v>
      </c>
      <c r="L190" s="902">
        <v>2.25</v>
      </c>
      <c r="M190" s="906">
        <v>160016</v>
      </c>
      <c r="N190" s="906">
        <v>345244</v>
      </c>
      <c r="O190" s="902">
        <v>2.16</v>
      </c>
      <c r="P190" s="907">
        <v>188793</v>
      </c>
      <c r="Q190" s="907">
        <v>401007</v>
      </c>
      <c r="R190" s="905">
        <v>2.12</v>
      </c>
      <c r="T190" s="902">
        <v>575.79999999999995</v>
      </c>
      <c r="U190" s="901">
        <v>1277.8</v>
      </c>
      <c r="V190" s="902">
        <v>2.2200000000000002</v>
      </c>
      <c r="W190" s="906">
        <v>140136</v>
      </c>
      <c r="X190" s="906">
        <v>309790</v>
      </c>
      <c r="Y190" s="902">
        <v>2.21</v>
      </c>
      <c r="Z190" s="906">
        <v>142368</v>
      </c>
      <c r="AA190" s="906">
        <v>320801</v>
      </c>
      <c r="AB190" s="902">
        <v>2.25</v>
      </c>
      <c r="AC190" s="906">
        <v>165141</v>
      </c>
      <c r="AD190" s="906">
        <v>361614</v>
      </c>
      <c r="AE190" s="902">
        <v>2.19</v>
      </c>
      <c r="AF190" s="907">
        <v>3011</v>
      </c>
      <c r="AG190" s="907">
        <v>7786</v>
      </c>
      <c r="AH190" s="905">
        <v>2.59</v>
      </c>
      <c r="AI190" s="901">
        <v>1654.2</v>
      </c>
      <c r="AJ190" s="901">
        <v>3643</v>
      </c>
      <c r="AK190" s="902">
        <v>2.2000000000000002</v>
      </c>
      <c r="AL190" s="906">
        <v>340179</v>
      </c>
      <c r="AM190" s="906">
        <v>733757</v>
      </c>
      <c r="AN190" s="902">
        <v>2.16</v>
      </c>
      <c r="AP190" s="900">
        <v>2018</v>
      </c>
      <c r="AQ190" s="900" t="s">
        <v>1477</v>
      </c>
      <c r="AR190" s="906">
        <v>342581</v>
      </c>
      <c r="AS190" s="906">
        <v>771945</v>
      </c>
      <c r="AT190" s="902">
        <v>2.25</v>
      </c>
      <c r="AV190" s="900">
        <v>2018</v>
      </c>
      <c r="AW190" s="900" t="s">
        <v>1477</v>
      </c>
      <c r="AX190" s="906">
        <v>325157</v>
      </c>
      <c r="AY190" s="906">
        <v>706858</v>
      </c>
      <c r="AZ190" s="902">
        <v>2.17</v>
      </c>
      <c r="BB190" s="903">
        <v>2018</v>
      </c>
      <c r="BC190" s="903" t="s">
        <v>1477</v>
      </c>
      <c r="BD190" s="907">
        <v>191804</v>
      </c>
      <c r="BE190" s="907">
        <v>408793</v>
      </c>
      <c r="BF190" s="905">
        <v>2.13</v>
      </c>
    </row>
    <row r="191" spans="2:58" ht="10.9" thickBot="1">
      <c r="B191" s="903">
        <v>2018</v>
      </c>
      <c r="C191" s="263">
        <f t="shared" si="2"/>
        <v>43343</v>
      </c>
      <c r="D191" s="909">
        <v>1071.0999999999999</v>
      </c>
      <c r="E191" s="909">
        <v>2349.1999999999998</v>
      </c>
      <c r="F191" s="914">
        <v>2.19</v>
      </c>
      <c r="G191" s="907">
        <v>200031</v>
      </c>
      <c r="H191" s="907">
        <v>425452</v>
      </c>
      <c r="I191" s="905">
        <v>2.13</v>
      </c>
      <c r="J191" s="907">
        <v>200759</v>
      </c>
      <c r="K191" s="907">
        <v>437348</v>
      </c>
      <c r="L191" s="905">
        <v>2.1800000000000002</v>
      </c>
      <c r="M191" s="907">
        <v>159273</v>
      </c>
      <c r="N191" s="907">
        <v>344423</v>
      </c>
      <c r="O191" s="905">
        <v>2.16</v>
      </c>
      <c r="P191" s="906">
        <v>177342</v>
      </c>
      <c r="Q191" s="906">
        <v>384096</v>
      </c>
      <c r="R191" s="902">
        <v>2.17</v>
      </c>
      <c r="T191" s="905">
        <v>559.5</v>
      </c>
      <c r="U191" s="904">
        <v>1231.5</v>
      </c>
      <c r="V191" s="905">
        <v>2.2000000000000002</v>
      </c>
      <c r="W191" s="907">
        <v>134341</v>
      </c>
      <c r="X191" s="907">
        <v>297568</v>
      </c>
      <c r="Y191" s="905">
        <v>2.2200000000000002</v>
      </c>
      <c r="Z191" s="907">
        <v>142546</v>
      </c>
      <c r="AA191" s="907">
        <v>310533</v>
      </c>
      <c r="AB191" s="905">
        <v>2.1800000000000002</v>
      </c>
      <c r="AC191" s="907">
        <v>158252</v>
      </c>
      <c r="AD191" s="907">
        <v>346737</v>
      </c>
      <c r="AE191" s="905">
        <v>2.19</v>
      </c>
      <c r="AF191" s="906">
        <v>1930</v>
      </c>
      <c r="AG191" s="906">
        <v>4972</v>
      </c>
      <c r="AH191" s="902">
        <v>2.58</v>
      </c>
      <c r="AI191" s="904">
        <v>1630.6</v>
      </c>
      <c r="AJ191" s="904">
        <v>3580.7</v>
      </c>
      <c r="AK191" s="905">
        <v>2.2000000000000002</v>
      </c>
      <c r="AL191" s="907">
        <v>334372</v>
      </c>
      <c r="AM191" s="907">
        <v>723020</v>
      </c>
      <c r="AN191" s="905">
        <v>2.16</v>
      </c>
      <c r="AP191" s="903">
        <v>2018</v>
      </c>
      <c r="AQ191" s="903" t="s">
        <v>1478</v>
      </c>
      <c r="AR191" s="907">
        <v>343305</v>
      </c>
      <c r="AS191" s="907">
        <v>747880</v>
      </c>
      <c r="AT191" s="905">
        <v>2.1800000000000002</v>
      </c>
      <c r="AV191" s="903">
        <v>2018</v>
      </c>
      <c r="AW191" s="903" t="s">
        <v>1478</v>
      </c>
      <c r="AX191" s="907">
        <v>317525</v>
      </c>
      <c r="AY191" s="907">
        <v>691160</v>
      </c>
      <c r="AZ191" s="905">
        <v>2.1800000000000002</v>
      </c>
      <c r="BB191" s="900">
        <v>2018</v>
      </c>
      <c r="BC191" s="900" t="s">
        <v>1478</v>
      </c>
      <c r="BD191" s="906">
        <v>179272</v>
      </c>
      <c r="BE191" s="906">
        <v>389067</v>
      </c>
      <c r="BF191" s="902">
        <v>2.17</v>
      </c>
    </row>
    <row r="192" spans="2:58" ht="10.9" thickBot="1">
      <c r="B192" s="900">
        <v>2018</v>
      </c>
      <c r="C192" s="263">
        <f t="shared" si="2"/>
        <v>43373</v>
      </c>
      <c r="D192" s="909">
        <v>950.1</v>
      </c>
      <c r="E192" s="909">
        <v>2104.8000000000002</v>
      </c>
      <c r="F192" s="914">
        <v>2.2200000000000002</v>
      </c>
      <c r="G192" s="906">
        <v>181029</v>
      </c>
      <c r="H192" s="906">
        <v>394119</v>
      </c>
      <c r="I192" s="902">
        <v>2.1800000000000002</v>
      </c>
      <c r="J192" s="906">
        <v>168810</v>
      </c>
      <c r="K192" s="906">
        <v>376816</v>
      </c>
      <c r="L192" s="902">
        <v>2.23</v>
      </c>
      <c r="M192" s="906">
        <v>141270</v>
      </c>
      <c r="N192" s="906">
        <v>313606</v>
      </c>
      <c r="O192" s="902">
        <v>2.2200000000000002</v>
      </c>
      <c r="P192" s="907">
        <v>162637</v>
      </c>
      <c r="Q192" s="907">
        <v>348298</v>
      </c>
      <c r="R192" s="905">
        <v>2.14</v>
      </c>
      <c r="T192" s="902">
        <v>503</v>
      </c>
      <c r="U192" s="901">
        <v>1127.3</v>
      </c>
      <c r="V192" s="902">
        <v>2.2400000000000002</v>
      </c>
      <c r="W192" s="906">
        <v>120665</v>
      </c>
      <c r="X192" s="906">
        <v>271006</v>
      </c>
      <c r="Y192" s="902">
        <v>2.25</v>
      </c>
      <c r="Z192" s="906">
        <v>123230</v>
      </c>
      <c r="AA192" s="906">
        <v>275073</v>
      </c>
      <c r="AB192" s="902">
        <v>2.23</v>
      </c>
      <c r="AC192" s="906">
        <v>142484</v>
      </c>
      <c r="AD192" s="906">
        <v>317510</v>
      </c>
      <c r="AE192" s="902">
        <v>2.23</v>
      </c>
      <c r="AF192" s="907">
        <v>1342</v>
      </c>
      <c r="AG192" s="907">
        <v>3591</v>
      </c>
      <c r="AH192" s="905">
        <v>2.68</v>
      </c>
      <c r="AI192" s="901">
        <v>1453.1</v>
      </c>
      <c r="AJ192" s="901">
        <v>3232.1</v>
      </c>
      <c r="AK192" s="902">
        <v>2.2200000000000002</v>
      </c>
      <c r="AL192" s="906">
        <v>301694</v>
      </c>
      <c r="AM192" s="906">
        <v>665126</v>
      </c>
      <c r="AN192" s="902">
        <v>2.2000000000000002</v>
      </c>
      <c r="AP192" s="900">
        <v>2018</v>
      </c>
      <c r="AQ192" s="900" t="s">
        <v>1479</v>
      </c>
      <c r="AR192" s="906">
        <v>292040</v>
      </c>
      <c r="AS192" s="906">
        <v>651890</v>
      </c>
      <c r="AT192" s="902">
        <v>2.23</v>
      </c>
      <c r="AV192" s="900">
        <v>2018</v>
      </c>
      <c r="AW192" s="900" t="s">
        <v>1479</v>
      </c>
      <c r="AX192" s="906">
        <v>283753</v>
      </c>
      <c r="AY192" s="906">
        <v>631116</v>
      </c>
      <c r="AZ192" s="902">
        <v>2.2200000000000002</v>
      </c>
      <c r="BB192" s="903">
        <v>2018</v>
      </c>
      <c r="BC192" s="903" t="s">
        <v>1479</v>
      </c>
      <c r="BD192" s="907">
        <v>163979</v>
      </c>
      <c r="BE192" s="907">
        <v>351889</v>
      </c>
      <c r="BF192" s="905">
        <v>2.15</v>
      </c>
    </row>
    <row r="193" spans="2:58" ht="10.9" thickBot="1">
      <c r="B193" s="903">
        <v>2018</v>
      </c>
      <c r="C193" s="263">
        <f t="shared" si="2"/>
        <v>43404</v>
      </c>
      <c r="D193" s="909">
        <v>1003.8</v>
      </c>
      <c r="E193" s="909">
        <v>2350.6999999999998</v>
      </c>
      <c r="F193" s="914">
        <v>2.34</v>
      </c>
      <c r="G193" s="907">
        <v>190202</v>
      </c>
      <c r="H193" s="907">
        <v>429957</v>
      </c>
      <c r="I193" s="905">
        <v>2.2599999999999998</v>
      </c>
      <c r="J193" s="907">
        <v>175618</v>
      </c>
      <c r="K193" s="907">
        <v>428203</v>
      </c>
      <c r="L193" s="905">
        <v>2.44</v>
      </c>
      <c r="M193" s="907">
        <v>148706</v>
      </c>
      <c r="N193" s="907">
        <v>343662</v>
      </c>
      <c r="O193" s="905">
        <v>2.31</v>
      </c>
      <c r="P193" s="906">
        <v>175167</v>
      </c>
      <c r="Q193" s="906">
        <v>385416</v>
      </c>
      <c r="R193" s="902">
        <v>2.2000000000000002</v>
      </c>
      <c r="T193" s="905">
        <v>501.4</v>
      </c>
      <c r="U193" s="904">
        <v>1184.8</v>
      </c>
      <c r="V193" s="905">
        <v>2.36</v>
      </c>
      <c r="W193" s="907">
        <v>118895</v>
      </c>
      <c r="X193" s="907">
        <v>277620</v>
      </c>
      <c r="Y193" s="905">
        <v>2.34</v>
      </c>
      <c r="Z193" s="907">
        <v>114588</v>
      </c>
      <c r="AA193" s="907">
        <v>279396</v>
      </c>
      <c r="AB193" s="905">
        <v>2.44</v>
      </c>
      <c r="AC193" s="907">
        <v>145952</v>
      </c>
      <c r="AD193" s="907">
        <v>340275</v>
      </c>
      <c r="AE193" s="905">
        <v>2.33</v>
      </c>
      <c r="AF193" s="906">
        <v>1525</v>
      </c>
      <c r="AG193" s="906">
        <v>4291</v>
      </c>
      <c r="AH193" s="902">
        <v>2.81</v>
      </c>
      <c r="AI193" s="904">
        <v>1505.2</v>
      </c>
      <c r="AJ193" s="904">
        <v>3535.4</v>
      </c>
      <c r="AK193" s="905">
        <v>2.35</v>
      </c>
      <c r="AL193" s="907">
        <v>309097</v>
      </c>
      <c r="AM193" s="907">
        <v>707578</v>
      </c>
      <c r="AN193" s="905">
        <v>2.29</v>
      </c>
      <c r="AP193" s="903">
        <v>2018</v>
      </c>
      <c r="AQ193" s="903" t="s">
        <v>1480</v>
      </c>
      <c r="AR193" s="907">
        <v>290206</v>
      </c>
      <c r="AS193" s="907">
        <v>707599</v>
      </c>
      <c r="AT193" s="905">
        <v>2.44</v>
      </c>
      <c r="AV193" s="903">
        <v>2018</v>
      </c>
      <c r="AW193" s="903" t="s">
        <v>1480</v>
      </c>
      <c r="AX193" s="907">
        <v>294658</v>
      </c>
      <c r="AY193" s="907">
        <v>683937</v>
      </c>
      <c r="AZ193" s="905">
        <v>2.3199999999999998</v>
      </c>
      <c r="BB193" s="900">
        <v>2018</v>
      </c>
      <c r="BC193" s="900" t="s">
        <v>1480</v>
      </c>
      <c r="BD193" s="906">
        <v>176692</v>
      </c>
      <c r="BE193" s="906">
        <v>389707</v>
      </c>
      <c r="BF193" s="902">
        <v>2.21</v>
      </c>
    </row>
    <row r="194" spans="2:58" ht="10.9" thickBot="1">
      <c r="B194" s="900">
        <v>2018</v>
      </c>
      <c r="C194" s="263">
        <f t="shared" si="2"/>
        <v>43434</v>
      </c>
      <c r="D194" s="909">
        <v>970.6</v>
      </c>
      <c r="E194" s="909">
        <v>2186.1</v>
      </c>
      <c r="F194" s="914">
        <v>2.25</v>
      </c>
      <c r="G194" s="906">
        <v>178278</v>
      </c>
      <c r="H194" s="906">
        <v>381042</v>
      </c>
      <c r="I194" s="902">
        <v>2.14</v>
      </c>
      <c r="J194" s="906">
        <v>166545</v>
      </c>
      <c r="K194" s="906">
        <v>409718</v>
      </c>
      <c r="L194" s="902">
        <v>2.46</v>
      </c>
      <c r="M194" s="906">
        <v>137563</v>
      </c>
      <c r="N194" s="906">
        <v>304097</v>
      </c>
      <c r="O194" s="902">
        <v>2.21</v>
      </c>
      <c r="P194" s="907">
        <v>172865</v>
      </c>
      <c r="Q194" s="907">
        <v>386223</v>
      </c>
      <c r="R194" s="905">
        <v>2.23</v>
      </c>
      <c r="T194" s="902">
        <v>450.6</v>
      </c>
      <c r="U194" s="901">
        <v>1037.7</v>
      </c>
      <c r="V194" s="902">
        <v>2.2999999999999998</v>
      </c>
      <c r="W194" s="906">
        <v>96316</v>
      </c>
      <c r="X194" s="906">
        <v>216120</v>
      </c>
      <c r="Y194" s="902">
        <v>2.2400000000000002</v>
      </c>
      <c r="Z194" s="906">
        <v>94105</v>
      </c>
      <c r="AA194" s="906">
        <v>231510</v>
      </c>
      <c r="AB194" s="902">
        <v>2.46</v>
      </c>
      <c r="AC194" s="906">
        <v>134666</v>
      </c>
      <c r="AD194" s="906">
        <v>309771</v>
      </c>
      <c r="AE194" s="902">
        <v>2.2999999999999998</v>
      </c>
      <c r="AF194" s="907">
        <v>2076</v>
      </c>
      <c r="AG194" s="907">
        <v>5543</v>
      </c>
      <c r="AH194" s="905">
        <v>2.67</v>
      </c>
      <c r="AI194" s="901">
        <v>1421.2</v>
      </c>
      <c r="AJ194" s="901">
        <v>3223.9</v>
      </c>
      <c r="AK194" s="902">
        <v>2.27</v>
      </c>
      <c r="AL194" s="906">
        <v>274594</v>
      </c>
      <c r="AM194" s="906">
        <v>597162</v>
      </c>
      <c r="AN194" s="902">
        <v>2.17</v>
      </c>
      <c r="AP194" s="900">
        <v>2018</v>
      </c>
      <c r="AQ194" s="900" t="s">
        <v>1481</v>
      </c>
      <c r="AR194" s="906">
        <v>260650</v>
      </c>
      <c r="AS194" s="906">
        <v>641228</v>
      </c>
      <c r="AT194" s="902">
        <v>2.46</v>
      </c>
      <c r="AV194" s="900">
        <v>2018</v>
      </c>
      <c r="AW194" s="900" t="s">
        <v>1481</v>
      </c>
      <c r="AX194" s="906">
        <v>272229</v>
      </c>
      <c r="AY194" s="906">
        <v>613869</v>
      </c>
      <c r="AZ194" s="902">
        <v>2.25</v>
      </c>
      <c r="BB194" s="903">
        <v>2018</v>
      </c>
      <c r="BC194" s="903" t="s">
        <v>1481</v>
      </c>
      <c r="BD194" s="907">
        <v>174941</v>
      </c>
      <c r="BE194" s="907">
        <v>391766</v>
      </c>
      <c r="BF194" s="905">
        <v>2.2400000000000002</v>
      </c>
    </row>
    <row r="195" spans="2:58" ht="11.2" customHeight="1" thickBot="1">
      <c r="B195" s="903">
        <v>2018</v>
      </c>
      <c r="C195" s="263">
        <f t="shared" si="2"/>
        <v>43465</v>
      </c>
      <c r="D195" s="909">
        <v>1006.7</v>
      </c>
      <c r="E195" s="909">
        <v>2047.3</v>
      </c>
      <c r="F195" s="914">
        <v>2.0299999999999998</v>
      </c>
      <c r="G195" s="907">
        <v>183225</v>
      </c>
      <c r="H195" s="907">
        <v>345961</v>
      </c>
      <c r="I195" s="905">
        <v>1.89</v>
      </c>
      <c r="J195" s="907">
        <v>169261</v>
      </c>
      <c r="K195" s="907">
        <v>414327</v>
      </c>
      <c r="L195" s="905">
        <v>2.4500000000000002</v>
      </c>
      <c r="M195" s="907">
        <v>142855</v>
      </c>
      <c r="N195" s="907">
        <v>275411</v>
      </c>
      <c r="O195" s="905">
        <v>1.93</v>
      </c>
      <c r="P195" s="906">
        <v>173204</v>
      </c>
      <c r="Q195" s="906">
        <v>351340</v>
      </c>
      <c r="R195" s="902">
        <v>2.0299999999999998</v>
      </c>
      <c r="T195" s="905">
        <v>482.6</v>
      </c>
      <c r="U195" s="904">
        <v>1014.7</v>
      </c>
      <c r="V195" s="905">
        <v>2.1</v>
      </c>
      <c r="W195" s="907">
        <v>107797</v>
      </c>
      <c r="X195" s="907">
        <v>213808</v>
      </c>
      <c r="Y195" s="905">
        <v>1.98</v>
      </c>
      <c r="Z195" s="907">
        <v>104149</v>
      </c>
      <c r="AA195" s="907">
        <v>254941</v>
      </c>
      <c r="AB195" s="905">
        <v>2.4500000000000002</v>
      </c>
      <c r="AC195" s="907">
        <v>144587</v>
      </c>
      <c r="AD195" s="907">
        <v>291478</v>
      </c>
      <c r="AE195" s="905">
        <v>2.02</v>
      </c>
      <c r="AF195" s="906">
        <v>2441</v>
      </c>
      <c r="AG195" s="906">
        <v>5730</v>
      </c>
      <c r="AH195" s="902">
        <v>2.35</v>
      </c>
      <c r="AI195" s="904">
        <v>1489.2</v>
      </c>
      <c r="AJ195" s="904">
        <v>3062</v>
      </c>
      <c r="AK195" s="905">
        <v>2.06</v>
      </c>
      <c r="AL195" s="907">
        <v>291022</v>
      </c>
      <c r="AM195" s="907">
        <v>559768</v>
      </c>
      <c r="AN195" s="905">
        <v>1.92</v>
      </c>
      <c r="AP195" s="903">
        <v>2018</v>
      </c>
      <c r="AQ195" s="903" t="s">
        <v>1482</v>
      </c>
      <c r="AR195" s="907">
        <v>273409</v>
      </c>
      <c r="AS195" s="907">
        <v>669268</v>
      </c>
      <c r="AT195" s="905">
        <v>2.4500000000000002</v>
      </c>
      <c r="AV195" s="903">
        <v>2018</v>
      </c>
      <c r="AW195" s="903" t="s">
        <v>1482</v>
      </c>
      <c r="AX195" s="907">
        <v>287442</v>
      </c>
      <c r="AY195" s="907">
        <v>566889</v>
      </c>
      <c r="AZ195" s="905">
        <v>1.97</v>
      </c>
      <c r="BB195" s="900">
        <v>2018</v>
      </c>
      <c r="BC195" s="900" t="s">
        <v>1482</v>
      </c>
      <c r="BD195" s="906">
        <v>175645</v>
      </c>
      <c r="BE195" s="906">
        <v>357070</v>
      </c>
      <c r="BF195" s="902">
        <v>2.0299999999999998</v>
      </c>
    </row>
    <row r="196" spans="2:58" ht="10.9" thickBot="1">
      <c r="B196" s="900">
        <v>2019</v>
      </c>
      <c r="C196" s="263">
        <f t="shared" si="2"/>
        <v>43496</v>
      </c>
      <c r="D196" s="909">
        <v>947.7</v>
      </c>
      <c r="E196" s="909">
        <v>1808.5</v>
      </c>
      <c r="F196" s="914">
        <v>1.91</v>
      </c>
      <c r="G196" s="906">
        <v>181805</v>
      </c>
      <c r="H196" s="906">
        <v>330994</v>
      </c>
      <c r="I196" s="902">
        <v>1.82</v>
      </c>
      <c r="J196" s="906">
        <v>165836</v>
      </c>
      <c r="K196" s="906">
        <v>340012</v>
      </c>
      <c r="L196" s="902">
        <v>2.0499999999999998</v>
      </c>
      <c r="M196" s="906">
        <v>127591</v>
      </c>
      <c r="N196" s="906">
        <v>234727</v>
      </c>
      <c r="O196" s="902">
        <v>1.84</v>
      </c>
      <c r="P196" s="907">
        <v>162877</v>
      </c>
      <c r="Q196" s="907">
        <v>311258</v>
      </c>
      <c r="R196" s="905">
        <v>1.91</v>
      </c>
      <c r="T196" s="902">
        <v>475.8</v>
      </c>
      <c r="U196" s="902">
        <v>908.2</v>
      </c>
      <c r="V196" s="902">
        <v>1.91</v>
      </c>
      <c r="W196" s="906">
        <v>104103</v>
      </c>
      <c r="X196" s="906">
        <v>195765</v>
      </c>
      <c r="Y196" s="902">
        <v>1.88</v>
      </c>
      <c r="Z196" s="906">
        <v>105642</v>
      </c>
      <c r="AA196" s="906">
        <v>216596</v>
      </c>
      <c r="AB196" s="902">
        <v>2.0499999999999998</v>
      </c>
      <c r="AC196" s="906">
        <v>141249</v>
      </c>
      <c r="AD196" s="906">
        <v>263631</v>
      </c>
      <c r="AE196" s="902">
        <v>1.87</v>
      </c>
      <c r="AF196" s="907">
        <v>1790</v>
      </c>
      <c r="AG196" s="907">
        <v>4071</v>
      </c>
      <c r="AH196" s="905">
        <v>2.27</v>
      </c>
      <c r="AI196" s="901">
        <v>1423.5</v>
      </c>
      <c r="AJ196" s="901">
        <v>2716.7</v>
      </c>
      <c r="AK196" s="902">
        <v>1.91</v>
      </c>
      <c r="AL196" s="906">
        <v>285909</v>
      </c>
      <c r="AM196" s="906">
        <v>526758</v>
      </c>
      <c r="AN196" s="902">
        <v>1.84</v>
      </c>
      <c r="AP196" s="900">
        <v>2019</v>
      </c>
      <c r="AQ196" s="900" t="s">
        <v>1472</v>
      </c>
      <c r="AR196" s="906">
        <v>271478</v>
      </c>
      <c r="AS196" s="906">
        <v>556608</v>
      </c>
      <c r="AT196" s="902">
        <v>2.0499999999999998</v>
      </c>
      <c r="AV196" s="900">
        <v>2019</v>
      </c>
      <c r="AW196" s="900" t="s">
        <v>1472</v>
      </c>
      <c r="AX196" s="906">
        <v>268840</v>
      </c>
      <c r="AY196" s="906">
        <v>498358</v>
      </c>
      <c r="AZ196" s="902">
        <v>1.85</v>
      </c>
      <c r="BB196" s="903">
        <v>2019</v>
      </c>
      <c r="BC196" s="903" t="s">
        <v>1472</v>
      </c>
      <c r="BD196" s="907">
        <v>164667</v>
      </c>
      <c r="BE196" s="907">
        <v>315329</v>
      </c>
      <c r="BF196" s="905">
        <v>1.91</v>
      </c>
    </row>
    <row r="197" spans="2:58" ht="10.9" thickBot="1">
      <c r="B197" s="903">
        <v>2019</v>
      </c>
      <c r="C197" s="263">
        <f t="shared" ref="C197:C233" si="3">EOMONTH(C196,1)</f>
        <v>43524</v>
      </c>
      <c r="D197" s="909">
        <v>874.7</v>
      </c>
      <c r="E197" s="909">
        <v>1741</v>
      </c>
      <c r="F197" s="914">
        <v>1.99</v>
      </c>
      <c r="G197" s="907">
        <v>171405</v>
      </c>
      <c r="H197" s="907">
        <v>327027</v>
      </c>
      <c r="I197" s="905">
        <v>1.91</v>
      </c>
      <c r="J197" s="907">
        <v>152323</v>
      </c>
      <c r="K197" s="907">
        <v>313961</v>
      </c>
      <c r="L197" s="905">
        <v>2.06</v>
      </c>
      <c r="M197" s="907">
        <v>119312</v>
      </c>
      <c r="N197" s="907">
        <v>229839</v>
      </c>
      <c r="O197" s="905">
        <v>1.93</v>
      </c>
      <c r="P197" s="906">
        <v>146809</v>
      </c>
      <c r="Q197" s="906">
        <v>289140</v>
      </c>
      <c r="R197" s="902">
        <v>1.97</v>
      </c>
      <c r="T197" s="905">
        <v>415.9</v>
      </c>
      <c r="U197" s="905">
        <v>819.8</v>
      </c>
      <c r="V197" s="905">
        <v>1.97</v>
      </c>
      <c r="W197" s="907">
        <v>92316</v>
      </c>
      <c r="X197" s="907">
        <v>178852</v>
      </c>
      <c r="Y197" s="905">
        <v>1.94</v>
      </c>
      <c r="Z197" s="907">
        <v>93274</v>
      </c>
      <c r="AA197" s="907">
        <v>192253</v>
      </c>
      <c r="AB197" s="905">
        <v>2.06</v>
      </c>
      <c r="AC197" s="907">
        <v>124309</v>
      </c>
      <c r="AD197" s="907">
        <v>240943</v>
      </c>
      <c r="AE197" s="905">
        <v>1.94</v>
      </c>
      <c r="AF197" s="906">
        <v>1760</v>
      </c>
      <c r="AG197" s="906">
        <v>4223</v>
      </c>
      <c r="AH197" s="902">
        <v>2.4</v>
      </c>
      <c r="AI197" s="904">
        <v>1290.5999999999999</v>
      </c>
      <c r="AJ197" s="904">
        <v>2560.8000000000002</v>
      </c>
      <c r="AK197" s="905">
        <v>1.98</v>
      </c>
      <c r="AL197" s="907">
        <v>263721</v>
      </c>
      <c r="AM197" s="907">
        <v>505879</v>
      </c>
      <c r="AN197" s="905">
        <v>1.92</v>
      </c>
      <c r="AP197" s="903">
        <v>2019</v>
      </c>
      <c r="AQ197" s="903" t="s">
        <v>1473</v>
      </c>
      <c r="AR197" s="907">
        <v>245597</v>
      </c>
      <c r="AS197" s="907">
        <v>506214</v>
      </c>
      <c r="AT197" s="905">
        <v>2.06</v>
      </c>
      <c r="AV197" s="903">
        <v>2019</v>
      </c>
      <c r="AW197" s="903" t="s">
        <v>1473</v>
      </c>
      <c r="AX197" s="907">
        <v>243621</v>
      </c>
      <c r="AY197" s="907">
        <v>470782</v>
      </c>
      <c r="AZ197" s="905">
        <v>1.93</v>
      </c>
      <c r="BB197" s="900">
        <v>2019</v>
      </c>
      <c r="BC197" s="900" t="s">
        <v>1473</v>
      </c>
      <c r="BD197" s="906">
        <v>148568</v>
      </c>
      <c r="BE197" s="906">
        <v>293363</v>
      </c>
      <c r="BF197" s="902">
        <v>1.97</v>
      </c>
    </row>
    <row r="198" spans="2:58" ht="10.9" thickBot="1">
      <c r="B198" s="900">
        <v>2019</v>
      </c>
      <c r="C198" s="263">
        <f t="shared" si="3"/>
        <v>43555</v>
      </c>
      <c r="D198" s="909">
        <v>1031.9000000000001</v>
      </c>
      <c r="E198" s="909">
        <v>2087</v>
      </c>
      <c r="F198" s="914">
        <v>2.02</v>
      </c>
      <c r="G198" s="906">
        <v>193301</v>
      </c>
      <c r="H198" s="906">
        <v>377336</v>
      </c>
      <c r="I198" s="902">
        <v>1.95</v>
      </c>
      <c r="J198" s="906">
        <v>187116</v>
      </c>
      <c r="K198" s="906">
        <v>379216</v>
      </c>
      <c r="L198" s="902">
        <v>2.0299999999999998</v>
      </c>
      <c r="M198" s="906">
        <v>147713</v>
      </c>
      <c r="N198" s="906">
        <v>293660</v>
      </c>
      <c r="O198" s="902">
        <v>1.99</v>
      </c>
      <c r="P198" s="907">
        <v>177681</v>
      </c>
      <c r="Q198" s="907">
        <v>352912</v>
      </c>
      <c r="R198" s="905">
        <v>1.99</v>
      </c>
      <c r="T198" s="902">
        <v>494.4</v>
      </c>
      <c r="U198" s="901">
        <v>1003.5</v>
      </c>
      <c r="V198" s="902">
        <v>2.0299999999999998</v>
      </c>
      <c r="W198" s="906">
        <v>107873</v>
      </c>
      <c r="X198" s="906">
        <v>216860</v>
      </c>
      <c r="Y198" s="902">
        <v>2.0099999999999998</v>
      </c>
      <c r="Z198" s="906">
        <v>109874</v>
      </c>
      <c r="AA198" s="906">
        <v>222674</v>
      </c>
      <c r="AB198" s="902">
        <v>2.0299999999999998</v>
      </c>
      <c r="AC198" s="906">
        <v>149122</v>
      </c>
      <c r="AD198" s="906">
        <v>302027</v>
      </c>
      <c r="AE198" s="902">
        <v>2.0299999999999998</v>
      </c>
      <c r="AF198" s="907">
        <v>2488</v>
      </c>
      <c r="AG198" s="907">
        <v>6074</v>
      </c>
      <c r="AH198" s="905">
        <v>2.44</v>
      </c>
      <c r="AI198" s="901">
        <v>1526.2</v>
      </c>
      <c r="AJ198" s="901">
        <v>3090.4</v>
      </c>
      <c r="AK198" s="902">
        <v>2.02</v>
      </c>
      <c r="AL198" s="906">
        <v>301174</v>
      </c>
      <c r="AM198" s="906">
        <v>594195</v>
      </c>
      <c r="AN198" s="902">
        <v>1.97</v>
      </c>
      <c r="AP198" s="900">
        <v>2019</v>
      </c>
      <c r="AQ198" s="900" t="s">
        <v>1474</v>
      </c>
      <c r="AR198" s="906">
        <v>296991</v>
      </c>
      <c r="AS198" s="906">
        <v>601890</v>
      </c>
      <c r="AT198" s="902">
        <v>2.0299999999999998</v>
      </c>
      <c r="AV198" s="900">
        <v>2019</v>
      </c>
      <c r="AW198" s="900" t="s">
        <v>1474</v>
      </c>
      <c r="AX198" s="906">
        <v>296835</v>
      </c>
      <c r="AY198" s="906">
        <v>595687</v>
      </c>
      <c r="AZ198" s="902">
        <v>2.0099999999999998</v>
      </c>
      <c r="BB198" s="903">
        <v>2019</v>
      </c>
      <c r="BC198" s="903" t="s">
        <v>1474</v>
      </c>
      <c r="BD198" s="907">
        <v>180169</v>
      </c>
      <c r="BE198" s="907">
        <v>358985</v>
      </c>
      <c r="BF198" s="905">
        <v>1.99</v>
      </c>
    </row>
    <row r="199" spans="2:58" ht="10.9" thickBot="1">
      <c r="B199" s="903">
        <v>2019</v>
      </c>
      <c r="C199" s="263">
        <f t="shared" si="3"/>
        <v>43585</v>
      </c>
      <c r="D199" s="909">
        <v>992.3</v>
      </c>
      <c r="E199" s="909">
        <v>2042.2</v>
      </c>
      <c r="F199" s="914">
        <v>2.06</v>
      </c>
      <c r="G199" s="907">
        <v>180185</v>
      </c>
      <c r="H199" s="907">
        <v>362561</v>
      </c>
      <c r="I199" s="905">
        <v>2.0099999999999998</v>
      </c>
      <c r="J199" s="907">
        <v>178154</v>
      </c>
      <c r="K199" s="907">
        <v>359449</v>
      </c>
      <c r="L199" s="905">
        <v>2.02</v>
      </c>
      <c r="M199" s="907">
        <v>144590</v>
      </c>
      <c r="N199" s="907">
        <v>294431</v>
      </c>
      <c r="O199" s="905">
        <v>2.04</v>
      </c>
      <c r="P199" s="906">
        <v>171402</v>
      </c>
      <c r="Q199" s="906">
        <v>343357</v>
      </c>
      <c r="R199" s="902">
        <v>2</v>
      </c>
      <c r="T199" s="905">
        <v>493.8</v>
      </c>
      <c r="U199" s="904">
        <v>1013</v>
      </c>
      <c r="V199" s="905">
        <v>2.0499999999999998</v>
      </c>
      <c r="W199" s="907">
        <v>110327</v>
      </c>
      <c r="X199" s="907">
        <v>226407</v>
      </c>
      <c r="Y199" s="905">
        <v>2.0499999999999998</v>
      </c>
      <c r="Z199" s="907">
        <v>115758</v>
      </c>
      <c r="AA199" s="907">
        <v>233557</v>
      </c>
      <c r="AB199" s="905">
        <v>2.02</v>
      </c>
      <c r="AC199" s="907">
        <v>143561</v>
      </c>
      <c r="AD199" s="907">
        <v>295372</v>
      </c>
      <c r="AE199" s="905">
        <v>2.06</v>
      </c>
      <c r="AF199" s="906">
        <v>1932</v>
      </c>
      <c r="AG199" s="906">
        <v>4787</v>
      </c>
      <c r="AH199" s="902">
        <v>2.48</v>
      </c>
      <c r="AI199" s="904">
        <v>1486.1</v>
      </c>
      <c r="AJ199" s="904">
        <v>3055.1</v>
      </c>
      <c r="AK199" s="905">
        <v>2.06</v>
      </c>
      <c r="AL199" s="907">
        <v>290512</v>
      </c>
      <c r="AM199" s="907">
        <v>588968</v>
      </c>
      <c r="AN199" s="905">
        <v>2.0299999999999998</v>
      </c>
      <c r="AP199" s="903">
        <v>2019</v>
      </c>
      <c r="AQ199" s="903" t="s">
        <v>1475</v>
      </c>
      <c r="AR199" s="907">
        <v>293913</v>
      </c>
      <c r="AS199" s="907">
        <v>593007</v>
      </c>
      <c r="AT199" s="905">
        <v>2.02</v>
      </c>
      <c r="AV199" s="903">
        <v>2019</v>
      </c>
      <c r="AW199" s="903" t="s">
        <v>1475</v>
      </c>
      <c r="AX199" s="907">
        <v>288151</v>
      </c>
      <c r="AY199" s="907">
        <v>589803</v>
      </c>
      <c r="AZ199" s="905">
        <v>2.0499999999999998</v>
      </c>
      <c r="BB199" s="900">
        <v>2019</v>
      </c>
      <c r="BC199" s="900" t="s">
        <v>1475</v>
      </c>
      <c r="BD199" s="906">
        <v>173333</v>
      </c>
      <c r="BE199" s="906">
        <v>348144</v>
      </c>
      <c r="BF199" s="902">
        <v>2.0099999999999998</v>
      </c>
    </row>
    <row r="200" spans="2:58" ht="10.9" thickBot="1">
      <c r="B200" s="900">
        <v>2019</v>
      </c>
      <c r="C200" s="263">
        <f t="shared" si="3"/>
        <v>43616</v>
      </c>
      <c r="D200" s="909">
        <v>1047.0999999999999</v>
      </c>
      <c r="E200" s="909">
        <v>2217.3000000000002</v>
      </c>
      <c r="F200" s="914">
        <v>2.12</v>
      </c>
      <c r="G200" s="906">
        <v>195425</v>
      </c>
      <c r="H200" s="906">
        <v>400385</v>
      </c>
      <c r="I200" s="902">
        <v>2.0499999999999998</v>
      </c>
      <c r="J200" s="906">
        <v>186759</v>
      </c>
      <c r="K200" s="906">
        <v>383651</v>
      </c>
      <c r="L200" s="902">
        <v>2.0499999999999998</v>
      </c>
      <c r="M200" s="906">
        <v>153202</v>
      </c>
      <c r="N200" s="906">
        <v>322625</v>
      </c>
      <c r="O200" s="902">
        <v>2.11</v>
      </c>
      <c r="P200" s="907">
        <v>177348</v>
      </c>
      <c r="Q200" s="907">
        <v>371653</v>
      </c>
      <c r="R200" s="905">
        <v>2.1</v>
      </c>
      <c r="T200" s="902">
        <v>536.5</v>
      </c>
      <c r="U200" s="901">
        <v>1127.8</v>
      </c>
      <c r="V200" s="902">
        <v>2.1</v>
      </c>
      <c r="W200" s="906">
        <v>123954</v>
      </c>
      <c r="X200" s="906">
        <v>259032</v>
      </c>
      <c r="Y200" s="902">
        <v>2.09</v>
      </c>
      <c r="Z200" s="906">
        <v>129753</v>
      </c>
      <c r="AA200" s="906">
        <v>266548</v>
      </c>
      <c r="AB200" s="902">
        <v>2.0499999999999998</v>
      </c>
      <c r="AC200" s="906">
        <v>155253</v>
      </c>
      <c r="AD200" s="906">
        <v>329053</v>
      </c>
      <c r="AE200" s="902">
        <v>2.12</v>
      </c>
      <c r="AF200" s="907">
        <v>2473</v>
      </c>
      <c r="AG200" s="907">
        <v>6310</v>
      </c>
      <c r="AH200" s="905">
        <v>2.5499999999999998</v>
      </c>
      <c r="AI200" s="901">
        <v>1583.6</v>
      </c>
      <c r="AJ200" s="901">
        <v>3345.1</v>
      </c>
      <c r="AK200" s="902">
        <v>2.11</v>
      </c>
      <c r="AL200" s="906">
        <v>319379</v>
      </c>
      <c r="AM200" s="906">
        <v>659417</v>
      </c>
      <c r="AN200" s="902">
        <v>2.06</v>
      </c>
      <c r="AP200" s="900">
        <v>2019</v>
      </c>
      <c r="AQ200" s="900" t="s">
        <v>1465</v>
      </c>
      <c r="AR200" s="906">
        <v>316512</v>
      </c>
      <c r="AS200" s="906">
        <v>650199</v>
      </c>
      <c r="AT200" s="902">
        <v>2.0499999999999998</v>
      </c>
      <c r="AV200" s="900">
        <v>2019</v>
      </c>
      <c r="AW200" s="900" t="s">
        <v>1465</v>
      </c>
      <c r="AX200" s="906">
        <v>308455</v>
      </c>
      <c r="AY200" s="906">
        <v>651678</v>
      </c>
      <c r="AZ200" s="902">
        <v>2.11</v>
      </c>
      <c r="BB200" s="903">
        <v>2019</v>
      </c>
      <c r="BC200" s="903" t="s">
        <v>1465</v>
      </c>
      <c r="BD200" s="907">
        <v>179821</v>
      </c>
      <c r="BE200" s="907">
        <v>377963</v>
      </c>
      <c r="BF200" s="905">
        <v>2.1</v>
      </c>
    </row>
    <row r="201" spans="2:58" ht="10.9" thickBot="1">
      <c r="B201" s="903">
        <v>2019</v>
      </c>
      <c r="C201" s="263">
        <f t="shared" si="3"/>
        <v>43646</v>
      </c>
      <c r="D201" s="909">
        <v>1060.0999999999999</v>
      </c>
      <c r="E201" s="909">
        <v>2115.1</v>
      </c>
      <c r="F201" s="914">
        <v>2</v>
      </c>
      <c r="G201" s="907">
        <v>195670</v>
      </c>
      <c r="H201" s="907">
        <v>373908</v>
      </c>
      <c r="I201" s="905">
        <v>1.91</v>
      </c>
      <c r="J201" s="907">
        <v>196667</v>
      </c>
      <c r="K201" s="907">
        <v>416406</v>
      </c>
      <c r="L201" s="905">
        <v>2.12</v>
      </c>
      <c r="M201" s="907">
        <v>158802</v>
      </c>
      <c r="N201" s="907">
        <v>306347</v>
      </c>
      <c r="O201" s="905">
        <v>1.93</v>
      </c>
      <c r="P201" s="906">
        <v>176317</v>
      </c>
      <c r="Q201" s="906">
        <v>351393</v>
      </c>
      <c r="R201" s="902">
        <v>1.99</v>
      </c>
      <c r="T201" s="905">
        <v>555.20000000000005</v>
      </c>
      <c r="U201" s="904">
        <v>1129.4000000000001</v>
      </c>
      <c r="V201" s="905">
        <v>2.0299999999999998</v>
      </c>
      <c r="W201" s="907">
        <v>131352</v>
      </c>
      <c r="X201" s="907">
        <v>262002</v>
      </c>
      <c r="Y201" s="905">
        <v>1.99</v>
      </c>
      <c r="Z201" s="907">
        <v>138109</v>
      </c>
      <c r="AA201" s="907">
        <v>292420</v>
      </c>
      <c r="AB201" s="905">
        <v>2.12</v>
      </c>
      <c r="AC201" s="907">
        <v>160602</v>
      </c>
      <c r="AD201" s="907">
        <v>320174</v>
      </c>
      <c r="AE201" s="905">
        <v>1.99</v>
      </c>
      <c r="AF201" s="906">
        <v>2714</v>
      </c>
      <c r="AG201" s="906">
        <v>6376</v>
      </c>
      <c r="AH201" s="902">
        <v>2.35</v>
      </c>
      <c r="AI201" s="904">
        <v>1615.3</v>
      </c>
      <c r="AJ201" s="904">
        <v>3244.5</v>
      </c>
      <c r="AK201" s="905">
        <v>2.0099999999999998</v>
      </c>
      <c r="AL201" s="907">
        <v>327022</v>
      </c>
      <c r="AM201" s="907">
        <v>635910</v>
      </c>
      <c r="AN201" s="905">
        <v>1.94</v>
      </c>
      <c r="AP201" s="903">
        <v>2019</v>
      </c>
      <c r="AQ201" s="903" t="s">
        <v>1476</v>
      </c>
      <c r="AR201" s="907">
        <v>334776</v>
      </c>
      <c r="AS201" s="907">
        <v>708826</v>
      </c>
      <c r="AT201" s="905">
        <v>2.12</v>
      </c>
      <c r="AV201" s="903">
        <v>2019</v>
      </c>
      <c r="AW201" s="903" t="s">
        <v>1476</v>
      </c>
      <c r="AX201" s="907">
        <v>319404</v>
      </c>
      <c r="AY201" s="907">
        <v>626521</v>
      </c>
      <c r="AZ201" s="905">
        <v>1.96</v>
      </c>
      <c r="BB201" s="900">
        <v>2019</v>
      </c>
      <c r="BC201" s="900" t="s">
        <v>1476</v>
      </c>
      <c r="BD201" s="906">
        <v>179030</v>
      </c>
      <c r="BE201" s="906">
        <v>357769</v>
      </c>
      <c r="BF201" s="902">
        <v>2</v>
      </c>
    </row>
    <row r="202" spans="2:58" ht="10.9" thickBot="1">
      <c r="B202" s="900">
        <v>2019</v>
      </c>
      <c r="C202" s="263">
        <f t="shared" si="3"/>
        <v>43677</v>
      </c>
      <c r="D202" s="909">
        <v>1099.7</v>
      </c>
      <c r="E202" s="909">
        <v>2185.9</v>
      </c>
      <c r="F202" s="914">
        <v>1.99</v>
      </c>
      <c r="G202" s="906">
        <v>200601</v>
      </c>
      <c r="H202" s="906">
        <v>385858</v>
      </c>
      <c r="I202" s="902">
        <v>1.92</v>
      </c>
      <c r="J202" s="906">
        <v>206258</v>
      </c>
      <c r="K202" s="906">
        <v>403679</v>
      </c>
      <c r="L202" s="902">
        <v>1.96</v>
      </c>
      <c r="M202" s="906">
        <v>163602</v>
      </c>
      <c r="N202" s="906">
        <v>318917</v>
      </c>
      <c r="O202" s="902">
        <v>1.95</v>
      </c>
      <c r="P202" s="907">
        <v>182539</v>
      </c>
      <c r="Q202" s="907">
        <v>362437</v>
      </c>
      <c r="R202" s="905">
        <v>1.99</v>
      </c>
      <c r="T202" s="902">
        <v>576.1</v>
      </c>
      <c r="U202" s="901">
        <v>1138.3</v>
      </c>
      <c r="V202" s="902">
        <v>1.98</v>
      </c>
      <c r="W202" s="906">
        <v>137591</v>
      </c>
      <c r="X202" s="906">
        <v>271871</v>
      </c>
      <c r="Y202" s="902">
        <v>1.98</v>
      </c>
      <c r="Z202" s="906">
        <v>143719</v>
      </c>
      <c r="AA202" s="906">
        <v>281280</v>
      </c>
      <c r="AB202" s="902">
        <v>1.96</v>
      </c>
      <c r="AC202" s="906">
        <v>164504</v>
      </c>
      <c r="AD202" s="906">
        <v>324463</v>
      </c>
      <c r="AE202" s="902">
        <v>1.97</v>
      </c>
      <c r="AF202" s="907">
        <v>2459</v>
      </c>
      <c r="AG202" s="907">
        <v>5797</v>
      </c>
      <c r="AH202" s="905">
        <v>2.36</v>
      </c>
      <c r="AI202" s="901">
        <v>1675.8</v>
      </c>
      <c r="AJ202" s="901">
        <v>3324.1</v>
      </c>
      <c r="AK202" s="902">
        <v>1.98</v>
      </c>
      <c r="AL202" s="906">
        <v>338192</v>
      </c>
      <c r="AM202" s="906">
        <v>657729</v>
      </c>
      <c r="AN202" s="902">
        <v>1.94</v>
      </c>
      <c r="AP202" s="900">
        <v>2019</v>
      </c>
      <c r="AQ202" s="900" t="s">
        <v>1477</v>
      </c>
      <c r="AR202" s="906">
        <v>349977</v>
      </c>
      <c r="AS202" s="906">
        <v>684959</v>
      </c>
      <c r="AT202" s="902">
        <v>1.96</v>
      </c>
      <c r="AV202" s="900">
        <v>2019</v>
      </c>
      <c r="AW202" s="900" t="s">
        <v>1477</v>
      </c>
      <c r="AX202" s="906">
        <v>328107</v>
      </c>
      <c r="AY202" s="906">
        <v>643380</v>
      </c>
      <c r="AZ202" s="902">
        <v>1.96</v>
      </c>
      <c r="BB202" s="903">
        <v>2019</v>
      </c>
      <c r="BC202" s="903" t="s">
        <v>1477</v>
      </c>
      <c r="BD202" s="907">
        <v>184999</v>
      </c>
      <c r="BE202" s="907">
        <v>368234</v>
      </c>
      <c r="BF202" s="905">
        <v>1.99</v>
      </c>
    </row>
    <row r="203" spans="2:58" ht="10.9" thickBot="1">
      <c r="B203" s="903">
        <v>2019</v>
      </c>
      <c r="C203" s="263">
        <f t="shared" si="3"/>
        <v>43708</v>
      </c>
      <c r="D203" s="909">
        <v>1089.5</v>
      </c>
      <c r="E203" s="909">
        <v>2110.8000000000002</v>
      </c>
      <c r="F203" s="914">
        <v>1.94</v>
      </c>
      <c r="G203" s="907">
        <v>202895</v>
      </c>
      <c r="H203" s="907">
        <v>381040</v>
      </c>
      <c r="I203" s="905">
        <v>1.88</v>
      </c>
      <c r="J203" s="907">
        <v>205778</v>
      </c>
      <c r="K203" s="907">
        <v>391477</v>
      </c>
      <c r="L203" s="905">
        <v>1.9</v>
      </c>
      <c r="M203" s="907">
        <v>162360</v>
      </c>
      <c r="N203" s="907">
        <v>308414</v>
      </c>
      <c r="O203" s="905">
        <v>1.9</v>
      </c>
      <c r="P203" s="906">
        <v>175219</v>
      </c>
      <c r="Q203" s="906">
        <v>342805</v>
      </c>
      <c r="R203" s="902">
        <v>1.96</v>
      </c>
      <c r="T203" s="905">
        <v>563.9</v>
      </c>
      <c r="U203" s="904">
        <v>1101.5999999999999</v>
      </c>
      <c r="V203" s="905">
        <v>1.95</v>
      </c>
      <c r="W203" s="907">
        <v>134781</v>
      </c>
      <c r="X203" s="907">
        <v>264347</v>
      </c>
      <c r="Y203" s="905">
        <v>1.96</v>
      </c>
      <c r="Z203" s="907">
        <v>144207</v>
      </c>
      <c r="AA203" s="907">
        <v>274342</v>
      </c>
      <c r="AB203" s="905">
        <v>1.9</v>
      </c>
      <c r="AC203" s="907">
        <v>160931</v>
      </c>
      <c r="AD203" s="907">
        <v>315348</v>
      </c>
      <c r="AE203" s="905">
        <v>1.96</v>
      </c>
      <c r="AF203" s="906">
        <v>1702</v>
      </c>
      <c r="AG203" s="906">
        <v>3912</v>
      </c>
      <c r="AH203" s="902">
        <v>2.2999999999999998</v>
      </c>
      <c r="AI203" s="904">
        <v>1653.3</v>
      </c>
      <c r="AJ203" s="904">
        <v>3212.3</v>
      </c>
      <c r="AK203" s="905">
        <v>1.94</v>
      </c>
      <c r="AL203" s="907">
        <v>337676</v>
      </c>
      <c r="AM203" s="907">
        <v>645386</v>
      </c>
      <c r="AN203" s="905">
        <v>1.91</v>
      </c>
      <c r="AP203" s="903">
        <v>2019</v>
      </c>
      <c r="AQ203" s="903" t="s">
        <v>1478</v>
      </c>
      <c r="AR203" s="907">
        <v>349985</v>
      </c>
      <c r="AS203" s="907">
        <v>665819</v>
      </c>
      <c r="AT203" s="905">
        <v>1.9</v>
      </c>
      <c r="AV203" s="903">
        <v>2019</v>
      </c>
      <c r="AW203" s="903" t="s">
        <v>1478</v>
      </c>
      <c r="AX203" s="907">
        <v>323291</v>
      </c>
      <c r="AY203" s="907">
        <v>623762</v>
      </c>
      <c r="AZ203" s="905">
        <v>1.93</v>
      </c>
      <c r="BB203" s="900">
        <v>2019</v>
      </c>
      <c r="BC203" s="900" t="s">
        <v>1478</v>
      </c>
      <c r="BD203" s="906">
        <v>176921</v>
      </c>
      <c r="BE203" s="906">
        <v>346717</v>
      </c>
      <c r="BF203" s="902">
        <v>1.96</v>
      </c>
    </row>
    <row r="204" spans="2:58" ht="10.9" thickBot="1">
      <c r="B204" s="900">
        <v>2019</v>
      </c>
      <c r="C204" s="263">
        <f t="shared" si="3"/>
        <v>43738</v>
      </c>
      <c r="D204" s="909">
        <v>962.6</v>
      </c>
      <c r="E204" s="909">
        <v>1888.5</v>
      </c>
      <c r="F204" s="914">
        <v>1.96</v>
      </c>
      <c r="G204" s="906">
        <v>181813</v>
      </c>
      <c r="H204" s="906">
        <v>345924</v>
      </c>
      <c r="I204" s="902">
        <v>1.9</v>
      </c>
      <c r="J204" s="906">
        <v>174873</v>
      </c>
      <c r="K204" s="906">
        <v>346038</v>
      </c>
      <c r="L204" s="902">
        <v>1.98</v>
      </c>
      <c r="M204" s="906">
        <v>141651</v>
      </c>
      <c r="N204" s="906">
        <v>269880</v>
      </c>
      <c r="O204" s="902">
        <v>1.91</v>
      </c>
      <c r="P204" s="907">
        <v>161363</v>
      </c>
      <c r="Q204" s="907">
        <v>317051</v>
      </c>
      <c r="R204" s="905">
        <v>1.96</v>
      </c>
      <c r="T204" s="902">
        <v>514</v>
      </c>
      <c r="U204" s="901">
        <v>1002.1</v>
      </c>
      <c r="V204" s="902">
        <v>1.95</v>
      </c>
      <c r="W204" s="906">
        <v>121423</v>
      </c>
      <c r="X204" s="906">
        <v>235119</v>
      </c>
      <c r="Y204" s="902">
        <v>1.94</v>
      </c>
      <c r="Z204" s="906">
        <v>127479</v>
      </c>
      <c r="AA204" s="906">
        <v>252256</v>
      </c>
      <c r="AB204" s="902">
        <v>1.98</v>
      </c>
      <c r="AC204" s="906">
        <v>149612</v>
      </c>
      <c r="AD204" s="906">
        <v>288499</v>
      </c>
      <c r="AE204" s="902">
        <v>1.93</v>
      </c>
      <c r="AF204" s="907">
        <v>1036</v>
      </c>
      <c r="AG204" s="907">
        <v>2343</v>
      </c>
      <c r="AH204" s="905">
        <v>2.2599999999999998</v>
      </c>
      <c r="AI204" s="901">
        <v>1476.6</v>
      </c>
      <c r="AJ204" s="901">
        <v>2890.6</v>
      </c>
      <c r="AK204" s="902">
        <v>1.96</v>
      </c>
      <c r="AL204" s="906">
        <v>303236</v>
      </c>
      <c r="AM204" s="906">
        <v>581043</v>
      </c>
      <c r="AN204" s="902">
        <v>1.92</v>
      </c>
      <c r="AP204" s="900">
        <v>2019</v>
      </c>
      <c r="AQ204" s="900" t="s">
        <v>1479</v>
      </c>
      <c r="AR204" s="906">
        <v>302352</v>
      </c>
      <c r="AS204" s="906">
        <v>598294</v>
      </c>
      <c r="AT204" s="902">
        <v>1.98</v>
      </c>
      <c r="AV204" s="900">
        <v>2019</v>
      </c>
      <c r="AW204" s="900" t="s">
        <v>1479</v>
      </c>
      <c r="AX204" s="906">
        <v>291262</v>
      </c>
      <c r="AY204" s="906">
        <v>558379</v>
      </c>
      <c r="AZ204" s="902">
        <v>1.92</v>
      </c>
      <c r="BB204" s="903">
        <v>2019</v>
      </c>
      <c r="BC204" s="903" t="s">
        <v>1479</v>
      </c>
      <c r="BD204" s="907">
        <v>162399</v>
      </c>
      <c r="BE204" s="907">
        <v>319394</v>
      </c>
      <c r="BF204" s="905">
        <v>1.97</v>
      </c>
    </row>
    <row r="205" spans="2:58" ht="10.9" thickBot="1">
      <c r="B205" s="903">
        <v>2019</v>
      </c>
      <c r="C205" s="263">
        <f t="shared" si="3"/>
        <v>43769</v>
      </c>
      <c r="D205" s="909">
        <v>1033</v>
      </c>
      <c r="E205" s="909">
        <v>2035</v>
      </c>
      <c r="F205" s="914">
        <v>1.97</v>
      </c>
      <c r="G205" s="907">
        <v>191643</v>
      </c>
      <c r="H205" s="907">
        <v>363874</v>
      </c>
      <c r="I205" s="905">
        <v>1.9</v>
      </c>
      <c r="J205" s="907">
        <v>184468</v>
      </c>
      <c r="K205" s="907">
        <v>351767</v>
      </c>
      <c r="L205" s="905">
        <v>1.91</v>
      </c>
      <c r="M205" s="907">
        <v>151711</v>
      </c>
      <c r="N205" s="907">
        <v>296359</v>
      </c>
      <c r="O205" s="905">
        <v>1.95</v>
      </c>
      <c r="P205" s="906">
        <v>174407</v>
      </c>
      <c r="Q205" s="906">
        <v>344839</v>
      </c>
      <c r="R205" s="902">
        <v>1.98</v>
      </c>
      <c r="T205" s="905">
        <v>508.8</v>
      </c>
      <c r="U205" s="904">
        <v>1001.2</v>
      </c>
      <c r="V205" s="905">
        <v>1.97</v>
      </c>
      <c r="W205" s="907">
        <v>116662</v>
      </c>
      <c r="X205" s="907">
        <v>230316</v>
      </c>
      <c r="Y205" s="905">
        <v>1.97</v>
      </c>
      <c r="Z205" s="907">
        <v>118492</v>
      </c>
      <c r="AA205" s="907">
        <v>225956</v>
      </c>
      <c r="AB205" s="905">
        <v>1.91</v>
      </c>
      <c r="AC205" s="907">
        <v>149168</v>
      </c>
      <c r="AD205" s="907">
        <v>296764</v>
      </c>
      <c r="AE205" s="905">
        <v>1.99</v>
      </c>
      <c r="AF205" s="906">
        <v>1961</v>
      </c>
      <c r="AG205" s="906">
        <v>4359</v>
      </c>
      <c r="AH205" s="902">
        <v>2.2200000000000002</v>
      </c>
      <c r="AI205" s="904">
        <v>1541.8</v>
      </c>
      <c r="AJ205" s="904">
        <v>3036.2</v>
      </c>
      <c r="AK205" s="905">
        <v>1.97</v>
      </c>
      <c r="AL205" s="907">
        <v>308305</v>
      </c>
      <c r="AM205" s="907">
        <v>594190</v>
      </c>
      <c r="AN205" s="905">
        <v>1.93</v>
      </c>
      <c r="AP205" s="903">
        <v>2019</v>
      </c>
      <c r="AQ205" s="903" t="s">
        <v>1480</v>
      </c>
      <c r="AR205" s="907">
        <v>302961</v>
      </c>
      <c r="AS205" s="907">
        <v>577723</v>
      </c>
      <c r="AT205" s="905">
        <v>1.91</v>
      </c>
      <c r="AV205" s="903">
        <v>2019</v>
      </c>
      <c r="AW205" s="903" t="s">
        <v>1480</v>
      </c>
      <c r="AX205" s="907">
        <v>300879</v>
      </c>
      <c r="AY205" s="907">
        <v>593124</v>
      </c>
      <c r="AZ205" s="905">
        <v>1.97</v>
      </c>
      <c r="BB205" s="900">
        <v>2019</v>
      </c>
      <c r="BC205" s="900" t="s">
        <v>1480</v>
      </c>
      <c r="BD205" s="906">
        <v>176367</v>
      </c>
      <c r="BE205" s="906">
        <v>349198</v>
      </c>
      <c r="BF205" s="902">
        <v>1.98</v>
      </c>
    </row>
    <row r="206" spans="2:58" ht="10.9" thickBot="1">
      <c r="B206" s="900">
        <v>2019</v>
      </c>
      <c r="C206" s="263">
        <f t="shared" si="3"/>
        <v>43799</v>
      </c>
      <c r="D206" s="909">
        <v>986.5</v>
      </c>
      <c r="E206" s="909">
        <v>1966.6</v>
      </c>
      <c r="F206" s="914">
        <v>1.99</v>
      </c>
      <c r="G206" s="906">
        <v>184263</v>
      </c>
      <c r="H206" s="906">
        <v>351530</v>
      </c>
      <c r="I206" s="902">
        <v>1.91</v>
      </c>
      <c r="J206" s="906">
        <v>170363</v>
      </c>
      <c r="K206" s="906">
        <v>339540</v>
      </c>
      <c r="L206" s="902">
        <v>1.99</v>
      </c>
      <c r="M206" s="906">
        <v>138727</v>
      </c>
      <c r="N206" s="906">
        <v>272330</v>
      </c>
      <c r="O206" s="902">
        <v>1.96</v>
      </c>
      <c r="P206" s="907">
        <v>168601</v>
      </c>
      <c r="Q206" s="907">
        <v>336900</v>
      </c>
      <c r="R206" s="905">
        <v>2</v>
      </c>
      <c r="T206" s="902">
        <v>457.7</v>
      </c>
      <c r="U206" s="902">
        <v>904.1</v>
      </c>
      <c r="V206" s="902">
        <v>1.98</v>
      </c>
      <c r="W206" s="906">
        <v>96834</v>
      </c>
      <c r="X206" s="906">
        <v>189686</v>
      </c>
      <c r="Y206" s="902">
        <v>1.96</v>
      </c>
      <c r="Z206" s="906">
        <v>95114</v>
      </c>
      <c r="AA206" s="906">
        <v>189565</v>
      </c>
      <c r="AB206" s="902">
        <v>1.99</v>
      </c>
      <c r="AC206" s="906">
        <v>141385</v>
      </c>
      <c r="AD206" s="906">
        <v>280484</v>
      </c>
      <c r="AE206" s="902">
        <v>1.98</v>
      </c>
      <c r="AF206" s="907">
        <v>1920</v>
      </c>
      <c r="AG206" s="907">
        <v>4416</v>
      </c>
      <c r="AH206" s="905">
        <v>2.2999999999999998</v>
      </c>
      <c r="AI206" s="901">
        <v>1444.2</v>
      </c>
      <c r="AJ206" s="901">
        <v>2870.7</v>
      </c>
      <c r="AK206" s="902">
        <v>1.99</v>
      </c>
      <c r="AL206" s="906">
        <v>281097</v>
      </c>
      <c r="AM206" s="906">
        <v>541216</v>
      </c>
      <c r="AN206" s="902">
        <v>1.93</v>
      </c>
      <c r="AP206" s="900">
        <v>2019</v>
      </c>
      <c r="AQ206" s="900" t="s">
        <v>1481</v>
      </c>
      <c r="AR206" s="906">
        <v>265476</v>
      </c>
      <c r="AS206" s="906">
        <v>529105</v>
      </c>
      <c r="AT206" s="902">
        <v>1.99</v>
      </c>
      <c r="AV206" s="900">
        <v>2019</v>
      </c>
      <c r="AW206" s="900" t="s">
        <v>1481</v>
      </c>
      <c r="AX206" s="906">
        <v>280112</v>
      </c>
      <c r="AY206" s="906">
        <v>552814</v>
      </c>
      <c r="AZ206" s="902">
        <v>1.97</v>
      </c>
      <c r="BB206" s="903">
        <v>2019</v>
      </c>
      <c r="BC206" s="903" t="s">
        <v>1481</v>
      </c>
      <c r="BD206" s="907">
        <v>170521</v>
      </c>
      <c r="BE206" s="907">
        <v>341317</v>
      </c>
      <c r="BF206" s="905">
        <v>2</v>
      </c>
    </row>
    <row r="207" spans="2:58" ht="11.2" customHeight="1" thickBot="1">
      <c r="B207" s="903">
        <v>2019</v>
      </c>
      <c r="C207" s="263">
        <f t="shared" si="3"/>
        <v>43830</v>
      </c>
      <c r="D207" s="909">
        <v>1059</v>
      </c>
      <c r="E207" s="909">
        <v>2131.1</v>
      </c>
      <c r="F207" s="914">
        <v>2.0099999999999998</v>
      </c>
      <c r="G207" s="907">
        <v>194165</v>
      </c>
      <c r="H207" s="907">
        <v>371921</v>
      </c>
      <c r="I207" s="905">
        <v>1.92</v>
      </c>
      <c r="J207" s="907">
        <v>181063</v>
      </c>
      <c r="K207" s="907">
        <v>368381</v>
      </c>
      <c r="L207" s="905">
        <v>2.0299999999999998</v>
      </c>
      <c r="M207" s="907">
        <v>146528</v>
      </c>
      <c r="N207" s="907">
        <v>287709</v>
      </c>
      <c r="O207" s="905">
        <v>1.96</v>
      </c>
      <c r="P207" s="906">
        <v>177295</v>
      </c>
      <c r="Q207" s="906">
        <v>358549</v>
      </c>
      <c r="R207" s="902">
        <v>2.02</v>
      </c>
      <c r="T207" s="905">
        <v>493</v>
      </c>
      <c r="U207" s="905">
        <v>979.5</v>
      </c>
      <c r="V207" s="905">
        <v>1.99</v>
      </c>
      <c r="W207" s="907">
        <v>109501</v>
      </c>
      <c r="X207" s="907">
        <v>217369</v>
      </c>
      <c r="Y207" s="905">
        <v>1.99</v>
      </c>
      <c r="Z207" s="907">
        <v>103779</v>
      </c>
      <c r="AA207" s="907">
        <v>211143</v>
      </c>
      <c r="AB207" s="905">
        <v>2.0299999999999998</v>
      </c>
      <c r="AC207" s="907">
        <v>152993</v>
      </c>
      <c r="AD207" s="907">
        <v>303170</v>
      </c>
      <c r="AE207" s="905">
        <v>1.98</v>
      </c>
      <c r="AF207" s="906">
        <v>2428</v>
      </c>
      <c r="AG207" s="906">
        <v>5685</v>
      </c>
      <c r="AH207" s="902">
        <v>2.34</v>
      </c>
      <c r="AI207" s="904">
        <v>1552.1</v>
      </c>
      <c r="AJ207" s="904">
        <v>3110.5</v>
      </c>
      <c r="AK207" s="905">
        <v>2</v>
      </c>
      <c r="AL207" s="907">
        <v>303666</v>
      </c>
      <c r="AM207" s="907">
        <v>589290</v>
      </c>
      <c r="AN207" s="905">
        <v>1.94</v>
      </c>
      <c r="AP207" s="903">
        <v>2019</v>
      </c>
      <c r="AQ207" s="903" t="s">
        <v>1482</v>
      </c>
      <c r="AR207" s="907">
        <v>284841</v>
      </c>
      <c r="AS207" s="907">
        <v>579524</v>
      </c>
      <c r="AT207" s="905">
        <v>2.0299999999999998</v>
      </c>
      <c r="AV207" s="903">
        <v>2019</v>
      </c>
      <c r="AW207" s="903" t="s">
        <v>1482</v>
      </c>
      <c r="AX207" s="907">
        <v>299522</v>
      </c>
      <c r="AY207" s="907">
        <v>590879</v>
      </c>
      <c r="AZ207" s="905">
        <v>1.97</v>
      </c>
      <c r="BB207" s="900">
        <v>2019</v>
      </c>
      <c r="BC207" s="900" t="s">
        <v>1482</v>
      </c>
      <c r="BD207" s="906">
        <v>179723</v>
      </c>
      <c r="BE207" s="906">
        <v>364234</v>
      </c>
      <c r="BF207" s="902">
        <v>2.0299999999999998</v>
      </c>
    </row>
    <row r="208" spans="2:58" ht="10.9" thickBot="1">
      <c r="B208" s="900">
        <v>2020</v>
      </c>
      <c r="C208" s="263">
        <f t="shared" si="3"/>
        <v>43861</v>
      </c>
      <c r="D208" s="909">
        <v>982.3</v>
      </c>
      <c r="E208" s="909">
        <v>1950.1</v>
      </c>
      <c r="F208" s="914">
        <v>1.99</v>
      </c>
      <c r="G208" s="906">
        <v>183788</v>
      </c>
      <c r="H208" s="906">
        <v>349253</v>
      </c>
      <c r="I208" s="902">
        <v>1.9</v>
      </c>
      <c r="J208" s="906">
        <v>178006</v>
      </c>
      <c r="K208" s="906">
        <v>340794</v>
      </c>
      <c r="L208" s="902">
        <v>1.91</v>
      </c>
      <c r="M208" s="906">
        <v>133344</v>
      </c>
      <c r="N208" s="906">
        <v>262623</v>
      </c>
      <c r="O208" s="902">
        <v>1.97</v>
      </c>
      <c r="P208" s="907">
        <v>161053</v>
      </c>
      <c r="Q208" s="907">
        <v>323308</v>
      </c>
      <c r="R208" s="905">
        <v>2.0099999999999998</v>
      </c>
      <c r="T208" s="902">
        <v>478.5</v>
      </c>
      <c r="U208" s="902">
        <v>944.9</v>
      </c>
      <c r="V208" s="902">
        <v>1.97</v>
      </c>
      <c r="W208" s="906">
        <v>104812</v>
      </c>
      <c r="X208" s="906">
        <v>206413</v>
      </c>
      <c r="Y208" s="902">
        <v>1.97</v>
      </c>
      <c r="Z208" s="906">
        <v>108350</v>
      </c>
      <c r="AA208" s="906">
        <v>207436</v>
      </c>
      <c r="AB208" s="902">
        <v>1.91</v>
      </c>
      <c r="AC208" s="906">
        <v>147276</v>
      </c>
      <c r="AD208" s="906">
        <v>295453</v>
      </c>
      <c r="AE208" s="902">
        <v>2.0099999999999998</v>
      </c>
      <c r="AF208" s="907">
        <v>1401</v>
      </c>
      <c r="AG208" s="907">
        <v>3309</v>
      </c>
      <c r="AH208" s="905">
        <v>2.36</v>
      </c>
      <c r="AI208" s="901">
        <v>1460.9</v>
      </c>
      <c r="AJ208" s="901">
        <v>2895</v>
      </c>
      <c r="AK208" s="902">
        <v>1.98</v>
      </c>
      <c r="AL208" s="906">
        <v>288600</v>
      </c>
      <c r="AM208" s="906">
        <v>555666</v>
      </c>
      <c r="AN208" s="902">
        <v>1.93</v>
      </c>
      <c r="AP208" s="900">
        <v>2020</v>
      </c>
      <c r="AQ208" s="900" t="s">
        <v>1472</v>
      </c>
      <c r="AR208" s="906">
        <v>286356</v>
      </c>
      <c r="AS208" s="906">
        <v>548230</v>
      </c>
      <c r="AT208" s="902">
        <v>1.91</v>
      </c>
      <c r="AV208" s="900">
        <v>2020</v>
      </c>
      <c r="AW208" s="900" t="s">
        <v>1472</v>
      </c>
      <c r="AX208" s="906">
        <v>280620</v>
      </c>
      <c r="AY208" s="906">
        <v>558076</v>
      </c>
      <c r="AZ208" s="902">
        <v>1.99</v>
      </c>
      <c r="BB208" s="903">
        <v>2020</v>
      </c>
      <c r="BC208" s="903" t="s">
        <v>1472</v>
      </c>
      <c r="BD208" s="907">
        <v>162454</v>
      </c>
      <c r="BE208" s="907">
        <v>326617</v>
      </c>
      <c r="BF208" s="905">
        <v>2.0099999999999998</v>
      </c>
    </row>
    <row r="209" spans="2:58" ht="10.9" thickBot="1">
      <c r="B209" s="903">
        <v>2020</v>
      </c>
      <c r="C209" s="263">
        <f t="shared" si="3"/>
        <v>43890</v>
      </c>
      <c r="D209" s="909">
        <v>926.9</v>
      </c>
      <c r="E209" s="909">
        <v>1663.1</v>
      </c>
      <c r="F209" s="914">
        <v>1.79</v>
      </c>
      <c r="G209" s="907">
        <v>173317</v>
      </c>
      <c r="H209" s="907">
        <v>295333</v>
      </c>
      <c r="I209" s="905">
        <v>1.7</v>
      </c>
      <c r="J209" s="907">
        <v>166586</v>
      </c>
      <c r="K209" s="907">
        <v>320062</v>
      </c>
      <c r="L209" s="905">
        <v>1.92</v>
      </c>
      <c r="M209" s="907">
        <v>127749</v>
      </c>
      <c r="N209" s="907">
        <v>221659</v>
      </c>
      <c r="O209" s="905">
        <v>1.74</v>
      </c>
      <c r="P209" s="906">
        <v>150485</v>
      </c>
      <c r="Q209" s="906">
        <v>276788</v>
      </c>
      <c r="R209" s="902">
        <v>1.84</v>
      </c>
      <c r="T209" s="905">
        <v>402.1</v>
      </c>
      <c r="U209" s="905">
        <v>739.5</v>
      </c>
      <c r="V209" s="905">
        <v>1.84</v>
      </c>
      <c r="W209" s="907">
        <v>89181</v>
      </c>
      <c r="X209" s="907">
        <v>159327</v>
      </c>
      <c r="Y209" s="905">
        <v>1.79</v>
      </c>
      <c r="Z209" s="907">
        <v>89970</v>
      </c>
      <c r="AA209" s="907">
        <v>172859</v>
      </c>
      <c r="AB209" s="905">
        <v>1.92</v>
      </c>
      <c r="AC209" s="907">
        <v>119680</v>
      </c>
      <c r="AD209" s="907">
        <v>218407</v>
      </c>
      <c r="AE209" s="905">
        <v>1.82</v>
      </c>
      <c r="AF209" s="906">
        <v>1445</v>
      </c>
      <c r="AG209" s="906">
        <v>3038</v>
      </c>
      <c r="AH209" s="902">
        <v>2.1</v>
      </c>
      <c r="AI209" s="904">
        <v>1329</v>
      </c>
      <c r="AJ209" s="904">
        <v>2402.6</v>
      </c>
      <c r="AK209" s="905">
        <v>1.81</v>
      </c>
      <c r="AL209" s="907">
        <v>262499</v>
      </c>
      <c r="AM209" s="907">
        <v>454660</v>
      </c>
      <c r="AN209" s="905">
        <v>1.73</v>
      </c>
      <c r="AP209" s="903">
        <v>2020</v>
      </c>
      <c r="AQ209" s="903" t="s">
        <v>1473</v>
      </c>
      <c r="AR209" s="907">
        <v>256555</v>
      </c>
      <c r="AS209" s="907">
        <v>492921</v>
      </c>
      <c r="AT209" s="905">
        <v>1.92</v>
      </c>
      <c r="AV209" s="903">
        <v>2020</v>
      </c>
      <c r="AW209" s="903" t="s">
        <v>1473</v>
      </c>
      <c r="AX209" s="907">
        <v>247430</v>
      </c>
      <c r="AY209" s="907">
        <v>440065</v>
      </c>
      <c r="AZ209" s="905">
        <v>1.78</v>
      </c>
      <c r="BB209" s="900">
        <v>2020</v>
      </c>
      <c r="BC209" s="900" t="s">
        <v>1473</v>
      </c>
      <c r="BD209" s="906">
        <v>151930</v>
      </c>
      <c r="BE209" s="906">
        <v>279826</v>
      </c>
      <c r="BF209" s="902">
        <v>1.84</v>
      </c>
    </row>
    <row r="210" spans="2:58" ht="10.9" thickBot="1">
      <c r="B210" s="900">
        <v>2020</v>
      </c>
      <c r="C210" s="263">
        <f t="shared" si="3"/>
        <v>43921</v>
      </c>
      <c r="D210" s="909">
        <v>848.2</v>
      </c>
      <c r="E210" s="909">
        <v>1238.7</v>
      </c>
      <c r="F210" s="914">
        <v>1.46</v>
      </c>
      <c r="G210" s="906">
        <v>150790</v>
      </c>
      <c r="H210" s="906">
        <v>205297</v>
      </c>
      <c r="I210" s="902">
        <v>1.36</v>
      </c>
      <c r="J210" s="906">
        <v>144011</v>
      </c>
      <c r="K210" s="906">
        <v>232317</v>
      </c>
      <c r="L210" s="902">
        <v>1.61</v>
      </c>
      <c r="M210" s="906">
        <v>112816</v>
      </c>
      <c r="N210" s="906">
        <v>162190</v>
      </c>
      <c r="O210" s="902">
        <v>1.44</v>
      </c>
      <c r="P210" s="907">
        <v>141126</v>
      </c>
      <c r="Q210" s="907">
        <v>218869</v>
      </c>
      <c r="R210" s="905">
        <v>1.55</v>
      </c>
      <c r="T210" s="902">
        <v>320.2</v>
      </c>
      <c r="U210" s="902">
        <v>485.3</v>
      </c>
      <c r="V210" s="902">
        <v>1.52</v>
      </c>
      <c r="W210" s="906">
        <v>58827</v>
      </c>
      <c r="X210" s="906">
        <v>82104</v>
      </c>
      <c r="Y210" s="902">
        <v>1.4</v>
      </c>
      <c r="Z210" s="906">
        <v>57413</v>
      </c>
      <c r="AA210" s="906">
        <v>92618</v>
      </c>
      <c r="AB210" s="902">
        <v>1.61</v>
      </c>
      <c r="AC210" s="906">
        <v>89432</v>
      </c>
      <c r="AD210" s="906">
        <v>139416</v>
      </c>
      <c r="AE210" s="902">
        <v>1.56</v>
      </c>
      <c r="AF210" s="907">
        <v>1011</v>
      </c>
      <c r="AG210" s="907">
        <v>1862</v>
      </c>
      <c r="AH210" s="905">
        <v>1.84</v>
      </c>
      <c r="AI210" s="901">
        <v>1168.4000000000001</v>
      </c>
      <c r="AJ210" s="901">
        <v>1723.9</v>
      </c>
      <c r="AK210" s="902">
        <v>1.48</v>
      </c>
      <c r="AL210" s="906">
        <v>209617</v>
      </c>
      <c r="AM210" s="906">
        <v>287400</v>
      </c>
      <c r="AN210" s="902">
        <v>1.37</v>
      </c>
      <c r="AP210" s="900">
        <v>2020</v>
      </c>
      <c r="AQ210" s="900" t="s">
        <v>1474</v>
      </c>
      <c r="AR210" s="906">
        <v>201425</v>
      </c>
      <c r="AS210" s="906">
        <v>324935</v>
      </c>
      <c r="AT210" s="902">
        <v>1.61</v>
      </c>
      <c r="AV210" s="900">
        <v>2020</v>
      </c>
      <c r="AW210" s="900" t="s">
        <v>1474</v>
      </c>
      <c r="AX210" s="906">
        <v>202248</v>
      </c>
      <c r="AY210" s="906">
        <v>301606</v>
      </c>
      <c r="AZ210" s="902">
        <v>1.49</v>
      </c>
      <c r="BB210" s="903">
        <v>2020</v>
      </c>
      <c r="BC210" s="903" t="s">
        <v>1474</v>
      </c>
      <c r="BD210" s="907">
        <v>142136</v>
      </c>
      <c r="BE210" s="907">
        <v>220732</v>
      </c>
      <c r="BF210" s="905">
        <v>1.55</v>
      </c>
    </row>
    <row r="211" spans="2:58" ht="10.9" thickBot="1">
      <c r="B211" s="903">
        <v>2020</v>
      </c>
      <c r="C211" s="263">
        <f t="shared" si="3"/>
        <v>43951</v>
      </c>
      <c r="D211" s="909">
        <v>313</v>
      </c>
      <c r="E211" s="909">
        <v>455.1</v>
      </c>
      <c r="F211" s="914">
        <v>1.45</v>
      </c>
      <c r="G211" s="907">
        <v>51712</v>
      </c>
      <c r="H211" s="907">
        <v>53383</v>
      </c>
      <c r="I211" s="905">
        <v>1.03</v>
      </c>
      <c r="J211" s="907">
        <v>33041</v>
      </c>
      <c r="K211" s="907">
        <v>152420</v>
      </c>
      <c r="L211" s="905">
        <v>4.6100000000000003</v>
      </c>
      <c r="M211" s="907">
        <v>19848</v>
      </c>
      <c r="N211" s="907">
        <v>22968</v>
      </c>
      <c r="O211" s="905">
        <v>1.1599999999999999</v>
      </c>
      <c r="P211" s="906">
        <v>60576</v>
      </c>
      <c r="Q211" s="906">
        <v>83355</v>
      </c>
      <c r="R211" s="902">
        <v>1.38</v>
      </c>
      <c r="T211" s="905">
        <v>133.80000000000001</v>
      </c>
      <c r="U211" s="905">
        <v>162.4</v>
      </c>
      <c r="V211" s="905">
        <v>1.21</v>
      </c>
      <c r="W211" s="907">
        <v>4796</v>
      </c>
      <c r="X211" s="907">
        <v>4662</v>
      </c>
      <c r="Y211" s="905">
        <v>0.97</v>
      </c>
      <c r="Z211" s="907">
        <v>4266</v>
      </c>
      <c r="AA211" s="907">
        <v>19681</v>
      </c>
      <c r="AB211" s="905">
        <v>4.6100000000000003</v>
      </c>
      <c r="AC211" s="907">
        <v>25407</v>
      </c>
      <c r="AD211" s="907">
        <v>28503</v>
      </c>
      <c r="AE211" s="905">
        <v>1.1200000000000001</v>
      </c>
      <c r="AF211" s="902">
        <v>13</v>
      </c>
      <c r="AG211" s="902">
        <v>28</v>
      </c>
      <c r="AH211" s="902">
        <v>2.16</v>
      </c>
      <c r="AI211" s="905">
        <v>446.9</v>
      </c>
      <c r="AJ211" s="905">
        <v>617.5</v>
      </c>
      <c r="AK211" s="905">
        <v>1.38</v>
      </c>
      <c r="AL211" s="907">
        <v>56508</v>
      </c>
      <c r="AM211" s="907">
        <v>58045</v>
      </c>
      <c r="AN211" s="905">
        <v>1.03</v>
      </c>
      <c r="AP211" s="903">
        <v>2020</v>
      </c>
      <c r="AQ211" s="903" t="s">
        <v>1475</v>
      </c>
      <c r="AR211" s="907">
        <v>37307</v>
      </c>
      <c r="AS211" s="907">
        <v>172102</v>
      </c>
      <c r="AT211" s="905">
        <v>4.6100000000000003</v>
      </c>
      <c r="AV211" s="903">
        <v>2020</v>
      </c>
      <c r="AW211" s="903" t="s">
        <v>1475</v>
      </c>
      <c r="AX211" s="907">
        <v>45255</v>
      </c>
      <c r="AY211" s="907">
        <v>51471</v>
      </c>
      <c r="AZ211" s="905">
        <v>1.1399999999999999</v>
      </c>
      <c r="BB211" s="900">
        <v>2020</v>
      </c>
      <c r="BC211" s="900" t="s">
        <v>1475</v>
      </c>
      <c r="BD211" s="906">
        <v>60589</v>
      </c>
      <c r="BE211" s="906">
        <v>83383</v>
      </c>
      <c r="BF211" s="902">
        <v>1.38</v>
      </c>
    </row>
    <row r="212" spans="2:58" ht="10.9" thickBot="1">
      <c r="B212" s="900">
        <v>2020</v>
      </c>
      <c r="C212" s="263">
        <f t="shared" si="3"/>
        <v>43982</v>
      </c>
      <c r="D212" s="909">
        <v>297</v>
      </c>
      <c r="E212" s="909">
        <v>316.3</v>
      </c>
      <c r="F212" s="914">
        <v>1.07</v>
      </c>
      <c r="G212" s="906">
        <v>45218</v>
      </c>
      <c r="H212" s="906">
        <v>48320</v>
      </c>
      <c r="I212" s="902">
        <v>1.07</v>
      </c>
      <c r="J212" s="906">
        <v>28707</v>
      </c>
      <c r="K212" s="906">
        <v>43183</v>
      </c>
      <c r="L212" s="902">
        <v>1.5</v>
      </c>
      <c r="M212" s="906">
        <v>16715</v>
      </c>
      <c r="N212" s="906">
        <v>17690</v>
      </c>
      <c r="O212" s="902">
        <v>1.06</v>
      </c>
      <c r="P212" s="907">
        <v>56436</v>
      </c>
      <c r="Q212" s="907">
        <v>69747</v>
      </c>
      <c r="R212" s="905">
        <v>1.24</v>
      </c>
      <c r="T212" s="902">
        <v>156.4</v>
      </c>
      <c r="U212" s="902">
        <v>149.69999999999999</v>
      </c>
      <c r="V212" s="902">
        <v>0.96</v>
      </c>
      <c r="W212" s="906">
        <v>5124</v>
      </c>
      <c r="X212" s="906">
        <v>4497</v>
      </c>
      <c r="Y212" s="902">
        <v>0.88</v>
      </c>
      <c r="Z212" s="906">
        <v>4784</v>
      </c>
      <c r="AA212" s="906">
        <v>7197</v>
      </c>
      <c r="AB212" s="902">
        <v>1.5</v>
      </c>
      <c r="AC212" s="906">
        <v>38877</v>
      </c>
      <c r="AD212" s="906">
        <v>34415</v>
      </c>
      <c r="AE212" s="902">
        <v>0.89</v>
      </c>
      <c r="AF212" s="905">
        <v>0</v>
      </c>
      <c r="AG212" s="905">
        <v>0</v>
      </c>
      <c r="AH212" s="905" t="s">
        <v>1483</v>
      </c>
      <c r="AI212" s="902">
        <v>453.4</v>
      </c>
      <c r="AJ212" s="902">
        <v>466.1</v>
      </c>
      <c r="AK212" s="902">
        <v>1.03</v>
      </c>
      <c r="AL212" s="906">
        <v>50342</v>
      </c>
      <c r="AM212" s="906">
        <v>52816</v>
      </c>
      <c r="AN212" s="902">
        <v>1.05</v>
      </c>
      <c r="AP212" s="900">
        <v>2020</v>
      </c>
      <c r="AQ212" s="900" t="s">
        <v>1465</v>
      </c>
      <c r="AR212" s="906">
        <v>33492</v>
      </c>
      <c r="AS212" s="906">
        <v>50379</v>
      </c>
      <c r="AT212" s="902">
        <v>1.5</v>
      </c>
      <c r="AV212" s="900">
        <v>2020</v>
      </c>
      <c r="AW212" s="900" t="s">
        <v>1465</v>
      </c>
      <c r="AX212" s="906">
        <v>55592</v>
      </c>
      <c r="AY212" s="906">
        <v>52105</v>
      </c>
      <c r="AZ212" s="902">
        <v>0.94</v>
      </c>
      <c r="BB212" s="903">
        <v>2020</v>
      </c>
      <c r="BC212" s="903" t="s">
        <v>1465</v>
      </c>
      <c r="BD212" s="907">
        <v>56436</v>
      </c>
      <c r="BE212" s="907">
        <v>69747</v>
      </c>
      <c r="BF212" s="905">
        <v>1.24</v>
      </c>
    </row>
    <row r="213" spans="2:58" ht="10.9" thickBot="1">
      <c r="B213" s="903">
        <v>2020</v>
      </c>
      <c r="C213" s="263">
        <f t="shared" si="3"/>
        <v>44012</v>
      </c>
      <c r="D213" s="909">
        <v>393.5</v>
      </c>
      <c r="E213" s="909">
        <v>442.9</v>
      </c>
      <c r="F213" s="914">
        <v>1.1299999999999999</v>
      </c>
      <c r="G213" s="907">
        <v>59876</v>
      </c>
      <c r="H213" s="907">
        <v>60192</v>
      </c>
      <c r="I213" s="905">
        <v>1.01</v>
      </c>
      <c r="J213" s="907">
        <v>39075</v>
      </c>
      <c r="K213" s="907">
        <v>53091</v>
      </c>
      <c r="L213" s="905">
        <v>1.36</v>
      </c>
      <c r="M213" s="907">
        <v>19122</v>
      </c>
      <c r="N213" s="907">
        <v>22458</v>
      </c>
      <c r="O213" s="905">
        <v>1.17</v>
      </c>
      <c r="P213" s="906">
        <v>90879</v>
      </c>
      <c r="Q213" s="906">
        <v>106274</v>
      </c>
      <c r="R213" s="902">
        <v>1.17</v>
      </c>
      <c r="T213" s="905">
        <v>164.4</v>
      </c>
      <c r="U213" s="905">
        <v>161</v>
      </c>
      <c r="V213" s="905">
        <v>0.98</v>
      </c>
      <c r="W213" s="907">
        <v>9707</v>
      </c>
      <c r="X213" s="907">
        <v>9441</v>
      </c>
      <c r="Y213" s="905">
        <v>0.97</v>
      </c>
      <c r="Z213" s="907">
        <v>8316</v>
      </c>
      <c r="AA213" s="907">
        <v>11299</v>
      </c>
      <c r="AB213" s="905">
        <v>1.36</v>
      </c>
      <c r="AC213" s="907">
        <v>37410</v>
      </c>
      <c r="AD213" s="907">
        <v>37569</v>
      </c>
      <c r="AE213" s="905">
        <v>1</v>
      </c>
      <c r="AF213" s="902">
        <v>0</v>
      </c>
      <c r="AG213" s="902">
        <v>0</v>
      </c>
      <c r="AH213" s="902" t="s">
        <v>1483</v>
      </c>
      <c r="AI213" s="905">
        <v>558</v>
      </c>
      <c r="AJ213" s="905">
        <v>603.9</v>
      </c>
      <c r="AK213" s="905">
        <v>1.08</v>
      </c>
      <c r="AL213" s="907">
        <v>69583</v>
      </c>
      <c r="AM213" s="907">
        <v>69633</v>
      </c>
      <c r="AN213" s="905">
        <v>1</v>
      </c>
      <c r="AP213" s="903">
        <v>2020</v>
      </c>
      <c r="AQ213" s="903" t="s">
        <v>1476</v>
      </c>
      <c r="AR213" s="907">
        <v>47391</v>
      </c>
      <c r="AS213" s="907">
        <v>64389</v>
      </c>
      <c r="AT213" s="905">
        <v>1.36</v>
      </c>
      <c r="AV213" s="903">
        <v>2020</v>
      </c>
      <c r="AW213" s="903" t="s">
        <v>1476</v>
      </c>
      <c r="AX213" s="907">
        <v>56532</v>
      </c>
      <c r="AY213" s="907">
        <v>60027</v>
      </c>
      <c r="AZ213" s="905">
        <v>1.06</v>
      </c>
      <c r="BB213" s="900">
        <v>2020</v>
      </c>
      <c r="BC213" s="900" t="s">
        <v>1476</v>
      </c>
      <c r="BD213" s="906">
        <v>90879</v>
      </c>
      <c r="BE213" s="906">
        <v>106274</v>
      </c>
      <c r="BF213" s="902">
        <v>1.17</v>
      </c>
    </row>
    <row r="214" spans="2:58" ht="10.9" thickBot="1">
      <c r="B214" s="900">
        <v>2020</v>
      </c>
      <c r="C214" s="263">
        <f t="shared" si="3"/>
        <v>44043</v>
      </c>
      <c r="D214" s="909">
        <v>565.70000000000005</v>
      </c>
      <c r="E214" s="909">
        <v>666.1</v>
      </c>
      <c r="F214" s="914">
        <v>1.18</v>
      </c>
      <c r="G214" s="906">
        <v>99048</v>
      </c>
      <c r="H214" s="906">
        <v>109478</v>
      </c>
      <c r="I214" s="902">
        <v>1.1100000000000001</v>
      </c>
      <c r="J214" s="906">
        <v>73066</v>
      </c>
      <c r="K214" s="906">
        <v>86659</v>
      </c>
      <c r="L214" s="902">
        <v>1.19</v>
      </c>
      <c r="M214" s="906">
        <v>39090</v>
      </c>
      <c r="N214" s="906">
        <v>47285</v>
      </c>
      <c r="O214" s="902">
        <v>1.21</v>
      </c>
      <c r="P214" s="907">
        <v>115244</v>
      </c>
      <c r="Q214" s="907">
        <v>130239</v>
      </c>
      <c r="R214" s="905">
        <v>1.1299999999999999</v>
      </c>
      <c r="T214" s="902">
        <v>197.4</v>
      </c>
      <c r="U214" s="902">
        <v>228.8</v>
      </c>
      <c r="V214" s="902">
        <v>1.1599999999999999</v>
      </c>
      <c r="W214" s="906">
        <v>16941</v>
      </c>
      <c r="X214" s="906">
        <v>19136</v>
      </c>
      <c r="Y214" s="902">
        <v>1.1299999999999999</v>
      </c>
      <c r="Z214" s="906">
        <v>15817</v>
      </c>
      <c r="AA214" s="906">
        <v>18759</v>
      </c>
      <c r="AB214" s="902">
        <v>1.19</v>
      </c>
      <c r="AC214" s="906">
        <v>44324</v>
      </c>
      <c r="AD214" s="906">
        <v>51359</v>
      </c>
      <c r="AE214" s="902">
        <v>1.1599999999999999</v>
      </c>
      <c r="AF214" s="905">
        <v>112</v>
      </c>
      <c r="AG214" s="905">
        <v>158</v>
      </c>
      <c r="AH214" s="905">
        <v>1.41</v>
      </c>
      <c r="AI214" s="902">
        <v>763.1</v>
      </c>
      <c r="AJ214" s="902">
        <v>894.8</v>
      </c>
      <c r="AK214" s="902">
        <v>1.17</v>
      </c>
      <c r="AL214" s="906">
        <v>115989</v>
      </c>
      <c r="AM214" s="906">
        <v>128614</v>
      </c>
      <c r="AN214" s="902">
        <v>1.1100000000000001</v>
      </c>
      <c r="AP214" s="900">
        <v>2020</v>
      </c>
      <c r="AQ214" s="900" t="s">
        <v>1477</v>
      </c>
      <c r="AR214" s="906">
        <v>88884</v>
      </c>
      <c r="AS214" s="906">
        <v>105418</v>
      </c>
      <c r="AT214" s="902">
        <v>1.19</v>
      </c>
      <c r="AV214" s="900">
        <v>2020</v>
      </c>
      <c r="AW214" s="900" t="s">
        <v>1477</v>
      </c>
      <c r="AX214" s="906">
        <v>83413</v>
      </c>
      <c r="AY214" s="906">
        <v>98644</v>
      </c>
      <c r="AZ214" s="902">
        <v>1.18</v>
      </c>
      <c r="BB214" s="903">
        <v>2020</v>
      </c>
      <c r="BC214" s="903" t="s">
        <v>1477</v>
      </c>
      <c r="BD214" s="907">
        <v>115356</v>
      </c>
      <c r="BE214" s="907">
        <v>130397</v>
      </c>
      <c r="BF214" s="905">
        <v>1.1299999999999999</v>
      </c>
    </row>
    <row r="215" spans="2:58" ht="10.9" thickBot="1">
      <c r="B215" s="903">
        <v>2020</v>
      </c>
      <c r="C215" s="263">
        <f t="shared" si="3"/>
        <v>44074</v>
      </c>
      <c r="D215" s="909">
        <v>589.1</v>
      </c>
      <c r="E215" s="909">
        <v>714</v>
      </c>
      <c r="F215" s="914">
        <v>1.21</v>
      </c>
      <c r="G215" s="907">
        <v>99716</v>
      </c>
      <c r="H215" s="907">
        <v>114529</v>
      </c>
      <c r="I215" s="905">
        <v>1.1499999999999999</v>
      </c>
      <c r="J215" s="907">
        <v>95085</v>
      </c>
      <c r="K215" s="907">
        <v>123639</v>
      </c>
      <c r="L215" s="905">
        <v>1.3</v>
      </c>
      <c r="M215" s="907">
        <v>54483</v>
      </c>
      <c r="N215" s="907">
        <v>64626</v>
      </c>
      <c r="O215" s="905">
        <v>1.19</v>
      </c>
      <c r="P215" s="906">
        <v>116189</v>
      </c>
      <c r="Q215" s="906">
        <v>131711</v>
      </c>
      <c r="R215" s="902">
        <v>1.1299999999999999</v>
      </c>
      <c r="T215" s="905">
        <v>212.5</v>
      </c>
      <c r="U215" s="905">
        <v>254.6</v>
      </c>
      <c r="V215" s="905">
        <v>1.2</v>
      </c>
      <c r="W215" s="907">
        <v>19523</v>
      </c>
      <c r="X215" s="907">
        <v>22481</v>
      </c>
      <c r="Y215" s="905">
        <v>1.1499999999999999</v>
      </c>
      <c r="Z215" s="907">
        <v>19930</v>
      </c>
      <c r="AA215" s="907">
        <v>25915</v>
      </c>
      <c r="AB215" s="905">
        <v>1.3</v>
      </c>
      <c r="AC215" s="907">
        <v>53780</v>
      </c>
      <c r="AD215" s="907">
        <v>63353</v>
      </c>
      <c r="AE215" s="905">
        <v>1.18</v>
      </c>
      <c r="AF215" s="902">
        <v>179</v>
      </c>
      <c r="AG215" s="902">
        <v>258</v>
      </c>
      <c r="AH215" s="902">
        <v>1.44</v>
      </c>
      <c r="AI215" s="905">
        <v>801.6</v>
      </c>
      <c r="AJ215" s="905">
        <v>968.6</v>
      </c>
      <c r="AK215" s="905">
        <v>1.21</v>
      </c>
      <c r="AL215" s="907">
        <v>119239</v>
      </c>
      <c r="AM215" s="907">
        <v>137010</v>
      </c>
      <c r="AN215" s="905">
        <v>1.1499999999999999</v>
      </c>
      <c r="AP215" s="903">
        <v>2020</v>
      </c>
      <c r="AQ215" s="903" t="s">
        <v>1478</v>
      </c>
      <c r="AR215" s="907">
        <v>115015</v>
      </c>
      <c r="AS215" s="907">
        <v>149554</v>
      </c>
      <c r="AT215" s="905">
        <v>1.3</v>
      </c>
      <c r="AV215" s="903">
        <v>2020</v>
      </c>
      <c r="AW215" s="903" t="s">
        <v>1478</v>
      </c>
      <c r="AX215" s="907">
        <v>108264</v>
      </c>
      <c r="AY215" s="907">
        <v>127979</v>
      </c>
      <c r="AZ215" s="905">
        <v>1.18</v>
      </c>
      <c r="BB215" s="900">
        <v>2020</v>
      </c>
      <c r="BC215" s="900" t="s">
        <v>1478</v>
      </c>
      <c r="BD215" s="906">
        <v>116369</v>
      </c>
      <c r="BE215" s="906">
        <v>131969</v>
      </c>
      <c r="BF215" s="902">
        <v>1.1299999999999999</v>
      </c>
    </row>
    <row r="216" spans="2:58" ht="10.9" thickBot="1">
      <c r="B216" s="900">
        <v>2020</v>
      </c>
      <c r="C216" s="263">
        <f t="shared" si="3"/>
        <v>44104</v>
      </c>
      <c r="D216" s="909">
        <v>508.5</v>
      </c>
      <c r="E216" s="909">
        <v>599</v>
      </c>
      <c r="F216" s="914">
        <v>1.18</v>
      </c>
      <c r="G216" s="906">
        <v>86331</v>
      </c>
      <c r="H216" s="906">
        <v>92902</v>
      </c>
      <c r="I216" s="902">
        <v>1.08</v>
      </c>
      <c r="J216" s="906">
        <v>85059</v>
      </c>
      <c r="K216" s="906">
        <v>109183</v>
      </c>
      <c r="L216" s="902">
        <v>1.28</v>
      </c>
      <c r="M216" s="906">
        <v>44798</v>
      </c>
      <c r="N216" s="906">
        <v>50857</v>
      </c>
      <c r="O216" s="902">
        <v>1.1399999999999999</v>
      </c>
      <c r="P216" s="907">
        <v>88629</v>
      </c>
      <c r="Q216" s="907">
        <v>105904</v>
      </c>
      <c r="R216" s="905">
        <v>1.19</v>
      </c>
      <c r="T216" s="902">
        <v>219.4</v>
      </c>
      <c r="U216" s="902">
        <v>253.3</v>
      </c>
      <c r="V216" s="902">
        <v>1.1499999999999999</v>
      </c>
      <c r="W216" s="906">
        <v>19965</v>
      </c>
      <c r="X216" s="906">
        <v>22193</v>
      </c>
      <c r="Y216" s="902">
        <v>1.1100000000000001</v>
      </c>
      <c r="Z216" s="906">
        <v>24534</v>
      </c>
      <c r="AA216" s="906">
        <v>31492</v>
      </c>
      <c r="AB216" s="902">
        <v>1.28</v>
      </c>
      <c r="AC216" s="906">
        <v>58810</v>
      </c>
      <c r="AD216" s="906">
        <v>66933</v>
      </c>
      <c r="AE216" s="902">
        <v>1.1399999999999999</v>
      </c>
      <c r="AF216" s="905">
        <v>120</v>
      </c>
      <c r="AG216" s="905">
        <v>162</v>
      </c>
      <c r="AH216" s="905">
        <v>1.36</v>
      </c>
      <c r="AI216" s="902">
        <v>727.9</v>
      </c>
      <c r="AJ216" s="902">
        <v>852.3</v>
      </c>
      <c r="AK216" s="902">
        <v>1.17</v>
      </c>
      <c r="AL216" s="906">
        <v>106296</v>
      </c>
      <c r="AM216" s="906">
        <v>115095</v>
      </c>
      <c r="AN216" s="902">
        <v>1.08</v>
      </c>
      <c r="AP216" s="900">
        <v>2020</v>
      </c>
      <c r="AQ216" s="900" t="s">
        <v>1479</v>
      </c>
      <c r="AR216" s="906">
        <v>109593</v>
      </c>
      <c r="AS216" s="906">
        <v>140675</v>
      </c>
      <c r="AT216" s="902">
        <v>1.28</v>
      </c>
      <c r="AV216" s="900">
        <v>2020</v>
      </c>
      <c r="AW216" s="900" t="s">
        <v>1479</v>
      </c>
      <c r="AX216" s="906">
        <v>103609</v>
      </c>
      <c r="AY216" s="906">
        <v>117790</v>
      </c>
      <c r="AZ216" s="902">
        <v>1.1399999999999999</v>
      </c>
      <c r="BB216" s="903">
        <v>2020</v>
      </c>
      <c r="BC216" s="903" t="s">
        <v>1479</v>
      </c>
      <c r="BD216" s="907">
        <v>88749</v>
      </c>
      <c r="BE216" s="907">
        <v>106066</v>
      </c>
      <c r="BF216" s="905">
        <v>1.2</v>
      </c>
    </row>
    <row r="217" spans="2:58" ht="10.9" thickBot="1">
      <c r="B217" s="903">
        <v>2020</v>
      </c>
      <c r="C217" s="263">
        <f t="shared" si="3"/>
        <v>44135</v>
      </c>
      <c r="D217" s="909">
        <v>568.9</v>
      </c>
      <c r="E217" s="909">
        <v>650.5</v>
      </c>
      <c r="F217" s="914">
        <v>1.1399999999999999</v>
      </c>
      <c r="G217" s="907">
        <v>91585</v>
      </c>
      <c r="H217" s="907">
        <v>97731</v>
      </c>
      <c r="I217" s="905">
        <v>1.07</v>
      </c>
      <c r="J217" s="907">
        <v>95728</v>
      </c>
      <c r="K217" s="907">
        <v>116351</v>
      </c>
      <c r="L217" s="905">
        <v>1.22</v>
      </c>
      <c r="M217" s="907">
        <v>60424</v>
      </c>
      <c r="N217" s="907">
        <v>67315</v>
      </c>
      <c r="O217" s="905">
        <v>1.1100000000000001</v>
      </c>
      <c r="P217" s="906">
        <v>90592</v>
      </c>
      <c r="Q217" s="906">
        <v>98439</v>
      </c>
      <c r="R217" s="902">
        <v>1.0900000000000001</v>
      </c>
      <c r="T217" s="905">
        <v>238.5</v>
      </c>
      <c r="U217" s="905">
        <v>267</v>
      </c>
      <c r="V217" s="905">
        <v>1.1200000000000001</v>
      </c>
      <c r="W217" s="907">
        <v>24533</v>
      </c>
      <c r="X217" s="907">
        <v>27547</v>
      </c>
      <c r="Y217" s="905">
        <v>1.1200000000000001</v>
      </c>
      <c r="Z217" s="907">
        <v>30259</v>
      </c>
      <c r="AA217" s="907">
        <v>36778</v>
      </c>
      <c r="AB217" s="905">
        <v>1.22</v>
      </c>
      <c r="AC217" s="907">
        <v>62573</v>
      </c>
      <c r="AD217" s="907">
        <v>68535</v>
      </c>
      <c r="AE217" s="905">
        <v>1.1000000000000001</v>
      </c>
      <c r="AF217" s="902">
        <v>110</v>
      </c>
      <c r="AG217" s="902">
        <v>147</v>
      </c>
      <c r="AH217" s="902">
        <v>1.34</v>
      </c>
      <c r="AI217" s="905">
        <v>807.4</v>
      </c>
      <c r="AJ217" s="905">
        <v>917.5</v>
      </c>
      <c r="AK217" s="905">
        <v>1.1399999999999999</v>
      </c>
      <c r="AL217" s="907">
        <v>116118</v>
      </c>
      <c r="AM217" s="907">
        <v>125278</v>
      </c>
      <c r="AN217" s="905">
        <v>1.08</v>
      </c>
      <c r="AP217" s="903">
        <v>2020</v>
      </c>
      <c r="AQ217" s="903" t="s">
        <v>1480</v>
      </c>
      <c r="AR217" s="907">
        <v>125986</v>
      </c>
      <c r="AS217" s="907">
        <v>153129</v>
      </c>
      <c r="AT217" s="905">
        <v>1.22</v>
      </c>
      <c r="AV217" s="903">
        <v>2020</v>
      </c>
      <c r="AW217" s="903" t="s">
        <v>1480</v>
      </c>
      <c r="AX217" s="907">
        <v>122997</v>
      </c>
      <c r="AY217" s="907">
        <v>135851</v>
      </c>
      <c r="AZ217" s="905">
        <v>1.1000000000000001</v>
      </c>
      <c r="BB217" s="900">
        <v>2020</v>
      </c>
      <c r="BC217" s="900" t="s">
        <v>1480</v>
      </c>
      <c r="BD217" s="906">
        <v>90703</v>
      </c>
      <c r="BE217" s="906">
        <v>98587</v>
      </c>
      <c r="BF217" s="902">
        <v>1.0900000000000001</v>
      </c>
    </row>
    <row r="218" spans="2:58" ht="10.9" thickBot="1">
      <c r="B218" s="900">
        <v>2020</v>
      </c>
      <c r="C218" s="263">
        <f t="shared" si="3"/>
        <v>44165</v>
      </c>
      <c r="D218" s="909">
        <v>593</v>
      </c>
      <c r="E218" s="909">
        <v>717.9</v>
      </c>
      <c r="F218" s="914">
        <v>1.21</v>
      </c>
      <c r="G218" s="906">
        <v>91684</v>
      </c>
      <c r="H218" s="906">
        <v>103275</v>
      </c>
      <c r="I218" s="902">
        <v>1.1299999999999999</v>
      </c>
      <c r="J218" s="906">
        <v>101322</v>
      </c>
      <c r="K218" s="906">
        <v>123495</v>
      </c>
      <c r="L218" s="902">
        <v>1.22</v>
      </c>
      <c r="M218" s="906">
        <v>61854</v>
      </c>
      <c r="N218" s="906">
        <v>73065</v>
      </c>
      <c r="O218" s="902">
        <v>1.18</v>
      </c>
      <c r="P218" s="907">
        <v>102233</v>
      </c>
      <c r="Q218" s="907">
        <v>121061</v>
      </c>
      <c r="R218" s="905">
        <v>1.18</v>
      </c>
      <c r="T218" s="902">
        <v>251.6</v>
      </c>
      <c r="U218" s="902">
        <v>295</v>
      </c>
      <c r="V218" s="902">
        <v>1.17</v>
      </c>
      <c r="W218" s="906">
        <v>29217</v>
      </c>
      <c r="X218" s="906">
        <v>34435</v>
      </c>
      <c r="Y218" s="902">
        <v>1.18</v>
      </c>
      <c r="Z218" s="906">
        <v>31507</v>
      </c>
      <c r="AA218" s="906">
        <v>38402</v>
      </c>
      <c r="AB218" s="902">
        <v>1.22</v>
      </c>
      <c r="AC218" s="906">
        <v>69957</v>
      </c>
      <c r="AD218" s="906">
        <v>81485</v>
      </c>
      <c r="AE218" s="902">
        <v>1.1599999999999999</v>
      </c>
      <c r="AF218" s="905">
        <v>235</v>
      </c>
      <c r="AG218" s="905">
        <v>335</v>
      </c>
      <c r="AH218" s="905">
        <v>1.42</v>
      </c>
      <c r="AI218" s="902">
        <v>844.6</v>
      </c>
      <c r="AJ218" s="901">
        <v>1012.9</v>
      </c>
      <c r="AK218" s="902">
        <v>1.2</v>
      </c>
      <c r="AL218" s="906">
        <v>120901</v>
      </c>
      <c r="AM218" s="906">
        <v>137709</v>
      </c>
      <c r="AN218" s="902">
        <v>1.1399999999999999</v>
      </c>
      <c r="AP218" s="900">
        <v>2020</v>
      </c>
      <c r="AQ218" s="900" t="s">
        <v>1481</v>
      </c>
      <c r="AR218" s="906">
        <v>132829</v>
      </c>
      <c r="AS218" s="906">
        <v>161897</v>
      </c>
      <c r="AT218" s="902">
        <v>1.22</v>
      </c>
      <c r="AV218" s="900">
        <v>2020</v>
      </c>
      <c r="AW218" s="900" t="s">
        <v>1481</v>
      </c>
      <c r="AX218" s="906">
        <v>131811</v>
      </c>
      <c r="AY218" s="906">
        <v>154551</v>
      </c>
      <c r="AZ218" s="902">
        <v>1.17</v>
      </c>
      <c r="BB218" s="903">
        <v>2020</v>
      </c>
      <c r="BC218" s="903" t="s">
        <v>1481</v>
      </c>
      <c r="BD218" s="907">
        <v>102468</v>
      </c>
      <c r="BE218" s="907">
        <v>121395</v>
      </c>
      <c r="BF218" s="905">
        <v>1.18</v>
      </c>
    </row>
    <row r="219" spans="2:58" ht="11.2" customHeight="1" thickBot="1">
      <c r="B219" s="903">
        <v>2020</v>
      </c>
      <c r="C219" s="263">
        <f t="shared" si="3"/>
        <v>44196</v>
      </c>
      <c r="D219" s="909">
        <v>646.70000000000005</v>
      </c>
      <c r="E219" s="909">
        <v>953</v>
      </c>
      <c r="F219" s="914">
        <v>1.47</v>
      </c>
      <c r="G219" s="907">
        <v>96268</v>
      </c>
      <c r="H219" s="907">
        <v>125088</v>
      </c>
      <c r="I219" s="905">
        <v>1.3</v>
      </c>
      <c r="J219" s="907">
        <v>107190</v>
      </c>
      <c r="K219" s="907">
        <v>205251</v>
      </c>
      <c r="L219" s="905">
        <v>1.91</v>
      </c>
      <c r="M219" s="907">
        <v>66612</v>
      </c>
      <c r="N219" s="907">
        <v>89407</v>
      </c>
      <c r="O219" s="905">
        <v>1.34</v>
      </c>
      <c r="P219" s="906">
        <v>94512</v>
      </c>
      <c r="Q219" s="906">
        <v>128652</v>
      </c>
      <c r="R219" s="902">
        <v>1.36</v>
      </c>
      <c r="T219" s="905">
        <v>271.8</v>
      </c>
      <c r="U219" s="905">
        <v>379.3</v>
      </c>
      <c r="V219" s="905">
        <v>1.4</v>
      </c>
      <c r="W219" s="907">
        <v>31184</v>
      </c>
      <c r="X219" s="907">
        <v>42104</v>
      </c>
      <c r="Y219" s="905">
        <v>1.35</v>
      </c>
      <c r="Z219" s="907">
        <v>37485</v>
      </c>
      <c r="AA219" s="907">
        <v>71779</v>
      </c>
      <c r="AB219" s="905">
        <v>1.91</v>
      </c>
      <c r="AC219" s="907">
        <v>77803</v>
      </c>
      <c r="AD219" s="907">
        <v>101376</v>
      </c>
      <c r="AE219" s="905">
        <v>1.3</v>
      </c>
      <c r="AF219" s="902">
        <v>545</v>
      </c>
      <c r="AG219" s="902">
        <v>906</v>
      </c>
      <c r="AH219" s="902">
        <v>1.66</v>
      </c>
      <c r="AI219" s="905">
        <v>918.4</v>
      </c>
      <c r="AJ219" s="904">
        <v>1332.3</v>
      </c>
      <c r="AK219" s="905">
        <v>1.45</v>
      </c>
      <c r="AL219" s="907">
        <v>127453</v>
      </c>
      <c r="AM219" s="907">
        <v>167193</v>
      </c>
      <c r="AN219" s="905">
        <v>1.31</v>
      </c>
      <c r="AP219" s="903">
        <v>2020</v>
      </c>
      <c r="AQ219" s="903" t="s">
        <v>1482</v>
      </c>
      <c r="AR219" s="907">
        <v>144675</v>
      </c>
      <c r="AS219" s="907">
        <v>277030</v>
      </c>
      <c r="AT219" s="905">
        <v>1.91</v>
      </c>
      <c r="AV219" s="903">
        <v>2020</v>
      </c>
      <c r="AW219" s="903" t="s">
        <v>1482</v>
      </c>
      <c r="AX219" s="907">
        <v>144415</v>
      </c>
      <c r="AY219" s="907">
        <v>190783</v>
      </c>
      <c r="AZ219" s="905">
        <v>1.32</v>
      </c>
      <c r="BB219" s="900">
        <v>2020</v>
      </c>
      <c r="BC219" s="900" t="s">
        <v>1482</v>
      </c>
      <c r="BD219" s="906">
        <v>95057</v>
      </c>
      <c r="BE219" s="906">
        <v>129558</v>
      </c>
      <c r="BF219" s="902">
        <v>1.36</v>
      </c>
    </row>
    <row r="220" spans="2:58" ht="10.9" thickBot="1">
      <c r="B220" s="900">
        <v>2021</v>
      </c>
      <c r="C220" s="263">
        <f t="shared" si="3"/>
        <v>44227</v>
      </c>
      <c r="D220" s="909">
        <v>579</v>
      </c>
      <c r="E220" s="909">
        <v>877.5</v>
      </c>
      <c r="F220" s="914">
        <v>1.52</v>
      </c>
      <c r="G220" s="906">
        <v>92579</v>
      </c>
      <c r="H220" s="906">
        <v>130639</v>
      </c>
      <c r="I220" s="902">
        <v>1.41</v>
      </c>
      <c r="J220" s="906">
        <v>106922</v>
      </c>
      <c r="K220" s="906">
        <v>174971</v>
      </c>
      <c r="L220" s="902">
        <v>1.64</v>
      </c>
      <c r="M220" s="906">
        <v>59816</v>
      </c>
      <c r="N220" s="906">
        <v>86367</v>
      </c>
      <c r="O220" s="902">
        <v>1.44</v>
      </c>
      <c r="P220" s="907">
        <v>88870</v>
      </c>
      <c r="Q220" s="907">
        <v>127994</v>
      </c>
      <c r="R220" s="905">
        <v>1.44</v>
      </c>
      <c r="T220" s="902">
        <v>265.2</v>
      </c>
      <c r="U220" s="902">
        <v>394.4</v>
      </c>
      <c r="V220" s="902">
        <v>1.49</v>
      </c>
      <c r="W220" s="906">
        <v>36824</v>
      </c>
      <c r="X220" s="906">
        <v>53530</v>
      </c>
      <c r="Y220" s="902">
        <v>1.45</v>
      </c>
      <c r="Z220" s="906">
        <v>40486</v>
      </c>
      <c r="AA220" s="906">
        <v>66252</v>
      </c>
      <c r="AB220" s="902">
        <v>1.64</v>
      </c>
      <c r="AC220" s="906">
        <v>67404</v>
      </c>
      <c r="AD220" s="906">
        <v>96853</v>
      </c>
      <c r="AE220" s="902">
        <v>1.44</v>
      </c>
      <c r="AF220" s="905">
        <v>347</v>
      </c>
      <c r="AG220" s="905">
        <v>594</v>
      </c>
      <c r="AH220" s="905">
        <v>1.71</v>
      </c>
      <c r="AI220" s="902">
        <v>844.2</v>
      </c>
      <c r="AJ220" s="901">
        <v>1271.9000000000001</v>
      </c>
      <c r="AK220" s="902">
        <v>1.51</v>
      </c>
      <c r="AL220" s="906">
        <v>129403</v>
      </c>
      <c r="AM220" s="906">
        <v>184170</v>
      </c>
      <c r="AN220" s="902">
        <v>1.42</v>
      </c>
      <c r="AP220" s="900">
        <v>2021</v>
      </c>
      <c r="AQ220" s="900" t="s">
        <v>1472</v>
      </c>
      <c r="AR220" s="906">
        <v>147408</v>
      </c>
      <c r="AS220" s="906">
        <v>241223</v>
      </c>
      <c r="AT220" s="902">
        <v>1.64</v>
      </c>
      <c r="AV220" s="900">
        <v>2021</v>
      </c>
      <c r="AW220" s="900" t="s">
        <v>1472</v>
      </c>
      <c r="AX220" s="906">
        <v>127220</v>
      </c>
      <c r="AY220" s="906">
        <v>183220</v>
      </c>
      <c r="AZ220" s="902">
        <v>1.44</v>
      </c>
      <c r="BB220" s="903">
        <v>2021</v>
      </c>
      <c r="BC220" s="903" t="s">
        <v>1472</v>
      </c>
      <c r="BD220" s="907">
        <v>89218</v>
      </c>
      <c r="BE220" s="907">
        <v>128588</v>
      </c>
      <c r="BF220" s="905">
        <v>1.44</v>
      </c>
    </row>
    <row r="221" spans="2:58" ht="10.9" thickBot="1">
      <c r="B221" s="903">
        <v>2021</v>
      </c>
      <c r="C221" s="263">
        <f t="shared" si="3"/>
        <v>44255</v>
      </c>
      <c r="D221" s="909">
        <v>525.79999999999995</v>
      </c>
      <c r="E221" s="909">
        <v>848.2</v>
      </c>
      <c r="F221" s="914">
        <v>1.61</v>
      </c>
      <c r="G221" s="907">
        <v>82583</v>
      </c>
      <c r="H221" s="907">
        <v>128419</v>
      </c>
      <c r="I221" s="905">
        <v>1.56</v>
      </c>
      <c r="J221" s="907">
        <v>96982</v>
      </c>
      <c r="K221" s="907">
        <v>155987</v>
      </c>
      <c r="L221" s="905">
        <v>1.61</v>
      </c>
      <c r="M221" s="907">
        <v>54761</v>
      </c>
      <c r="N221" s="907">
        <v>85461</v>
      </c>
      <c r="O221" s="905">
        <v>1.56</v>
      </c>
      <c r="P221" s="906">
        <v>73893</v>
      </c>
      <c r="Q221" s="906">
        <v>117085</v>
      </c>
      <c r="R221" s="902">
        <v>1.58</v>
      </c>
      <c r="T221" s="905">
        <v>230.7</v>
      </c>
      <c r="U221" s="905">
        <v>359.5</v>
      </c>
      <c r="V221" s="905">
        <v>1.56</v>
      </c>
      <c r="W221" s="907">
        <v>34067</v>
      </c>
      <c r="X221" s="907">
        <v>54620</v>
      </c>
      <c r="Y221" s="905">
        <v>1.6</v>
      </c>
      <c r="Z221" s="907">
        <v>34754</v>
      </c>
      <c r="AA221" s="907">
        <v>55900</v>
      </c>
      <c r="AB221" s="905">
        <v>1.61</v>
      </c>
      <c r="AC221" s="907">
        <v>59124</v>
      </c>
      <c r="AD221" s="907">
        <v>91082</v>
      </c>
      <c r="AE221" s="905">
        <v>1.54</v>
      </c>
      <c r="AF221" s="902">
        <v>323</v>
      </c>
      <c r="AG221" s="902">
        <v>607</v>
      </c>
      <c r="AH221" s="902">
        <v>1.88</v>
      </c>
      <c r="AI221" s="905">
        <v>756.5</v>
      </c>
      <c r="AJ221" s="904">
        <v>1207.7</v>
      </c>
      <c r="AK221" s="905">
        <v>1.6</v>
      </c>
      <c r="AL221" s="907">
        <v>116651</v>
      </c>
      <c r="AM221" s="907">
        <v>183039</v>
      </c>
      <c r="AN221" s="905">
        <v>1.57</v>
      </c>
      <c r="AP221" s="903">
        <v>2021</v>
      </c>
      <c r="AQ221" s="903" t="s">
        <v>1473</v>
      </c>
      <c r="AR221" s="907">
        <v>131736</v>
      </c>
      <c r="AS221" s="907">
        <v>211887</v>
      </c>
      <c r="AT221" s="905">
        <v>1.61</v>
      </c>
      <c r="AV221" s="903">
        <v>2021</v>
      </c>
      <c r="AW221" s="903" t="s">
        <v>1473</v>
      </c>
      <c r="AX221" s="907">
        <v>113885</v>
      </c>
      <c r="AY221" s="907">
        <v>176544</v>
      </c>
      <c r="AZ221" s="905">
        <v>1.55</v>
      </c>
      <c r="BB221" s="900">
        <v>2021</v>
      </c>
      <c r="BC221" s="900" t="s">
        <v>1473</v>
      </c>
      <c r="BD221" s="906">
        <v>74216</v>
      </c>
      <c r="BE221" s="906">
        <v>117692</v>
      </c>
      <c r="BF221" s="902">
        <v>1.59</v>
      </c>
    </row>
    <row r="222" spans="2:58" ht="10.9" thickBot="1">
      <c r="B222" s="900">
        <v>2021</v>
      </c>
      <c r="C222" s="263">
        <f t="shared" si="3"/>
        <v>44286</v>
      </c>
      <c r="D222" s="909">
        <v>713.6</v>
      </c>
      <c r="E222" s="909">
        <v>1333.1</v>
      </c>
      <c r="F222" s="914">
        <v>1.87</v>
      </c>
      <c r="G222" s="906">
        <v>116749</v>
      </c>
      <c r="H222" s="906">
        <v>195615</v>
      </c>
      <c r="I222" s="902">
        <v>1.68</v>
      </c>
      <c r="J222" s="906">
        <v>124276</v>
      </c>
      <c r="K222" s="906">
        <v>308535</v>
      </c>
      <c r="L222" s="902">
        <v>2.48</v>
      </c>
      <c r="M222" s="906">
        <v>71701</v>
      </c>
      <c r="N222" s="906">
        <v>123016</v>
      </c>
      <c r="O222" s="902">
        <v>1.72</v>
      </c>
      <c r="P222" s="907">
        <v>121142</v>
      </c>
      <c r="Q222" s="907">
        <v>206005</v>
      </c>
      <c r="R222" s="905">
        <v>1.7</v>
      </c>
      <c r="T222" s="902">
        <v>289.7</v>
      </c>
      <c r="U222" s="902">
        <v>520.4</v>
      </c>
      <c r="V222" s="902">
        <v>1.8</v>
      </c>
      <c r="W222" s="906">
        <v>45739</v>
      </c>
      <c r="X222" s="906">
        <v>78559</v>
      </c>
      <c r="Y222" s="902">
        <v>1.72</v>
      </c>
      <c r="Z222" s="906">
        <v>43107</v>
      </c>
      <c r="AA222" s="906">
        <v>107020</v>
      </c>
      <c r="AB222" s="902">
        <v>2.48</v>
      </c>
      <c r="AC222" s="906">
        <v>74120</v>
      </c>
      <c r="AD222" s="906">
        <v>125920</v>
      </c>
      <c r="AE222" s="902">
        <v>1.7</v>
      </c>
      <c r="AF222" s="907">
        <v>1057</v>
      </c>
      <c r="AG222" s="907">
        <v>2143</v>
      </c>
      <c r="AH222" s="905">
        <v>2.0299999999999998</v>
      </c>
      <c r="AI222" s="901">
        <v>1003.3</v>
      </c>
      <c r="AJ222" s="901">
        <v>1853.5</v>
      </c>
      <c r="AK222" s="902">
        <v>1.85</v>
      </c>
      <c r="AL222" s="906">
        <v>162488</v>
      </c>
      <c r="AM222" s="906">
        <v>274174</v>
      </c>
      <c r="AN222" s="902">
        <v>1.69</v>
      </c>
      <c r="AP222" s="900">
        <v>2021</v>
      </c>
      <c r="AQ222" s="900" t="s">
        <v>1474</v>
      </c>
      <c r="AR222" s="906">
        <v>167383</v>
      </c>
      <c r="AS222" s="906">
        <v>415555</v>
      </c>
      <c r="AT222" s="902">
        <v>2.48</v>
      </c>
      <c r="AV222" s="900">
        <v>2021</v>
      </c>
      <c r="AW222" s="900" t="s">
        <v>1474</v>
      </c>
      <c r="AX222" s="906">
        <v>145821</v>
      </c>
      <c r="AY222" s="906">
        <v>248935</v>
      </c>
      <c r="AZ222" s="902">
        <v>1.71</v>
      </c>
      <c r="BB222" s="903">
        <v>2021</v>
      </c>
      <c r="BC222" s="903" t="s">
        <v>1474</v>
      </c>
      <c r="BD222" s="907">
        <v>122198</v>
      </c>
      <c r="BE222" s="907">
        <v>208148</v>
      </c>
      <c r="BF222" s="905">
        <v>1.7</v>
      </c>
    </row>
    <row r="223" spans="2:58" ht="10.9" thickBot="1">
      <c r="B223" s="903">
        <v>2021</v>
      </c>
      <c r="C223" s="263">
        <f t="shared" si="3"/>
        <v>44316</v>
      </c>
      <c r="D223" s="909">
        <v>739.8</v>
      </c>
      <c r="E223" s="909">
        <v>1302.3</v>
      </c>
      <c r="F223" s="914">
        <v>1.76</v>
      </c>
      <c r="G223" s="907">
        <v>126868</v>
      </c>
      <c r="H223" s="907">
        <v>214396</v>
      </c>
      <c r="I223" s="905">
        <v>1.69</v>
      </c>
      <c r="J223" s="907">
        <v>125845</v>
      </c>
      <c r="K223" s="907">
        <v>222005</v>
      </c>
      <c r="L223" s="905">
        <v>1.76</v>
      </c>
      <c r="M223" s="907">
        <v>73115</v>
      </c>
      <c r="N223" s="907">
        <v>126452</v>
      </c>
      <c r="O223" s="905">
        <v>1.73</v>
      </c>
      <c r="P223" s="906">
        <v>125740</v>
      </c>
      <c r="Q223" s="906">
        <v>222787</v>
      </c>
      <c r="R223" s="902">
        <v>1.77</v>
      </c>
      <c r="T223" s="905">
        <v>300.2</v>
      </c>
      <c r="U223" s="905">
        <v>519.79999999999995</v>
      </c>
      <c r="V223" s="905">
        <v>1.73</v>
      </c>
      <c r="W223" s="907">
        <v>53495</v>
      </c>
      <c r="X223" s="907">
        <v>92990</v>
      </c>
      <c r="Y223" s="905">
        <v>1.74</v>
      </c>
      <c r="Z223" s="907">
        <v>44872</v>
      </c>
      <c r="AA223" s="907">
        <v>79159</v>
      </c>
      <c r="AB223" s="905">
        <v>1.76</v>
      </c>
      <c r="AC223" s="907">
        <v>72890</v>
      </c>
      <c r="AD223" s="907">
        <v>126668</v>
      </c>
      <c r="AE223" s="905">
        <v>1.74</v>
      </c>
      <c r="AF223" s="906">
        <v>1246</v>
      </c>
      <c r="AG223" s="906">
        <v>2461</v>
      </c>
      <c r="AH223" s="902">
        <v>1.97</v>
      </c>
      <c r="AI223" s="904">
        <v>1040</v>
      </c>
      <c r="AJ223" s="904">
        <v>1822.1</v>
      </c>
      <c r="AK223" s="905">
        <v>1.75</v>
      </c>
      <c r="AL223" s="907">
        <v>180363</v>
      </c>
      <c r="AM223" s="907">
        <v>307386</v>
      </c>
      <c r="AN223" s="905">
        <v>1.7</v>
      </c>
      <c r="AP223" s="903">
        <v>2021</v>
      </c>
      <c r="AQ223" s="903" t="s">
        <v>1475</v>
      </c>
      <c r="AR223" s="907">
        <v>170717</v>
      </c>
      <c r="AS223" s="907">
        <v>301165</v>
      </c>
      <c r="AT223" s="905">
        <v>1.76</v>
      </c>
      <c r="AV223" s="903">
        <v>2021</v>
      </c>
      <c r="AW223" s="903" t="s">
        <v>1475</v>
      </c>
      <c r="AX223" s="907">
        <v>146004</v>
      </c>
      <c r="AY223" s="907">
        <v>253120</v>
      </c>
      <c r="AZ223" s="905">
        <v>1.73</v>
      </c>
      <c r="BB223" s="900">
        <v>2021</v>
      </c>
      <c r="BC223" s="900" t="s">
        <v>1475</v>
      </c>
      <c r="BD223" s="906">
        <v>126986</v>
      </c>
      <c r="BE223" s="906">
        <v>225249</v>
      </c>
      <c r="BF223" s="902">
        <v>1.77</v>
      </c>
    </row>
    <row r="224" spans="2:58" ht="10.9" thickBot="1">
      <c r="B224" s="900">
        <v>2021</v>
      </c>
      <c r="C224" s="263">
        <f t="shared" si="3"/>
        <v>44347</v>
      </c>
      <c r="D224" s="909">
        <v>819.4</v>
      </c>
      <c r="E224" s="909">
        <v>1632.4</v>
      </c>
      <c r="F224" s="914">
        <v>1.99</v>
      </c>
      <c r="G224" s="906">
        <v>151412</v>
      </c>
      <c r="H224" s="906">
        <v>263142</v>
      </c>
      <c r="I224" s="902">
        <v>1.74</v>
      </c>
      <c r="J224" s="906">
        <v>144934</v>
      </c>
      <c r="K224" s="906">
        <v>403556</v>
      </c>
      <c r="L224" s="902">
        <v>2.78</v>
      </c>
      <c r="M224" s="906">
        <v>83800</v>
      </c>
      <c r="N224" s="906">
        <v>150867</v>
      </c>
      <c r="O224" s="902">
        <v>1.8</v>
      </c>
      <c r="P224" s="907">
        <v>139074</v>
      </c>
      <c r="Q224" s="907">
        <v>245842</v>
      </c>
      <c r="R224" s="905">
        <v>1.77</v>
      </c>
      <c r="T224" s="902">
        <v>318.60000000000002</v>
      </c>
      <c r="U224" s="902">
        <v>618.29999999999995</v>
      </c>
      <c r="V224" s="902">
        <v>1.94</v>
      </c>
      <c r="W224" s="906">
        <v>55265</v>
      </c>
      <c r="X224" s="906">
        <v>98999</v>
      </c>
      <c r="Y224" s="902">
        <v>1.79</v>
      </c>
      <c r="Z224" s="906">
        <v>49325</v>
      </c>
      <c r="AA224" s="906">
        <v>137342</v>
      </c>
      <c r="AB224" s="902">
        <v>2.78</v>
      </c>
      <c r="AC224" s="906">
        <v>77853</v>
      </c>
      <c r="AD224" s="906">
        <v>139571</v>
      </c>
      <c r="AE224" s="902">
        <v>1.79</v>
      </c>
      <c r="AF224" s="907">
        <v>1775</v>
      </c>
      <c r="AG224" s="907">
        <v>3697</v>
      </c>
      <c r="AH224" s="905">
        <v>2.08</v>
      </c>
      <c r="AI224" s="901">
        <v>1138</v>
      </c>
      <c r="AJ224" s="901">
        <v>2250.6999999999998</v>
      </c>
      <c r="AK224" s="902">
        <v>1.98</v>
      </c>
      <c r="AL224" s="906">
        <v>206677</v>
      </c>
      <c r="AM224" s="906">
        <v>362142</v>
      </c>
      <c r="AN224" s="902">
        <v>1.75</v>
      </c>
      <c r="AP224" s="900">
        <v>2021</v>
      </c>
      <c r="AQ224" s="900" t="s">
        <v>1465</v>
      </c>
      <c r="AR224" s="906">
        <v>194259</v>
      </c>
      <c r="AS224" s="906">
        <v>540898</v>
      </c>
      <c r="AT224" s="902">
        <v>2.78</v>
      </c>
      <c r="AV224" s="900">
        <v>2021</v>
      </c>
      <c r="AW224" s="900" t="s">
        <v>1465</v>
      </c>
      <c r="AX224" s="906">
        <v>161653</v>
      </c>
      <c r="AY224" s="906">
        <v>290438</v>
      </c>
      <c r="AZ224" s="902">
        <v>1.8</v>
      </c>
      <c r="BB224" s="903">
        <v>2021</v>
      </c>
      <c r="BC224" s="903" t="s">
        <v>1465</v>
      </c>
      <c r="BD224" s="907">
        <v>140850</v>
      </c>
      <c r="BE224" s="907">
        <v>249539</v>
      </c>
      <c r="BF224" s="905">
        <v>1.77</v>
      </c>
    </row>
    <row r="225" spans="2:60" ht="10.9" thickBot="1">
      <c r="B225" s="903">
        <v>2021</v>
      </c>
      <c r="C225" s="263">
        <f t="shared" si="3"/>
        <v>44377</v>
      </c>
      <c r="D225" s="909">
        <v>897.7</v>
      </c>
      <c r="E225" s="909">
        <v>1824.9</v>
      </c>
      <c r="F225" s="914">
        <v>2.0299999999999998</v>
      </c>
      <c r="G225" s="907">
        <v>175254</v>
      </c>
      <c r="H225" s="907">
        <v>318924</v>
      </c>
      <c r="I225" s="905">
        <v>1.82</v>
      </c>
      <c r="J225" s="907">
        <v>144934</v>
      </c>
      <c r="K225" s="907">
        <v>403556</v>
      </c>
      <c r="L225" s="905">
        <v>2.78</v>
      </c>
      <c r="M225" s="907">
        <v>102709</v>
      </c>
      <c r="N225" s="907">
        <v>192245</v>
      </c>
      <c r="O225" s="905">
        <v>1.87</v>
      </c>
      <c r="P225" s="906">
        <v>155850</v>
      </c>
      <c r="Q225" s="906">
        <v>297160</v>
      </c>
      <c r="R225" s="902">
        <v>1.91</v>
      </c>
      <c r="T225" s="905">
        <v>332</v>
      </c>
      <c r="U225" s="905">
        <v>655.8</v>
      </c>
      <c r="V225" s="905">
        <v>1.98</v>
      </c>
      <c r="W225" s="907">
        <v>61811</v>
      </c>
      <c r="X225" s="907">
        <v>116333</v>
      </c>
      <c r="Y225" s="905">
        <v>1.88</v>
      </c>
      <c r="Z225" s="907">
        <v>49325</v>
      </c>
      <c r="AA225" s="907">
        <v>137342</v>
      </c>
      <c r="AB225" s="905">
        <v>2.78</v>
      </c>
      <c r="AC225" s="907">
        <v>84926</v>
      </c>
      <c r="AD225" s="907">
        <v>160229</v>
      </c>
      <c r="AE225" s="905">
        <v>1.89</v>
      </c>
      <c r="AF225" s="906">
        <v>2241</v>
      </c>
      <c r="AG225" s="906">
        <v>4840</v>
      </c>
      <c r="AH225" s="902">
        <v>2.16</v>
      </c>
      <c r="AI225" s="904">
        <v>1229.7</v>
      </c>
      <c r="AJ225" s="904">
        <v>2480.6999999999998</v>
      </c>
      <c r="AK225" s="905">
        <v>2.02</v>
      </c>
      <c r="AL225" s="907">
        <v>237065</v>
      </c>
      <c r="AM225" s="907">
        <v>435256</v>
      </c>
      <c r="AN225" s="905">
        <v>1.84</v>
      </c>
      <c r="AP225" s="903">
        <v>2021</v>
      </c>
      <c r="AQ225" s="903" t="s">
        <v>1476</v>
      </c>
      <c r="AR225" s="907">
        <v>194259</v>
      </c>
      <c r="AS225" s="907">
        <v>540898</v>
      </c>
      <c r="AT225" s="905">
        <v>2.78</v>
      </c>
      <c r="AV225" s="903">
        <v>2021</v>
      </c>
      <c r="AW225" s="903" t="s">
        <v>1476</v>
      </c>
      <c r="AX225" s="907">
        <v>187634</v>
      </c>
      <c r="AY225" s="907">
        <v>352475</v>
      </c>
      <c r="AZ225" s="905">
        <v>1.88</v>
      </c>
      <c r="BB225" s="900">
        <v>2021</v>
      </c>
      <c r="BC225" s="900" t="s">
        <v>1476</v>
      </c>
      <c r="BD225" s="906">
        <v>158091</v>
      </c>
      <c r="BE225" s="906">
        <v>302001</v>
      </c>
      <c r="BF225" s="902">
        <v>1.91</v>
      </c>
    </row>
    <row r="226" spans="2:60" ht="10.9" thickBot="1">
      <c r="B226" s="900">
        <v>2021</v>
      </c>
      <c r="C226" s="263">
        <f t="shared" si="3"/>
        <v>44408</v>
      </c>
      <c r="D226" s="909">
        <v>993.7</v>
      </c>
      <c r="E226" s="909">
        <v>1978.3</v>
      </c>
      <c r="F226" s="914">
        <v>1.99</v>
      </c>
      <c r="G226" s="906">
        <v>185066</v>
      </c>
      <c r="H226" s="906">
        <v>350351</v>
      </c>
      <c r="I226" s="902">
        <v>1.89</v>
      </c>
      <c r="J226" s="906">
        <v>168023</v>
      </c>
      <c r="K226" s="906">
        <v>337358</v>
      </c>
      <c r="L226" s="902">
        <v>2.0099999999999998</v>
      </c>
      <c r="M226" s="906">
        <v>126843</v>
      </c>
      <c r="N226" s="906">
        <v>246842</v>
      </c>
      <c r="O226" s="902">
        <v>1.95</v>
      </c>
      <c r="P226" s="907">
        <v>169477</v>
      </c>
      <c r="Q226" s="907">
        <v>316852</v>
      </c>
      <c r="R226" s="905">
        <v>1.87</v>
      </c>
      <c r="T226" s="902">
        <v>354.5</v>
      </c>
      <c r="U226" s="902">
        <v>704.1</v>
      </c>
      <c r="V226" s="902">
        <v>1.99</v>
      </c>
      <c r="W226" s="906">
        <v>68466</v>
      </c>
      <c r="X226" s="906">
        <v>134666</v>
      </c>
      <c r="Y226" s="902">
        <v>1.97</v>
      </c>
      <c r="Z226" s="906">
        <v>57130</v>
      </c>
      <c r="AA226" s="906">
        <v>114706</v>
      </c>
      <c r="AB226" s="902">
        <v>2.0099999999999998</v>
      </c>
      <c r="AC226" s="906">
        <v>88088</v>
      </c>
      <c r="AD226" s="906">
        <v>173435</v>
      </c>
      <c r="AE226" s="902">
        <v>1.97</v>
      </c>
      <c r="AF226" s="907">
        <v>2476</v>
      </c>
      <c r="AG226" s="907">
        <v>5599</v>
      </c>
      <c r="AH226" s="905">
        <v>2.2599999999999998</v>
      </c>
      <c r="AI226" s="901">
        <v>1348.2</v>
      </c>
      <c r="AJ226" s="901">
        <v>2682.3</v>
      </c>
      <c r="AK226" s="902">
        <v>1.99</v>
      </c>
      <c r="AL226" s="906">
        <v>253532</v>
      </c>
      <c r="AM226" s="906">
        <v>485017</v>
      </c>
      <c r="AN226" s="902">
        <v>1.91</v>
      </c>
      <c r="AP226" s="900">
        <v>2021</v>
      </c>
      <c r="AQ226" s="900" t="s">
        <v>1477</v>
      </c>
      <c r="AR226" s="906">
        <v>225153</v>
      </c>
      <c r="AS226" s="906">
        <v>452064</v>
      </c>
      <c r="AT226" s="902">
        <v>2.0099999999999998</v>
      </c>
      <c r="AV226" s="900">
        <v>2021</v>
      </c>
      <c r="AW226" s="900" t="s">
        <v>1477</v>
      </c>
      <c r="AX226" s="906">
        <v>214931</v>
      </c>
      <c r="AY226" s="906">
        <v>420278</v>
      </c>
      <c r="AZ226" s="902">
        <v>1.96</v>
      </c>
      <c r="BB226" s="903">
        <v>2021</v>
      </c>
      <c r="BC226" s="903" t="s">
        <v>1477</v>
      </c>
      <c r="BD226" s="907">
        <v>171953</v>
      </c>
      <c r="BE226" s="907">
        <v>322451</v>
      </c>
      <c r="BF226" s="905">
        <v>1.88</v>
      </c>
    </row>
    <row r="227" spans="2:60" ht="10.9" thickBot="1">
      <c r="B227" s="903">
        <v>2021</v>
      </c>
      <c r="C227" s="263">
        <f t="shared" si="3"/>
        <v>44439</v>
      </c>
      <c r="D227" s="909">
        <v>965.2</v>
      </c>
      <c r="E227" s="909">
        <v>1907.9</v>
      </c>
      <c r="F227" s="914">
        <v>1.98</v>
      </c>
      <c r="G227" s="907">
        <v>177041</v>
      </c>
      <c r="H227" s="907">
        <v>336008</v>
      </c>
      <c r="I227" s="905">
        <v>1.9</v>
      </c>
      <c r="J227" s="907">
        <v>167649</v>
      </c>
      <c r="K227" s="907">
        <v>327168</v>
      </c>
      <c r="L227" s="905">
        <v>1.95</v>
      </c>
      <c r="M227" s="907">
        <v>127736</v>
      </c>
      <c r="N227" s="907">
        <v>250607</v>
      </c>
      <c r="O227" s="905">
        <v>1.96</v>
      </c>
      <c r="P227" s="906">
        <v>166202</v>
      </c>
      <c r="Q227" s="906">
        <v>324210</v>
      </c>
      <c r="R227" s="902">
        <v>1.95</v>
      </c>
      <c r="T227" s="905">
        <v>357.7</v>
      </c>
      <c r="U227" s="905">
        <v>701.9</v>
      </c>
      <c r="V227" s="905">
        <v>1.96</v>
      </c>
      <c r="W227" s="907">
        <v>64517</v>
      </c>
      <c r="X227" s="907">
        <v>125637</v>
      </c>
      <c r="Y227" s="905">
        <v>1.95</v>
      </c>
      <c r="Z227" s="907">
        <v>62226</v>
      </c>
      <c r="AA227" s="907">
        <v>121434</v>
      </c>
      <c r="AB227" s="905">
        <v>1.95</v>
      </c>
      <c r="AC227" s="907">
        <v>91986</v>
      </c>
      <c r="AD227" s="907">
        <v>181605</v>
      </c>
      <c r="AE227" s="905">
        <v>1.97</v>
      </c>
      <c r="AF227" s="906">
        <v>1902</v>
      </c>
      <c r="AG227" s="906">
        <v>4209</v>
      </c>
      <c r="AH227" s="902">
        <v>2.21</v>
      </c>
      <c r="AI227" s="904">
        <v>1322.9</v>
      </c>
      <c r="AJ227" s="904">
        <v>2609.8000000000002</v>
      </c>
      <c r="AK227" s="905">
        <v>1.97</v>
      </c>
      <c r="AL227" s="907">
        <v>241557</v>
      </c>
      <c r="AM227" s="907">
        <v>461645</v>
      </c>
      <c r="AN227" s="905">
        <v>1.91</v>
      </c>
      <c r="AP227" s="903">
        <v>2021</v>
      </c>
      <c r="AQ227" s="903" t="s">
        <v>1478</v>
      </c>
      <c r="AR227" s="907">
        <v>229875</v>
      </c>
      <c r="AS227" s="907">
        <v>448602</v>
      </c>
      <c r="AT227" s="905">
        <v>1.95</v>
      </c>
      <c r="AV227" s="903">
        <v>2021</v>
      </c>
      <c r="AW227" s="903" t="s">
        <v>1478</v>
      </c>
      <c r="AX227" s="907">
        <v>219722</v>
      </c>
      <c r="AY227" s="907">
        <v>432212</v>
      </c>
      <c r="AZ227" s="905">
        <v>1.97</v>
      </c>
      <c r="BB227" s="900">
        <v>2021</v>
      </c>
      <c r="BC227" s="900" t="s">
        <v>1478</v>
      </c>
      <c r="BD227" s="906">
        <v>168104</v>
      </c>
      <c r="BE227" s="906">
        <v>328418</v>
      </c>
      <c r="BF227" s="902">
        <v>1.95</v>
      </c>
    </row>
    <row r="228" spans="2:60" ht="10.9" thickBot="1">
      <c r="B228" s="900">
        <v>2021</v>
      </c>
      <c r="C228" s="263">
        <f t="shared" si="3"/>
        <v>44469</v>
      </c>
      <c r="D228" s="909">
        <v>884.3</v>
      </c>
      <c r="E228" s="909">
        <v>1773.3</v>
      </c>
      <c r="F228" s="914">
        <v>2.0099999999999998</v>
      </c>
      <c r="G228" s="906">
        <v>160483</v>
      </c>
      <c r="H228" s="906">
        <v>315080</v>
      </c>
      <c r="I228" s="902">
        <v>1.96</v>
      </c>
      <c r="J228" s="906">
        <v>150857</v>
      </c>
      <c r="K228" s="906">
        <v>269934</v>
      </c>
      <c r="L228" s="902">
        <v>1.79</v>
      </c>
      <c r="M228" s="906">
        <v>119550</v>
      </c>
      <c r="N228" s="906">
        <v>238350</v>
      </c>
      <c r="O228" s="902">
        <v>1.99</v>
      </c>
      <c r="P228" s="907">
        <v>149826</v>
      </c>
      <c r="Q228" s="907">
        <v>296200</v>
      </c>
      <c r="R228" s="905">
        <v>1.98</v>
      </c>
      <c r="T228" s="902">
        <v>338.8</v>
      </c>
      <c r="U228" s="902">
        <v>659.3</v>
      </c>
      <c r="V228" s="902">
        <v>1.95</v>
      </c>
      <c r="W228" s="906">
        <v>58291</v>
      </c>
      <c r="X228" s="906">
        <v>115681</v>
      </c>
      <c r="Y228" s="902">
        <v>1.98</v>
      </c>
      <c r="Z228" s="906">
        <v>61016</v>
      </c>
      <c r="AA228" s="906">
        <v>109178</v>
      </c>
      <c r="AB228" s="902">
        <v>1.79</v>
      </c>
      <c r="AC228" s="906">
        <v>83598</v>
      </c>
      <c r="AD228" s="906">
        <v>166147</v>
      </c>
      <c r="AE228" s="902">
        <v>1.99</v>
      </c>
      <c r="AF228" s="907">
        <v>1235</v>
      </c>
      <c r="AG228" s="907">
        <v>2828</v>
      </c>
      <c r="AH228" s="905">
        <v>2.29</v>
      </c>
      <c r="AI228" s="901">
        <v>1223.0999999999999</v>
      </c>
      <c r="AJ228" s="901">
        <v>2432.6</v>
      </c>
      <c r="AK228" s="902">
        <v>1.99</v>
      </c>
      <c r="AL228" s="906">
        <v>218774</v>
      </c>
      <c r="AM228" s="906">
        <v>430761</v>
      </c>
      <c r="AN228" s="902">
        <v>1.97</v>
      </c>
      <c r="AP228" s="900">
        <v>2021</v>
      </c>
      <c r="AQ228" s="900" t="s">
        <v>1479</v>
      </c>
      <c r="AR228" s="906">
        <v>211872</v>
      </c>
      <c r="AS228" s="906">
        <v>379112</v>
      </c>
      <c r="AT228" s="902">
        <v>1.79</v>
      </c>
      <c r="AV228" s="900">
        <v>2021</v>
      </c>
      <c r="AW228" s="900" t="s">
        <v>1479</v>
      </c>
      <c r="AX228" s="906">
        <v>203147</v>
      </c>
      <c r="AY228" s="906">
        <v>404497</v>
      </c>
      <c r="AZ228" s="902">
        <v>1.99</v>
      </c>
      <c r="BB228" s="903">
        <v>2021</v>
      </c>
      <c r="BC228" s="903" t="s">
        <v>1479</v>
      </c>
      <c r="BD228" s="907">
        <v>151061</v>
      </c>
      <c r="BE228" s="907">
        <v>299028</v>
      </c>
      <c r="BF228" s="905">
        <v>1.98</v>
      </c>
    </row>
    <row r="229" spans="2:60" ht="16.5" customHeight="1" thickBot="1">
      <c r="B229" s="903">
        <v>2021</v>
      </c>
      <c r="C229" s="263">
        <f t="shared" si="3"/>
        <v>44500</v>
      </c>
      <c r="D229" s="909">
        <v>927.8</v>
      </c>
      <c r="E229" s="909">
        <v>2078</v>
      </c>
      <c r="F229" s="914">
        <v>2.2400000000000002</v>
      </c>
      <c r="G229" s="908"/>
      <c r="H229" s="908"/>
      <c r="I229" s="909"/>
      <c r="J229" s="908"/>
      <c r="K229" s="908"/>
      <c r="L229" s="909"/>
      <c r="M229" s="908"/>
      <c r="N229" s="908"/>
      <c r="O229" s="909"/>
      <c r="P229" s="909"/>
      <c r="Q229" s="909"/>
      <c r="R229" s="909"/>
      <c r="T229" s="905">
        <v>348.9</v>
      </c>
      <c r="U229" s="905">
        <v>771.8</v>
      </c>
      <c r="V229" s="905">
        <v>2.21</v>
      </c>
      <c r="W229" s="908"/>
      <c r="X229" s="908"/>
      <c r="Y229" s="909"/>
      <c r="Z229" s="908"/>
      <c r="AA229" s="908"/>
      <c r="AB229" s="909"/>
      <c r="AC229" s="908"/>
      <c r="AD229" s="908"/>
      <c r="AE229" s="909"/>
      <c r="AF229" s="909"/>
      <c r="AG229" s="909"/>
      <c r="AH229" s="909"/>
      <c r="AI229" s="904">
        <v>1276.7</v>
      </c>
      <c r="AJ229" s="904">
        <v>2849.9</v>
      </c>
      <c r="AK229" s="905">
        <v>2.23</v>
      </c>
      <c r="AL229" s="908"/>
      <c r="AM229" s="908"/>
      <c r="AN229" s="909"/>
      <c r="AP229" s="1249"/>
      <c r="AQ229" s="1249"/>
      <c r="AR229" s="908"/>
      <c r="AS229" s="908"/>
      <c r="AT229" s="909"/>
      <c r="AV229" s="1249"/>
      <c r="AW229" s="1249"/>
      <c r="AX229" s="908"/>
      <c r="AY229" s="908"/>
      <c r="AZ229" s="909"/>
      <c r="BA229" s="909"/>
      <c r="BB229" s="909"/>
      <c r="BC229" s="909"/>
      <c r="BD229" s="909"/>
      <c r="BE229" s="909"/>
      <c r="BF229" s="909"/>
      <c r="BG229" s="909"/>
      <c r="BH229" s="909"/>
    </row>
    <row r="230" spans="2:60" ht="18.7" customHeight="1" thickBot="1">
      <c r="B230" s="900">
        <v>2021</v>
      </c>
      <c r="C230" s="263">
        <f t="shared" si="3"/>
        <v>44530</v>
      </c>
      <c r="D230" s="909">
        <v>915.1</v>
      </c>
      <c r="E230" s="909">
        <v>2109.4</v>
      </c>
      <c r="F230" s="914">
        <v>2.31</v>
      </c>
      <c r="G230" s="910"/>
      <c r="H230" s="910"/>
      <c r="I230" s="910"/>
      <c r="J230" s="910"/>
      <c r="K230" s="910"/>
      <c r="L230" s="910"/>
      <c r="M230" s="910"/>
      <c r="N230" s="910"/>
      <c r="O230" s="910"/>
      <c r="P230" s="910"/>
      <c r="Q230" s="910"/>
      <c r="R230" s="910"/>
      <c r="T230" s="902">
        <v>339.6</v>
      </c>
      <c r="U230" s="902">
        <v>789.7</v>
      </c>
      <c r="V230" s="902">
        <v>2.33</v>
      </c>
      <c r="W230" s="910"/>
      <c r="X230" s="910"/>
      <c r="Y230" s="910"/>
      <c r="Z230" s="910"/>
      <c r="AA230" s="910"/>
      <c r="AB230" s="910"/>
      <c r="AC230" s="910"/>
      <c r="AD230" s="910"/>
      <c r="AE230" s="910"/>
      <c r="AF230" s="910"/>
      <c r="AG230" s="910"/>
      <c r="AH230" s="910"/>
      <c r="AI230" s="901">
        <v>1254.7</v>
      </c>
      <c r="AJ230" s="901">
        <v>2899.1</v>
      </c>
      <c r="AK230" s="902">
        <v>2.31</v>
      </c>
      <c r="AL230" s="910"/>
      <c r="AM230" s="910"/>
      <c r="AN230" s="910"/>
      <c r="AP230" s="911"/>
      <c r="AQ230" s="911"/>
      <c r="AR230" s="910"/>
      <c r="AS230" s="910"/>
      <c r="AT230" s="910"/>
      <c r="AV230" s="1249"/>
      <c r="AW230" s="1249"/>
      <c r="AX230" s="910"/>
      <c r="AY230" s="910"/>
      <c r="AZ230" s="910"/>
      <c r="BA230" s="910"/>
      <c r="BB230" s="910"/>
      <c r="BC230" s="910"/>
      <c r="BD230" s="910"/>
      <c r="BE230" s="910"/>
      <c r="BF230" s="910"/>
      <c r="BG230" s="910"/>
      <c r="BH230" s="910"/>
    </row>
    <row r="231" spans="2:60" ht="14.65" thickBot="1">
      <c r="B231" s="903">
        <v>2021</v>
      </c>
      <c r="C231" s="263">
        <f t="shared" si="3"/>
        <v>44561</v>
      </c>
      <c r="D231" s="909">
        <v>976.5</v>
      </c>
      <c r="E231" s="909">
        <v>2085</v>
      </c>
      <c r="F231" s="914">
        <v>2.14</v>
      </c>
      <c r="M231" s="916"/>
      <c r="N231" s="916"/>
      <c r="O231" s="916"/>
      <c r="P231"/>
      <c r="Q231"/>
      <c r="R231"/>
      <c r="T231" s="905">
        <v>371.6</v>
      </c>
      <c r="U231" s="905">
        <v>793.2</v>
      </c>
      <c r="V231" s="905">
        <v>2.13</v>
      </c>
      <c r="AC231" s="916"/>
      <c r="AD231" s="916"/>
      <c r="AE231" s="916"/>
      <c r="AF231"/>
      <c r="AG231"/>
      <c r="AH231"/>
      <c r="AI231" s="904">
        <v>1348.1</v>
      </c>
      <c r="AJ231" s="904">
        <v>2878.2</v>
      </c>
      <c r="AK231" s="905">
        <v>2.14</v>
      </c>
      <c r="AV231" s="916"/>
      <c r="AW231" s="916"/>
      <c r="AX231" s="916"/>
      <c r="AY231" s="916"/>
      <c r="AZ231" s="916"/>
      <c r="BB231"/>
      <c r="BC231"/>
      <c r="BD231"/>
      <c r="BE231"/>
      <c r="BF231"/>
    </row>
    <row r="232" spans="2:60" ht="14.65" thickBot="1">
      <c r="B232" s="900">
        <v>2022</v>
      </c>
      <c r="C232" s="263">
        <f t="shared" si="3"/>
        <v>44592</v>
      </c>
      <c r="D232" s="909">
        <v>848.7</v>
      </c>
      <c r="E232" s="909">
        <v>2003.4</v>
      </c>
      <c r="F232" s="914">
        <v>2.36</v>
      </c>
      <c r="T232" s="902">
        <v>359.6</v>
      </c>
      <c r="U232" s="902">
        <v>844.4</v>
      </c>
      <c r="V232" s="902">
        <v>2.35</v>
      </c>
      <c r="AI232" s="901">
        <v>1208.2</v>
      </c>
      <c r="AJ232" s="901">
        <v>2847.8</v>
      </c>
      <c r="AK232" s="902">
        <v>2.36</v>
      </c>
      <c r="AS232"/>
      <c r="AT232"/>
    </row>
    <row r="233" spans="2:60" ht="14.25">
      <c r="B233" s="903">
        <v>2022</v>
      </c>
      <c r="C233" s="263">
        <f t="shared" si="3"/>
        <v>44620</v>
      </c>
      <c r="D233" s="909">
        <v>819</v>
      </c>
      <c r="E233" s="909">
        <v>2120.1</v>
      </c>
      <c r="F233" s="914">
        <v>2.59</v>
      </c>
      <c r="T233" s="905">
        <v>324.2</v>
      </c>
      <c r="U233" s="905">
        <v>856</v>
      </c>
      <c r="V233" s="905">
        <v>2.64</v>
      </c>
      <c r="AI233" s="904">
        <v>1143.0999999999999</v>
      </c>
      <c r="AJ233" s="904">
        <v>2976.1</v>
      </c>
      <c r="AK233" s="905">
        <v>2.6</v>
      </c>
      <c r="AS233"/>
      <c r="AT233"/>
    </row>
  </sheetData>
  <mergeCells count="3">
    <mergeCell ref="AP229:AQ229"/>
    <mergeCell ref="AV230:AW230"/>
    <mergeCell ref="AV229:AW2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A9648-365E-495E-8D93-CD8180A26918}">
  <sheetPr>
    <tabColor theme="3"/>
  </sheetPr>
  <dimension ref="A1:AU484"/>
  <sheetViews>
    <sheetView showGridLines="0" workbookViewId="0">
      <pane xSplit="2" ySplit="1" topLeftCell="C2" activePane="bottomRight" state="frozen"/>
      <selection pane="topRight" activeCell="C1" sqref="C1"/>
      <selection pane="bottomLeft" activeCell="A2" sqref="A2"/>
      <selection pane="bottomRight" activeCell="C2" sqref="C2"/>
    </sheetView>
  </sheetViews>
  <sheetFormatPr defaultColWidth="8.796875" defaultRowHeight="10.5" customHeight="1"/>
  <cols>
    <col min="1" max="1" width="9.46484375" style="253" customWidth="1"/>
    <col min="2" max="2" width="17.19921875" style="253" customWidth="1"/>
    <col min="3" max="41" width="20.796875" style="253" customWidth="1"/>
    <col min="42" max="42" width="20.796875" customWidth="1"/>
    <col min="43" max="43" width="20.796875" style="253" customWidth="1"/>
    <col min="44" max="47" width="20.796875" customWidth="1"/>
    <col min="48" max="48" width="16.53125" style="253" customWidth="1"/>
    <col min="49" max="49" width="19.53125" style="253" customWidth="1"/>
    <col min="50" max="50" width="22" style="253" customWidth="1"/>
    <col min="51" max="51" width="16.53125" style="253" customWidth="1"/>
    <col min="52" max="52" width="19.53125" style="253" customWidth="1"/>
    <col min="53" max="53" width="22" style="253" customWidth="1"/>
    <col min="54" max="54" width="16.53125" style="253" customWidth="1"/>
    <col min="55" max="55" width="21.19921875" style="253" customWidth="1"/>
    <col min="56" max="56" width="23.46484375" style="253" customWidth="1"/>
    <col min="57" max="57" width="18.19921875" style="253" customWidth="1"/>
    <col min="58" max="58" width="19.19921875" style="253" customWidth="1"/>
    <col min="59" max="59" width="21.53125" style="253" customWidth="1"/>
    <col min="60" max="60" width="16.19921875" style="253" customWidth="1"/>
    <col min="61" max="61" width="19.19921875" style="253" customWidth="1"/>
    <col min="62" max="62" width="21.53125" style="253" customWidth="1"/>
    <col min="63" max="63" width="16.19921875" style="253" customWidth="1"/>
    <col min="64" max="64" width="19.19921875" style="253" customWidth="1"/>
    <col min="65" max="65" width="21.53125" style="253" customWidth="1"/>
    <col min="66" max="66" width="16.19921875" style="253" customWidth="1"/>
    <col min="67" max="67" width="19.19921875" style="253" customWidth="1"/>
    <col min="68" max="68" width="21.53125" style="253" customWidth="1"/>
    <col min="69" max="69" width="16.19921875" style="253" customWidth="1"/>
    <col min="70" max="16384" width="8.796875" style="253"/>
  </cols>
  <sheetData>
    <row r="1" spans="1:43" s="484" customFormat="1" ht="30" customHeight="1">
      <c r="A1" s="784" t="s">
        <v>545</v>
      </c>
      <c r="B1" s="784" t="s">
        <v>1433</v>
      </c>
      <c r="C1" s="784" t="s">
        <v>1504</v>
      </c>
      <c r="D1" s="784" t="s">
        <v>1434</v>
      </c>
      <c r="E1" s="784" t="s">
        <v>1435</v>
      </c>
      <c r="F1" s="784" t="s">
        <v>1436</v>
      </c>
      <c r="G1" s="784" t="s">
        <v>1437</v>
      </c>
      <c r="H1" s="784" t="s">
        <v>1438</v>
      </c>
      <c r="I1" s="784" t="s">
        <v>1505</v>
      </c>
      <c r="J1" s="784" t="s">
        <v>1440</v>
      </c>
      <c r="K1" s="784" t="s">
        <v>1441</v>
      </c>
      <c r="L1" s="784" t="s">
        <v>1442</v>
      </c>
      <c r="M1" s="784" t="s">
        <v>1443</v>
      </c>
      <c r="N1" s="784" t="s">
        <v>1439</v>
      </c>
      <c r="O1" s="784" t="s">
        <v>1506</v>
      </c>
      <c r="P1" s="784" t="s">
        <v>1444</v>
      </c>
      <c r="Q1" s="784" t="s">
        <v>1445</v>
      </c>
      <c r="R1" s="784" t="s">
        <v>1446</v>
      </c>
      <c r="S1" s="784" t="s">
        <v>1447</v>
      </c>
      <c r="T1" s="784" t="s">
        <v>1448</v>
      </c>
      <c r="U1" s="784" t="s">
        <v>1507</v>
      </c>
      <c r="V1" s="784" t="s">
        <v>1318</v>
      </c>
      <c r="W1" s="784" t="s">
        <v>1319</v>
      </c>
      <c r="X1" s="784" t="s">
        <v>1320</v>
      </c>
      <c r="Y1" s="784" t="s">
        <v>1321</v>
      </c>
      <c r="Z1" s="784" t="s">
        <v>1322</v>
      </c>
      <c r="AA1" s="918" t="s">
        <v>1508</v>
      </c>
      <c r="AB1" s="784" t="s">
        <v>1486</v>
      </c>
      <c r="AC1" s="918" t="s">
        <v>1490</v>
      </c>
      <c r="AD1" s="918" t="s">
        <v>1500</v>
      </c>
      <c r="AE1" s="918" t="s">
        <v>1499</v>
      </c>
      <c r="AF1" s="918" t="s">
        <v>1509</v>
      </c>
      <c r="AG1" s="784" t="s">
        <v>1568</v>
      </c>
      <c r="AH1" s="918" t="s">
        <v>1569</v>
      </c>
      <c r="AI1" s="918" t="s">
        <v>1570</v>
      </c>
      <c r="AJ1" s="918" t="s">
        <v>1571</v>
      </c>
      <c r="AK1" s="918" t="s">
        <v>1510</v>
      </c>
      <c r="AL1" s="918" t="s">
        <v>1487</v>
      </c>
      <c r="AM1" s="918" t="s">
        <v>1492</v>
      </c>
      <c r="AN1" s="918" t="s">
        <v>1494</v>
      </c>
      <c r="AO1" s="918" t="s">
        <v>1496</v>
      </c>
      <c r="AP1" s="926" t="s">
        <v>1564</v>
      </c>
      <c r="AQ1" s="784" t="s">
        <v>1819</v>
      </c>
    </row>
    <row r="2" spans="1:43" s="253" customFormat="1">
      <c r="A2" s="263">
        <v>37652</v>
      </c>
      <c r="B2" s="263" t="s">
        <v>357</v>
      </c>
      <c r="C2" s="277">
        <v>37.150388999999997</v>
      </c>
      <c r="D2" s="277">
        <v>9.8013089999999998</v>
      </c>
      <c r="E2" s="277">
        <v>8.1525020000000001</v>
      </c>
      <c r="F2" s="277">
        <v>7.4404139999999996</v>
      </c>
      <c r="G2" s="277">
        <v>5.991225</v>
      </c>
      <c r="H2" s="284">
        <f t="shared" ref="H2:H65" si="0">+C2-SUM(D2,E2,F2,G2)</f>
        <v>5.7649389999999947</v>
      </c>
      <c r="I2" s="277">
        <v>24.088107000000001</v>
      </c>
      <c r="J2" s="277">
        <v>6.4288429999999996</v>
      </c>
      <c r="K2" s="277">
        <v>5.4011990000000001</v>
      </c>
      <c r="L2" s="277">
        <v>5.0369570000000001</v>
      </c>
      <c r="M2" s="277">
        <v>3.474326</v>
      </c>
      <c r="N2" s="284">
        <f t="shared" ref="N2:N65" si="1">+I2-SUM(J2,K2,L2,M2)</f>
        <v>3.7467819999999996</v>
      </c>
      <c r="O2" s="277">
        <v>43.032449999999997</v>
      </c>
      <c r="P2" s="277">
        <v>5.6591719999999999</v>
      </c>
      <c r="Q2" s="277">
        <v>6.2565720000000002</v>
      </c>
      <c r="R2" s="277">
        <v>4.3692630000000001</v>
      </c>
      <c r="S2" s="277">
        <v>5.4842940000000002</v>
      </c>
      <c r="T2" s="284">
        <f t="shared" ref="T2:T65" si="2">+O2-SUM(P2,Q2,R2,S2)</f>
        <v>21.263148999999999</v>
      </c>
      <c r="U2" s="920">
        <v>6897.3863333333329</v>
      </c>
      <c r="V2" s="920">
        <v>963.89800000000002</v>
      </c>
      <c r="W2" s="920">
        <v>932.70299999999997</v>
      </c>
      <c r="X2" s="920">
        <v>668.33033333333333</v>
      </c>
      <c r="Y2" s="920">
        <v>450.4203333333333</v>
      </c>
      <c r="Z2" s="874">
        <f t="shared" ref="Z2:Z65" si="3">+U2-SUM(V2,W2,X2,Y2)</f>
        <v>3882.034666666666</v>
      </c>
      <c r="AA2" s="920">
        <v>1027.5999999999999</v>
      </c>
      <c r="AB2" s="277">
        <v>180.20099999999999</v>
      </c>
      <c r="AC2" s="920">
        <v>137.00200000000001</v>
      </c>
      <c r="AD2" s="920">
        <v>115.19</v>
      </c>
      <c r="AE2" s="920">
        <v>94.308999999999997</v>
      </c>
      <c r="AF2" s="920">
        <v>855.2</v>
      </c>
      <c r="AG2" s="277">
        <v>141.345</v>
      </c>
      <c r="AH2" s="920">
        <v>109.962</v>
      </c>
      <c r="AI2" s="920">
        <v>95.713999999999999</v>
      </c>
      <c r="AJ2" s="920">
        <v>64.936999999999998</v>
      </c>
      <c r="AK2" s="919">
        <f>Data[[#This Row],[Industry Cost ($m)]]/Data[[#This Row],[Industry Consumption]]</f>
        <v>0.83223043985986778</v>
      </c>
      <c r="AL2" s="919">
        <f>Data[[#This Row],[AAL Fuel Cost]]/Data[[#This Row],[AAL Consumption]]</f>
        <v>0.78437411557094583</v>
      </c>
      <c r="AM2" s="919">
        <f>Data[[#This Row],[DAL Fuel Cost]]/Data[[#This Row],[DAL Consumption]]</f>
        <v>0.80263061853111628</v>
      </c>
      <c r="AN2" s="919">
        <f>Data[[#This Row],[UAL Fuel Cost]]/Data[[#This Row],[UALConsumption]]</f>
        <v>0.83092282316173283</v>
      </c>
      <c r="AO2" s="919">
        <f>Data[[#This Row],[LUV Fuel Cost]]/Data[[#This Row],[LUV Consumption]]</f>
        <v>0.68855570518190201</v>
      </c>
      <c r="AP2" s="919">
        <v>0.88700000000000001</v>
      </c>
      <c r="AQ2" s="783"/>
    </row>
    <row r="3" spans="1:43" s="253" customFormat="1">
      <c r="A3" s="263">
        <f t="shared" ref="A3:A66" si="4">EOMONTH(A2,1)</f>
        <v>37680</v>
      </c>
      <c r="B3" s="263" t="s">
        <v>357</v>
      </c>
      <c r="C3" s="277">
        <v>32.903118999999997</v>
      </c>
      <c r="D3" s="277">
        <v>8.4765550000000012</v>
      </c>
      <c r="E3" s="277">
        <v>7.1278190000000006</v>
      </c>
      <c r="F3" s="277">
        <v>6.6105640000000001</v>
      </c>
      <c r="G3" s="277">
        <v>5.3829040000000008</v>
      </c>
      <c r="H3" s="284">
        <f t="shared" si="0"/>
        <v>5.3052769999999931</v>
      </c>
      <c r="I3" s="277">
        <v>22.435296999999998</v>
      </c>
      <c r="J3" s="277">
        <v>5.8614730000000002</v>
      </c>
      <c r="K3" s="277">
        <v>4.9857639999999996</v>
      </c>
      <c r="L3" s="277">
        <v>4.6526180000000004</v>
      </c>
      <c r="M3" s="277">
        <v>3.3634279999999999</v>
      </c>
      <c r="N3" s="284">
        <f t="shared" si="1"/>
        <v>3.5720139999999994</v>
      </c>
      <c r="O3" s="277">
        <v>41.166780000000003</v>
      </c>
      <c r="P3" s="277">
        <v>5.224456</v>
      </c>
      <c r="Q3" s="277">
        <v>5.8706019999999999</v>
      </c>
      <c r="R3" s="277">
        <v>4.1029450000000001</v>
      </c>
      <c r="S3" s="277">
        <v>5.3574020000000004</v>
      </c>
      <c r="T3" s="284">
        <f t="shared" si="2"/>
        <v>20.611375000000002</v>
      </c>
      <c r="U3" s="920">
        <v>6897.3863333333329</v>
      </c>
      <c r="V3" s="920">
        <v>963.89800000000002</v>
      </c>
      <c r="W3" s="920">
        <v>932.70299999999997</v>
      </c>
      <c r="X3" s="920">
        <v>668.33033333333333</v>
      </c>
      <c r="Y3" s="920">
        <v>450.4203333333333</v>
      </c>
      <c r="Z3" s="874">
        <f t="shared" si="3"/>
        <v>3882.034666666666</v>
      </c>
      <c r="AA3" s="920">
        <v>928.9</v>
      </c>
      <c r="AB3" s="277">
        <v>158.501</v>
      </c>
      <c r="AC3" s="920">
        <v>118.675</v>
      </c>
      <c r="AD3" s="920">
        <v>99.88</v>
      </c>
      <c r="AE3" s="920">
        <v>86.594999999999999</v>
      </c>
      <c r="AF3" s="920">
        <v>815.4</v>
      </c>
      <c r="AG3" s="277">
        <v>130.48599999999999</v>
      </c>
      <c r="AH3" s="920">
        <v>88.81</v>
      </c>
      <c r="AI3" s="920">
        <v>97.897000000000006</v>
      </c>
      <c r="AJ3" s="920">
        <v>53.765999999999998</v>
      </c>
      <c r="AK3" s="919">
        <f>Data[[#This Row],[Industry Cost ($m)]]/Data[[#This Row],[Industry Consumption]]</f>
        <v>0.87781246635805787</v>
      </c>
      <c r="AL3" s="919">
        <f>Data[[#This Row],[AAL Fuel Cost]]/Data[[#This Row],[AAL Consumption]]</f>
        <v>0.82325032649636276</v>
      </c>
      <c r="AM3" s="919">
        <f>Data[[#This Row],[DAL Fuel Cost]]/Data[[#This Row],[DAL Consumption]]</f>
        <v>0.74834632399410161</v>
      </c>
      <c r="AN3" s="919">
        <f>Data[[#This Row],[UAL Fuel Cost]]/Data[[#This Row],[UALConsumption]]</f>
        <v>0.98014617541049265</v>
      </c>
      <c r="AO3" s="919">
        <f>Data[[#This Row],[LUV Fuel Cost]]/Data[[#This Row],[LUV Consumption]]</f>
        <v>0.62089035163693052</v>
      </c>
      <c r="AP3" s="919">
        <v>1.0549999999999999</v>
      </c>
      <c r="AQ3" s="783"/>
    </row>
    <row r="4" spans="1:43" s="253" customFormat="1">
      <c r="A4" s="263">
        <f t="shared" si="4"/>
        <v>37711</v>
      </c>
      <c r="B4" s="263" t="s">
        <v>357</v>
      </c>
      <c r="C4" s="277">
        <v>37.371319</v>
      </c>
      <c r="D4" s="277">
        <v>9.7826759999999986</v>
      </c>
      <c r="E4" s="277">
        <v>8.0520209999999999</v>
      </c>
      <c r="F4" s="277">
        <v>7.4491049999999994</v>
      </c>
      <c r="G4" s="277">
        <v>6.027126</v>
      </c>
      <c r="H4" s="284">
        <f t="shared" si="0"/>
        <v>6.0603910000000027</v>
      </c>
      <c r="I4" s="277">
        <v>26.996917</v>
      </c>
      <c r="J4" s="277">
        <v>7.0954899999999999</v>
      </c>
      <c r="K4" s="277">
        <v>5.9260669999999998</v>
      </c>
      <c r="L4" s="277">
        <v>5.579275</v>
      </c>
      <c r="M4" s="277">
        <v>4.0591910000000002</v>
      </c>
      <c r="N4" s="284">
        <f t="shared" si="1"/>
        <v>4.3368939999999974</v>
      </c>
      <c r="O4" s="277">
        <v>49.992699999999999</v>
      </c>
      <c r="P4" s="277">
        <v>6.3076720000000002</v>
      </c>
      <c r="Q4" s="277">
        <v>6.9623530000000002</v>
      </c>
      <c r="R4" s="277">
        <v>4.8435199999999998</v>
      </c>
      <c r="S4" s="277">
        <v>6.3278759999999998</v>
      </c>
      <c r="T4" s="284">
        <f t="shared" si="2"/>
        <v>25.551278999999997</v>
      </c>
      <c r="U4" s="920">
        <v>6897.3863333333329</v>
      </c>
      <c r="V4" s="920">
        <v>963.89800000000002</v>
      </c>
      <c r="W4" s="920">
        <v>932.70299999999997</v>
      </c>
      <c r="X4" s="920">
        <v>668.33033333333333</v>
      </c>
      <c r="Y4" s="920">
        <v>450.4203333333333</v>
      </c>
      <c r="Z4" s="874">
        <f t="shared" si="3"/>
        <v>3882.034666666666</v>
      </c>
      <c r="AA4" s="920">
        <v>1061.0999999999999</v>
      </c>
      <c r="AB4" s="277">
        <v>179.428</v>
      </c>
      <c r="AC4" s="920">
        <v>136.51599999999999</v>
      </c>
      <c r="AD4" s="920">
        <v>115.426</v>
      </c>
      <c r="AE4" s="920">
        <v>96.364999999999995</v>
      </c>
      <c r="AF4" s="920">
        <v>1050.7</v>
      </c>
      <c r="AG4" s="277">
        <v>167.78200000000001</v>
      </c>
      <c r="AH4" s="920">
        <v>128.46899999999999</v>
      </c>
      <c r="AI4" s="920">
        <v>114.146</v>
      </c>
      <c r="AJ4" s="920">
        <v>89.846000000000004</v>
      </c>
      <c r="AK4" s="919">
        <f>Data[[#This Row],[Industry Cost ($m)]]/Data[[#This Row],[Industry Consumption]]</f>
        <v>0.99019885024974097</v>
      </c>
      <c r="AL4" s="919">
        <f>Data[[#This Row],[AAL Fuel Cost]]/Data[[#This Row],[AAL Consumption]]</f>
        <v>0.93509374233675913</v>
      </c>
      <c r="AM4" s="919">
        <f>Data[[#This Row],[DAL Fuel Cost]]/Data[[#This Row],[DAL Consumption]]</f>
        <v>0.94105452840692672</v>
      </c>
      <c r="AN4" s="919">
        <f>Data[[#This Row],[UAL Fuel Cost]]/Data[[#This Row],[UALConsumption]]</f>
        <v>0.98891064404900109</v>
      </c>
      <c r="AO4" s="919">
        <f>Data[[#This Row],[LUV Fuel Cost]]/Data[[#This Row],[LUV Consumption]]</f>
        <v>0.93235095729777417</v>
      </c>
      <c r="AP4" s="919">
        <v>0.89300000000000002</v>
      </c>
      <c r="AQ4" s="783"/>
    </row>
    <row r="5" spans="1:43" s="253" customFormat="1">
      <c r="A5" s="263">
        <f t="shared" si="4"/>
        <v>37741</v>
      </c>
      <c r="B5" s="263" t="s">
        <v>357</v>
      </c>
      <c r="C5" s="277">
        <v>35.556147000000003</v>
      </c>
      <c r="D5" s="277">
        <v>9.3364570000000011</v>
      </c>
      <c r="E5" s="277">
        <v>7.3806560000000001</v>
      </c>
      <c r="F5" s="277">
        <v>6.9224620000000003</v>
      </c>
      <c r="G5" s="277">
        <v>5.9091570000000004</v>
      </c>
      <c r="H5" s="284">
        <f t="shared" si="0"/>
        <v>6.0074150000000017</v>
      </c>
      <c r="I5" s="277">
        <v>25.517873999999999</v>
      </c>
      <c r="J5" s="277">
        <v>6.7645670000000004</v>
      </c>
      <c r="K5" s="277">
        <v>5.269285</v>
      </c>
      <c r="L5" s="277">
        <v>5.2911720000000004</v>
      </c>
      <c r="M5" s="277">
        <v>3.9350239999999999</v>
      </c>
      <c r="N5" s="284">
        <f t="shared" si="1"/>
        <v>4.2578260000000014</v>
      </c>
      <c r="O5" s="277">
        <v>47.033259999999999</v>
      </c>
      <c r="P5" s="277">
        <v>5.9059780000000002</v>
      </c>
      <c r="Q5" s="277">
        <v>6.1458130000000004</v>
      </c>
      <c r="R5" s="277">
        <v>4.5363939999999996</v>
      </c>
      <c r="S5" s="277">
        <v>6.1332700000000004</v>
      </c>
      <c r="T5" s="284">
        <f t="shared" si="2"/>
        <v>24.311804999999996</v>
      </c>
      <c r="U5" s="920">
        <v>7355.6469999999999</v>
      </c>
      <c r="V5" s="920">
        <v>1021.2673333333333</v>
      </c>
      <c r="W5" s="920">
        <v>969.20600000000002</v>
      </c>
      <c r="X5" s="920">
        <v>704.82266666666658</v>
      </c>
      <c r="Y5" s="920">
        <v>505.029</v>
      </c>
      <c r="Z5" s="874">
        <f t="shared" si="3"/>
        <v>4155.3220000000001</v>
      </c>
      <c r="AA5" s="920">
        <v>996.2</v>
      </c>
      <c r="AB5" s="277">
        <v>169.09899999999999</v>
      </c>
      <c r="AC5" s="920">
        <v>124.575</v>
      </c>
      <c r="AD5" s="920">
        <v>106.265</v>
      </c>
      <c r="AE5" s="920">
        <v>93.281999999999996</v>
      </c>
      <c r="AF5" s="920">
        <v>828.1</v>
      </c>
      <c r="AG5" s="277">
        <v>136.934</v>
      </c>
      <c r="AH5" s="920">
        <v>100.093</v>
      </c>
      <c r="AI5" s="920">
        <v>88.489000000000004</v>
      </c>
      <c r="AJ5" s="920">
        <v>66.454999999999998</v>
      </c>
      <c r="AK5" s="919">
        <f>Data[[#This Row],[Industry Cost ($m)]]/Data[[#This Row],[Industry Consumption]]</f>
        <v>0.8312587833768319</v>
      </c>
      <c r="AL5" s="919">
        <f>Data[[#This Row],[AAL Fuel Cost]]/Data[[#This Row],[AAL Consumption]]</f>
        <v>0.80978598335886087</v>
      </c>
      <c r="AM5" s="919">
        <f>Data[[#This Row],[DAL Fuel Cost]]/Data[[#This Row],[DAL Consumption]]</f>
        <v>0.80347581778045352</v>
      </c>
      <c r="AN5" s="919">
        <f>Data[[#This Row],[UAL Fuel Cost]]/Data[[#This Row],[UALConsumption]]</f>
        <v>0.83272008657601282</v>
      </c>
      <c r="AO5" s="919">
        <f>Data[[#This Row],[LUV Fuel Cost]]/Data[[#This Row],[LUV Consumption]]</f>
        <v>0.71240968246821468</v>
      </c>
      <c r="AP5" s="919">
        <v>0.74299999999999999</v>
      </c>
      <c r="AQ5" s="783"/>
    </row>
    <row r="6" spans="1:43" s="253" customFormat="1">
      <c r="A6" s="263">
        <f t="shared" si="4"/>
        <v>37772</v>
      </c>
      <c r="B6" s="263" t="s">
        <v>357</v>
      </c>
      <c r="C6" s="277">
        <v>35.872762000000002</v>
      </c>
      <c r="D6" s="277">
        <v>9.4325419999999998</v>
      </c>
      <c r="E6" s="277">
        <v>7.3024809999999993</v>
      </c>
      <c r="F6" s="277">
        <v>6.9569679999999998</v>
      </c>
      <c r="G6" s="277">
        <v>6.0502209999999996</v>
      </c>
      <c r="H6" s="284">
        <f t="shared" si="0"/>
        <v>6.1305500000000031</v>
      </c>
      <c r="I6" s="277">
        <v>26.588601000000001</v>
      </c>
      <c r="J6" s="277">
        <v>7.0553800000000004</v>
      </c>
      <c r="K6" s="277">
        <v>5.4552199999999997</v>
      </c>
      <c r="L6" s="277">
        <v>5.4571009999999998</v>
      </c>
      <c r="M6" s="277">
        <v>4.1895239999999996</v>
      </c>
      <c r="N6" s="284">
        <f t="shared" si="1"/>
        <v>4.4313760000000038</v>
      </c>
      <c r="O6" s="277">
        <v>49.152352</v>
      </c>
      <c r="P6" s="277">
        <v>6.2171279999999998</v>
      </c>
      <c r="Q6" s="277">
        <v>6.330578</v>
      </c>
      <c r="R6" s="277">
        <v>4.6993109999999998</v>
      </c>
      <c r="S6" s="277">
        <v>6.5377109999999998</v>
      </c>
      <c r="T6" s="284">
        <f t="shared" si="2"/>
        <v>25.367623999999999</v>
      </c>
      <c r="U6" s="920">
        <v>7355.6469999999999</v>
      </c>
      <c r="V6" s="920">
        <v>1021.2673333333333</v>
      </c>
      <c r="W6" s="920">
        <v>969.20600000000002</v>
      </c>
      <c r="X6" s="920">
        <v>704.82266666666658</v>
      </c>
      <c r="Y6" s="920">
        <v>505.029</v>
      </c>
      <c r="Z6" s="874">
        <f t="shared" si="3"/>
        <v>4155.3220000000001</v>
      </c>
      <c r="AA6" s="920">
        <v>1022.1</v>
      </c>
      <c r="AB6" s="277">
        <v>174.023</v>
      </c>
      <c r="AC6" s="920">
        <v>122.498</v>
      </c>
      <c r="AD6" s="920">
        <v>110.327</v>
      </c>
      <c r="AE6" s="920">
        <v>96.432000000000002</v>
      </c>
      <c r="AF6" s="920">
        <v>775.6</v>
      </c>
      <c r="AG6" s="277">
        <v>128.08000000000001</v>
      </c>
      <c r="AH6" s="920">
        <v>88.781999999999996</v>
      </c>
      <c r="AI6" s="920">
        <v>84.414000000000001</v>
      </c>
      <c r="AJ6" s="920">
        <v>65.111999999999995</v>
      </c>
      <c r="AK6" s="919">
        <f>Data[[#This Row],[Industry Cost ($m)]]/Data[[#This Row],[Industry Consumption]]</f>
        <v>0.75882986009196751</v>
      </c>
      <c r="AL6" s="919">
        <f>Data[[#This Row],[AAL Fuel Cost]]/Data[[#This Row],[AAL Consumption]]</f>
        <v>0.73599466737155439</v>
      </c>
      <c r="AM6" s="919">
        <f>Data[[#This Row],[DAL Fuel Cost]]/Data[[#This Row],[DAL Consumption]]</f>
        <v>0.7247628532710737</v>
      </c>
      <c r="AN6" s="919">
        <f>Data[[#This Row],[UAL Fuel Cost]]/Data[[#This Row],[UALConsumption]]</f>
        <v>0.76512549058707302</v>
      </c>
      <c r="AO6" s="919">
        <f>Data[[#This Row],[LUV Fuel Cost]]/Data[[#This Row],[LUV Consumption]]</f>
        <v>0.67521154803384764</v>
      </c>
      <c r="AP6" s="919">
        <v>0.71399999999999997</v>
      </c>
      <c r="AQ6" s="783"/>
    </row>
    <row r="7" spans="1:43" s="253" customFormat="1">
      <c r="A7" s="263">
        <f t="shared" si="4"/>
        <v>37802</v>
      </c>
      <c r="B7" s="263" t="s">
        <v>357</v>
      </c>
      <c r="C7" s="277">
        <v>36.554969999999997</v>
      </c>
      <c r="D7" s="277">
        <v>9.4770090000000007</v>
      </c>
      <c r="E7" s="277">
        <v>7.4156229999999992</v>
      </c>
      <c r="F7" s="277">
        <v>7.309463</v>
      </c>
      <c r="G7" s="277">
        <v>5.9379340000000003</v>
      </c>
      <c r="H7" s="284">
        <f t="shared" si="0"/>
        <v>6.4149409999999989</v>
      </c>
      <c r="I7" s="277">
        <v>28.856732000000001</v>
      </c>
      <c r="J7" s="277">
        <v>7.5478300000000003</v>
      </c>
      <c r="K7" s="277">
        <v>6.0018799999999999</v>
      </c>
      <c r="L7" s="277">
        <v>5.9653330000000002</v>
      </c>
      <c r="M7" s="277">
        <v>4.4274849999999999</v>
      </c>
      <c r="N7" s="284">
        <f t="shared" si="1"/>
        <v>4.914203999999998</v>
      </c>
      <c r="O7" s="277">
        <v>52.209516000000001</v>
      </c>
      <c r="P7" s="277">
        <v>6.5479859999999999</v>
      </c>
      <c r="Q7" s="277">
        <v>6.8190439999999999</v>
      </c>
      <c r="R7" s="277">
        <v>5.0381780000000003</v>
      </c>
      <c r="S7" s="277">
        <v>6.7755520000000002</v>
      </c>
      <c r="T7" s="284">
        <f t="shared" si="2"/>
        <v>27.028755999999998</v>
      </c>
      <c r="U7" s="920">
        <v>7355.6469999999999</v>
      </c>
      <c r="V7" s="920">
        <v>1021.2673333333333</v>
      </c>
      <c r="W7" s="920">
        <v>969.20600000000002</v>
      </c>
      <c r="X7" s="920">
        <v>704.82266666666658</v>
      </c>
      <c r="Y7" s="920">
        <v>505.029</v>
      </c>
      <c r="Z7" s="874">
        <f t="shared" si="3"/>
        <v>4155.3220000000001</v>
      </c>
      <c r="AA7" s="920">
        <v>1041.0999999999999</v>
      </c>
      <c r="AB7" s="277">
        <v>176.06200000000001</v>
      </c>
      <c r="AC7" s="920">
        <v>124.688</v>
      </c>
      <c r="AD7" s="920">
        <v>116.13500000000001</v>
      </c>
      <c r="AE7" s="920">
        <v>95.933999999999997</v>
      </c>
      <c r="AF7" s="920">
        <v>778.6</v>
      </c>
      <c r="AG7" s="277">
        <v>125.91500000000001</v>
      </c>
      <c r="AH7" s="920">
        <v>88.227999999999994</v>
      </c>
      <c r="AI7" s="920">
        <v>85.956999999999994</v>
      </c>
      <c r="AJ7" s="920">
        <v>60.988999999999997</v>
      </c>
      <c r="AK7" s="919">
        <f>Data[[#This Row],[Industry Cost ($m)]]/Data[[#This Row],[Industry Consumption]]</f>
        <v>0.74786283738353676</v>
      </c>
      <c r="AL7" s="919">
        <f>Data[[#This Row],[AAL Fuel Cost]]/Data[[#This Row],[AAL Consumption]]</f>
        <v>0.71517419999772802</v>
      </c>
      <c r="AM7" s="919">
        <f>Data[[#This Row],[DAL Fuel Cost]]/Data[[#This Row],[DAL Consumption]]</f>
        <v>0.70759014500192474</v>
      </c>
      <c r="AN7" s="919">
        <f>Data[[#This Row],[UAL Fuel Cost]]/Data[[#This Row],[UALConsumption]]</f>
        <v>0.74014724243337482</v>
      </c>
      <c r="AO7" s="919">
        <f>Data[[#This Row],[LUV Fuel Cost]]/Data[[#This Row],[LUV Consumption]]</f>
        <v>0.63573915400170955</v>
      </c>
      <c r="AP7" s="919">
        <v>0.748</v>
      </c>
      <c r="AQ7" s="783"/>
    </row>
    <row r="8" spans="1:43" s="253" customFormat="1">
      <c r="A8" s="263">
        <f t="shared" si="4"/>
        <v>37833</v>
      </c>
      <c r="B8" s="263" t="s">
        <v>357</v>
      </c>
      <c r="C8" s="277">
        <v>38.618284000000003</v>
      </c>
      <c r="D8" s="277">
        <v>10.028508</v>
      </c>
      <c r="E8" s="277">
        <v>7.6802549999999998</v>
      </c>
      <c r="F8" s="277">
        <v>7.9009559999999999</v>
      </c>
      <c r="G8" s="277">
        <v>6.127338</v>
      </c>
      <c r="H8" s="284">
        <f t="shared" si="0"/>
        <v>6.8812270000000026</v>
      </c>
      <c r="I8" s="277">
        <v>31.307608999999999</v>
      </c>
      <c r="J8" s="277">
        <v>8.1929309999999997</v>
      </c>
      <c r="K8" s="277">
        <v>6.428528</v>
      </c>
      <c r="L8" s="277">
        <v>6.4638900000000001</v>
      </c>
      <c r="M8" s="277">
        <v>4.750318</v>
      </c>
      <c r="N8" s="284">
        <f t="shared" si="1"/>
        <v>5.4719419999999985</v>
      </c>
      <c r="O8" s="277">
        <v>55.810772999999998</v>
      </c>
      <c r="P8" s="277">
        <v>7.0071370000000002</v>
      </c>
      <c r="Q8" s="277">
        <v>7.1868639999999999</v>
      </c>
      <c r="R8" s="277">
        <v>5.4000120000000003</v>
      </c>
      <c r="S8" s="277">
        <v>7.1324100000000001</v>
      </c>
      <c r="T8" s="284">
        <f t="shared" si="2"/>
        <v>29.084349999999997</v>
      </c>
      <c r="U8" s="920">
        <v>7722.0746666666664</v>
      </c>
      <c r="V8" s="920">
        <v>1034.8486666666665</v>
      </c>
      <c r="W8" s="920">
        <v>979.45666666666659</v>
      </c>
      <c r="X8" s="920">
        <v>864.56466666666665</v>
      </c>
      <c r="Y8" s="920">
        <v>517.80133333333333</v>
      </c>
      <c r="Z8" s="874">
        <f t="shared" si="3"/>
        <v>4325.4033333333336</v>
      </c>
      <c r="AA8" s="920">
        <v>1105.3</v>
      </c>
      <c r="AB8" s="277">
        <v>187.93700000000001</v>
      </c>
      <c r="AC8" s="920">
        <v>130.10900000000001</v>
      </c>
      <c r="AD8" s="920">
        <v>125.964</v>
      </c>
      <c r="AE8" s="920">
        <v>99.572999999999993</v>
      </c>
      <c r="AF8" s="920">
        <v>861.4</v>
      </c>
      <c r="AG8" s="277">
        <v>139.107</v>
      </c>
      <c r="AH8" s="920">
        <v>96.471000000000004</v>
      </c>
      <c r="AI8" s="920">
        <v>101.509</v>
      </c>
      <c r="AJ8" s="920">
        <v>69.540000000000006</v>
      </c>
      <c r="AK8" s="919">
        <f>Data[[#This Row],[Industry Cost ($m)]]/Data[[#This Row],[Industry Consumption]]</f>
        <v>0.77933592689767484</v>
      </c>
      <c r="AL8" s="919">
        <f>Data[[#This Row],[AAL Fuel Cost]]/Data[[#This Row],[AAL Consumption]]</f>
        <v>0.74017888973432577</v>
      </c>
      <c r="AM8" s="919">
        <f>Data[[#This Row],[DAL Fuel Cost]]/Data[[#This Row],[DAL Consumption]]</f>
        <v>0.74146292723793128</v>
      </c>
      <c r="AN8" s="919">
        <f>Data[[#This Row],[UAL Fuel Cost]]/Data[[#This Row],[UALConsumption]]</f>
        <v>0.80585722904956969</v>
      </c>
      <c r="AO8" s="919">
        <f>Data[[#This Row],[LUV Fuel Cost]]/Data[[#This Row],[LUV Consumption]]</f>
        <v>0.69838209153083675</v>
      </c>
      <c r="AP8" s="919">
        <v>0.78</v>
      </c>
      <c r="AQ8" s="783"/>
    </row>
    <row r="9" spans="1:43" s="253" customFormat="1">
      <c r="A9" s="263">
        <f t="shared" si="4"/>
        <v>37864</v>
      </c>
      <c r="B9" s="263" t="s">
        <v>357</v>
      </c>
      <c r="C9" s="277">
        <v>38.700282999999999</v>
      </c>
      <c r="D9" s="277">
        <v>9.9371209999999994</v>
      </c>
      <c r="E9" s="277">
        <v>7.8249170000000001</v>
      </c>
      <c r="F9" s="277">
        <v>7.7643950000000004</v>
      </c>
      <c r="G9" s="277">
        <v>6.1193249999999999</v>
      </c>
      <c r="H9" s="284">
        <f t="shared" si="0"/>
        <v>7.0545249999999982</v>
      </c>
      <c r="I9" s="277">
        <v>30.616554000000001</v>
      </c>
      <c r="J9" s="277">
        <v>7.923807</v>
      </c>
      <c r="K9" s="277">
        <v>6.3406789999999997</v>
      </c>
      <c r="L9" s="277">
        <v>6.2861549999999999</v>
      </c>
      <c r="M9" s="277">
        <v>4.4807160000000001</v>
      </c>
      <c r="N9" s="284">
        <f t="shared" si="1"/>
        <v>5.5851970000000009</v>
      </c>
      <c r="O9" s="277">
        <v>53.920972999999996</v>
      </c>
      <c r="P9" s="277">
        <v>6.6960620000000004</v>
      </c>
      <c r="Q9" s="277">
        <v>6.9971100000000002</v>
      </c>
      <c r="R9" s="277">
        <v>5.2234540000000003</v>
      </c>
      <c r="S9" s="277">
        <v>6.8335220000000003</v>
      </c>
      <c r="T9" s="284">
        <f t="shared" si="2"/>
        <v>28.170824999999994</v>
      </c>
      <c r="U9" s="920">
        <v>7722.0746666666664</v>
      </c>
      <c r="V9" s="920">
        <v>1034.8486666666665</v>
      </c>
      <c r="W9" s="920">
        <v>979.45666666666659</v>
      </c>
      <c r="X9" s="920">
        <v>864.56466666666665</v>
      </c>
      <c r="Y9" s="920">
        <v>517.80133333333333</v>
      </c>
      <c r="Z9" s="874">
        <f t="shared" si="3"/>
        <v>4325.4033333333336</v>
      </c>
      <c r="AA9" s="920">
        <v>1103.2</v>
      </c>
      <c r="AB9" s="277">
        <v>187.41300000000001</v>
      </c>
      <c r="AC9" s="920">
        <v>132.74799999999999</v>
      </c>
      <c r="AD9" s="920">
        <v>123.325</v>
      </c>
      <c r="AE9" s="920">
        <v>98.759</v>
      </c>
      <c r="AF9" s="920">
        <v>909.9</v>
      </c>
      <c r="AG9" s="277">
        <v>148.309</v>
      </c>
      <c r="AH9" s="920">
        <v>103.947</v>
      </c>
      <c r="AI9" s="920">
        <v>103.661</v>
      </c>
      <c r="AJ9" s="920">
        <v>73.424000000000007</v>
      </c>
      <c r="AK9" s="919">
        <f>Data[[#This Row],[Industry Cost ($m)]]/Data[[#This Row],[Industry Consumption]]</f>
        <v>0.82478245105148651</v>
      </c>
      <c r="AL9" s="919">
        <f>Data[[#This Row],[AAL Fuel Cost]]/Data[[#This Row],[AAL Consumption]]</f>
        <v>0.79134851904617065</v>
      </c>
      <c r="AM9" s="919">
        <f>Data[[#This Row],[DAL Fuel Cost]]/Data[[#This Row],[DAL Consumption]]</f>
        <v>0.78304004580106679</v>
      </c>
      <c r="AN9" s="919">
        <f>Data[[#This Row],[UAL Fuel Cost]]/Data[[#This Row],[UALConsumption]]</f>
        <v>0.84055138860733836</v>
      </c>
      <c r="AO9" s="919">
        <f>Data[[#This Row],[LUV Fuel Cost]]/Data[[#This Row],[LUV Consumption]]</f>
        <v>0.74346641825048865</v>
      </c>
      <c r="AP9" s="919">
        <v>0.82299999999999995</v>
      </c>
      <c r="AQ9" s="783"/>
    </row>
    <row r="10" spans="1:43" s="253" customFormat="1">
      <c r="A10" s="263">
        <f t="shared" si="4"/>
        <v>37894</v>
      </c>
      <c r="B10" s="263" t="s">
        <v>357</v>
      </c>
      <c r="C10" s="277">
        <v>36.021819000000001</v>
      </c>
      <c r="D10" s="277">
        <v>9.1662890000000008</v>
      </c>
      <c r="E10" s="277">
        <v>7.6005870000000009</v>
      </c>
      <c r="F10" s="277">
        <v>6.9484779999999997</v>
      </c>
      <c r="G10" s="277">
        <v>5.9609570000000005</v>
      </c>
      <c r="H10" s="284">
        <f t="shared" si="0"/>
        <v>6.3455079999999953</v>
      </c>
      <c r="I10" s="277">
        <v>24.024526999999999</v>
      </c>
      <c r="J10" s="277">
        <v>6.0157389999999999</v>
      </c>
      <c r="K10" s="277">
        <v>5.0214639999999999</v>
      </c>
      <c r="L10" s="277">
        <v>4.9187839999999996</v>
      </c>
      <c r="M10" s="277">
        <v>3.6026500000000001</v>
      </c>
      <c r="N10" s="284">
        <f t="shared" si="1"/>
        <v>4.4658899999999981</v>
      </c>
      <c r="O10" s="277">
        <v>44.213408000000001</v>
      </c>
      <c r="P10" s="277">
        <v>5.2681199999999997</v>
      </c>
      <c r="Q10" s="277">
        <v>5.7282659999999996</v>
      </c>
      <c r="R10" s="277">
        <v>4.265898</v>
      </c>
      <c r="S10" s="277">
        <v>5.7422389999999996</v>
      </c>
      <c r="T10" s="284">
        <f t="shared" si="2"/>
        <v>23.208885000000002</v>
      </c>
      <c r="U10" s="920">
        <v>7722.0746666666664</v>
      </c>
      <c r="V10" s="920">
        <v>1034.8486666666665</v>
      </c>
      <c r="W10" s="920">
        <v>979.45666666666659</v>
      </c>
      <c r="X10" s="920">
        <v>864.56466666666665</v>
      </c>
      <c r="Y10" s="920">
        <v>517.80133333333333</v>
      </c>
      <c r="Z10" s="874">
        <f t="shared" si="3"/>
        <v>4325.4033333333336</v>
      </c>
      <c r="AA10" s="920">
        <v>993.6</v>
      </c>
      <c r="AB10" s="277">
        <v>167.55099999999999</v>
      </c>
      <c r="AC10" s="920">
        <v>122.14700000000001</v>
      </c>
      <c r="AD10" s="920">
        <v>107.131</v>
      </c>
      <c r="AE10" s="920">
        <v>93.881</v>
      </c>
      <c r="AF10" s="920">
        <v>796.5</v>
      </c>
      <c r="AG10" s="277">
        <v>130.256</v>
      </c>
      <c r="AH10" s="920">
        <v>95.075000000000003</v>
      </c>
      <c r="AI10" s="920">
        <v>84.897000000000006</v>
      </c>
      <c r="AJ10" s="920">
        <v>70.665999999999997</v>
      </c>
      <c r="AK10" s="919">
        <f>Data[[#This Row],[Industry Cost ($m)]]/Data[[#This Row],[Industry Consumption]]</f>
        <v>0.80163043478260865</v>
      </c>
      <c r="AL10" s="919">
        <f>Data[[#This Row],[AAL Fuel Cost]]/Data[[#This Row],[AAL Consumption]]</f>
        <v>0.77741105693191925</v>
      </c>
      <c r="AM10" s="919">
        <f>Data[[#This Row],[DAL Fuel Cost]]/Data[[#This Row],[DAL Consumption]]</f>
        <v>0.77836541216730659</v>
      </c>
      <c r="AN10" s="919">
        <f>Data[[#This Row],[UAL Fuel Cost]]/Data[[#This Row],[UALConsumption]]</f>
        <v>0.792459698873342</v>
      </c>
      <c r="AO10" s="919">
        <f>Data[[#This Row],[LUV Fuel Cost]]/Data[[#This Row],[LUV Consumption]]</f>
        <v>0.75271886750247652</v>
      </c>
      <c r="AP10" s="919">
        <v>0.73799999999999999</v>
      </c>
      <c r="AQ10" s="783"/>
    </row>
    <row r="11" spans="1:43" s="253" customFormat="1">
      <c r="A11" s="263">
        <f t="shared" si="4"/>
        <v>37925</v>
      </c>
      <c r="B11" s="263" t="s">
        <v>357</v>
      </c>
      <c r="C11" s="277">
        <v>37.758876000000001</v>
      </c>
      <c r="D11" s="277">
        <v>9.6200310000000009</v>
      </c>
      <c r="E11" s="277">
        <v>7.9923700000000002</v>
      </c>
      <c r="F11" s="277">
        <v>7.2677909999999999</v>
      </c>
      <c r="G11" s="277">
        <v>6.2384009999999996</v>
      </c>
      <c r="H11" s="284">
        <f t="shared" si="0"/>
        <v>6.6402830000000002</v>
      </c>
      <c r="I11" s="277">
        <v>26.872599000000001</v>
      </c>
      <c r="J11" s="277">
        <v>6.8230069999999996</v>
      </c>
      <c r="K11" s="277">
        <v>5.80464</v>
      </c>
      <c r="L11" s="277">
        <v>5.3935639999999996</v>
      </c>
      <c r="M11" s="277">
        <v>3.9681929999999999</v>
      </c>
      <c r="N11" s="284">
        <f t="shared" si="1"/>
        <v>4.8831950000000006</v>
      </c>
      <c r="O11" s="277">
        <v>49.944935000000001</v>
      </c>
      <c r="P11" s="277">
        <v>5.9999440000000002</v>
      </c>
      <c r="Q11" s="277">
        <v>6.6577270000000004</v>
      </c>
      <c r="R11" s="277">
        <v>4.6880730000000002</v>
      </c>
      <c r="S11" s="277">
        <v>6.2741199999999999</v>
      </c>
      <c r="T11" s="284">
        <f t="shared" si="2"/>
        <v>26.325071000000001</v>
      </c>
      <c r="U11" s="920">
        <v>7648.2573333333339</v>
      </c>
      <c r="V11" s="920">
        <v>1001.4326666666666</v>
      </c>
      <c r="W11" s="920">
        <v>992.27700000000004</v>
      </c>
      <c r="X11" s="920">
        <v>789.67433333333338</v>
      </c>
      <c r="Y11" s="920">
        <v>505.64799999999997</v>
      </c>
      <c r="Z11" s="874">
        <f t="shared" si="3"/>
        <v>4359.2253333333338</v>
      </c>
      <c r="AA11" s="920">
        <v>1055</v>
      </c>
      <c r="AB11" s="277">
        <v>175.72200000000001</v>
      </c>
      <c r="AC11" s="920">
        <v>129.852</v>
      </c>
      <c r="AD11" s="920">
        <v>113.04300000000001</v>
      </c>
      <c r="AE11" s="920">
        <v>98.378</v>
      </c>
      <c r="AF11" s="920">
        <v>857.5</v>
      </c>
      <c r="AG11" s="277">
        <v>132.90100000000001</v>
      </c>
      <c r="AH11" s="920">
        <v>105.943</v>
      </c>
      <c r="AI11" s="920">
        <v>93.433000000000007</v>
      </c>
      <c r="AJ11" s="920">
        <v>72.477000000000004</v>
      </c>
      <c r="AK11" s="919">
        <f>Data[[#This Row],[Industry Cost ($m)]]/Data[[#This Row],[Industry Consumption]]</f>
        <v>0.8127962085308057</v>
      </c>
      <c r="AL11" s="919">
        <f>Data[[#This Row],[AAL Fuel Cost]]/Data[[#This Row],[AAL Consumption]]</f>
        <v>0.75631395044445204</v>
      </c>
      <c r="AM11" s="919">
        <f>Data[[#This Row],[DAL Fuel Cost]]/Data[[#This Row],[DAL Consumption]]</f>
        <v>0.81587499614946246</v>
      </c>
      <c r="AN11" s="919">
        <f>Data[[#This Row],[UAL Fuel Cost]]/Data[[#This Row],[UALConsumption]]</f>
        <v>0.82652618914926179</v>
      </c>
      <c r="AO11" s="919">
        <f>Data[[#This Row],[LUV Fuel Cost]]/Data[[#This Row],[LUV Consumption]]</f>
        <v>0.73671959177864976</v>
      </c>
      <c r="AP11" s="919">
        <v>0.82</v>
      </c>
      <c r="AQ11" s="783"/>
    </row>
    <row r="12" spans="1:43" s="253" customFormat="1">
      <c r="A12" s="263">
        <f t="shared" si="4"/>
        <v>37955</v>
      </c>
      <c r="B12" s="263" t="s">
        <v>357</v>
      </c>
      <c r="C12" s="277">
        <v>36.151197000000003</v>
      </c>
      <c r="D12" s="277">
        <v>9.0062139999999999</v>
      </c>
      <c r="E12" s="277">
        <v>7.7596080000000001</v>
      </c>
      <c r="F12" s="277">
        <v>6.9872749999999995</v>
      </c>
      <c r="G12" s="277">
        <v>5.9049690000000004</v>
      </c>
      <c r="H12" s="284">
        <f t="shared" si="0"/>
        <v>6.4931310000000018</v>
      </c>
      <c r="I12" s="277">
        <v>25.407633000000001</v>
      </c>
      <c r="J12" s="277">
        <v>6.3451820000000003</v>
      </c>
      <c r="K12" s="277">
        <v>5.4734819999999997</v>
      </c>
      <c r="L12" s="277">
        <v>5.0397999999999996</v>
      </c>
      <c r="M12" s="277">
        <v>3.7620689999999999</v>
      </c>
      <c r="N12" s="284">
        <f t="shared" si="1"/>
        <v>4.7871000000000024</v>
      </c>
      <c r="O12" s="277">
        <v>47.059494999999998</v>
      </c>
      <c r="P12" s="277">
        <v>5.4449209999999999</v>
      </c>
      <c r="Q12" s="277">
        <v>6.2225440000000001</v>
      </c>
      <c r="R12" s="277">
        <v>4.391521</v>
      </c>
      <c r="S12" s="277">
        <v>6.0068849999999996</v>
      </c>
      <c r="T12" s="284">
        <f t="shared" si="2"/>
        <v>24.993623999999997</v>
      </c>
      <c r="U12" s="920">
        <v>7648.2573333333339</v>
      </c>
      <c r="V12" s="920">
        <v>1001.4326666666666</v>
      </c>
      <c r="W12" s="920">
        <v>992.27700000000004</v>
      </c>
      <c r="X12" s="920">
        <v>789.67433333333338</v>
      </c>
      <c r="Y12" s="920">
        <v>505.64799999999997</v>
      </c>
      <c r="Z12" s="874">
        <f t="shared" si="3"/>
        <v>4359.2253333333338</v>
      </c>
      <c r="AA12" s="920">
        <v>1007.5</v>
      </c>
      <c r="AB12" s="277">
        <v>166.52099999999999</v>
      </c>
      <c r="AC12" s="920">
        <v>125.879</v>
      </c>
      <c r="AD12" s="920">
        <v>108.16200000000001</v>
      </c>
      <c r="AE12" s="920">
        <v>92.995000000000005</v>
      </c>
      <c r="AF12" s="920">
        <v>844.7</v>
      </c>
      <c r="AG12" s="277">
        <v>132.04300000000001</v>
      </c>
      <c r="AH12" s="920">
        <v>100.944</v>
      </c>
      <c r="AI12" s="920">
        <v>95.674999999999997</v>
      </c>
      <c r="AJ12" s="920">
        <v>70.006</v>
      </c>
      <c r="AK12" s="919">
        <f>Data[[#This Row],[Industry Cost ($m)]]/Data[[#This Row],[Industry Consumption]]</f>
        <v>0.83841191066997522</v>
      </c>
      <c r="AL12" s="919">
        <f>Data[[#This Row],[AAL Fuel Cost]]/Data[[#This Row],[AAL Consumption]]</f>
        <v>0.79295103920826815</v>
      </c>
      <c r="AM12" s="919">
        <f>Data[[#This Row],[DAL Fuel Cost]]/Data[[#This Row],[DAL Consumption]]</f>
        <v>0.80191294814861891</v>
      </c>
      <c r="AN12" s="919">
        <f>Data[[#This Row],[UAL Fuel Cost]]/Data[[#This Row],[UALConsumption]]</f>
        <v>0.8845528004289861</v>
      </c>
      <c r="AO12" s="919">
        <f>Data[[#This Row],[LUV Fuel Cost]]/Data[[#This Row],[LUV Consumption]]</f>
        <v>0.75279316092263027</v>
      </c>
      <c r="AP12" s="919">
        <v>0.83099999999999996</v>
      </c>
      <c r="AQ12" s="783"/>
    </row>
    <row r="13" spans="1:43" s="253" customFormat="1">
      <c r="A13" s="263">
        <f t="shared" si="4"/>
        <v>37986</v>
      </c>
      <c r="B13" s="263" t="s">
        <v>357</v>
      </c>
      <c r="C13" s="277">
        <v>38.113013000000002</v>
      </c>
      <c r="D13" s="277">
        <v>9.5121479999999998</v>
      </c>
      <c r="E13" s="277">
        <v>7.9712500000000004</v>
      </c>
      <c r="F13" s="277">
        <v>7.4069530000000006</v>
      </c>
      <c r="G13" s="277">
        <v>6.1543270000000003</v>
      </c>
      <c r="H13" s="284">
        <f t="shared" si="0"/>
        <v>7.0683349999999976</v>
      </c>
      <c r="I13" s="277">
        <v>27.653086999999999</v>
      </c>
      <c r="J13" s="277">
        <v>6.9328789999999998</v>
      </c>
      <c r="K13" s="277">
        <v>5.894158</v>
      </c>
      <c r="L13" s="277">
        <v>5.5922289999999997</v>
      </c>
      <c r="M13" s="277">
        <v>3.9353090000000002</v>
      </c>
      <c r="N13" s="284">
        <f t="shared" si="1"/>
        <v>5.2985119999999988</v>
      </c>
      <c r="O13" s="277">
        <v>49.757123999999997</v>
      </c>
      <c r="P13" s="277">
        <v>5.8927199999999997</v>
      </c>
      <c r="Q13" s="277">
        <v>6.4942950000000002</v>
      </c>
      <c r="R13" s="277">
        <v>4.7421879999999996</v>
      </c>
      <c r="S13" s="277">
        <v>6.1140590000000001</v>
      </c>
      <c r="T13" s="284">
        <f t="shared" si="2"/>
        <v>26.513861999999996</v>
      </c>
      <c r="U13" s="920">
        <v>7648.2573333333339</v>
      </c>
      <c r="V13" s="920">
        <v>1001.4326666666666</v>
      </c>
      <c r="W13" s="920">
        <v>992.27700000000004</v>
      </c>
      <c r="X13" s="920">
        <v>789.67433333333338</v>
      </c>
      <c r="Y13" s="920">
        <v>505.64799999999997</v>
      </c>
      <c r="Z13" s="874">
        <f t="shared" si="3"/>
        <v>4359.2253333333338</v>
      </c>
      <c r="AA13" s="920">
        <v>1075.4000000000001</v>
      </c>
      <c r="AB13" s="277">
        <v>174.06</v>
      </c>
      <c r="AC13" s="920">
        <v>130.048</v>
      </c>
      <c r="AD13" s="920">
        <v>114.95399999999999</v>
      </c>
      <c r="AE13" s="920">
        <v>96.149000000000001</v>
      </c>
      <c r="AF13" s="920">
        <v>941.8</v>
      </c>
      <c r="AG13" s="277">
        <v>144.959</v>
      </c>
      <c r="AH13" s="920">
        <v>111.21899999999999</v>
      </c>
      <c r="AI13" s="920">
        <v>107.667</v>
      </c>
      <c r="AJ13" s="920">
        <v>71.138999999999996</v>
      </c>
      <c r="AK13" s="919">
        <f>Data[[#This Row],[Industry Cost ($m)]]/Data[[#This Row],[Industry Consumption]]</f>
        <v>0.87576715640691827</v>
      </c>
      <c r="AL13" s="919">
        <f>Data[[#This Row],[AAL Fuel Cost]]/Data[[#This Row],[AAL Consumption]]</f>
        <v>0.83281052510628517</v>
      </c>
      <c r="AM13" s="919">
        <f>Data[[#This Row],[DAL Fuel Cost]]/Data[[#This Row],[DAL Consumption]]</f>
        <v>0.85521499753937003</v>
      </c>
      <c r="AN13" s="919">
        <f>Data[[#This Row],[UAL Fuel Cost]]/Data[[#This Row],[UALConsumption]]</f>
        <v>0.93660942637924738</v>
      </c>
      <c r="AO13" s="919">
        <f>Data[[#This Row],[LUV Fuel Cost]]/Data[[#This Row],[LUV Consumption]]</f>
        <v>0.73988289009766084</v>
      </c>
      <c r="AP13" s="919">
        <v>0.876</v>
      </c>
      <c r="AQ13" s="783"/>
    </row>
    <row r="14" spans="1:43" s="253" customFormat="1">
      <c r="A14" s="263">
        <f t="shared" si="4"/>
        <v>38017</v>
      </c>
      <c r="B14" s="263" t="s">
        <v>357</v>
      </c>
      <c r="C14" s="277">
        <v>37.895128999999997</v>
      </c>
      <c r="D14" s="277">
        <v>9.549790999999999</v>
      </c>
      <c r="E14" s="277">
        <v>7.9119449999999993</v>
      </c>
      <c r="F14" s="277">
        <v>7.3292910000000004</v>
      </c>
      <c r="G14" s="277">
        <v>6.1488860000000001</v>
      </c>
      <c r="H14" s="284">
        <f t="shared" si="0"/>
        <v>6.9552159999999965</v>
      </c>
      <c r="I14" s="277">
        <v>24.979610000000001</v>
      </c>
      <c r="J14" s="277">
        <v>6.463552</v>
      </c>
      <c r="K14" s="277">
        <v>5.2899950000000002</v>
      </c>
      <c r="L14" s="277">
        <v>4.9587680000000001</v>
      </c>
      <c r="M14" s="277">
        <v>3.456658</v>
      </c>
      <c r="N14" s="284">
        <f t="shared" si="1"/>
        <v>4.8106369999999998</v>
      </c>
      <c r="O14" s="277">
        <v>43.815480999999998</v>
      </c>
      <c r="P14" s="277">
        <v>5.474024</v>
      </c>
      <c r="Q14" s="277">
        <v>5.8112440000000003</v>
      </c>
      <c r="R14" s="277">
        <v>4.1557760000000004</v>
      </c>
      <c r="S14" s="277">
        <v>5.3579999999999997</v>
      </c>
      <c r="T14" s="284">
        <f t="shared" si="2"/>
        <v>23.016436999999996</v>
      </c>
      <c r="U14" s="920">
        <v>7962.0223333333333</v>
      </c>
      <c r="V14" s="920">
        <v>1011.2923333333333</v>
      </c>
      <c r="W14" s="920">
        <v>980.18</v>
      </c>
      <c r="X14" s="920">
        <v>807.46066666666673</v>
      </c>
      <c r="Y14" s="920">
        <v>494.66200000000003</v>
      </c>
      <c r="Z14" s="874">
        <f t="shared" si="3"/>
        <v>4668.4273333333331</v>
      </c>
      <c r="AA14" s="920">
        <v>1065.2</v>
      </c>
      <c r="AB14" s="277">
        <v>173.768</v>
      </c>
      <c r="AC14" s="920">
        <v>131.566</v>
      </c>
      <c r="AD14" s="920">
        <v>106.291</v>
      </c>
      <c r="AE14" s="920">
        <v>95.238</v>
      </c>
      <c r="AF14" s="920">
        <v>1008.2</v>
      </c>
      <c r="AG14" s="277">
        <v>156.32499999999999</v>
      </c>
      <c r="AH14" s="920">
        <v>120.822</v>
      </c>
      <c r="AI14" s="920">
        <v>105.69499999999999</v>
      </c>
      <c r="AJ14" s="920">
        <v>72.759</v>
      </c>
      <c r="AK14" s="919">
        <f>Data[[#This Row],[Industry Cost ($m)]]/Data[[#This Row],[Industry Consumption]]</f>
        <v>0.94648892226811865</v>
      </c>
      <c r="AL14" s="919">
        <f>Data[[#This Row],[AAL Fuel Cost]]/Data[[#This Row],[AAL Consumption]]</f>
        <v>0.89961903227291551</v>
      </c>
      <c r="AM14" s="919">
        <f>Data[[#This Row],[DAL Fuel Cost]]/Data[[#This Row],[DAL Consumption]]</f>
        <v>0.91833756441633863</v>
      </c>
      <c r="AN14" s="919">
        <f>Data[[#This Row],[UAL Fuel Cost]]/Data[[#This Row],[UALConsumption]]</f>
        <v>0.99439275197335608</v>
      </c>
      <c r="AO14" s="919">
        <f>Data[[#This Row],[LUV Fuel Cost]]/Data[[#This Row],[LUV Consumption]]</f>
        <v>0.76397026397026402</v>
      </c>
      <c r="AP14" s="919">
        <v>0.998</v>
      </c>
      <c r="AQ14" s="783"/>
    </row>
    <row r="15" spans="1:43" s="253" customFormat="1">
      <c r="A15" s="263">
        <f t="shared" si="4"/>
        <v>38046</v>
      </c>
      <c r="B15" s="263" t="s">
        <v>357</v>
      </c>
      <c r="C15" s="277">
        <v>36.465701000000003</v>
      </c>
      <c r="D15" s="277">
        <v>9.2508029999999994</v>
      </c>
      <c r="E15" s="277">
        <v>7.5356750000000003</v>
      </c>
      <c r="F15" s="277">
        <v>6.9562689999999998</v>
      </c>
      <c r="G15" s="277">
        <v>5.883</v>
      </c>
      <c r="H15" s="284">
        <f t="shared" si="0"/>
        <v>6.8399540000000059</v>
      </c>
      <c r="I15" s="277">
        <v>25.172298999999999</v>
      </c>
      <c r="J15" s="277">
        <v>6.4581210000000002</v>
      </c>
      <c r="K15" s="277">
        <v>5.2575760000000002</v>
      </c>
      <c r="L15" s="277">
        <v>4.9433379999999998</v>
      </c>
      <c r="M15" s="277">
        <v>3.6601849999999998</v>
      </c>
      <c r="N15" s="284">
        <f t="shared" si="1"/>
        <v>4.853079000000001</v>
      </c>
      <c r="O15" s="277">
        <v>45.306643999999999</v>
      </c>
      <c r="P15" s="277">
        <v>5.4937379999999996</v>
      </c>
      <c r="Q15" s="277">
        <v>5.945233</v>
      </c>
      <c r="R15" s="277">
        <v>4.1974429999999998</v>
      </c>
      <c r="S15" s="277">
        <v>5.7465869999999999</v>
      </c>
      <c r="T15" s="284">
        <f t="shared" si="2"/>
        <v>23.923642999999998</v>
      </c>
      <c r="U15" s="920">
        <v>7962.0223333333333</v>
      </c>
      <c r="V15" s="920">
        <v>1011.2923333333333</v>
      </c>
      <c r="W15" s="920">
        <v>980.18</v>
      </c>
      <c r="X15" s="920">
        <v>807.46066666666673</v>
      </c>
      <c r="Y15" s="920">
        <v>494.66200000000003</v>
      </c>
      <c r="Z15" s="874">
        <f t="shared" si="3"/>
        <v>4668.4273333333331</v>
      </c>
      <c r="AA15" s="920">
        <v>1032.4000000000001</v>
      </c>
      <c r="AB15" s="277">
        <v>165.66800000000001</v>
      </c>
      <c r="AC15" s="920">
        <v>125.372</v>
      </c>
      <c r="AD15" s="920">
        <v>111.068</v>
      </c>
      <c r="AE15" s="920">
        <v>91.766999999999996</v>
      </c>
      <c r="AF15" s="920">
        <v>997.4</v>
      </c>
      <c r="AG15" s="277">
        <v>153.44800000000001</v>
      </c>
      <c r="AH15" s="920">
        <v>115.958</v>
      </c>
      <c r="AI15" s="920">
        <v>110.72</v>
      </c>
      <c r="AJ15" s="920">
        <v>73.733000000000004</v>
      </c>
      <c r="AK15" s="919">
        <f>Data[[#This Row],[Industry Cost ($m)]]/Data[[#This Row],[Industry Consumption]]</f>
        <v>0.96609841146842301</v>
      </c>
      <c r="AL15" s="919">
        <f>Data[[#This Row],[AAL Fuel Cost]]/Data[[#This Row],[AAL Consumption]]</f>
        <v>0.92623801820508489</v>
      </c>
      <c r="AM15" s="919">
        <f>Data[[#This Row],[DAL Fuel Cost]]/Data[[#This Row],[DAL Consumption]]</f>
        <v>0.92491146348466957</v>
      </c>
      <c r="AN15" s="919">
        <f>Data[[#This Row],[UAL Fuel Cost]]/Data[[#This Row],[UALConsumption]]</f>
        <v>0.99686678431231324</v>
      </c>
      <c r="AO15" s="919">
        <f>Data[[#This Row],[LUV Fuel Cost]]/Data[[#This Row],[LUV Consumption]]</f>
        <v>0.80348055401179086</v>
      </c>
      <c r="AP15" s="919">
        <v>0.93300000000000005</v>
      </c>
      <c r="AQ15" s="783"/>
    </row>
    <row r="16" spans="1:43" s="253" customFormat="1">
      <c r="A16" s="263">
        <f t="shared" si="4"/>
        <v>38077</v>
      </c>
      <c r="B16" s="263" t="s">
        <v>357</v>
      </c>
      <c r="C16" s="277">
        <v>40.035069</v>
      </c>
      <c r="D16" s="277">
        <v>10.064912</v>
      </c>
      <c r="E16" s="277">
        <v>8.3242900000000013</v>
      </c>
      <c r="F16" s="277">
        <v>7.6406689999999999</v>
      </c>
      <c r="G16" s="277">
        <v>6.3532960000000003</v>
      </c>
      <c r="H16" s="284">
        <f t="shared" si="0"/>
        <v>7.6519019999999998</v>
      </c>
      <c r="I16" s="277">
        <v>30.292988999999999</v>
      </c>
      <c r="J16" s="277">
        <v>7.5967330000000004</v>
      </c>
      <c r="K16" s="277">
        <v>6.2704170000000001</v>
      </c>
      <c r="L16" s="277">
        <v>5.9229750000000001</v>
      </c>
      <c r="M16" s="277">
        <v>4.6767950000000003</v>
      </c>
      <c r="N16" s="284">
        <f t="shared" si="1"/>
        <v>5.8260689999999968</v>
      </c>
      <c r="O16" s="277">
        <v>54.147227000000001</v>
      </c>
      <c r="P16" s="277">
        <v>6.4250949999999998</v>
      </c>
      <c r="Q16" s="277">
        <v>6.9392670000000001</v>
      </c>
      <c r="R16" s="277">
        <v>5.0297700000000001</v>
      </c>
      <c r="S16" s="277">
        <v>7.0858169999999996</v>
      </c>
      <c r="T16" s="284">
        <f t="shared" si="2"/>
        <v>28.667278000000003</v>
      </c>
      <c r="U16" s="920">
        <v>7962.0223333333333</v>
      </c>
      <c r="V16" s="920">
        <v>1011.2923333333333</v>
      </c>
      <c r="W16" s="920">
        <v>980.18</v>
      </c>
      <c r="X16" s="920">
        <v>807.46066666666673</v>
      </c>
      <c r="Y16" s="920">
        <v>494.66200000000003</v>
      </c>
      <c r="Z16" s="874">
        <f t="shared" si="3"/>
        <v>4668.4273333333331</v>
      </c>
      <c r="AA16" s="920">
        <v>1140.5</v>
      </c>
      <c r="AB16" s="277">
        <v>188.446</v>
      </c>
      <c r="AC16" s="920">
        <v>137.49</v>
      </c>
      <c r="AD16" s="920">
        <v>116.57599999999999</v>
      </c>
      <c r="AE16" s="920">
        <v>100.4</v>
      </c>
      <c r="AF16" s="920">
        <v>1116.5</v>
      </c>
      <c r="AG16" s="277">
        <v>169.654</v>
      </c>
      <c r="AH16" s="920">
        <v>129.52799999999999</v>
      </c>
      <c r="AI16" s="920">
        <v>121.548</v>
      </c>
      <c r="AJ16" s="920">
        <v>82.953999999999994</v>
      </c>
      <c r="AK16" s="919">
        <f>Data[[#This Row],[Industry Cost ($m)]]/Data[[#This Row],[Industry Consumption]]</f>
        <v>0.97895659798334067</v>
      </c>
      <c r="AL16" s="919">
        <f>Data[[#This Row],[AAL Fuel Cost]]/Data[[#This Row],[AAL Consumption]]</f>
        <v>0.90027912505439223</v>
      </c>
      <c r="AM16" s="919">
        <f>Data[[#This Row],[DAL Fuel Cost]]/Data[[#This Row],[DAL Consumption]]</f>
        <v>0.9420903338424611</v>
      </c>
      <c r="AN16" s="919">
        <f>Data[[#This Row],[UAL Fuel Cost]]/Data[[#This Row],[UALConsumption]]</f>
        <v>1.0426502882239912</v>
      </c>
      <c r="AO16" s="919">
        <f>Data[[#This Row],[LUV Fuel Cost]]/Data[[#This Row],[LUV Consumption]]</f>
        <v>0.82623505976095601</v>
      </c>
      <c r="AP16" s="919">
        <v>0.94699999999999995</v>
      </c>
      <c r="AQ16" s="783"/>
    </row>
    <row r="17" spans="1:43" s="253" customFormat="1">
      <c r="A17" s="263">
        <f t="shared" si="4"/>
        <v>38107</v>
      </c>
      <c r="B17" s="263" t="s">
        <v>357</v>
      </c>
      <c r="C17" s="277">
        <v>39.200845000000001</v>
      </c>
      <c r="D17" s="277">
        <v>9.7454230000000006</v>
      </c>
      <c r="E17" s="277">
        <v>8.170122000000001</v>
      </c>
      <c r="F17" s="277">
        <v>7.5715780000000006</v>
      </c>
      <c r="G17" s="277">
        <v>6.150773</v>
      </c>
      <c r="H17" s="284">
        <f t="shared" si="0"/>
        <v>7.5629489999999961</v>
      </c>
      <c r="I17" s="277">
        <v>29.862386999999998</v>
      </c>
      <c r="J17" s="277">
        <v>7.4121969999999999</v>
      </c>
      <c r="K17" s="277">
        <v>6.0648419999999996</v>
      </c>
      <c r="L17" s="277">
        <v>6.0052989999999999</v>
      </c>
      <c r="M17" s="277">
        <v>4.6891179999999997</v>
      </c>
      <c r="N17" s="284">
        <f t="shared" si="1"/>
        <v>5.6909309999999991</v>
      </c>
      <c r="O17" s="277">
        <v>53.253194000000001</v>
      </c>
      <c r="P17" s="277">
        <v>6.2097470000000001</v>
      </c>
      <c r="Q17" s="277">
        <v>6.6970580000000002</v>
      </c>
      <c r="R17" s="277">
        <v>5.0220729999999998</v>
      </c>
      <c r="S17" s="277">
        <v>7.1156360000000003</v>
      </c>
      <c r="T17" s="284">
        <f t="shared" si="2"/>
        <v>28.208680000000001</v>
      </c>
      <c r="U17" s="920">
        <v>8620.5193333333336</v>
      </c>
      <c r="V17" s="920">
        <v>1065.4963333333333</v>
      </c>
      <c r="W17" s="920">
        <v>1055.1786666666667</v>
      </c>
      <c r="X17" s="920">
        <v>899.13633333333337</v>
      </c>
      <c r="Y17" s="920">
        <v>572.08266666666668</v>
      </c>
      <c r="Z17" s="874">
        <f t="shared" si="3"/>
        <v>5028.6253333333334</v>
      </c>
      <c r="AA17" s="920">
        <v>1094.4000000000001</v>
      </c>
      <c r="AB17" s="277">
        <v>174.01900000000001</v>
      </c>
      <c r="AC17" s="920">
        <v>131.80000000000001</v>
      </c>
      <c r="AD17" s="920">
        <v>116.17700000000001</v>
      </c>
      <c r="AE17" s="920">
        <v>97.27</v>
      </c>
      <c r="AF17" s="920">
        <v>1092.5</v>
      </c>
      <c r="AG17" s="277">
        <v>167.06800000000001</v>
      </c>
      <c r="AH17" s="920">
        <v>126.672</v>
      </c>
      <c r="AI17" s="920">
        <v>124.49</v>
      </c>
      <c r="AJ17" s="920">
        <v>77.959000000000003</v>
      </c>
      <c r="AK17" s="919">
        <f>Data[[#This Row],[Industry Cost ($m)]]/Data[[#This Row],[Industry Consumption]]</f>
        <v>0.99826388888888884</v>
      </c>
      <c r="AL17" s="919">
        <f>Data[[#This Row],[AAL Fuel Cost]]/Data[[#This Row],[AAL Consumption]]</f>
        <v>0.96005608582970825</v>
      </c>
      <c r="AM17" s="919">
        <f>Data[[#This Row],[DAL Fuel Cost]]/Data[[#This Row],[DAL Consumption]]</f>
        <v>0.96109256449165392</v>
      </c>
      <c r="AN17" s="919">
        <f>Data[[#This Row],[UAL Fuel Cost]]/Data[[#This Row],[UALConsumption]]</f>
        <v>1.0715546106372174</v>
      </c>
      <c r="AO17" s="919">
        <f>Data[[#This Row],[LUV Fuel Cost]]/Data[[#This Row],[LUV Consumption]]</f>
        <v>0.80147013467667327</v>
      </c>
      <c r="AP17" s="919">
        <v>0.97299999999999998</v>
      </c>
      <c r="AQ17" s="783"/>
    </row>
    <row r="18" spans="1:43" s="253" customFormat="1">
      <c r="A18" s="263">
        <f t="shared" si="4"/>
        <v>38138</v>
      </c>
      <c r="B18" s="263" t="s">
        <v>357</v>
      </c>
      <c r="C18" s="277">
        <v>39.936666000000002</v>
      </c>
      <c r="D18" s="277">
        <v>9.6667760000000005</v>
      </c>
      <c r="E18" s="277">
        <v>8.3194490000000005</v>
      </c>
      <c r="F18" s="277">
        <v>7.7794949999999998</v>
      </c>
      <c r="G18" s="277">
        <v>6.3405339999999999</v>
      </c>
      <c r="H18" s="284">
        <f t="shared" si="0"/>
        <v>7.8304120000000026</v>
      </c>
      <c r="I18" s="277">
        <v>29.840064999999999</v>
      </c>
      <c r="J18" s="277">
        <v>7.168145</v>
      </c>
      <c r="K18" s="277">
        <v>6.1090869999999997</v>
      </c>
      <c r="L18" s="277">
        <v>6.0852320000000004</v>
      </c>
      <c r="M18" s="277">
        <v>4.6816329999999997</v>
      </c>
      <c r="N18" s="284">
        <f t="shared" si="1"/>
        <v>5.7959679999999985</v>
      </c>
      <c r="O18" s="277">
        <v>53.030873</v>
      </c>
      <c r="P18" s="277">
        <v>6.0807570000000002</v>
      </c>
      <c r="Q18" s="277">
        <v>6.7565710000000001</v>
      </c>
      <c r="R18" s="277">
        <v>5.1203580000000004</v>
      </c>
      <c r="S18" s="277">
        <v>7.1391140000000002</v>
      </c>
      <c r="T18" s="284">
        <f t="shared" si="2"/>
        <v>27.934073000000001</v>
      </c>
      <c r="U18" s="920">
        <v>8620.5193333333336</v>
      </c>
      <c r="V18" s="920">
        <v>1065.4963333333333</v>
      </c>
      <c r="W18" s="920">
        <v>1055.1786666666667</v>
      </c>
      <c r="X18" s="920">
        <v>899.13633333333337</v>
      </c>
      <c r="Y18" s="920">
        <v>572.08266666666668</v>
      </c>
      <c r="Z18" s="874">
        <f t="shared" si="3"/>
        <v>5028.6253333333334</v>
      </c>
      <c r="AA18" s="920">
        <v>1120.4000000000001</v>
      </c>
      <c r="AB18" s="277">
        <v>173.732</v>
      </c>
      <c r="AC18" s="920">
        <v>134.86099999999999</v>
      </c>
      <c r="AD18" s="920">
        <v>120.66200000000001</v>
      </c>
      <c r="AE18" s="920">
        <v>100.184</v>
      </c>
      <c r="AF18" s="920">
        <v>1206.5</v>
      </c>
      <c r="AG18" s="277">
        <v>188.24</v>
      </c>
      <c r="AH18" s="920">
        <v>140.08799999999999</v>
      </c>
      <c r="AI18" s="920">
        <v>136.762</v>
      </c>
      <c r="AJ18" s="920">
        <v>83.653999999999996</v>
      </c>
      <c r="AK18" s="919">
        <f>Data[[#This Row],[Industry Cost ($m)]]/Data[[#This Row],[Industry Consumption]]</f>
        <v>1.076847554444841</v>
      </c>
      <c r="AL18" s="919">
        <f>Data[[#This Row],[AAL Fuel Cost]]/Data[[#This Row],[AAL Consumption]]</f>
        <v>1.0835079317569591</v>
      </c>
      <c r="AM18" s="919">
        <f>Data[[#This Row],[DAL Fuel Cost]]/Data[[#This Row],[DAL Consumption]]</f>
        <v>1.0387584253416482</v>
      </c>
      <c r="AN18" s="919">
        <f>Data[[#This Row],[UAL Fuel Cost]]/Data[[#This Row],[UALConsumption]]</f>
        <v>1.1334305746631084</v>
      </c>
      <c r="AO18" s="919">
        <f>Data[[#This Row],[LUV Fuel Cost]]/Data[[#This Row],[LUV Consumption]]</f>
        <v>0.83500359338816577</v>
      </c>
      <c r="AP18" s="919">
        <v>1.0920000000000001</v>
      </c>
      <c r="AQ18" s="783"/>
    </row>
    <row r="19" spans="1:43" s="253" customFormat="1">
      <c r="A19" s="263">
        <f t="shared" si="4"/>
        <v>38168</v>
      </c>
      <c r="B19" s="263" t="s">
        <v>357</v>
      </c>
      <c r="C19" s="277">
        <v>40.411841000000003</v>
      </c>
      <c r="D19" s="277">
        <v>9.7631640000000015</v>
      </c>
      <c r="E19" s="277">
        <v>8.2774219999999996</v>
      </c>
      <c r="F19" s="277">
        <v>7.9729849999999995</v>
      </c>
      <c r="G19" s="277">
        <v>6.2867980000000001</v>
      </c>
      <c r="H19" s="284">
        <f t="shared" si="0"/>
        <v>8.1114720000000062</v>
      </c>
      <c r="I19" s="277">
        <v>32.738930000000003</v>
      </c>
      <c r="J19" s="277">
        <v>7.8302610000000001</v>
      </c>
      <c r="K19" s="277">
        <v>6.7457779999999996</v>
      </c>
      <c r="L19" s="277">
        <v>6.7369849999999998</v>
      </c>
      <c r="M19" s="277">
        <v>4.9564180000000002</v>
      </c>
      <c r="N19" s="284">
        <f t="shared" si="1"/>
        <v>6.4694880000000055</v>
      </c>
      <c r="O19" s="277">
        <v>56.959142</v>
      </c>
      <c r="P19" s="277">
        <v>6.5201779999999996</v>
      </c>
      <c r="Q19" s="277">
        <v>7.227106</v>
      </c>
      <c r="R19" s="277">
        <v>5.6044029999999996</v>
      </c>
      <c r="S19" s="277">
        <v>7.3732980000000001</v>
      </c>
      <c r="T19" s="284">
        <f t="shared" si="2"/>
        <v>30.234157000000003</v>
      </c>
      <c r="U19" s="920">
        <v>8620.5193333333336</v>
      </c>
      <c r="V19" s="920">
        <v>1065.4963333333333</v>
      </c>
      <c r="W19" s="920">
        <v>1055.1786666666667</v>
      </c>
      <c r="X19" s="920">
        <v>899.13633333333337</v>
      </c>
      <c r="Y19" s="920">
        <v>572.08266666666668</v>
      </c>
      <c r="Z19" s="874">
        <f t="shared" si="3"/>
        <v>5028.6253333333334</v>
      </c>
      <c r="AA19" s="920">
        <v>1136.3</v>
      </c>
      <c r="AB19" s="277">
        <v>177.18700000000001</v>
      </c>
      <c r="AC19" s="920">
        <v>136.958</v>
      </c>
      <c r="AD19" s="920">
        <v>124.298</v>
      </c>
      <c r="AE19" s="920">
        <v>100.574</v>
      </c>
      <c r="AF19" s="920">
        <v>1218.3</v>
      </c>
      <c r="AG19" s="277">
        <v>191.101</v>
      </c>
      <c r="AH19" s="920">
        <v>146.41900000000001</v>
      </c>
      <c r="AI19" s="920">
        <v>143.298</v>
      </c>
      <c r="AJ19" s="920">
        <v>83.215999999999994</v>
      </c>
      <c r="AK19" s="919">
        <f>Data[[#This Row],[Industry Cost ($m)]]/Data[[#This Row],[Industry Consumption]]</f>
        <v>1.0721640411863065</v>
      </c>
      <c r="AL19" s="919">
        <f>Data[[#This Row],[AAL Fuel Cost]]/Data[[#This Row],[AAL Consumption]]</f>
        <v>1.07852720572051</v>
      </c>
      <c r="AM19" s="919">
        <f>Data[[#This Row],[DAL Fuel Cost]]/Data[[#This Row],[DAL Consumption]]</f>
        <v>1.0690795718395421</v>
      </c>
      <c r="AN19" s="919">
        <f>Data[[#This Row],[UAL Fuel Cost]]/Data[[#This Row],[UALConsumption]]</f>
        <v>1.1528584530724548</v>
      </c>
      <c r="AO19" s="919">
        <f>Data[[#This Row],[LUV Fuel Cost]]/Data[[#This Row],[LUV Consumption]]</f>
        <v>0.82741066279555353</v>
      </c>
      <c r="AP19" s="919">
        <v>1.032</v>
      </c>
      <c r="AQ19" s="783"/>
    </row>
    <row r="20" spans="1:43" s="253" customFormat="1">
      <c r="A20" s="263">
        <f t="shared" si="4"/>
        <v>38199</v>
      </c>
      <c r="B20" s="263" t="s">
        <v>357</v>
      </c>
      <c r="C20" s="277">
        <v>41.996445000000001</v>
      </c>
      <c r="D20" s="277">
        <v>9.9790859999999988</v>
      </c>
      <c r="E20" s="277">
        <v>8.4670059999999996</v>
      </c>
      <c r="F20" s="277">
        <v>8.3238490000000009</v>
      </c>
      <c r="G20" s="277">
        <v>6.5474049999999995</v>
      </c>
      <c r="H20" s="284">
        <f t="shared" si="0"/>
        <v>8.6790990000000008</v>
      </c>
      <c r="I20" s="277">
        <v>34.630775</v>
      </c>
      <c r="J20" s="277">
        <v>8.1706179999999993</v>
      </c>
      <c r="K20" s="277">
        <v>7.1281220000000003</v>
      </c>
      <c r="L20" s="277">
        <v>7.0452450000000004</v>
      </c>
      <c r="M20" s="277">
        <v>5.1974679999999998</v>
      </c>
      <c r="N20" s="284">
        <f t="shared" si="1"/>
        <v>7.0893219999999992</v>
      </c>
      <c r="O20" s="277">
        <v>59.614286999999997</v>
      </c>
      <c r="P20" s="277">
        <v>6.7173160000000003</v>
      </c>
      <c r="Q20" s="277">
        <v>7.4658879999999996</v>
      </c>
      <c r="R20" s="277">
        <v>5.8330640000000002</v>
      </c>
      <c r="S20" s="277">
        <v>7.6208049999999998</v>
      </c>
      <c r="T20" s="284">
        <f t="shared" si="2"/>
        <v>31.977213999999996</v>
      </c>
      <c r="U20" s="920">
        <v>8567.3150000000005</v>
      </c>
      <c r="V20" s="920">
        <v>996.94966666666676</v>
      </c>
      <c r="W20" s="920">
        <v>1020.5826666666667</v>
      </c>
      <c r="X20" s="920">
        <v>941.35933333333332</v>
      </c>
      <c r="Y20" s="920">
        <v>558.1396666666667</v>
      </c>
      <c r="Z20" s="874">
        <f t="shared" si="3"/>
        <v>5050.2836666666672</v>
      </c>
      <c r="AA20" s="920">
        <v>1181.5999999999999</v>
      </c>
      <c r="AB20" s="277">
        <v>181.87</v>
      </c>
      <c r="AC20" s="920">
        <v>140.54900000000001</v>
      </c>
      <c r="AD20" s="920">
        <v>128.768</v>
      </c>
      <c r="AE20" s="920">
        <v>104.139</v>
      </c>
      <c r="AF20" s="920">
        <v>1309</v>
      </c>
      <c r="AG20" s="277">
        <v>200.55199999999999</v>
      </c>
      <c r="AH20" s="920">
        <v>152.51499999999999</v>
      </c>
      <c r="AI20" s="920">
        <v>148.19300000000001</v>
      </c>
      <c r="AJ20" s="920">
        <v>84.066000000000003</v>
      </c>
      <c r="AK20" s="919">
        <f>Data[[#This Row],[Industry Cost ($m)]]/Data[[#This Row],[Industry Consumption]]</f>
        <v>1.1078199052132702</v>
      </c>
      <c r="AL20" s="919">
        <f>Data[[#This Row],[AAL Fuel Cost]]/Data[[#This Row],[AAL Consumption]]</f>
        <v>1.1027217243085721</v>
      </c>
      <c r="AM20" s="919">
        <f>Data[[#This Row],[DAL Fuel Cost]]/Data[[#This Row],[DAL Consumption]]</f>
        <v>1.0851375676810222</v>
      </c>
      <c r="AN20" s="919">
        <f>Data[[#This Row],[UAL Fuel Cost]]/Data[[#This Row],[UALConsumption]]</f>
        <v>1.1508526963220678</v>
      </c>
      <c r="AO20" s="919">
        <f>Data[[#This Row],[LUV Fuel Cost]]/Data[[#This Row],[LUV Consumption]]</f>
        <v>0.80724800507014671</v>
      </c>
      <c r="AP20" s="919">
        <v>1.145</v>
      </c>
      <c r="AQ20" s="783"/>
    </row>
    <row r="21" spans="1:43" s="253" customFormat="1">
      <c r="A21" s="263">
        <f t="shared" si="4"/>
        <v>38230</v>
      </c>
      <c r="B21" s="263" t="s">
        <v>357</v>
      </c>
      <c r="C21" s="277">
        <v>42.261560000000003</v>
      </c>
      <c r="D21" s="277">
        <v>10.010638</v>
      </c>
      <c r="E21" s="277">
        <v>8.4639570000000006</v>
      </c>
      <c r="F21" s="277">
        <v>8.4333010000000002</v>
      </c>
      <c r="G21" s="277">
        <v>6.6431940000000003</v>
      </c>
      <c r="H21" s="284">
        <f t="shared" si="0"/>
        <v>8.7104700000000008</v>
      </c>
      <c r="I21" s="277">
        <v>33.562071000000003</v>
      </c>
      <c r="J21" s="277">
        <v>7.9093140000000002</v>
      </c>
      <c r="K21" s="277">
        <v>6.7209240000000001</v>
      </c>
      <c r="L21" s="277">
        <v>6.9968360000000001</v>
      </c>
      <c r="M21" s="277">
        <v>4.9866820000000001</v>
      </c>
      <c r="N21" s="284">
        <f t="shared" si="1"/>
        <v>6.9483150000000009</v>
      </c>
      <c r="O21" s="277">
        <v>57.380873000000001</v>
      </c>
      <c r="P21" s="277">
        <v>6.4057899999999997</v>
      </c>
      <c r="Q21" s="277">
        <v>6.9900159999999998</v>
      </c>
      <c r="R21" s="277">
        <v>5.8182900000000002</v>
      </c>
      <c r="S21" s="277">
        <v>7.3576940000000004</v>
      </c>
      <c r="T21" s="284">
        <f t="shared" si="2"/>
        <v>30.809083000000001</v>
      </c>
      <c r="U21" s="920">
        <v>8567.3150000000005</v>
      </c>
      <c r="V21" s="920">
        <v>996.94966666666676</v>
      </c>
      <c r="W21" s="920">
        <v>1020.5826666666667</v>
      </c>
      <c r="X21" s="920">
        <v>941.35933333333332</v>
      </c>
      <c r="Y21" s="920">
        <v>558.1396666666667</v>
      </c>
      <c r="Z21" s="874">
        <f t="shared" si="3"/>
        <v>5050.2836666666672</v>
      </c>
      <c r="AA21" s="920">
        <v>1185.4000000000001</v>
      </c>
      <c r="AB21" s="277">
        <v>182.09899999999999</v>
      </c>
      <c r="AC21" s="920">
        <v>138.398</v>
      </c>
      <c r="AD21" s="920">
        <v>130.85599999999999</v>
      </c>
      <c r="AE21" s="920">
        <v>104.914</v>
      </c>
      <c r="AF21" s="920">
        <v>1392</v>
      </c>
      <c r="AG21" s="277">
        <v>220.25899999999999</v>
      </c>
      <c r="AH21" s="920">
        <v>166.52199999999999</v>
      </c>
      <c r="AI21" s="920">
        <v>163.65899999999999</v>
      </c>
      <c r="AJ21" s="920">
        <v>84.989000000000004</v>
      </c>
      <c r="AK21" s="919">
        <f>Data[[#This Row],[Industry Cost ($m)]]/Data[[#This Row],[Industry Consumption]]</f>
        <v>1.1742871604521679</v>
      </c>
      <c r="AL21" s="919">
        <f>Data[[#This Row],[AAL Fuel Cost]]/Data[[#This Row],[AAL Consumption]]</f>
        <v>1.2095563402325109</v>
      </c>
      <c r="AM21" s="919">
        <f>Data[[#This Row],[DAL Fuel Cost]]/Data[[#This Row],[DAL Consumption]]</f>
        <v>1.2032110290611135</v>
      </c>
      <c r="AN21" s="919">
        <f>Data[[#This Row],[UAL Fuel Cost]]/Data[[#This Row],[UALConsumption]]</f>
        <v>1.2506801369444274</v>
      </c>
      <c r="AO21" s="919">
        <f>Data[[#This Row],[LUV Fuel Cost]]/Data[[#This Row],[LUV Consumption]]</f>
        <v>0.81008254379777722</v>
      </c>
      <c r="AP21" s="919">
        <v>1.2270000000000001</v>
      </c>
      <c r="AQ21" s="783"/>
    </row>
    <row r="22" spans="1:43" s="253" customFormat="1">
      <c r="A22" s="263">
        <f t="shared" si="4"/>
        <v>38260</v>
      </c>
      <c r="B22" s="263" t="s">
        <v>357</v>
      </c>
      <c r="C22" s="277">
        <v>38.037562999999999</v>
      </c>
      <c r="D22" s="277">
        <v>8.7044500000000014</v>
      </c>
      <c r="E22" s="277">
        <v>7.6454240000000002</v>
      </c>
      <c r="F22" s="277">
        <v>7.5386540000000002</v>
      </c>
      <c r="G22" s="277">
        <v>6.2996020000000001</v>
      </c>
      <c r="H22" s="284">
        <f t="shared" si="0"/>
        <v>7.8494329999999977</v>
      </c>
      <c r="I22" s="277">
        <v>26.843032000000001</v>
      </c>
      <c r="J22" s="277">
        <v>6.3531110000000002</v>
      </c>
      <c r="K22" s="277">
        <v>5.2664010000000001</v>
      </c>
      <c r="L22" s="277">
        <v>5.6216489999999997</v>
      </c>
      <c r="M22" s="277">
        <v>3.9813000000000001</v>
      </c>
      <c r="N22" s="284">
        <f t="shared" si="1"/>
        <v>5.6205710000000018</v>
      </c>
      <c r="O22" s="277">
        <v>47.671785</v>
      </c>
      <c r="P22" s="277">
        <v>5.3230449999999996</v>
      </c>
      <c r="Q22" s="277">
        <v>5.5924839999999998</v>
      </c>
      <c r="R22" s="277">
        <v>4.8037859999999997</v>
      </c>
      <c r="S22" s="277">
        <v>6.1242530000000004</v>
      </c>
      <c r="T22" s="284">
        <f t="shared" si="2"/>
        <v>25.828217000000002</v>
      </c>
      <c r="U22" s="920">
        <v>8567.3150000000005</v>
      </c>
      <c r="V22" s="920">
        <v>996.94966666666676</v>
      </c>
      <c r="W22" s="920">
        <v>1020.5826666666667</v>
      </c>
      <c r="X22" s="920">
        <v>941.35933333333332</v>
      </c>
      <c r="Y22" s="920">
        <v>558.1396666666667</v>
      </c>
      <c r="Z22" s="874">
        <f t="shared" si="3"/>
        <v>5050.2836666666672</v>
      </c>
      <c r="AA22" s="920">
        <v>1058.2</v>
      </c>
      <c r="AB22" s="277">
        <v>154.75899999999999</v>
      </c>
      <c r="AC22" s="920">
        <v>125.663</v>
      </c>
      <c r="AD22" s="920">
        <v>114.19799999999999</v>
      </c>
      <c r="AE22" s="920">
        <v>96.757999999999996</v>
      </c>
      <c r="AF22" s="920">
        <v>1304.4000000000001</v>
      </c>
      <c r="AG22" s="277">
        <v>192.27600000000001</v>
      </c>
      <c r="AH22" s="920">
        <v>157.988</v>
      </c>
      <c r="AI22" s="920">
        <v>152.06800000000001</v>
      </c>
      <c r="AJ22" s="920">
        <v>77.433000000000007</v>
      </c>
      <c r="AK22" s="919">
        <f>Data[[#This Row],[Industry Cost ($m)]]/Data[[#This Row],[Industry Consumption]]</f>
        <v>1.2326592326592327</v>
      </c>
      <c r="AL22" s="919">
        <f>Data[[#This Row],[AAL Fuel Cost]]/Data[[#This Row],[AAL Consumption]]</f>
        <v>1.242422088537662</v>
      </c>
      <c r="AM22" s="919">
        <f>Data[[#This Row],[DAL Fuel Cost]]/Data[[#This Row],[DAL Consumption]]</f>
        <v>1.2572356222595356</v>
      </c>
      <c r="AN22" s="919">
        <f>Data[[#This Row],[UAL Fuel Cost]]/Data[[#This Row],[UALConsumption]]</f>
        <v>1.3316170160598262</v>
      </c>
      <c r="AO22" s="919">
        <f>Data[[#This Row],[LUV Fuel Cost]]/Data[[#This Row],[LUV Consumption]]</f>
        <v>0.80027491266871997</v>
      </c>
      <c r="AP22" s="919">
        <v>1.3620000000000001</v>
      </c>
      <c r="AQ22" s="783"/>
    </row>
    <row r="23" spans="1:43" s="253" customFormat="1">
      <c r="A23" s="263">
        <f t="shared" si="4"/>
        <v>38291</v>
      </c>
      <c r="B23" s="263" t="s">
        <v>357</v>
      </c>
      <c r="C23" s="277">
        <v>40.386189000000002</v>
      </c>
      <c r="D23" s="277">
        <v>9.3351179999999996</v>
      </c>
      <c r="E23" s="277">
        <v>8.3251190000000008</v>
      </c>
      <c r="F23" s="277">
        <v>7.7582569999999995</v>
      </c>
      <c r="G23" s="277">
        <v>6.7613689999999993</v>
      </c>
      <c r="H23" s="284">
        <f t="shared" si="0"/>
        <v>8.2063259999999971</v>
      </c>
      <c r="I23" s="277">
        <v>29.899038000000001</v>
      </c>
      <c r="J23" s="277">
        <v>7.1244110000000003</v>
      </c>
      <c r="K23" s="277">
        <v>6.1279669999999999</v>
      </c>
      <c r="L23" s="277">
        <v>5.9751099999999999</v>
      </c>
      <c r="M23" s="277">
        <v>4.5046929999999996</v>
      </c>
      <c r="N23" s="284">
        <f t="shared" si="1"/>
        <v>6.1668570000000003</v>
      </c>
      <c r="O23" s="277">
        <v>54.167489000000003</v>
      </c>
      <c r="P23" s="277">
        <v>6.0365140000000004</v>
      </c>
      <c r="Q23" s="277">
        <v>6.7192590000000001</v>
      </c>
      <c r="R23" s="277">
        <v>5.0994580000000003</v>
      </c>
      <c r="S23" s="277">
        <v>6.8917149999999996</v>
      </c>
      <c r="T23" s="284">
        <f t="shared" si="2"/>
        <v>29.420543000000002</v>
      </c>
      <c r="U23" s="920">
        <v>8484.3133333333335</v>
      </c>
      <c r="V23" s="920">
        <v>977.79</v>
      </c>
      <c r="W23" s="920">
        <v>987.49166666666667</v>
      </c>
      <c r="X23" s="920">
        <v>847.39733333333334</v>
      </c>
      <c r="Y23" s="920">
        <v>551.65566666666666</v>
      </c>
      <c r="Z23" s="874">
        <f t="shared" si="3"/>
        <v>5119.9786666666669</v>
      </c>
      <c r="AA23" s="920">
        <v>1137.9000000000001</v>
      </c>
      <c r="AB23" s="277">
        <v>167.27799999999999</v>
      </c>
      <c r="AC23" s="920">
        <v>135.42599999999999</v>
      </c>
      <c r="AD23" s="920">
        <v>120.095</v>
      </c>
      <c r="AE23" s="920">
        <v>104.253</v>
      </c>
      <c r="AF23" s="920">
        <v>1562.7</v>
      </c>
      <c r="AG23" s="277">
        <v>246.44399999999999</v>
      </c>
      <c r="AH23" s="920">
        <v>196.58600000000001</v>
      </c>
      <c r="AI23" s="920">
        <v>164.40700000000001</v>
      </c>
      <c r="AJ23" s="920">
        <v>88.832999999999998</v>
      </c>
      <c r="AK23" s="919">
        <f>Data[[#This Row],[Industry Cost ($m)]]/Data[[#This Row],[Industry Consumption]]</f>
        <v>1.373319272343791</v>
      </c>
      <c r="AL23" s="919">
        <f>Data[[#This Row],[AAL Fuel Cost]]/Data[[#This Row],[AAL Consumption]]</f>
        <v>1.4732600820191537</v>
      </c>
      <c r="AM23" s="919">
        <f>Data[[#This Row],[DAL Fuel Cost]]/Data[[#This Row],[DAL Consumption]]</f>
        <v>1.4516119504378777</v>
      </c>
      <c r="AN23" s="919">
        <f>Data[[#This Row],[UAL Fuel Cost]]/Data[[#This Row],[UALConsumption]]</f>
        <v>1.3689745618052376</v>
      </c>
      <c r="AO23" s="919">
        <f>Data[[#This Row],[LUV Fuel Cost]]/Data[[#This Row],[LUV Consumption]]</f>
        <v>0.85209058732122811</v>
      </c>
      <c r="AP23" s="919">
        <v>1.52</v>
      </c>
      <c r="AQ23" s="783"/>
    </row>
    <row r="24" spans="1:43" s="253" customFormat="1">
      <c r="A24" s="263">
        <f t="shared" si="4"/>
        <v>38321</v>
      </c>
      <c r="B24" s="263" t="s">
        <v>357</v>
      </c>
      <c r="C24" s="277">
        <v>38.873690000000003</v>
      </c>
      <c r="D24" s="277">
        <v>9.1217930000000003</v>
      </c>
      <c r="E24" s="277">
        <v>8.1009390000000003</v>
      </c>
      <c r="F24" s="277">
        <v>6.9802140000000001</v>
      </c>
      <c r="G24" s="277">
        <v>6.5595649999999992</v>
      </c>
      <c r="H24" s="284">
        <f t="shared" si="0"/>
        <v>8.1111790000000035</v>
      </c>
      <c r="I24" s="277">
        <v>28.475178</v>
      </c>
      <c r="J24" s="277">
        <v>6.8190020000000002</v>
      </c>
      <c r="K24" s="277">
        <v>5.9602170000000001</v>
      </c>
      <c r="L24" s="277">
        <v>5.331061</v>
      </c>
      <c r="M24" s="277">
        <v>4.293323</v>
      </c>
      <c r="N24" s="284">
        <f t="shared" si="1"/>
        <v>6.0715749999999957</v>
      </c>
      <c r="O24" s="277">
        <v>51.782564000000001</v>
      </c>
      <c r="P24" s="277">
        <v>5.8165950000000004</v>
      </c>
      <c r="Q24" s="277">
        <v>6.5347679999999997</v>
      </c>
      <c r="R24" s="277">
        <v>4.6022559999999997</v>
      </c>
      <c r="S24" s="277">
        <v>6.6325969999999996</v>
      </c>
      <c r="T24" s="284">
        <f t="shared" si="2"/>
        <v>28.196348</v>
      </c>
      <c r="U24" s="920">
        <v>8484.3133333333335</v>
      </c>
      <c r="V24" s="920">
        <v>977.79</v>
      </c>
      <c r="W24" s="920">
        <v>987.49166666666667</v>
      </c>
      <c r="X24" s="920">
        <v>847.39733333333334</v>
      </c>
      <c r="Y24" s="920">
        <v>551.65566666666666</v>
      </c>
      <c r="Z24" s="874">
        <f t="shared" si="3"/>
        <v>5119.9786666666669</v>
      </c>
      <c r="AA24" s="920">
        <v>1084.8</v>
      </c>
      <c r="AB24" s="277">
        <v>162.96899999999999</v>
      </c>
      <c r="AC24" s="920">
        <v>131.45400000000001</v>
      </c>
      <c r="AD24" s="920">
        <v>104.06399999999999</v>
      </c>
      <c r="AE24" s="920">
        <v>100.196</v>
      </c>
      <c r="AF24" s="920">
        <v>1479.2</v>
      </c>
      <c r="AG24" s="277">
        <v>233.20599999999999</v>
      </c>
      <c r="AH24" s="920">
        <v>182.95</v>
      </c>
      <c r="AI24" s="920">
        <v>151.268</v>
      </c>
      <c r="AJ24" s="920">
        <v>90.313999999999993</v>
      </c>
      <c r="AK24" s="919">
        <f>Data[[#This Row],[Industry Cost ($m)]]/Data[[#This Row],[Industry Consumption]]</f>
        <v>1.3635693215339233</v>
      </c>
      <c r="AL24" s="919">
        <f>Data[[#This Row],[AAL Fuel Cost]]/Data[[#This Row],[AAL Consumption]]</f>
        <v>1.4309838067362504</v>
      </c>
      <c r="AM24" s="919">
        <f>Data[[#This Row],[DAL Fuel Cost]]/Data[[#This Row],[DAL Consumption]]</f>
        <v>1.391741597821291</v>
      </c>
      <c r="AN24" s="919">
        <f>Data[[#This Row],[UAL Fuel Cost]]/Data[[#This Row],[UALConsumption]]</f>
        <v>1.4536054735547357</v>
      </c>
      <c r="AO24" s="919">
        <f>Data[[#This Row],[LUV Fuel Cost]]/Data[[#This Row],[LUV Consumption]]</f>
        <v>0.90137330831570117</v>
      </c>
      <c r="AP24" s="919">
        <v>1.347</v>
      </c>
      <c r="AQ24" s="783"/>
    </row>
    <row r="25" spans="1:43" s="253" customFormat="1">
      <c r="A25" s="263">
        <f t="shared" si="4"/>
        <v>38352</v>
      </c>
      <c r="B25" s="263" t="s">
        <v>357</v>
      </c>
      <c r="C25" s="277">
        <v>40.578611000000002</v>
      </c>
      <c r="D25" s="277">
        <v>9.6315910000000002</v>
      </c>
      <c r="E25" s="277">
        <v>8.2287680000000005</v>
      </c>
      <c r="F25" s="277">
        <v>7.3094200000000003</v>
      </c>
      <c r="G25" s="277">
        <v>6.9029210000000001</v>
      </c>
      <c r="H25" s="284">
        <f t="shared" si="0"/>
        <v>8.5059109999999976</v>
      </c>
      <c r="I25" s="277">
        <v>29.669006</v>
      </c>
      <c r="J25" s="277">
        <v>7.2028280000000002</v>
      </c>
      <c r="K25" s="277">
        <v>6.0802860000000001</v>
      </c>
      <c r="L25" s="277">
        <v>5.661346</v>
      </c>
      <c r="M25" s="277">
        <v>4.3393810000000004</v>
      </c>
      <c r="N25" s="284">
        <f t="shared" si="1"/>
        <v>6.3851650000000006</v>
      </c>
      <c r="O25" s="277">
        <v>52.640056999999999</v>
      </c>
      <c r="P25" s="277">
        <v>6.1199820000000003</v>
      </c>
      <c r="Q25" s="277">
        <v>6.5854379999999999</v>
      </c>
      <c r="R25" s="277">
        <v>4.7813809999999997</v>
      </c>
      <c r="S25" s="277">
        <v>6.6205220000000002</v>
      </c>
      <c r="T25" s="284">
        <f t="shared" si="2"/>
        <v>28.532733999999998</v>
      </c>
      <c r="U25" s="920">
        <v>8484.3133333333335</v>
      </c>
      <c r="V25" s="920">
        <v>977.79</v>
      </c>
      <c r="W25" s="920">
        <v>987.49166666666667</v>
      </c>
      <c r="X25" s="920">
        <v>847.39733333333334</v>
      </c>
      <c r="Y25" s="920">
        <v>551.65566666666666</v>
      </c>
      <c r="Z25" s="874">
        <f t="shared" si="3"/>
        <v>5119.9786666666669</v>
      </c>
      <c r="AA25" s="920">
        <v>1142.8</v>
      </c>
      <c r="AB25" s="277">
        <v>170.721</v>
      </c>
      <c r="AC25" s="920">
        <v>130.92699999999999</v>
      </c>
      <c r="AD25" s="920">
        <v>108.63200000000001</v>
      </c>
      <c r="AE25" s="920">
        <v>104.874</v>
      </c>
      <c r="AF25" s="920">
        <v>1454.4</v>
      </c>
      <c r="AG25" s="277">
        <v>224.017</v>
      </c>
      <c r="AH25" s="920">
        <v>176.08099999999999</v>
      </c>
      <c r="AI25" s="920">
        <v>141.976</v>
      </c>
      <c r="AJ25" s="920">
        <v>97.480999999999995</v>
      </c>
      <c r="AK25" s="919">
        <f>Data[[#This Row],[Industry Cost ($m)]]/Data[[#This Row],[Industry Consumption]]</f>
        <v>1.2726636331816592</v>
      </c>
      <c r="AL25" s="919">
        <f>Data[[#This Row],[AAL Fuel Cost]]/Data[[#This Row],[AAL Consumption]]</f>
        <v>1.3121818639768978</v>
      </c>
      <c r="AM25" s="919">
        <f>Data[[#This Row],[DAL Fuel Cost]]/Data[[#This Row],[DAL Consumption]]</f>
        <v>1.3448792074973077</v>
      </c>
      <c r="AN25" s="919">
        <f>Data[[#This Row],[UAL Fuel Cost]]/Data[[#This Row],[UALConsumption]]</f>
        <v>1.306944546726563</v>
      </c>
      <c r="AO25" s="919">
        <f>Data[[#This Row],[LUV Fuel Cost]]/Data[[#This Row],[LUV Consumption]]</f>
        <v>0.92950588325037664</v>
      </c>
      <c r="AP25" s="919">
        <v>1.2230000000000001</v>
      </c>
      <c r="AQ25" s="783"/>
    </row>
    <row r="26" spans="1:43" s="253" customFormat="1">
      <c r="A26" s="263">
        <f t="shared" si="4"/>
        <v>38383</v>
      </c>
      <c r="B26" s="263" t="s">
        <v>357</v>
      </c>
      <c r="C26" s="277">
        <v>39.206764</v>
      </c>
      <c r="D26" s="277">
        <v>9.2835300000000007</v>
      </c>
      <c r="E26" s="277">
        <v>8.0532430000000002</v>
      </c>
      <c r="F26" s="277">
        <v>6.7197360000000002</v>
      </c>
      <c r="G26" s="277">
        <v>6.8195439999999996</v>
      </c>
      <c r="H26" s="284">
        <f t="shared" si="0"/>
        <v>8.3307109999999973</v>
      </c>
      <c r="I26" s="277">
        <v>27.604619</v>
      </c>
      <c r="J26" s="277">
        <v>6.8097529999999997</v>
      </c>
      <c r="K26" s="277">
        <v>5.8105659999999997</v>
      </c>
      <c r="L26" s="277">
        <v>5.0625270000000002</v>
      </c>
      <c r="M26" s="277">
        <v>4.0051740000000002</v>
      </c>
      <c r="N26" s="284">
        <f t="shared" si="1"/>
        <v>5.9165990000000015</v>
      </c>
      <c r="O26" s="277">
        <v>47.977657000000001</v>
      </c>
      <c r="P26" s="277">
        <v>5.7812010000000003</v>
      </c>
      <c r="Q26" s="277">
        <v>6.1811660000000002</v>
      </c>
      <c r="R26" s="277">
        <v>4.2299429999999996</v>
      </c>
      <c r="S26" s="277">
        <v>6.0344340000000001</v>
      </c>
      <c r="T26" s="284">
        <f t="shared" si="2"/>
        <v>25.750913000000001</v>
      </c>
      <c r="U26" s="920">
        <v>8562.757333333333</v>
      </c>
      <c r="V26" s="920">
        <v>1014.4520000000001</v>
      </c>
      <c r="W26" s="920">
        <v>985.74133333333339</v>
      </c>
      <c r="X26" s="920">
        <v>846.92166666666662</v>
      </c>
      <c r="Y26" s="920">
        <v>554.50200000000007</v>
      </c>
      <c r="Z26" s="874">
        <f t="shared" si="3"/>
        <v>5161.1403333333328</v>
      </c>
      <c r="AA26" s="920">
        <v>1084.7</v>
      </c>
      <c r="AB26" s="277">
        <v>164.428</v>
      </c>
      <c r="AC26" s="920">
        <v>129.18299999999999</v>
      </c>
      <c r="AD26" s="920">
        <v>100.655</v>
      </c>
      <c r="AE26" s="920">
        <v>103.178</v>
      </c>
      <c r="AF26" s="920">
        <v>1378.2</v>
      </c>
      <c r="AG26" s="277">
        <v>209.72399999999999</v>
      </c>
      <c r="AH26" s="920">
        <v>172.08099999999999</v>
      </c>
      <c r="AI26" s="920">
        <v>137.31299999999999</v>
      </c>
      <c r="AJ26" s="920">
        <v>93.447000000000003</v>
      </c>
      <c r="AK26" s="919">
        <f>Data[[#This Row],[Industry Cost ($m)]]/Data[[#This Row],[Industry Consumption]]</f>
        <v>1.270581727666636</v>
      </c>
      <c r="AL26" s="919">
        <f>Data[[#This Row],[AAL Fuel Cost]]/Data[[#This Row],[AAL Consumption]]</f>
        <v>1.2754761962682755</v>
      </c>
      <c r="AM26" s="919">
        <f>Data[[#This Row],[DAL Fuel Cost]]/Data[[#This Row],[DAL Consumption]]</f>
        <v>1.3320715574030639</v>
      </c>
      <c r="AN26" s="919">
        <f>Data[[#This Row],[UAL Fuel Cost]]/Data[[#This Row],[UALConsumption]]</f>
        <v>1.3641945258556454</v>
      </c>
      <c r="AO26" s="919">
        <f>Data[[#This Row],[LUV Fuel Cost]]/Data[[#This Row],[LUV Consumption]]</f>
        <v>0.90568725891178359</v>
      </c>
      <c r="AP26" s="919">
        <v>1.3340000000000001</v>
      </c>
      <c r="AQ26" s="783"/>
    </row>
    <row r="27" spans="1:43" s="253" customFormat="1">
      <c r="A27" s="263">
        <f t="shared" si="4"/>
        <v>38411</v>
      </c>
      <c r="B27" s="263" t="s">
        <v>357</v>
      </c>
      <c r="C27" s="277">
        <v>36.717700000000001</v>
      </c>
      <c r="D27" s="277">
        <v>8.6153459999999988</v>
      </c>
      <c r="E27" s="277">
        <v>7.7896739999999998</v>
      </c>
      <c r="F27" s="277">
        <v>6.1625690000000004</v>
      </c>
      <c r="G27" s="277">
        <v>6.3114319999999999</v>
      </c>
      <c r="H27" s="284">
        <f t="shared" si="0"/>
        <v>7.8386789999999991</v>
      </c>
      <c r="I27" s="277">
        <v>26.390875999999999</v>
      </c>
      <c r="J27" s="277">
        <v>6.3654270000000004</v>
      </c>
      <c r="K27" s="277">
        <v>5.6062510000000003</v>
      </c>
      <c r="L27" s="277">
        <v>4.6727090000000002</v>
      </c>
      <c r="M27" s="277">
        <v>3.9976229999999999</v>
      </c>
      <c r="N27" s="284">
        <f t="shared" si="1"/>
        <v>5.748865999999996</v>
      </c>
      <c r="O27" s="277">
        <v>47.074882000000002</v>
      </c>
      <c r="P27" s="277">
        <v>5.4744200000000003</v>
      </c>
      <c r="Q27" s="277">
        <v>6.0376519999999996</v>
      </c>
      <c r="R27" s="277">
        <v>3.9071660000000001</v>
      </c>
      <c r="S27" s="277">
        <v>6.0785869999999997</v>
      </c>
      <c r="T27" s="284">
        <f t="shared" si="2"/>
        <v>25.577057000000003</v>
      </c>
      <c r="U27" s="920">
        <v>8562.757333333333</v>
      </c>
      <c r="V27" s="920">
        <v>1014.4520000000001</v>
      </c>
      <c r="W27" s="920">
        <v>985.74133333333339</v>
      </c>
      <c r="X27" s="920">
        <v>846.92166666666662</v>
      </c>
      <c r="Y27" s="920">
        <v>554.50200000000007</v>
      </c>
      <c r="Z27" s="874">
        <f t="shared" si="3"/>
        <v>5161.1403333333328</v>
      </c>
      <c r="AA27" s="920">
        <v>1017</v>
      </c>
      <c r="AB27" s="277">
        <v>152.435</v>
      </c>
      <c r="AC27" s="920">
        <v>125.23</v>
      </c>
      <c r="AD27" s="920">
        <v>90.456999999999994</v>
      </c>
      <c r="AE27" s="920">
        <v>95.191999999999993</v>
      </c>
      <c r="AF27" s="920">
        <v>1333.5</v>
      </c>
      <c r="AG27" s="277">
        <v>206.42599999999999</v>
      </c>
      <c r="AH27" s="920">
        <v>170.81299999999999</v>
      </c>
      <c r="AI27" s="920">
        <v>129.12700000000001</v>
      </c>
      <c r="AJ27" s="920">
        <v>83.424000000000007</v>
      </c>
      <c r="AK27" s="919">
        <f>Data[[#This Row],[Industry Cost ($m)]]/Data[[#This Row],[Industry Consumption]]</f>
        <v>1.3112094395280236</v>
      </c>
      <c r="AL27" s="919">
        <f>Data[[#This Row],[AAL Fuel Cost]]/Data[[#This Row],[AAL Consumption]]</f>
        <v>1.3541903106242004</v>
      </c>
      <c r="AM27" s="919">
        <f>Data[[#This Row],[DAL Fuel Cost]]/Data[[#This Row],[DAL Consumption]]</f>
        <v>1.3639942505789346</v>
      </c>
      <c r="AN27" s="919">
        <f>Data[[#This Row],[UAL Fuel Cost]]/Data[[#This Row],[UALConsumption]]</f>
        <v>1.4274959372961742</v>
      </c>
      <c r="AO27" s="919">
        <f>Data[[#This Row],[LUV Fuel Cost]]/Data[[#This Row],[LUV Consumption]]</f>
        <v>0.87637616606437529</v>
      </c>
      <c r="AP27" s="919">
        <v>1.3340000000000001</v>
      </c>
      <c r="AQ27" s="783"/>
    </row>
    <row r="28" spans="1:43" s="253" customFormat="1">
      <c r="A28" s="263">
        <f t="shared" si="4"/>
        <v>38442</v>
      </c>
      <c r="B28" s="263" t="s">
        <v>357</v>
      </c>
      <c r="C28" s="277">
        <v>41.421857000000003</v>
      </c>
      <c r="D28" s="277">
        <v>9.7537250000000011</v>
      </c>
      <c r="E28" s="277">
        <v>8.631772999999999</v>
      </c>
      <c r="F28" s="277">
        <v>6.931508</v>
      </c>
      <c r="G28" s="277">
        <v>7.1066149999999997</v>
      </c>
      <c r="H28" s="284">
        <f t="shared" si="0"/>
        <v>8.9982360000000057</v>
      </c>
      <c r="I28" s="277">
        <v>33.143185000000003</v>
      </c>
      <c r="J28" s="277">
        <v>7.9640440000000003</v>
      </c>
      <c r="K28" s="277">
        <v>6.9932619999999996</v>
      </c>
      <c r="L28" s="277">
        <v>5.7420169999999997</v>
      </c>
      <c r="M28" s="277">
        <v>5.2365409999999999</v>
      </c>
      <c r="N28" s="284">
        <f t="shared" si="1"/>
        <v>7.2073210000000039</v>
      </c>
      <c r="O28" s="277">
        <v>58.838974999999998</v>
      </c>
      <c r="P28" s="277">
        <v>6.8353849999999996</v>
      </c>
      <c r="Q28" s="277">
        <v>7.4515640000000003</v>
      </c>
      <c r="R28" s="277">
        <v>4.725384</v>
      </c>
      <c r="S28" s="277">
        <v>7.6677249999999999</v>
      </c>
      <c r="T28" s="284">
        <f t="shared" si="2"/>
        <v>32.158917000000002</v>
      </c>
      <c r="U28" s="920">
        <v>8562.757333333333</v>
      </c>
      <c r="V28" s="920">
        <v>1014.4520000000001</v>
      </c>
      <c r="W28" s="920">
        <v>985.74133333333339</v>
      </c>
      <c r="X28" s="920">
        <v>846.92166666666662</v>
      </c>
      <c r="Y28" s="920">
        <v>554.50200000000007</v>
      </c>
      <c r="Z28" s="874">
        <f t="shared" si="3"/>
        <v>5161.1403333333328</v>
      </c>
      <c r="AA28" s="920">
        <v>1162.9000000000001</v>
      </c>
      <c r="AB28" s="277">
        <v>170.001</v>
      </c>
      <c r="AC28" s="920">
        <v>139.19999999999999</v>
      </c>
      <c r="AD28" s="920">
        <v>104.423</v>
      </c>
      <c r="AE28" s="920">
        <v>108.13800000000001</v>
      </c>
      <c r="AF28" s="920">
        <v>1675.5</v>
      </c>
      <c r="AG28" s="277">
        <v>249.59700000000001</v>
      </c>
      <c r="AH28" s="920">
        <v>211.17599999999999</v>
      </c>
      <c r="AI28" s="920">
        <v>154.767</v>
      </c>
      <c r="AJ28" s="920">
        <v>100.952</v>
      </c>
      <c r="AK28" s="919">
        <f>Data[[#This Row],[Industry Cost ($m)]]/Data[[#This Row],[Industry Consumption]]</f>
        <v>1.4407945653108607</v>
      </c>
      <c r="AL28" s="919">
        <f>Data[[#This Row],[AAL Fuel Cost]]/Data[[#This Row],[AAL Consumption]]</f>
        <v>1.4682090105352321</v>
      </c>
      <c r="AM28" s="919">
        <f>Data[[#This Row],[DAL Fuel Cost]]/Data[[#This Row],[DAL Consumption]]</f>
        <v>1.5170689655172414</v>
      </c>
      <c r="AN28" s="919">
        <f>Data[[#This Row],[UAL Fuel Cost]]/Data[[#This Row],[UALConsumption]]</f>
        <v>1.4821160089252368</v>
      </c>
      <c r="AO28" s="919">
        <f>Data[[#This Row],[LUV Fuel Cost]]/Data[[#This Row],[LUV Consumption]]</f>
        <v>0.93354787401283534</v>
      </c>
      <c r="AP28" s="919">
        <v>1.5620000000000001</v>
      </c>
      <c r="AQ28" s="783">
        <f>AVERAGE(AP26:AP28)</f>
        <v>1.4100000000000001</v>
      </c>
    </row>
    <row r="29" spans="1:43" s="253" customFormat="1">
      <c r="A29" s="263">
        <f t="shared" si="4"/>
        <v>38472</v>
      </c>
      <c r="B29" s="263" t="s">
        <v>357</v>
      </c>
      <c r="C29" s="277">
        <v>39.939055000000003</v>
      </c>
      <c r="D29" s="277">
        <v>9.3137119999999989</v>
      </c>
      <c r="E29" s="277">
        <v>8.3421959999999995</v>
      </c>
      <c r="F29" s="277">
        <v>6.5450820000000007</v>
      </c>
      <c r="G29" s="277">
        <v>6.9625950000000003</v>
      </c>
      <c r="H29" s="284">
        <f t="shared" si="0"/>
        <v>8.7754700000000057</v>
      </c>
      <c r="I29" s="277">
        <v>30.787946999999999</v>
      </c>
      <c r="J29" s="277">
        <v>7.4356920000000004</v>
      </c>
      <c r="K29" s="277">
        <v>6.399972</v>
      </c>
      <c r="L29" s="277">
        <v>5.3129270000000002</v>
      </c>
      <c r="M29" s="277">
        <v>4.8075539999999997</v>
      </c>
      <c r="N29" s="284">
        <f t="shared" si="1"/>
        <v>6.8318019999999962</v>
      </c>
      <c r="O29" s="277">
        <v>54.908859</v>
      </c>
      <c r="P29" s="277">
        <v>6.4172159999999998</v>
      </c>
      <c r="Q29" s="277">
        <v>6.8524219999999998</v>
      </c>
      <c r="R29" s="277">
        <v>4.3858180000000004</v>
      </c>
      <c r="S29" s="277">
        <v>7.1252820000000003</v>
      </c>
      <c r="T29" s="284">
        <f t="shared" si="2"/>
        <v>30.128121</v>
      </c>
      <c r="U29" s="920">
        <v>9472.751666666667</v>
      </c>
      <c r="V29" s="920">
        <v>1134.8846666666666</v>
      </c>
      <c r="W29" s="920">
        <v>1104.3293333333334</v>
      </c>
      <c r="X29" s="920">
        <v>958.04233333333332</v>
      </c>
      <c r="Y29" s="920">
        <v>648.16300000000001</v>
      </c>
      <c r="Z29" s="874">
        <f t="shared" si="3"/>
        <v>5627.3323333333337</v>
      </c>
      <c r="AA29" s="920">
        <v>1098.7</v>
      </c>
      <c r="AB29" s="277">
        <v>161.06100000000001</v>
      </c>
      <c r="AC29" s="920">
        <v>132.21199999999999</v>
      </c>
      <c r="AD29" s="920">
        <v>96.001000000000005</v>
      </c>
      <c r="AE29" s="920">
        <v>104.026</v>
      </c>
      <c r="AF29" s="920">
        <v>1705.3</v>
      </c>
      <c r="AG29" s="277">
        <v>254.767</v>
      </c>
      <c r="AH29" s="920">
        <v>215.22300000000001</v>
      </c>
      <c r="AI29" s="920">
        <v>161.477</v>
      </c>
      <c r="AJ29" s="920">
        <v>102.578</v>
      </c>
      <c r="AK29" s="919">
        <f>Data[[#This Row],[Industry Cost ($m)]]/Data[[#This Row],[Industry Consumption]]</f>
        <v>1.5521070355875124</v>
      </c>
      <c r="AL29" s="919">
        <f>Data[[#This Row],[AAL Fuel Cost]]/Data[[#This Row],[AAL Consumption]]</f>
        <v>1.5818044095094403</v>
      </c>
      <c r="AM29" s="919">
        <f>Data[[#This Row],[DAL Fuel Cost]]/Data[[#This Row],[DAL Consumption]]</f>
        <v>1.6278628263697701</v>
      </c>
      <c r="AN29" s="919">
        <f>Data[[#This Row],[UAL Fuel Cost]]/Data[[#This Row],[UALConsumption]]</f>
        <v>1.6820345621399777</v>
      </c>
      <c r="AO29" s="919">
        <f>Data[[#This Row],[LUV Fuel Cost]]/Data[[#This Row],[LUV Consumption]]</f>
        <v>0.98608040297617905</v>
      </c>
      <c r="AP29" s="919">
        <v>1.573</v>
      </c>
      <c r="AQ29" s="783"/>
    </row>
    <row r="30" spans="1:43" s="253" customFormat="1">
      <c r="A30" s="263">
        <f t="shared" si="4"/>
        <v>38503</v>
      </c>
      <c r="B30" s="263" t="s">
        <v>357</v>
      </c>
      <c r="C30" s="277">
        <v>41.543840000000003</v>
      </c>
      <c r="D30" s="277">
        <v>9.5983250000000009</v>
      </c>
      <c r="E30" s="277">
        <v>8.6443469999999998</v>
      </c>
      <c r="F30" s="277">
        <v>6.9234640000000001</v>
      </c>
      <c r="G30" s="277">
        <v>7.2447600000000003</v>
      </c>
      <c r="H30" s="284">
        <f t="shared" si="0"/>
        <v>9.1329440000000019</v>
      </c>
      <c r="I30" s="277">
        <v>32.402842</v>
      </c>
      <c r="J30" s="277">
        <v>7.7006819999999996</v>
      </c>
      <c r="K30" s="277">
        <v>6.563739</v>
      </c>
      <c r="L30" s="277">
        <v>5.7156399999999996</v>
      </c>
      <c r="M30" s="277">
        <v>5.2416980000000004</v>
      </c>
      <c r="N30" s="284">
        <f t="shared" si="1"/>
        <v>7.181083000000001</v>
      </c>
      <c r="O30" s="277">
        <v>57.323875999999998</v>
      </c>
      <c r="P30" s="277">
        <v>6.6916500000000001</v>
      </c>
      <c r="Q30" s="277">
        <v>6.9188179999999999</v>
      </c>
      <c r="R30" s="277">
        <v>4.7491459999999996</v>
      </c>
      <c r="S30" s="277">
        <v>7.774165</v>
      </c>
      <c r="T30" s="284">
        <f t="shared" si="2"/>
        <v>31.190096999999998</v>
      </c>
      <c r="U30" s="920">
        <v>9472.751666666667</v>
      </c>
      <c r="V30" s="920">
        <v>1134.8846666666666</v>
      </c>
      <c r="W30" s="920">
        <v>1104.3293333333334</v>
      </c>
      <c r="X30" s="920">
        <v>958.04233333333332</v>
      </c>
      <c r="Y30" s="920">
        <v>648.16300000000001</v>
      </c>
      <c r="Z30" s="874">
        <f t="shared" si="3"/>
        <v>5627.3323333333337</v>
      </c>
      <c r="AA30" s="920">
        <v>1123.5999999999999</v>
      </c>
      <c r="AB30" s="277">
        <v>164.45</v>
      </c>
      <c r="AC30" s="920">
        <v>135.47399999999999</v>
      </c>
      <c r="AD30" s="920">
        <v>103.63200000000001</v>
      </c>
      <c r="AE30" s="920">
        <v>108.765</v>
      </c>
      <c r="AF30" s="920">
        <v>1699.2</v>
      </c>
      <c r="AG30" s="277">
        <v>251.55</v>
      </c>
      <c r="AH30" s="920">
        <v>209.98099999999999</v>
      </c>
      <c r="AI30" s="920">
        <v>168.256</v>
      </c>
      <c r="AJ30" s="920">
        <v>116.646</v>
      </c>
      <c r="AK30" s="919">
        <f>Data[[#This Row],[Industry Cost ($m)]]/Data[[#This Row],[Industry Consumption]]</f>
        <v>1.5122819508721967</v>
      </c>
      <c r="AL30" s="919">
        <f>Data[[#This Row],[AAL Fuel Cost]]/Data[[#This Row],[AAL Consumption]]</f>
        <v>1.5296442687747038</v>
      </c>
      <c r="AM30" s="919">
        <f>Data[[#This Row],[DAL Fuel Cost]]/Data[[#This Row],[DAL Consumption]]</f>
        <v>1.5499726884863516</v>
      </c>
      <c r="AN30" s="919">
        <f>Data[[#This Row],[UAL Fuel Cost]]/Data[[#This Row],[UALConsumption]]</f>
        <v>1.623591168750965</v>
      </c>
      <c r="AO30" s="919">
        <f>Data[[#This Row],[LUV Fuel Cost]]/Data[[#This Row],[LUV Consumption]]</f>
        <v>1.0724589711763894</v>
      </c>
      <c r="AP30" s="919">
        <v>1.4710000000000001</v>
      </c>
      <c r="AQ30" s="783"/>
    </row>
    <row r="31" spans="1:43" s="253" customFormat="1">
      <c r="A31" s="263">
        <f t="shared" si="4"/>
        <v>38533</v>
      </c>
      <c r="B31" s="263" t="s">
        <v>357</v>
      </c>
      <c r="C31" s="277">
        <v>41.68533</v>
      </c>
      <c r="D31" s="277">
        <v>9.6838250000000006</v>
      </c>
      <c r="E31" s="277">
        <v>8.4445400000000017</v>
      </c>
      <c r="F31" s="277">
        <v>7.0595210000000002</v>
      </c>
      <c r="G31" s="277">
        <v>7.1338549999999996</v>
      </c>
      <c r="H31" s="284">
        <f t="shared" si="0"/>
        <v>9.3635889999999975</v>
      </c>
      <c r="I31" s="277">
        <v>34.547780000000003</v>
      </c>
      <c r="J31" s="277">
        <v>8.224043</v>
      </c>
      <c r="K31" s="277">
        <v>6.952172</v>
      </c>
      <c r="L31" s="277">
        <v>6.2334079999999998</v>
      </c>
      <c r="M31" s="277">
        <v>5.4325159999999997</v>
      </c>
      <c r="N31" s="284">
        <f t="shared" si="1"/>
        <v>7.7056410000000035</v>
      </c>
      <c r="O31" s="277">
        <v>59.724060999999999</v>
      </c>
      <c r="P31" s="277">
        <v>7.069026</v>
      </c>
      <c r="Q31" s="277">
        <v>7.0525409999999997</v>
      </c>
      <c r="R31" s="277">
        <v>5.0525630000000001</v>
      </c>
      <c r="S31" s="277">
        <v>7.8782129999999997</v>
      </c>
      <c r="T31" s="284">
        <f t="shared" si="2"/>
        <v>32.671717999999998</v>
      </c>
      <c r="U31" s="920">
        <v>9472.751666666667</v>
      </c>
      <c r="V31" s="920">
        <v>1134.8846666666666</v>
      </c>
      <c r="W31" s="920">
        <v>1104.3293333333334</v>
      </c>
      <c r="X31" s="920">
        <v>958.04233333333332</v>
      </c>
      <c r="Y31" s="920">
        <v>648.16300000000001</v>
      </c>
      <c r="Z31" s="874">
        <f t="shared" si="3"/>
        <v>5627.3323333333337</v>
      </c>
      <c r="AA31" s="920">
        <v>1148.9000000000001</v>
      </c>
      <c r="AB31" s="277">
        <v>169.12799999999999</v>
      </c>
      <c r="AC31" s="920">
        <v>135.023</v>
      </c>
      <c r="AD31" s="920">
        <v>106.34399999999999</v>
      </c>
      <c r="AE31" s="920">
        <v>108.97199999999999</v>
      </c>
      <c r="AF31" s="920">
        <v>1777.3</v>
      </c>
      <c r="AG31" s="277">
        <v>267.8</v>
      </c>
      <c r="AH31" s="920">
        <v>218.137</v>
      </c>
      <c r="AI31" s="920">
        <v>175.62299999999999</v>
      </c>
      <c r="AJ31" s="920">
        <v>109.072</v>
      </c>
      <c r="AK31" s="919">
        <f>Data[[#This Row],[Industry Cost ($m)]]/Data[[#This Row],[Industry Consumption]]</f>
        <v>1.5469579597876228</v>
      </c>
      <c r="AL31" s="919">
        <f>Data[[#This Row],[AAL Fuel Cost]]/Data[[#This Row],[AAL Consumption]]</f>
        <v>1.5834161108746041</v>
      </c>
      <c r="AM31" s="919">
        <f>Data[[#This Row],[DAL Fuel Cost]]/Data[[#This Row],[DAL Consumption]]</f>
        <v>1.6155543870303579</v>
      </c>
      <c r="AN31" s="919">
        <f>Data[[#This Row],[UAL Fuel Cost]]/Data[[#This Row],[UALConsumption]]</f>
        <v>1.6514612954186414</v>
      </c>
      <c r="AO31" s="919">
        <f>Data[[#This Row],[LUV Fuel Cost]]/Data[[#This Row],[LUV Consumption]]</f>
        <v>1.0009176669236135</v>
      </c>
      <c r="AP31" s="919">
        <v>1.6539999999999999</v>
      </c>
      <c r="AQ31" s="783">
        <f>AVERAGE(AP29:AP31)</f>
        <v>1.5660000000000001</v>
      </c>
    </row>
    <row r="32" spans="1:43" s="253" customFormat="1">
      <c r="A32" s="263">
        <f t="shared" si="4"/>
        <v>38564</v>
      </c>
      <c r="B32" s="263" t="s">
        <v>357</v>
      </c>
      <c r="C32" s="277">
        <v>43.266660999999999</v>
      </c>
      <c r="D32" s="277">
        <v>10.051041999999999</v>
      </c>
      <c r="E32" s="277">
        <v>8.7210190000000001</v>
      </c>
      <c r="F32" s="277">
        <v>7.3201719999999995</v>
      </c>
      <c r="G32" s="277">
        <v>7.3794979999999999</v>
      </c>
      <c r="H32" s="284">
        <f t="shared" si="0"/>
        <v>9.7949300000000008</v>
      </c>
      <c r="I32" s="277">
        <v>36.660387999999998</v>
      </c>
      <c r="J32" s="277">
        <v>8.6719650000000001</v>
      </c>
      <c r="K32" s="277">
        <v>7.4787340000000002</v>
      </c>
      <c r="L32" s="277">
        <v>6.3983119999999998</v>
      </c>
      <c r="M32" s="277">
        <v>5.9603999999999999</v>
      </c>
      <c r="N32" s="284">
        <f t="shared" si="1"/>
        <v>8.1509769999999975</v>
      </c>
      <c r="O32" s="277">
        <v>62.396445999999997</v>
      </c>
      <c r="P32" s="277">
        <v>7.3656750000000004</v>
      </c>
      <c r="Q32" s="277">
        <v>7.3922600000000003</v>
      </c>
      <c r="R32" s="277">
        <v>5.1135109999999999</v>
      </c>
      <c r="S32" s="277">
        <v>8.483943</v>
      </c>
      <c r="T32" s="284">
        <f t="shared" si="2"/>
        <v>34.041056999999995</v>
      </c>
      <c r="U32" s="920">
        <v>9682.1693333333333</v>
      </c>
      <c r="V32" s="920">
        <v>1134.7606666666668</v>
      </c>
      <c r="W32" s="920">
        <v>1088.596</v>
      </c>
      <c r="X32" s="920">
        <v>1021.5913333333333</v>
      </c>
      <c r="Y32" s="920">
        <v>662.875</v>
      </c>
      <c r="Z32" s="874">
        <f t="shared" si="3"/>
        <v>5774.346333333333</v>
      </c>
      <c r="AA32" s="920">
        <v>1193.7</v>
      </c>
      <c r="AB32" s="277">
        <v>177.21</v>
      </c>
      <c r="AC32" s="920">
        <v>140.86000000000001</v>
      </c>
      <c r="AD32" s="920">
        <v>109.96599999999999</v>
      </c>
      <c r="AE32" s="920">
        <v>113.489</v>
      </c>
      <c r="AF32" s="920">
        <v>1915.2</v>
      </c>
      <c r="AG32" s="277">
        <v>294.35899999999998</v>
      </c>
      <c r="AH32" s="920">
        <v>238.178</v>
      </c>
      <c r="AI32" s="920">
        <v>188.583</v>
      </c>
      <c r="AJ32" s="920">
        <v>104.026</v>
      </c>
      <c r="AK32" s="919">
        <f>Data[[#This Row],[Industry Cost ($m)]]/Data[[#This Row],[Industry Consumption]]</f>
        <v>1.604423221915054</v>
      </c>
      <c r="AL32" s="919">
        <f>Data[[#This Row],[AAL Fuel Cost]]/Data[[#This Row],[AAL Consumption]]</f>
        <v>1.6610744314654928</v>
      </c>
      <c r="AM32" s="919">
        <f>Data[[#This Row],[DAL Fuel Cost]]/Data[[#This Row],[DAL Consumption]]</f>
        <v>1.6908845662359788</v>
      </c>
      <c r="AN32" s="919">
        <f>Data[[#This Row],[UAL Fuel Cost]]/Data[[#This Row],[UALConsumption]]</f>
        <v>1.7149209755742685</v>
      </c>
      <c r="AO32" s="919">
        <f>Data[[#This Row],[LUV Fuel Cost]]/Data[[#This Row],[LUV Consumption]]</f>
        <v>0.9166174695344923</v>
      </c>
      <c r="AP32" s="919">
        <v>1.665</v>
      </c>
      <c r="AQ32" s="783"/>
    </row>
    <row r="33" spans="1:43" s="253" customFormat="1">
      <c r="A33" s="263">
        <f t="shared" si="4"/>
        <v>38595</v>
      </c>
      <c r="B33" s="263" t="s">
        <v>357</v>
      </c>
      <c r="C33" s="277">
        <v>43.123243000000002</v>
      </c>
      <c r="D33" s="277">
        <v>9.7835990000000006</v>
      </c>
      <c r="E33" s="277">
        <v>8.7056759999999986</v>
      </c>
      <c r="F33" s="277">
        <v>7.2668340000000002</v>
      </c>
      <c r="G33" s="277">
        <v>7.4564729999999999</v>
      </c>
      <c r="H33" s="284">
        <f t="shared" si="0"/>
        <v>9.9106610000000046</v>
      </c>
      <c r="I33" s="277">
        <v>35.029065000000003</v>
      </c>
      <c r="J33" s="277">
        <v>8.0444040000000001</v>
      </c>
      <c r="K33" s="277">
        <v>7.140574</v>
      </c>
      <c r="L33" s="277">
        <v>6.1760000000000002</v>
      </c>
      <c r="M33" s="277">
        <v>5.6719419999999996</v>
      </c>
      <c r="N33" s="284">
        <f t="shared" si="1"/>
        <v>7.9961449999999985</v>
      </c>
      <c r="O33" s="277">
        <v>59.110633</v>
      </c>
      <c r="P33" s="277">
        <v>6.7681810000000002</v>
      </c>
      <c r="Q33" s="277">
        <v>6.9717609999999999</v>
      </c>
      <c r="R33" s="277">
        <v>4.9643379999999997</v>
      </c>
      <c r="S33" s="277">
        <v>8.1256799999999991</v>
      </c>
      <c r="T33" s="284">
        <f t="shared" si="2"/>
        <v>32.280673000000007</v>
      </c>
      <c r="U33" s="920">
        <v>9682.1693333333333</v>
      </c>
      <c r="V33" s="920">
        <v>1134.7606666666668</v>
      </c>
      <c r="W33" s="920">
        <v>1088.596</v>
      </c>
      <c r="X33" s="920">
        <v>1021.5913333333333</v>
      </c>
      <c r="Y33" s="920">
        <v>662.875</v>
      </c>
      <c r="Z33" s="874">
        <f t="shared" si="3"/>
        <v>5774.346333333333</v>
      </c>
      <c r="AA33" s="920">
        <v>1185.4000000000001</v>
      </c>
      <c r="AB33" s="277">
        <v>171.65700000000001</v>
      </c>
      <c r="AC33" s="920">
        <v>138.37299999999999</v>
      </c>
      <c r="AD33" s="920">
        <v>110.321</v>
      </c>
      <c r="AE33" s="920">
        <v>113.895</v>
      </c>
      <c r="AF33" s="920">
        <v>2118.3000000000002</v>
      </c>
      <c r="AG33" s="277">
        <v>306.125</v>
      </c>
      <c r="AH33" s="920">
        <v>246.33</v>
      </c>
      <c r="AI33" s="920">
        <v>205.43100000000001</v>
      </c>
      <c r="AJ33" s="920">
        <v>121.584</v>
      </c>
      <c r="AK33" s="919">
        <f>Data[[#This Row],[Industry Cost ($m)]]/Data[[#This Row],[Industry Consumption]]</f>
        <v>1.7869917327484393</v>
      </c>
      <c r="AL33" s="919">
        <f>Data[[#This Row],[AAL Fuel Cost]]/Data[[#This Row],[AAL Consumption]]</f>
        <v>1.7833528489953803</v>
      </c>
      <c r="AM33" s="919">
        <f>Data[[#This Row],[DAL Fuel Cost]]/Data[[#This Row],[DAL Consumption]]</f>
        <v>1.7801883315386675</v>
      </c>
      <c r="AN33" s="919">
        <f>Data[[#This Row],[UAL Fuel Cost]]/Data[[#This Row],[UALConsumption]]</f>
        <v>1.8621205391539237</v>
      </c>
      <c r="AO33" s="919">
        <f>Data[[#This Row],[LUV Fuel Cost]]/Data[[#This Row],[LUV Consumption]]</f>
        <v>1.0675095482681418</v>
      </c>
      <c r="AP33" s="919">
        <v>1.8740000000000001</v>
      </c>
      <c r="AQ33" s="783"/>
    </row>
    <row r="34" spans="1:43" s="253" customFormat="1">
      <c r="A34" s="263">
        <f t="shared" si="4"/>
        <v>38625</v>
      </c>
      <c r="B34" s="263" t="s">
        <v>357</v>
      </c>
      <c r="C34" s="277">
        <v>39.264436000000003</v>
      </c>
      <c r="D34" s="277">
        <v>8.8268889999999995</v>
      </c>
      <c r="E34" s="277">
        <v>7.6572449999999996</v>
      </c>
      <c r="F34" s="277">
        <v>6.6448169999999998</v>
      </c>
      <c r="G34" s="277">
        <v>7.0318490000000002</v>
      </c>
      <c r="H34" s="284">
        <f t="shared" si="0"/>
        <v>9.1036360000000052</v>
      </c>
      <c r="I34" s="277">
        <v>29.167165000000001</v>
      </c>
      <c r="J34" s="277">
        <v>6.8418679999999998</v>
      </c>
      <c r="K34" s="277">
        <v>5.6015800000000002</v>
      </c>
      <c r="L34" s="277">
        <v>5.2517810000000003</v>
      </c>
      <c r="M34" s="277">
        <v>4.7345620000000004</v>
      </c>
      <c r="N34" s="284">
        <f t="shared" si="1"/>
        <v>6.7373739999999991</v>
      </c>
      <c r="O34" s="277">
        <v>50.600324999999998</v>
      </c>
      <c r="P34" s="277">
        <v>5.9028609999999997</v>
      </c>
      <c r="Q34" s="277">
        <v>5.5904030000000002</v>
      </c>
      <c r="R34" s="277">
        <v>4.3380210000000003</v>
      </c>
      <c r="S34" s="277">
        <v>6.9861259999999996</v>
      </c>
      <c r="T34" s="284">
        <f t="shared" si="2"/>
        <v>27.782913999999998</v>
      </c>
      <c r="U34" s="920">
        <v>9682.1693333333333</v>
      </c>
      <c r="V34" s="920">
        <v>1134.7606666666668</v>
      </c>
      <c r="W34" s="920">
        <v>1088.596</v>
      </c>
      <c r="X34" s="920">
        <v>1021.5913333333333</v>
      </c>
      <c r="Y34" s="920">
        <v>662.875</v>
      </c>
      <c r="Z34" s="874">
        <f t="shared" si="3"/>
        <v>5774.346333333333</v>
      </c>
      <c r="AA34" s="920">
        <v>1054.4000000000001</v>
      </c>
      <c r="AB34" s="277">
        <v>151.65700000000001</v>
      </c>
      <c r="AC34" s="920">
        <v>118.003</v>
      </c>
      <c r="AD34" s="920">
        <v>98.361999999999995</v>
      </c>
      <c r="AE34" s="920">
        <v>104.956</v>
      </c>
      <c r="AF34" s="920">
        <v>1986</v>
      </c>
      <c r="AG34" s="277">
        <v>301.47300000000001</v>
      </c>
      <c r="AH34" s="920">
        <v>236.346</v>
      </c>
      <c r="AI34" s="920">
        <v>200.55799999999999</v>
      </c>
      <c r="AJ34" s="920">
        <v>109.999</v>
      </c>
      <c r="AK34" s="919">
        <f>Data[[#This Row],[Industry Cost ($m)]]/Data[[#This Row],[Industry Consumption]]</f>
        <v>1.8835356600910469</v>
      </c>
      <c r="AL34" s="919">
        <f>Data[[#This Row],[AAL Fuel Cost]]/Data[[#This Row],[AAL Consumption]]</f>
        <v>1.987860764752039</v>
      </c>
      <c r="AM34" s="919">
        <f>Data[[#This Row],[DAL Fuel Cost]]/Data[[#This Row],[DAL Consumption]]</f>
        <v>2.0028812826792541</v>
      </c>
      <c r="AN34" s="919">
        <f>Data[[#This Row],[UAL Fuel Cost]]/Data[[#This Row],[UALConsumption]]</f>
        <v>2.0389784672942803</v>
      </c>
      <c r="AO34" s="919">
        <f>Data[[#This Row],[LUV Fuel Cost]]/Data[[#This Row],[LUV Consumption]]</f>
        <v>1.0480487061244712</v>
      </c>
      <c r="AP34" s="919">
        <v>2.2320000000000002</v>
      </c>
      <c r="AQ34" s="783">
        <f>AVERAGE(AP32:AP34)</f>
        <v>1.9236666666666669</v>
      </c>
    </row>
    <row r="35" spans="1:43" s="253" customFormat="1">
      <c r="A35" s="263">
        <f t="shared" si="4"/>
        <v>38656</v>
      </c>
      <c r="B35" s="263" t="s">
        <v>357</v>
      </c>
      <c r="C35" s="277">
        <v>40.235438000000002</v>
      </c>
      <c r="D35" s="277">
        <v>8.8825820000000011</v>
      </c>
      <c r="E35" s="277">
        <v>7.8821369999999993</v>
      </c>
      <c r="F35" s="277">
        <v>6.8654269999999995</v>
      </c>
      <c r="G35" s="277">
        <v>7.3169870000000001</v>
      </c>
      <c r="H35" s="284">
        <f t="shared" si="0"/>
        <v>9.2883050000000011</v>
      </c>
      <c r="I35" s="277">
        <v>30.500715</v>
      </c>
      <c r="J35" s="277">
        <v>7.1303369999999999</v>
      </c>
      <c r="K35" s="277">
        <v>5.6889000000000003</v>
      </c>
      <c r="L35" s="277">
        <v>5.5583790000000004</v>
      </c>
      <c r="M35" s="277">
        <v>5.1475090000000003</v>
      </c>
      <c r="N35" s="284">
        <f t="shared" si="1"/>
        <v>6.9755899999999968</v>
      </c>
      <c r="O35" s="277">
        <v>53.738092999999999</v>
      </c>
      <c r="P35" s="277">
        <v>6.2058660000000003</v>
      </c>
      <c r="Q35" s="277">
        <v>5.7910529999999998</v>
      </c>
      <c r="R35" s="277">
        <v>4.608511</v>
      </c>
      <c r="S35" s="277">
        <v>7.5638040000000002</v>
      </c>
      <c r="T35" s="284">
        <f t="shared" si="2"/>
        <v>29.568859</v>
      </c>
      <c r="U35" s="920">
        <v>9568.3423333333321</v>
      </c>
      <c r="V35" s="920">
        <v>1112.7536666666667</v>
      </c>
      <c r="W35" s="920">
        <v>1045.5743333333332</v>
      </c>
      <c r="X35" s="920">
        <v>961.78533333333337</v>
      </c>
      <c r="Y35" s="920">
        <v>662.40566666666666</v>
      </c>
      <c r="Z35" s="874">
        <f t="shared" si="3"/>
        <v>5785.8233333333319</v>
      </c>
      <c r="AA35" s="920">
        <v>1062</v>
      </c>
      <c r="AB35" s="277">
        <v>152.91</v>
      </c>
      <c r="AC35" s="920">
        <v>121.03</v>
      </c>
      <c r="AD35" s="920">
        <v>102.187</v>
      </c>
      <c r="AE35" s="920">
        <v>109.752</v>
      </c>
      <c r="AF35" s="920">
        <v>2280.4</v>
      </c>
      <c r="AG35" s="277">
        <v>353.69200000000001</v>
      </c>
      <c r="AH35" s="920">
        <v>273.99099999999999</v>
      </c>
      <c r="AI35" s="920">
        <v>223.04499999999999</v>
      </c>
      <c r="AJ35" s="920">
        <v>144.01</v>
      </c>
      <c r="AK35" s="919">
        <f>Data[[#This Row],[Industry Cost ($m)]]/Data[[#This Row],[Industry Consumption]]</f>
        <v>2.1472693032015067</v>
      </c>
      <c r="AL35" s="919">
        <f>Data[[#This Row],[AAL Fuel Cost]]/Data[[#This Row],[AAL Consumption]]</f>
        <v>2.3130730495062455</v>
      </c>
      <c r="AM35" s="919">
        <f>Data[[#This Row],[DAL Fuel Cost]]/Data[[#This Row],[DAL Consumption]]</f>
        <v>2.2638271502933156</v>
      </c>
      <c r="AN35" s="919">
        <f>Data[[#This Row],[UAL Fuel Cost]]/Data[[#This Row],[UALConsumption]]</f>
        <v>2.1827140438607651</v>
      </c>
      <c r="AO35" s="919">
        <f>Data[[#This Row],[LUV Fuel Cost]]/Data[[#This Row],[LUV Consumption]]</f>
        <v>1.3121400976747577</v>
      </c>
      <c r="AP35" s="919">
        <v>2.3980000000000001</v>
      </c>
      <c r="AQ35" s="783"/>
    </row>
    <row r="36" spans="1:43" s="253" customFormat="1">
      <c r="A36" s="263">
        <f t="shared" si="4"/>
        <v>38686</v>
      </c>
      <c r="B36" s="263" t="s">
        <v>357</v>
      </c>
      <c r="C36" s="277">
        <v>39.325201999999997</v>
      </c>
      <c r="D36" s="277">
        <v>8.9516550000000006</v>
      </c>
      <c r="E36" s="277">
        <v>7.5581170000000002</v>
      </c>
      <c r="F36" s="277">
        <v>6.6670259999999999</v>
      </c>
      <c r="G36" s="277">
        <v>7.0511850000000003</v>
      </c>
      <c r="H36" s="284">
        <f t="shared" si="0"/>
        <v>9.0972189999999955</v>
      </c>
      <c r="I36" s="277">
        <v>30.171924000000001</v>
      </c>
      <c r="J36" s="277">
        <v>7.2500390000000001</v>
      </c>
      <c r="K36" s="277">
        <v>5.620285</v>
      </c>
      <c r="L36" s="277">
        <v>5.3181209999999997</v>
      </c>
      <c r="M36" s="277">
        <v>4.9988330000000003</v>
      </c>
      <c r="N36" s="284">
        <f t="shared" si="1"/>
        <v>6.9846459999999979</v>
      </c>
      <c r="O36" s="277">
        <v>52.766404000000001</v>
      </c>
      <c r="P36" s="277">
        <v>6.3332920000000001</v>
      </c>
      <c r="Q36" s="277">
        <v>5.7294510000000001</v>
      </c>
      <c r="R36" s="277">
        <v>4.4653130000000001</v>
      </c>
      <c r="S36" s="277">
        <v>7.4061459999999997</v>
      </c>
      <c r="T36" s="284">
        <f t="shared" si="2"/>
        <v>28.832202000000002</v>
      </c>
      <c r="U36" s="920">
        <v>9568.3423333333321</v>
      </c>
      <c r="V36" s="920">
        <v>1112.7536666666667</v>
      </c>
      <c r="W36" s="920">
        <v>1045.5743333333332</v>
      </c>
      <c r="X36" s="920">
        <v>961.78533333333337</v>
      </c>
      <c r="Y36" s="920">
        <v>662.40566666666666</v>
      </c>
      <c r="Z36" s="874">
        <f t="shared" si="3"/>
        <v>5785.8233333333319</v>
      </c>
      <c r="AA36" s="920">
        <v>1055.0999999999999</v>
      </c>
      <c r="AB36" s="277">
        <v>154.01400000000001</v>
      </c>
      <c r="AC36" s="920">
        <v>116.285</v>
      </c>
      <c r="AD36" s="920">
        <v>99.02</v>
      </c>
      <c r="AE36" s="920">
        <v>106.11499999999999</v>
      </c>
      <c r="AF36" s="920">
        <v>1961</v>
      </c>
      <c r="AG36" s="277">
        <v>292.20999999999998</v>
      </c>
      <c r="AH36" s="920">
        <v>239.15899999999999</v>
      </c>
      <c r="AI36" s="920">
        <v>204.20599999999999</v>
      </c>
      <c r="AJ36" s="920">
        <v>130.005</v>
      </c>
      <c r="AK36" s="919">
        <f>Data[[#This Row],[Industry Cost ($m)]]/Data[[#This Row],[Industry Consumption]]</f>
        <v>1.8585916026916882</v>
      </c>
      <c r="AL36" s="919">
        <f>Data[[#This Row],[AAL Fuel Cost]]/Data[[#This Row],[AAL Consumption]]</f>
        <v>1.8972950510992506</v>
      </c>
      <c r="AM36" s="919">
        <f>Data[[#This Row],[DAL Fuel Cost]]/Data[[#This Row],[DAL Consumption]]</f>
        <v>2.0566625102119791</v>
      </c>
      <c r="AN36" s="919">
        <f>Data[[#This Row],[UAL Fuel Cost]]/Data[[#This Row],[UALConsumption]]</f>
        <v>2.0622702484346598</v>
      </c>
      <c r="AO36" s="919">
        <f>Data[[#This Row],[LUV Fuel Cost]]/Data[[#This Row],[LUV Consumption]]</f>
        <v>1.2251331103048579</v>
      </c>
      <c r="AP36" s="919">
        <v>1.698</v>
      </c>
      <c r="AQ36" s="783"/>
    </row>
    <row r="37" spans="1:43" s="253" customFormat="1">
      <c r="A37" s="263">
        <f t="shared" si="4"/>
        <v>38717</v>
      </c>
      <c r="B37" s="263" t="s">
        <v>357</v>
      </c>
      <c r="C37" s="277">
        <v>40.537249000000003</v>
      </c>
      <c r="D37" s="277">
        <v>9.1902019999999993</v>
      </c>
      <c r="E37" s="277">
        <v>7.3069660000000001</v>
      </c>
      <c r="F37" s="277">
        <v>7.0153549999999996</v>
      </c>
      <c r="G37" s="277">
        <v>7.3831040000000003</v>
      </c>
      <c r="H37" s="284">
        <f t="shared" si="0"/>
        <v>9.6416220000000052</v>
      </c>
      <c r="I37" s="277">
        <v>30.905339999999999</v>
      </c>
      <c r="J37" s="277">
        <v>7.3985469999999998</v>
      </c>
      <c r="K37" s="277">
        <v>5.5320419999999997</v>
      </c>
      <c r="L37" s="277">
        <v>5.6029020000000003</v>
      </c>
      <c r="M37" s="277">
        <v>4.9946349999999997</v>
      </c>
      <c r="N37" s="284">
        <f t="shared" si="1"/>
        <v>7.3772140000000022</v>
      </c>
      <c r="O37" s="277">
        <v>52.801276000000001</v>
      </c>
      <c r="P37" s="277">
        <v>6.4155439999999997</v>
      </c>
      <c r="Q37" s="277">
        <v>5.5023270000000002</v>
      </c>
      <c r="R37" s="277">
        <v>4.6136080000000002</v>
      </c>
      <c r="S37" s="277">
        <v>7.255795</v>
      </c>
      <c r="T37" s="284">
        <f t="shared" si="2"/>
        <v>29.014002000000001</v>
      </c>
      <c r="U37" s="920">
        <v>9568.3423333333321</v>
      </c>
      <c r="V37" s="920">
        <v>1112.7536666666667</v>
      </c>
      <c r="W37" s="920">
        <v>1045.5743333333332</v>
      </c>
      <c r="X37" s="920">
        <v>961.78533333333337</v>
      </c>
      <c r="Y37" s="920">
        <v>662.40566666666666</v>
      </c>
      <c r="Z37" s="874">
        <f t="shared" si="3"/>
        <v>5785.8233333333319</v>
      </c>
      <c r="AA37" s="920">
        <v>1097.8</v>
      </c>
      <c r="AB37" s="277">
        <v>158.51</v>
      </c>
      <c r="AC37" s="920">
        <v>115.033</v>
      </c>
      <c r="AD37" s="920">
        <v>104.476</v>
      </c>
      <c r="AE37" s="920">
        <v>110.875</v>
      </c>
      <c r="AF37" s="920">
        <v>1853</v>
      </c>
      <c r="AG37" s="277">
        <v>267.55799999999999</v>
      </c>
      <c r="AH37" s="920">
        <v>208.42</v>
      </c>
      <c r="AI37" s="920">
        <v>195.80799999999999</v>
      </c>
      <c r="AJ37" s="920">
        <v>117.301</v>
      </c>
      <c r="AK37" s="919">
        <f>Data[[#This Row],[Industry Cost ($m)]]/Data[[#This Row],[Industry Consumption]]</f>
        <v>1.6879212971397342</v>
      </c>
      <c r="AL37" s="919">
        <f>Data[[#This Row],[AAL Fuel Cost]]/Data[[#This Row],[AAL Consumption]]</f>
        <v>1.6879565957983724</v>
      </c>
      <c r="AM37" s="919">
        <f>Data[[#This Row],[DAL Fuel Cost]]/Data[[#This Row],[DAL Consumption]]</f>
        <v>1.8118279102518406</v>
      </c>
      <c r="AN37" s="919">
        <f>Data[[#This Row],[UAL Fuel Cost]]/Data[[#This Row],[UALConsumption]]</f>
        <v>1.8741912018071136</v>
      </c>
      <c r="AO37" s="919">
        <f>Data[[#This Row],[LUV Fuel Cost]]/Data[[#This Row],[LUV Consumption]]</f>
        <v>1.0579571589627959</v>
      </c>
      <c r="AP37" s="919">
        <v>1.7270000000000001</v>
      </c>
      <c r="AQ37" s="783">
        <f>AVERAGE(AP35:AP37)</f>
        <v>1.9410000000000001</v>
      </c>
    </row>
    <row r="38" spans="1:43" s="253" customFormat="1">
      <c r="A38" s="263">
        <f t="shared" si="4"/>
        <v>38748</v>
      </c>
      <c r="B38" s="263" t="s">
        <v>357</v>
      </c>
      <c r="C38" s="277">
        <v>40.075643999999997</v>
      </c>
      <c r="D38" s="277">
        <v>9.2506450000000005</v>
      </c>
      <c r="E38" s="277">
        <v>6.991072</v>
      </c>
      <c r="F38" s="277">
        <v>6.7925770000000005</v>
      </c>
      <c r="G38" s="277">
        <v>7.5077189999999998</v>
      </c>
      <c r="H38" s="284">
        <f t="shared" si="0"/>
        <v>9.5336309999999926</v>
      </c>
      <c r="I38" s="277">
        <v>29.124413000000001</v>
      </c>
      <c r="J38" s="277">
        <v>7.0422789999999997</v>
      </c>
      <c r="K38" s="277">
        <v>5.1653779999999996</v>
      </c>
      <c r="L38" s="277">
        <v>5.2105629999999996</v>
      </c>
      <c r="M38" s="277">
        <v>4.759328</v>
      </c>
      <c r="N38" s="284">
        <f t="shared" si="1"/>
        <v>6.9468650000000025</v>
      </c>
      <c r="O38" s="277">
        <v>48.886043000000001</v>
      </c>
      <c r="P38" s="277">
        <v>6.0704760000000002</v>
      </c>
      <c r="Q38" s="277">
        <v>5.1784270000000001</v>
      </c>
      <c r="R38" s="277">
        <v>4.2843119999999999</v>
      </c>
      <c r="S38" s="277">
        <v>6.8600989999999999</v>
      </c>
      <c r="T38" s="284">
        <f t="shared" si="2"/>
        <v>26.492729000000001</v>
      </c>
      <c r="U38" s="920">
        <v>9465.3756666666668</v>
      </c>
      <c r="V38" s="920">
        <v>1145.6416666666667</v>
      </c>
      <c r="W38" s="920">
        <v>996.8413333333333</v>
      </c>
      <c r="X38" s="920">
        <v>1001.9383333333334</v>
      </c>
      <c r="Y38" s="920">
        <v>673.15066666666667</v>
      </c>
      <c r="Z38" s="874">
        <f t="shared" si="3"/>
        <v>5647.8036666666667</v>
      </c>
      <c r="AA38" s="920">
        <v>1048</v>
      </c>
      <c r="AB38" s="277">
        <v>158.012</v>
      </c>
      <c r="AC38" s="920">
        <v>107.376</v>
      </c>
      <c r="AD38" s="920">
        <v>99.67</v>
      </c>
      <c r="AE38" s="920">
        <v>111.444</v>
      </c>
      <c r="AF38" s="920">
        <v>1874.3</v>
      </c>
      <c r="AG38" s="277">
        <v>278.16500000000002</v>
      </c>
      <c r="AH38" s="920">
        <v>198.73500000000001</v>
      </c>
      <c r="AI38" s="920">
        <v>198.15899999999999</v>
      </c>
      <c r="AJ38" s="920">
        <v>167.768</v>
      </c>
      <c r="AK38" s="919">
        <f>Data[[#This Row],[Industry Cost ($m)]]/Data[[#This Row],[Industry Consumption]]</f>
        <v>1.7884541984732825</v>
      </c>
      <c r="AL38" s="919">
        <f>Data[[#This Row],[AAL Fuel Cost]]/Data[[#This Row],[AAL Consumption]]</f>
        <v>1.7604042730931828</v>
      </c>
      <c r="AM38" s="919">
        <f>Data[[#This Row],[DAL Fuel Cost]]/Data[[#This Row],[DAL Consumption]]</f>
        <v>1.8508325882878855</v>
      </c>
      <c r="AN38" s="919">
        <f>Data[[#This Row],[UAL Fuel Cost]]/Data[[#This Row],[UALConsumption]]</f>
        <v>1.9881508979632787</v>
      </c>
      <c r="AO38" s="919">
        <f>Data[[#This Row],[LUV Fuel Cost]]/Data[[#This Row],[LUV Consumption]]</f>
        <v>1.5054018161587883</v>
      </c>
      <c r="AP38" s="919">
        <v>1.8160000000000001</v>
      </c>
      <c r="AQ38" s="783"/>
    </row>
    <row r="39" spans="1:43" s="253" customFormat="1">
      <c r="A39" s="263">
        <f t="shared" si="4"/>
        <v>38776</v>
      </c>
      <c r="B39" s="263" t="s">
        <v>357</v>
      </c>
      <c r="C39" s="277">
        <v>36.531705000000002</v>
      </c>
      <c r="D39" s="277">
        <v>8.2907649999999986</v>
      </c>
      <c r="E39" s="277">
        <v>6.253806</v>
      </c>
      <c r="F39" s="277">
        <v>6.3832740000000001</v>
      </c>
      <c r="G39" s="277">
        <v>6.8503869999999996</v>
      </c>
      <c r="H39" s="284">
        <f t="shared" si="0"/>
        <v>8.7534730000000067</v>
      </c>
      <c r="I39" s="277">
        <v>27.669692000000001</v>
      </c>
      <c r="J39" s="277">
        <v>6.4921319999999998</v>
      </c>
      <c r="K39" s="277">
        <v>4.7583390000000003</v>
      </c>
      <c r="L39" s="277">
        <v>4.9911649999999996</v>
      </c>
      <c r="M39" s="277">
        <v>4.6899990000000003</v>
      </c>
      <c r="N39" s="284">
        <f t="shared" si="1"/>
        <v>6.7380570000000013</v>
      </c>
      <c r="O39" s="277">
        <v>47.348142000000003</v>
      </c>
      <c r="P39" s="277">
        <v>5.6497219999999997</v>
      </c>
      <c r="Q39" s="277">
        <v>4.8327410000000004</v>
      </c>
      <c r="R39" s="277">
        <v>4.1135359999999999</v>
      </c>
      <c r="S39" s="277">
        <v>6.818257</v>
      </c>
      <c r="T39" s="284">
        <f t="shared" si="2"/>
        <v>25.933886000000005</v>
      </c>
      <c r="U39" s="920">
        <v>9465.3756666666668</v>
      </c>
      <c r="V39" s="920">
        <v>1145.6416666666667</v>
      </c>
      <c r="W39" s="920">
        <v>996.8413333333333</v>
      </c>
      <c r="X39" s="920">
        <v>1001.9383333333334</v>
      </c>
      <c r="Y39" s="920">
        <v>673.15066666666667</v>
      </c>
      <c r="Z39" s="874">
        <f t="shared" si="3"/>
        <v>5647.8036666666667</v>
      </c>
      <c r="AA39" s="920">
        <v>967.2</v>
      </c>
      <c r="AB39" s="277">
        <v>142.96299999999999</v>
      </c>
      <c r="AC39" s="920">
        <v>97.332999999999998</v>
      </c>
      <c r="AD39" s="920">
        <v>93.718000000000004</v>
      </c>
      <c r="AE39" s="920">
        <v>102.545</v>
      </c>
      <c r="AF39" s="920">
        <v>1754.9</v>
      </c>
      <c r="AG39" s="277">
        <v>264.88</v>
      </c>
      <c r="AH39" s="920">
        <v>180.94900000000001</v>
      </c>
      <c r="AI39" s="920">
        <v>183.81</v>
      </c>
      <c r="AJ39" s="920">
        <v>159.821</v>
      </c>
      <c r="AK39" s="919">
        <f>Data[[#This Row],[Industry Cost ($m)]]/Data[[#This Row],[Industry Consumption]]</f>
        <v>1.8144127377998345</v>
      </c>
      <c r="AL39" s="919">
        <f>Data[[#This Row],[AAL Fuel Cost]]/Data[[#This Row],[AAL Consumption]]</f>
        <v>1.8527870847701853</v>
      </c>
      <c r="AM39" s="919">
        <f>Data[[#This Row],[DAL Fuel Cost]]/Data[[#This Row],[DAL Consumption]]</f>
        <v>1.8590714351761479</v>
      </c>
      <c r="AN39" s="919">
        <f>Data[[#This Row],[UAL Fuel Cost]]/Data[[#This Row],[UALConsumption]]</f>
        <v>1.961309460295781</v>
      </c>
      <c r="AO39" s="919">
        <f>Data[[#This Row],[LUV Fuel Cost]]/Data[[#This Row],[LUV Consumption]]</f>
        <v>1.5585450290116534</v>
      </c>
      <c r="AP39" s="919">
        <v>1.754</v>
      </c>
      <c r="AQ39" s="783"/>
    </row>
    <row r="40" spans="1:43" s="253" customFormat="1">
      <c r="A40" s="263">
        <f t="shared" si="4"/>
        <v>38807</v>
      </c>
      <c r="B40" s="263" t="s">
        <v>357</v>
      </c>
      <c r="C40" s="277">
        <v>41.835129000000002</v>
      </c>
      <c r="D40" s="277">
        <v>9.4244889999999995</v>
      </c>
      <c r="E40" s="277">
        <v>7.3823889999999999</v>
      </c>
      <c r="F40" s="277">
        <v>7.2481650000000002</v>
      </c>
      <c r="G40" s="277">
        <v>7.7236769999999995</v>
      </c>
      <c r="H40" s="284">
        <f t="shared" si="0"/>
        <v>10.056409000000006</v>
      </c>
      <c r="I40" s="277">
        <v>34.070739000000003</v>
      </c>
      <c r="J40" s="277">
        <v>7.8813409999999999</v>
      </c>
      <c r="K40" s="277">
        <v>6.0303849999999999</v>
      </c>
      <c r="L40" s="277">
        <v>6.0743390000000002</v>
      </c>
      <c r="M40" s="277">
        <v>5.8326250000000002</v>
      </c>
      <c r="N40" s="284">
        <f t="shared" si="1"/>
        <v>8.2520490000000031</v>
      </c>
      <c r="O40" s="277">
        <v>58.286011000000002</v>
      </c>
      <c r="P40" s="277">
        <v>6.8966010000000004</v>
      </c>
      <c r="Q40" s="277">
        <v>5.9840200000000001</v>
      </c>
      <c r="R40" s="277">
        <v>5.008165</v>
      </c>
      <c r="S40" s="277">
        <v>8.3371279999999999</v>
      </c>
      <c r="T40" s="284">
        <f t="shared" si="2"/>
        <v>32.060096999999999</v>
      </c>
      <c r="U40" s="920">
        <v>9465.3756666666668</v>
      </c>
      <c r="V40" s="920">
        <v>1145.6416666666667</v>
      </c>
      <c r="W40" s="920">
        <v>996.8413333333333</v>
      </c>
      <c r="X40" s="920">
        <v>1001.9383333333334</v>
      </c>
      <c r="Y40" s="920">
        <v>673.15066666666667</v>
      </c>
      <c r="Z40" s="874">
        <f t="shared" si="3"/>
        <v>5647.8036666666667</v>
      </c>
      <c r="AA40" s="920">
        <v>1118</v>
      </c>
      <c r="AB40" s="277">
        <v>162.953</v>
      </c>
      <c r="AC40" s="920">
        <v>112.929</v>
      </c>
      <c r="AD40" s="920">
        <v>106.922</v>
      </c>
      <c r="AE40" s="920">
        <v>115.79600000000001</v>
      </c>
      <c r="AF40" s="920">
        <v>2015.1</v>
      </c>
      <c r="AG40" s="277">
        <v>299.22300000000001</v>
      </c>
      <c r="AH40" s="920">
        <v>211.78299999999999</v>
      </c>
      <c r="AI40" s="920">
        <v>200.46199999999999</v>
      </c>
      <c r="AJ40" s="920">
        <v>172.155</v>
      </c>
      <c r="AK40" s="919">
        <f>Data[[#This Row],[Industry Cost ($m)]]/Data[[#This Row],[Industry Consumption]]</f>
        <v>1.8024150268336314</v>
      </c>
      <c r="AL40" s="919">
        <f>Data[[#This Row],[AAL Fuel Cost]]/Data[[#This Row],[AAL Consumption]]</f>
        <v>1.8362533982191185</v>
      </c>
      <c r="AM40" s="919">
        <f>Data[[#This Row],[DAL Fuel Cost]]/Data[[#This Row],[DAL Consumption]]</f>
        <v>1.8753641668659067</v>
      </c>
      <c r="AN40" s="919">
        <f>Data[[#This Row],[UAL Fuel Cost]]/Data[[#This Row],[UALConsumption]]</f>
        <v>1.8748433437459082</v>
      </c>
      <c r="AO40" s="919">
        <f>Data[[#This Row],[LUV Fuel Cost]]/Data[[#This Row],[LUV Consumption]]</f>
        <v>1.4867093854710007</v>
      </c>
      <c r="AP40" s="919">
        <v>1.875</v>
      </c>
      <c r="AQ40" s="783">
        <f>AVERAGE(AP38:AP40)</f>
        <v>1.8150000000000002</v>
      </c>
    </row>
    <row r="41" spans="1:43" s="253" customFormat="1">
      <c r="A41" s="263">
        <f t="shared" si="4"/>
        <v>38837</v>
      </c>
      <c r="B41" s="263" t="s">
        <v>357</v>
      </c>
      <c r="C41" s="277">
        <v>40.346254000000002</v>
      </c>
      <c r="D41" s="277">
        <v>9.0870200000000008</v>
      </c>
      <c r="E41" s="277">
        <v>7.0292259999999995</v>
      </c>
      <c r="F41" s="277">
        <v>7.0123299999999995</v>
      </c>
      <c r="G41" s="277">
        <v>7.471419</v>
      </c>
      <c r="H41" s="284">
        <f t="shared" si="0"/>
        <v>9.746259000000002</v>
      </c>
      <c r="I41" s="277">
        <v>32.711565999999998</v>
      </c>
      <c r="J41" s="277">
        <v>7.6721349999999999</v>
      </c>
      <c r="K41" s="277">
        <v>5.4769310000000004</v>
      </c>
      <c r="L41" s="277">
        <v>5.8970929999999999</v>
      </c>
      <c r="M41" s="277">
        <v>5.7340939999999998</v>
      </c>
      <c r="N41" s="284">
        <f t="shared" si="1"/>
        <v>7.9313129999999958</v>
      </c>
      <c r="O41" s="277">
        <v>55.828555000000001</v>
      </c>
      <c r="P41" s="277">
        <v>6.6127830000000003</v>
      </c>
      <c r="Q41" s="277">
        <v>5.359953</v>
      </c>
      <c r="R41" s="277">
        <v>4.8359589999999999</v>
      </c>
      <c r="S41" s="277">
        <v>8.1307390000000002</v>
      </c>
      <c r="T41" s="284">
        <f t="shared" si="2"/>
        <v>30.889121000000003</v>
      </c>
      <c r="U41" s="920">
        <v>10581.135</v>
      </c>
      <c r="V41" s="920">
        <v>1256.0889999999999</v>
      </c>
      <c r="W41" s="920">
        <v>1180.9349999999999</v>
      </c>
      <c r="X41" s="920">
        <v>1156.9423333333334</v>
      </c>
      <c r="Y41" s="920">
        <v>816.34233333333339</v>
      </c>
      <c r="Z41" s="874">
        <f t="shared" si="3"/>
        <v>6170.8263333333334</v>
      </c>
      <c r="AA41" s="920">
        <v>1070.8</v>
      </c>
      <c r="AB41" s="277">
        <v>155.48099999999999</v>
      </c>
      <c r="AC41" s="920">
        <v>106.376</v>
      </c>
      <c r="AD41" s="920">
        <v>106.389</v>
      </c>
      <c r="AE41" s="920">
        <v>111.878</v>
      </c>
      <c r="AF41" s="920">
        <v>2026.3</v>
      </c>
      <c r="AG41" s="277">
        <v>305.35599999999999</v>
      </c>
      <c r="AH41" s="920">
        <v>209.68799999999999</v>
      </c>
      <c r="AI41" s="920">
        <v>212.107</v>
      </c>
      <c r="AJ41" s="920">
        <v>145.76499999999999</v>
      </c>
      <c r="AK41" s="919">
        <f>Data[[#This Row],[Industry Cost ($m)]]/Data[[#This Row],[Industry Consumption]]</f>
        <v>1.8923234964512514</v>
      </c>
      <c r="AL41" s="919">
        <f>Data[[#This Row],[AAL Fuel Cost]]/Data[[#This Row],[AAL Consumption]]</f>
        <v>1.9639441475164168</v>
      </c>
      <c r="AM41" s="919">
        <f>Data[[#This Row],[DAL Fuel Cost]]/Data[[#This Row],[DAL Consumption]]</f>
        <v>1.971196510491088</v>
      </c>
      <c r="AN41" s="919">
        <f>Data[[#This Row],[UAL Fuel Cost]]/Data[[#This Row],[UALConsumption]]</f>
        <v>1.993692956978635</v>
      </c>
      <c r="AO41" s="919">
        <f>Data[[#This Row],[LUV Fuel Cost]]/Data[[#This Row],[LUV Consumption]]</f>
        <v>1.3028924364039398</v>
      </c>
      <c r="AP41" s="919">
        <v>2.0739999999999998</v>
      </c>
      <c r="AQ41" s="783"/>
    </row>
    <row r="42" spans="1:43" s="253" customFormat="1">
      <c r="A42" s="263">
        <f t="shared" si="4"/>
        <v>38868</v>
      </c>
      <c r="B42" s="263" t="s">
        <v>357</v>
      </c>
      <c r="C42" s="277">
        <v>41.231369000000001</v>
      </c>
      <c r="D42" s="277">
        <v>9.4018529999999991</v>
      </c>
      <c r="E42" s="277">
        <v>6.7946390000000001</v>
      </c>
      <c r="F42" s="277">
        <v>7.2362849999999996</v>
      </c>
      <c r="G42" s="277">
        <v>7.7619999999999996</v>
      </c>
      <c r="H42" s="284">
        <f t="shared" si="0"/>
        <v>10.036592000000002</v>
      </c>
      <c r="I42" s="277">
        <v>33.059046000000002</v>
      </c>
      <c r="J42" s="277">
        <v>7.8428740000000001</v>
      </c>
      <c r="K42" s="277">
        <v>5.1461930000000002</v>
      </c>
      <c r="L42" s="277">
        <v>6.0595730000000003</v>
      </c>
      <c r="M42" s="277">
        <v>5.9599880000000001</v>
      </c>
      <c r="N42" s="284">
        <f t="shared" si="1"/>
        <v>8.0504180000000041</v>
      </c>
      <c r="O42" s="277">
        <v>57.145192999999999</v>
      </c>
      <c r="P42" s="277">
        <v>6.8033450000000002</v>
      </c>
      <c r="Q42" s="277">
        <v>5.146846</v>
      </c>
      <c r="R42" s="277">
        <v>5.0301980000000004</v>
      </c>
      <c r="S42" s="277">
        <v>8.4889980000000005</v>
      </c>
      <c r="T42" s="284">
        <f t="shared" si="2"/>
        <v>31.675805999999994</v>
      </c>
      <c r="U42" s="920">
        <v>10581.135</v>
      </c>
      <c r="V42" s="920">
        <v>1256.0889999999999</v>
      </c>
      <c r="W42" s="920">
        <v>1180.9349999999999</v>
      </c>
      <c r="X42" s="920">
        <v>1156.9423333333334</v>
      </c>
      <c r="Y42" s="920">
        <v>816.34233333333339</v>
      </c>
      <c r="Z42" s="874">
        <f t="shared" si="3"/>
        <v>6170.8263333333334</v>
      </c>
      <c r="AA42" s="920">
        <v>1084.9000000000001</v>
      </c>
      <c r="AB42" s="277">
        <v>160.982</v>
      </c>
      <c r="AC42" s="920">
        <v>102.298</v>
      </c>
      <c r="AD42" s="920">
        <v>109.279</v>
      </c>
      <c r="AE42" s="920">
        <v>115.85299999999999</v>
      </c>
      <c r="AF42" s="920">
        <v>2213</v>
      </c>
      <c r="AG42" s="277">
        <v>330.935</v>
      </c>
      <c r="AH42" s="920">
        <v>213.35599999999999</v>
      </c>
      <c r="AI42" s="920">
        <v>240.99199999999999</v>
      </c>
      <c r="AJ42" s="920">
        <v>175.00399999999999</v>
      </c>
      <c r="AK42" s="919">
        <f>Data[[#This Row],[Industry Cost ($m)]]/Data[[#This Row],[Industry Consumption]]</f>
        <v>2.0398193381878511</v>
      </c>
      <c r="AL42" s="919">
        <f>Data[[#This Row],[AAL Fuel Cost]]/Data[[#This Row],[AAL Consumption]]</f>
        <v>2.0557267272117379</v>
      </c>
      <c r="AM42" s="919">
        <f>Data[[#This Row],[DAL Fuel Cost]]/Data[[#This Row],[DAL Consumption]]</f>
        <v>2.0856321726719975</v>
      </c>
      <c r="AN42" s="919">
        <f>Data[[#This Row],[UAL Fuel Cost]]/Data[[#This Row],[UALConsumption]]</f>
        <v>2.2052910440249271</v>
      </c>
      <c r="AO42" s="919">
        <f>Data[[#This Row],[LUV Fuel Cost]]/Data[[#This Row],[LUV Consumption]]</f>
        <v>1.5105694284999094</v>
      </c>
      <c r="AP42" s="919">
        <v>2.0699999999999998</v>
      </c>
      <c r="AQ42" s="783"/>
    </row>
    <row r="43" spans="1:43" s="253" customFormat="1">
      <c r="A43" s="263">
        <f t="shared" si="4"/>
        <v>38898</v>
      </c>
      <c r="B43" s="263" t="s">
        <v>357</v>
      </c>
      <c r="C43" s="277">
        <v>41.417217000000001</v>
      </c>
      <c r="D43" s="277">
        <v>9.1526129999999988</v>
      </c>
      <c r="E43" s="277">
        <v>7.0235690000000002</v>
      </c>
      <c r="F43" s="277">
        <v>7.3233410000000001</v>
      </c>
      <c r="G43" s="277">
        <v>7.6531279999999997</v>
      </c>
      <c r="H43" s="284">
        <f t="shared" si="0"/>
        <v>10.264566000000006</v>
      </c>
      <c r="I43" s="277">
        <v>35.046489000000001</v>
      </c>
      <c r="J43" s="277">
        <v>8.0056930000000008</v>
      </c>
      <c r="K43" s="277">
        <v>5.9686570000000003</v>
      </c>
      <c r="L43" s="277">
        <v>6.3878779999999997</v>
      </c>
      <c r="M43" s="277">
        <v>6.1513749999999998</v>
      </c>
      <c r="N43" s="284">
        <f t="shared" si="1"/>
        <v>8.5328859999999978</v>
      </c>
      <c r="O43" s="277">
        <v>59.297120999999997</v>
      </c>
      <c r="P43" s="277">
        <v>6.9122500000000002</v>
      </c>
      <c r="Q43" s="277">
        <v>5.6217490000000003</v>
      </c>
      <c r="R43" s="277">
        <v>5.2280449999999998</v>
      </c>
      <c r="S43" s="277">
        <v>8.6871209999999994</v>
      </c>
      <c r="T43" s="284">
        <f t="shared" si="2"/>
        <v>32.847955999999996</v>
      </c>
      <c r="U43" s="920">
        <v>10581.135</v>
      </c>
      <c r="V43" s="920">
        <v>1256.0889999999999</v>
      </c>
      <c r="W43" s="920">
        <v>1180.9349999999999</v>
      </c>
      <c r="X43" s="920">
        <v>1156.9423333333334</v>
      </c>
      <c r="Y43" s="920">
        <v>816.34233333333339</v>
      </c>
      <c r="Z43" s="874">
        <f t="shared" si="3"/>
        <v>6170.8263333333334</v>
      </c>
      <c r="AA43" s="920">
        <v>1117.3</v>
      </c>
      <c r="AB43" s="277">
        <v>158.815</v>
      </c>
      <c r="AC43" s="920">
        <v>114.157</v>
      </c>
      <c r="AD43" s="920">
        <v>112.514</v>
      </c>
      <c r="AE43" s="920">
        <v>115.895</v>
      </c>
      <c r="AF43" s="920">
        <v>2294.3000000000002</v>
      </c>
      <c r="AG43" s="277">
        <v>322.53899999999999</v>
      </c>
      <c r="AH43" s="920">
        <v>246.875</v>
      </c>
      <c r="AI43" s="920">
        <v>247.792</v>
      </c>
      <c r="AJ43" s="920">
        <v>195.548</v>
      </c>
      <c r="AK43" s="919">
        <f>Data[[#This Row],[Industry Cost ($m)]]/Data[[#This Row],[Industry Consumption]]</f>
        <v>2.0534323816342974</v>
      </c>
      <c r="AL43" s="919">
        <f>Data[[#This Row],[AAL Fuel Cost]]/Data[[#This Row],[AAL Consumption]]</f>
        <v>2.0309101785095867</v>
      </c>
      <c r="AM43" s="919">
        <f>Data[[#This Row],[DAL Fuel Cost]]/Data[[#This Row],[DAL Consumption]]</f>
        <v>2.1625918690925654</v>
      </c>
      <c r="AN43" s="919">
        <f>Data[[#This Row],[UAL Fuel Cost]]/Data[[#This Row],[UALConsumption]]</f>
        <v>2.2023214888813838</v>
      </c>
      <c r="AO43" s="919">
        <f>Data[[#This Row],[LUV Fuel Cost]]/Data[[#This Row],[LUV Consumption]]</f>
        <v>1.6872859053453557</v>
      </c>
      <c r="AP43" s="919">
        <v>2.081</v>
      </c>
      <c r="AQ43" s="783">
        <f>AVERAGE(AP41:AP43)</f>
        <v>2.0749999999999997</v>
      </c>
    </row>
    <row r="44" spans="1:43" s="253" customFormat="1">
      <c r="A44" s="263">
        <f t="shared" si="4"/>
        <v>38929</v>
      </c>
      <c r="B44" s="263" t="s">
        <v>357</v>
      </c>
      <c r="C44" s="277">
        <v>42.986465000000003</v>
      </c>
      <c r="D44" s="277">
        <v>9.3506370000000008</v>
      </c>
      <c r="E44" s="277">
        <v>7.2784040000000001</v>
      </c>
      <c r="F44" s="277">
        <v>7.5601039999999999</v>
      </c>
      <c r="G44" s="277">
        <v>7.963876</v>
      </c>
      <c r="H44" s="284">
        <f t="shared" si="0"/>
        <v>10.833444</v>
      </c>
      <c r="I44" s="277">
        <v>36.626437000000003</v>
      </c>
      <c r="J44" s="277">
        <v>8.2771550000000005</v>
      </c>
      <c r="K44" s="277">
        <v>6.3482200000000004</v>
      </c>
      <c r="L44" s="277">
        <v>6.6250710000000002</v>
      </c>
      <c r="M44" s="277">
        <v>6.3306230000000001</v>
      </c>
      <c r="N44" s="284">
        <f t="shared" si="1"/>
        <v>9.0453679999999999</v>
      </c>
      <c r="O44" s="277">
        <v>60.838605999999999</v>
      </c>
      <c r="P44" s="277">
        <v>7.0310560000000004</v>
      </c>
      <c r="Q44" s="277">
        <v>5.8007569999999999</v>
      </c>
      <c r="R44" s="277">
        <v>5.33317</v>
      </c>
      <c r="S44" s="277">
        <v>8.7637879999999999</v>
      </c>
      <c r="T44" s="284">
        <f t="shared" si="2"/>
        <v>33.909835000000001</v>
      </c>
      <c r="U44" s="920">
        <v>10358.901666666667</v>
      </c>
      <c r="V44" s="920">
        <v>1173.883</v>
      </c>
      <c r="W44" s="920">
        <v>1139.8726666666666</v>
      </c>
      <c r="X44" s="920">
        <v>1144.2083333333333</v>
      </c>
      <c r="Y44" s="920">
        <v>780.68600000000004</v>
      </c>
      <c r="Z44" s="874">
        <f t="shared" si="3"/>
        <v>6120.251666666667</v>
      </c>
      <c r="AA44" s="920">
        <v>1141.9000000000001</v>
      </c>
      <c r="AB44" s="277">
        <v>158.643</v>
      </c>
      <c r="AC44" s="920">
        <v>111.92700000000001</v>
      </c>
      <c r="AD44" s="920">
        <v>115.486</v>
      </c>
      <c r="AE44" s="920">
        <v>120.724</v>
      </c>
      <c r="AF44" s="920">
        <v>2370.6999999999998</v>
      </c>
      <c r="AG44" s="277">
        <v>338.77699999999999</v>
      </c>
      <c r="AH44" s="920">
        <v>240.30099999999999</v>
      </c>
      <c r="AI44" s="920">
        <v>258.06400000000002</v>
      </c>
      <c r="AJ44" s="920">
        <v>198.33099999999999</v>
      </c>
      <c r="AK44" s="919">
        <f>Data[[#This Row],[Industry Cost ($m)]]/Data[[#This Row],[Industry Consumption]]</f>
        <v>2.0761012347841312</v>
      </c>
      <c r="AL44" s="919">
        <f>Data[[#This Row],[AAL Fuel Cost]]/Data[[#This Row],[AAL Consumption]]</f>
        <v>2.1354676853060015</v>
      </c>
      <c r="AM44" s="919">
        <f>Data[[#This Row],[DAL Fuel Cost]]/Data[[#This Row],[DAL Consumption]]</f>
        <v>2.1469439902793783</v>
      </c>
      <c r="AN44" s="919">
        <f>Data[[#This Row],[UAL Fuel Cost]]/Data[[#This Row],[UALConsumption]]</f>
        <v>2.2345912058604509</v>
      </c>
      <c r="AO44" s="919">
        <f>Data[[#This Row],[LUV Fuel Cost]]/Data[[#This Row],[LUV Consumption]]</f>
        <v>1.6428464928266127</v>
      </c>
      <c r="AP44" s="919">
        <v>2.1539999999999999</v>
      </c>
      <c r="AQ44" s="783"/>
    </row>
    <row r="45" spans="1:43" s="253" customFormat="1">
      <c r="A45" s="263">
        <f t="shared" si="4"/>
        <v>38960</v>
      </c>
      <c r="B45" s="263" t="s">
        <v>357</v>
      </c>
      <c r="C45" s="277">
        <v>43.281790000000001</v>
      </c>
      <c r="D45" s="277">
        <v>9.3638359999999992</v>
      </c>
      <c r="E45" s="277">
        <v>7.2919539999999996</v>
      </c>
      <c r="F45" s="277">
        <v>7.6301310000000004</v>
      </c>
      <c r="G45" s="277">
        <v>8.0912559999999996</v>
      </c>
      <c r="H45" s="284">
        <f t="shared" si="0"/>
        <v>10.904612999999998</v>
      </c>
      <c r="I45" s="277">
        <v>35.036079000000001</v>
      </c>
      <c r="J45" s="277">
        <v>7.7390140000000001</v>
      </c>
      <c r="K45" s="277">
        <v>5.9536509999999998</v>
      </c>
      <c r="L45" s="277">
        <v>6.2921180000000003</v>
      </c>
      <c r="M45" s="277">
        <v>6.241206</v>
      </c>
      <c r="N45" s="284">
        <f t="shared" si="1"/>
        <v>8.8100900000000024</v>
      </c>
      <c r="O45" s="277">
        <v>58.303232999999999</v>
      </c>
      <c r="P45" s="277">
        <v>6.500972</v>
      </c>
      <c r="Q45" s="277">
        <v>5.4259300000000001</v>
      </c>
      <c r="R45" s="277">
        <v>5.0931920000000002</v>
      </c>
      <c r="S45" s="277">
        <v>8.6578630000000008</v>
      </c>
      <c r="T45" s="284">
        <f t="shared" si="2"/>
        <v>32.625275999999999</v>
      </c>
      <c r="U45" s="920">
        <v>10358.901666666667</v>
      </c>
      <c r="V45" s="920">
        <v>1173.883</v>
      </c>
      <c r="W45" s="920">
        <v>1139.8726666666666</v>
      </c>
      <c r="X45" s="920">
        <v>1144.2083333333333</v>
      </c>
      <c r="Y45" s="920">
        <v>780.68600000000004</v>
      </c>
      <c r="Z45" s="874">
        <f t="shared" si="3"/>
        <v>6120.251666666667</v>
      </c>
      <c r="AA45" s="920">
        <v>1160.5</v>
      </c>
      <c r="AB45" s="277">
        <v>162.208</v>
      </c>
      <c r="AC45" s="920">
        <v>112.251</v>
      </c>
      <c r="AD45" s="920">
        <v>116.35899999999999</v>
      </c>
      <c r="AE45" s="920">
        <v>122.313</v>
      </c>
      <c r="AF45" s="920">
        <v>2460.3000000000002</v>
      </c>
      <c r="AG45" s="277">
        <v>340.471</v>
      </c>
      <c r="AH45" s="920">
        <v>254.99</v>
      </c>
      <c r="AI45" s="920">
        <v>262.83699999999999</v>
      </c>
      <c r="AJ45" s="920">
        <v>195.732</v>
      </c>
      <c r="AK45" s="919">
        <f>Data[[#This Row],[Industry Cost ($m)]]/Data[[#This Row],[Industry Consumption]]</f>
        <v>2.1200344679017666</v>
      </c>
      <c r="AL45" s="919">
        <f>Data[[#This Row],[AAL Fuel Cost]]/Data[[#This Row],[AAL Consumption]]</f>
        <v>2.0989778555928194</v>
      </c>
      <c r="AM45" s="919">
        <f>Data[[#This Row],[DAL Fuel Cost]]/Data[[#This Row],[DAL Consumption]]</f>
        <v>2.2716055981683905</v>
      </c>
      <c r="AN45" s="919">
        <f>Data[[#This Row],[UAL Fuel Cost]]/Data[[#This Row],[UALConsumption]]</f>
        <v>2.2588454696241804</v>
      </c>
      <c r="AO45" s="919">
        <f>Data[[#This Row],[LUV Fuel Cost]]/Data[[#This Row],[LUV Consumption]]</f>
        <v>1.6002550832699713</v>
      </c>
      <c r="AP45" s="919">
        <v>2.133</v>
      </c>
      <c r="AQ45" s="783"/>
    </row>
    <row r="46" spans="1:43" s="253" customFormat="1">
      <c r="A46" s="263">
        <f t="shared" si="4"/>
        <v>38990</v>
      </c>
      <c r="B46" s="263" t="s">
        <v>357</v>
      </c>
      <c r="C46" s="277">
        <v>39.475749</v>
      </c>
      <c r="D46" s="277">
        <v>8.6330279999999995</v>
      </c>
      <c r="E46" s="277">
        <v>6.3689229999999997</v>
      </c>
      <c r="F46" s="277">
        <v>6.8558649999999997</v>
      </c>
      <c r="G46" s="277">
        <v>7.7331139999999996</v>
      </c>
      <c r="H46" s="284">
        <f t="shared" si="0"/>
        <v>9.8848190000000002</v>
      </c>
      <c r="I46" s="277">
        <v>29.101210999999999</v>
      </c>
      <c r="J46" s="277">
        <v>6.5767680000000004</v>
      </c>
      <c r="K46" s="277">
        <v>4.7336169999999997</v>
      </c>
      <c r="L46" s="277">
        <v>5.3526999999999996</v>
      </c>
      <c r="M46" s="277">
        <v>5.1969139999999996</v>
      </c>
      <c r="N46" s="284">
        <f t="shared" si="1"/>
        <v>7.2412120000000009</v>
      </c>
      <c r="O46" s="277">
        <v>49.949551</v>
      </c>
      <c r="P46" s="277">
        <v>5.6725940000000001</v>
      </c>
      <c r="Q46" s="277">
        <v>4.6241760000000003</v>
      </c>
      <c r="R46" s="277">
        <v>4.4603630000000001</v>
      </c>
      <c r="S46" s="277">
        <v>7.4589949999999998</v>
      </c>
      <c r="T46" s="284">
        <f t="shared" si="2"/>
        <v>27.733423000000002</v>
      </c>
      <c r="U46" s="920">
        <v>10358.901666666667</v>
      </c>
      <c r="V46" s="920">
        <v>1173.883</v>
      </c>
      <c r="W46" s="920">
        <v>1139.8726666666666</v>
      </c>
      <c r="X46" s="920">
        <v>1144.2083333333333</v>
      </c>
      <c r="Y46" s="920">
        <v>780.68600000000004</v>
      </c>
      <c r="Z46" s="874">
        <f t="shared" si="3"/>
        <v>6120.251666666667</v>
      </c>
      <c r="AA46" s="920">
        <v>1052</v>
      </c>
      <c r="AB46" s="277">
        <v>148.56399999999999</v>
      </c>
      <c r="AC46" s="920">
        <v>97.373000000000005</v>
      </c>
      <c r="AD46" s="920">
        <v>104.68899999999999</v>
      </c>
      <c r="AE46" s="920">
        <v>115.49299999999999</v>
      </c>
      <c r="AF46" s="920">
        <v>2091.6999999999998</v>
      </c>
      <c r="AG46" s="277">
        <v>294.96300000000002</v>
      </c>
      <c r="AH46" s="920">
        <v>227.71799999999999</v>
      </c>
      <c r="AI46" s="920">
        <v>230.80799999999999</v>
      </c>
      <c r="AJ46" s="920">
        <v>167.256</v>
      </c>
      <c r="AK46" s="919">
        <f>Data[[#This Row],[Industry Cost ($m)]]/Data[[#This Row],[Industry Consumption]]</f>
        <v>1.9883079847908744</v>
      </c>
      <c r="AL46" s="919">
        <f>Data[[#This Row],[AAL Fuel Cost]]/Data[[#This Row],[AAL Consumption]]</f>
        <v>1.9854271559731835</v>
      </c>
      <c r="AM46" s="919">
        <f>Data[[#This Row],[DAL Fuel Cost]]/Data[[#This Row],[DAL Consumption]]</f>
        <v>2.338615427274501</v>
      </c>
      <c r="AN46" s="919">
        <f>Data[[#This Row],[UAL Fuel Cost]]/Data[[#This Row],[UALConsumption]]</f>
        <v>2.2047015445748839</v>
      </c>
      <c r="AO46" s="919">
        <f>Data[[#This Row],[LUV Fuel Cost]]/Data[[#This Row],[LUV Consumption]]</f>
        <v>1.4481916652957323</v>
      </c>
      <c r="AP46" s="919">
        <v>1.81</v>
      </c>
      <c r="AQ46" s="783">
        <f>AVERAGE(AP44:AP46)</f>
        <v>2.0323333333333333</v>
      </c>
    </row>
    <row r="47" spans="1:43" s="253" customFormat="1">
      <c r="A47" s="263">
        <f t="shared" si="4"/>
        <v>39021</v>
      </c>
      <c r="B47" s="263" t="s">
        <v>357</v>
      </c>
      <c r="C47" s="277">
        <v>40.972639999999998</v>
      </c>
      <c r="D47" s="277">
        <v>8.9030499999999986</v>
      </c>
      <c r="E47" s="277">
        <v>6.602894</v>
      </c>
      <c r="F47" s="277">
        <v>7.1066760000000002</v>
      </c>
      <c r="G47" s="277">
        <v>8.1343360000000011</v>
      </c>
      <c r="H47" s="284">
        <f t="shared" si="0"/>
        <v>10.225683999999998</v>
      </c>
      <c r="I47" s="277">
        <v>31.684851999999999</v>
      </c>
      <c r="J47" s="277">
        <v>7.1526129999999997</v>
      </c>
      <c r="K47" s="277">
        <v>5.2300440000000004</v>
      </c>
      <c r="L47" s="277">
        <v>5.7656850000000004</v>
      </c>
      <c r="M47" s="277">
        <v>5.699554</v>
      </c>
      <c r="N47" s="284">
        <f t="shared" si="1"/>
        <v>7.8369560000000007</v>
      </c>
      <c r="O47" s="277">
        <v>55.088985999999998</v>
      </c>
      <c r="P47" s="277">
        <v>6.2480989999999998</v>
      </c>
      <c r="Q47" s="277">
        <v>5.2440350000000002</v>
      </c>
      <c r="R47" s="277">
        <v>4.8272959999999996</v>
      </c>
      <c r="S47" s="277">
        <v>8.1400769999999998</v>
      </c>
      <c r="T47" s="284">
        <f t="shared" si="2"/>
        <v>30.629478999999996</v>
      </c>
      <c r="U47" s="920">
        <v>9896.8963333333322</v>
      </c>
      <c r="V47" s="920">
        <v>1120.4453333333333</v>
      </c>
      <c r="W47" s="920">
        <v>1054.1696666666667</v>
      </c>
      <c r="X47" s="920">
        <v>1002.467</v>
      </c>
      <c r="Y47" s="920">
        <v>758.58733333333339</v>
      </c>
      <c r="Z47" s="874">
        <f t="shared" si="3"/>
        <v>5961.226999999999</v>
      </c>
      <c r="AA47" s="920">
        <v>1095.4000000000001</v>
      </c>
      <c r="AB47" s="277">
        <v>153.78899999999999</v>
      </c>
      <c r="AC47" s="920">
        <v>101.249</v>
      </c>
      <c r="AD47" s="920">
        <v>108.179</v>
      </c>
      <c r="AE47" s="920">
        <v>122.492</v>
      </c>
      <c r="AF47" s="920">
        <v>2041.9</v>
      </c>
      <c r="AG47" s="277">
        <v>276.69499999999999</v>
      </c>
      <c r="AH47" s="920">
        <v>225.15100000000001</v>
      </c>
      <c r="AI47" s="920">
        <v>215.81100000000001</v>
      </c>
      <c r="AJ47" s="920">
        <v>183.62899999999999</v>
      </c>
      <c r="AK47" s="919">
        <f>Data[[#This Row],[Industry Cost ($m)]]/Data[[#This Row],[Industry Consumption]]</f>
        <v>1.8640679203943764</v>
      </c>
      <c r="AL47" s="919">
        <f>Data[[#This Row],[AAL Fuel Cost]]/Data[[#This Row],[AAL Consumption]]</f>
        <v>1.799185897560944</v>
      </c>
      <c r="AM47" s="919">
        <f>Data[[#This Row],[DAL Fuel Cost]]/Data[[#This Row],[DAL Consumption]]</f>
        <v>2.2237355430670922</v>
      </c>
      <c r="AN47" s="919">
        <f>Data[[#This Row],[UAL Fuel Cost]]/Data[[#This Row],[UALConsumption]]</f>
        <v>1.9949435657567551</v>
      </c>
      <c r="AO47" s="919">
        <f>Data[[#This Row],[LUV Fuel Cost]]/Data[[#This Row],[LUV Consumption]]</f>
        <v>1.4991101459687162</v>
      </c>
      <c r="AP47" s="919">
        <v>1.7390000000000001</v>
      </c>
      <c r="AQ47" s="783"/>
    </row>
    <row r="48" spans="1:43" s="253" customFormat="1">
      <c r="A48" s="263">
        <f t="shared" si="4"/>
        <v>39051</v>
      </c>
      <c r="B48" s="263" t="s">
        <v>357</v>
      </c>
      <c r="C48" s="277">
        <v>39.550238</v>
      </c>
      <c r="D48" s="277">
        <v>8.5202569999999991</v>
      </c>
      <c r="E48" s="277">
        <v>6.387346</v>
      </c>
      <c r="F48" s="277">
        <v>6.7972640000000002</v>
      </c>
      <c r="G48" s="277">
        <v>7.7885039999999996</v>
      </c>
      <c r="H48" s="284">
        <f t="shared" si="0"/>
        <v>10.056867</v>
      </c>
      <c r="I48" s="277">
        <v>30.773510999999999</v>
      </c>
      <c r="J48" s="277">
        <v>7.0108819999999996</v>
      </c>
      <c r="K48" s="277">
        <v>5.0513680000000001</v>
      </c>
      <c r="L48" s="277">
        <v>5.3869040000000004</v>
      </c>
      <c r="M48" s="277">
        <v>5.5948099999999998</v>
      </c>
      <c r="N48" s="284">
        <f t="shared" si="1"/>
        <v>7.7295470000000002</v>
      </c>
      <c r="O48" s="277">
        <v>53.852209000000002</v>
      </c>
      <c r="P48" s="277">
        <v>6.1085440000000002</v>
      </c>
      <c r="Q48" s="277">
        <v>5.1171379999999997</v>
      </c>
      <c r="R48" s="277">
        <v>4.5388650000000004</v>
      </c>
      <c r="S48" s="277">
        <v>8.0645620000000005</v>
      </c>
      <c r="T48" s="284">
        <f t="shared" si="2"/>
        <v>30.023099999999999</v>
      </c>
      <c r="U48" s="920">
        <v>9896.8963333333322</v>
      </c>
      <c r="V48" s="920">
        <v>1120.4453333333333</v>
      </c>
      <c r="W48" s="920">
        <v>1054.1696666666667</v>
      </c>
      <c r="X48" s="920">
        <v>1002.467</v>
      </c>
      <c r="Y48" s="920">
        <v>758.58733333333339</v>
      </c>
      <c r="Z48" s="874">
        <f t="shared" si="3"/>
        <v>5961.226999999999</v>
      </c>
      <c r="AA48" s="920">
        <v>1061.5999999999999</v>
      </c>
      <c r="AB48" s="277">
        <v>143.739</v>
      </c>
      <c r="AC48" s="920">
        <v>101.276</v>
      </c>
      <c r="AD48" s="920">
        <v>103.703</v>
      </c>
      <c r="AE48" s="920">
        <v>116.852</v>
      </c>
      <c r="AF48" s="920">
        <v>1914.8</v>
      </c>
      <c r="AG48" s="277">
        <v>250.91900000000001</v>
      </c>
      <c r="AH48" s="920">
        <v>225.21</v>
      </c>
      <c r="AI48" s="920">
        <v>195.99700000000001</v>
      </c>
      <c r="AJ48" s="920">
        <v>179.89599999999999</v>
      </c>
      <c r="AK48" s="919">
        <f>Data[[#This Row],[Industry Cost ($m)]]/Data[[#This Row],[Industry Consumption]]</f>
        <v>1.803692539562924</v>
      </c>
      <c r="AL48" s="919">
        <f>Data[[#This Row],[AAL Fuel Cost]]/Data[[#This Row],[AAL Consumption]]</f>
        <v>1.7456570589749476</v>
      </c>
      <c r="AM48" s="919">
        <f>Data[[#This Row],[DAL Fuel Cost]]/Data[[#This Row],[DAL Consumption]]</f>
        <v>2.2237252656108062</v>
      </c>
      <c r="AN48" s="919">
        <f>Data[[#This Row],[UAL Fuel Cost]]/Data[[#This Row],[UALConsumption]]</f>
        <v>1.8899838963192965</v>
      </c>
      <c r="AO48" s="919">
        <f>Data[[#This Row],[LUV Fuel Cost]]/Data[[#This Row],[LUV Consumption]]</f>
        <v>1.5395200766781911</v>
      </c>
      <c r="AP48" s="919">
        <v>1.7330000000000001</v>
      </c>
      <c r="AQ48" s="783"/>
    </row>
    <row r="49" spans="1:43" s="253" customFormat="1">
      <c r="A49" s="263">
        <f t="shared" si="4"/>
        <v>39082</v>
      </c>
      <c r="B49" s="263" t="s">
        <v>357</v>
      </c>
      <c r="C49" s="277">
        <v>40.832462</v>
      </c>
      <c r="D49" s="277">
        <v>8.9797669999999989</v>
      </c>
      <c r="E49" s="277">
        <v>6.5396319999999992</v>
      </c>
      <c r="F49" s="277">
        <v>6.8781869999999996</v>
      </c>
      <c r="G49" s="277">
        <v>7.9921040000000003</v>
      </c>
      <c r="H49" s="284">
        <f t="shared" si="0"/>
        <v>10.442772000000001</v>
      </c>
      <c r="I49" s="277">
        <v>31.202356000000002</v>
      </c>
      <c r="J49" s="277">
        <v>7.2389890000000001</v>
      </c>
      <c r="K49" s="277">
        <v>5.1535260000000003</v>
      </c>
      <c r="L49" s="277">
        <v>5.4475889999999998</v>
      </c>
      <c r="M49" s="277">
        <v>5.5070540000000001</v>
      </c>
      <c r="N49" s="284">
        <f t="shared" si="1"/>
        <v>7.8551980000000015</v>
      </c>
      <c r="O49" s="277">
        <v>53.538969999999999</v>
      </c>
      <c r="P49" s="277">
        <v>6.2776129999999997</v>
      </c>
      <c r="Q49" s="277">
        <v>5.0564450000000001</v>
      </c>
      <c r="R49" s="277">
        <v>4.4556620000000002</v>
      </c>
      <c r="S49" s="277">
        <v>7.8692799999999998</v>
      </c>
      <c r="T49" s="284">
        <f t="shared" si="2"/>
        <v>29.87997</v>
      </c>
      <c r="U49" s="920">
        <v>9896.8963333333322</v>
      </c>
      <c r="V49" s="920">
        <v>1120.4453333333333</v>
      </c>
      <c r="W49" s="920">
        <v>1054.1696666666667</v>
      </c>
      <c r="X49" s="920">
        <v>1002.467</v>
      </c>
      <c r="Y49" s="920">
        <v>758.58733333333339</v>
      </c>
      <c r="Z49" s="874">
        <f t="shared" si="3"/>
        <v>5961.226999999999</v>
      </c>
      <c r="AA49" s="920">
        <v>1101.7</v>
      </c>
      <c r="AB49" s="277">
        <v>153.36099999999999</v>
      </c>
      <c r="AC49" s="920">
        <v>99.759</v>
      </c>
      <c r="AD49" s="920">
        <v>105.18300000000001</v>
      </c>
      <c r="AE49" s="920">
        <v>118.651</v>
      </c>
      <c r="AF49" s="920">
        <v>2048.1</v>
      </c>
      <c r="AG49" s="277">
        <v>278.86599999999999</v>
      </c>
      <c r="AH49" s="920">
        <v>204.887</v>
      </c>
      <c r="AI49" s="920">
        <v>201.893</v>
      </c>
      <c r="AJ49" s="920">
        <v>192.10599999999999</v>
      </c>
      <c r="AK49" s="919">
        <f>Data[[#This Row],[Industry Cost ($m)]]/Data[[#This Row],[Industry Consumption]]</f>
        <v>1.8590360352182989</v>
      </c>
      <c r="AL49" s="919">
        <f>Data[[#This Row],[AAL Fuel Cost]]/Data[[#This Row],[AAL Consumption]]</f>
        <v>1.8183632083776189</v>
      </c>
      <c r="AM49" s="919">
        <f>Data[[#This Row],[DAL Fuel Cost]]/Data[[#This Row],[DAL Consumption]]</f>
        <v>2.0538197054902314</v>
      </c>
      <c r="AN49" s="919">
        <f>Data[[#This Row],[UAL Fuel Cost]]/Data[[#This Row],[UALConsumption]]</f>
        <v>1.9194451574874265</v>
      </c>
      <c r="AO49" s="919">
        <f>Data[[#This Row],[LUV Fuel Cost]]/Data[[#This Row],[LUV Consumption]]</f>
        <v>1.6190845420603281</v>
      </c>
      <c r="AP49" s="919">
        <v>1.81</v>
      </c>
      <c r="AQ49" s="783">
        <f>AVERAGE(AP47:AP49)</f>
        <v>1.7606666666666666</v>
      </c>
    </row>
    <row r="50" spans="1:43" s="253" customFormat="1">
      <c r="A50" s="263">
        <f t="shared" si="4"/>
        <v>39113</v>
      </c>
      <c r="B50" s="263" t="s">
        <v>357</v>
      </c>
      <c r="C50" s="277">
        <v>41.028916000000002</v>
      </c>
      <c r="D50" s="277">
        <v>9.0321550000000013</v>
      </c>
      <c r="E50" s="277">
        <v>6.3937489999999997</v>
      </c>
      <c r="F50" s="277">
        <v>6.9207659999999995</v>
      </c>
      <c r="G50" s="277">
        <v>8.1202760000000005</v>
      </c>
      <c r="H50" s="284">
        <f t="shared" si="0"/>
        <v>10.561970000000002</v>
      </c>
      <c r="I50" s="277">
        <v>29.558453</v>
      </c>
      <c r="J50" s="277">
        <v>6.8454940000000004</v>
      </c>
      <c r="K50" s="277">
        <v>4.7733879999999997</v>
      </c>
      <c r="L50" s="277">
        <v>5.3106249999999999</v>
      </c>
      <c r="M50" s="277">
        <v>5.1796119999999997</v>
      </c>
      <c r="N50" s="284">
        <f t="shared" si="1"/>
        <v>7.4493340000000003</v>
      </c>
      <c r="O50" s="277">
        <v>50.022168000000001</v>
      </c>
      <c r="P50" s="277">
        <v>5.9099500000000003</v>
      </c>
      <c r="Q50" s="277">
        <v>4.6212850000000003</v>
      </c>
      <c r="R50" s="277">
        <v>4.3644499999999997</v>
      </c>
      <c r="S50" s="277">
        <v>7.2849490000000001</v>
      </c>
      <c r="T50" s="284">
        <f t="shared" si="2"/>
        <v>27.841533999999999</v>
      </c>
      <c r="U50" s="920">
        <v>9604.8549999999996</v>
      </c>
      <c r="V50" s="920">
        <v>1117.4383333333333</v>
      </c>
      <c r="W50" s="920">
        <v>1049.665</v>
      </c>
      <c r="X50" s="920">
        <v>952.11</v>
      </c>
      <c r="Y50" s="920">
        <v>732.51899999999989</v>
      </c>
      <c r="Z50" s="874">
        <f t="shared" si="3"/>
        <v>5753.1226666666662</v>
      </c>
      <c r="AA50" s="920">
        <v>1062.2</v>
      </c>
      <c r="AB50" s="277">
        <v>155.34100000000001</v>
      </c>
      <c r="AC50" s="920">
        <v>97.584999999999994</v>
      </c>
      <c r="AD50" s="920">
        <v>104.875</v>
      </c>
      <c r="AE50" s="920">
        <v>119.51</v>
      </c>
      <c r="AF50" s="920">
        <v>1929.7</v>
      </c>
      <c r="AG50" s="277">
        <v>269.13099999999997</v>
      </c>
      <c r="AH50" s="920">
        <v>191.453</v>
      </c>
      <c r="AI50" s="920">
        <v>199.45599999999999</v>
      </c>
      <c r="AJ50" s="920">
        <v>198.50700000000001</v>
      </c>
      <c r="AK50" s="919">
        <f>Data[[#This Row],[Industry Cost ($m)]]/Data[[#This Row],[Industry Consumption]]</f>
        <v>1.8167011862172848</v>
      </c>
      <c r="AL50" s="919">
        <f>Data[[#This Row],[AAL Fuel Cost]]/Data[[#This Row],[AAL Consumption]]</f>
        <v>1.7325174937717664</v>
      </c>
      <c r="AM50" s="919">
        <f>Data[[#This Row],[DAL Fuel Cost]]/Data[[#This Row],[DAL Consumption]]</f>
        <v>1.9619101296305785</v>
      </c>
      <c r="AN50" s="919">
        <f>Data[[#This Row],[UAL Fuel Cost]]/Data[[#This Row],[UALConsumption]]</f>
        <v>1.90184505363528</v>
      </c>
      <c r="AO50" s="919">
        <f>Data[[#This Row],[LUV Fuel Cost]]/Data[[#This Row],[LUV Consumption]]</f>
        <v>1.6610074470755585</v>
      </c>
      <c r="AP50" s="919">
        <v>1.6539999999999999</v>
      </c>
      <c r="AQ50" s="783"/>
    </row>
    <row r="51" spans="1:43" s="253" customFormat="1">
      <c r="A51" s="263">
        <f t="shared" si="4"/>
        <v>39141</v>
      </c>
      <c r="B51" s="263" t="s">
        <v>357</v>
      </c>
      <c r="C51" s="277">
        <v>36.756813000000001</v>
      </c>
      <c r="D51" s="277">
        <v>7.9705579999999996</v>
      </c>
      <c r="E51" s="277">
        <v>5.7316690000000001</v>
      </c>
      <c r="F51" s="277">
        <v>6.1784849999999993</v>
      </c>
      <c r="G51" s="277">
        <v>7.2579739999999999</v>
      </c>
      <c r="H51" s="284">
        <f t="shared" si="0"/>
        <v>9.6181270000000012</v>
      </c>
      <c r="I51" s="277">
        <v>27.62528</v>
      </c>
      <c r="J51" s="277">
        <v>6.3284479999999999</v>
      </c>
      <c r="K51" s="277">
        <v>4.401427</v>
      </c>
      <c r="L51" s="277">
        <v>4.8845590000000003</v>
      </c>
      <c r="M51" s="277">
        <v>4.8459669999999999</v>
      </c>
      <c r="N51" s="284">
        <f t="shared" si="1"/>
        <v>7.1648790000000027</v>
      </c>
      <c r="O51" s="277">
        <v>47.766421000000001</v>
      </c>
      <c r="P51" s="277">
        <v>5.5412540000000003</v>
      </c>
      <c r="Q51" s="277">
        <v>4.3471120000000001</v>
      </c>
      <c r="R51" s="277">
        <v>4.0556720000000004</v>
      </c>
      <c r="S51" s="277">
        <v>6.9870640000000002</v>
      </c>
      <c r="T51" s="284">
        <f t="shared" si="2"/>
        <v>26.835318999999998</v>
      </c>
      <c r="U51" s="920">
        <v>9604.8549999999996</v>
      </c>
      <c r="V51" s="920">
        <v>1117.4383333333333</v>
      </c>
      <c r="W51" s="920">
        <v>1049.665</v>
      </c>
      <c r="X51" s="920">
        <v>952.11</v>
      </c>
      <c r="Y51" s="920">
        <v>732.51899999999989</v>
      </c>
      <c r="Z51" s="874">
        <f t="shared" si="3"/>
        <v>5753.1226666666662</v>
      </c>
      <c r="AA51" s="920">
        <v>970.1</v>
      </c>
      <c r="AB51" s="277">
        <v>138.81399999999999</v>
      </c>
      <c r="AC51" s="920">
        <v>87.531000000000006</v>
      </c>
      <c r="AD51" s="920">
        <v>94.382999999999996</v>
      </c>
      <c r="AE51" s="920">
        <v>109.813</v>
      </c>
      <c r="AF51" s="920">
        <v>1689.2</v>
      </c>
      <c r="AG51" s="277">
        <v>234.47200000000001</v>
      </c>
      <c r="AH51" s="920">
        <v>165.10900000000001</v>
      </c>
      <c r="AI51" s="920">
        <v>172.221</v>
      </c>
      <c r="AJ51" s="920">
        <v>173.43899999999999</v>
      </c>
      <c r="AK51" s="919">
        <f>Data[[#This Row],[Industry Cost ($m)]]/Data[[#This Row],[Industry Consumption]]</f>
        <v>1.7412637872384291</v>
      </c>
      <c r="AL51" s="919">
        <f>Data[[#This Row],[AAL Fuel Cost]]/Data[[#This Row],[AAL Consumption]]</f>
        <v>1.6891091676632042</v>
      </c>
      <c r="AM51" s="919">
        <f>Data[[#This Row],[DAL Fuel Cost]]/Data[[#This Row],[DAL Consumption]]</f>
        <v>1.8862917137928277</v>
      </c>
      <c r="AN51" s="919">
        <f>Data[[#This Row],[UAL Fuel Cost]]/Data[[#This Row],[UALConsumption]]</f>
        <v>1.8247036012841298</v>
      </c>
      <c r="AO51" s="919">
        <f>Data[[#This Row],[LUV Fuel Cost]]/Data[[#This Row],[LUV Consumption]]</f>
        <v>1.5794031672024258</v>
      </c>
      <c r="AP51" s="919">
        <v>1.74</v>
      </c>
      <c r="AQ51" s="783"/>
    </row>
    <row r="52" spans="1:43" s="253" customFormat="1">
      <c r="A52" s="263">
        <f t="shared" si="4"/>
        <v>39172</v>
      </c>
      <c r="B52" s="263" t="s">
        <v>357</v>
      </c>
      <c r="C52" s="277">
        <v>42.577331999999998</v>
      </c>
      <c r="D52" s="277">
        <v>9.0886219999999991</v>
      </c>
      <c r="E52" s="277">
        <v>6.6711109999999998</v>
      </c>
      <c r="F52" s="277">
        <v>7.2225630000000001</v>
      </c>
      <c r="G52" s="277">
        <v>8.2997819999999987</v>
      </c>
      <c r="H52" s="284">
        <f t="shared" si="0"/>
        <v>11.295254</v>
      </c>
      <c r="I52" s="277">
        <v>34.621189000000001</v>
      </c>
      <c r="J52" s="277">
        <v>7.6795109999999998</v>
      </c>
      <c r="K52" s="277">
        <v>5.6809450000000004</v>
      </c>
      <c r="L52" s="277">
        <v>6.1340430000000001</v>
      </c>
      <c r="M52" s="277">
        <v>6.0849780000000004</v>
      </c>
      <c r="N52" s="284">
        <f t="shared" si="1"/>
        <v>9.041712000000004</v>
      </c>
      <c r="O52" s="277">
        <v>59.244231999999997</v>
      </c>
      <c r="P52" s="277">
        <v>6.7320960000000003</v>
      </c>
      <c r="Q52" s="277">
        <v>5.6013070000000003</v>
      </c>
      <c r="R52" s="277">
        <v>5.0884819999999999</v>
      </c>
      <c r="S52" s="277">
        <v>8.6310599999999997</v>
      </c>
      <c r="T52" s="284">
        <f t="shared" si="2"/>
        <v>33.191286999999996</v>
      </c>
      <c r="U52" s="920">
        <v>9604.8549999999996</v>
      </c>
      <c r="V52" s="920">
        <v>1117.4383333333333</v>
      </c>
      <c r="W52" s="920">
        <v>1049.665</v>
      </c>
      <c r="X52" s="920">
        <v>952.11</v>
      </c>
      <c r="Y52" s="920">
        <v>732.51899999999989</v>
      </c>
      <c r="Z52" s="874">
        <f t="shared" si="3"/>
        <v>5753.1226666666662</v>
      </c>
      <c r="AA52" s="920">
        <v>1113.2</v>
      </c>
      <c r="AB52" s="277">
        <v>156.965</v>
      </c>
      <c r="AC52" s="920">
        <v>102.164</v>
      </c>
      <c r="AD52" s="920">
        <v>110.33199999999999</v>
      </c>
      <c r="AE52" s="920">
        <v>123.515</v>
      </c>
      <c r="AF52" s="920">
        <v>2019.1</v>
      </c>
      <c r="AG52" s="277">
        <v>285.709</v>
      </c>
      <c r="AH52" s="920">
        <v>200.21799999999999</v>
      </c>
      <c r="AI52" s="920">
        <v>205.38499999999999</v>
      </c>
      <c r="AJ52" s="920">
        <v>191.49</v>
      </c>
      <c r="AK52" s="919">
        <f>Data[[#This Row],[Industry Cost ($m)]]/Data[[#This Row],[Industry Consumption]]</f>
        <v>1.813780093424362</v>
      </c>
      <c r="AL52" s="919">
        <f>Data[[#This Row],[AAL Fuel Cost]]/Data[[#This Row],[AAL Consumption]]</f>
        <v>1.8202083266970344</v>
      </c>
      <c r="AM52" s="919">
        <f>Data[[#This Row],[DAL Fuel Cost]]/Data[[#This Row],[DAL Consumption]]</f>
        <v>1.9597705649739634</v>
      </c>
      <c r="AN52" s="919">
        <f>Data[[#This Row],[UAL Fuel Cost]]/Data[[#This Row],[UALConsumption]]</f>
        <v>1.8615179639633108</v>
      </c>
      <c r="AO52" s="919">
        <f>Data[[#This Row],[LUV Fuel Cost]]/Data[[#This Row],[LUV Consumption]]</f>
        <v>1.5503380156256326</v>
      </c>
      <c r="AP52" s="919">
        <v>1.8460000000000001</v>
      </c>
      <c r="AQ52" s="783">
        <f>AVERAGE(AP50:AP52)</f>
        <v>1.7466666666666668</v>
      </c>
    </row>
    <row r="53" spans="1:43" s="253" customFormat="1">
      <c r="A53" s="263">
        <f t="shared" si="4"/>
        <v>39202</v>
      </c>
      <c r="B53" s="263" t="s">
        <v>357</v>
      </c>
      <c r="C53" s="277">
        <v>41.182353999999997</v>
      </c>
      <c r="D53" s="277">
        <v>8.7060339999999989</v>
      </c>
      <c r="E53" s="277">
        <v>6.3035510000000006</v>
      </c>
      <c r="F53" s="277">
        <v>6.8475000000000001</v>
      </c>
      <c r="G53" s="277">
        <v>8.1889760000000003</v>
      </c>
      <c r="H53" s="284">
        <f t="shared" si="0"/>
        <v>11.136292999999998</v>
      </c>
      <c r="I53" s="277">
        <v>33.373927999999999</v>
      </c>
      <c r="J53" s="277">
        <v>7.3935040000000001</v>
      </c>
      <c r="K53" s="277">
        <v>5.3099280000000002</v>
      </c>
      <c r="L53" s="277">
        <v>5.9349959999999999</v>
      </c>
      <c r="M53" s="277">
        <v>5.9225289999999999</v>
      </c>
      <c r="N53" s="284">
        <f t="shared" si="1"/>
        <v>8.812971000000001</v>
      </c>
      <c r="O53" s="277">
        <v>57.398266999999997</v>
      </c>
      <c r="P53" s="277">
        <v>6.4087079999999998</v>
      </c>
      <c r="Q53" s="277">
        <v>5.2460310000000003</v>
      </c>
      <c r="R53" s="277">
        <v>4.9211770000000001</v>
      </c>
      <c r="S53" s="277">
        <v>8.4349769999999999</v>
      </c>
      <c r="T53" s="284">
        <f t="shared" si="2"/>
        <v>32.387373999999994</v>
      </c>
      <c r="U53" s="920">
        <v>10672.450999999999</v>
      </c>
      <c r="V53" s="920">
        <v>1215.1193333333333</v>
      </c>
      <c r="W53" s="920">
        <v>1200.1496666666667</v>
      </c>
      <c r="X53" s="920">
        <v>1125.0643333333335</v>
      </c>
      <c r="Y53" s="920">
        <v>861.05633333333333</v>
      </c>
      <c r="Z53" s="874">
        <f t="shared" si="3"/>
        <v>6271.0613333333322</v>
      </c>
      <c r="AA53" s="920">
        <v>1075.9000000000001</v>
      </c>
      <c r="AB53" s="277">
        <v>150.732</v>
      </c>
      <c r="AC53" s="920">
        <v>96.257999999999996</v>
      </c>
      <c r="AD53" s="920">
        <v>110.33199999999999</v>
      </c>
      <c r="AE53" s="920">
        <v>122.194</v>
      </c>
      <c r="AF53" s="920">
        <v>2082.1</v>
      </c>
      <c r="AG53" s="277">
        <v>297.529</v>
      </c>
      <c r="AH53" s="920">
        <v>194.35300000000001</v>
      </c>
      <c r="AI53" s="920">
        <v>205.38499999999999</v>
      </c>
      <c r="AJ53" s="920">
        <v>195.01</v>
      </c>
      <c r="AK53" s="919">
        <f>Data[[#This Row],[Industry Cost ($m)]]/Data[[#This Row],[Industry Consumption]]</f>
        <v>1.9352170276047957</v>
      </c>
      <c r="AL53" s="919">
        <f>Data[[#This Row],[AAL Fuel Cost]]/Data[[#This Row],[AAL Consumption]]</f>
        <v>1.9738940636361224</v>
      </c>
      <c r="AM53" s="919">
        <f>Data[[#This Row],[DAL Fuel Cost]]/Data[[#This Row],[DAL Consumption]]</f>
        <v>2.0190841280724721</v>
      </c>
      <c r="AN53" s="919">
        <f>Data[[#This Row],[UAL Fuel Cost]]/Data[[#This Row],[UALConsumption]]</f>
        <v>1.8615179639633108</v>
      </c>
      <c r="AO53" s="919">
        <f>Data[[#This Row],[LUV Fuel Cost]]/Data[[#This Row],[LUV Consumption]]</f>
        <v>1.5959048725796683</v>
      </c>
      <c r="AP53" s="919">
        <v>2.036</v>
      </c>
      <c r="AQ53" s="783"/>
    </row>
    <row r="54" spans="1:43" s="253" customFormat="1">
      <c r="A54" s="263">
        <f t="shared" si="4"/>
        <v>39233</v>
      </c>
      <c r="B54" s="263" t="s">
        <v>357</v>
      </c>
      <c r="C54" s="277">
        <v>42.251949000000003</v>
      </c>
      <c r="D54" s="277">
        <v>9.0349950000000003</v>
      </c>
      <c r="E54" s="277">
        <v>6.343661</v>
      </c>
      <c r="F54" s="277">
        <v>6.9590930000000002</v>
      </c>
      <c r="G54" s="277">
        <v>8.4717850000000006</v>
      </c>
      <c r="H54" s="284">
        <f t="shared" si="0"/>
        <v>11.442415000000004</v>
      </c>
      <c r="I54" s="277">
        <v>34.347245999999998</v>
      </c>
      <c r="J54" s="277">
        <v>7.6496050000000002</v>
      </c>
      <c r="K54" s="277">
        <v>5.2626520000000001</v>
      </c>
      <c r="L54" s="277">
        <v>6.004346</v>
      </c>
      <c r="M54" s="277">
        <v>6.2688740000000003</v>
      </c>
      <c r="N54" s="284">
        <f t="shared" si="1"/>
        <v>9.1617689999999961</v>
      </c>
      <c r="O54" s="277">
        <v>59.285570999999997</v>
      </c>
      <c r="P54" s="277">
        <v>6.6806789999999996</v>
      </c>
      <c r="Q54" s="277">
        <v>5.1427849999999999</v>
      </c>
      <c r="R54" s="277">
        <v>5.0476179999999999</v>
      </c>
      <c r="S54" s="277">
        <v>8.9299479999999996</v>
      </c>
      <c r="T54" s="284">
        <f t="shared" si="2"/>
        <v>33.484540999999993</v>
      </c>
      <c r="U54" s="920">
        <v>10672.450999999999</v>
      </c>
      <c r="V54" s="920">
        <v>1215.1193333333333</v>
      </c>
      <c r="W54" s="920">
        <v>1200.1496666666667</v>
      </c>
      <c r="X54" s="920">
        <v>1125.0643333333335</v>
      </c>
      <c r="Y54" s="920">
        <v>861.05633333333333</v>
      </c>
      <c r="Z54" s="874">
        <f t="shared" si="3"/>
        <v>6271.0613333333322</v>
      </c>
      <c r="AA54" s="920">
        <v>1101.8</v>
      </c>
      <c r="AB54" s="277">
        <v>155.958</v>
      </c>
      <c r="AC54" s="920">
        <v>96.132000000000005</v>
      </c>
      <c r="AD54" s="920">
        <v>107.813</v>
      </c>
      <c r="AE54" s="920">
        <v>126</v>
      </c>
      <c r="AF54" s="920">
        <v>2248.1999999999998</v>
      </c>
      <c r="AG54" s="277">
        <v>314.21800000000002</v>
      </c>
      <c r="AH54" s="920">
        <v>214.096</v>
      </c>
      <c r="AI54" s="920">
        <v>225.27500000000001</v>
      </c>
      <c r="AJ54" s="920">
        <v>207.17699999999999</v>
      </c>
      <c r="AK54" s="919">
        <f>Data[[#This Row],[Industry Cost ($m)]]/Data[[#This Row],[Industry Consumption]]</f>
        <v>2.0404792158286438</v>
      </c>
      <c r="AL54" s="919">
        <f>Data[[#This Row],[AAL Fuel Cost]]/Data[[#This Row],[AAL Consumption]]</f>
        <v>2.0147603842060042</v>
      </c>
      <c r="AM54" s="919">
        <f>Data[[#This Row],[DAL Fuel Cost]]/Data[[#This Row],[DAL Consumption]]</f>
        <v>2.2271043981192524</v>
      </c>
      <c r="AN54" s="919">
        <f>Data[[#This Row],[UAL Fuel Cost]]/Data[[#This Row],[UALConsumption]]</f>
        <v>2.0894975559533635</v>
      </c>
      <c r="AO54" s="919">
        <f>Data[[#This Row],[LUV Fuel Cost]]/Data[[#This Row],[LUV Consumption]]</f>
        <v>1.6442619047619047</v>
      </c>
      <c r="AP54" s="919">
        <v>2.044</v>
      </c>
      <c r="AQ54" s="783"/>
    </row>
    <row r="55" spans="1:43" s="253" customFormat="1">
      <c r="A55" s="263">
        <f t="shared" si="4"/>
        <v>39263</v>
      </c>
      <c r="B55" s="263" t="s">
        <v>357</v>
      </c>
      <c r="C55" s="277">
        <v>42.050184999999999</v>
      </c>
      <c r="D55" s="277">
        <v>8.6354629999999997</v>
      </c>
      <c r="E55" s="277">
        <v>6.7213919999999998</v>
      </c>
      <c r="F55" s="277">
        <v>6.9387259999999999</v>
      </c>
      <c r="G55" s="277">
        <v>8.3164180000000005</v>
      </c>
      <c r="H55" s="284">
        <f t="shared" si="0"/>
        <v>11.438186000000002</v>
      </c>
      <c r="I55" s="277">
        <v>36.415069000000003</v>
      </c>
      <c r="J55" s="277">
        <v>7.7667999999999999</v>
      </c>
      <c r="K55" s="277">
        <v>5.969767</v>
      </c>
      <c r="L55" s="277">
        <v>6.2546229999999996</v>
      </c>
      <c r="M55" s="277">
        <v>6.8290870000000004</v>
      </c>
      <c r="N55" s="284">
        <f t="shared" si="1"/>
        <v>9.5947920000000018</v>
      </c>
      <c r="O55" s="277">
        <v>61.493934000000003</v>
      </c>
      <c r="P55" s="277">
        <v>6.7679080000000003</v>
      </c>
      <c r="Q55" s="277">
        <v>5.5698650000000001</v>
      </c>
      <c r="R55" s="277">
        <v>5.136177</v>
      </c>
      <c r="S55" s="277">
        <v>9.5244990000000005</v>
      </c>
      <c r="T55" s="284">
        <f t="shared" si="2"/>
        <v>34.495485000000002</v>
      </c>
      <c r="U55" s="920">
        <v>10672.450999999999</v>
      </c>
      <c r="V55" s="920">
        <v>1215.1193333333333</v>
      </c>
      <c r="W55" s="920">
        <v>1200.1496666666667</v>
      </c>
      <c r="X55" s="920">
        <v>1125.0643333333335</v>
      </c>
      <c r="Y55" s="920">
        <v>861.05633333333333</v>
      </c>
      <c r="Z55" s="874">
        <f t="shared" si="3"/>
        <v>6271.0613333333322</v>
      </c>
      <c r="AA55" s="920">
        <v>1114.5</v>
      </c>
      <c r="AB55" s="277">
        <v>153.14400000000001</v>
      </c>
      <c r="AC55" s="920">
        <v>103.785</v>
      </c>
      <c r="AD55" s="920">
        <v>108.85299999999999</v>
      </c>
      <c r="AE55" s="920">
        <v>126.246</v>
      </c>
      <c r="AF55" s="920">
        <v>2255.3000000000002</v>
      </c>
      <c r="AG55" s="277">
        <v>301.74099999999999</v>
      </c>
      <c r="AH55" s="920">
        <v>230.86</v>
      </c>
      <c r="AI55" s="920">
        <v>231.91800000000001</v>
      </c>
      <c r="AJ55" s="920">
        <v>203.215</v>
      </c>
      <c r="AK55" s="919">
        <f>Data[[#This Row],[Industry Cost ($m)]]/Data[[#This Row],[Industry Consumption]]</f>
        <v>2.0235980260206374</v>
      </c>
      <c r="AL55" s="919">
        <f>Data[[#This Row],[AAL Fuel Cost]]/Data[[#This Row],[AAL Consumption]]</f>
        <v>1.9703089902314159</v>
      </c>
      <c r="AM55" s="919">
        <f>Data[[#This Row],[DAL Fuel Cost]]/Data[[#This Row],[DAL Consumption]]</f>
        <v>2.2244062244062248</v>
      </c>
      <c r="AN55" s="919">
        <f>Data[[#This Row],[UAL Fuel Cost]]/Data[[#This Row],[UALConsumption]]</f>
        <v>2.130561399318347</v>
      </c>
      <c r="AO55" s="919">
        <f>Data[[#This Row],[LUV Fuel Cost]]/Data[[#This Row],[LUV Consumption]]</f>
        <v>1.6096747619726566</v>
      </c>
      <c r="AP55" s="919">
        <v>2.0990000000000002</v>
      </c>
      <c r="AQ55" s="783">
        <f>AVERAGE(AP53:AP55)</f>
        <v>2.0596666666666668</v>
      </c>
    </row>
    <row r="56" spans="1:43" s="253" customFormat="1">
      <c r="A56" s="263">
        <f t="shared" si="4"/>
        <v>39294</v>
      </c>
      <c r="B56" s="263" t="s">
        <v>357</v>
      </c>
      <c r="C56" s="277">
        <v>44.071381000000002</v>
      </c>
      <c r="D56" s="277">
        <v>9.0411399999999986</v>
      </c>
      <c r="E56" s="277">
        <v>7.0523950000000006</v>
      </c>
      <c r="F56" s="277">
        <v>7.2253819999999997</v>
      </c>
      <c r="G56" s="277">
        <v>8.6516419999999989</v>
      </c>
      <c r="H56" s="284">
        <f t="shared" si="0"/>
        <v>12.100822000000004</v>
      </c>
      <c r="I56" s="277">
        <v>38.087899999999998</v>
      </c>
      <c r="J56" s="277">
        <v>8.1019860000000001</v>
      </c>
      <c r="K56" s="277">
        <v>6.3195040000000002</v>
      </c>
      <c r="L56" s="277">
        <v>6.3693499999999998</v>
      </c>
      <c r="M56" s="277">
        <v>7.0498320000000003</v>
      </c>
      <c r="N56" s="284">
        <f t="shared" si="1"/>
        <v>10.247228</v>
      </c>
      <c r="O56" s="277">
        <v>63.457402999999999</v>
      </c>
      <c r="P56" s="277">
        <v>7.0274799999999997</v>
      </c>
      <c r="Q56" s="277">
        <v>5.7658240000000003</v>
      </c>
      <c r="R56" s="277">
        <v>5.1658140000000001</v>
      </c>
      <c r="S56" s="277">
        <v>9.6578169999999997</v>
      </c>
      <c r="T56" s="284">
        <f t="shared" si="2"/>
        <v>35.840468000000001</v>
      </c>
      <c r="U56" s="920">
        <v>10763.897333333332</v>
      </c>
      <c r="V56" s="920">
        <v>1195.3396666666665</v>
      </c>
      <c r="W56" s="920">
        <v>1204.5913333333333</v>
      </c>
      <c r="X56" s="920">
        <v>1182.6443333333334</v>
      </c>
      <c r="Y56" s="920">
        <v>862.67266666666671</v>
      </c>
      <c r="Z56" s="874">
        <f t="shared" si="3"/>
        <v>6318.6493333333328</v>
      </c>
      <c r="AA56" s="920">
        <v>1143.2</v>
      </c>
      <c r="AB56" s="277">
        <v>155.477</v>
      </c>
      <c r="AC56" s="920">
        <v>109.104</v>
      </c>
      <c r="AD56" s="920">
        <v>112.938</v>
      </c>
      <c r="AE56" s="920">
        <v>130.95500000000001</v>
      </c>
      <c r="AF56" s="920">
        <v>2391.1999999999998</v>
      </c>
      <c r="AG56" s="277">
        <v>324.755</v>
      </c>
      <c r="AH56" s="920">
        <v>245.87299999999999</v>
      </c>
      <c r="AI56" s="920">
        <v>249.999</v>
      </c>
      <c r="AJ56" s="920">
        <v>221.98500000000001</v>
      </c>
      <c r="AK56" s="919">
        <f>Data[[#This Row],[Industry Cost ($m)]]/Data[[#This Row],[Industry Consumption]]</f>
        <v>2.0916724982505248</v>
      </c>
      <c r="AL56" s="919">
        <f>Data[[#This Row],[AAL Fuel Cost]]/Data[[#This Row],[AAL Consumption]]</f>
        <v>2.0887655408838603</v>
      </c>
      <c r="AM56" s="919">
        <f>Data[[#This Row],[DAL Fuel Cost]]/Data[[#This Row],[DAL Consumption]]</f>
        <v>2.2535654054846752</v>
      </c>
      <c r="AN56" s="919">
        <f>Data[[#This Row],[UAL Fuel Cost]]/Data[[#This Row],[UALConsumption]]</f>
        <v>2.2135950698613396</v>
      </c>
      <c r="AO56" s="919">
        <f>Data[[#This Row],[LUV Fuel Cost]]/Data[[#This Row],[LUV Consumption]]</f>
        <v>1.6951242793325951</v>
      </c>
      <c r="AP56" s="919">
        <v>2.137</v>
      </c>
      <c r="AQ56" s="783"/>
    </row>
    <row r="57" spans="1:43" s="253" customFormat="1">
      <c r="A57" s="263">
        <f t="shared" si="4"/>
        <v>39325</v>
      </c>
      <c r="B57" s="263" t="s">
        <v>357</v>
      </c>
      <c r="C57" s="277">
        <v>44.135081</v>
      </c>
      <c r="D57" s="277">
        <v>9.0632409999999997</v>
      </c>
      <c r="E57" s="277">
        <v>7.014043</v>
      </c>
      <c r="F57" s="277">
        <v>7.268243</v>
      </c>
      <c r="G57" s="277">
        <v>8.7432119999999998</v>
      </c>
      <c r="H57" s="284">
        <f t="shared" si="0"/>
        <v>12.046342000000003</v>
      </c>
      <c r="I57" s="277">
        <v>37.484068999999998</v>
      </c>
      <c r="J57" s="277">
        <v>7.8722209999999997</v>
      </c>
      <c r="K57" s="277">
        <v>6.1688210000000003</v>
      </c>
      <c r="L57" s="277">
        <v>6.3705980000000002</v>
      </c>
      <c r="M57" s="277">
        <v>6.9961460000000004</v>
      </c>
      <c r="N57" s="284">
        <f t="shared" si="1"/>
        <v>10.076282999999997</v>
      </c>
      <c r="O57" s="277">
        <v>62.660178999999999</v>
      </c>
      <c r="P57" s="277">
        <v>6.7859980000000002</v>
      </c>
      <c r="Q57" s="277">
        <v>5.6413200000000003</v>
      </c>
      <c r="R57" s="277">
        <v>5.157349</v>
      </c>
      <c r="S57" s="277">
        <v>9.6053420000000003</v>
      </c>
      <c r="T57" s="284">
        <f t="shared" si="2"/>
        <v>35.470169999999996</v>
      </c>
      <c r="U57" s="920">
        <v>10763.897333333332</v>
      </c>
      <c r="V57" s="920">
        <v>1195.3396666666665</v>
      </c>
      <c r="W57" s="920">
        <v>1204.5913333333333</v>
      </c>
      <c r="X57" s="920">
        <v>1182.6443333333334</v>
      </c>
      <c r="Y57" s="920">
        <v>862.67266666666671</v>
      </c>
      <c r="Z57" s="874">
        <f t="shared" si="3"/>
        <v>6318.6493333333328</v>
      </c>
      <c r="AA57" s="920">
        <v>1157.2</v>
      </c>
      <c r="AB57" s="277">
        <v>158.21</v>
      </c>
      <c r="AC57" s="920">
        <v>108.13200000000001</v>
      </c>
      <c r="AD57" s="920">
        <v>114.733</v>
      </c>
      <c r="AE57" s="920">
        <v>131.02799999999999</v>
      </c>
      <c r="AF57" s="920">
        <v>2455.4</v>
      </c>
      <c r="AG57" s="277">
        <v>334.27499999999998</v>
      </c>
      <c r="AH57" s="920">
        <v>248.34200000000001</v>
      </c>
      <c r="AI57" s="920">
        <v>255.01</v>
      </c>
      <c r="AJ57" s="920">
        <v>229.45599999999999</v>
      </c>
      <c r="AK57" s="919">
        <f>Data[[#This Row],[Industry Cost ($m)]]/Data[[#This Row],[Industry Consumption]]</f>
        <v>2.1218458347735916</v>
      </c>
      <c r="AL57" s="919">
        <f>Data[[#This Row],[AAL Fuel Cost]]/Data[[#This Row],[AAL Consumption]]</f>
        <v>2.1128563301940457</v>
      </c>
      <c r="AM57" s="919">
        <f>Data[[#This Row],[DAL Fuel Cost]]/Data[[#This Row],[DAL Consumption]]</f>
        <v>2.2966559390374726</v>
      </c>
      <c r="AN57" s="919">
        <f>Data[[#This Row],[UAL Fuel Cost]]/Data[[#This Row],[UALConsumption]]</f>
        <v>2.2226386479914235</v>
      </c>
      <c r="AO57" s="919">
        <f>Data[[#This Row],[LUV Fuel Cost]]/Data[[#This Row],[LUV Consumption]]</f>
        <v>1.7511982171749549</v>
      </c>
      <c r="AP57" s="919">
        <v>2.0920000000000001</v>
      </c>
      <c r="AQ57" s="783"/>
    </row>
    <row r="58" spans="1:43" s="253" customFormat="1">
      <c r="A58" s="263">
        <f t="shared" si="4"/>
        <v>39355</v>
      </c>
      <c r="B58" s="263" t="s">
        <v>357</v>
      </c>
      <c r="C58" s="277">
        <v>40.750652000000002</v>
      </c>
      <c r="D58" s="277">
        <v>8.620279</v>
      </c>
      <c r="E58" s="277">
        <v>6.3061210000000001</v>
      </c>
      <c r="F58" s="277">
        <v>6.4306530000000004</v>
      </c>
      <c r="G58" s="277">
        <v>8.3327770000000001</v>
      </c>
      <c r="H58" s="284">
        <f t="shared" si="0"/>
        <v>11.060822000000002</v>
      </c>
      <c r="I58" s="277">
        <v>30.623201000000002</v>
      </c>
      <c r="J58" s="277">
        <v>6.7386229999999996</v>
      </c>
      <c r="K58" s="277">
        <v>4.9264080000000003</v>
      </c>
      <c r="L58" s="277">
        <v>5.1079239999999997</v>
      </c>
      <c r="M58" s="277">
        <v>5.6414920000000004</v>
      </c>
      <c r="N58" s="284">
        <f t="shared" si="1"/>
        <v>8.2087540000000025</v>
      </c>
      <c r="O58" s="277">
        <v>52.310402000000003</v>
      </c>
      <c r="P58" s="277">
        <v>5.8598710000000001</v>
      </c>
      <c r="Q58" s="277">
        <v>4.6922300000000003</v>
      </c>
      <c r="R58" s="277">
        <v>4.297104</v>
      </c>
      <c r="S58" s="277">
        <v>7.9794539999999996</v>
      </c>
      <c r="T58" s="284">
        <f t="shared" si="2"/>
        <v>29.481743000000002</v>
      </c>
      <c r="U58" s="920">
        <v>10763.897333333332</v>
      </c>
      <c r="V58" s="920">
        <v>1195.3396666666665</v>
      </c>
      <c r="W58" s="920">
        <v>1204.5913333333333</v>
      </c>
      <c r="X58" s="920">
        <v>1182.6443333333334</v>
      </c>
      <c r="Y58" s="920">
        <v>862.67266666666671</v>
      </c>
      <c r="Z58" s="874">
        <f t="shared" si="3"/>
        <v>6318.6493333333328</v>
      </c>
      <c r="AA58" s="920">
        <v>1038.4000000000001</v>
      </c>
      <c r="AB58" s="277">
        <v>147.28100000000001</v>
      </c>
      <c r="AC58" s="920">
        <v>95.87</v>
      </c>
      <c r="AD58" s="920">
        <v>100.009</v>
      </c>
      <c r="AE58" s="920">
        <v>125.80500000000001</v>
      </c>
      <c r="AF58" s="920">
        <v>2183.8000000000002</v>
      </c>
      <c r="AG58" s="277">
        <v>297.887</v>
      </c>
      <c r="AH58" s="920">
        <v>214.77500000000001</v>
      </c>
      <c r="AI58" s="920">
        <v>224.363</v>
      </c>
      <c r="AJ58" s="920">
        <v>207.08799999999999</v>
      </c>
      <c r="AK58" s="919">
        <f>Data[[#This Row],[Industry Cost ($m)]]/Data[[#This Row],[Industry Consumption]]</f>
        <v>2.1030431432973806</v>
      </c>
      <c r="AL58" s="919">
        <f>Data[[#This Row],[AAL Fuel Cost]]/Data[[#This Row],[AAL Consumption]]</f>
        <v>2.02257589234185</v>
      </c>
      <c r="AM58" s="919">
        <f>Data[[#This Row],[DAL Fuel Cost]]/Data[[#This Row],[DAL Consumption]]</f>
        <v>2.2402732867424637</v>
      </c>
      <c r="AN58" s="919">
        <f>Data[[#This Row],[UAL Fuel Cost]]/Data[[#This Row],[UALConsumption]]</f>
        <v>2.2434280914717677</v>
      </c>
      <c r="AO58" s="919">
        <f>Data[[#This Row],[LUV Fuel Cost]]/Data[[#This Row],[LUV Consumption]]</f>
        <v>1.6461030960613647</v>
      </c>
      <c r="AP58" s="919">
        <v>2.2650000000000001</v>
      </c>
      <c r="AQ58" s="783">
        <f>AVERAGE(AP56:AP58)</f>
        <v>2.1646666666666667</v>
      </c>
    </row>
    <row r="59" spans="1:43" s="253" customFormat="1">
      <c r="A59" s="263">
        <f t="shared" si="4"/>
        <v>39386</v>
      </c>
      <c r="B59" s="263" t="s">
        <v>357</v>
      </c>
      <c r="C59" s="277">
        <v>42.250574</v>
      </c>
      <c r="D59" s="277">
        <v>9.0298420000000004</v>
      </c>
      <c r="E59" s="277">
        <v>6.5386580000000007</v>
      </c>
      <c r="F59" s="277">
        <v>6.7489859999999995</v>
      </c>
      <c r="G59" s="277">
        <v>8.5663719999999994</v>
      </c>
      <c r="H59" s="284">
        <f t="shared" si="0"/>
        <v>11.366716000000004</v>
      </c>
      <c r="I59" s="277">
        <v>32.951782000000001</v>
      </c>
      <c r="J59" s="277">
        <v>7.3726760000000002</v>
      </c>
      <c r="K59" s="277">
        <v>5.2838260000000004</v>
      </c>
      <c r="L59" s="277">
        <v>5.5355400000000001</v>
      </c>
      <c r="M59" s="277">
        <v>6.0347660000000003</v>
      </c>
      <c r="N59" s="284">
        <f t="shared" si="1"/>
        <v>8.7249739999999996</v>
      </c>
      <c r="O59" s="277">
        <v>57.208618000000001</v>
      </c>
      <c r="P59" s="277">
        <v>6.4793789999999998</v>
      </c>
      <c r="Q59" s="277">
        <v>5.2181709999999999</v>
      </c>
      <c r="R59" s="277">
        <v>4.6876620000000004</v>
      </c>
      <c r="S59" s="277">
        <v>8.5240109999999998</v>
      </c>
      <c r="T59" s="284">
        <f t="shared" si="2"/>
        <v>32.299395000000004</v>
      </c>
      <c r="U59" s="920">
        <v>10459.789333333332</v>
      </c>
      <c r="V59" s="920">
        <v>1164.2176666666667</v>
      </c>
      <c r="W59" s="920">
        <v>1118.6843333333334</v>
      </c>
      <c r="X59" s="920">
        <v>1044.5296666666666</v>
      </c>
      <c r="Y59" s="920">
        <v>830.67966666666678</v>
      </c>
      <c r="Z59" s="874">
        <f t="shared" si="3"/>
        <v>6301.677999999999</v>
      </c>
      <c r="AA59" s="920">
        <v>1092</v>
      </c>
      <c r="AB59" s="277">
        <v>155.619</v>
      </c>
      <c r="AC59" s="920">
        <v>100.697</v>
      </c>
      <c r="AD59" s="920">
        <v>105.33799999999999</v>
      </c>
      <c r="AE59" s="920">
        <v>127.93</v>
      </c>
      <c r="AF59" s="920">
        <v>2404.1</v>
      </c>
      <c r="AG59" s="277">
        <v>338.714</v>
      </c>
      <c r="AH59" s="920">
        <v>244.773</v>
      </c>
      <c r="AI59" s="920">
        <v>245.28299999999999</v>
      </c>
      <c r="AJ59" s="920">
        <v>223.71700000000001</v>
      </c>
      <c r="AK59" s="919">
        <f>Data[[#This Row],[Industry Cost ($m)]]/Data[[#This Row],[Industry Consumption]]</f>
        <v>2.2015567765567763</v>
      </c>
      <c r="AL59" s="919">
        <f>Data[[#This Row],[AAL Fuel Cost]]/Data[[#This Row],[AAL Consumption]]</f>
        <v>2.1765594175518412</v>
      </c>
      <c r="AM59" s="919">
        <f>Data[[#This Row],[DAL Fuel Cost]]/Data[[#This Row],[DAL Consumption]]</f>
        <v>2.4307874117401709</v>
      </c>
      <c r="AN59" s="919">
        <f>Data[[#This Row],[UAL Fuel Cost]]/Data[[#This Row],[UALConsumption]]</f>
        <v>2.3285329130987868</v>
      </c>
      <c r="AO59" s="919">
        <f>Data[[#This Row],[LUV Fuel Cost]]/Data[[#This Row],[LUV Consumption]]</f>
        <v>1.7487454076448057</v>
      </c>
      <c r="AP59" s="919">
        <v>2.3719999999999999</v>
      </c>
      <c r="AQ59" s="783"/>
    </row>
    <row r="60" spans="1:43" s="253" customFormat="1">
      <c r="A60" s="263">
        <f t="shared" si="4"/>
        <v>39416</v>
      </c>
      <c r="B60" s="263" t="s">
        <v>357</v>
      </c>
      <c r="C60" s="277">
        <v>40.989021999999999</v>
      </c>
      <c r="D60" s="277">
        <v>8.7078150000000001</v>
      </c>
      <c r="E60" s="277">
        <v>6.3766930000000004</v>
      </c>
      <c r="F60" s="277">
        <v>6.4418940000000005</v>
      </c>
      <c r="G60" s="277">
        <v>8.2904410000000013</v>
      </c>
      <c r="H60" s="284">
        <f t="shared" si="0"/>
        <v>11.172178999999996</v>
      </c>
      <c r="I60" s="277">
        <v>31.622171999999999</v>
      </c>
      <c r="J60" s="277">
        <v>7.1556860000000002</v>
      </c>
      <c r="K60" s="277">
        <v>4.9627590000000001</v>
      </c>
      <c r="L60" s="277">
        <v>5.1847830000000004</v>
      </c>
      <c r="M60" s="277">
        <v>5.7430159999999999</v>
      </c>
      <c r="N60" s="284">
        <f t="shared" si="1"/>
        <v>8.5759279999999976</v>
      </c>
      <c r="O60" s="277">
        <v>55.047116000000003</v>
      </c>
      <c r="P60" s="277">
        <v>6.2794150000000002</v>
      </c>
      <c r="Q60" s="277">
        <v>4.907762</v>
      </c>
      <c r="R60" s="277">
        <v>4.3451019999999998</v>
      </c>
      <c r="S60" s="277">
        <v>8.2717949999999991</v>
      </c>
      <c r="T60" s="284">
        <f t="shared" si="2"/>
        <v>31.243042000000003</v>
      </c>
      <c r="U60" s="920">
        <v>10459.789333333332</v>
      </c>
      <c r="V60" s="920">
        <v>1164.2176666666667</v>
      </c>
      <c r="W60" s="920">
        <v>1118.6843333333334</v>
      </c>
      <c r="X60" s="920">
        <v>1044.5296666666666</v>
      </c>
      <c r="Y60" s="920">
        <v>830.67966666666678</v>
      </c>
      <c r="Z60" s="874">
        <f t="shared" si="3"/>
        <v>6301.677999999999</v>
      </c>
      <c r="AA60" s="920">
        <v>1047.5</v>
      </c>
      <c r="AB60" s="277">
        <v>148.64699999999999</v>
      </c>
      <c r="AC60" s="920">
        <v>96.754999999999995</v>
      </c>
      <c r="AD60" s="920">
        <v>98.94</v>
      </c>
      <c r="AE60" s="920">
        <v>122.78</v>
      </c>
      <c r="AF60" s="920">
        <v>2541.9</v>
      </c>
      <c r="AG60" s="277">
        <v>329.87099999999998</v>
      </c>
      <c r="AH60" s="920">
        <v>266.77</v>
      </c>
      <c r="AI60" s="920">
        <v>253.31100000000001</v>
      </c>
      <c r="AJ60" s="920">
        <v>220.953</v>
      </c>
      <c r="AK60" s="919">
        <f>Data[[#This Row],[Industry Cost ($m)]]/Data[[#This Row],[Industry Consumption]]</f>
        <v>2.4266348448687354</v>
      </c>
      <c r="AL60" s="919">
        <f>Data[[#This Row],[AAL Fuel Cost]]/Data[[#This Row],[AAL Consumption]]</f>
        <v>2.2191567942844457</v>
      </c>
      <c r="AM60" s="919">
        <f>Data[[#This Row],[DAL Fuel Cost]]/Data[[#This Row],[DAL Consumption]]</f>
        <v>2.75717017208413</v>
      </c>
      <c r="AN60" s="919">
        <f>Data[[#This Row],[UAL Fuel Cost]]/Data[[#This Row],[UALConsumption]]</f>
        <v>2.5602486355366891</v>
      </c>
      <c r="AO60" s="919">
        <f>Data[[#This Row],[LUV Fuel Cost]]/Data[[#This Row],[LUV Consumption]]</f>
        <v>1.799584622902753</v>
      </c>
      <c r="AP60" s="919">
        <v>2.673</v>
      </c>
      <c r="AQ60" s="783"/>
    </row>
    <row r="61" spans="1:43" s="253" customFormat="1">
      <c r="A61" s="263">
        <f t="shared" si="4"/>
        <v>39447</v>
      </c>
      <c r="B61" s="263" t="s">
        <v>357</v>
      </c>
      <c r="C61" s="277">
        <v>41.526955999999998</v>
      </c>
      <c r="D61" s="277">
        <v>8.7660110000000007</v>
      </c>
      <c r="E61" s="277">
        <v>6.389176</v>
      </c>
      <c r="F61" s="277">
        <v>6.5390459999999999</v>
      </c>
      <c r="G61" s="277">
        <v>8.4050319999999985</v>
      </c>
      <c r="H61" s="284">
        <f t="shared" si="0"/>
        <v>11.427690999999999</v>
      </c>
      <c r="I61" s="277">
        <v>31.198207</v>
      </c>
      <c r="J61" s="277">
        <v>6.9442940000000002</v>
      </c>
      <c r="K61" s="277">
        <v>4.9495360000000002</v>
      </c>
      <c r="L61" s="277">
        <v>5.0856830000000004</v>
      </c>
      <c r="M61" s="277">
        <v>5.7290619999999999</v>
      </c>
      <c r="N61" s="284">
        <f t="shared" si="1"/>
        <v>8.4896320000000003</v>
      </c>
      <c r="O61" s="277">
        <v>53.291139000000001</v>
      </c>
      <c r="P61" s="277">
        <v>6.0789650000000002</v>
      </c>
      <c r="Q61" s="277">
        <v>4.7405160000000004</v>
      </c>
      <c r="R61" s="277">
        <v>4.132676</v>
      </c>
      <c r="S61" s="277">
        <v>8.0798930000000002</v>
      </c>
      <c r="T61" s="284">
        <f t="shared" si="2"/>
        <v>30.259089000000003</v>
      </c>
      <c r="U61" s="920">
        <v>10459.789333333332</v>
      </c>
      <c r="V61" s="920">
        <v>1164.2176666666667</v>
      </c>
      <c r="W61" s="920">
        <v>1118.6843333333334</v>
      </c>
      <c r="X61" s="920">
        <v>1044.5296666666666</v>
      </c>
      <c r="Y61" s="920">
        <v>830.67966666666678</v>
      </c>
      <c r="Z61" s="874">
        <f t="shared" si="3"/>
        <v>6301.677999999999</v>
      </c>
      <c r="AA61" s="920">
        <v>1083</v>
      </c>
      <c r="AB61" s="277">
        <v>152.071</v>
      </c>
      <c r="AC61" s="920">
        <v>97.738</v>
      </c>
      <c r="AD61" s="920">
        <v>100.922</v>
      </c>
      <c r="AE61" s="920">
        <v>125.02200000000001</v>
      </c>
      <c r="AF61" s="920">
        <v>2699.9</v>
      </c>
      <c r="AG61" s="277">
        <v>339.23099999999999</v>
      </c>
      <c r="AH61" s="920">
        <v>279.57799999999997</v>
      </c>
      <c r="AI61" s="920">
        <v>269.07299999999998</v>
      </c>
      <c r="AJ61" s="920">
        <v>257.77</v>
      </c>
      <c r="AK61" s="919">
        <f>Data[[#This Row],[Industry Cost ($m)]]/Data[[#This Row],[Industry Consumption]]</f>
        <v>2.4929824561403509</v>
      </c>
      <c r="AL61" s="919">
        <f>Data[[#This Row],[AAL Fuel Cost]]/Data[[#This Row],[AAL Consumption]]</f>
        <v>2.2307409039198793</v>
      </c>
      <c r="AM61" s="919">
        <f>Data[[#This Row],[DAL Fuel Cost]]/Data[[#This Row],[DAL Consumption]]</f>
        <v>2.86048415150709</v>
      </c>
      <c r="AN61" s="919">
        <f>Data[[#This Row],[UAL Fuel Cost]]/Data[[#This Row],[UALConsumption]]</f>
        <v>2.6661481143853667</v>
      </c>
      <c r="AO61" s="919">
        <f>Data[[#This Row],[LUV Fuel Cost]]/Data[[#This Row],[LUV Consumption]]</f>
        <v>2.0617971237062274</v>
      </c>
      <c r="AP61" s="919">
        <v>2.601</v>
      </c>
      <c r="AQ61" s="783">
        <f>AVERAGE(AP59:AP61)</f>
        <v>2.5486666666666666</v>
      </c>
    </row>
    <row r="62" spans="1:43" s="253" customFormat="1">
      <c r="A62" s="263">
        <f t="shared" si="4"/>
        <v>39478</v>
      </c>
      <c r="B62" s="263" t="s">
        <v>357</v>
      </c>
      <c r="C62" s="277">
        <v>40.812545</v>
      </c>
      <c r="D62" s="277">
        <v>8.7180020000000003</v>
      </c>
      <c r="E62" s="277">
        <v>6.1089570000000002</v>
      </c>
      <c r="F62" s="277">
        <v>6.1593599999999995</v>
      </c>
      <c r="G62" s="277">
        <v>8.5497739999999993</v>
      </c>
      <c r="H62" s="284">
        <f t="shared" si="0"/>
        <v>11.276451999999999</v>
      </c>
      <c r="I62" s="277">
        <v>29.513598999999999</v>
      </c>
      <c r="J62" s="277">
        <v>6.7023380000000001</v>
      </c>
      <c r="K62" s="277">
        <v>4.6485659999999998</v>
      </c>
      <c r="L62" s="277">
        <v>4.6429150000000003</v>
      </c>
      <c r="M62" s="277">
        <v>5.4857550000000002</v>
      </c>
      <c r="N62" s="284">
        <f t="shared" si="1"/>
        <v>8.0340249999999997</v>
      </c>
      <c r="O62" s="277">
        <v>50.245100000000001</v>
      </c>
      <c r="P62" s="277">
        <v>5.8508930000000001</v>
      </c>
      <c r="Q62" s="277">
        <v>4.4474140000000002</v>
      </c>
      <c r="R62" s="277">
        <v>3.814616</v>
      </c>
      <c r="S62" s="277">
        <v>7.6543369999999999</v>
      </c>
      <c r="T62" s="284">
        <f t="shared" si="2"/>
        <v>28.47784</v>
      </c>
      <c r="U62" s="920">
        <v>10469.433999999999</v>
      </c>
      <c r="V62" s="920">
        <v>1154.5143333333333</v>
      </c>
      <c r="W62" s="920">
        <v>1138.4866666666667</v>
      </c>
      <c r="X62" s="920">
        <v>988.29100000000005</v>
      </c>
      <c r="Y62" s="920">
        <v>843.20066666666662</v>
      </c>
      <c r="Z62" s="874">
        <f t="shared" si="3"/>
        <v>6344.9413333333323</v>
      </c>
      <c r="AA62" s="920">
        <v>1071.5999999999999</v>
      </c>
      <c r="AB62" s="277">
        <v>149.79</v>
      </c>
      <c r="AC62" s="920">
        <v>93.521000000000001</v>
      </c>
      <c r="AD62" s="920">
        <v>95.135999999999996</v>
      </c>
      <c r="AE62" s="920">
        <v>126.111</v>
      </c>
      <c r="AF62" s="920">
        <v>2747.8</v>
      </c>
      <c r="AG62" s="277">
        <v>396.51</v>
      </c>
      <c r="AH62" s="920">
        <v>267.87599999999998</v>
      </c>
      <c r="AI62" s="920">
        <v>262.18599999999998</v>
      </c>
      <c r="AJ62" s="920">
        <v>232.172</v>
      </c>
      <c r="AK62" s="919">
        <f>Data[[#This Row],[Industry Cost ($m)]]/Data[[#This Row],[Industry Consumption]]</f>
        <v>2.5642030608435986</v>
      </c>
      <c r="AL62" s="919">
        <f>Data[[#This Row],[AAL Fuel Cost]]/Data[[#This Row],[AAL Consumption]]</f>
        <v>2.6471059483276589</v>
      </c>
      <c r="AM62" s="919">
        <f>Data[[#This Row],[DAL Fuel Cost]]/Data[[#This Row],[DAL Consumption]]</f>
        <v>2.864340629377359</v>
      </c>
      <c r="AN62" s="919">
        <f>Data[[#This Row],[UAL Fuel Cost]]/Data[[#This Row],[UALConsumption]]</f>
        <v>2.7559073326606121</v>
      </c>
      <c r="AO62" s="919">
        <f>Data[[#This Row],[LUV Fuel Cost]]/Data[[#This Row],[LUV Consumption]]</f>
        <v>1.8410130757824454</v>
      </c>
      <c r="AP62" s="919">
        <v>2.605</v>
      </c>
      <c r="AQ62" s="783"/>
    </row>
    <row r="63" spans="1:43" s="253" customFormat="1">
      <c r="A63" s="263">
        <f t="shared" si="4"/>
        <v>39507</v>
      </c>
      <c r="B63" s="263" t="s">
        <v>357</v>
      </c>
      <c r="C63" s="277">
        <v>38.357489000000001</v>
      </c>
      <c r="D63" s="277">
        <v>7.9653850000000004</v>
      </c>
      <c r="E63" s="277">
        <v>5.8402790000000007</v>
      </c>
      <c r="F63" s="277">
        <v>6.0173350000000001</v>
      </c>
      <c r="G63" s="277">
        <v>7.9087520000000007</v>
      </c>
      <c r="H63" s="284">
        <f t="shared" si="0"/>
        <v>10.625738000000002</v>
      </c>
      <c r="I63" s="277">
        <v>28.878281999999999</v>
      </c>
      <c r="J63" s="277">
        <v>6.2904850000000003</v>
      </c>
      <c r="K63" s="277">
        <v>4.5471700000000004</v>
      </c>
      <c r="L63" s="277">
        <v>4.6272830000000003</v>
      </c>
      <c r="M63" s="277">
        <v>5.4279229999999998</v>
      </c>
      <c r="N63" s="284">
        <f t="shared" si="1"/>
        <v>7.9854209999999952</v>
      </c>
      <c r="O63" s="277">
        <v>50.118363000000002</v>
      </c>
      <c r="P63" s="277">
        <v>5.5318290000000001</v>
      </c>
      <c r="Q63" s="277">
        <v>4.4573130000000001</v>
      </c>
      <c r="R63" s="277">
        <v>3.8538860000000001</v>
      </c>
      <c r="S63" s="277">
        <v>7.7446200000000003</v>
      </c>
      <c r="T63" s="284">
        <f t="shared" si="2"/>
        <v>28.530715000000001</v>
      </c>
      <c r="U63" s="920">
        <v>10469.433999999999</v>
      </c>
      <c r="V63" s="920">
        <v>1154.5143333333333</v>
      </c>
      <c r="W63" s="920">
        <v>1138.4866666666667</v>
      </c>
      <c r="X63" s="920">
        <v>988.29100000000005</v>
      </c>
      <c r="Y63" s="920">
        <v>843.20066666666662</v>
      </c>
      <c r="Z63" s="874">
        <f t="shared" si="3"/>
        <v>6344.9413333333323</v>
      </c>
      <c r="AA63" s="920">
        <v>1025.7</v>
      </c>
      <c r="AB63" s="277">
        <v>137.84800000000001</v>
      </c>
      <c r="AC63" s="920">
        <v>89.706000000000003</v>
      </c>
      <c r="AD63" s="920">
        <v>92.754999999999995</v>
      </c>
      <c r="AE63" s="920">
        <v>117.68899999999999</v>
      </c>
      <c r="AF63" s="920">
        <v>2613.4</v>
      </c>
      <c r="AG63" s="277">
        <v>332.90899999999999</v>
      </c>
      <c r="AH63" s="920">
        <v>252.768</v>
      </c>
      <c r="AI63" s="920">
        <v>257.25799999999998</v>
      </c>
      <c r="AJ63" s="920">
        <v>232.81200000000001</v>
      </c>
      <c r="AK63" s="919">
        <f>Data[[#This Row],[Industry Cost ($m)]]/Data[[#This Row],[Industry Consumption]]</f>
        <v>2.5479184946865554</v>
      </c>
      <c r="AL63" s="919">
        <f>Data[[#This Row],[AAL Fuel Cost]]/Data[[#This Row],[AAL Consumption]]</f>
        <v>2.415044106552144</v>
      </c>
      <c r="AM63" s="919">
        <f>Data[[#This Row],[DAL Fuel Cost]]/Data[[#This Row],[DAL Consumption]]</f>
        <v>2.8177379439502372</v>
      </c>
      <c r="AN63" s="919">
        <f>Data[[#This Row],[UAL Fuel Cost]]/Data[[#This Row],[UALConsumption]]</f>
        <v>2.7735216430381109</v>
      </c>
      <c r="AO63" s="919">
        <f>Data[[#This Row],[LUV Fuel Cost]]/Data[[#This Row],[LUV Consumption]]</f>
        <v>1.978196772850479</v>
      </c>
      <c r="AP63" s="919">
        <v>2.7280000000000002</v>
      </c>
      <c r="AQ63" s="783"/>
    </row>
    <row r="64" spans="1:43" s="253" customFormat="1">
      <c r="A64" s="263">
        <f t="shared" si="4"/>
        <v>39538</v>
      </c>
      <c r="B64" s="263" t="s">
        <v>357</v>
      </c>
      <c r="C64" s="277">
        <v>42.262272000000003</v>
      </c>
      <c r="D64" s="277">
        <v>8.4880639999999996</v>
      </c>
      <c r="E64" s="277">
        <v>6.4278089999999999</v>
      </c>
      <c r="F64" s="277">
        <v>6.8312179999999998</v>
      </c>
      <c r="G64" s="277">
        <v>8.7377570000000002</v>
      </c>
      <c r="H64" s="284">
        <f t="shared" si="0"/>
        <v>11.777424000000003</v>
      </c>
      <c r="I64" s="277">
        <v>34.639294</v>
      </c>
      <c r="J64" s="277">
        <v>7.2316399999999996</v>
      </c>
      <c r="K64" s="277">
        <v>5.5270339999999996</v>
      </c>
      <c r="L64" s="277">
        <v>5.6987949999999996</v>
      </c>
      <c r="M64" s="277">
        <v>6.679996</v>
      </c>
      <c r="N64" s="284">
        <f t="shared" si="1"/>
        <v>9.5018290000000007</v>
      </c>
      <c r="O64" s="277">
        <v>59.213076999999998</v>
      </c>
      <c r="P64" s="277">
        <v>6.3375110000000001</v>
      </c>
      <c r="Q64" s="277">
        <v>5.3882589999999997</v>
      </c>
      <c r="R64" s="277">
        <v>4.6962229999999998</v>
      </c>
      <c r="S64" s="277">
        <v>9.3096580000000007</v>
      </c>
      <c r="T64" s="284">
        <f t="shared" si="2"/>
        <v>33.481425999999999</v>
      </c>
      <c r="U64" s="920">
        <v>10469.433999999999</v>
      </c>
      <c r="V64" s="920">
        <v>1154.5143333333333</v>
      </c>
      <c r="W64" s="920">
        <v>1138.4866666666667</v>
      </c>
      <c r="X64" s="920">
        <v>988.29100000000005</v>
      </c>
      <c r="Y64" s="920">
        <v>843.20066666666662</v>
      </c>
      <c r="Z64" s="874">
        <f t="shared" si="3"/>
        <v>6344.9413333333323</v>
      </c>
      <c r="AA64" s="920">
        <v>1117.9000000000001</v>
      </c>
      <c r="AB64" s="277">
        <v>146.904</v>
      </c>
      <c r="AC64" s="920">
        <v>98.986999999999995</v>
      </c>
      <c r="AD64" s="920">
        <v>104.285</v>
      </c>
      <c r="AE64" s="920">
        <v>129.20400000000001</v>
      </c>
      <c r="AF64" s="920">
        <v>3197</v>
      </c>
      <c r="AG64" s="277">
        <v>388.91</v>
      </c>
      <c r="AH64" s="920">
        <v>301.51299999999998</v>
      </c>
      <c r="AI64" s="920">
        <v>323.315</v>
      </c>
      <c r="AJ64" s="920">
        <v>285.53199999999998</v>
      </c>
      <c r="AK64" s="919">
        <f>Data[[#This Row],[Industry Cost ($m)]]/Data[[#This Row],[Industry Consumption]]</f>
        <v>2.8598264603273993</v>
      </c>
      <c r="AL64" s="919">
        <f>Data[[#This Row],[AAL Fuel Cost]]/Data[[#This Row],[AAL Consumption]]</f>
        <v>2.6473751565648316</v>
      </c>
      <c r="AM64" s="919">
        <f>Data[[#This Row],[DAL Fuel Cost]]/Data[[#This Row],[DAL Consumption]]</f>
        <v>3.0459858365239878</v>
      </c>
      <c r="AN64" s="919">
        <f>Data[[#This Row],[UAL Fuel Cost]]/Data[[#This Row],[UALConsumption]]</f>
        <v>3.1003020568634034</v>
      </c>
      <c r="AO64" s="919">
        <f>Data[[#This Row],[LUV Fuel Cost]]/Data[[#This Row],[LUV Consumption]]</f>
        <v>2.2099315810656015</v>
      </c>
      <c r="AP64" s="919">
        <v>3.1240000000000001</v>
      </c>
      <c r="AQ64" s="783">
        <f>AVERAGE(AP62:AP64)</f>
        <v>2.8190000000000004</v>
      </c>
    </row>
    <row r="65" spans="1:43" s="253" customFormat="1">
      <c r="A65" s="263">
        <f t="shared" si="4"/>
        <v>39568</v>
      </c>
      <c r="B65" s="263" t="s">
        <v>357</v>
      </c>
      <c r="C65" s="277">
        <v>40.594997999999997</v>
      </c>
      <c r="D65" s="277">
        <v>8.2111420000000006</v>
      </c>
      <c r="E65" s="277">
        <v>5.9762899999999997</v>
      </c>
      <c r="F65" s="277">
        <v>6.3834219999999995</v>
      </c>
      <c r="G65" s="277">
        <v>8.6261550000000007</v>
      </c>
      <c r="H65" s="284">
        <f t="shared" si="0"/>
        <v>11.397988999999995</v>
      </c>
      <c r="I65" s="277">
        <v>32.351551000000001</v>
      </c>
      <c r="J65" s="277">
        <v>6.7788979999999999</v>
      </c>
      <c r="K65" s="277">
        <v>5.0450390000000001</v>
      </c>
      <c r="L65" s="277">
        <v>5.3583109999999996</v>
      </c>
      <c r="M65" s="277">
        <v>6.261889</v>
      </c>
      <c r="N65" s="284">
        <f t="shared" si="1"/>
        <v>8.9074139999999993</v>
      </c>
      <c r="O65" s="277">
        <v>55.611052999999998</v>
      </c>
      <c r="P65" s="277">
        <v>5.8479669999999997</v>
      </c>
      <c r="Q65" s="277">
        <v>4.9320959999999996</v>
      </c>
      <c r="R65" s="277">
        <v>4.4713279999999997</v>
      </c>
      <c r="S65" s="277">
        <v>8.7943979999999993</v>
      </c>
      <c r="T65" s="284">
        <f t="shared" si="2"/>
        <v>31.565263999999999</v>
      </c>
      <c r="U65" s="920">
        <v>11414.904666666667</v>
      </c>
      <c r="V65" s="920">
        <v>1252.297</v>
      </c>
      <c r="W65" s="920">
        <v>1220.9460000000001</v>
      </c>
      <c r="X65" s="920">
        <v>1137.7863333333332</v>
      </c>
      <c r="Y65" s="920">
        <v>956.38666666666666</v>
      </c>
      <c r="Z65" s="874">
        <f t="shared" si="3"/>
        <v>6847.4886666666671</v>
      </c>
      <c r="AA65" s="920">
        <v>1059.5999999999999</v>
      </c>
      <c r="AB65" s="277">
        <v>137.226</v>
      </c>
      <c r="AC65" s="920">
        <v>90.558999999999997</v>
      </c>
      <c r="AD65" s="920">
        <v>98.534999999999997</v>
      </c>
      <c r="AE65" s="920">
        <v>126.29300000000001</v>
      </c>
      <c r="AF65" s="920">
        <v>3143.8</v>
      </c>
      <c r="AG65" s="277">
        <v>365.84199999999998</v>
      </c>
      <c r="AH65" s="920">
        <v>282.25700000000001</v>
      </c>
      <c r="AI65" s="920">
        <v>331.245</v>
      </c>
      <c r="AJ65" s="920">
        <v>267.524</v>
      </c>
      <c r="AK65" s="919">
        <f>Data[[#This Row],[Industry Cost ($m)]]/Data[[#This Row],[Industry Consumption]]</f>
        <v>2.9669686674216691</v>
      </c>
      <c r="AL65" s="919">
        <f>Data[[#This Row],[AAL Fuel Cost]]/Data[[#This Row],[AAL Consumption]]</f>
        <v>2.6659816652820894</v>
      </c>
      <c r="AM65" s="919">
        <f>Data[[#This Row],[DAL Fuel Cost]]/Data[[#This Row],[DAL Consumption]]</f>
        <v>3.1168299119910778</v>
      </c>
      <c r="AN65" s="919">
        <f>Data[[#This Row],[UAL Fuel Cost]]/Data[[#This Row],[UALConsumption]]</f>
        <v>3.3616988887197445</v>
      </c>
      <c r="AO65" s="919">
        <f>Data[[#This Row],[LUV Fuel Cost]]/Data[[#This Row],[LUV Consumption]]</f>
        <v>2.1182805064413706</v>
      </c>
      <c r="AP65" s="919">
        <v>3.3650000000000002</v>
      </c>
      <c r="AQ65" s="783"/>
    </row>
    <row r="66" spans="1:43" s="253" customFormat="1">
      <c r="A66" s="263">
        <f t="shared" si="4"/>
        <v>39599</v>
      </c>
      <c r="B66" s="263" t="s">
        <v>357</v>
      </c>
      <c r="C66" s="277">
        <v>41.784593000000001</v>
      </c>
      <c r="D66" s="277">
        <v>8.8468529999999994</v>
      </c>
      <c r="E66" s="277">
        <v>5.8790449999999996</v>
      </c>
      <c r="F66" s="277">
        <v>6.562811</v>
      </c>
      <c r="G66" s="277">
        <v>8.9149899999999995</v>
      </c>
      <c r="H66" s="284">
        <f t="shared" ref="H66:H129" si="5">+C66-SUM(D66,E66,F66,G66)</f>
        <v>11.580894000000004</v>
      </c>
      <c r="I66" s="277">
        <v>33.808556000000003</v>
      </c>
      <c r="J66" s="277">
        <v>7.4117670000000002</v>
      </c>
      <c r="K66" s="277">
        <v>5.025328</v>
      </c>
      <c r="L66" s="277">
        <v>5.5556729999999996</v>
      </c>
      <c r="M66" s="277">
        <v>6.6732129999999996</v>
      </c>
      <c r="N66" s="284">
        <f t="shared" ref="N66:N129" si="6">+I66-SUM(J66,K66,L66,M66)</f>
        <v>9.1425750000000043</v>
      </c>
      <c r="O66" s="277">
        <v>58.047400000000003</v>
      </c>
      <c r="P66" s="277">
        <v>6.4915589999999996</v>
      </c>
      <c r="Q66" s="277">
        <v>4.8813409999999999</v>
      </c>
      <c r="R66" s="277">
        <v>4.6512229999999999</v>
      </c>
      <c r="S66" s="277">
        <v>9.3048339999999996</v>
      </c>
      <c r="T66" s="284">
        <f t="shared" ref="T66:T129" si="7">+O66-SUM(P66,Q66,R66,S66)</f>
        <v>32.718443000000008</v>
      </c>
      <c r="U66" s="920">
        <v>11414.904666666667</v>
      </c>
      <c r="V66" s="920">
        <v>1252.297</v>
      </c>
      <c r="W66" s="920">
        <v>1220.9460000000001</v>
      </c>
      <c r="X66" s="920">
        <v>1137.7863333333332</v>
      </c>
      <c r="Y66" s="920">
        <v>956.38666666666666</v>
      </c>
      <c r="Z66" s="874">
        <f t="shared" ref="Z66:Z129" si="8">+U66-SUM(V66,W66,X66,Y66)</f>
        <v>6847.4886666666671</v>
      </c>
      <c r="AA66" s="920">
        <v>1087.7</v>
      </c>
      <c r="AB66" s="277">
        <v>151.321</v>
      </c>
      <c r="AC66" s="920">
        <v>88.528000000000006</v>
      </c>
      <c r="AD66" s="920">
        <v>102.09699999999999</v>
      </c>
      <c r="AE66" s="920">
        <v>131.095</v>
      </c>
      <c r="AF66" s="920">
        <v>3465.6</v>
      </c>
      <c r="AG66" s="277">
        <v>435.60300000000001</v>
      </c>
      <c r="AH66" s="920">
        <v>281.64</v>
      </c>
      <c r="AI66" s="920">
        <v>366.25299999999999</v>
      </c>
      <c r="AJ66" s="920">
        <v>290.98399999999998</v>
      </c>
      <c r="AK66" s="919">
        <f>Data[[#This Row],[Industry Cost ($m)]]/Data[[#This Row],[Industry Consumption]]</f>
        <v>3.1861726579019947</v>
      </c>
      <c r="AL66" s="919">
        <f>Data[[#This Row],[AAL Fuel Cost]]/Data[[#This Row],[AAL Consumption]]</f>
        <v>2.8786685258490232</v>
      </c>
      <c r="AM66" s="919">
        <f>Data[[#This Row],[DAL Fuel Cost]]/Data[[#This Row],[DAL Consumption]]</f>
        <v>3.1813663473703233</v>
      </c>
      <c r="AN66" s="919">
        <f>Data[[#This Row],[UAL Fuel Cost]]/Data[[#This Row],[UALConsumption]]</f>
        <v>3.587304230290802</v>
      </c>
      <c r="AO66" s="919">
        <f>Data[[#This Row],[LUV Fuel Cost]]/Data[[#This Row],[LUV Consumption]]</f>
        <v>2.219642244174072</v>
      </c>
      <c r="AP66" s="919">
        <v>3.738</v>
      </c>
      <c r="AQ66" s="783"/>
    </row>
    <row r="67" spans="1:43" s="253" customFormat="1">
      <c r="A67" s="263">
        <f t="shared" ref="A67:A130" si="9">EOMONTH(A66,1)</f>
        <v>39629</v>
      </c>
      <c r="B67" s="263" t="s">
        <v>357</v>
      </c>
      <c r="C67" s="277">
        <v>41.909030000000001</v>
      </c>
      <c r="D67" s="277">
        <v>8.4137389999999996</v>
      </c>
      <c r="E67" s="277">
        <v>6.2926139999999995</v>
      </c>
      <c r="F67" s="277">
        <v>6.7692449999999997</v>
      </c>
      <c r="G67" s="277">
        <v>8.7962860000000003</v>
      </c>
      <c r="H67" s="284">
        <f t="shared" si="5"/>
        <v>11.637146000000001</v>
      </c>
      <c r="I67" s="277">
        <v>35.269691000000002</v>
      </c>
      <c r="J67" s="277">
        <v>7.4228100000000001</v>
      </c>
      <c r="K67" s="277">
        <v>5.5693060000000001</v>
      </c>
      <c r="L67" s="277">
        <v>5.955533</v>
      </c>
      <c r="M67" s="277">
        <v>6.878063</v>
      </c>
      <c r="N67" s="284">
        <f t="shared" si="6"/>
        <v>9.4439790000000023</v>
      </c>
      <c r="O67" s="277">
        <v>59.559170999999999</v>
      </c>
      <c r="P67" s="277">
        <v>6.5371759999999997</v>
      </c>
      <c r="Q67" s="277">
        <v>5.2226309999999998</v>
      </c>
      <c r="R67" s="277">
        <v>4.862311</v>
      </c>
      <c r="S67" s="277">
        <v>9.4517249999999997</v>
      </c>
      <c r="T67" s="284">
        <f t="shared" si="7"/>
        <v>33.485327999999996</v>
      </c>
      <c r="U67" s="920">
        <v>11414.904666666667</v>
      </c>
      <c r="V67" s="920">
        <v>1252.297</v>
      </c>
      <c r="W67" s="920">
        <v>1220.9460000000001</v>
      </c>
      <c r="X67" s="920">
        <v>1137.7863333333332</v>
      </c>
      <c r="Y67" s="920">
        <v>956.38666666666666</v>
      </c>
      <c r="Z67" s="874">
        <f t="shared" si="8"/>
        <v>6847.4886666666671</v>
      </c>
      <c r="AA67" s="920">
        <v>1094.8</v>
      </c>
      <c r="AB67" s="277">
        <v>145.339</v>
      </c>
      <c r="AC67" s="920">
        <v>96.100999999999999</v>
      </c>
      <c r="AD67" s="920">
        <v>106.123</v>
      </c>
      <c r="AE67" s="920">
        <v>130.482</v>
      </c>
      <c r="AF67" s="920">
        <v>3717.1</v>
      </c>
      <c r="AG67" s="277">
        <v>454.41800000000001</v>
      </c>
      <c r="AH67" s="920">
        <v>310.64999999999998</v>
      </c>
      <c r="AI67" s="920">
        <v>409.40899999999999</v>
      </c>
      <c r="AJ67" s="920">
        <v>329.84399999999999</v>
      </c>
      <c r="AK67" s="919">
        <f>Data[[#This Row],[Industry Cost ($m)]]/Data[[#This Row],[Industry Consumption]]</f>
        <v>3.3952320058458167</v>
      </c>
      <c r="AL67" s="919">
        <f>Data[[#This Row],[AAL Fuel Cost]]/Data[[#This Row],[AAL Consumption]]</f>
        <v>3.1266074487921345</v>
      </c>
      <c r="AM67" s="919">
        <f>Data[[#This Row],[DAL Fuel Cost]]/Data[[#This Row],[DAL Consumption]]</f>
        <v>3.2325366021165229</v>
      </c>
      <c r="AN67" s="919">
        <f>Data[[#This Row],[UAL Fuel Cost]]/Data[[#This Row],[UALConsumption]]</f>
        <v>3.8578724687391044</v>
      </c>
      <c r="AO67" s="919">
        <f>Data[[#This Row],[LUV Fuel Cost]]/Data[[#This Row],[LUV Consumption]]</f>
        <v>2.5278889042166734</v>
      </c>
      <c r="AP67" s="919">
        <v>3.8780000000000001</v>
      </c>
      <c r="AQ67" s="783">
        <f>AVERAGE(AP65:AP67)</f>
        <v>3.6603333333333334</v>
      </c>
    </row>
    <row r="68" spans="1:43" s="253" customFormat="1">
      <c r="A68" s="263">
        <f t="shared" si="9"/>
        <v>39660</v>
      </c>
      <c r="B68" s="263" t="s">
        <v>357</v>
      </c>
      <c r="C68" s="277">
        <v>43.551172000000001</v>
      </c>
      <c r="D68" s="277">
        <v>8.7896590000000003</v>
      </c>
      <c r="E68" s="277">
        <v>6.5177149999999999</v>
      </c>
      <c r="F68" s="277">
        <v>7.0121180000000001</v>
      </c>
      <c r="G68" s="277">
        <v>9.0291530000000009</v>
      </c>
      <c r="H68" s="284">
        <f t="shared" si="5"/>
        <v>12.202527</v>
      </c>
      <c r="I68" s="277">
        <v>36.524695999999999</v>
      </c>
      <c r="J68" s="277">
        <v>7.7050850000000004</v>
      </c>
      <c r="K68" s="277">
        <v>5.8877499999999996</v>
      </c>
      <c r="L68" s="277">
        <v>6.0702249999999998</v>
      </c>
      <c r="M68" s="277">
        <v>6.8858290000000002</v>
      </c>
      <c r="N68" s="284">
        <f t="shared" si="6"/>
        <v>9.9758069999999961</v>
      </c>
      <c r="O68" s="277">
        <v>61.401479999999999</v>
      </c>
      <c r="P68" s="277">
        <v>6.7507380000000001</v>
      </c>
      <c r="Q68" s="277">
        <v>5.4893080000000003</v>
      </c>
      <c r="R68" s="277">
        <v>4.9051030000000004</v>
      </c>
      <c r="S68" s="277">
        <v>9.3629230000000003</v>
      </c>
      <c r="T68" s="284">
        <f t="shared" si="7"/>
        <v>34.893408000000001</v>
      </c>
      <c r="U68" s="920">
        <v>11353.362333333333</v>
      </c>
      <c r="V68" s="920">
        <v>1232.4179999999999</v>
      </c>
      <c r="W68" s="920">
        <v>1184.1733333333334</v>
      </c>
      <c r="X68" s="920">
        <v>1191.42</v>
      </c>
      <c r="Y68" s="920">
        <v>963.50566666666657</v>
      </c>
      <c r="Z68" s="874">
        <f t="shared" si="8"/>
        <v>6781.8453333333327</v>
      </c>
      <c r="AA68" s="920">
        <v>1133</v>
      </c>
      <c r="AB68" s="277">
        <v>150.11500000000001</v>
      </c>
      <c r="AC68" s="920">
        <v>99.003</v>
      </c>
      <c r="AD68" s="920">
        <v>108.645</v>
      </c>
      <c r="AE68" s="920">
        <v>132.512</v>
      </c>
      <c r="AF68" s="920">
        <v>4184.2</v>
      </c>
      <c r="AG68" s="277">
        <v>506.71100000000001</v>
      </c>
      <c r="AH68" s="920">
        <v>353.10500000000002</v>
      </c>
      <c r="AI68" s="920">
        <v>433.50700000000001</v>
      </c>
      <c r="AJ68" s="920">
        <v>344.43799999999999</v>
      </c>
      <c r="AK68" s="919">
        <f>Data[[#This Row],[Industry Cost ($m)]]/Data[[#This Row],[Industry Consumption]]</f>
        <v>3.693027360988526</v>
      </c>
      <c r="AL68" s="919">
        <f>Data[[#This Row],[AAL Fuel Cost]]/Data[[#This Row],[AAL Consumption]]</f>
        <v>3.3754854611464542</v>
      </c>
      <c r="AM68" s="919">
        <f>Data[[#This Row],[DAL Fuel Cost]]/Data[[#This Row],[DAL Consumption]]</f>
        <v>3.5666090926537581</v>
      </c>
      <c r="AN68" s="919">
        <f>Data[[#This Row],[UAL Fuel Cost]]/Data[[#This Row],[UALConsumption]]</f>
        <v>3.9901237976897237</v>
      </c>
      <c r="AO68" s="919">
        <f>Data[[#This Row],[LUV Fuel Cost]]/Data[[#This Row],[LUV Consumption]]</f>
        <v>2.5992966674716249</v>
      </c>
      <c r="AP68" s="919">
        <v>3.8860000000000001</v>
      </c>
      <c r="AQ68" s="783"/>
    </row>
    <row r="69" spans="1:43" s="253" customFormat="1">
      <c r="A69" s="263">
        <f t="shared" si="9"/>
        <v>39691</v>
      </c>
      <c r="B69" s="263" t="s">
        <v>357</v>
      </c>
      <c r="C69" s="277">
        <v>42.678379</v>
      </c>
      <c r="D69" s="277">
        <v>8.8166640000000012</v>
      </c>
      <c r="E69" s="277">
        <v>6.2605320000000004</v>
      </c>
      <c r="F69" s="277">
        <v>6.8746540000000005</v>
      </c>
      <c r="G69" s="277">
        <v>8.8828979999999991</v>
      </c>
      <c r="H69" s="284">
        <f t="shared" si="5"/>
        <v>11.843631000000002</v>
      </c>
      <c r="I69" s="277">
        <v>35.292515999999999</v>
      </c>
      <c r="J69" s="277">
        <v>7.4534789999999997</v>
      </c>
      <c r="K69" s="277">
        <v>5.5757139999999996</v>
      </c>
      <c r="L69" s="277">
        <v>5.9348989999999997</v>
      </c>
      <c r="M69" s="277">
        <v>6.6306440000000002</v>
      </c>
      <c r="N69" s="284">
        <f t="shared" si="6"/>
        <v>9.6977799999999981</v>
      </c>
      <c r="O69" s="277">
        <v>58.966473000000001</v>
      </c>
      <c r="P69" s="277">
        <v>6.4064490000000003</v>
      </c>
      <c r="Q69" s="277">
        <v>5.2059749999999996</v>
      </c>
      <c r="R69" s="277">
        <v>4.8540580000000002</v>
      </c>
      <c r="S69" s="277">
        <v>8.9702470000000005</v>
      </c>
      <c r="T69" s="284">
        <f t="shared" si="7"/>
        <v>33.529744000000001</v>
      </c>
      <c r="U69" s="920">
        <v>11353.362333333333</v>
      </c>
      <c r="V69" s="920">
        <v>1232.4179999999999</v>
      </c>
      <c r="W69" s="920">
        <v>1184.1733333333334</v>
      </c>
      <c r="X69" s="920">
        <v>1191.42</v>
      </c>
      <c r="Y69" s="920">
        <v>963.50566666666657</v>
      </c>
      <c r="Z69" s="874">
        <f t="shared" si="8"/>
        <v>6781.8453333333327</v>
      </c>
      <c r="AA69" s="920">
        <v>1101.5</v>
      </c>
      <c r="AB69" s="277">
        <v>149.54499999999999</v>
      </c>
      <c r="AC69" s="920">
        <v>95.831000000000003</v>
      </c>
      <c r="AD69" s="920">
        <v>106.378</v>
      </c>
      <c r="AE69" s="920">
        <v>130.13200000000001</v>
      </c>
      <c r="AF69" s="920">
        <v>3747</v>
      </c>
      <c r="AG69" s="277">
        <v>508.78899999999999</v>
      </c>
      <c r="AH69" s="920">
        <v>336.73200000000003</v>
      </c>
      <c r="AI69" s="920">
        <v>396.89499999999998</v>
      </c>
      <c r="AJ69" s="920">
        <v>334.78</v>
      </c>
      <c r="AK69" s="919">
        <f>Data[[#This Row],[Industry Cost ($m)]]/Data[[#This Row],[Industry Consumption]]</f>
        <v>3.4017249205628688</v>
      </c>
      <c r="AL69" s="919">
        <f>Data[[#This Row],[AAL Fuel Cost]]/Data[[#This Row],[AAL Consumption]]</f>
        <v>3.4022468153398644</v>
      </c>
      <c r="AM69" s="919">
        <f>Data[[#This Row],[DAL Fuel Cost]]/Data[[#This Row],[DAL Consumption]]</f>
        <v>3.5138107710448603</v>
      </c>
      <c r="AN69" s="919">
        <f>Data[[#This Row],[UAL Fuel Cost]]/Data[[#This Row],[UALConsumption]]</f>
        <v>3.7309876102201582</v>
      </c>
      <c r="AO69" s="919">
        <f>Data[[#This Row],[LUV Fuel Cost]]/Data[[#This Row],[LUV Consumption]]</f>
        <v>2.572618571911597</v>
      </c>
      <c r="AP69" s="919">
        <v>3.2709999999999999</v>
      </c>
      <c r="AQ69" s="783"/>
    </row>
    <row r="70" spans="1:43" s="253" customFormat="1">
      <c r="A70" s="263">
        <f t="shared" si="9"/>
        <v>39721</v>
      </c>
      <c r="B70" s="263" t="s">
        <v>357</v>
      </c>
      <c r="C70" s="277">
        <v>37.413677999999997</v>
      </c>
      <c r="D70" s="277">
        <v>7.7926479999999998</v>
      </c>
      <c r="E70" s="277">
        <v>5.5568050000000007</v>
      </c>
      <c r="F70" s="277">
        <v>5.7192550000000004</v>
      </c>
      <c r="G70" s="277">
        <v>8.3772659999999988</v>
      </c>
      <c r="H70" s="284">
        <f t="shared" si="5"/>
        <v>9.9677039999999977</v>
      </c>
      <c r="I70" s="277">
        <v>28.119834999999998</v>
      </c>
      <c r="J70" s="277">
        <v>5.9580489999999999</v>
      </c>
      <c r="K70" s="277">
        <v>4.6356010000000003</v>
      </c>
      <c r="L70" s="277">
        <v>4.6319480000000004</v>
      </c>
      <c r="M70" s="277">
        <v>5.3078969999999996</v>
      </c>
      <c r="N70" s="284">
        <f t="shared" si="6"/>
        <v>7.5863399999999963</v>
      </c>
      <c r="O70" s="277">
        <v>47.680101000000001</v>
      </c>
      <c r="P70" s="277">
        <v>5.241968</v>
      </c>
      <c r="Q70" s="277">
        <v>4.5868659999999997</v>
      </c>
      <c r="R70" s="277">
        <v>3.9738259999999999</v>
      </c>
      <c r="S70" s="277">
        <v>7.3530110000000004</v>
      </c>
      <c r="T70" s="284">
        <f t="shared" si="7"/>
        <v>26.524430000000002</v>
      </c>
      <c r="U70" s="920">
        <v>11353.362333333333</v>
      </c>
      <c r="V70" s="920">
        <v>1232.4179999999999</v>
      </c>
      <c r="W70" s="920">
        <v>1184.1733333333334</v>
      </c>
      <c r="X70" s="920">
        <v>1191.42</v>
      </c>
      <c r="Y70" s="920">
        <v>963.50566666666657</v>
      </c>
      <c r="Z70" s="874">
        <f t="shared" si="8"/>
        <v>6781.8453333333327</v>
      </c>
      <c r="AA70" s="920">
        <v>925.3</v>
      </c>
      <c r="AB70" s="277">
        <v>131.916</v>
      </c>
      <c r="AC70" s="920">
        <v>83.738</v>
      </c>
      <c r="AD70" s="920">
        <v>87.974000000000004</v>
      </c>
      <c r="AE70" s="920">
        <v>119.703</v>
      </c>
      <c r="AF70" s="920">
        <v>3083.8</v>
      </c>
      <c r="AG70" s="277">
        <v>410.75900000000001</v>
      </c>
      <c r="AH70" s="920">
        <v>284.99299999999999</v>
      </c>
      <c r="AI70" s="920">
        <v>302.88600000000002</v>
      </c>
      <c r="AJ70" s="920">
        <v>315.61399999999998</v>
      </c>
      <c r="AK70" s="919">
        <f>Data[[#This Row],[Industry Cost ($m)]]/Data[[#This Row],[Industry Consumption]]</f>
        <v>3.3327569436939375</v>
      </c>
      <c r="AL70" s="919">
        <f>Data[[#This Row],[AAL Fuel Cost]]/Data[[#This Row],[AAL Consumption]]</f>
        <v>3.1137921101306896</v>
      </c>
      <c r="AM70" s="919">
        <f>Data[[#This Row],[DAL Fuel Cost]]/Data[[#This Row],[DAL Consumption]]</f>
        <v>3.4033891423248703</v>
      </c>
      <c r="AN70" s="919">
        <f>Data[[#This Row],[UAL Fuel Cost]]/Data[[#This Row],[UALConsumption]]</f>
        <v>3.4429035851501579</v>
      </c>
      <c r="AO70" s="919">
        <f>Data[[#This Row],[LUV Fuel Cost]]/Data[[#This Row],[LUV Consumption]]</f>
        <v>2.6366423564990016</v>
      </c>
      <c r="AP70" s="919">
        <v>3.375</v>
      </c>
      <c r="AQ70" s="783">
        <f>AVERAGE(AP68:AP70)</f>
        <v>3.5106666666666668</v>
      </c>
    </row>
    <row r="71" spans="1:43" s="253" customFormat="1">
      <c r="A71" s="263">
        <f t="shared" si="9"/>
        <v>39752</v>
      </c>
      <c r="B71" s="263" t="s">
        <v>357</v>
      </c>
      <c r="C71" s="277">
        <v>38.865969999999997</v>
      </c>
      <c r="D71" s="277">
        <v>8.0808669999999996</v>
      </c>
      <c r="E71" s="277">
        <v>5.8071189999999993</v>
      </c>
      <c r="F71" s="277">
        <v>5.8712790000000004</v>
      </c>
      <c r="G71" s="277">
        <v>8.8129100000000005</v>
      </c>
      <c r="H71" s="284">
        <f t="shared" si="5"/>
        <v>10.293794999999996</v>
      </c>
      <c r="I71" s="277">
        <v>30.715078999999999</v>
      </c>
      <c r="J71" s="277">
        <v>6.5244470000000003</v>
      </c>
      <c r="K71" s="277">
        <v>4.9493239999999998</v>
      </c>
      <c r="L71" s="277">
        <v>4.955597</v>
      </c>
      <c r="M71" s="277">
        <v>6.2080869999999999</v>
      </c>
      <c r="N71" s="284">
        <f t="shared" si="6"/>
        <v>8.0776240000000001</v>
      </c>
      <c r="O71" s="277">
        <v>52.956023000000002</v>
      </c>
      <c r="P71" s="277">
        <v>5.8543209999999997</v>
      </c>
      <c r="Q71" s="277">
        <v>5.11876</v>
      </c>
      <c r="R71" s="277">
        <v>4.2467560000000004</v>
      </c>
      <c r="S71" s="277">
        <v>8.5625619999999998</v>
      </c>
      <c r="T71" s="284">
        <f t="shared" si="7"/>
        <v>29.173624</v>
      </c>
      <c r="U71" s="920">
        <v>10005.075999999999</v>
      </c>
      <c r="V71" s="920">
        <v>1074.3663333333334</v>
      </c>
      <c r="W71" s="920">
        <v>1081.8709999999999</v>
      </c>
      <c r="X71" s="920">
        <v>976.15933333333339</v>
      </c>
      <c r="Y71" s="920">
        <v>911.32133333333331</v>
      </c>
      <c r="Z71" s="874">
        <f t="shared" si="8"/>
        <v>5961.3579999999984</v>
      </c>
      <c r="AA71" s="920">
        <v>968.3</v>
      </c>
      <c r="AB71" s="277">
        <v>136.113</v>
      </c>
      <c r="AC71" s="920">
        <v>88.415000000000006</v>
      </c>
      <c r="AD71" s="920">
        <v>90.174999999999997</v>
      </c>
      <c r="AE71" s="920">
        <v>127.187</v>
      </c>
      <c r="AF71" s="920">
        <v>3088.5</v>
      </c>
      <c r="AG71" s="277">
        <v>400.67099999999999</v>
      </c>
      <c r="AH71" s="920">
        <v>337.255</v>
      </c>
      <c r="AI71" s="920">
        <v>268.67700000000002</v>
      </c>
      <c r="AJ71" s="920">
        <v>353.18200000000002</v>
      </c>
      <c r="AK71" s="919">
        <f>Data[[#This Row],[Industry Cost ($m)]]/Data[[#This Row],[Industry Consumption]]</f>
        <v>3.1896106578539709</v>
      </c>
      <c r="AL71" s="919">
        <f>Data[[#This Row],[AAL Fuel Cost]]/Data[[#This Row],[AAL Consumption]]</f>
        <v>2.9436644552687841</v>
      </c>
      <c r="AM71" s="919">
        <f>Data[[#This Row],[DAL Fuel Cost]]/Data[[#This Row],[DAL Consumption]]</f>
        <v>3.814454560877679</v>
      </c>
      <c r="AN71" s="919">
        <f>Data[[#This Row],[UAL Fuel Cost]]/Data[[#This Row],[UALConsumption]]</f>
        <v>2.9795065151095095</v>
      </c>
      <c r="AO71" s="919">
        <f>Data[[#This Row],[LUV Fuel Cost]]/Data[[#This Row],[LUV Consumption]]</f>
        <v>2.7768718501104677</v>
      </c>
      <c r="AP71" s="919">
        <v>2.3149999999999999</v>
      </c>
      <c r="AQ71" s="783"/>
    </row>
    <row r="72" spans="1:43" s="253" customFormat="1">
      <c r="A72" s="263">
        <f t="shared" si="9"/>
        <v>39782</v>
      </c>
      <c r="B72" s="263" t="s">
        <v>357</v>
      </c>
      <c r="C72" s="277">
        <v>36.751654000000002</v>
      </c>
      <c r="D72" s="277">
        <v>7.3696589999999995</v>
      </c>
      <c r="E72" s="277">
        <v>5.6157309999999994</v>
      </c>
      <c r="F72" s="277">
        <v>5.338991</v>
      </c>
      <c r="G72" s="277">
        <v>8.3259969999999992</v>
      </c>
      <c r="H72" s="284">
        <f t="shared" si="5"/>
        <v>10.101276000000006</v>
      </c>
      <c r="I72" s="277">
        <v>27.499434000000001</v>
      </c>
      <c r="J72" s="277">
        <v>5.7677690000000004</v>
      </c>
      <c r="K72" s="277">
        <v>4.576206</v>
      </c>
      <c r="L72" s="277">
        <v>4.2404460000000004</v>
      </c>
      <c r="M72" s="277">
        <v>5.2636459999999996</v>
      </c>
      <c r="N72" s="284">
        <f t="shared" si="6"/>
        <v>7.6513670000000005</v>
      </c>
      <c r="O72" s="277">
        <v>47.658141000000001</v>
      </c>
      <c r="P72" s="277">
        <v>5.1308730000000002</v>
      </c>
      <c r="Q72" s="277">
        <v>4.7240900000000003</v>
      </c>
      <c r="R72" s="277">
        <v>3.5509469999999999</v>
      </c>
      <c r="S72" s="277">
        <v>7.4474539999999996</v>
      </c>
      <c r="T72" s="284">
        <f t="shared" si="7"/>
        <v>26.804776999999998</v>
      </c>
      <c r="U72" s="920">
        <v>10005.075999999999</v>
      </c>
      <c r="V72" s="920">
        <v>1074.3663333333334</v>
      </c>
      <c r="W72" s="920">
        <v>1081.8709999999999</v>
      </c>
      <c r="X72" s="920">
        <v>976.15933333333339</v>
      </c>
      <c r="Y72" s="920">
        <v>911.32133333333331</v>
      </c>
      <c r="Z72" s="874">
        <f t="shared" si="8"/>
        <v>5961.3579999999984</v>
      </c>
      <c r="AA72" s="920">
        <v>909.1</v>
      </c>
      <c r="AB72" s="277">
        <v>125.383</v>
      </c>
      <c r="AC72" s="920">
        <v>84.587999999999994</v>
      </c>
      <c r="AD72" s="920">
        <v>80.293000000000006</v>
      </c>
      <c r="AE72" s="920">
        <v>118.697</v>
      </c>
      <c r="AF72" s="920">
        <v>2276.1999999999998</v>
      </c>
      <c r="AG72" s="277">
        <v>331.94400000000002</v>
      </c>
      <c r="AH72" s="920">
        <v>272.07600000000002</v>
      </c>
      <c r="AI72" s="920">
        <v>202.15100000000001</v>
      </c>
      <c r="AJ72" s="920">
        <v>277.10300000000001</v>
      </c>
      <c r="AK72" s="919">
        <f>Data[[#This Row],[Industry Cost ($m)]]/Data[[#This Row],[Industry Consumption]]</f>
        <v>2.5037949620503794</v>
      </c>
      <c r="AL72" s="919">
        <f>Data[[#This Row],[AAL Fuel Cost]]/Data[[#This Row],[AAL Consumption]]</f>
        <v>2.6474402430951565</v>
      </c>
      <c r="AM72" s="919">
        <f>Data[[#This Row],[DAL Fuel Cost]]/Data[[#This Row],[DAL Consumption]]</f>
        <v>3.2164846077457798</v>
      </c>
      <c r="AN72" s="919">
        <f>Data[[#This Row],[UAL Fuel Cost]]/Data[[#This Row],[UALConsumption]]</f>
        <v>2.5176665462742704</v>
      </c>
      <c r="AO72" s="919">
        <f>Data[[#This Row],[LUV Fuel Cost]]/Data[[#This Row],[LUV Consumption]]</f>
        <v>2.3345408898287237</v>
      </c>
      <c r="AP72" s="919">
        <v>1.88</v>
      </c>
      <c r="AQ72" s="783"/>
    </row>
    <row r="73" spans="1:43" s="253" customFormat="1">
      <c r="A73" s="263">
        <f t="shared" si="9"/>
        <v>39813</v>
      </c>
      <c r="B73" s="263" t="s">
        <v>357</v>
      </c>
      <c r="C73" s="277">
        <v>37.928798999999998</v>
      </c>
      <c r="D73" s="277">
        <v>7.7109059999999996</v>
      </c>
      <c r="E73" s="277">
        <v>5.8031310000000005</v>
      </c>
      <c r="F73" s="277">
        <v>5.6274560000000005</v>
      </c>
      <c r="G73" s="277">
        <v>8.3190519999999992</v>
      </c>
      <c r="H73" s="284">
        <f t="shared" si="5"/>
        <v>10.468253999999998</v>
      </c>
      <c r="I73" s="277">
        <v>29.719971000000001</v>
      </c>
      <c r="J73" s="277">
        <v>6.2695559999999997</v>
      </c>
      <c r="K73" s="277">
        <v>4.8663650000000001</v>
      </c>
      <c r="L73" s="277">
        <v>4.6016279999999998</v>
      </c>
      <c r="M73" s="277">
        <v>5.7948630000000003</v>
      </c>
      <c r="N73" s="284">
        <f t="shared" si="6"/>
        <v>8.1875590000000003</v>
      </c>
      <c r="O73" s="277">
        <v>50.253799999999998</v>
      </c>
      <c r="P73" s="277">
        <v>5.5575549999999998</v>
      </c>
      <c r="Q73" s="277">
        <v>4.8222699999999996</v>
      </c>
      <c r="R73" s="277">
        <v>3.781104</v>
      </c>
      <c r="S73" s="277">
        <v>7.9648289999999999</v>
      </c>
      <c r="T73" s="284">
        <f t="shared" si="7"/>
        <v>28.128042000000001</v>
      </c>
      <c r="U73" s="920">
        <v>10005.075999999999</v>
      </c>
      <c r="V73" s="920">
        <v>1074.3663333333334</v>
      </c>
      <c r="W73" s="920">
        <v>1081.8709999999999</v>
      </c>
      <c r="X73" s="920">
        <v>976.15933333333339</v>
      </c>
      <c r="Y73" s="920">
        <v>911.32133333333331</v>
      </c>
      <c r="Z73" s="874">
        <f t="shared" si="8"/>
        <v>5961.3579999999984</v>
      </c>
      <c r="AA73" s="920">
        <v>975</v>
      </c>
      <c r="AB73" s="277">
        <v>133.66800000000001</v>
      </c>
      <c r="AC73" s="920">
        <v>88.224000000000004</v>
      </c>
      <c r="AD73" s="920">
        <v>86.822000000000003</v>
      </c>
      <c r="AE73" s="920">
        <v>121.705</v>
      </c>
      <c r="AF73" s="920">
        <v>1930.6</v>
      </c>
      <c r="AG73" s="277">
        <v>288.12</v>
      </c>
      <c r="AH73" s="920">
        <v>236.75200000000001</v>
      </c>
      <c r="AI73" s="920">
        <v>163.988</v>
      </c>
      <c r="AJ73" s="920">
        <v>246.941</v>
      </c>
      <c r="AK73" s="919">
        <f>Data[[#This Row],[Industry Cost ($m)]]/Data[[#This Row],[Industry Consumption]]</f>
        <v>1.980102564102564</v>
      </c>
      <c r="AL73" s="919">
        <f>Data[[#This Row],[AAL Fuel Cost]]/Data[[#This Row],[AAL Consumption]]</f>
        <v>2.1554897208007899</v>
      </c>
      <c r="AM73" s="919">
        <f>Data[[#This Row],[DAL Fuel Cost]]/Data[[#This Row],[DAL Consumption]]</f>
        <v>2.6835328255350017</v>
      </c>
      <c r="AN73" s="919">
        <f>Data[[#This Row],[UAL Fuel Cost]]/Data[[#This Row],[UALConsumption]]</f>
        <v>1.8887839487687452</v>
      </c>
      <c r="AO73" s="919">
        <f>Data[[#This Row],[LUV Fuel Cost]]/Data[[#This Row],[LUV Consumption]]</f>
        <v>2.0290127767963519</v>
      </c>
      <c r="AP73" s="919">
        <v>1.375</v>
      </c>
      <c r="AQ73" s="783">
        <f>AVERAGE(AP71:AP73)</f>
        <v>1.8566666666666667</v>
      </c>
    </row>
    <row r="74" spans="1:43" s="253" customFormat="1">
      <c r="A74" s="263">
        <f t="shared" si="9"/>
        <v>39844</v>
      </c>
      <c r="B74" s="263" t="s">
        <v>357</v>
      </c>
      <c r="C74" s="277">
        <v>37.320194999999998</v>
      </c>
      <c r="D74" s="277">
        <v>7.6867730000000005</v>
      </c>
      <c r="E74" s="277">
        <v>5.7028159999999994</v>
      </c>
      <c r="F74" s="277">
        <v>5.3900959999999998</v>
      </c>
      <c r="G74" s="277">
        <v>8.1732399999999998</v>
      </c>
      <c r="H74" s="284">
        <f t="shared" si="5"/>
        <v>10.367269999999998</v>
      </c>
      <c r="I74" s="277">
        <v>26.872243999999998</v>
      </c>
      <c r="J74" s="277">
        <v>5.758311</v>
      </c>
      <c r="K74" s="277">
        <v>4.4490639999999999</v>
      </c>
      <c r="L74" s="277">
        <v>4.1703869999999998</v>
      </c>
      <c r="M74" s="277">
        <v>5.1357860000000004</v>
      </c>
      <c r="N74" s="284">
        <f t="shared" si="6"/>
        <v>7.3586959999999983</v>
      </c>
      <c r="O74" s="277">
        <v>44.825055999999996</v>
      </c>
      <c r="P74" s="277">
        <v>5.0467940000000002</v>
      </c>
      <c r="Q74" s="277">
        <v>4.3514629999999999</v>
      </c>
      <c r="R74" s="277">
        <v>3.3793709999999999</v>
      </c>
      <c r="S74" s="277">
        <v>6.9935660000000004</v>
      </c>
      <c r="T74" s="284">
        <f t="shared" si="7"/>
        <v>25.053861999999995</v>
      </c>
      <c r="U74" s="920">
        <v>8727.7953333333335</v>
      </c>
      <c r="V74" s="920">
        <v>963.41466666666668</v>
      </c>
      <c r="W74" s="920">
        <v>991.70433333333324</v>
      </c>
      <c r="X74" s="920">
        <v>812.30633333333333</v>
      </c>
      <c r="Y74" s="920">
        <v>785.52433333333329</v>
      </c>
      <c r="Z74" s="874">
        <f t="shared" si="8"/>
        <v>5174.8456666666671</v>
      </c>
      <c r="AA74" s="920">
        <v>922.1</v>
      </c>
      <c r="AB74" s="277">
        <v>130.72300000000001</v>
      </c>
      <c r="AC74" s="920">
        <v>85.837999999999994</v>
      </c>
      <c r="AD74" s="920">
        <v>82.126999999999995</v>
      </c>
      <c r="AE74" s="920">
        <v>117.23099999999999</v>
      </c>
      <c r="AF74" s="920">
        <v>1620.4</v>
      </c>
      <c r="AG74" s="277">
        <v>256.80900000000003</v>
      </c>
      <c r="AH74" s="920">
        <v>243.91900000000001</v>
      </c>
      <c r="AI74" s="920">
        <v>141.76900000000001</v>
      </c>
      <c r="AJ74" s="920">
        <v>236.98400000000001</v>
      </c>
      <c r="AK74" s="919">
        <f>Data[[#This Row],[Industry Cost ($m)]]/Data[[#This Row],[Industry Consumption]]</f>
        <v>1.7572931352347902</v>
      </c>
      <c r="AL74" s="919">
        <f>Data[[#This Row],[AAL Fuel Cost]]/Data[[#This Row],[AAL Consumption]]</f>
        <v>1.9645280478569189</v>
      </c>
      <c r="AM74" s="919">
        <f>Data[[#This Row],[DAL Fuel Cost]]/Data[[#This Row],[DAL Consumption]]</f>
        <v>2.8416202614226802</v>
      </c>
      <c r="AN74" s="919">
        <f>Data[[#This Row],[UAL Fuel Cost]]/Data[[#This Row],[UALConsumption]]</f>
        <v>1.7262167131394062</v>
      </c>
      <c r="AO74" s="919">
        <f>Data[[#This Row],[LUV Fuel Cost]]/Data[[#This Row],[LUV Consumption]]</f>
        <v>2.0215130810109954</v>
      </c>
      <c r="AP74" s="919">
        <v>1.4690000000000001</v>
      </c>
      <c r="AQ74" s="783"/>
    </row>
    <row r="75" spans="1:43" s="253" customFormat="1">
      <c r="A75" s="263">
        <f t="shared" si="9"/>
        <v>39872</v>
      </c>
      <c r="B75" s="263" t="s">
        <v>357</v>
      </c>
      <c r="C75" s="277">
        <v>34.397255999999999</v>
      </c>
      <c r="D75" s="277">
        <v>6.9691710000000002</v>
      </c>
      <c r="E75" s="277">
        <v>5.1664750000000002</v>
      </c>
      <c r="F75" s="277">
        <v>5.1569309999999993</v>
      </c>
      <c r="G75" s="277">
        <v>7.3920290000000008</v>
      </c>
      <c r="H75" s="284">
        <f t="shared" si="5"/>
        <v>9.7126499999999965</v>
      </c>
      <c r="I75" s="277">
        <v>25.746207999999999</v>
      </c>
      <c r="J75" s="277">
        <v>5.4235949999999997</v>
      </c>
      <c r="K75" s="277">
        <v>4.067939</v>
      </c>
      <c r="L75" s="277">
        <v>3.9896820000000002</v>
      </c>
      <c r="M75" s="277">
        <v>5.1048090000000004</v>
      </c>
      <c r="N75" s="284">
        <f t="shared" si="6"/>
        <v>7.160183</v>
      </c>
      <c r="O75" s="277">
        <v>43.680328000000003</v>
      </c>
      <c r="P75" s="277">
        <v>4.8171780000000002</v>
      </c>
      <c r="Q75" s="277">
        <v>4.0125820000000001</v>
      </c>
      <c r="R75" s="277">
        <v>3.260853</v>
      </c>
      <c r="S75" s="277">
        <v>7.0680379999999996</v>
      </c>
      <c r="T75" s="284">
        <f t="shared" si="7"/>
        <v>24.521677000000004</v>
      </c>
      <c r="U75" s="920">
        <v>8727.7953333333335</v>
      </c>
      <c r="V75" s="920">
        <v>963.41466666666668</v>
      </c>
      <c r="W75" s="920">
        <v>991.70433333333324</v>
      </c>
      <c r="X75" s="920">
        <v>812.30633333333333</v>
      </c>
      <c r="Y75" s="920">
        <v>785.52433333333329</v>
      </c>
      <c r="Z75" s="874">
        <f t="shared" si="8"/>
        <v>5174.8456666666671</v>
      </c>
      <c r="AA75" s="920">
        <v>849.6</v>
      </c>
      <c r="AB75" s="277">
        <v>118.453</v>
      </c>
      <c r="AC75" s="920">
        <v>77.153999999999996</v>
      </c>
      <c r="AD75" s="920">
        <v>77.381</v>
      </c>
      <c r="AE75" s="920">
        <v>106.75</v>
      </c>
      <c r="AF75" s="920">
        <v>1567.3</v>
      </c>
      <c r="AG75" s="277">
        <v>256.81799999999998</v>
      </c>
      <c r="AH75" s="920">
        <v>238.45500000000001</v>
      </c>
      <c r="AI75" s="920">
        <v>121.709</v>
      </c>
      <c r="AJ75" s="920">
        <v>213.411</v>
      </c>
      <c r="AK75" s="919">
        <f>Data[[#This Row],[Industry Cost ($m)]]/Data[[#This Row],[Industry Consumption]]</f>
        <v>1.8447504708097928</v>
      </c>
      <c r="AL75" s="919">
        <f>Data[[#This Row],[AAL Fuel Cost]]/Data[[#This Row],[AAL Consumption]]</f>
        <v>2.1681004280178633</v>
      </c>
      <c r="AM75" s="919">
        <f>Data[[#This Row],[DAL Fuel Cost]]/Data[[#This Row],[DAL Consumption]]</f>
        <v>3.0906369080021778</v>
      </c>
      <c r="AN75" s="919">
        <f>Data[[#This Row],[UAL Fuel Cost]]/Data[[#This Row],[UALConsumption]]</f>
        <v>1.5728538013207376</v>
      </c>
      <c r="AO75" s="919">
        <f>Data[[#This Row],[LUV Fuel Cost]]/Data[[#This Row],[LUV Consumption]]</f>
        <v>1.9991662763466043</v>
      </c>
      <c r="AP75" s="919">
        <v>1.2589999999999999</v>
      </c>
      <c r="AQ75" s="783"/>
    </row>
    <row r="76" spans="1:43" s="253" customFormat="1">
      <c r="A76" s="263">
        <f t="shared" si="9"/>
        <v>39903</v>
      </c>
      <c r="B76" s="263" t="s">
        <v>357</v>
      </c>
      <c r="C76" s="277">
        <v>39.285454000000001</v>
      </c>
      <c r="D76" s="277">
        <v>7.776516</v>
      </c>
      <c r="E76" s="277">
        <v>5.8330079999999995</v>
      </c>
      <c r="F76" s="277">
        <v>6.0076340000000004</v>
      </c>
      <c r="G76" s="277">
        <v>8.6084680000000002</v>
      </c>
      <c r="H76" s="284">
        <f t="shared" si="5"/>
        <v>11.059828000000003</v>
      </c>
      <c r="I76" s="277">
        <v>31.730671999999998</v>
      </c>
      <c r="J76" s="277">
        <v>6.463616</v>
      </c>
      <c r="K76" s="277">
        <v>4.8554649999999997</v>
      </c>
      <c r="L76" s="277">
        <v>4.9907009999999996</v>
      </c>
      <c r="M76" s="277">
        <v>6.6523250000000003</v>
      </c>
      <c r="N76" s="284">
        <f t="shared" si="6"/>
        <v>8.7685649999999988</v>
      </c>
      <c r="O76" s="277">
        <v>53.534891000000002</v>
      </c>
      <c r="P76" s="277">
        <v>5.7883079999999998</v>
      </c>
      <c r="Q76" s="277">
        <v>4.7319139999999997</v>
      </c>
      <c r="R76" s="277">
        <v>4.0832790000000001</v>
      </c>
      <c r="S76" s="277">
        <v>8.9883860000000002</v>
      </c>
      <c r="T76" s="284">
        <f t="shared" si="7"/>
        <v>29.943004000000002</v>
      </c>
      <c r="U76" s="920">
        <v>8727.7953333333335</v>
      </c>
      <c r="V76" s="920">
        <v>963.41466666666668</v>
      </c>
      <c r="W76" s="920">
        <v>991.70433333333324</v>
      </c>
      <c r="X76" s="920">
        <v>812.30633333333333</v>
      </c>
      <c r="Y76" s="920">
        <v>785.52433333333329</v>
      </c>
      <c r="Z76" s="874">
        <f t="shared" si="8"/>
        <v>5174.8456666666671</v>
      </c>
      <c r="AA76" s="920">
        <v>966.3</v>
      </c>
      <c r="AB76" s="277">
        <v>133.762</v>
      </c>
      <c r="AC76" s="920">
        <v>87.512</v>
      </c>
      <c r="AD76" s="920">
        <v>89.903000000000006</v>
      </c>
      <c r="AE76" s="920">
        <v>125.22799999999999</v>
      </c>
      <c r="AF76" s="920">
        <v>1587</v>
      </c>
      <c r="AG76" s="277">
        <v>260.30799999999999</v>
      </c>
      <c r="AH76" s="920">
        <v>242.91800000000001</v>
      </c>
      <c r="AI76" s="920">
        <v>127.917</v>
      </c>
      <c r="AJ76" s="920">
        <v>212.45699999999999</v>
      </c>
      <c r="AK76" s="919">
        <f>Data[[#This Row],[Industry Cost ($m)]]/Data[[#This Row],[Industry Consumption]]</f>
        <v>1.6423470971747904</v>
      </c>
      <c r="AL76" s="919">
        <f>Data[[#This Row],[AAL Fuel Cost]]/Data[[#This Row],[AAL Consumption]]</f>
        <v>1.9460534381961991</v>
      </c>
      <c r="AM76" s="919">
        <f>Data[[#This Row],[DAL Fuel Cost]]/Data[[#This Row],[DAL Consumption]]</f>
        <v>2.7758250297102114</v>
      </c>
      <c r="AN76" s="919">
        <f>Data[[#This Row],[UAL Fuel Cost]]/Data[[#This Row],[UALConsumption]]</f>
        <v>1.4228334983259734</v>
      </c>
      <c r="AO76" s="919">
        <f>Data[[#This Row],[LUV Fuel Cost]]/Data[[#This Row],[LUV Consumption]]</f>
        <v>1.6965614718752995</v>
      </c>
      <c r="AP76" s="919">
        <v>1.268</v>
      </c>
      <c r="AQ76" s="783">
        <f>AVERAGE(AP74:AP76)</f>
        <v>1.3319999999999999</v>
      </c>
    </row>
    <row r="77" spans="1:43" s="253" customFormat="1">
      <c r="A77" s="263">
        <f t="shared" si="9"/>
        <v>39933</v>
      </c>
      <c r="B77" s="263" t="s">
        <v>357</v>
      </c>
      <c r="C77" s="277">
        <v>37.774853999999998</v>
      </c>
      <c r="D77" s="277">
        <v>7.5246760000000004</v>
      </c>
      <c r="E77" s="277">
        <v>5.5382470000000001</v>
      </c>
      <c r="F77" s="277">
        <v>5.5788199999999994</v>
      </c>
      <c r="G77" s="277">
        <v>8.4642199999999992</v>
      </c>
      <c r="H77" s="284">
        <f t="shared" si="5"/>
        <v>10.668890999999995</v>
      </c>
      <c r="I77" s="277">
        <v>30.829416999999999</v>
      </c>
      <c r="J77" s="277">
        <v>6.3628159999999996</v>
      </c>
      <c r="K77" s="277">
        <v>4.7173119999999997</v>
      </c>
      <c r="L77" s="277">
        <v>4.7616100000000001</v>
      </c>
      <c r="M77" s="277">
        <v>6.5183470000000003</v>
      </c>
      <c r="N77" s="284">
        <f t="shared" si="6"/>
        <v>8.4693320000000014</v>
      </c>
      <c r="O77" s="277">
        <v>52.247781000000003</v>
      </c>
      <c r="P77" s="277">
        <v>5.5988300000000004</v>
      </c>
      <c r="Q77" s="277">
        <v>4.6730099999999997</v>
      </c>
      <c r="R77" s="277">
        <v>3.8349340000000001</v>
      </c>
      <c r="S77" s="277">
        <v>8.8145039999999995</v>
      </c>
      <c r="T77" s="284">
        <f t="shared" si="7"/>
        <v>29.326503000000002</v>
      </c>
      <c r="U77" s="920">
        <v>9123.146999999999</v>
      </c>
      <c r="V77" s="920">
        <v>1000.5479999999999</v>
      </c>
      <c r="W77" s="920">
        <v>1027.0283333333334</v>
      </c>
      <c r="X77" s="920">
        <v>897.2736666666666</v>
      </c>
      <c r="Y77" s="920">
        <v>871.98799999999994</v>
      </c>
      <c r="Z77" s="874">
        <f t="shared" si="8"/>
        <v>5326.3089999999993</v>
      </c>
      <c r="AA77" s="920">
        <v>935.7</v>
      </c>
      <c r="AB77" s="277">
        <v>129.672</v>
      </c>
      <c r="AC77" s="920">
        <v>83.91</v>
      </c>
      <c r="AD77" s="920">
        <v>83.915999999999997</v>
      </c>
      <c r="AE77" s="920">
        <v>122.815</v>
      </c>
      <c r="AF77" s="920">
        <v>1629.3</v>
      </c>
      <c r="AG77" s="277">
        <v>254.37899999999999</v>
      </c>
      <c r="AH77" s="920">
        <v>219.00399999999999</v>
      </c>
      <c r="AI77" s="920">
        <v>128.76400000000001</v>
      </c>
      <c r="AJ77" s="920">
        <v>217.21799999999999</v>
      </c>
      <c r="AK77" s="919">
        <f>Data[[#This Row],[Industry Cost ($m)]]/Data[[#This Row],[Industry Consumption]]</f>
        <v>1.741263225392754</v>
      </c>
      <c r="AL77" s="919">
        <f>Data[[#This Row],[AAL Fuel Cost]]/Data[[#This Row],[AAL Consumption]]</f>
        <v>1.9617110864334628</v>
      </c>
      <c r="AM77" s="919">
        <f>Data[[#This Row],[DAL Fuel Cost]]/Data[[#This Row],[DAL Consumption]]</f>
        <v>2.6099868907162436</v>
      </c>
      <c r="AN77" s="919">
        <f>Data[[#This Row],[UAL Fuel Cost]]/Data[[#This Row],[UALConsumption]]</f>
        <v>1.5344392011058678</v>
      </c>
      <c r="AO77" s="919">
        <f>Data[[#This Row],[LUV Fuel Cost]]/Data[[#This Row],[LUV Consumption]]</f>
        <v>1.7686601799454464</v>
      </c>
      <c r="AP77" s="919">
        <v>1.369</v>
      </c>
      <c r="AQ77" s="783"/>
    </row>
    <row r="78" spans="1:43" s="253" customFormat="1">
      <c r="A78" s="263">
        <f t="shared" si="9"/>
        <v>39964</v>
      </c>
      <c r="B78" s="263" t="s">
        <v>357</v>
      </c>
      <c r="C78" s="277">
        <v>38.491123999999999</v>
      </c>
      <c r="D78" s="277">
        <v>7.7302270000000002</v>
      </c>
      <c r="E78" s="277">
        <v>5.498742</v>
      </c>
      <c r="F78" s="277">
        <v>5.6403720000000002</v>
      </c>
      <c r="G78" s="277">
        <v>8.6256599999999999</v>
      </c>
      <c r="H78" s="284">
        <f t="shared" si="5"/>
        <v>10.996123000000001</v>
      </c>
      <c r="I78" s="277">
        <v>31.095268000000001</v>
      </c>
      <c r="J78" s="277">
        <v>6.4232399999999998</v>
      </c>
      <c r="K78" s="277">
        <v>4.745393</v>
      </c>
      <c r="L78" s="277">
        <v>4.8035129999999997</v>
      </c>
      <c r="M78" s="277">
        <v>6.434844</v>
      </c>
      <c r="N78" s="284">
        <f t="shared" si="6"/>
        <v>8.6882780000000004</v>
      </c>
      <c r="O78" s="277">
        <v>52.951245999999998</v>
      </c>
      <c r="P78" s="277">
        <v>5.6593850000000003</v>
      </c>
      <c r="Q78" s="277">
        <v>4.695195</v>
      </c>
      <c r="R78" s="277">
        <v>3.905735</v>
      </c>
      <c r="S78" s="277">
        <v>8.6858249999999995</v>
      </c>
      <c r="T78" s="284">
        <f t="shared" si="7"/>
        <v>30.005105999999998</v>
      </c>
      <c r="U78" s="920">
        <v>9123.146999999999</v>
      </c>
      <c r="V78" s="920">
        <v>1000.5479999999999</v>
      </c>
      <c r="W78" s="920">
        <v>1027.0283333333334</v>
      </c>
      <c r="X78" s="920">
        <v>897.2736666666666</v>
      </c>
      <c r="Y78" s="920">
        <v>871.98799999999994</v>
      </c>
      <c r="Z78" s="874">
        <f t="shared" si="8"/>
        <v>5326.3089999999993</v>
      </c>
      <c r="AA78" s="920">
        <v>949.3</v>
      </c>
      <c r="AB78" s="277">
        <v>132.36799999999999</v>
      </c>
      <c r="AC78" s="920">
        <v>84.397000000000006</v>
      </c>
      <c r="AD78" s="920">
        <v>85.614000000000004</v>
      </c>
      <c r="AE78" s="920">
        <v>124.694</v>
      </c>
      <c r="AF78" s="920">
        <v>1648.6</v>
      </c>
      <c r="AG78" s="277">
        <v>254.14</v>
      </c>
      <c r="AH78" s="920">
        <v>212.18600000000001</v>
      </c>
      <c r="AI78" s="920">
        <v>133.04599999999999</v>
      </c>
      <c r="AJ78" s="920">
        <v>223.79300000000001</v>
      </c>
      <c r="AK78" s="919">
        <f>Data[[#This Row],[Industry Cost ($m)]]/Data[[#This Row],[Industry Consumption]]</f>
        <v>1.7366480564626567</v>
      </c>
      <c r="AL78" s="919">
        <f>Data[[#This Row],[AAL Fuel Cost]]/Data[[#This Row],[AAL Consumption]]</f>
        <v>1.9199504411942463</v>
      </c>
      <c r="AM78" s="919">
        <f>Data[[#This Row],[DAL Fuel Cost]]/Data[[#This Row],[DAL Consumption]]</f>
        <v>2.5141414979205421</v>
      </c>
      <c r="AN78" s="919">
        <f>Data[[#This Row],[UAL Fuel Cost]]/Data[[#This Row],[UALConsumption]]</f>
        <v>1.5540215385334173</v>
      </c>
      <c r="AO78" s="919">
        <f>Data[[#This Row],[LUV Fuel Cost]]/Data[[#This Row],[LUV Consumption]]</f>
        <v>1.7947375174426998</v>
      </c>
      <c r="AP78" s="919">
        <v>1.488</v>
      </c>
      <c r="AQ78" s="783"/>
    </row>
    <row r="79" spans="1:43" s="253" customFormat="1">
      <c r="A79" s="263">
        <f t="shared" si="9"/>
        <v>39994</v>
      </c>
      <c r="B79" s="263" t="s">
        <v>357</v>
      </c>
      <c r="C79" s="277">
        <v>38.931781999999998</v>
      </c>
      <c r="D79" s="277">
        <v>7.5097459999999998</v>
      </c>
      <c r="E79" s="277">
        <v>5.7093860000000003</v>
      </c>
      <c r="F79" s="277">
        <v>5.9503219999999999</v>
      </c>
      <c r="G79" s="277">
        <v>8.4651650000000007</v>
      </c>
      <c r="H79" s="284">
        <f t="shared" si="5"/>
        <v>11.297162999999998</v>
      </c>
      <c r="I79" s="277">
        <v>33.135142999999999</v>
      </c>
      <c r="J79" s="277">
        <v>6.654782</v>
      </c>
      <c r="K79" s="277">
        <v>5.1078200000000002</v>
      </c>
      <c r="L79" s="277">
        <v>5.297987</v>
      </c>
      <c r="M79" s="277">
        <v>6.7317539999999996</v>
      </c>
      <c r="N79" s="284">
        <f t="shared" si="6"/>
        <v>9.3428000000000004</v>
      </c>
      <c r="O79" s="277">
        <v>55.898026999999999</v>
      </c>
      <c r="P79" s="277">
        <v>5.901624</v>
      </c>
      <c r="Q79" s="277">
        <v>4.881087</v>
      </c>
      <c r="R79" s="277">
        <v>4.2135290000000003</v>
      </c>
      <c r="S79" s="277">
        <v>9.0051089999999991</v>
      </c>
      <c r="T79" s="284">
        <f t="shared" si="7"/>
        <v>31.896678000000001</v>
      </c>
      <c r="U79" s="920">
        <v>9123.146999999999</v>
      </c>
      <c r="V79" s="920">
        <v>1000.5479999999999</v>
      </c>
      <c r="W79" s="920">
        <v>1027.0283333333334</v>
      </c>
      <c r="X79" s="920">
        <v>897.2736666666666</v>
      </c>
      <c r="Y79" s="920">
        <v>871.98799999999994</v>
      </c>
      <c r="Z79" s="874">
        <f t="shared" si="8"/>
        <v>5326.3089999999993</v>
      </c>
      <c r="AA79" s="920">
        <v>973.1</v>
      </c>
      <c r="AB79" s="277">
        <v>130.89500000000001</v>
      </c>
      <c r="AC79" s="920">
        <v>102.267</v>
      </c>
      <c r="AD79" s="920">
        <v>91.126999999999995</v>
      </c>
      <c r="AE79" s="920">
        <v>123.827</v>
      </c>
      <c r="AF79" s="920">
        <v>1853.4</v>
      </c>
      <c r="AG79" s="277">
        <v>273.96499999999997</v>
      </c>
      <c r="AH79" s="920">
        <v>205.62799999999999</v>
      </c>
      <c r="AI79" s="920">
        <v>160.96899999999999</v>
      </c>
      <c r="AJ79" s="920">
        <v>249.072</v>
      </c>
      <c r="AK79" s="919">
        <f>Data[[#This Row],[Industry Cost ($m)]]/Data[[#This Row],[Industry Consumption]]</f>
        <v>1.9046346726955092</v>
      </c>
      <c r="AL79" s="919">
        <f>Data[[#This Row],[AAL Fuel Cost]]/Data[[#This Row],[AAL Consumption]]</f>
        <v>2.0930134840903012</v>
      </c>
      <c r="AM79" s="919">
        <f>Data[[#This Row],[DAL Fuel Cost]]/Data[[#This Row],[DAL Consumption]]</f>
        <v>2.0106974879482138</v>
      </c>
      <c r="AN79" s="919">
        <f>Data[[#This Row],[UAL Fuel Cost]]/Data[[#This Row],[UALConsumption]]</f>
        <v>1.7664248795636859</v>
      </c>
      <c r="AO79" s="919">
        <f>Data[[#This Row],[LUV Fuel Cost]]/Data[[#This Row],[LUV Consumption]]</f>
        <v>2.0114514605053824</v>
      </c>
      <c r="AP79" s="919">
        <v>1.8049999999999999</v>
      </c>
      <c r="AQ79" s="783">
        <f>AVERAGE(AP77:AP79)</f>
        <v>1.554</v>
      </c>
    </row>
    <row r="80" spans="1:43" s="253" customFormat="1">
      <c r="A80" s="263">
        <f t="shared" si="9"/>
        <v>40025</v>
      </c>
      <c r="B80" s="263" t="s">
        <v>357</v>
      </c>
      <c r="C80" s="277">
        <v>40.743408000000002</v>
      </c>
      <c r="D80" s="277">
        <v>7.8530299999999995</v>
      </c>
      <c r="E80" s="277">
        <v>6.1060559999999997</v>
      </c>
      <c r="F80" s="277">
        <v>6.2185249999999996</v>
      </c>
      <c r="G80" s="277">
        <v>8.704362999999999</v>
      </c>
      <c r="H80" s="284">
        <f t="shared" si="5"/>
        <v>11.861434000000003</v>
      </c>
      <c r="I80" s="277">
        <v>35.451583999999997</v>
      </c>
      <c r="J80" s="277">
        <v>7.0454340000000002</v>
      </c>
      <c r="K80" s="277">
        <v>5.5623370000000003</v>
      </c>
      <c r="L80" s="277">
        <v>5.5448370000000002</v>
      </c>
      <c r="M80" s="277">
        <v>7.2412520000000002</v>
      </c>
      <c r="N80" s="284">
        <f t="shared" si="6"/>
        <v>10.057723999999997</v>
      </c>
      <c r="O80" s="277">
        <v>59.468957000000003</v>
      </c>
      <c r="P80" s="277">
        <v>6.2357889999999996</v>
      </c>
      <c r="Q80" s="277">
        <v>5.2446809999999999</v>
      </c>
      <c r="R80" s="277">
        <v>4.4000399999999997</v>
      </c>
      <c r="S80" s="277">
        <v>9.5549990000000005</v>
      </c>
      <c r="T80" s="284">
        <f t="shared" si="7"/>
        <v>34.033448</v>
      </c>
      <c r="U80" s="920">
        <v>9405.4343333333327</v>
      </c>
      <c r="V80" s="920">
        <v>1015.7353333333334</v>
      </c>
      <c r="W80" s="920">
        <v>1019.7316666666667</v>
      </c>
      <c r="X80" s="920">
        <v>982.47666666666657</v>
      </c>
      <c r="Y80" s="920">
        <v>888.52799999999991</v>
      </c>
      <c r="Z80" s="874">
        <f t="shared" si="8"/>
        <v>5498.9626666666663</v>
      </c>
      <c r="AA80" s="920">
        <v>1026.3</v>
      </c>
      <c r="AB80" s="277">
        <v>136.209</v>
      </c>
      <c r="AC80" s="920">
        <v>113.947</v>
      </c>
      <c r="AD80" s="920">
        <v>94.917000000000002</v>
      </c>
      <c r="AE80" s="920">
        <v>127.82299999999999</v>
      </c>
      <c r="AF80" s="920">
        <v>1961.2</v>
      </c>
      <c r="AG80" s="277">
        <v>276.48399999999998</v>
      </c>
      <c r="AH80" s="920">
        <v>225.452</v>
      </c>
      <c r="AI80" s="920">
        <v>175</v>
      </c>
      <c r="AJ80" s="920">
        <v>274.63</v>
      </c>
      <c r="AK80" s="919">
        <f>Data[[#This Row],[Industry Cost ($m)]]/Data[[#This Row],[Industry Consumption]]</f>
        <v>1.9109422196238919</v>
      </c>
      <c r="AL80" s="919">
        <f>Data[[#This Row],[AAL Fuel Cost]]/Data[[#This Row],[AAL Consumption]]</f>
        <v>2.0298511845766432</v>
      </c>
      <c r="AM80" s="919">
        <f>Data[[#This Row],[DAL Fuel Cost]]/Data[[#This Row],[DAL Consumption]]</f>
        <v>1.9785689838258136</v>
      </c>
      <c r="AN80" s="919">
        <f>Data[[#This Row],[UAL Fuel Cost]]/Data[[#This Row],[UALConsumption]]</f>
        <v>1.8437160887933668</v>
      </c>
      <c r="AO80" s="919">
        <f>Data[[#This Row],[LUV Fuel Cost]]/Data[[#This Row],[LUV Consumption]]</f>
        <v>2.148517872370387</v>
      </c>
      <c r="AP80" s="919">
        <v>1.712</v>
      </c>
      <c r="AQ80" s="783"/>
    </row>
    <row r="81" spans="1:43" s="253" customFormat="1">
      <c r="A81" s="263">
        <f t="shared" si="9"/>
        <v>40056</v>
      </c>
      <c r="B81" s="263" t="s">
        <v>357</v>
      </c>
      <c r="C81" s="277">
        <v>40.067078000000002</v>
      </c>
      <c r="D81" s="277">
        <v>7.8287569999999995</v>
      </c>
      <c r="E81" s="277">
        <v>6.0196560000000003</v>
      </c>
      <c r="F81" s="277">
        <v>6.1547389999999993</v>
      </c>
      <c r="G81" s="277">
        <v>8.3446039999999986</v>
      </c>
      <c r="H81" s="284">
        <f t="shared" si="5"/>
        <v>11.719322000000005</v>
      </c>
      <c r="I81" s="277">
        <v>34.003354000000002</v>
      </c>
      <c r="J81" s="277">
        <v>6.7423060000000001</v>
      </c>
      <c r="K81" s="277">
        <v>5.3792450000000001</v>
      </c>
      <c r="L81" s="277">
        <v>5.4158189999999999</v>
      </c>
      <c r="M81" s="277">
        <v>6.6943590000000004</v>
      </c>
      <c r="N81" s="284">
        <f t="shared" si="6"/>
        <v>9.7716250000000002</v>
      </c>
      <c r="O81" s="277">
        <v>56.568179999999998</v>
      </c>
      <c r="P81" s="277">
        <v>5.8738739999999998</v>
      </c>
      <c r="Q81" s="277">
        <v>5.0603309999999997</v>
      </c>
      <c r="R81" s="277">
        <v>4.2892580000000002</v>
      </c>
      <c r="S81" s="277">
        <v>8.890924</v>
      </c>
      <c r="T81" s="284">
        <f t="shared" si="7"/>
        <v>32.453792999999997</v>
      </c>
      <c r="U81" s="920">
        <v>9405.4343333333327</v>
      </c>
      <c r="V81" s="920">
        <v>1015.7353333333334</v>
      </c>
      <c r="W81" s="920">
        <v>1019.7316666666667</v>
      </c>
      <c r="X81" s="920">
        <v>982.47666666666657</v>
      </c>
      <c r="Y81" s="920">
        <v>888.52799999999991</v>
      </c>
      <c r="Z81" s="874">
        <f t="shared" si="8"/>
        <v>5498.9626666666663</v>
      </c>
      <c r="AA81" s="920">
        <v>969.5</v>
      </c>
      <c r="AB81" s="277">
        <v>133.90299999999999</v>
      </c>
      <c r="AC81" s="920">
        <v>92.427999999999997</v>
      </c>
      <c r="AD81" s="920">
        <v>94.451999999999998</v>
      </c>
      <c r="AE81" s="920">
        <v>122.45</v>
      </c>
      <c r="AF81" s="920">
        <v>1965.4</v>
      </c>
      <c r="AG81" s="277">
        <v>285.48399999999998</v>
      </c>
      <c r="AH81" s="920">
        <v>213.791</v>
      </c>
      <c r="AI81" s="920">
        <v>179.27</v>
      </c>
      <c r="AJ81" s="920">
        <v>267.04700000000003</v>
      </c>
      <c r="AK81" s="919">
        <f>Data[[#This Row],[Industry Cost ($m)]]/Data[[#This Row],[Industry Consumption]]</f>
        <v>2.0272305312016505</v>
      </c>
      <c r="AL81" s="919">
        <f>Data[[#This Row],[AAL Fuel Cost]]/Data[[#This Row],[AAL Consumption]]</f>
        <v>2.1320209405315786</v>
      </c>
      <c r="AM81" s="919">
        <f>Data[[#This Row],[DAL Fuel Cost]]/Data[[#This Row],[DAL Consumption]]</f>
        <v>2.3130544856536979</v>
      </c>
      <c r="AN81" s="919">
        <f>Data[[#This Row],[UAL Fuel Cost]]/Data[[#This Row],[UALConsumption]]</f>
        <v>1.8980011010883837</v>
      </c>
      <c r="AO81" s="919">
        <f>Data[[#This Row],[LUV Fuel Cost]]/Data[[#This Row],[LUV Consumption]]</f>
        <v>2.1808656594528379</v>
      </c>
      <c r="AP81" s="919">
        <v>1.885</v>
      </c>
      <c r="AQ81" s="783"/>
    </row>
    <row r="82" spans="1:43" s="253" customFormat="1">
      <c r="A82" s="263">
        <f t="shared" si="9"/>
        <v>40086</v>
      </c>
      <c r="B82" s="263" t="s">
        <v>357</v>
      </c>
      <c r="C82" s="277">
        <v>36.001601000000001</v>
      </c>
      <c r="D82" s="277">
        <v>7.2771739999999996</v>
      </c>
      <c r="E82" s="277">
        <v>5.2415929999999999</v>
      </c>
      <c r="F82" s="277">
        <v>5.2946490000000006</v>
      </c>
      <c r="G82" s="277">
        <v>7.7241459999999993</v>
      </c>
      <c r="H82" s="284">
        <f t="shared" si="5"/>
        <v>10.464039</v>
      </c>
      <c r="I82" s="277">
        <v>28.464324000000001</v>
      </c>
      <c r="J82" s="277">
        <v>5.8002760000000002</v>
      </c>
      <c r="K82" s="277">
        <v>4.383292</v>
      </c>
      <c r="L82" s="277">
        <v>4.3695680000000001</v>
      </c>
      <c r="M82" s="277">
        <v>5.7724460000000004</v>
      </c>
      <c r="N82" s="284">
        <f t="shared" si="6"/>
        <v>8.138741999999997</v>
      </c>
      <c r="O82" s="277">
        <v>48.235025</v>
      </c>
      <c r="P82" s="277">
        <v>5.0680300000000003</v>
      </c>
      <c r="Q82" s="277">
        <v>4.3808619999999996</v>
      </c>
      <c r="R82" s="277">
        <v>3.554837</v>
      </c>
      <c r="S82" s="277">
        <v>7.950437</v>
      </c>
      <c r="T82" s="284">
        <f t="shared" si="7"/>
        <v>27.280859</v>
      </c>
      <c r="U82" s="920">
        <v>9405.4343333333327</v>
      </c>
      <c r="V82" s="920">
        <v>1015.7353333333334</v>
      </c>
      <c r="W82" s="920">
        <v>1019.7316666666667</v>
      </c>
      <c r="X82" s="920">
        <v>982.47666666666657</v>
      </c>
      <c r="Y82" s="920">
        <v>888.52799999999991</v>
      </c>
      <c r="Z82" s="874">
        <f t="shared" si="8"/>
        <v>5498.9626666666663</v>
      </c>
      <c r="AA82" s="920">
        <v>870.8</v>
      </c>
      <c r="AB82" s="277">
        <v>132.04900000000001</v>
      </c>
      <c r="AC82" s="920">
        <v>80.712000000000003</v>
      </c>
      <c r="AD82" s="920">
        <v>80.001000000000005</v>
      </c>
      <c r="AE82" s="920">
        <v>112.384</v>
      </c>
      <c r="AF82" s="920">
        <v>1735.9</v>
      </c>
      <c r="AG82" s="277">
        <v>257.11799999999999</v>
      </c>
      <c r="AH82" s="920">
        <v>195.33099999999999</v>
      </c>
      <c r="AI82" s="920">
        <v>155.31399999999999</v>
      </c>
      <c r="AJ82" s="920">
        <v>242.428</v>
      </c>
      <c r="AK82" s="919">
        <f>Data[[#This Row],[Industry Cost ($m)]]/Data[[#This Row],[Industry Consumption]]</f>
        <v>1.9934542949012404</v>
      </c>
      <c r="AL82" s="919">
        <f>Data[[#This Row],[AAL Fuel Cost]]/Data[[#This Row],[AAL Consumption]]</f>
        <v>1.947140834084317</v>
      </c>
      <c r="AM82" s="919">
        <f>Data[[#This Row],[DAL Fuel Cost]]/Data[[#This Row],[DAL Consumption]]</f>
        <v>2.420098622261869</v>
      </c>
      <c r="AN82" s="919">
        <f>Data[[#This Row],[UAL Fuel Cost]]/Data[[#This Row],[UALConsumption]]</f>
        <v>1.9414007324908436</v>
      </c>
      <c r="AO82" s="919">
        <f>Data[[#This Row],[LUV Fuel Cost]]/Data[[#This Row],[LUV Consumption]]</f>
        <v>2.1571398063781322</v>
      </c>
      <c r="AP82" s="919">
        <v>1.7490000000000001</v>
      </c>
      <c r="AQ82" s="783">
        <f>AVERAGE(AP80:AP82)</f>
        <v>1.782</v>
      </c>
    </row>
    <row r="83" spans="1:43" s="253" customFormat="1">
      <c r="A83" s="263">
        <f t="shared" si="9"/>
        <v>40117</v>
      </c>
      <c r="B83" s="263" t="s">
        <v>357</v>
      </c>
      <c r="C83" s="277">
        <v>37.290928999999998</v>
      </c>
      <c r="D83" s="277">
        <v>7.5066199999999998</v>
      </c>
      <c r="E83" s="277">
        <v>5.4699089999999995</v>
      </c>
      <c r="F83" s="277">
        <v>5.5234359999999993</v>
      </c>
      <c r="G83" s="277">
        <v>7.9878479999999996</v>
      </c>
      <c r="H83" s="284">
        <f t="shared" si="5"/>
        <v>10.803115999999999</v>
      </c>
      <c r="I83" s="277">
        <v>30.658072000000001</v>
      </c>
      <c r="J83" s="277">
        <v>6.3119100000000001</v>
      </c>
      <c r="K83" s="277">
        <v>4.6726970000000003</v>
      </c>
      <c r="L83" s="277">
        <v>4.7230249999999998</v>
      </c>
      <c r="M83" s="277">
        <v>6.3257009999999996</v>
      </c>
      <c r="N83" s="284">
        <f t="shared" si="6"/>
        <v>8.6247390000000017</v>
      </c>
      <c r="O83" s="277">
        <v>52.279404999999997</v>
      </c>
      <c r="P83" s="277">
        <v>5.5829360000000001</v>
      </c>
      <c r="Q83" s="277">
        <v>4.7957660000000004</v>
      </c>
      <c r="R83" s="277">
        <v>3.805704</v>
      </c>
      <c r="S83" s="277">
        <v>8.7760789999999993</v>
      </c>
      <c r="T83" s="284">
        <f t="shared" si="7"/>
        <v>29.318919999999999</v>
      </c>
      <c r="U83" s="920">
        <v>9303.9623333333329</v>
      </c>
      <c r="V83" s="920">
        <v>1005.5120000000001</v>
      </c>
      <c r="W83" s="920">
        <v>985.5916666666667</v>
      </c>
      <c r="X83" s="920">
        <v>903.98566666666659</v>
      </c>
      <c r="Y83" s="920">
        <v>904.0723333333334</v>
      </c>
      <c r="Z83" s="874">
        <f t="shared" si="8"/>
        <v>5504.8006666666661</v>
      </c>
      <c r="AA83" s="920">
        <v>913.4</v>
      </c>
      <c r="AB83" s="277">
        <v>129.91900000000001</v>
      </c>
      <c r="AC83" s="920">
        <v>85.46</v>
      </c>
      <c r="AD83" s="920">
        <v>84.867999999999995</v>
      </c>
      <c r="AE83" s="920">
        <v>118.447</v>
      </c>
      <c r="AF83" s="920">
        <v>1821.3</v>
      </c>
      <c r="AG83" s="277">
        <v>267.87299999999999</v>
      </c>
      <c r="AH83" s="920">
        <v>184.14400000000001</v>
      </c>
      <c r="AI83" s="920">
        <v>166.85900000000001</v>
      </c>
      <c r="AJ83" s="920">
        <v>255</v>
      </c>
      <c r="AK83" s="919">
        <f>Data[[#This Row],[Industry Cost ($m)]]/Data[[#This Row],[Industry Consumption]]</f>
        <v>1.9939785417122837</v>
      </c>
      <c r="AL83" s="919">
        <f>Data[[#This Row],[AAL Fuel Cost]]/Data[[#This Row],[AAL Consumption]]</f>
        <v>2.06184622726468</v>
      </c>
      <c r="AM83" s="919">
        <f>Data[[#This Row],[DAL Fuel Cost]]/Data[[#This Row],[DAL Consumption]]</f>
        <v>2.1547390592089868</v>
      </c>
      <c r="AN83" s="919">
        <f>Data[[#This Row],[UAL Fuel Cost]]/Data[[#This Row],[UALConsumption]]</f>
        <v>1.9661002969317058</v>
      </c>
      <c r="AO83" s="919">
        <f>Data[[#This Row],[LUV Fuel Cost]]/Data[[#This Row],[LUV Consumption]]</f>
        <v>2.1528616174322694</v>
      </c>
      <c r="AP83" s="919">
        <v>1.9419999999999999</v>
      </c>
      <c r="AQ83" s="783"/>
    </row>
    <row r="84" spans="1:43" s="253" customFormat="1">
      <c r="A84" s="263">
        <f t="shared" si="9"/>
        <v>40147</v>
      </c>
      <c r="B84" s="263" t="s">
        <v>357</v>
      </c>
      <c r="C84" s="277">
        <v>35.860529999999997</v>
      </c>
      <c r="D84" s="277">
        <v>7.2412640000000001</v>
      </c>
      <c r="E84" s="277">
        <v>5.3244099999999994</v>
      </c>
      <c r="F84" s="277">
        <v>5.153276</v>
      </c>
      <c r="G84" s="277">
        <v>7.6866840000000005</v>
      </c>
      <c r="H84" s="284">
        <f t="shared" si="5"/>
        <v>10.454895999999998</v>
      </c>
      <c r="I84" s="277">
        <v>28.419322999999999</v>
      </c>
      <c r="J84" s="277">
        <v>5.8496589999999999</v>
      </c>
      <c r="K84" s="277">
        <v>4.3048229999999998</v>
      </c>
      <c r="L84" s="277">
        <v>4.2169800000000004</v>
      </c>
      <c r="M84" s="277">
        <v>5.8796330000000001</v>
      </c>
      <c r="N84" s="284">
        <f t="shared" si="6"/>
        <v>8.1682279999999992</v>
      </c>
      <c r="O84" s="277">
        <v>48.584831999999999</v>
      </c>
      <c r="P84" s="277">
        <v>5.1775159999999998</v>
      </c>
      <c r="Q84" s="277">
        <v>4.455362</v>
      </c>
      <c r="R84" s="277">
        <v>3.3695029999999999</v>
      </c>
      <c r="S84" s="277">
        <v>8.255414</v>
      </c>
      <c r="T84" s="284">
        <f t="shared" si="7"/>
        <v>27.327036999999997</v>
      </c>
      <c r="U84" s="920">
        <v>9303.9623333333329</v>
      </c>
      <c r="V84" s="920">
        <v>1005.5120000000001</v>
      </c>
      <c r="W84" s="920">
        <v>985.5916666666667</v>
      </c>
      <c r="X84" s="920">
        <v>903.98566666666659</v>
      </c>
      <c r="Y84" s="920">
        <v>904.0723333333334</v>
      </c>
      <c r="Z84" s="874">
        <f t="shared" si="8"/>
        <v>5504.8006666666661</v>
      </c>
      <c r="AA84" s="920">
        <v>845</v>
      </c>
      <c r="AB84" s="277">
        <v>120.974</v>
      </c>
      <c r="AC84" s="920">
        <v>81.113</v>
      </c>
      <c r="AD84" s="920">
        <v>76.921999999999997</v>
      </c>
      <c r="AE84" s="920">
        <v>110.65900000000001</v>
      </c>
      <c r="AF84" s="920">
        <v>1812.7</v>
      </c>
      <c r="AG84" s="277">
        <v>270.81400000000002</v>
      </c>
      <c r="AH84" s="920">
        <v>185.73400000000001</v>
      </c>
      <c r="AI84" s="920">
        <v>164.14099999999999</v>
      </c>
      <c r="AJ84" s="920">
        <v>247.32900000000001</v>
      </c>
      <c r="AK84" s="919">
        <f>Data[[#This Row],[Industry Cost ($m)]]/Data[[#This Row],[Industry Consumption]]</f>
        <v>2.1452071005917159</v>
      </c>
      <c r="AL84" s="919">
        <f>Data[[#This Row],[AAL Fuel Cost]]/Data[[#This Row],[AAL Consumption]]</f>
        <v>2.2386132557409031</v>
      </c>
      <c r="AM84" s="919">
        <f>Data[[#This Row],[DAL Fuel Cost]]/Data[[#This Row],[DAL Consumption]]</f>
        <v>2.2898179083500798</v>
      </c>
      <c r="AN84" s="919">
        <f>Data[[#This Row],[UAL Fuel Cost]]/Data[[#This Row],[UALConsumption]]</f>
        <v>2.1338628740802372</v>
      </c>
      <c r="AO84" s="919">
        <f>Data[[#This Row],[LUV Fuel Cost]]/Data[[#This Row],[LUV Consumption]]</f>
        <v>2.2350554405877516</v>
      </c>
      <c r="AP84" s="919">
        <v>1.986</v>
      </c>
      <c r="AQ84" s="783"/>
    </row>
    <row r="85" spans="1:43" s="253" customFormat="1">
      <c r="A85" s="263">
        <f t="shared" si="9"/>
        <v>40178</v>
      </c>
      <c r="B85" s="263" t="s">
        <v>357</v>
      </c>
      <c r="C85" s="277">
        <v>37.188625999999999</v>
      </c>
      <c r="D85" s="277">
        <v>7.576816</v>
      </c>
      <c r="E85" s="277">
        <v>5.4520990000000005</v>
      </c>
      <c r="F85" s="277">
        <v>5.4363260000000002</v>
      </c>
      <c r="G85" s="277">
        <v>7.8334930000000007</v>
      </c>
      <c r="H85" s="284">
        <f t="shared" si="5"/>
        <v>10.889891999999996</v>
      </c>
      <c r="I85" s="277">
        <v>29.612162000000001</v>
      </c>
      <c r="J85" s="277">
        <v>6.1309100000000001</v>
      </c>
      <c r="K85" s="277">
        <v>4.4264299999999999</v>
      </c>
      <c r="L85" s="277">
        <v>4.4347729999999999</v>
      </c>
      <c r="M85" s="277">
        <v>5.9711460000000001</v>
      </c>
      <c r="N85" s="284">
        <f t="shared" si="6"/>
        <v>8.6489030000000007</v>
      </c>
      <c r="O85" s="277">
        <v>49.793526999999997</v>
      </c>
      <c r="P85" s="277">
        <v>5.3922309999999998</v>
      </c>
      <c r="Q85" s="277">
        <v>4.344754</v>
      </c>
      <c r="R85" s="277">
        <v>3.4735680000000002</v>
      </c>
      <c r="S85" s="277">
        <v>8.3549469999999992</v>
      </c>
      <c r="T85" s="284">
        <f t="shared" si="7"/>
        <v>28.228026999999997</v>
      </c>
      <c r="U85" s="920">
        <v>9303.9623333333329</v>
      </c>
      <c r="V85" s="920">
        <v>1005.5120000000001</v>
      </c>
      <c r="W85" s="920">
        <v>985.5916666666667</v>
      </c>
      <c r="X85" s="920">
        <v>903.98566666666659</v>
      </c>
      <c r="Y85" s="920">
        <v>904.0723333333334</v>
      </c>
      <c r="Z85" s="874">
        <f t="shared" si="8"/>
        <v>5504.8006666666661</v>
      </c>
      <c r="AA85" s="920">
        <v>926.5</v>
      </c>
      <c r="AB85" s="277">
        <v>129.75899999999999</v>
      </c>
      <c r="AC85" s="920">
        <v>84.49</v>
      </c>
      <c r="AD85" s="920">
        <v>82.293999999999997</v>
      </c>
      <c r="AE85" s="920">
        <v>115.56100000000001</v>
      </c>
      <c r="AF85" s="920">
        <v>1965.9</v>
      </c>
      <c r="AG85" s="277">
        <v>295.14600000000002</v>
      </c>
      <c r="AH85" s="920">
        <v>196.21299999999999</v>
      </c>
      <c r="AI85" s="920">
        <v>163.982</v>
      </c>
      <c r="AJ85" s="920">
        <v>252.601</v>
      </c>
      <c r="AK85" s="919">
        <f>Data[[#This Row],[Industry Cost ($m)]]/Data[[#This Row],[Industry Consumption]]</f>
        <v>2.1218564490016192</v>
      </c>
      <c r="AL85" s="919">
        <f>Data[[#This Row],[AAL Fuel Cost]]/Data[[#This Row],[AAL Consumption]]</f>
        <v>2.2745705500196522</v>
      </c>
      <c r="AM85" s="919">
        <f>Data[[#This Row],[DAL Fuel Cost]]/Data[[#This Row],[DAL Consumption]]</f>
        <v>2.3223221683039412</v>
      </c>
      <c r="AN85" s="919">
        <f>Data[[#This Row],[UAL Fuel Cost]]/Data[[#This Row],[UALConsumption]]</f>
        <v>1.9926361581646292</v>
      </c>
      <c r="AO85" s="919">
        <f>Data[[#This Row],[LUV Fuel Cost]]/Data[[#This Row],[LUV Consumption]]</f>
        <v>2.185867204333642</v>
      </c>
      <c r="AP85" s="919">
        <v>1.9790000000000001</v>
      </c>
      <c r="AQ85" s="783">
        <f>AVERAGE(AP83:AP85)</f>
        <v>1.9690000000000001</v>
      </c>
    </row>
    <row r="86" spans="1:43" s="253" customFormat="1">
      <c r="A86" s="263">
        <f t="shared" si="9"/>
        <v>40209</v>
      </c>
      <c r="B86" s="263" t="s">
        <v>357</v>
      </c>
      <c r="C86" s="277">
        <v>40.088808999999998</v>
      </c>
      <c r="D86" s="277">
        <v>7.6463770000000002</v>
      </c>
      <c r="E86" s="277">
        <v>8.5114330000000002</v>
      </c>
      <c r="F86" s="277">
        <v>5.492362</v>
      </c>
      <c r="G86" s="277">
        <v>7.6232530000000001</v>
      </c>
      <c r="H86" s="284">
        <f t="shared" si="5"/>
        <v>10.815383999999995</v>
      </c>
      <c r="I86" s="277">
        <v>30.119185999999999</v>
      </c>
      <c r="J86" s="277">
        <v>5.7881970000000003</v>
      </c>
      <c r="K86" s="277">
        <v>6.5875700000000004</v>
      </c>
      <c r="L86" s="277">
        <v>4.2907289999999998</v>
      </c>
      <c r="M86" s="277">
        <v>5.4995219999999998</v>
      </c>
      <c r="N86" s="284">
        <f t="shared" si="6"/>
        <v>7.9531680000000016</v>
      </c>
      <c r="O86" s="277">
        <v>45.501620000000003</v>
      </c>
      <c r="P86" s="277">
        <v>5.0713200000000001</v>
      </c>
      <c r="Q86" s="277">
        <v>6.2698270000000003</v>
      </c>
      <c r="R86" s="277">
        <v>3.2567499999999998</v>
      </c>
      <c r="S86" s="277">
        <v>7.5760129999999997</v>
      </c>
      <c r="T86" s="284">
        <f t="shared" si="7"/>
        <v>23.327710000000003</v>
      </c>
      <c r="U86" s="920">
        <v>9081.39</v>
      </c>
      <c r="V86" s="920">
        <v>1012.8336666666668</v>
      </c>
      <c r="W86" s="920">
        <v>1547.3906666666664</v>
      </c>
      <c r="X86" s="920">
        <v>912.29533333333336</v>
      </c>
      <c r="Y86" s="920">
        <v>876.67933333333337</v>
      </c>
      <c r="Z86" s="874">
        <f t="shared" si="8"/>
        <v>4732.1909999999998</v>
      </c>
      <c r="AA86" s="920">
        <v>872.7</v>
      </c>
      <c r="AB86" s="277">
        <v>128.33600000000001</v>
      </c>
      <c r="AC86" s="920">
        <v>128.69</v>
      </c>
      <c r="AD86" s="920">
        <v>78.471000000000004</v>
      </c>
      <c r="AE86" s="920">
        <v>110.70699999999999</v>
      </c>
      <c r="AF86" s="920">
        <v>1931.6</v>
      </c>
      <c r="AG86" s="277">
        <v>298.47699999999998</v>
      </c>
      <c r="AH86" s="920">
        <v>281.36099999999999</v>
      </c>
      <c r="AI86" s="920">
        <v>168.02699999999999</v>
      </c>
      <c r="AJ86" s="920">
        <v>263.64600000000002</v>
      </c>
      <c r="AK86" s="919">
        <f>Data[[#This Row],[Industry Cost ($m)]]/Data[[#This Row],[Industry Consumption]]</f>
        <v>2.2133608341927351</v>
      </c>
      <c r="AL86" s="919">
        <f>Data[[#This Row],[AAL Fuel Cost]]/Data[[#This Row],[AAL Consumption]]</f>
        <v>2.3257464779952621</v>
      </c>
      <c r="AM86" s="919">
        <f>Data[[#This Row],[DAL Fuel Cost]]/Data[[#This Row],[DAL Consumption]]</f>
        <v>2.1863470355116945</v>
      </c>
      <c r="AN86" s="919">
        <f>Data[[#This Row],[UAL Fuel Cost]]/Data[[#This Row],[UALConsumption]]</f>
        <v>2.1412623771839274</v>
      </c>
      <c r="AO86" s="919">
        <f>Data[[#This Row],[LUV Fuel Cost]]/Data[[#This Row],[LUV Consumption]]</f>
        <v>2.3814754261248163</v>
      </c>
      <c r="AP86" s="919">
        <v>2.052</v>
      </c>
      <c r="AQ86" s="783"/>
    </row>
    <row r="87" spans="1:43" s="253" customFormat="1">
      <c r="A87" s="263">
        <f t="shared" si="9"/>
        <v>40237</v>
      </c>
      <c r="B87" s="263" t="s">
        <v>357</v>
      </c>
      <c r="C87" s="277">
        <v>35.701636000000001</v>
      </c>
      <c r="D87" s="277">
        <v>6.7473810000000007</v>
      </c>
      <c r="E87" s="277">
        <v>7.7203629999999999</v>
      </c>
      <c r="F87" s="277">
        <v>4.7302860000000004</v>
      </c>
      <c r="G87" s="277">
        <v>6.7520629999999997</v>
      </c>
      <c r="H87" s="284">
        <f t="shared" si="5"/>
        <v>9.7515430000000016</v>
      </c>
      <c r="I87" s="277">
        <v>27.61589</v>
      </c>
      <c r="J87" s="277">
        <v>5.2081590000000002</v>
      </c>
      <c r="K87" s="277">
        <v>6.1782859999999999</v>
      </c>
      <c r="L87" s="277">
        <v>3.8392729999999999</v>
      </c>
      <c r="M87" s="277">
        <v>4.9866529999999996</v>
      </c>
      <c r="N87" s="284">
        <f t="shared" si="6"/>
        <v>7.4035189999999993</v>
      </c>
      <c r="O87" s="277">
        <v>42.440613999999997</v>
      </c>
      <c r="P87" s="277">
        <v>4.5871890000000004</v>
      </c>
      <c r="Q87" s="277">
        <v>5.8969209999999999</v>
      </c>
      <c r="R87" s="277">
        <v>2.9981990000000001</v>
      </c>
      <c r="S87" s="277">
        <v>6.9632949999999996</v>
      </c>
      <c r="T87" s="284">
        <f t="shared" si="7"/>
        <v>21.995009999999997</v>
      </c>
      <c r="U87" s="920">
        <v>9081.39</v>
      </c>
      <c r="V87" s="920">
        <v>1012.8336666666668</v>
      </c>
      <c r="W87" s="920">
        <v>1547.3906666666664</v>
      </c>
      <c r="X87" s="920">
        <v>912.29533333333336</v>
      </c>
      <c r="Y87" s="920">
        <v>876.67933333333337</v>
      </c>
      <c r="Z87" s="874">
        <f t="shared" si="8"/>
        <v>4732.1909999999998</v>
      </c>
      <c r="AA87" s="920">
        <v>786.9</v>
      </c>
      <c r="AB87" s="277">
        <v>113.861</v>
      </c>
      <c r="AC87" s="920">
        <v>116.495</v>
      </c>
      <c r="AD87" s="920">
        <v>70.834000000000003</v>
      </c>
      <c r="AE87" s="920">
        <v>98.385000000000005</v>
      </c>
      <c r="AF87" s="920">
        <v>1696.7</v>
      </c>
      <c r="AG87" s="277">
        <v>247.304</v>
      </c>
      <c r="AH87" s="920">
        <v>263.22500000000002</v>
      </c>
      <c r="AI87" s="920">
        <v>150.36699999999999</v>
      </c>
      <c r="AJ87" s="920">
        <v>232.684</v>
      </c>
      <c r="AK87" s="919">
        <f>Data[[#This Row],[Industry Cost ($m)]]/Data[[#This Row],[Industry Consumption]]</f>
        <v>2.1561824882450122</v>
      </c>
      <c r="AL87" s="919">
        <f>Data[[#This Row],[AAL Fuel Cost]]/Data[[#This Row],[AAL Consumption]]</f>
        <v>2.1719816267202994</v>
      </c>
      <c r="AM87" s="919">
        <f>Data[[#This Row],[DAL Fuel Cost]]/Data[[#This Row],[DAL Consumption]]</f>
        <v>2.2595390360101293</v>
      </c>
      <c r="AN87" s="919">
        <f>Data[[#This Row],[UAL Fuel Cost]]/Data[[#This Row],[UALConsumption]]</f>
        <v>2.1228082559222972</v>
      </c>
      <c r="AO87" s="919">
        <f>Data[[#This Row],[LUV Fuel Cost]]/Data[[#This Row],[LUV Consumption]]</f>
        <v>2.3650353204248615</v>
      </c>
      <c r="AP87" s="919">
        <v>1.9890000000000001</v>
      </c>
      <c r="AQ87" s="783"/>
    </row>
    <row r="88" spans="1:43" s="253" customFormat="1">
      <c r="A88" s="263">
        <f t="shared" si="9"/>
        <v>40268</v>
      </c>
      <c r="B88" s="263" t="s">
        <v>357</v>
      </c>
      <c r="C88" s="277">
        <v>42.564160999999999</v>
      </c>
      <c r="D88" s="277">
        <v>7.8561909999999999</v>
      </c>
      <c r="E88" s="277">
        <v>9.1951339999999995</v>
      </c>
      <c r="F88" s="277">
        <v>5.6879650000000002</v>
      </c>
      <c r="G88" s="277">
        <v>8.2461409999999997</v>
      </c>
      <c r="H88" s="284">
        <f t="shared" si="5"/>
        <v>11.57873</v>
      </c>
      <c r="I88" s="277">
        <v>35.584498000000004</v>
      </c>
      <c r="J88" s="277">
        <v>6.5765260000000003</v>
      </c>
      <c r="K88" s="277">
        <v>7.9837590000000001</v>
      </c>
      <c r="L88" s="277">
        <v>4.8635099999999998</v>
      </c>
      <c r="M88" s="277">
        <v>6.6768840000000003</v>
      </c>
      <c r="N88" s="284">
        <f t="shared" si="6"/>
        <v>9.483819000000004</v>
      </c>
      <c r="O88" s="277">
        <v>54.424076999999997</v>
      </c>
      <c r="P88" s="277">
        <v>5.8267639999999998</v>
      </c>
      <c r="Q88" s="277">
        <v>7.6970000000000001</v>
      </c>
      <c r="R88" s="277">
        <v>3.7819750000000001</v>
      </c>
      <c r="S88" s="277">
        <v>9.1551559999999998</v>
      </c>
      <c r="T88" s="284">
        <f t="shared" si="7"/>
        <v>27.963181999999996</v>
      </c>
      <c r="U88" s="920">
        <v>9081.39</v>
      </c>
      <c r="V88" s="920">
        <v>1012.8336666666668</v>
      </c>
      <c r="W88" s="920">
        <v>1547.3906666666664</v>
      </c>
      <c r="X88" s="920">
        <v>912.29533333333336</v>
      </c>
      <c r="Y88" s="920">
        <v>876.67933333333337</v>
      </c>
      <c r="Z88" s="874">
        <f t="shared" si="8"/>
        <v>4732.1909999999998</v>
      </c>
      <c r="AA88" s="920">
        <v>928.2</v>
      </c>
      <c r="AB88" s="277">
        <v>131.381</v>
      </c>
      <c r="AC88" s="920">
        <v>139.63499999999999</v>
      </c>
      <c r="AD88" s="920">
        <v>84.725999999999999</v>
      </c>
      <c r="AE88" s="920">
        <v>120.122</v>
      </c>
      <c r="AF88" s="920">
        <v>2046</v>
      </c>
      <c r="AG88" s="277">
        <v>288.93400000000003</v>
      </c>
      <c r="AH88" s="920">
        <v>310.66800000000001</v>
      </c>
      <c r="AI88" s="920">
        <v>186.148</v>
      </c>
      <c r="AJ88" s="920">
        <v>285.02100000000002</v>
      </c>
      <c r="AK88" s="919">
        <f>Data[[#This Row],[Industry Cost ($m)]]/Data[[#This Row],[Industry Consumption]]</f>
        <v>2.2042663219133805</v>
      </c>
      <c r="AL88" s="919">
        <f>Data[[#This Row],[AAL Fuel Cost]]/Data[[#This Row],[AAL Consumption]]</f>
        <v>2.199206886840563</v>
      </c>
      <c r="AM88" s="919">
        <f>Data[[#This Row],[DAL Fuel Cost]]/Data[[#This Row],[DAL Consumption]]</f>
        <v>2.2248576646256315</v>
      </c>
      <c r="AN88" s="919">
        <f>Data[[#This Row],[UAL Fuel Cost]]/Data[[#This Row],[UALConsumption]]</f>
        <v>2.1970587541014566</v>
      </c>
      <c r="AO88" s="919">
        <f>Data[[#This Row],[LUV Fuel Cost]]/Data[[#This Row],[LUV Consumption]]</f>
        <v>2.372762691263882</v>
      </c>
      <c r="AP88" s="919">
        <v>2.1080000000000001</v>
      </c>
      <c r="AQ88" s="783">
        <f>AVERAGE(AP86:AP88)</f>
        <v>2.049666666666667</v>
      </c>
    </row>
    <row r="89" spans="1:43" s="253" customFormat="1">
      <c r="A89" s="263">
        <f t="shared" si="9"/>
        <v>40298</v>
      </c>
      <c r="B89" s="263" t="s">
        <v>357</v>
      </c>
      <c r="C89" s="277">
        <v>41.308827000000001</v>
      </c>
      <c r="D89" s="277">
        <v>7.5470319999999997</v>
      </c>
      <c r="E89" s="277">
        <v>8.8338459999999994</v>
      </c>
      <c r="F89" s="277">
        <v>5.4480919999999999</v>
      </c>
      <c r="G89" s="277">
        <v>8.2161679999999997</v>
      </c>
      <c r="H89" s="284">
        <f t="shared" si="5"/>
        <v>11.263689000000003</v>
      </c>
      <c r="I89" s="277">
        <v>34.161154000000003</v>
      </c>
      <c r="J89" s="277">
        <v>6.3707180000000001</v>
      </c>
      <c r="K89" s="277">
        <v>7.5897370000000004</v>
      </c>
      <c r="L89" s="277">
        <v>4.6370740000000001</v>
      </c>
      <c r="M89" s="277">
        <v>6.4779210000000003</v>
      </c>
      <c r="N89" s="284">
        <f t="shared" si="6"/>
        <v>9.0857039999999998</v>
      </c>
      <c r="O89" s="277">
        <v>52.498074000000003</v>
      </c>
      <c r="P89" s="277">
        <v>5.5565420000000003</v>
      </c>
      <c r="Q89" s="277">
        <v>7.488219</v>
      </c>
      <c r="R89" s="277">
        <v>3.5943610000000001</v>
      </c>
      <c r="S89" s="277">
        <v>8.9114920000000009</v>
      </c>
      <c r="T89" s="284">
        <f t="shared" si="7"/>
        <v>26.94746</v>
      </c>
      <c r="U89" s="920">
        <v>10208.292666666666</v>
      </c>
      <c r="V89" s="920">
        <v>1136.7513333333334</v>
      </c>
      <c r="W89" s="920">
        <v>1803.7070000000001</v>
      </c>
      <c r="X89" s="920">
        <v>1087.5323333333333</v>
      </c>
      <c r="Y89" s="920">
        <v>1056.1056666666666</v>
      </c>
      <c r="Z89" s="874">
        <f t="shared" si="8"/>
        <v>5124.1963333333333</v>
      </c>
      <c r="AA89" s="920">
        <v>900.9</v>
      </c>
      <c r="AB89" s="277">
        <v>125.51300000000001</v>
      </c>
      <c r="AC89" s="920">
        <v>134.56399999999999</v>
      </c>
      <c r="AD89" s="920">
        <v>81.289000000000001</v>
      </c>
      <c r="AE89" s="920">
        <v>119.27200000000001</v>
      </c>
      <c r="AF89" s="920">
        <v>2075.1999999999998</v>
      </c>
      <c r="AG89" s="277">
        <v>291.91800000000001</v>
      </c>
      <c r="AH89" s="920">
        <v>311.46800000000002</v>
      </c>
      <c r="AI89" s="920">
        <v>187.017</v>
      </c>
      <c r="AJ89" s="920">
        <v>286.48599999999999</v>
      </c>
      <c r="AK89" s="919">
        <f>Data[[#This Row],[Industry Cost ($m)]]/Data[[#This Row],[Industry Consumption]]</f>
        <v>2.3034743034743035</v>
      </c>
      <c r="AL89" s="919">
        <f>Data[[#This Row],[AAL Fuel Cost]]/Data[[#This Row],[AAL Consumption]]</f>
        <v>2.3257989212272832</v>
      </c>
      <c r="AM89" s="919">
        <f>Data[[#This Row],[DAL Fuel Cost]]/Data[[#This Row],[DAL Consumption]]</f>
        <v>2.3146458190898014</v>
      </c>
      <c r="AN89" s="919">
        <f>Data[[#This Row],[UAL Fuel Cost]]/Data[[#This Row],[UALConsumption]]</f>
        <v>2.30064338348362</v>
      </c>
      <c r="AO89" s="919">
        <f>Data[[#This Row],[LUV Fuel Cost]]/Data[[#This Row],[LUV Consumption]]</f>
        <v>2.4019551948487488</v>
      </c>
      <c r="AP89" s="919">
        <v>2.2429999999999999</v>
      </c>
      <c r="AQ89" s="783"/>
    </row>
    <row r="90" spans="1:43" s="253" customFormat="1">
      <c r="A90" s="263">
        <f t="shared" si="9"/>
        <v>40329</v>
      </c>
      <c r="B90" s="263" t="s">
        <v>357</v>
      </c>
      <c r="C90" s="277">
        <v>42.404718000000003</v>
      </c>
      <c r="D90" s="277">
        <v>7.6836869999999999</v>
      </c>
      <c r="E90" s="277">
        <v>9.1168230000000001</v>
      </c>
      <c r="F90" s="277">
        <v>5.5555559999999993</v>
      </c>
      <c r="G90" s="277">
        <v>8.6299250000000001</v>
      </c>
      <c r="H90" s="284">
        <f t="shared" si="5"/>
        <v>11.418727000000004</v>
      </c>
      <c r="I90" s="277">
        <v>35.004288000000003</v>
      </c>
      <c r="J90" s="277">
        <v>6.5039720000000001</v>
      </c>
      <c r="K90" s="277">
        <v>7.7690929999999998</v>
      </c>
      <c r="L90" s="277">
        <v>4.7627829999999998</v>
      </c>
      <c r="M90" s="277">
        <v>6.6631900000000002</v>
      </c>
      <c r="N90" s="284">
        <f t="shared" si="6"/>
        <v>9.3052500000000045</v>
      </c>
      <c r="O90" s="277">
        <v>53.842421999999999</v>
      </c>
      <c r="P90" s="277">
        <v>5.6684950000000001</v>
      </c>
      <c r="Q90" s="277">
        <v>7.6584659999999998</v>
      </c>
      <c r="R90" s="277">
        <v>3.7245780000000002</v>
      </c>
      <c r="S90" s="277">
        <v>9.0805670000000003</v>
      </c>
      <c r="T90" s="284">
        <f t="shared" si="7"/>
        <v>27.710315999999999</v>
      </c>
      <c r="U90" s="920">
        <v>10208.292666666666</v>
      </c>
      <c r="V90" s="920">
        <v>1136.7513333333334</v>
      </c>
      <c r="W90" s="920">
        <v>1803.7070000000001</v>
      </c>
      <c r="X90" s="920">
        <v>1087.5323333333333</v>
      </c>
      <c r="Y90" s="920">
        <v>1056.1056666666666</v>
      </c>
      <c r="Z90" s="874">
        <f t="shared" si="8"/>
        <v>5124.1963333333333</v>
      </c>
      <c r="AA90" s="920">
        <v>940</v>
      </c>
      <c r="AB90" s="277">
        <v>129.285</v>
      </c>
      <c r="AC90" s="920">
        <v>141.43100000000001</v>
      </c>
      <c r="AD90" s="920">
        <v>83.986999999999995</v>
      </c>
      <c r="AE90" s="920">
        <v>125.54600000000001</v>
      </c>
      <c r="AF90" s="920">
        <v>2189.6999999999998</v>
      </c>
      <c r="AG90" s="277">
        <v>313.20999999999998</v>
      </c>
      <c r="AH90" s="920">
        <v>331.363</v>
      </c>
      <c r="AI90" s="920">
        <v>192.72399999999999</v>
      </c>
      <c r="AJ90" s="920">
        <v>310.94200000000001</v>
      </c>
      <c r="AK90" s="919">
        <f>Data[[#This Row],[Industry Cost ($m)]]/Data[[#This Row],[Industry Consumption]]</f>
        <v>2.3294680851063827</v>
      </c>
      <c r="AL90" s="919">
        <f>Data[[#This Row],[AAL Fuel Cost]]/Data[[#This Row],[AAL Consumption]]</f>
        <v>2.4226321692385038</v>
      </c>
      <c r="AM90" s="919">
        <f>Data[[#This Row],[DAL Fuel Cost]]/Data[[#This Row],[DAL Consumption]]</f>
        <v>2.3429304749312383</v>
      </c>
      <c r="AN90" s="919">
        <f>Data[[#This Row],[UAL Fuel Cost]]/Data[[#This Row],[UALConsumption]]</f>
        <v>2.2946884636908091</v>
      </c>
      <c r="AO90" s="919">
        <f>Data[[#This Row],[LUV Fuel Cost]]/Data[[#This Row],[LUV Consumption]]</f>
        <v>2.4767176970990712</v>
      </c>
      <c r="AP90" s="919">
        <v>2.0630000000000002</v>
      </c>
      <c r="AQ90" s="783"/>
    </row>
    <row r="91" spans="1:43" s="253" customFormat="1">
      <c r="A91" s="263">
        <f t="shared" si="9"/>
        <v>40359</v>
      </c>
      <c r="B91" s="263" t="s">
        <v>357</v>
      </c>
      <c r="C91" s="277">
        <v>43.345363999999996</v>
      </c>
      <c r="D91" s="277">
        <v>7.5408609999999996</v>
      </c>
      <c r="E91" s="277">
        <v>9.6572060000000004</v>
      </c>
      <c r="F91" s="277">
        <v>5.7180619999999998</v>
      </c>
      <c r="G91" s="277">
        <v>8.6277729999999995</v>
      </c>
      <c r="H91" s="284">
        <f t="shared" si="5"/>
        <v>11.801461999999994</v>
      </c>
      <c r="I91" s="277">
        <v>37.474902</v>
      </c>
      <c r="J91" s="277">
        <v>6.7217890000000002</v>
      </c>
      <c r="K91" s="277">
        <v>8.6329860000000007</v>
      </c>
      <c r="L91" s="277">
        <v>5.1241339999999997</v>
      </c>
      <c r="M91" s="277">
        <v>7.0665909999999998</v>
      </c>
      <c r="N91" s="284">
        <f t="shared" si="6"/>
        <v>9.9294019999999996</v>
      </c>
      <c r="O91" s="277">
        <v>56.689852999999999</v>
      </c>
      <c r="P91" s="277">
        <v>5.8260630000000004</v>
      </c>
      <c r="Q91" s="277">
        <v>8.3335860000000004</v>
      </c>
      <c r="R91" s="277">
        <v>3.9244819999999998</v>
      </c>
      <c r="S91" s="277">
        <v>9.5621419999999997</v>
      </c>
      <c r="T91" s="284">
        <f t="shared" si="7"/>
        <v>29.043579999999999</v>
      </c>
      <c r="U91" s="920">
        <v>10208.292666666666</v>
      </c>
      <c r="V91" s="920">
        <v>1136.7513333333334</v>
      </c>
      <c r="W91" s="920">
        <v>1803.7070000000001</v>
      </c>
      <c r="X91" s="920">
        <v>1087.5323333333333</v>
      </c>
      <c r="Y91" s="920">
        <v>1056.1056666666666</v>
      </c>
      <c r="Z91" s="874">
        <f t="shared" si="8"/>
        <v>5124.1963333333333</v>
      </c>
      <c r="AA91" s="920">
        <v>959.8</v>
      </c>
      <c r="AB91" s="277">
        <v>128.4</v>
      </c>
      <c r="AC91" s="920">
        <v>147.80199999999999</v>
      </c>
      <c r="AD91" s="920">
        <v>87.393000000000001</v>
      </c>
      <c r="AE91" s="920">
        <v>126.93</v>
      </c>
      <c r="AF91" s="920">
        <v>2090.8000000000002</v>
      </c>
      <c r="AG91" s="277">
        <v>263.411</v>
      </c>
      <c r="AH91" s="920">
        <v>338.10700000000003</v>
      </c>
      <c r="AI91" s="920">
        <v>191.87899999999999</v>
      </c>
      <c r="AJ91" s="920">
        <v>294.3</v>
      </c>
      <c r="AK91" s="919">
        <f>Data[[#This Row],[Industry Cost ($m)]]/Data[[#This Row],[Industry Consumption]]</f>
        <v>2.1783704938528863</v>
      </c>
      <c r="AL91" s="919">
        <f>Data[[#This Row],[AAL Fuel Cost]]/Data[[#This Row],[AAL Consumption]]</f>
        <v>2.05148753894081</v>
      </c>
      <c r="AM91" s="919">
        <f>Data[[#This Row],[DAL Fuel Cost]]/Data[[#This Row],[DAL Consumption]]</f>
        <v>2.2875671506474879</v>
      </c>
      <c r="AN91" s="919">
        <f>Data[[#This Row],[UAL Fuel Cost]]/Data[[#This Row],[UALConsumption]]</f>
        <v>2.1955877473024152</v>
      </c>
      <c r="AO91" s="919">
        <f>Data[[#This Row],[LUV Fuel Cost]]/Data[[#This Row],[LUV Consumption]]</f>
        <v>2.3186008035925312</v>
      </c>
      <c r="AP91" s="919">
        <v>2.0579999999999998</v>
      </c>
      <c r="AQ91" s="783">
        <f>AVERAGE(AP89:AP91)</f>
        <v>2.1213333333333333</v>
      </c>
    </row>
    <row r="92" spans="1:43" s="253" customFormat="1">
      <c r="A92" s="263">
        <f t="shared" si="9"/>
        <v>40390</v>
      </c>
      <c r="B92" s="263" t="s">
        <v>357</v>
      </c>
      <c r="C92" s="277">
        <v>45.462606000000001</v>
      </c>
      <c r="D92" s="277">
        <v>7.8952979999999995</v>
      </c>
      <c r="E92" s="277">
        <v>10.091099</v>
      </c>
      <c r="F92" s="277">
        <v>5.9973609999999997</v>
      </c>
      <c r="G92" s="277">
        <v>8.824147</v>
      </c>
      <c r="H92" s="284">
        <f t="shared" si="5"/>
        <v>12.654700999999996</v>
      </c>
      <c r="I92" s="277">
        <v>39.676188000000003</v>
      </c>
      <c r="J92" s="277">
        <v>7.012956</v>
      </c>
      <c r="K92" s="277">
        <v>9.0696060000000003</v>
      </c>
      <c r="L92" s="277">
        <v>5.3360919999999998</v>
      </c>
      <c r="M92" s="277">
        <v>7.487851</v>
      </c>
      <c r="N92" s="284">
        <f t="shared" si="6"/>
        <v>10.769683000000004</v>
      </c>
      <c r="O92" s="277">
        <v>59.142493000000002</v>
      </c>
      <c r="P92" s="277">
        <v>6.0190720000000004</v>
      </c>
      <c r="Q92" s="277">
        <v>8.5703879999999995</v>
      </c>
      <c r="R92" s="277">
        <v>4.0195749999999997</v>
      </c>
      <c r="S92" s="277">
        <v>10.001004</v>
      </c>
      <c r="T92" s="284">
        <f t="shared" si="7"/>
        <v>30.532454000000001</v>
      </c>
      <c r="U92" s="920">
        <v>10377.289999999999</v>
      </c>
      <c r="V92" s="920">
        <v>1115.1923333333334</v>
      </c>
      <c r="W92" s="920">
        <v>1836.9696666666666</v>
      </c>
      <c r="X92" s="920">
        <v>1114.6373333333333</v>
      </c>
      <c r="Y92" s="920">
        <v>1063.9193333333333</v>
      </c>
      <c r="Z92" s="874">
        <f t="shared" si="8"/>
        <v>5246.5713333333324</v>
      </c>
      <c r="AA92" s="920">
        <v>1010.8</v>
      </c>
      <c r="AB92" s="277">
        <v>132.97399999999999</v>
      </c>
      <c r="AC92" s="920">
        <v>154.89400000000001</v>
      </c>
      <c r="AD92" s="920">
        <v>91.076999999999998</v>
      </c>
      <c r="AE92" s="920">
        <v>130.29900000000001</v>
      </c>
      <c r="AF92" s="920">
        <v>2235.3000000000002</v>
      </c>
      <c r="AG92" s="277">
        <v>291.49700000000001</v>
      </c>
      <c r="AH92" s="920">
        <v>355.73700000000002</v>
      </c>
      <c r="AI92" s="920">
        <v>198.94499999999999</v>
      </c>
      <c r="AJ92" s="920">
        <v>302.28899999999999</v>
      </c>
      <c r="AK92" s="919">
        <f>Data[[#This Row],[Industry Cost ($m)]]/Data[[#This Row],[Industry Consumption]]</f>
        <v>2.2114166996438467</v>
      </c>
      <c r="AL92" s="919">
        <f>Data[[#This Row],[AAL Fuel Cost]]/Data[[#This Row],[AAL Consumption]]</f>
        <v>2.1921353046460212</v>
      </c>
      <c r="AM92" s="919">
        <f>Data[[#This Row],[DAL Fuel Cost]]/Data[[#This Row],[DAL Consumption]]</f>
        <v>2.2966480302658594</v>
      </c>
      <c r="AN92" s="919">
        <f>Data[[#This Row],[UAL Fuel Cost]]/Data[[#This Row],[UALConsumption]]</f>
        <v>2.1843604861820216</v>
      </c>
      <c r="AO92" s="919">
        <f>Data[[#This Row],[LUV Fuel Cost]]/Data[[#This Row],[LUV Consumption]]</f>
        <v>2.3199640826099968</v>
      </c>
      <c r="AP92" s="919">
        <v>2.0190000000000001</v>
      </c>
      <c r="AQ92" s="783"/>
    </row>
    <row r="93" spans="1:43" s="253" customFormat="1">
      <c r="A93" s="263">
        <f t="shared" si="9"/>
        <v>40421</v>
      </c>
      <c r="B93" s="263" t="s">
        <v>357</v>
      </c>
      <c r="C93" s="277">
        <v>44.999994999999998</v>
      </c>
      <c r="D93" s="277">
        <v>7.8678879999999998</v>
      </c>
      <c r="E93" s="277">
        <v>9.9624069999999989</v>
      </c>
      <c r="F93" s="277">
        <v>5.9858760000000002</v>
      </c>
      <c r="G93" s="277">
        <v>8.6512960000000003</v>
      </c>
      <c r="H93" s="284">
        <f t="shared" si="5"/>
        <v>12.532527999999999</v>
      </c>
      <c r="I93" s="277">
        <v>38.497934999999998</v>
      </c>
      <c r="J93" s="277">
        <v>6.7758130000000003</v>
      </c>
      <c r="K93" s="277">
        <v>8.7457729999999998</v>
      </c>
      <c r="L93" s="277">
        <v>5.3175499999999998</v>
      </c>
      <c r="M93" s="277">
        <v>7.1218880000000002</v>
      </c>
      <c r="N93" s="284">
        <f t="shared" si="6"/>
        <v>10.536910999999996</v>
      </c>
      <c r="O93" s="277">
        <v>57.370747999999999</v>
      </c>
      <c r="P93" s="277">
        <v>5.7569119999999998</v>
      </c>
      <c r="Q93" s="277">
        <v>8.2895699999999994</v>
      </c>
      <c r="R93" s="277">
        <v>4.030843</v>
      </c>
      <c r="S93" s="277">
        <v>9.5040709999999997</v>
      </c>
      <c r="T93" s="284">
        <f t="shared" si="7"/>
        <v>29.789352000000001</v>
      </c>
      <c r="U93" s="920">
        <v>10377.289999999999</v>
      </c>
      <c r="V93" s="920">
        <v>1115.1923333333334</v>
      </c>
      <c r="W93" s="920">
        <v>1836.9696666666666</v>
      </c>
      <c r="X93" s="920">
        <v>1114.6373333333333</v>
      </c>
      <c r="Y93" s="920">
        <v>1063.9193333333333</v>
      </c>
      <c r="Z93" s="874">
        <f t="shared" si="8"/>
        <v>5246.5713333333324</v>
      </c>
      <c r="AA93" s="920">
        <v>994.4</v>
      </c>
      <c r="AB93" s="277">
        <v>129.84700000000001</v>
      </c>
      <c r="AC93" s="920">
        <v>152.452</v>
      </c>
      <c r="AD93" s="920">
        <v>90.43</v>
      </c>
      <c r="AE93" s="920">
        <v>126.992</v>
      </c>
      <c r="AF93" s="920">
        <v>2214.6</v>
      </c>
      <c r="AG93" s="277">
        <v>282.14699999999999</v>
      </c>
      <c r="AH93" s="920">
        <v>348.64299999999997</v>
      </c>
      <c r="AI93" s="920">
        <v>194.67500000000001</v>
      </c>
      <c r="AJ93" s="920">
        <v>302.26900000000001</v>
      </c>
      <c r="AK93" s="919">
        <f>Data[[#This Row],[Industry Cost ($m)]]/Data[[#This Row],[Industry Consumption]]</f>
        <v>2.2270716009654064</v>
      </c>
      <c r="AL93" s="919">
        <f>Data[[#This Row],[AAL Fuel Cost]]/Data[[#This Row],[AAL Consumption]]</f>
        <v>2.17291889685553</v>
      </c>
      <c r="AM93" s="919">
        <f>Data[[#This Row],[DAL Fuel Cost]]/Data[[#This Row],[DAL Consumption]]</f>
        <v>2.2869034187809931</v>
      </c>
      <c r="AN93" s="919">
        <f>Data[[#This Row],[UAL Fuel Cost]]/Data[[#This Row],[UALConsumption]]</f>
        <v>2.1527700984186664</v>
      </c>
      <c r="AO93" s="919">
        <f>Data[[#This Row],[LUV Fuel Cost]]/Data[[#This Row],[LUV Consumption]]</f>
        <v>2.3802208013103185</v>
      </c>
      <c r="AP93" s="919">
        <v>2.0830000000000002</v>
      </c>
      <c r="AQ93" s="783"/>
    </row>
    <row r="94" spans="1:43" s="253" customFormat="1">
      <c r="A94" s="263">
        <f t="shared" si="9"/>
        <v>40451</v>
      </c>
      <c r="B94" s="263" t="s">
        <v>357</v>
      </c>
      <c r="C94" s="277">
        <v>41.008657999999997</v>
      </c>
      <c r="D94" s="277">
        <v>7.3654139999999995</v>
      </c>
      <c r="E94" s="277">
        <v>9.0819100000000006</v>
      </c>
      <c r="F94" s="277">
        <v>5.2768930000000003</v>
      </c>
      <c r="G94" s="277">
        <v>8.0841580000000004</v>
      </c>
      <c r="H94" s="284">
        <f t="shared" si="5"/>
        <v>11.200282999999992</v>
      </c>
      <c r="I94" s="277">
        <v>32.750985</v>
      </c>
      <c r="J94" s="277">
        <v>5.887556</v>
      </c>
      <c r="K94" s="277">
        <v>7.3819330000000001</v>
      </c>
      <c r="L94" s="277">
        <v>4.445195</v>
      </c>
      <c r="M94" s="277">
        <v>6.064743</v>
      </c>
      <c r="N94" s="284">
        <f t="shared" si="6"/>
        <v>8.9715580000000017</v>
      </c>
      <c r="O94" s="277">
        <v>50.304707999999998</v>
      </c>
      <c r="P94" s="277">
        <v>5.1203909999999997</v>
      </c>
      <c r="Q94" s="277">
        <v>7.3255819999999998</v>
      </c>
      <c r="R94" s="277">
        <v>3.4987240000000002</v>
      </c>
      <c r="S94" s="277">
        <v>8.3098209999999995</v>
      </c>
      <c r="T94" s="284">
        <f t="shared" si="7"/>
        <v>26.050190000000001</v>
      </c>
      <c r="U94" s="920">
        <v>10377.289999999999</v>
      </c>
      <c r="V94" s="920">
        <v>1115.1923333333334</v>
      </c>
      <c r="W94" s="920">
        <v>1836.9696666666666</v>
      </c>
      <c r="X94" s="920">
        <v>1114.6373333333333</v>
      </c>
      <c r="Y94" s="920">
        <v>1063.9193333333333</v>
      </c>
      <c r="Z94" s="874">
        <f t="shared" si="8"/>
        <v>5246.5713333333324</v>
      </c>
      <c r="AA94" s="920">
        <v>914.9</v>
      </c>
      <c r="AB94" s="277">
        <v>121.194</v>
      </c>
      <c r="AC94" s="920">
        <v>138.09</v>
      </c>
      <c r="AD94" s="920">
        <v>80.03</v>
      </c>
      <c r="AE94" s="920">
        <v>117.235</v>
      </c>
      <c r="AF94" s="920">
        <v>1996.9</v>
      </c>
      <c r="AG94" s="277">
        <v>257.45400000000001</v>
      </c>
      <c r="AH94" s="920">
        <v>314.16699999999997</v>
      </c>
      <c r="AI94" s="920">
        <v>174.26</v>
      </c>
      <c r="AJ94" s="920">
        <v>278.40899999999999</v>
      </c>
      <c r="AK94" s="919">
        <f>Data[[#This Row],[Industry Cost ($m)]]/Data[[#This Row],[Industry Consumption]]</f>
        <v>2.1826429117936388</v>
      </c>
      <c r="AL94" s="919">
        <f>Data[[#This Row],[AAL Fuel Cost]]/Data[[#This Row],[AAL Consumption]]</f>
        <v>2.1243130848061784</v>
      </c>
      <c r="AM94" s="919">
        <f>Data[[#This Row],[DAL Fuel Cost]]/Data[[#This Row],[DAL Consumption]]</f>
        <v>2.2750887102614237</v>
      </c>
      <c r="AN94" s="919">
        <f>Data[[#This Row],[UAL Fuel Cost]]/Data[[#This Row],[UALConsumption]]</f>
        <v>2.1774334624515803</v>
      </c>
      <c r="AO94" s="919">
        <f>Data[[#This Row],[LUV Fuel Cost]]/Data[[#This Row],[LUV Consumption]]</f>
        <v>2.3747942167441463</v>
      </c>
      <c r="AP94" s="919">
        <v>2.1139999999999999</v>
      </c>
      <c r="AQ94" s="783">
        <f>AVERAGE(AP92:AP94)</f>
        <v>2.0720000000000001</v>
      </c>
    </row>
    <row r="95" spans="1:43" s="253" customFormat="1">
      <c r="A95" s="263">
        <f t="shared" si="9"/>
        <v>40482</v>
      </c>
      <c r="B95" s="263" t="s">
        <v>357</v>
      </c>
      <c r="C95" s="277">
        <v>42.350003999999998</v>
      </c>
      <c r="D95" s="277">
        <v>7.5362239999999998</v>
      </c>
      <c r="E95" s="277">
        <v>9.3242009999999986</v>
      </c>
      <c r="F95" s="277">
        <v>5.5442070000000001</v>
      </c>
      <c r="G95" s="277">
        <v>8.3906860000000005</v>
      </c>
      <c r="H95" s="284">
        <f t="shared" si="5"/>
        <v>11.554685999999997</v>
      </c>
      <c r="I95" s="277">
        <v>35.416910999999999</v>
      </c>
      <c r="J95" s="277">
        <v>6.4024419999999997</v>
      </c>
      <c r="K95" s="277">
        <v>7.8783880000000002</v>
      </c>
      <c r="L95" s="277">
        <v>4.7978620000000003</v>
      </c>
      <c r="M95" s="277">
        <v>6.8515709999999999</v>
      </c>
      <c r="N95" s="284">
        <f t="shared" si="6"/>
        <v>9.4866479999999989</v>
      </c>
      <c r="O95" s="277">
        <v>54.826050000000002</v>
      </c>
      <c r="P95" s="277">
        <v>5.62181</v>
      </c>
      <c r="Q95" s="277">
        <v>7.9885080000000004</v>
      </c>
      <c r="R95" s="277">
        <v>3.7541310000000001</v>
      </c>
      <c r="S95" s="277">
        <v>9.3587900000000008</v>
      </c>
      <c r="T95" s="284">
        <f t="shared" si="7"/>
        <v>28.102811000000003</v>
      </c>
      <c r="U95" s="920">
        <v>10024.195</v>
      </c>
      <c r="V95" s="920">
        <v>1089.0943333333332</v>
      </c>
      <c r="W95" s="920">
        <v>1671.5739999999998</v>
      </c>
      <c r="X95" s="920">
        <v>1003.678</v>
      </c>
      <c r="Y95" s="920">
        <v>1037.8656666666668</v>
      </c>
      <c r="Z95" s="874">
        <f t="shared" si="8"/>
        <v>5221.9830000000002</v>
      </c>
      <c r="AA95" s="920">
        <v>925</v>
      </c>
      <c r="AB95" s="277">
        <v>123.471</v>
      </c>
      <c r="AC95" s="920">
        <v>141.07900000000001</v>
      </c>
      <c r="AD95" s="920">
        <v>83.200999999999993</v>
      </c>
      <c r="AE95" s="920">
        <v>122.422</v>
      </c>
      <c r="AF95" s="920">
        <v>2177.1</v>
      </c>
      <c r="AG95" s="277">
        <v>290.12900000000002</v>
      </c>
      <c r="AH95" s="920">
        <v>336.40300000000002</v>
      </c>
      <c r="AI95" s="920">
        <v>186.833</v>
      </c>
      <c r="AJ95" s="920">
        <v>294.79000000000002</v>
      </c>
      <c r="AK95" s="919">
        <f>Data[[#This Row],[Industry Cost ($m)]]/Data[[#This Row],[Industry Consumption]]</f>
        <v>2.3536216216216217</v>
      </c>
      <c r="AL95" s="919">
        <f>Data[[#This Row],[AAL Fuel Cost]]/Data[[#This Row],[AAL Consumption]]</f>
        <v>2.3497744409618453</v>
      </c>
      <c r="AM95" s="919">
        <f>Data[[#This Row],[DAL Fuel Cost]]/Data[[#This Row],[DAL Consumption]]</f>
        <v>2.3845008824842817</v>
      </c>
      <c r="AN95" s="919">
        <f>Data[[#This Row],[UAL Fuel Cost]]/Data[[#This Row],[UALConsumption]]</f>
        <v>2.2455619523803803</v>
      </c>
      <c r="AO95" s="919">
        <f>Data[[#This Row],[LUV Fuel Cost]]/Data[[#This Row],[LUV Consumption]]</f>
        <v>2.4079822254170002</v>
      </c>
      <c r="AP95" s="919">
        <v>2.2480000000000002</v>
      </c>
      <c r="AQ95" s="783"/>
    </row>
    <row r="96" spans="1:43" s="253" customFormat="1">
      <c r="A96" s="263">
        <f t="shared" si="9"/>
        <v>40512</v>
      </c>
      <c r="B96" s="263" t="s">
        <v>357</v>
      </c>
      <c r="C96" s="277">
        <v>40.667067000000003</v>
      </c>
      <c r="D96" s="277">
        <v>7.330311</v>
      </c>
      <c r="E96" s="277">
        <v>8.697614999999999</v>
      </c>
      <c r="F96" s="277">
        <v>5.2348630000000007</v>
      </c>
      <c r="G96" s="277">
        <v>8.1281859999999995</v>
      </c>
      <c r="H96" s="284">
        <f t="shared" si="5"/>
        <v>11.276092000000002</v>
      </c>
      <c r="I96" s="277">
        <v>33.127651</v>
      </c>
      <c r="J96" s="277">
        <v>6.0020239999999996</v>
      </c>
      <c r="K96" s="277">
        <v>7.122134</v>
      </c>
      <c r="L96" s="277">
        <v>4.360023</v>
      </c>
      <c r="M96" s="277">
        <v>6.5073720000000002</v>
      </c>
      <c r="N96" s="284">
        <f t="shared" si="6"/>
        <v>9.1360980000000005</v>
      </c>
      <c r="O96" s="277">
        <v>51.420518999999999</v>
      </c>
      <c r="P96" s="277">
        <v>5.2713710000000003</v>
      </c>
      <c r="Q96" s="277">
        <v>7.3363480000000001</v>
      </c>
      <c r="R96" s="277">
        <v>3.397281</v>
      </c>
      <c r="S96" s="277">
        <v>8.8588299999999993</v>
      </c>
      <c r="T96" s="284">
        <f t="shared" si="7"/>
        <v>26.556688999999999</v>
      </c>
      <c r="U96" s="920">
        <v>10024.195</v>
      </c>
      <c r="V96" s="920">
        <v>1089.0943333333332</v>
      </c>
      <c r="W96" s="920">
        <v>1671.5739999999998</v>
      </c>
      <c r="X96" s="920">
        <v>1003.678</v>
      </c>
      <c r="Y96" s="920">
        <v>1037.8656666666668</v>
      </c>
      <c r="Z96" s="874">
        <f t="shared" si="8"/>
        <v>5221.9830000000002</v>
      </c>
      <c r="AA96" s="920">
        <v>891.7</v>
      </c>
      <c r="AB96" s="277">
        <v>119.66200000000001</v>
      </c>
      <c r="AC96" s="920">
        <v>132.43299999999999</v>
      </c>
      <c r="AD96" s="920">
        <v>78.097999999999999</v>
      </c>
      <c r="AE96" s="920">
        <v>118.223</v>
      </c>
      <c r="AF96" s="920">
        <v>2146.1999999999998</v>
      </c>
      <c r="AG96" s="277">
        <v>281.90199999999999</v>
      </c>
      <c r="AH96" s="920">
        <v>327.07600000000002</v>
      </c>
      <c r="AI96" s="920">
        <v>185.06200000000001</v>
      </c>
      <c r="AJ96" s="920">
        <v>290.22500000000002</v>
      </c>
      <c r="AK96" s="919">
        <f>Data[[#This Row],[Industry Cost ($m)]]/Data[[#This Row],[Industry Consumption]]</f>
        <v>2.4068632948300994</v>
      </c>
      <c r="AL96" s="919">
        <f>Data[[#This Row],[AAL Fuel Cost]]/Data[[#This Row],[AAL Consumption]]</f>
        <v>2.3558188898731425</v>
      </c>
      <c r="AM96" s="919">
        <f>Data[[#This Row],[DAL Fuel Cost]]/Data[[#This Row],[DAL Consumption]]</f>
        <v>2.4697469663905527</v>
      </c>
      <c r="AN96" s="919">
        <f>Data[[#This Row],[UAL Fuel Cost]]/Data[[#This Row],[UALConsumption]]</f>
        <v>2.3696125380931652</v>
      </c>
      <c r="AO96" s="919">
        <f>Data[[#This Row],[LUV Fuel Cost]]/Data[[#This Row],[LUV Consumption]]</f>
        <v>2.454894563663585</v>
      </c>
      <c r="AP96" s="919">
        <v>2.323</v>
      </c>
      <c r="AQ96" s="783"/>
    </row>
    <row r="97" spans="1:43" s="253" customFormat="1">
      <c r="A97" s="263">
        <f t="shared" si="9"/>
        <v>40543</v>
      </c>
      <c r="B97" s="263" t="s">
        <v>357</v>
      </c>
      <c r="C97" s="277">
        <v>41.550885000000001</v>
      </c>
      <c r="D97" s="277">
        <v>7.598516</v>
      </c>
      <c r="E97" s="277">
        <v>8.7761890000000005</v>
      </c>
      <c r="F97" s="277">
        <v>5.292675</v>
      </c>
      <c r="G97" s="277">
        <v>8.2711410000000001</v>
      </c>
      <c r="H97" s="284">
        <f t="shared" si="5"/>
        <v>11.612364000000003</v>
      </c>
      <c r="I97" s="277">
        <v>33.700547</v>
      </c>
      <c r="J97" s="277">
        <v>6.1593999999999998</v>
      </c>
      <c r="K97" s="277">
        <v>7.1052179999999998</v>
      </c>
      <c r="L97" s="277">
        <v>4.3764079999999996</v>
      </c>
      <c r="M97" s="277">
        <v>6.6484759999999996</v>
      </c>
      <c r="N97" s="284">
        <f t="shared" si="6"/>
        <v>9.411045000000005</v>
      </c>
      <c r="O97" s="277">
        <v>51.076414999999997</v>
      </c>
      <c r="P97" s="277">
        <v>5.3854620000000004</v>
      </c>
      <c r="Q97" s="277">
        <v>7.0972730000000004</v>
      </c>
      <c r="R97" s="277">
        <v>3.3260010000000002</v>
      </c>
      <c r="S97" s="277">
        <v>8.9463399999999993</v>
      </c>
      <c r="T97" s="284">
        <f t="shared" si="7"/>
        <v>26.321338999999995</v>
      </c>
      <c r="U97" s="920">
        <v>10024.195</v>
      </c>
      <c r="V97" s="920">
        <v>1089.0943333333332</v>
      </c>
      <c r="W97" s="920">
        <v>1671.5739999999998</v>
      </c>
      <c r="X97" s="920">
        <v>1003.678</v>
      </c>
      <c r="Y97" s="920">
        <v>1037.8656666666668</v>
      </c>
      <c r="Z97" s="874">
        <f t="shared" si="8"/>
        <v>5221.9830000000002</v>
      </c>
      <c r="AA97" s="920">
        <v>931.5</v>
      </c>
      <c r="AB97" s="277">
        <v>124.099</v>
      </c>
      <c r="AC97" s="920">
        <v>132.94200000000001</v>
      </c>
      <c r="AD97" s="920">
        <v>78.741</v>
      </c>
      <c r="AE97" s="920">
        <v>120.57</v>
      </c>
      <c r="AF97" s="920">
        <v>2303.5</v>
      </c>
      <c r="AG97" s="277">
        <v>297.33800000000002</v>
      </c>
      <c r="AH97" s="920">
        <v>334.58300000000003</v>
      </c>
      <c r="AI97" s="920">
        <v>195.36699999999999</v>
      </c>
      <c r="AJ97" s="920">
        <v>313.44799999999998</v>
      </c>
      <c r="AK97" s="919">
        <f>Data[[#This Row],[Industry Cost ($m)]]/Data[[#This Row],[Industry Consumption]]</f>
        <v>2.4728931830381105</v>
      </c>
      <c r="AL97" s="919">
        <f>Data[[#This Row],[AAL Fuel Cost]]/Data[[#This Row],[AAL Consumption]]</f>
        <v>2.3959741819031581</v>
      </c>
      <c r="AM97" s="919">
        <f>Data[[#This Row],[DAL Fuel Cost]]/Data[[#This Row],[DAL Consumption]]</f>
        <v>2.5167591882174181</v>
      </c>
      <c r="AN97" s="919">
        <f>Data[[#This Row],[UAL Fuel Cost]]/Data[[#This Row],[UALConsumption]]</f>
        <v>2.4811343518624351</v>
      </c>
      <c r="AO97" s="919">
        <f>Data[[#This Row],[LUV Fuel Cost]]/Data[[#This Row],[LUV Consumption]]</f>
        <v>2.5997180061375134</v>
      </c>
      <c r="AP97" s="919">
        <v>2.4529999999999998</v>
      </c>
      <c r="AQ97" s="783">
        <f>AVERAGE(AP95:AP97)</f>
        <v>2.341333333333333</v>
      </c>
    </row>
    <row r="98" spans="1:43" s="253" customFormat="1">
      <c r="A98" s="263">
        <f t="shared" si="9"/>
        <v>40574</v>
      </c>
      <c r="B98" s="263" t="s">
        <v>357</v>
      </c>
      <c r="C98" s="277">
        <v>40.541766000000003</v>
      </c>
      <c r="D98" s="277">
        <v>7.6001970000000005</v>
      </c>
      <c r="E98" s="277">
        <v>8.4974290000000003</v>
      </c>
      <c r="F98" s="277">
        <v>4.9420029999999997</v>
      </c>
      <c r="G98" s="277">
        <v>8.1948209999999992</v>
      </c>
      <c r="H98" s="284">
        <f t="shared" si="5"/>
        <v>11.307316</v>
      </c>
      <c r="I98" s="277">
        <v>31.176304999999999</v>
      </c>
      <c r="J98" s="277">
        <v>5.7511799999999997</v>
      </c>
      <c r="K98" s="277">
        <v>6.5299500000000004</v>
      </c>
      <c r="L98" s="277">
        <v>3.9745750000000002</v>
      </c>
      <c r="M98" s="277">
        <v>6.2266919999999999</v>
      </c>
      <c r="N98" s="284">
        <f t="shared" si="6"/>
        <v>8.6939079999999969</v>
      </c>
      <c r="O98" s="277">
        <v>46.305</v>
      </c>
      <c r="P98" s="277">
        <v>4.9840949999999999</v>
      </c>
      <c r="Q98" s="277">
        <v>6.3537999999999997</v>
      </c>
      <c r="R98" s="277">
        <v>3.012378</v>
      </c>
      <c r="S98" s="277">
        <v>8.3073189999999997</v>
      </c>
      <c r="T98" s="284">
        <f t="shared" si="7"/>
        <v>23.647407999999999</v>
      </c>
      <c r="U98" s="920">
        <v>10178.048000000001</v>
      </c>
      <c r="V98" s="920">
        <v>1060.375</v>
      </c>
      <c r="W98" s="920">
        <v>1708.2443333333333</v>
      </c>
      <c r="X98" s="920">
        <v>981.57166666666672</v>
      </c>
      <c r="Y98" s="920">
        <v>1034.2976666666666</v>
      </c>
      <c r="Z98" s="874">
        <f t="shared" si="8"/>
        <v>5393.5593333333345</v>
      </c>
      <c r="AA98" s="920">
        <v>861.6</v>
      </c>
      <c r="AB98" s="277">
        <v>122.738</v>
      </c>
      <c r="AC98" s="920">
        <v>122.733</v>
      </c>
      <c r="AD98" s="920">
        <v>73.534999999999997</v>
      </c>
      <c r="AE98" s="920">
        <v>118.506</v>
      </c>
      <c r="AF98" s="920">
        <v>2272.1999999999998</v>
      </c>
      <c r="AG98" s="277">
        <v>312.767</v>
      </c>
      <c r="AH98" s="920">
        <v>326.48599999999999</v>
      </c>
      <c r="AI98" s="920">
        <v>188.791</v>
      </c>
      <c r="AJ98" s="920">
        <v>311.07600000000002</v>
      </c>
      <c r="AK98" s="919">
        <f>Data[[#This Row],[Industry Cost ($m)]]/Data[[#This Row],[Industry Consumption]]</f>
        <v>2.6371866295264623</v>
      </c>
      <c r="AL98" s="919">
        <f>Data[[#This Row],[AAL Fuel Cost]]/Data[[#This Row],[AAL Consumption]]</f>
        <v>2.5482491160031939</v>
      </c>
      <c r="AM98" s="919">
        <f>Data[[#This Row],[DAL Fuel Cost]]/Data[[#This Row],[DAL Consumption]]</f>
        <v>2.6601321567956457</v>
      </c>
      <c r="AN98" s="919">
        <f>Data[[#This Row],[UAL Fuel Cost]]/Data[[#This Row],[UALConsumption]]</f>
        <v>2.5673624804514859</v>
      </c>
      <c r="AO98" s="919">
        <f>Data[[#This Row],[LUV Fuel Cost]]/Data[[#This Row],[LUV Consumption]]</f>
        <v>2.6249810136195637</v>
      </c>
      <c r="AP98" s="919">
        <v>2.6190000000000002</v>
      </c>
      <c r="AQ98" s="783"/>
    </row>
    <row r="99" spans="1:43" s="253" customFormat="1">
      <c r="A99" s="263">
        <f t="shared" si="9"/>
        <v>40602</v>
      </c>
      <c r="B99" s="263" t="s">
        <v>357</v>
      </c>
      <c r="C99" s="277">
        <v>36.819156</v>
      </c>
      <c r="D99" s="277">
        <v>6.7346199999999996</v>
      </c>
      <c r="E99" s="277">
        <v>7.914879</v>
      </c>
      <c r="F99" s="277">
        <v>4.5129700000000001</v>
      </c>
      <c r="G99" s="277">
        <v>7.3297540000000003</v>
      </c>
      <c r="H99" s="284">
        <f t="shared" si="5"/>
        <v>10.326933</v>
      </c>
      <c r="I99" s="277">
        <v>28.924904000000002</v>
      </c>
      <c r="J99" s="277">
        <v>5.2145200000000003</v>
      </c>
      <c r="K99" s="277">
        <v>6.2576650000000003</v>
      </c>
      <c r="L99" s="277">
        <v>3.6940580000000001</v>
      </c>
      <c r="M99" s="277">
        <v>5.6370589999999998</v>
      </c>
      <c r="N99" s="284">
        <f t="shared" si="6"/>
        <v>8.1216020000000029</v>
      </c>
      <c r="O99" s="277">
        <v>43.657817999999999</v>
      </c>
      <c r="P99" s="277">
        <v>4.5284000000000004</v>
      </c>
      <c r="Q99" s="277">
        <v>6.190982</v>
      </c>
      <c r="R99" s="277">
        <v>2.8097249999999998</v>
      </c>
      <c r="S99" s="277">
        <v>7.6022550000000004</v>
      </c>
      <c r="T99" s="284">
        <f t="shared" si="7"/>
        <v>22.526456</v>
      </c>
      <c r="U99" s="920">
        <v>10178.048000000001</v>
      </c>
      <c r="V99" s="920">
        <v>1060.375</v>
      </c>
      <c r="W99" s="920">
        <v>1708.2443333333333</v>
      </c>
      <c r="X99" s="920">
        <v>981.57166666666672</v>
      </c>
      <c r="Y99" s="920">
        <v>1034.2976666666666</v>
      </c>
      <c r="Z99" s="874">
        <f t="shared" si="8"/>
        <v>5393.5593333333345</v>
      </c>
      <c r="AA99" s="920">
        <v>794.2</v>
      </c>
      <c r="AB99" s="277">
        <v>109.009</v>
      </c>
      <c r="AC99" s="920">
        <v>112.959</v>
      </c>
      <c r="AD99" s="920">
        <v>67.768000000000001</v>
      </c>
      <c r="AE99" s="920">
        <v>106.88200000000001</v>
      </c>
      <c r="AF99" s="920">
        <v>2206.1</v>
      </c>
      <c r="AG99" s="277">
        <v>277.48700000000002</v>
      </c>
      <c r="AH99" s="920">
        <v>323.12400000000002</v>
      </c>
      <c r="AI99" s="920">
        <v>189.00200000000001</v>
      </c>
      <c r="AJ99" s="920">
        <v>286.08300000000003</v>
      </c>
      <c r="AK99" s="919">
        <f>Data[[#This Row],[Industry Cost ($m)]]/Data[[#This Row],[Industry Consumption]]</f>
        <v>2.7777637874590781</v>
      </c>
      <c r="AL99" s="919">
        <f>Data[[#This Row],[AAL Fuel Cost]]/Data[[#This Row],[AAL Consumption]]</f>
        <v>2.5455421112018275</v>
      </c>
      <c r="AM99" s="919">
        <f>Data[[#This Row],[DAL Fuel Cost]]/Data[[#This Row],[DAL Consumption]]</f>
        <v>2.86054232066502</v>
      </c>
      <c r="AN99" s="919">
        <f>Data[[#This Row],[UAL Fuel Cost]]/Data[[#This Row],[UALConsumption]]</f>
        <v>2.7889564396175186</v>
      </c>
      <c r="AO99" s="919">
        <f>Data[[#This Row],[LUV Fuel Cost]]/Data[[#This Row],[LUV Consumption]]</f>
        <v>2.6766246889092646</v>
      </c>
      <c r="AP99" s="919">
        <v>2.839</v>
      </c>
      <c r="AQ99" s="783"/>
    </row>
    <row r="100" spans="1:43" s="253" customFormat="1">
      <c r="A100" s="263">
        <f t="shared" si="9"/>
        <v>40633</v>
      </c>
      <c r="B100" s="263" t="s">
        <v>357</v>
      </c>
      <c r="C100" s="277">
        <v>44.084297999999997</v>
      </c>
      <c r="D100" s="277">
        <v>7.8489049999999994</v>
      </c>
      <c r="E100" s="277">
        <v>9.4628320000000006</v>
      </c>
      <c r="F100" s="277">
        <v>5.3783430000000001</v>
      </c>
      <c r="G100" s="277">
        <v>8.9830400000000008</v>
      </c>
      <c r="H100" s="284">
        <f t="shared" si="5"/>
        <v>12.411177999999992</v>
      </c>
      <c r="I100" s="277">
        <v>36.734521000000001</v>
      </c>
      <c r="J100" s="277">
        <v>6.4641339999999996</v>
      </c>
      <c r="K100" s="277">
        <v>8.0629240000000006</v>
      </c>
      <c r="L100" s="277">
        <v>4.5901649999999998</v>
      </c>
      <c r="M100" s="277">
        <v>7.3335220000000003</v>
      </c>
      <c r="N100" s="284">
        <f t="shared" si="6"/>
        <v>10.283776000000003</v>
      </c>
      <c r="O100" s="277">
        <v>55.649428</v>
      </c>
      <c r="P100" s="277">
        <v>5.6725209999999997</v>
      </c>
      <c r="Q100" s="277">
        <v>8.0387599999999999</v>
      </c>
      <c r="R100" s="277">
        <v>3.4496699999999998</v>
      </c>
      <c r="S100" s="277">
        <v>9.6895439999999997</v>
      </c>
      <c r="T100" s="284">
        <f t="shared" si="7"/>
        <v>28.798932999999998</v>
      </c>
      <c r="U100" s="920">
        <v>10178.048000000001</v>
      </c>
      <c r="V100" s="920">
        <v>1060.375</v>
      </c>
      <c r="W100" s="920">
        <v>1708.2443333333333</v>
      </c>
      <c r="X100" s="920">
        <v>981.57166666666672</v>
      </c>
      <c r="Y100" s="920">
        <v>1034.2976666666666</v>
      </c>
      <c r="Z100" s="874">
        <f t="shared" si="8"/>
        <v>5393.5593333333345</v>
      </c>
      <c r="AA100" s="920">
        <v>944</v>
      </c>
      <c r="AB100" s="277">
        <v>126.142</v>
      </c>
      <c r="AC100" s="920">
        <v>136.69200000000001</v>
      </c>
      <c r="AD100" s="920">
        <v>80.39</v>
      </c>
      <c r="AE100" s="920">
        <v>130.24299999999999</v>
      </c>
      <c r="AF100" s="920">
        <v>2858.6</v>
      </c>
      <c r="AG100" s="277">
        <v>341.97899999999998</v>
      </c>
      <c r="AH100" s="920">
        <v>399.18799999999999</v>
      </c>
      <c r="AI100" s="920">
        <v>255.15600000000001</v>
      </c>
      <c r="AJ100" s="920">
        <v>388.63499999999999</v>
      </c>
      <c r="AK100" s="919">
        <f>Data[[#This Row],[Industry Cost ($m)]]/Data[[#This Row],[Industry Consumption]]</f>
        <v>3.028177966101695</v>
      </c>
      <c r="AL100" s="919">
        <f>Data[[#This Row],[AAL Fuel Cost]]/Data[[#This Row],[AAL Consumption]]</f>
        <v>2.7110637218372946</v>
      </c>
      <c r="AM100" s="919">
        <f>Data[[#This Row],[DAL Fuel Cost]]/Data[[#This Row],[DAL Consumption]]</f>
        <v>2.9203464723612207</v>
      </c>
      <c r="AN100" s="919">
        <f>Data[[#This Row],[UAL Fuel Cost]]/Data[[#This Row],[UALConsumption]]</f>
        <v>3.17397686279388</v>
      </c>
      <c r="AO100" s="919">
        <f>Data[[#This Row],[LUV Fuel Cost]]/Data[[#This Row],[LUV Consumption]]</f>
        <v>2.9839223605107374</v>
      </c>
      <c r="AP100" s="919">
        <v>3.125</v>
      </c>
      <c r="AQ100" s="783">
        <f>AVERAGE(AP98:AP100)</f>
        <v>2.8610000000000002</v>
      </c>
    </row>
    <row r="101" spans="1:43" s="253" customFormat="1">
      <c r="A101" s="263">
        <f t="shared" si="9"/>
        <v>40663</v>
      </c>
      <c r="B101" s="263" t="s">
        <v>357</v>
      </c>
      <c r="C101" s="277">
        <v>42.117818999999997</v>
      </c>
      <c r="D101" s="277">
        <v>7.4891959999999997</v>
      </c>
      <c r="E101" s="277">
        <v>8.8612080000000013</v>
      </c>
      <c r="F101" s="277">
        <v>5.0445890000000002</v>
      </c>
      <c r="G101" s="277">
        <v>8.830705</v>
      </c>
      <c r="H101" s="284">
        <f t="shared" si="5"/>
        <v>11.892120999999996</v>
      </c>
      <c r="I101" s="277">
        <v>34.812534999999997</v>
      </c>
      <c r="J101" s="277">
        <v>6.2534539999999996</v>
      </c>
      <c r="K101" s="277">
        <v>7.5258209999999996</v>
      </c>
      <c r="L101" s="277">
        <v>4.3483830000000001</v>
      </c>
      <c r="M101" s="277">
        <v>7.0407460000000004</v>
      </c>
      <c r="N101" s="284">
        <f t="shared" si="6"/>
        <v>9.6441310000000016</v>
      </c>
      <c r="O101" s="277">
        <v>52.858479000000003</v>
      </c>
      <c r="P101" s="277">
        <v>5.4433369999999996</v>
      </c>
      <c r="Q101" s="277">
        <v>7.7081650000000002</v>
      </c>
      <c r="R101" s="277">
        <v>3.23</v>
      </c>
      <c r="S101" s="277">
        <v>9.2236779999999996</v>
      </c>
      <c r="T101" s="284">
        <f t="shared" si="7"/>
        <v>27.253299000000002</v>
      </c>
      <c r="U101" s="920">
        <v>11554.63</v>
      </c>
      <c r="V101" s="920">
        <v>1191.6736666666668</v>
      </c>
      <c r="W101" s="920">
        <v>1986.99</v>
      </c>
      <c r="X101" s="920">
        <v>1146.0076666666666</v>
      </c>
      <c r="Y101" s="920">
        <v>1198.623</v>
      </c>
      <c r="Z101" s="874">
        <f t="shared" si="8"/>
        <v>6031.3356666666659</v>
      </c>
      <c r="AA101" s="920">
        <v>909.7</v>
      </c>
      <c r="AB101" s="277">
        <v>123.045</v>
      </c>
      <c r="AC101" s="920">
        <v>128.39500000000001</v>
      </c>
      <c r="AD101" s="920">
        <v>75.585999999999999</v>
      </c>
      <c r="AE101" s="920">
        <v>128.06700000000001</v>
      </c>
      <c r="AF101" s="920">
        <v>2919.7</v>
      </c>
      <c r="AG101" s="277">
        <v>346.93</v>
      </c>
      <c r="AH101" s="920">
        <v>413.173</v>
      </c>
      <c r="AI101" s="920">
        <v>253.11600000000001</v>
      </c>
      <c r="AJ101" s="920">
        <v>405.49</v>
      </c>
      <c r="AK101" s="919">
        <f>Data[[#This Row],[Industry Cost ($m)]]/Data[[#This Row],[Industry Consumption]]</f>
        <v>3.2095196218533579</v>
      </c>
      <c r="AL101" s="919">
        <f>Data[[#This Row],[AAL Fuel Cost]]/Data[[#This Row],[AAL Consumption]]</f>
        <v>2.8195375675565848</v>
      </c>
      <c r="AM101" s="919">
        <f>Data[[#This Row],[DAL Fuel Cost]]/Data[[#This Row],[DAL Consumption]]</f>
        <v>3.217983566338253</v>
      </c>
      <c r="AN101" s="919">
        <f>Data[[#This Row],[UAL Fuel Cost]]/Data[[#This Row],[UALConsumption]]</f>
        <v>3.34871537057127</v>
      </c>
      <c r="AO101" s="919">
        <f>Data[[#This Row],[LUV Fuel Cost]]/Data[[#This Row],[LUV Consumption]]</f>
        <v>3.1662332997571583</v>
      </c>
      <c r="AP101" s="919">
        <v>3.2669999999999999</v>
      </c>
      <c r="AQ101" s="783"/>
    </row>
    <row r="102" spans="1:43" s="253" customFormat="1">
      <c r="A102" s="263">
        <f t="shared" si="9"/>
        <v>40694</v>
      </c>
      <c r="B102" s="263" t="s">
        <v>357</v>
      </c>
      <c r="C102" s="277">
        <v>42.859555</v>
      </c>
      <c r="D102" s="277">
        <v>7.4767709999999994</v>
      </c>
      <c r="E102" s="277">
        <v>9.1657869999999999</v>
      </c>
      <c r="F102" s="277">
        <v>5.0959520000000005</v>
      </c>
      <c r="G102" s="277">
        <v>8.9676969999999994</v>
      </c>
      <c r="H102" s="284">
        <f t="shared" si="5"/>
        <v>12.153348000000001</v>
      </c>
      <c r="I102" s="277">
        <v>36.373866</v>
      </c>
      <c r="J102" s="277">
        <v>6.4501980000000003</v>
      </c>
      <c r="K102" s="277">
        <v>7.9398299999999997</v>
      </c>
      <c r="L102" s="277">
        <v>4.47689</v>
      </c>
      <c r="M102" s="277">
        <v>7.3767360000000002</v>
      </c>
      <c r="N102" s="284">
        <f t="shared" si="6"/>
        <v>10.130211999999997</v>
      </c>
      <c r="O102" s="277">
        <v>55.982233999999998</v>
      </c>
      <c r="P102" s="277">
        <v>5.6207419999999999</v>
      </c>
      <c r="Q102" s="277">
        <v>8.2113169999999993</v>
      </c>
      <c r="R102" s="277">
        <v>3.3826000000000001</v>
      </c>
      <c r="S102" s="277">
        <v>9.7065040000000007</v>
      </c>
      <c r="T102" s="284">
        <f t="shared" si="7"/>
        <v>29.061070999999998</v>
      </c>
      <c r="U102" s="920">
        <v>11554.63</v>
      </c>
      <c r="V102" s="920">
        <v>1191.6736666666668</v>
      </c>
      <c r="W102" s="920">
        <v>1986.99</v>
      </c>
      <c r="X102" s="920">
        <v>1146.0076666666666</v>
      </c>
      <c r="Y102" s="920">
        <v>1198.623</v>
      </c>
      <c r="Z102" s="874">
        <f t="shared" si="8"/>
        <v>6031.3356666666659</v>
      </c>
      <c r="AA102" s="920">
        <v>921.9</v>
      </c>
      <c r="AB102" s="277">
        <v>122.59399999999999</v>
      </c>
      <c r="AC102" s="920">
        <v>133.809</v>
      </c>
      <c r="AD102" s="920">
        <v>77.218999999999994</v>
      </c>
      <c r="AE102" s="920">
        <v>131.07</v>
      </c>
      <c r="AF102" s="920">
        <v>2993.1</v>
      </c>
      <c r="AG102" s="277">
        <v>373.15199999999999</v>
      </c>
      <c r="AH102" s="920">
        <v>436.13499999999999</v>
      </c>
      <c r="AI102" s="920">
        <v>258.09399999999999</v>
      </c>
      <c r="AJ102" s="920">
        <v>422.41699999999997</v>
      </c>
      <c r="AK102" s="919">
        <f>Data[[#This Row],[Industry Cost ($m)]]/Data[[#This Row],[Industry Consumption]]</f>
        <v>3.2466644972339731</v>
      </c>
      <c r="AL102" s="919">
        <f>Data[[#This Row],[AAL Fuel Cost]]/Data[[#This Row],[AAL Consumption]]</f>
        <v>3.0438031225019171</v>
      </c>
      <c r="AM102" s="919">
        <f>Data[[#This Row],[DAL Fuel Cost]]/Data[[#This Row],[DAL Consumption]]</f>
        <v>3.2593846452779709</v>
      </c>
      <c r="AN102" s="919">
        <f>Data[[#This Row],[UAL Fuel Cost]]/Data[[#This Row],[UALConsumption]]</f>
        <v>3.3423639259767675</v>
      </c>
      <c r="AO102" s="919">
        <f>Data[[#This Row],[LUV Fuel Cost]]/Data[[#This Row],[LUV Consumption]]</f>
        <v>3.2228351262684063</v>
      </c>
      <c r="AP102" s="919">
        <v>3.085</v>
      </c>
      <c r="AQ102" s="783"/>
    </row>
    <row r="103" spans="1:43" s="253" customFormat="1">
      <c r="A103" s="263">
        <f t="shared" si="9"/>
        <v>40724</v>
      </c>
      <c r="B103" s="263" t="s">
        <v>357</v>
      </c>
      <c r="C103" s="277">
        <v>44.435661000000003</v>
      </c>
      <c r="D103" s="277">
        <v>7.5913890000000004</v>
      </c>
      <c r="E103" s="277">
        <v>9.544649999999999</v>
      </c>
      <c r="F103" s="277">
        <v>5.5270250000000001</v>
      </c>
      <c r="G103" s="277">
        <v>9.2133269999999996</v>
      </c>
      <c r="H103" s="284">
        <f t="shared" si="5"/>
        <v>12.559270000000005</v>
      </c>
      <c r="I103" s="277">
        <v>38.32338</v>
      </c>
      <c r="J103" s="277">
        <v>6.6728240000000003</v>
      </c>
      <c r="K103" s="277">
        <v>8.3918219999999994</v>
      </c>
      <c r="L103" s="277">
        <v>4.9703689999999998</v>
      </c>
      <c r="M103" s="277">
        <v>7.6934940000000003</v>
      </c>
      <c r="N103" s="284">
        <f t="shared" si="6"/>
        <v>10.594870999999998</v>
      </c>
      <c r="O103" s="277">
        <v>57.778699000000003</v>
      </c>
      <c r="P103" s="277">
        <v>5.8596550000000001</v>
      </c>
      <c r="Q103" s="277">
        <v>8.47621</v>
      </c>
      <c r="R103" s="277">
        <v>3.6640790000000001</v>
      </c>
      <c r="S103" s="277">
        <v>9.9246119999999998</v>
      </c>
      <c r="T103" s="284">
        <f t="shared" si="7"/>
        <v>29.854143000000004</v>
      </c>
      <c r="U103" s="920">
        <v>11554.63</v>
      </c>
      <c r="V103" s="920">
        <v>1191.6736666666668</v>
      </c>
      <c r="W103" s="920">
        <v>1986.99</v>
      </c>
      <c r="X103" s="920">
        <v>1146.0076666666666</v>
      </c>
      <c r="Y103" s="920">
        <v>1198.623</v>
      </c>
      <c r="Z103" s="874">
        <f t="shared" si="8"/>
        <v>6031.3356666666659</v>
      </c>
      <c r="AA103" s="920">
        <v>953.7</v>
      </c>
      <c r="AB103" s="277">
        <v>125.05500000000001</v>
      </c>
      <c r="AC103" s="920">
        <v>138.649</v>
      </c>
      <c r="AD103" s="920">
        <v>83.462000000000003</v>
      </c>
      <c r="AE103" s="920">
        <v>134.089</v>
      </c>
      <c r="AF103" s="920">
        <v>2984.1</v>
      </c>
      <c r="AG103" s="277">
        <v>360.74299999999999</v>
      </c>
      <c r="AH103" s="920">
        <v>426.43799999999999</v>
      </c>
      <c r="AI103" s="920">
        <v>257.16500000000002</v>
      </c>
      <c r="AJ103" s="920">
        <v>429.05599999999998</v>
      </c>
      <c r="AK103" s="919">
        <f>Data[[#This Row],[Industry Cost ($m)]]/Data[[#This Row],[Industry Consumption]]</f>
        <v>3.128971374646115</v>
      </c>
      <c r="AL103" s="919">
        <f>Data[[#This Row],[AAL Fuel Cost]]/Data[[#This Row],[AAL Consumption]]</f>
        <v>2.8846747431130302</v>
      </c>
      <c r="AM103" s="919">
        <f>Data[[#This Row],[DAL Fuel Cost]]/Data[[#This Row],[DAL Consumption]]</f>
        <v>3.0756658901254244</v>
      </c>
      <c r="AN103" s="919">
        <f>Data[[#This Row],[UAL Fuel Cost]]/Data[[#This Row],[UALConsumption]]</f>
        <v>3.0812225923174621</v>
      </c>
      <c r="AO103" s="919">
        <f>Data[[#This Row],[LUV Fuel Cost]]/Data[[#This Row],[LUV Consumption]]</f>
        <v>3.1997852172810597</v>
      </c>
      <c r="AP103" s="919">
        <v>3.0459999999999998</v>
      </c>
      <c r="AQ103" s="783">
        <f>AVERAGE(AP101:AP103)</f>
        <v>3.1326666666666667</v>
      </c>
    </row>
    <row r="104" spans="1:43" s="253" customFormat="1">
      <c r="A104" s="263">
        <f t="shared" si="9"/>
        <v>40755</v>
      </c>
      <c r="B104" s="263" t="s">
        <v>357</v>
      </c>
      <c r="C104" s="277">
        <v>46.376542999999998</v>
      </c>
      <c r="D104" s="277">
        <v>7.8528450000000003</v>
      </c>
      <c r="E104" s="277">
        <v>10.084368</v>
      </c>
      <c r="F104" s="277">
        <v>5.7857439999999993</v>
      </c>
      <c r="G104" s="277">
        <v>9.4491790000000009</v>
      </c>
      <c r="H104" s="284">
        <f t="shared" si="5"/>
        <v>13.204406999999996</v>
      </c>
      <c r="I104" s="277">
        <v>40.56147</v>
      </c>
      <c r="J104" s="277">
        <v>6.9625440000000003</v>
      </c>
      <c r="K104" s="277">
        <v>9.0289450000000002</v>
      </c>
      <c r="L104" s="277">
        <v>5.2403959999999996</v>
      </c>
      <c r="M104" s="277">
        <v>7.9597490000000004</v>
      </c>
      <c r="N104" s="284">
        <f t="shared" si="6"/>
        <v>11.369835999999999</v>
      </c>
      <c r="O104" s="277">
        <v>60.310568000000004</v>
      </c>
      <c r="P104" s="277">
        <v>6.0769250000000001</v>
      </c>
      <c r="Q104" s="277">
        <v>8.9750800000000002</v>
      </c>
      <c r="R104" s="277">
        <v>3.8229060000000001</v>
      </c>
      <c r="S104" s="277">
        <v>10.118492</v>
      </c>
      <c r="T104" s="284">
        <f t="shared" si="7"/>
        <v>31.317165000000003</v>
      </c>
      <c r="U104" s="920">
        <v>11558.852666666666</v>
      </c>
      <c r="V104" s="920">
        <v>1194.8093333333334</v>
      </c>
      <c r="W104" s="920">
        <v>2001.1869999999999</v>
      </c>
      <c r="X104" s="920">
        <v>1192.7049999999999</v>
      </c>
      <c r="Y104" s="920">
        <v>1184.2280000000001</v>
      </c>
      <c r="Z104" s="874">
        <f t="shared" si="8"/>
        <v>5985.9233333333323</v>
      </c>
      <c r="AA104" s="920">
        <v>978.8</v>
      </c>
      <c r="AB104" s="277">
        <v>128.58500000000001</v>
      </c>
      <c r="AC104" s="920">
        <v>144.988</v>
      </c>
      <c r="AD104" s="920">
        <v>85.643000000000001</v>
      </c>
      <c r="AE104" s="920">
        <v>137.21100000000001</v>
      </c>
      <c r="AF104" s="920">
        <v>3042.7</v>
      </c>
      <c r="AG104" s="277">
        <v>381.08699999999999</v>
      </c>
      <c r="AH104" s="920">
        <v>445.346</v>
      </c>
      <c r="AI104" s="920">
        <v>269.149</v>
      </c>
      <c r="AJ104" s="920">
        <v>418.21800000000002</v>
      </c>
      <c r="AK104" s="919">
        <f>Data[[#This Row],[Industry Cost ($m)]]/Data[[#This Row],[Industry Consumption]]</f>
        <v>3.1086023702492849</v>
      </c>
      <c r="AL104" s="919">
        <f>Data[[#This Row],[AAL Fuel Cost]]/Data[[#This Row],[AAL Consumption]]</f>
        <v>2.9636971652992181</v>
      </c>
      <c r="AM104" s="919">
        <f>Data[[#This Row],[DAL Fuel Cost]]/Data[[#This Row],[DAL Consumption]]</f>
        <v>3.0716059260076696</v>
      </c>
      <c r="AN104" s="919">
        <f>Data[[#This Row],[UAL Fuel Cost]]/Data[[#This Row],[UALConsumption]]</f>
        <v>3.1426853333021962</v>
      </c>
      <c r="AO104" s="919">
        <f>Data[[#This Row],[LUV Fuel Cost]]/Data[[#This Row],[LUV Consumption]]</f>
        <v>3.047991779084767</v>
      </c>
      <c r="AP104" s="919">
        <v>3.1309999999999998</v>
      </c>
      <c r="AQ104" s="783"/>
    </row>
    <row r="105" spans="1:43" s="253" customFormat="1">
      <c r="A105" s="263">
        <f t="shared" si="9"/>
        <v>40786</v>
      </c>
      <c r="B105" s="263" t="s">
        <v>357</v>
      </c>
      <c r="C105" s="277">
        <v>44.800721000000003</v>
      </c>
      <c r="D105" s="277">
        <v>7.6580259999999996</v>
      </c>
      <c r="E105" s="277">
        <v>9.7130869999999998</v>
      </c>
      <c r="F105" s="277">
        <v>5.6271819999999995</v>
      </c>
      <c r="G105" s="277">
        <v>9.032843999999999</v>
      </c>
      <c r="H105" s="284">
        <f t="shared" si="5"/>
        <v>12.769582000000007</v>
      </c>
      <c r="I105" s="277">
        <v>38.489958999999999</v>
      </c>
      <c r="J105" s="277">
        <v>6.6030030000000002</v>
      </c>
      <c r="K105" s="277">
        <v>8.5901929999999993</v>
      </c>
      <c r="L105" s="277">
        <v>5.0123800000000003</v>
      </c>
      <c r="M105" s="277">
        <v>7.410355</v>
      </c>
      <c r="N105" s="284">
        <f t="shared" si="6"/>
        <v>10.874027999999999</v>
      </c>
      <c r="O105" s="277">
        <v>57.403835000000001</v>
      </c>
      <c r="P105" s="277">
        <v>5.7175450000000003</v>
      </c>
      <c r="Q105" s="277">
        <v>8.5605930000000008</v>
      </c>
      <c r="R105" s="277">
        <v>3.7155049999999998</v>
      </c>
      <c r="S105" s="277">
        <v>9.6074330000000003</v>
      </c>
      <c r="T105" s="284">
        <f t="shared" si="7"/>
        <v>29.802758999999998</v>
      </c>
      <c r="U105" s="920">
        <v>11558.852666666666</v>
      </c>
      <c r="V105" s="920">
        <v>1194.8093333333334</v>
      </c>
      <c r="W105" s="920">
        <v>2001.1869999999999</v>
      </c>
      <c r="X105" s="920">
        <v>1192.7049999999999</v>
      </c>
      <c r="Y105" s="920">
        <v>1184.2280000000001</v>
      </c>
      <c r="Z105" s="874">
        <f t="shared" si="8"/>
        <v>5985.9233333333323</v>
      </c>
      <c r="AA105" s="920">
        <v>952.9</v>
      </c>
      <c r="AB105" s="277">
        <v>124.646</v>
      </c>
      <c r="AC105" s="920">
        <v>139.68199999999999</v>
      </c>
      <c r="AD105" s="920">
        <v>84.978999999999999</v>
      </c>
      <c r="AE105" s="920">
        <v>131.446</v>
      </c>
      <c r="AF105" s="920">
        <v>2978.3</v>
      </c>
      <c r="AG105" s="277">
        <v>378.96899999999999</v>
      </c>
      <c r="AH105" s="920">
        <v>424.98200000000003</v>
      </c>
      <c r="AI105" s="920">
        <v>266.65100000000001</v>
      </c>
      <c r="AJ105" s="920">
        <v>415.625</v>
      </c>
      <c r="AK105" s="919">
        <f>Data[[#This Row],[Industry Cost ($m)]]/Data[[#This Row],[Industry Consumption]]</f>
        <v>3.1255115961800821</v>
      </c>
      <c r="AL105" s="919">
        <f>Data[[#This Row],[AAL Fuel Cost]]/Data[[#This Row],[AAL Consumption]]</f>
        <v>3.0403623060507354</v>
      </c>
      <c r="AM105" s="919">
        <f>Data[[#This Row],[DAL Fuel Cost]]/Data[[#This Row],[DAL Consumption]]</f>
        <v>3.0424965278274945</v>
      </c>
      <c r="AN105" s="919">
        <f>Data[[#This Row],[UAL Fuel Cost]]/Data[[#This Row],[UALConsumption]]</f>
        <v>3.1378458207321809</v>
      </c>
      <c r="AO105" s="919">
        <f>Data[[#This Row],[LUV Fuel Cost]]/Data[[#This Row],[LUV Consumption]]</f>
        <v>3.1619448290552774</v>
      </c>
      <c r="AP105" s="919">
        <v>3.008</v>
      </c>
      <c r="AQ105" s="783"/>
    </row>
    <row r="106" spans="1:43" s="253" customFormat="1">
      <c r="A106" s="263">
        <f t="shared" si="9"/>
        <v>40816</v>
      </c>
      <c r="B106" s="263" t="s">
        <v>357</v>
      </c>
      <c r="C106" s="277">
        <v>40.576121000000001</v>
      </c>
      <c r="D106" s="277">
        <v>7.2838339999999997</v>
      </c>
      <c r="E106" s="277">
        <v>8.75441</v>
      </c>
      <c r="F106" s="277">
        <v>4.7574449999999997</v>
      </c>
      <c r="G106" s="277">
        <v>8.3614979999999992</v>
      </c>
      <c r="H106" s="284">
        <f t="shared" si="5"/>
        <v>11.418934</v>
      </c>
      <c r="I106" s="277">
        <v>33.410648000000002</v>
      </c>
      <c r="J106" s="277">
        <v>5.9873820000000002</v>
      </c>
      <c r="K106" s="277">
        <v>7.3905890000000003</v>
      </c>
      <c r="L106" s="277">
        <v>4.1450940000000003</v>
      </c>
      <c r="M106" s="277">
        <v>6.5551399999999997</v>
      </c>
      <c r="N106" s="284">
        <f t="shared" si="6"/>
        <v>9.3324429999999978</v>
      </c>
      <c r="O106" s="277">
        <v>50.982170000000004</v>
      </c>
      <c r="P106" s="277">
        <v>5.2775119999999998</v>
      </c>
      <c r="Q106" s="277">
        <v>7.5073189999999999</v>
      </c>
      <c r="R106" s="277">
        <v>3.17171</v>
      </c>
      <c r="S106" s="277">
        <v>8.7511159999999997</v>
      </c>
      <c r="T106" s="284">
        <f t="shared" si="7"/>
        <v>26.274513000000002</v>
      </c>
      <c r="U106" s="920">
        <v>11558.852666666666</v>
      </c>
      <c r="V106" s="920">
        <v>1194.8093333333334</v>
      </c>
      <c r="W106" s="920">
        <v>2001.1869999999999</v>
      </c>
      <c r="X106" s="920">
        <v>1192.7049999999999</v>
      </c>
      <c r="Y106" s="920">
        <v>1184.2280000000001</v>
      </c>
      <c r="Z106" s="874">
        <f t="shared" si="8"/>
        <v>5985.9233333333323</v>
      </c>
      <c r="AA106" s="920">
        <v>866.7</v>
      </c>
      <c r="AB106" s="277">
        <v>117.40600000000001</v>
      </c>
      <c r="AC106" s="920">
        <v>125.84399999999999</v>
      </c>
      <c r="AD106" s="920">
        <v>75.263000000000005</v>
      </c>
      <c r="AE106" s="920">
        <v>121.107</v>
      </c>
      <c r="AF106" s="920">
        <v>2752.4</v>
      </c>
      <c r="AG106" s="277">
        <v>386.40800000000002</v>
      </c>
      <c r="AH106" s="920">
        <v>381.49099999999999</v>
      </c>
      <c r="AI106" s="920">
        <v>235.429</v>
      </c>
      <c r="AJ106" s="920">
        <v>405.86</v>
      </c>
      <c r="AK106" s="919">
        <f>Data[[#This Row],[Industry Cost ($m)]]/Data[[#This Row],[Industry Consumption]]</f>
        <v>3.1757240106149762</v>
      </c>
      <c r="AL106" s="919">
        <f>Data[[#This Row],[AAL Fuel Cost]]/Data[[#This Row],[AAL Consumption]]</f>
        <v>3.2912116927584623</v>
      </c>
      <c r="AM106" s="919">
        <f>Data[[#This Row],[DAL Fuel Cost]]/Data[[#This Row],[DAL Consumption]]</f>
        <v>3.0314595848828709</v>
      </c>
      <c r="AN106" s="919">
        <f>Data[[#This Row],[UAL Fuel Cost]]/Data[[#This Row],[UALConsumption]]</f>
        <v>3.1280841847919958</v>
      </c>
      <c r="AO106" s="919">
        <f>Data[[#This Row],[LUV Fuel Cost]]/Data[[#This Row],[LUV Consumption]]</f>
        <v>3.35125137275302</v>
      </c>
      <c r="AP106" s="919">
        <v>2.948</v>
      </c>
      <c r="AQ106" s="783">
        <f>AVERAGE(AP104:AP106)</f>
        <v>3.0289999999999999</v>
      </c>
    </row>
    <row r="107" spans="1:43" s="253" customFormat="1">
      <c r="A107" s="263">
        <f t="shared" si="9"/>
        <v>40847</v>
      </c>
      <c r="B107" s="263" t="s">
        <v>357</v>
      </c>
      <c r="C107" s="277">
        <v>41.726699000000004</v>
      </c>
      <c r="D107" s="277">
        <v>7.3751660000000001</v>
      </c>
      <c r="E107" s="277">
        <v>9.0090329999999987</v>
      </c>
      <c r="F107" s="277">
        <v>4.8945230000000004</v>
      </c>
      <c r="G107" s="277">
        <v>8.7875570000000014</v>
      </c>
      <c r="H107" s="284">
        <f t="shared" si="5"/>
        <v>11.660420000000002</v>
      </c>
      <c r="I107" s="277">
        <v>35.170169000000001</v>
      </c>
      <c r="J107" s="277">
        <v>6.2902680000000002</v>
      </c>
      <c r="K107" s="277">
        <v>7.7269019999999999</v>
      </c>
      <c r="L107" s="277">
        <v>4.287064</v>
      </c>
      <c r="M107" s="277">
        <v>7.1608450000000001</v>
      </c>
      <c r="N107" s="284">
        <f t="shared" si="6"/>
        <v>9.7050899999999984</v>
      </c>
      <c r="O107" s="277">
        <v>54.124363000000002</v>
      </c>
      <c r="P107" s="277">
        <v>5.5979369999999999</v>
      </c>
      <c r="Q107" s="277">
        <v>7.987349</v>
      </c>
      <c r="R107" s="277">
        <v>3.2697820000000002</v>
      </c>
      <c r="S107" s="277">
        <v>9.5222660000000001</v>
      </c>
      <c r="T107" s="284">
        <f t="shared" si="7"/>
        <v>27.747029000000005</v>
      </c>
      <c r="U107" s="920">
        <v>10982.501333333334</v>
      </c>
      <c r="V107" s="920">
        <v>1147.4366666666667</v>
      </c>
      <c r="W107" s="920">
        <v>1851.6506666666667</v>
      </c>
      <c r="X107" s="920">
        <v>1029.1233333333332</v>
      </c>
      <c r="Y107" s="920">
        <v>1134.3983333333333</v>
      </c>
      <c r="Z107" s="874">
        <f t="shared" si="8"/>
        <v>5819.8923333333332</v>
      </c>
      <c r="AA107" s="920">
        <v>895</v>
      </c>
      <c r="AB107" s="277">
        <v>118.637</v>
      </c>
      <c r="AC107" s="920">
        <v>139.72999999999999</v>
      </c>
      <c r="AD107" s="920">
        <v>73.897999999999996</v>
      </c>
      <c r="AE107" s="920">
        <v>126.96599999999999</v>
      </c>
      <c r="AF107" s="920">
        <v>2684.7</v>
      </c>
      <c r="AG107" s="277">
        <v>314.67200000000003</v>
      </c>
      <c r="AH107" s="920">
        <v>417.34</v>
      </c>
      <c r="AI107" s="920">
        <v>225.49700000000001</v>
      </c>
      <c r="AJ107" s="920">
        <v>393.30399999999997</v>
      </c>
      <c r="AK107" s="919">
        <f>Data[[#This Row],[Industry Cost ($m)]]/Data[[#This Row],[Industry Consumption]]</f>
        <v>2.9996648044692735</v>
      </c>
      <c r="AL107" s="919">
        <f>Data[[#This Row],[AAL Fuel Cost]]/Data[[#This Row],[AAL Consumption]]</f>
        <v>2.6523934354375114</v>
      </c>
      <c r="AM107" s="919">
        <f>Data[[#This Row],[DAL Fuel Cost]]/Data[[#This Row],[DAL Consumption]]</f>
        <v>2.9867601803478139</v>
      </c>
      <c r="AN107" s="919">
        <f>Data[[#This Row],[UAL Fuel Cost]]/Data[[#This Row],[UALConsumption]]</f>
        <v>3.0514628271401123</v>
      </c>
      <c r="AO107" s="919">
        <f>Data[[#This Row],[LUV Fuel Cost]]/Data[[#This Row],[LUV Consumption]]</f>
        <v>3.0977111982735535</v>
      </c>
      <c r="AP107" s="919">
        <v>2.9660000000000002</v>
      </c>
      <c r="AQ107" s="783"/>
    </row>
    <row r="108" spans="1:43" s="253" customFormat="1">
      <c r="A108" s="263">
        <f t="shared" si="9"/>
        <v>40877</v>
      </c>
      <c r="B108" s="263" t="s">
        <v>357</v>
      </c>
      <c r="C108" s="277">
        <v>39.561205000000001</v>
      </c>
      <c r="D108" s="277">
        <v>6.9483549999999994</v>
      </c>
      <c r="E108" s="277">
        <v>8.5219640000000005</v>
      </c>
      <c r="F108" s="277">
        <v>4.4844179999999998</v>
      </c>
      <c r="G108" s="277">
        <v>8.2002769999999998</v>
      </c>
      <c r="H108" s="284">
        <f t="shared" si="5"/>
        <v>11.406191</v>
      </c>
      <c r="I108" s="277">
        <v>33.284725000000002</v>
      </c>
      <c r="J108" s="277">
        <v>5.898943</v>
      </c>
      <c r="K108" s="277">
        <v>7.2577230000000004</v>
      </c>
      <c r="L108" s="277">
        <v>3.8740190000000001</v>
      </c>
      <c r="M108" s="277">
        <v>6.7222039999999996</v>
      </c>
      <c r="N108" s="284">
        <f t="shared" si="6"/>
        <v>9.5318359999999984</v>
      </c>
      <c r="O108" s="277">
        <v>51.660083</v>
      </c>
      <c r="P108" s="277">
        <v>5.2377000000000002</v>
      </c>
      <c r="Q108" s="277">
        <v>7.5347410000000004</v>
      </c>
      <c r="R108" s="277">
        <v>2.9528560000000001</v>
      </c>
      <c r="S108" s="277">
        <v>9.0709429999999998</v>
      </c>
      <c r="T108" s="284">
        <f t="shared" si="7"/>
        <v>26.863842999999999</v>
      </c>
      <c r="U108" s="920">
        <v>10982.501333333334</v>
      </c>
      <c r="V108" s="920">
        <v>1147.4366666666667</v>
      </c>
      <c r="W108" s="920">
        <v>1851.6506666666667</v>
      </c>
      <c r="X108" s="920">
        <v>1029.1233333333332</v>
      </c>
      <c r="Y108" s="920">
        <v>1134.3983333333333</v>
      </c>
      <c r="Z108" s="874">
        <f t="shared" si="8"/>
        <v>5819.8923333333332</v>
      </c>
      <c r="AA108" s="920">
        <v>859.9</v>
      </c>
      <c r="AB108" s="277">
        <v>112.041</v>
      </c>
      <c r="AC108" s="920">
        <v>123.746</v>
      </c>
      <c r="AD108" s="920">
        <v>67.341999999999999</v>
      </c>
      <c r="AE108" s="920">
        <v>119.129</v>
      </c>
      <c r="AF108" s="920">
        <v>2664.2</v>
      </c>
      <c r="AG108" s="277">
        <v>338.54899999999998</v>
      </c>
      <c r="AH108" s="920">
        <v>350.91199999999998</v>
      </c>
      <c r="AI108" s="920">
        <v>207.559</v>
      </c>
      <c r="AJ108" s="920">
        <v>380.34500000000003</v>
      </c>
      <c r="AK108" s="919">
        <f>Data[[#This Row],[Industry Cost ($m)]]/Data[[#This Row],[Industry Consumption]]</f>
        <v>3.0982672403767877</v>
      </c>
      <c r="AL108" s="919">
        <f>Data[[#This Row],[AAL Fuel Cost]]/Data[[#This Row],[AAL Consumption]]</f>
        <v>3.0216527878187449</v>
      </c>
      <c r="AM108" s="919">
        <f>Data[[#This Row],[DAL Fuel Cost]]/Data[[#This Row],[DAL Consumption]]</f>
        <v>2.8357441856706478</v>
      </c>
      <c r="AN108" s="919">
        <f>Data[[#This Row],[UAL Fuel Cost]]/Data[[#This Row],[UALConsumption]]</f>
        <v>3.0821626919307414</v>
      </c>
      <c r="AO108" s="919">
        <f>Data[[#This Row],[LUV Fuel Cost]]/Data[[#This Row],[LUV Consumption]]</f>
        <v>3.1927154597117413</v>
      </c>
      <c r="AP108" s="919">
        <v>3.0459999999999998</v>
      </c>
      <c r="AQ108" s="783"/>
    </row>
    <row r="109" spans="1:43" s="253" customFormat="1">
      <c r="A109" s="263">
        <f t="shared" si="9"/>
        <v>40908</v>
      </c>
      <c r="B109" s="263" t="s">
        <v>357</v>
      </c>
      <c r="C109" s="277">
        <v>41.418644999999998</v>
      </c>
      <c r="D109" s="277">
        <v>7.2671080000000003</v>
      </c>
      <c r="E109" s="277">
        <v>8.5937450000000002</v>
      </c>
      <c r="F109" s="277">
        <v>4.9009239999999998</v>
      </c>
      <c r="G109" s="277">
        <v>8.4598600000000008</v>
      </c>
      <c r="H109" s="284">
        <f t="shared" si="5"/>
        <v>12.197007999999997</v>
      </c>
      <c r="I109" s="277">
        <v>33.853327</v>
      </c>
      <c r="J109" s="277">
        <v>5.9201300000000003</v>
      </c>
      <c r="K109" s="277">
        <v>7.0635159999999999</v>
      </c>
      <c r="L109" s="277">
        <v>4.1835990000000001</v>
      </c>
      <c r="M109" s="277">
        <v>6.7356400000000001</v>
      </c>
      <c r="N109" s="284">
        <f t="shared" si="6"/>
        <v>9.9504419999999989</v>
      </c>
      <c r="O109" s="277">
        <v>51.534990000000001</v>
      </c>
      <c r="P109" s="277">
        <v>5.2171989999999999</v>
      </c>
      <c r="Q109" s="277">
        <v>7.1666359999999996</v>
      </c>
      <c r="R109" s="277">
        <v>3.0473219999999999</v>
      </c>
      <c r="S109" s="277">
        <v>9.0626529999999992</v>
      </c>
      <c r="T109" s="284">
        <f t="shared" si="7"/>
        <v>27.041180000000004</v>
      </c>
      <c r="U109" s="920">
        <v>10982.501333333334</v>
      </c>
      <c r="V109" s="920">
        <v>1147.4366666666667</v>
      </c>
      <c r="W109" s="920">
        <v>1851.6506666666667</v>
      </c>
      <c r="X109" s="920">
        <v>1029.1233333333332</v>
      </c>
      <c r="Y109" s="920">
        <v>1134.3983333333333</v>
      </c>
      <c r="Z109" s="874">
        <f t="shared" si="8"/>
        <v>5819.8923333333332</v>
      </c>
      <c r="AA109" s="920">
        <v>889.7</v>
      </c>
      <c r="AB109" s="277">
        <v>116.416</v>
      </c>
      <c r="AC109" s="920">
        <v>123.973</v>
      </c>
      <c r="AD109" s="920">
        <v>72.141999999999996</v>
      </c>
      <c r="AE109" s="920">
        <v>122.167</v>
      </c>
      <c r="AF109" s="920">
        <v>2742.9</v>
      </c>
      <c r="AG109" s="277">
        <v>358.23700000000002</v>
      </c>
      <c r="AH109" s="920">
        <v>362.00299999999999</v>
      </c>
      <c r="AI109" s="920">
        <v>225.001</v>
      </c>
      <c r="AJ109" s="920">
        <v>400.80099999999999</v>
      </c>
      <c r="AK109" s="919">
        <f>Data[[#This Row],[Industry Cost ($m)]]/Data[[#This Row],[Industry Consumption]]</f>
        <v>3.0829493087557602</v>
      </c>
      <c r="AL109" s="919">
        <f>Data[[#This Row],[AAL Fuel Cost]]/Data[[#This Row],[AAL Consumption]]</f>
        <v>3.0772144722374932</v>
      </c>
      <c r="AM109" s="919">
        <f>Data[[#This Row],[DAL Fuel Cost]]/Data[[#This Row],[DAL Consumption]]</f>
        <v>2.9200148419413905</v>
      </c>
      <c r="AN109" s="919">
        <f>Data[[#This Row],[UAL Fuel Cost]]/Data[[#This Row],[UALConsumption]]</f>
        <v>3.1188627983698818</v>
      </c>
      <c r="AO109" s="919">
        <f>Data[[#This Row],[LUV Fuel Cost]]/Data[[#This Row],[LUV Consumption]]</f>
        <v>3.2807632175628441</v>
      </c>
      <c r="AP109" s="919">
        <v>2.8730000000000002</v>
      </c>
      <c r="AQ109" s="783">
        <f>AVERAGE(AP107:AP109)</f>
        <v>2.9616666666666673</v>
      </c>
    </row>
    <row r="110" spans="1:43" s="253" customFormat="1">
      <c r="A110" s="263">
        <f t="shared" si="9"/>
        <v>40939</v>
      </c>
      <c r="B110" s="263" t="s">
        <v>357</v>
      </c>
      <c r="C110" s="277">
        <v>43.663212000000001</v>
      </c>
      <c r="D110" s="277">
        <v>7.250445</v>
      </c>
      <c r="E110" s="277">
        <v>8.2170349999999992</v>
      </c>
      <c r="F110" s="277">
        <v>8.1983999999999995</v>
      </c>
      <c r="G110" s="277">
        <v>8.0693380000000001</v>
      </c>
      <c r="H110" s="284">
        <f t="shared" si="5"/>
        <v>11.927994000000005</v>
      </c>
      <c r="I110" s="277">
        <v>34.351703000000001</v>
      </c>
      <c r="J110" s="277">
        <v>5.6810970000000003</v>
      </c>
      <c r="K110" s="277">
        <v>6.5339999999999998</v>
      </c>
      <c r="L110" s="277">
        <v>6.6515690000000003</v>
      </c>
      <c r="M110" s="277">
        <v>6.0986359999999999</v>
      </c>
      <c r="N110" s="284">
        <f t="shared" si="6"/>
        <v>9.3864009999999993</v>
      </c>
      <c r="O110" s="277">
        <v>47.080840000000002</v>
      </c>
      <c r="P110" s="277">
        <v>4.9972789999999998</v>
      </c>
      <c r="Q110" s="277">
        <v>6.5446749999999998</v>
      </c>
      <c r="R110" s="277">
        <v>4.984089</v>
      </c>
      <c r="S110" s="277">
        <v>8.1699629999999992</v>
      </c>
      <c r="T110" s="284">
        <f t="shared" si="7"/>
        <v>22.384834000000001</v>
      </c>
      <c r="U110" s="920">
        <v>10840.012333333334</v>
      </c>
      <c r="V110" s="920">
        <v>1163.0413333333333</v>
      </c>
      <c r="W110" s="920">
        <v>1865.1953333333333</v>
      </c>
      <c r="X110" s="920">
        <v>1650.1816666666666</v>
      </c>
      <c r="Y110" s="920">
        <v>1104.5063333333333</v>
      </c>
      <c r="Z110" s="874">
        <f t="shared" si="8"/>
        <v>5057.0876666666682</v>
      </c>
      <c r="AA110" s="920">
        <v>808.5</v>
      </c>
      <c r="AB110" s="277">
        <v>115.60899999999999</v>
      </c>
      <c r="AC110" s="920">
        <v>115.158</v>
      </c>
      <c r="AD110" s="920">
        <v>118.364</v>
      </c>
      <c r="AE110" s="920">
        <v>116.468</v>
      </c>
      <c r="AF110" s="920">
        <v>2538.5</v>
      </c>
      <c r="AG110" s="277">
        <v>352.29899999999998</v>
      </c>
      <c r="AH110" s="920">
        <v>366.041</v>
      </c>
      <c r="AI110" s="920">
        <v>361.45</v>
      </c>
      <c r="AJ110" s="920">
        <v>376.35399999999998</v>
      </c>
      <c r="AK110" s="919">
        <f>Data[[#This Row],[Industry Cost ($m)]]/Data[[#This Row],[Industry Consumption]]</f>
        <v>3.139764996907854</v>
      </c>
      <c r="AL110" s="919">
        <f>Data[[#This Row],[AAL Fuel Cost]]/Data[[#This Row],[AAL Consumption]]</f>
        <v>3.047331955124601</v>
      </c>
      <c r="AM110" s="919">
        <f>Data[[#This Row],[DAL Fuel Cost]]/Data[[#This Row],[DAL Consumption]]</f>
        <v>3.1785981000017367</v>
      </c>
      <c r="AN110" s="919">
        <f>Data[[#This Row],[UAL Fuel Cost]]/Data[[#This Row],[UALConsumption]]</f>
        <v>3.0537156567875368</v>
      </c>
      <c r="AO110" s="919">
        <f>Data[[#This Row],[LUV Fuel Cost]]/Data[[#This Row],[LUV Consumption]]</f>
        <v>3.2313940309784659</v>
      </c>
      <c r="AP110" s="919">
        <v>3.0870000000000002</v>
      </c>
      <c r="AQ110" s="783"/>
    </row>
    <row r="111" spans="1:43" s="253" customFormat="1">
      <c r="A111" s="263">
        <f t="shared" si="9"/>
        <v>40968</v>
      </c>
      <c r="B111" s="263" t="s">
        <v>357</v>
      </c>
      <c r="C111" s="277">
        <v>42.100566000000001</v>
      </c>
      <c r="D111" s="277">
        <v>6.9355330000000004</v>
      </c>
      <c r="E111" s="277">
        <v>7.8010979999999996</v>
      </c>
      <c r="F111" s="277">
        <v>8.0895320000000002</v>
      </c>
      <c r="G111" s="277">
        <v>7.8300299999999998</v>
      </c>
      <c r="H111" s="284">
        <f t="shared" si="5"/>
        <v>11.444372999999999</v>
      </c>
      <c r="I111" s="277">
        <v>33.423710999999997</v>
      </c>
      <c r="J111" s="277">
        <v>5.4385149999999998</v>
      </c>
      <c r="K111" s="277">
        <v>6.3536669999999997</v>
      </c>
      <c r="L111" s="277">
        <v>6.48306</v>
      </c>
      <c r="M111" s="277">
        <v>5.9584520000000003</v>
      </c>
      <c r="N111" s="284">
        <f t="shared" si="6"/>
        <v>9.1900169999999974</v>
      </c>
      <c r="O111" s="277">
        <v>46.405385000000003</v>
      </c>
      <c r="P111" s="277">
        <v>4.8678119999999998</v>
      </c>
      <c r="Q111" s="277">
        <v>6.4619460000000002</v>
      </c>
      <c r="R111" s="277">
        <v>4.9192819999999999</v>
      </c>
      <c r="S111" s="277">
        <v>8.0503660000000004</v>
      </c>
      <c r="T111" s="284">
        <f t="shared" si="7"/>
        <v>22.105979000000001</v>
      </c>
      <c r="U111" s="920">
        <v>10840.012333333334</v>
      </c>
      <c r="V111" s="920">
        <v>1163.0413333333333</v>
      </c>
      <c r="W111" s="920">
        <v>1865.1953333333333</v>
      </c>
      <c r="X111" s="920">
        <v>1650.1816666666666</v>
      </c>
      <c r="Y111" s="920">
        <v>1104.5063333333333</v>
      </c>
      <c r="Z111" s="874">
        <f t="shared" si="8"/>
        <v>5057.0876666666682</v>
      </c>
      <c r="AA111" s="920">
        <v>788.3</v>
      </c>
      <c r="AB111" s="277">
        <v>111.386</v>
      </c>
      <c r="AC111" s="920">
        <v>109.91500000000001</v>
      </c>
      <c r="AD111" s="920">
        <v>116.61799999999999</v>
      </c>
      <c r="AE111" s="920">
        <v>112.991</v>
      </c>
      <c r="AF111" s="920">
        <v>2559.6</v>
      </c>
      <c r="AG111" s="277">
        <v>357.36700000000002</v>
      </c>
      <c r="AH111" s="920">
        <v>356.94200000000001</v>
      </c>
      <c r="AI111" s="920">
        <v>365.51400000000001</v>
      </c>
      <c r="AJ111" s="920">
        <v>379.447</v>
      </c>
      <c r="AK111" s="919">
        <f>Data[[#This Row],[Industry Cost ($m)]]/Data[[#This Row],[Industry Consumption]]</f>
        <v>3.2469871876189269</v>
      </c>
      <c r="AL111" s="919">
        <f>Data[[#This Row],[AAL Fuel Cost]]/Data[[#This Row],[AAL Consumption]]</f>
        <v>3.2083655037437384</v>
      </c>
      <c r="AM111" s="919">
        <f>Data[[#This Row],[DAL Fuel Cost]]/Data[[#This Row],[DAL Consumption]]</f>
        <v>3.2474366555975069</v>
      </c>
      <c r="AN111" s="919">
        <f>Data[[#This Row],[UAL Fuel Cost]]/Data[[#This Row],[UALConsumption]]</f>
        <v>3.134284587284982</v>
      </c>
      <c r="AO111" s="919">
        <f>Data[[#This Row],[LUV Fuel Cost]]/Data[[#This Row],[LUV Consumption]]</f>
        <v>3.3582055207936916</v>
      </c>
      <c r="AP111" s="919">
        <v>3.2069999999999999</v>
      </c>
      <c r="AQ111" s="783"/>
    </row>
    <row r="112" spans="1:43" s="253" customFormat="1">
      <c r="A112" s="263">
        <f t="shared" si="9"/>
        <v>40999</v>
      </c>
      <c r="B112" s="263" t="s">
        <v>357</v>
      </c>
      <c r="C112" s="277">
        <v>48.403540999999997</v>
      </c>
      <c r="D112" s="277">
        <v>7.6318779999999995</v>
      </c>
      <c r="E112" s="277">
        <v>9.1815189999999998</v>
      </c>
      <c r="F112" s="277">
        <v>9.3791470000000015</v>
      </c>
      <c r="G112" s="277">
        <v>9.0922790000000013</v>
      </c>
      <c r="H112" s="284">
        <f t="shared" si="5"/>
        <v>13.118717999999994</v>
      </c>
      <c r="I112" s="277">
        <v>41.084615999999997</v>
      </c>
      <c r="J112" s="277">
        <v>6.4498230000000003</v>
      </c>
      <c r="K112" s="277">
        <v>8.0842679999999998</v>
      </c>
      <c r="L112" s="277">
        <v>7.9695239999999998</v>
      </c>
      <c r="M112" s="277">
        <v>7.4562290000000004</v>
      </c>
      <c r="N112" s="284">
        <f t="shared" si="6"/>
        <v>11.124771999999997</v>
      </c>
      <c r="O112" s="277">
        <v>56.200391000000003</v>
      </c>
      <c r="P112" s="277">
        <v>5.7998130000000003</v>
      </c>
      <c r="Q112" s="277">
        <v>8.2276310000000006</v>
      </c>
      <c r="R112" s="277">
        <v>5.9520819999999999</v>
      </c>
      <c r="S112" s="277">
        <v>9.7457949999999993</v>
      </c>
      <c r="T112" s="284">
        <f t="shared" si="7"/>
        <v>26.475070000000002</v>
      </c>
      <c r="U112" s="920">
        <v>10840.012333333334</v>
      </c>
      <c r="V112" s="920">
        <v>1163.0413333333333</v>
      </c>
      <c r="W112" s="920">
        <v>1865.1953333333333</v>
      </c>
      <c r="X112" s="920">
        <v>1650.1816666666666</v>
      </c>
      <c r="Y112" s="920">
        <v>1104.5063333333333</v>
      </c>
      <c r="Z112" s="874">
        <f t="shared" si="8"/>
        <v>5057.0876666666682</v>
      </c>
      <c r="AA112" s="920">
        <v>891.3</v>
      </c>
      <c r="AB112" s="277">
        <v>123.20399999999999</v>
      </c>
      <c r="AC112" s="920">
        <v>129.464</v>
      </c>
      <c r="AD112" s="920">
        <v>133.792</v>
      </c>
      <c r="AE112" s="920">
        <v>130.90600000000001</v>
      </c>
      <c r="AF112" s="920">
        <v>2966.7</v>
      </c>
      <c r="AG112" s="277">
        <v>405.20699999999999</v>
      </c>
      <c r="AH112" s="920">
        <v>431.40699999999998</v>
      </c>
      <c r="AI112" s="920">
        <v>440.66899999999998</v>
      </c>
      <c r="AJ112" s="920">
        <v>423.75400000000002</v>
      </c>
      <c r="AK112" s="919">
        <f>Data[[#This Row],[Industry Cost ($m)]]/Data[[#This Row],[Industry Consumption]]</f>
        <v>3.3285089195557052</v>
      </c>
      <c r="AL112" s="919">
        <f>Data[[#This Row],[AAL Fuel Cost]]/Data[[#This Row],[AAL Consumption]]</f>
        <v>3.2889110743157692</v>
      </c>
      <c r="AM112" s="919">
        <f>Data[[#This Row],[DAL Fuel Cost]]/Data[[#This Row],[DAL Consumption]]</f>
        <v>3.3322545263548169</v>
      </c>
      <c r="AN112" s="919">
        <f>Data[[#This Row],[UAL Fuel Cost]]/Data[[#This Row],[UALConsumption]]</f>
        <v>3.2936872159770387</v>
      </c>
      <c r="AO112" s="919">
        <f>Data[[#This Row],[LUV Fuel Cost]]/Data[[#This Row],[LUV Consumption]]</f>
        <v>3.2370861534230668</v>
      </c>
      <c r="AP112" s="919">
        <v>3.2559999999999998</v>
      </c>
      <c r="AQ112" s="783">
        <f>AVERAGE(AP110:AP112)</f>
        <v>3.1833333333333336</v>
      </c>
    </row>
    <row r="113" spans="1:43" s="253" customFormat="1">
      <c r="A113" s="263">
        <f t="shared" si="9"/>
        <v>41029</v>
      </c>
      <c r="B113" s="263" t="s">
        <v>357</v>
      </c>
      <c r="C113" s="277">
        <v>46.492944000000001</v>
      </c>
      <c r="D113" s="277">
        <v>7.1643670000000004</v>
      </c>
      <c r="E113" s="277">
        <v>8.8045589999999994</v>
      </c>
      <c r="F113" s="277">
        <v>9.0316419999999997</v>
      </c>
      <c r="G113" s="277">
        <v>8.9058259999999994</v>
      </c>
      <c r="H113" s="284">
        <f t="shared" si="5"/>
        <v>12.586550000000003</v>
      </c>
      <c r="I113" s="277">
        <v>39.178576</v>
      </c>
      <c r="J113" s="277">
        <v>6.1010350000000004</v>
      </c>
      <c r="K113" s="277">
        <v>7.6720280000000001</v>
      </c>
      <c r="L113" s="277">
        <v>7.7533899999999996</v>
      </c>
      <c r="M113" s="277">
        <v>7.1108560000000001</v>
      </c>
      <c r="N113" s="284">
        <f t="shared" si="6"/>
        <v>10.541266999999998</v>
      </c>
      <c r="O113" s="277">
        <v>53.691569999999999</v>
      </c>
      <c r="P113" s="277">
        <v>5.4078540000000004</v>
      </c>
      <c r="Q113" s="277">
        <v>7.9682120000000003</v>
      </c>
      <c r="R113" s="277">
        <v>5.7576000000000001</v>
      </c>
      <c r="S113" s="277">
        <v>9.3710459999999998</v>
      </c>
      <c r="T113" s="284">
        <f t="shared" si="7"/>
        <v>25.186857999999997</v>
      </c>
      <c r="U113" s="920">
        <v>11921.080333333333</v>
      </c>
      <c r="V113" s="920">
        <v>1265.2863333333332</v>
      </c>
      <c r="W113" s="920">
        <v>2124.3246666666669</v>
      </c>
      <c r="X113" s="920">
        <v>1914.1826666666666</v>
      </c>
      <c r="Y113" s="920">
        <v>1525.2056666666667</v>
      </c>
      <c r="Z113" s="874">
        <f t="shared" si="8"/>
        <v>5092.0810000000001</v>
      </c>
      <c r="AA113" s="920">
        <v>844.9</v>
      </c>
      <c r="AB113" s="277">
        <v>114.73099999999999</v>
      </c>
      <c r="AC113" s="920">
        <v>122.738</v>
      </c>
      <c r="AD113" s="920">
        <v>126.98399999999999</v>
      </c>
      <c r="AE113" s="920">
        <v>156.19800000000001</v>
      </c>
      <c r="AF113" s="920">
        <v>2825.1</v>
      </c>
      <c r="AG113" s="277">
        <v>386.38400000000001</v>
      </c>
      <c r="AH113" s="920">
        <v>420.39299999999997</v>
      </c>
      <c r="AI113" s="920">
        <v>411.62700000000001</v>
      </c>
      <c r="AJ113" s="920">
        <v>514.55200000000002</v>
      </c>
      <c r="AK113" s="919">
        <f>Data[[#This Row],[Industry Cost ($m)]]/Data[[#This Row],[Industry Consumption]]</f>
        <v>3.3437093147118002</v>
      </c>
      <c r="AL113" s="919">
        <f>Data[[#This Row],[AAL Fuel Cost]]/Data[[#This Row],[AAL Consumption]]</f>
        <v>3.3677384490678199</v>
      </c>
      <c r="AM113" s="919">
        <f>Data[[#This Row],[DAL Fuel Cost]]/Data[[#This Row],[DAL Consumption]]</f>
        <v>3.4251250631426289</v>
      </c>
      <c r="AN113" s="919">
        <f>Data[[#This Row],[UAL Fuel Cost]]/Data[[#This Row],[UALConsumption]]</f>
        <v>3.2415658665658666</v>
      </c>
      <c r="AO113" s="919">
        <f>Data[[#This Row],[LUV Fuel Cost]]/Data[[#This Row],[LUV Consumption]]</f>
        <v>3.2942291194509532</v>
      </c>
      <c r="AP113" s="919">
        <v>3.226</v>
      </c>
      <c r="AQ113" s="783"/>
    </row>
    <row r="114" spans="1:43" s="253" customFormat="1">
      <c r="A114" s="263">
        <f t="shared" si="9"/>
        <v>41060</v>
      </c>
      <c r="B114" s="263" t="s">
        <v>357</v>
      </c>
      <c r="C114" s="277">
        <v>47.784970999999999</v>
      </c>
      <c r="D114" s="277">
        <v>7.5885879999999997</v>
      </c>
      <c r="E114" s="277">
        <v>9.0385920000000013</v>
      </c>
      <c r="F114" s="277">
        <v>9.2531610000000004</v>
      </c>
      <c r="G114" s="277">
        <v>9.1403809999999996</v>
      </c>
      <c r="H114" s="284">
        <f t="shared" si="5"/>
        <v>12.764249</v>
      </c>
      <c r="I114" s="277">
        <v>40.594168000000003</v>
      </c>
      <c r="J114" s="277">
        <v>6.5110640000000002</v>
      </c>
      <c r="K114" s="277">
        <v>7.8498460000000003</v>
      </c>
      <c r="L114" s="277">
        <v>8.0035129999999999</v>
      </c>
      <c r="M114" s="277">
        <v>7.4207479999999997</v>
      </c>
      <c r="N114" s="284">
        <f t="shared" si="6"/>
        <v>10.808997000000002</v>
      </c>
      <c r="O114" s="277">
        <v>55.749349000000002</v>
      </c>
      <c r="P114" s="277">
        <v>5.8101120000000002</v>
      </c>
      <c r="Q114" s="277">
        <v>8.1845119999999998</v>
      </c>
      <c r="R114" s="277">
        <v>5.9089660000000004</v>
      </c>
      <c r="S114" s="277">
        <v>9.7505860000000002</v>
      </c>
      <c r="T114" s="284">
        <f t="shared" si="7"/>
        <v>26.095173000000003</v>
      </c>
      <c r="U114" s="920">
        <v>11921.080333333333</v>
      </c>
      <c r="V114" s="920">
        <v>1265.2863333333332</v>
      </c>
      <c r="W114" s="920">
        <v>2124.3246666666669</v>
      </c>
      <c r="X114" s="920">
        <v>1914.1826666666666</v>
      </c>
      <c r="Y114" s="920">
        <v>1525.2056666666667</v>
      </c>
      <c r="Z114" s="874">
        <f t="shared" si="8"/>
        <v>5092.0810000000001</v>
      </c>
      <c r="AA114" s="920">
        <v>885</v>
      </c>
      <c r="AB114" s="277">
        <v>122.556</v>
      </c>
      <c r="AC114" s="920">
        <v>127.273</v>
      </c>
      <c r="AD114" s="920">
        <v>133.833</v>
      </c>
      <c r="AE114" s="920">
        <v>162.27799999999999</v>
      </c>
      <c r="AF114" s="920">
        <v>2867.4</v>
      </c>
      <c r="AG114" s="277">
        <v>405.75599999999997</v>
      </c>
      <c r="AH114" s="920">
        <v>432.63799999999998</v>
      </c>
      <c r="AI114" s="920">
        <v>419.28</v>
      </c>
      <c r="AJ114" s="920">
        <v>508.46600000000001</v>
      </c>
      <c r="AK114" s="919">
        <f>Data[[#This Row],[Industry Cost ($m)]]/Data[[#This Row],[Industry Consumption]]</f>
        <v>3.24</v>
      </c>
      <c r="AL114" s="919">
        <f>Data[[#This Row],[AAL Fuel Cost]]/Data[[#This Row],[AAL Consumption]]</f>
        <v>3.3107803779496718</v>
      </c>
      <c r="AM114" s="919">
        <f>Data[[#This Row],[DAL Fuel Cost]]/Data[[#This Row],[DAL Consumption]]</f>
        <v>3.3992912872329559</v>
      </c>
      <c r="AN114" s="919">
        <f>Data[[#This Row],[UAL Fuel Cost]]/Data[[#This Row],[UALConsumption]]</f>
        <v>3.1328596086167089</v>
      </c>
      <c r="AO114" s="919">
        <f>Data[[#This Row],[LUV Fuel Cost]]/Data[[#This Row],[LUV Consumption]]</f>
        <v>3.1333021111919055</v>
      </c>
      <c r="AP114" s="919">
        <v>2.9740000000000002</v>
      </c>
      <c r="AQ114" s="783"/>
    </row>
    <row r="115" spans="1:43" s="253" customFormat="1">
      <c r="A115" s="263">
        <f t="shared" si="9"/>
        <v>41090</v>
      </c>
      <c r="B115" s="263" t="s">
        <v>357</v>
      </c>
      <c r="C115" s="277">
        <v>49.423730999999997</v>
      </c>
      <c r="D115" s="277">
        <v>7.3151899999999994</v>
      </c>
      <c r="E115" s="277">
        <v>9.6256090000000007</v>
      </c>
      <c r="F115" s="277">
        <v>9.8312600000000003</v>
      </c>
      <c r="G115" s="277">
        <v>9.3632480000000005</v>
      </c>
      <c r="H115" s="284">
        <f t="shared" si="5"/>
        <v>13.288423999999999</v>
      </c>
      <c r="I115" s="277">
        <v>43.039887</v>
      </c>
      <c r="J115" s="277">
        <v>6.5200129999999996</v>
      </c>
      <c r="K115" s="277">
        <v>8.5870949999999997</v>
      </c>
      <c r="L115" s="277">
        <v>8.6142009999999996</v>
      </c>
      <c r="M115" s="277">
        <v>7.8576119999999996</v>
      </c>
      <c r="N115" s="284">
        <f t="shared" si="6"/>
        <v>11.460966000000003</v>
      </c>
      <c r="O115" s="277">
        <v>57.903292999999998</v>
      </c>
      <c r="P115" s="277">
        <v>5.7633140000000003</v>
      </c>
      <c r="Q115" s="277">
        <v>8.7315989999999992</v>
      </c>
      <c r="R115" s="277">
        <v>6.1852790000000004</v>
      </c>
      <c r="S115" s="277">
        <v>10.097756</v>
      </c>
      <c r="T115" s="284">
        <f t="shared" si="7"/>
        <v>27.125344999999996</v>
      </c>
      <c r="U115" s="920">
        <v>11921.080333333333</v>
      </c>
      <c r="V115" s="920">
        <v>1265.2863333333332</v>
      </c>
      <c r="W115" s="920">
        <v>2124.3246666666669</v>
      </c>
      <c r="X115" s="920">
        <v>1914.1826666666666</v>
      </c>
      <c r="Y115" s="920">
        <v>1525.2056666666667</v>
      </c>
      <c r="Z115" s="874">
        <f t="shared" si="8"/>
        <v>5092.0810000000001</v>
      </c>
      <c r="AA115" s="920">
        <v>905.7</v>
      </c>
      <c r="AB115" s="277">
        <v>119.34399999999999</v>
      </c>
      <c r="AC115" s="920">
        <v>135.70599999999999</v>
      </c>
      <c r="AD115" s="920">
        <v>141.19300000000001</v>
      </c>
      <c r="AE115" s="920">
        <v>163.88900000000001</v>
      </c>
      <c r="AF115" s="920">
        <v>2708.8</v>
      </c>
      <c r="AG115" s="277">
        <v>355.00900000000001</v>
      </c>
      <c r="AH115" s="920">
        <v>459.79300000000001</v>
      </c>
      <c r="AI115" s="920">
        <v>402.99299999999999</v>
      </c>
      <c r="AJ115" s="920">
        <v>484.28500000000003</v>
      </c>
      <c r="AK115" s="919">
        <f>Data[[#This Row],[Industry Cost ($m)]]/Data[[#This Row],[Industry Consumption]]</f>
        <v>2.9908358175996468</v>
      </c>
      <c r="AL115" s="919">
        <f>Data[[#This Row],[AAL Fuel Cost]]/Data[[#This Row],[AAL Consumption]]</f>
        <v>2.9746698619117846</v>
      </c>
      <c r="AM115" s="919">
        <f>Data[[#This Row],[DAL Fuel Cost]]/Data[[#This Row],[DAL Consumption]]</f>
        <v>3.3881552768484817</v>
      </c>
      <c r="AN115" s="919">
        <f>Data[[#This Row],[UAL Fuel Cost]]/Data[[#This Row],[UALConsumption]]</f>
        <v>2.8541995708002519</v>
      </c>
      <c r="AO115" s="919">
        <f>Data[[#This Row],[LUV Fuel Cost]]/Data[[#This Row],[LUV Consumption]]</f>
        <v>2.9549573186730043</v>
      </c>
      <c r="AP115" s="919">
        <v>2.6779999999999999</v>
      </c>
      <c r="AQ115" s="783">
        <f>AVERAGE(AP113:AP115)</f>
        <v>2.9593333333333334</v>
      </c>
    </row>
    <row r="116" spans="1:43" s="253" customFormat="1">
      <c r="A116" s="263">
        <f t="shared" si="9"/>
        <v>41121</v>
      </c>
      <c r="B116" s="263" t="s">
        <v>357</v>
      </c>
      <c r="C116" s="277">
        <v>51.651941999999998</v>
      </c>
      <c r="D116" s="277">
        <v>7.6286339999999999</v>
      </c>
      <c r="E116" s="277">
        <v>10.095748</v>
      </c>
      <c r="F116" s="277">
        <v>10.016298000000001</v>
      </c>
      <c r="G116" s="277">
        <v>9.7761749999999985</v>
      </c>
      <c r="H116" s="284">
        <f t="shared" si="5"/>
        <v>14.135087000000006</v>
      </c>
      <c r="I116" s="277">
        <v>45.104357999999998</v>
      </c>
      <c r="J116" s="277">
        <v>6.7576869999999998</v>
      </c>
      <c r="K116" s="277">
        <v>9.0450479999999995</v>
      </c>
      <c r="L116" s="277">
        <v>8.8570740000000008</v>
      </c>
      <c r="M116" s="277">
        <v>8.2139209999999991</v>
      </c>
      <c r="N116" s="284">
        <f t="shared" si="6"/>
        <v>12.230628000000003</v>
      </c>
      <c r="O116" s="277">
        <v>59.688267000000003</v>
      </c>
      <c r="P116" s="277">
        <v>5.8627900000000004</v>
      </c>
      <c r="Q116" s="277">
        <v>9.0711030000000008</v>
      </c>
      <c r="R116" s="277">
        <v>6.3260839999999998</v>
      </c>
      <c r="S116" s="277">
        <v>10.440046000000001</v>
      </c>
      <c r="T116" s="284">
        <f t="shared" si="7"/>
        <v>27.988244000000002</v>
      </c>
      <c r="U116" s="920">
        <v>11421.025333333333</v>
      </c>
      <c r="V116" s="920">
        <v>1188.9829999999999</v>
      </c>
      <c r="W116" s="920">
        <v>2038.6670000000001</v>
      </c>
      <c r="X116" s="920">
        <v>1855.7079999999999</v>
      </c>
      <c r="Y116" s="920">
        <v>1422.0603333333331</v>
      </c>
      <c r="Z116" s="874">
        <f t="shared" si="8"/>
        <v>4915.607</v>
      </c>
      <c r="AA116" s="920">
        <v>918.7</v>
      </c>
      <c r="AB116" s="277">
        <v>124.774</v>
      </c>
      <c r="AC116" s="920">
        <v>143.255</v>
      </c>
      <c r="AD116" s="920">
        <v>146.38999999999999</v>
      </c>
      <c r="AE116" s="920">
        <v>169.96</v>
      </c>
      <c r="AF116" s="920">
        <v>2716.2</v>
      </c>
      <c r="AG116" s="277">
        <v>367.78199999999998</v>
      </c>
      <c r="AH116" s="920">
        <v>456.71199999999999</v>
      </c>
      <c r="AI116" s="920">
        <v>412.79</v>
      </c>
      <c r="AJ116" s="920">
        <v>495.57400000000001</v>
      </c>
      <c r="AK116" s="919">
        <f>Data[[#This Row],[Industry Cost ($m)]]/Data[[#This Row],[Industry Consumption]]</f>
        <v>2.9565690649831278</v>
      </c>
      <c r="AL116" s="919">
        <f>Data[[#This Row],[AAL Fuel Cost]]/Data[[#This Row],[AAL Consumption]]</f>
        <v>2.9475852341032587</v>
      </c>
      <c r="AM116" s="919">
        <f>Data[[#This Row],[DAL Fuel Cost]]/Data[[#This Row],[DAL Consumption]]</f>
        <v>3.1881051272206906</v>
      </c>
      <c r="AN116" s="919">
        <f>Data[[#This Row],[UAL Fuel Cost]]/Data[[#This Row],[UALConsumption]]</f>
        <v>2.8197964341826633</v>
      </c>
      <c r="AO116" s="919">
        <f>Data[[#This Row],[LUV Fuel Cost]]/Data[[#This Row],[LUV Consumption]]</f>
        <v>2.9158272534714049</v>
      </c>
      <c r="AP116" s="919">
        <v>2.8919999999999999</v>
      </c>
      <c r="AQ116" s="783"/>
    </row>
    <row r="117" spans="1:43" s="253" customFormat="1">
      <c r="A117" s="263">
        <f t="shared" si="9"/>
        <v>41152</v>
      </c>
      <c r="B117" s="263" t="s">
        <v>357</v>
      </c>
      <c r="C117" s="277">
        <v>50.617932000000003</v>
      </c>
      <c r="D117" s="277">
        <v>7.4872520000000007</v>
      </c>
      <c r="E117" s="277">
        <v>9.9855049999999999</v>
      </c>
      <c r="F117" s="277">
        <v>9.8935840000000006</v>
      </c>
      <c r="G117" s="277">
        <v>9.2925930000000001</v>
      </c>
      <c r="H117" s="284">
        <f t="shared" si="5"/>
        <v>13.958998000000001</v>
      </c>
      <c r="I117" s="277">
        <v>44.080874999999999</v>
      </c>
      <c r="J117" s="277">
        <v>6.5460339999999997</v>
      </c>
      <c r="K117" s="277">
        <v>8.8875890000000002</v>
      </c>
      <c r="L117" s="277">
        <v>8.7695399999999992</v>
      </c>
      <c r="M117" s="277">
        <v>7.8301480000000003</v>
      </c>
      <c r="N117" s="284">
        <f t="shared" si="6"/>
        <v>12.047564000000001</v>
      </c>
      <c r="O117" s="277">
        <v>58.646304000000001</v>
      </c>
      <c r="P117" s="277">
        <v>5.6703330000000003</v>
      </c>
      <c r="Q117" s="277">
        <v>9.0184510000000007</v>
      </c>
      <c r="R117" s="277">
        <v>6.2847179999999998</v>
      </c>
      <c r="S117" s="277">
        <v>10.108416</v>
      </c>
      <c r="T117" s="284">
        <f t="shared" si="7"/>
        <v>27.564385999999999</v>
      </c>
      <c r="U117" s="920">
        <v>11421.025333333333</v>
      </c>
      <c r="V117" s="920">
        <v>1188.9829999999999</v>
      </c>
      <c r="W117" s="920">
        <v>2038.6670000000001</v>
      </c>
      <c r="X117" s="920">
        <v>1855.7079999999999</v>
      </c>
      <c r="Y117" s="920">
        <v>1422.0603333333331</v>
      </c>
      <c r="Z117" s="874">
        <f t="shared" si="8"/>
        <v>4915.607</v>
      </c>
      <c r="AA117" s="920">
        <v>904.8</v>
      </c>
      <c r="AB117" s="277">
        <v>122.15</v>
      </c>
      <c r="AC117" s="920">
        <v>141.809</v>
      </c>
      <c r="AD117" s="920">
        <v>143.631</v>
      </c>
      <c r="AE117" s="920">
        <v>161.46899999999999</v>
      </c>
      <c r="AF117" s="920">
        <v>2796.6</v>
      </c>
      <c r="AG117" s="277">
        <v>367.02600000000001</v>
      </c>
      <c r="AH117" s="920">
        <v>448.02600000000001</v>
      </c>
      <c r="AI117" s="920">
        <v>433.36</v>
      </c>
      <c r="AJ117" s="920">
        <v>494.36500000000001</v>
      </c>
      <c r="AK117" s="919">
        <f>Data[[#This Row],[Industry Cost ($m)]]/Data[[#This Row],[Industry Consumption]]</f>
        <v>3.090848806366048</v>
      </c>
      <c r="AL117" s="919">
        <f>Data[[#This Row],[AAL Fuel Cost]]/Data[[#This Row],[AAL Consumption]]</f>
        <v>3.0047155137126484</v>
      </c>
      <c r="AM117" s="919">
        <f>Data[[#This Row],[DAL Fuel Cost]]/Data[[#This Row],[DAL Consumption]]</f>
        <v>3.1593622407604598</v>
      </c>
      <c r="AN117" s="919">
        <f>Data[[#This Row],[UAL Fuel Cost]]/Data[[#This Row],[UALConsumption]]</f>
        <v>3.0171759578364004</v>
      </c>
      <c r="AO117" s="919">
        <f>Data[[#This Row],[LUV Fuel Cost]]/Data[[#This Row],[LUV Consumption]]</f>
        <v>3.0616712805554007</v>
      </c>
      <c r="AP117" s="919">
        <v>3.1560000000000001</v>
      </c>
      <c r="AQ117" s="783"/>
    </row>
    <row r="118" spans="1:43" s="253" customFormat="1">
      <c r="A118" s="263">
        <f t="shared" si="9"/>
        <v>41182</v>
      </c>
      <c r="B118" s="263" t="s">
        <v>357</v>
      </c>
      <c r="C118" s="277">
        <v>45.295872000000003</v>
      </c>
      <c r="D118" s="277">
        <v>6.8633709999999999</v>
      </c>
      <c r="E118" s="277">
        <v>8.8901719999999997</v>
      </c>
      <c r="F118" s="277">
        <v>8.5880930000000006</v>
      </c>
      <c r="G118" s="277">
        <v>8.5209440000000001</v>
      </c>
      <c r="H118" s="284">
        <f t="shared" si="5"/>
        <v>12.433292000000002</v>
      </c>
      <c r="I118" s="277">
        <v>36.587791000000003</v>
      </c>
      <c r="J118" s="277">
        <v>5.5610850000000003</v>
      </c>
      <c r="K118" s="277">
        <v>7.2690929999999998</v>
      </c>
      <c r="L118" s="277">
        <v>7.0514679999999998</v>
      </c>
      <c r="M118" s="277">
        <v>6.6015920000000001</v>
      </c>
      <c r="N118" s="284">
        <f t="shared" si="6"/>
        <v>10.104553000000003</v>
      </c>
      <c r="O118" s="277">
        <v>50.134504</v>
      </c>
      <c r="P118" s="277">
        <v>4.9278380000000004</v>
      </c>
      <c r="Q118" s="277">
        <v>7.6514090000000001</v>
      </c>
      <c r="R118" s="277">
        <v>5.2533110000000001</v>
      </c>
      <c r="S118" s="277">
        <v>8.7069010000000002</v>
      </c>
      <c r="T118" s="284">
        <f t="shared" si="7"/>
        <v>23.595044999999999</v>
      </c>
      <c r="U118" s="920">
        <v>11421.025333333333</v>
      </c>
      <c r="V118" s="920">
        <v>1188.9829999999999</v>
      </c>
      <c r="W118" s="920">
        <v>2038.6670000000001</v>
      </c>
      <c r="X118" s="920">
        <v>1855.7079999999999</v>
      </c>
      <c r="Y118" s="920">
        <v>1422.0603333333331</v>
      </c>
      <c r="Z118" s="874">
        <f t="shared" si="8"/>
        <v>4915.607</v>
      </c>
      <c r="AA118" s="920">
        <v>816.1</v>
      </c>
      <c r="AB118" s="277">
        <v>110.35</v>
      </c>
      <c r="AC118" s="920">
        <v>127.411</v>
      </c>
      <c r="AD118" s="920">
        <v>123.789</v>
      </c>
      <c r="AE118" s="920">
        <v>143.494</v>
      </c>
      <c r="AF118" s="920">
        <v>2660.3</v>
      </c>
      <c r="AG118" s="277">
        <v>377.59300000000002</v>
      </c>
      <c r="AH118" s="920">
        <v>377.42500000000001</v>
      </c>
      <c r="AI118" s="920">
        <v>399.99299999999999</v>
      </c>
      <c r="AJ118" s="920">
        <v>471.834</v>
      </c>
      <c r="AK118" s="919">
        <f>Data[[#This Row],[Industry Cost ($m)]]/Data[[#This Row],[Industry Consumption]]</f>
        <v>3.2597720867540745</v>
      </c>
      <c r="AL118" s="919">
        <f>Data[[#This Row],[AAL Fuel Cost]]/Data[[#This Row],[AAL Consumption]]</f>
        <v>3.4217761667421844</v>
      </c>
      <c r="AM118" s="919">
        <f>Data[[#This Row],[DAL Fuel Cost]]/Data[[#This Row],[DAL Consumption]]</f>
        <v>2.9622638547692115</v>
      </c>
      <c r="AN118" s="919">
        <f>Data[[#This Row],[UAL Fuel Cost]]/Data[[#This Row],[UALConsumption]]</f>
        <v>3.2312483338584204</v>
      </c>
      <c r="AO118" s="919">
        <f>Data[[#This Row],[LUV Fuel Cost]]/Data[[#This Row],[LUV Consumption]]</f>
        <v>3.2881792966953323</v>
      </c>
      <c r="AP118" s="919">
        <v>3.1909999999999998</v>
      </c>
      <c r="AQ118" s="783">
        <f>AVERAGE(AP116:AP118)</f>
        <v>3.0796666666666668</v>
      </c>
    </row>
    <row r="119" spans="1:43" s="253" customFormat="1">
      <c r="A119" s="263">
        <f t="shared" si="9"/>
        <v>41213</v>
      </c>
      <c r="B119" s="263" t="s">
        <v>357</v>
      </c>
      <c r="C119" s="277">
        <v>46.143196000000003</v>
      </c>
      <c r="D119" s="277">
        <v>6.9814319999999999</v>
      </c>
      <c r="E119" s="277">
        <v>9.0324580000000001</v>
      </c>
      <c r="F119" s="277">
        <v>8.558764</v>
      </c>
      <c r="G119" s="277">
        <v>8.9674079999999989</v>
      </c>
      <c r="H119" s="284">
        <f t="shared" si="5"/>
        <v>12.603134000000004</v>
      </c>
      <c r="I119" s="277">
        <v>38.924835999999999</v>
      </c>
      <c r="J119" s="277">
        <v>5.9036530000000003</v>
      </c>
      <c r="K119" s="277">
        <v>7.7975399999999997</v>
      </c>
      <c r="L119" s="277">
        <v>7.3483669999999996</v>
      </c>
      <c r="M119" s="277">
        <v>7.2399100000000001</v>
      </c>
      <c r="N119" s="284">
        <f t="shared" si="6"/>
        <v>10.635365999999998</v>
      </c>
      <c r="O119" s="277">
        <v>53.779646</v>
      </c>
      <c r="P119" s="277">
        <v>5.3073519999999998</v>
      </c>
      <c r="Q119" s="277">
        <v>8.3656400000000009</v>
      </c>
      <c r="R119" s="277">
        <v>5.5109339999999998</v>
      </c>
      <c r="S119" s="277">
        <v>9.5904430000000005</v>
      </c>
      <c r="T119" s="284">
        <f t="shared" si="7"/>
        <v>25.005277</v>
      </c>
      <c r="U119" s="920">
        <v>11094.619000000001</v>
      </c>
      <c r="V119" s="920">
        <v>1134.855</v>
      </c>
      <c r="W119" s="920">
        <v>1920.2496666666666</v>
      </c>
      <c r="X119" s="920">
        <v>1687.3873333333333</v>
      </c>
      <c r="Y119" s="920">
        <v>1377.607</v>
      </c>
      <c r="Z119" s="874">
        <f t="shared" si="8"/>
        <v>4974.5200000000004</v>
      </c>
      <c r="AA119" s="920">
        <v>827.8</v>
      </c>
      <c r="AB119" s="277">
        <v>113.461</v>
      </c>
      <c r="AC119" s="920">
        <v>130.02799999999999</v>
      </c>
      <c r="AD119" s="920">
        <v>124.52200000000001</v>
      </c>
      <c r="AE119" s="920">
        <v>150.27500000000001</v>
      </c>
      <c r="AF119" s="920">
        <v>2728.7</v>
      </c>
      <c r="AG119" s="277">
        <v>371.50400000000002</v>
      </c>
      <c r="AH119" s="920">
        <v>436.33800000000002</v>
      </c>
      <c r="AI119" s="920">
        <v>398.41500000000002</v>
      </c>
      <c r="AJ119" s="920">
        <v>509.36700000000002</v>
      </c>
      <c r="AK119" s="919">
        <f>Data[[#This Row],[Industry Cost ($m)]]/Data[[#This Row],[Industry Consumption]]</f>
        <v>3.2963276153660304</v>
      </c>
      <c r="AL119" s="919">
        <f>Data[[#This Row],[AAL Fuel Cost]]/Data[[#This Row],[AAL Consumption]]</f>
        <v>3.2742880813671662</v>
      </c>
      <c r="AM119" s="919">
        <f>Data[[#This Row],[DAL Fuel Cost]]/Data[[#This Row],[DAL Consumption]]</f>
        <v>3.3557233826560435</v>
      </c>
      <c r="AN119" s="919">
        <f>Data[[#This Row],[UAL Fuel Cost]]/Data[[#This Row],[UALConsumption]]</f>
        <v>3.1995550986974188</v>
      </c>
      <c r="AO119" s="919">
        <f>Data[[#This Row],[LUV Fuel Cost]]/Data[[#This Row],[LUV Consumption]]</f>
        <v>3.3895657960405923</v>
      </c>
      <c r="AP119" s="919">
        <v>3.1110000000000002</v>
      </c>
      <c r="AQ119" s="783"/>
    </row>
    <row r="120" spans="1:43" s="253" customFormat="1">
      <c r="A120" s="263">
        <f t="shared" si="9"/>
        <v>41243</v>
      </c>
      <c r="B120" s="263" t="s">
        <v>357</v>
      </c>
      <c r="C120" s="277">
        <v>45.223151999999999</v>
      </c>
      <c r="D120" s="277">
        <v>6.9886859999999995</v>
      </c>
      <c r="E120" s="277">
        <v>8.7108570000000007</v>
      </c>
      <c r="F120" s="277">
        <v>8.2496730000000014</v>
      </c>
      <c r="G120" s="277">
        <v>8.5886299999999984</v>
      </c>
      <c r="H120" s="284">
        <f t="shared" si="5"/>
        <v>12.685305999999997</v>
      </c>
      <c r="I120" s="277">
        <v>37.531165999999999</v>
      </c>
      <c r="J120" s="277">
        <v>5.8212089999999996</v>
      </c>
      <c r="K120" s="277">
        <v>7.3630610000000001</v>
      </c>
      <c r="L120" s="277">
        <v>6.911664</v>
      </c>
      <c r="M120" s="277">
        <v>6.8801889999999997</v>
      </c>
      <c r="N120" s="284">
        <f t="shared" si="6"/>
        <v>10.555042999999998</v>
      </c>
      <c r="O120" s="277">
        <v>51.844481999999999</v>
      </c>
      <c r="P120" s="277">
        <v>5.217765</v>
      </c>
      <c r="Q120" s="277">
        <v>7.8856809999999999</v>
      </c>
      <c r="R120" s="277">
        <v>5.204739</v>
      </c>
      <c r="S120" s="277">
        <v>9.1631359999999997</v>
      </c>
      <c r="T120" s="284">
        <f t="shared" si="7"/>
        <v>24.373160999999996</v>
      </c>
      <c r="U120" s="920">
        <v>11094.619000000001</v>
      </c>
      <c r="V120" s="920">
        <v>1134.855</v>
      </c>
      <c r="W120" s="920">
        <v>1920.2496666666666</v>
      </c>
      <c r="X120" s="920">
        <v>1687.3873333333333</v>
      </c>
      <c r="Y120" s="920">
        <v>1377.607</v>
      </c>
      <c r="Z120" s="874">
        <f t="shared" si="8"/>
        <v>4974.5200000000004</v>
      </c>
      <c r="AA120" s="920">
        <v>795.5</v>
      </c>
      <c r="AB120" s="277">
        <v>101.803</v>
      </c>
      <c r="AC120" s="920">
        <v>123.735</v>
      </c>
      <c r="AD120" s="920">
        <v>116.09099999999999</v>
      </c>
      <c r="AE120" s="920">
        <v>143.102</v>
      </c>
      <c r="AF120" s="920">
        <v>2525.9</v>
      </c>
      <c r="AG120" s="277">
        <v>351.50700000000001</v>
      </c>
      <c r="AH120" s="920">
        <v>389.80700000000002</v>
      </c>
      <c r="AI120" s="920">
        <v>356.99799999999999</v>
      </c>
      <c r="AJ120" s="920">
        <v>453.69</v>
      </c>
      <c r="AK120" s="919">
        <f>Data[[#This Row],[Industry Cost ($m)]]/Data[[#This Row],[Industry Consumption]]</f>
        <v>3.1752357008170962</v>
      </c>
      <c r="AL120" s="919">
        <f>Data[[#This Row],[AAL Fuel Cost]]/Data[[#This Row],[AAL Consumption]]</f>
        <v>3.4528157323458051</v>
      </c>
      <c r="AM120" s="919">
        <f>Data[[#This Row],[DAL Fuel Cost]]/Data[[#This Row],[DAL Consumption]]</f>
        <v>3.1503374146361178</v>
      </c>
      <c r="AN120" s="919">
        <f>Data[[#This Row],[UAL Fuel Cost]]/Data[[#This Row],[UALConsumption]]</f>
        <v>3.0751565582172606</v>
      </c>
      <c r="AO120" s="919">
        <f>Data[[#This Row],[LUV Fuel Cost]]/Data[[#This Row],[LUV Consumption]]</f>
        <v>3.170395941356515</v>
      </c>
      <c r="AP120" s="919">
        <v>2.96</v>
      </c>
      <c r="AQ120" s="783"/>
    </row>
    <row r="121" spans="1:43" s="253" customFormat="1">
      <c r="A121" s="263">
        <f t="shared" si="9"/>
        <v>41274</v>
      </c>
      <c r="B121" s="263" t="s">
        <v>357</v>
      </c>
      <c r="C121" s="277">
        <v>46.728859999999997</v>
      </c>
      <c r="D121" s="277">
        <v>7.402304</v>
      </c>
      <c r="E121" s="277">
        <v>8.6323679999999996</v>
      </c>
      <c r="F121" s="277">
        <v>8.6865040000000011</v>
      </c>
      <c r="G121" s="277">
        <v>8.8367760000000004</v>
      </c>
      <c r="H121" s="284">
        <f t="shared" si="5"/>
        <v>13.170907999999997</v>
      </c>
      <c r="I121" s="277">
        <v>38.200662000000001</v>
      </c>
      <c r="J121" s="277">
        <v>6.0581389999999997</v>
      </c>
      <c r="K121" s="277">
        <v>7.1443079999999997</v>
      </c>
      <c r="L121" s="277">
        <v>7.2455730000000003</v>
      </c>
      <c r="M121" s="277">
        <v>6.9018600000000001</v>
      </c>
      <c r="N121" s="284">
        <f t="shared" si="6"/>
        <v>10.850782000000002</v>
      </c>
      <c r="O121" s="277">
        <v>51.165450999999997</v>
      </c>
      <c r="P121" s="277">
        <v>5.3772970000000004</v>
      </c>
      <c r="Q121" s="277">
        <v>7.3280120000000002</v>
      </c>
      <c r="R121" s="277">
        <v>5.2467439999999996</v>
      </c>
      <c r="S121" s="277">
        <v>9.0396199999999993</v>
      </c>
      <c r="T121" s="284">
        <f t="shared" si="7"/>
        <v>24.173777999999999</v>
      </c>
      <c r="U121" s="920">
        <v>11094.619000000001</v>
      </c>
      <c r="V121" s="920">
        <v>1134.855</v>
      </c>
      <c r="W121" s="920">
        <v>1920.2496666666666</v>
      </c>
      <c r="X121" s="920">
        <v>1687.3873333333333</v>
      </c>
      <c r="Y121" s="920">
        <v>1377.607</v>
      </c>
      <c r="Z121" s="874">
        <f t="shared" si="8"/>
        <v>4974.5200000000004</v>
      </c>
      <c r="AA121" s="920">
        <v>851.5</v>
      </c>
      <c r="AB121" s="277">
        <v>120.303</v>
      </c>
      <c r="AC121" s="920">
        <v>123.901</v>
      </c>
      <c r="AD121" s="920">
        <v>124.434</v>
      </c>
      <c r="AE121" s="920">
        <v>147.42599999999999</v>
      </c>
      <c r="AF121" s="920">
        <v>2662</v>
      </c>
      <c r="AG121" s="277">
        <v>372.19900000000001</v>
      </c>
      <c r="AH121" s="920">
        <v>398.60399999999998</v>
      </c>
      <c r="AI121" s="920">
        <v>376.80599999999998</v>
      </c>
      <c r="AJ121" s="920">
        <v>476.005</v>
      </c>
      <c r="AK121" s="919">
        <f>Data[[#This Row],[Industry Cost ($m)]]/Data[[#This Row],[Industry Consumption]]</f>
        <v>3.126247798003523</v>
      </c>
      <c r="AL121" s="919">
        <f>Data[[#This Row],[AAL Fuel Cost]]/Data[[#This Row],[AAL Consumption]]</f>
        <v>3.0938463712459376</v>
      </c>
      <c r="AM121" s="919">
        <f>Data[[#This Row],[DAL Fuel Cost]]/Data[[#This Row],[DAL Consumption]]</f>
        <v>3.2171168917119313</v>
      </c>
      <c r="AN121" s="919">
        <f>Data[[#This Row],[UAL Fuel Cost]]/Data[[#This Row],[UALConsumption]]</f>
        <v>3.0281595062442741</v>
      </c>
      <c r="AO121" s="919">
        <f>Data[[#This Row],[LUV Fuel Cost]]/Data[[#This Row],[LUV Consumption]]</f>
        <v>3.2287724010690111</v>
      </c>
      <c r="AP121" s="919">
        <v>2.94</v>
      </c>
      <c r="AQ121" s="783">
        <f>AVERAGE(AP119:AP121)</f>
        <v>3.0036666666666663</v>
      </c>
    </row>
    <row r="122" spans="1:43" s="253" customFormat="1">
      <c r="A122" s="263">
        <f t="shared" si="9"/>
        <v>41305</v>
      </c>
      <c r="B122" s="263" t="s">
        <v>357</v>
      </c>
      <c r="C122" s="277">
        <v>44.950085999999999</v>
      </c>
      <c r="D122" s="277">
        <v>7.2977790000000002</v>
      </c>
      <c r="E122" s="277">
        <v>8.3234740000000009</v>
      </c>
      <c r="F122" s="277">
        <v>8.1113280000000003</v>
      </c>
      <c r="G122" s="277">
        <v>8.4332829999999994</v>
      </c>
      <c r="H122" s="284">
        <f t="shared" si="5"/>
        <v>12.784222</v>
      </c>
      <c r="I122" s="277">
        <v>35.651395999999998</v>
      </c>
      <c r="J122" s="277">
        <v>5.850422</v>
      </c>
      <c r="K122" s="277">
        <v>6.7081410000000004</v>
      </c>
      <c r="L122" s="277">
        <v>6.6845100000000004</v>
      </c>
      <c r="M122" s="277">
        <v>6.154522</v>
      </c>
      <c r="N122" s="284">
        <f t="shared" si="6"/>
        <v>10.253800999999999</v>
      </c>
      <c r="O122" s="277">
        <v>47.816859000000001</v>
      </c>
      <c r="P122" s="277">
        <v>5.1955960000000001</v>
      </c>
      <c r="Q122" s="277">
        <v>6.9454459999999996</v>
      </c>
      <c r="R122" s="277">
        <v>4.954097</v>
      </c>
      <c r="S122" s="277">
        <v>8.0474750000000004</v>
      </c>
      <c r="T122" s="284">
        <f t="shared" si="7"/>
        <v>22.674244999999999</v>
      </c>
      <c r="U122" s="920">
        <v>10894.100333333334</v>
      </c>
      <c r="V122" s="920">
        <v>1165.5226666666667</v>
      </c>
      <c r="W122" s="920">
        <v>1889.9846666666665</v>
      </c>
      <c r="X122" s="920">
        <v>1674.0989999999999</v>
      </c>
      <c r="Y122" s="920">
        <v>1344.6056666666666</v>
      </c>
      <c r="Z122" s="874">
        <f t="shared" si="8"/>
        <v>4819.8883333333342</v>
      </c>
      <c r="AA122" s="920">
        <v>810</v>
      </c>
      <c r="AB122" s="277">
        <v>118.343</v>
      </c>
      <c r="AC122" s="920">
        <v>120.117</v>
      </c>
      <c r="AD122" s="920">
        <v>116.72</v>
      </c>
      <c r="AE122" s="920">
        <v>139.334</v>
      </c>
      <c r="AF122" s="920">
        <v>2530</v>
      </c>
      <c r="AG122" s="277">
        <v>381.11900000000003</v>
      </c>
      <c r="AH122" s="920">
        <v>383.04899999999998</v>
      </c>
      <c r="AI122" s="920">
        <v>359.452</v>
      </c>
      <c r="AJ122" s="920">
        <v>440.61099999999999</v>
      </c>
      <c r="AK122" s="919">
        <f>Data[[#This Row],[Industry Cost ($m)]]/Data[[#This Row],[Industry Consumption]]</f>
        <v>3.1234567901234569</v>
      </c>
      <c r="AL122" s="919">
        <f>Data[[#This Row],[AAL Fuel Cost]]/Data[[#This Row],[AAL Consumption]]</f>
        <v>3.2204608637604255</v>
      </c>
      <c r="AM122" s="919">
        <f>Data[[#This Row],[DAL Fuel Cost]]/Data[[#This Row],[DAL Consumption]]</f>
        <v>3.1889657583855739</v>
      </c>
      <c r="AN122" s="919">
        <f>Data[[#This Row],[UAL Fuel Cost]]/Data[[#This Row],[UALConsumption]]</f>
        <v>3.07960932145305</v>
      </c>
      <c r="AO122" s="919">
        <f>Data[[#This Row],[LUV Fuel Cost]]/Data[[#This Row],[LUV Consumption]]</f>
        <v>3.1622647738527565</v>
      </c>
      <c r="AP122" s="919">
        <v>3.0910000000000002</v>
      </c>
      <c r="AQ122" s="783"/>
    </row>
    <row r="123" spans="1:43" s="253" customFormat="1">
      <c r="A123" s="263">
        <f t="shared" si="9"/>
        <v>41333</v>
      </c>
      <c r="B123" s="263" t="s">
        <v>357</v>
      </c>
      <c r="C123" s="277">
        <v>41.214905999999999</v>
      </c>
      <c r="D123" s="277">
        <v>6.5993490000000001</v>
      </c>
      <c r="E123" s="277">
        <v>7.659052</v>
      </c>
      <c r="F123" s="277">
        <v>7.4427979999999998</v>
      </c>
      <c r="G123" s="277">
        <v>7.8741199999999996</v>
      </c>
      <c r="H123" s="284">
        <f t="shared" si="5"/>
        <v>11.639586999999999</v>
      </c>
      <c r="I123" s="277">
        <v>33.390402999999999</v>
      </c>
      <c r="J123" s="277">
        <v>5.3662070000000002</v>
      </c>
      <c r="K123" s="277">
        <v>6.3168040000000003</v>
      </c>
      <c r="L123" s="277">
        <v>6.2003649999999997</v>
      </c>
      <c r="M123" s="277">
        <v>5.9824279999999996</v>
      </c>
      <c r="N123" s="284">
        <f t="shared" si="6"/>
        <v>9.524599000000002</v>
      </c>
      <c r="O123" s="277">
        <v>45.740158000000001</v>
      </c>
      <c r="P123" s="277">
        <v>4.822406</v>
      </c>
      <c r="Q123" s="277">
        <v>6.6505359999999998</v>
      </c>
      <c r="R123" s="277">
        <v>4.6860910000000002</v>
      </c>
      <c r="S123" s="277">
        <v>7.8919870000000003</v>
      </c>
      <c r="T123" s="284">
        <f t="shared" si="7"/>
        <v>21.689138</v>
      </c>
      <c r="U123" s="920">
        <v>10894.100333333334</v>
      </c>
      <c r="V123" s="920">
        <v>1165.5226666666667</v>
      </c>
      <c r="W123" s="920">
        <v>1889.9846666666665</v>
      </c>
      <c r="X123" s="920">
        <v>1674.0989999999999</v>
      </c>
      <c r="Y123" s="920">
        <v>1344.6056666666666</v>
      </c>
      <c r="Z123" s="874">
        <f t="shared" si="8"/>
        <v>4819.8883333333342</v>
      </c>
      <c r="AA123" s="920">
        <v>737.5</v>
      </c>
      <c r="AB123" s="277">
        <v>107.44499999999999</v>
      </c>
      <c r="AC123" s="920">
        <v>110.06699999999999</v>
      </c>
      <c r="AD123" s="920">
        <v>106.911</v>
      </c>
      <c r="AE123" s="920">
        <v>129.63900000000001</v>
      </c>
      <c r="AF123" s="920">
        <v>2422.4</v>
      </c>
      <c r="AG123" s="277">
        <v>347.47300000000001</v>
      </c>
      <c r="AH123" s="920">
        <v>352.35300000000001</v>
      </c>
      <c r="AI123" s="920">
        <v>343.697</v>
      </c>
      <c r="AJ123" s="920">
        <v>435.75099999999998</v>
      </c>
      <c r="AK123" s="919">
        <f>Data[[#This Row],[Industry Cost ($m)]]/Data[[#This Row],[Industry Consumption]]</f>
        <v>3.2846101694915255</v>
      </c>
      <c r="AL123" s="919">
        <f>Data[[#This Row],[AAL Fuel Cost]]/Data[[#This Row],[AAL Consumption]]</f>
        <v>3.2339615617292572</v>
      </c>
      <c r="AM123" s="919">
        <f>Data[[#This Row],[DAL Fuel Cost]]/Data[[#This Row],[DAL Consumption]]</f>
        <v>3.2012592330126197</v>
      </c>
      <c r="AN123" s="919">
        <f>Data[[#This Row],[UAL Fuel Cost]]/Data[[#This Row],[UALConsumption]]</f>
        <v>3.2147954840942465</v>
      </c>
      <c r="AO123" s="919">
        <f>Data[[#This Row],[LUV Fuel Cost]]/Data[[#This Row],[LUV Consumption]]</f>
        <v>3.3612647428628728</v>
      </c>
      <c r="AP123" s="919">
        <v>3.218</v>
      </c>
      <c r="AQ123" s="783"/>
    </row>
    <row r="124" spans="1:43" s="253" customFormat="1">
      <c r="A124" s="263">
        <f t="shared" si="9"/>
        <v>41364</v>
      </c>
      <c r="B124" s="263" t="s">
        <v>357</v>
      </c>
      <c r="C124" s="277">
        <v>49.492398999999999</v>
      </c>
      <c r="D124" s="277">
        <v>7.4484750000000002</v>
      </c>
      <c r="E124" s="277">
        <v>9.535442999999999</v>
      </c>
      <c r="F124" s="277">
        <v>8.9003610000000002</v>
      </c>
      <c r="G124" s="277">
        <v>9.7667810000000017</v>
      </c>
      <c r="H124" s="284">
        <f t="shared" si="5"/>
        <v>13.841338999999998</v>
      </c>
      <c r="I124" s="277">
        <v>42.221609000000001</v>
      </c>
      <c r="J124" s="277">
        <v>6.3671530000000001</v>
      </c>
      <c r="K124" s="277">
        <v>8.2965490000000006</v>
      </c>
      <c r="L124" s="277">
        <v>7.7287400000000002</v>
      </c>
      <c r="M124" s="277">
        <v>8.0037430000000001</v>
      </c>
      <c r="N124" s="284">
        <f t="shared" si="6"/>
        <v>11.825423999999998</v>
      </c>
      <c r="O124" s="277">
        <v>56.564537999999999</v>
      </c>
      <c r="P124" s="277">
        <v>5.6731629999999997</v>
      </c>
      <c r="Q124" s="277">
        <v>8.5950170000000004</v>
      </c>
      <c r="R124" s="277">
        <v>5.7044959999999998</v>
      </c>
      <c r="S124" s="277">
        <v>10.248051</v>
      </c>
      <c r="T124" s="284">
        <f t="shared" si="7"/>
        <v>26.343810999999999</v>
      </c>
      <c r="U124" s="920">
        <v>10894.100333333334</v>
      </c>
      <c r="V124" s="920">
        <v>1165.5226666666667</v>
      </c>
      <c r="W124" s="920">
        <v>1889.9846666666665</v>
      </c>
      <c r="X124" s="920">
        <v>1674.0989999999999</v>
      </c>
      <c r="Y124" s="920">
        <v>1344.6056666666666</v>
      </c>
      <c r="Z124" s="874">
        <f t="shared" si="8"/>
        <v>4819.8883333333342</v>
      </c>
      <c r="AA124" s="920">
        <v>870.8</v>
      </c>
      <c r="AB124" s="277">
        <v>120.703</v>
      </c>
      <c r="AC124" s="920">
        <v>135.852</v>
      </c>
      <c r="AD124" s="920">
        <v>126.24</v>
      </c>
      <c r="AE124" s="920">
        <v>159.02699999999999</v>
      </c>
      <c r="AF124" s="920">
        <v>2789.2</v>
      </c>
      <c r="AG124" s="277">
        <v>384.303</v>
      </c>
      <c r="AH124" s="920">
        <v>444.85700000000003</v>
      </c>
      <c r="AI124" s="920">
        <v>396.02800000000002</v>
      </c>
      <c r="AJ124" s="920">
        <v>511.483</v>
      </c>
      <c r="AK124" s="919">
        <f>Data[[#This Row],[Industry Cost ($m)]]/Data[[#This Row],[Industry Consumption]]</f>
        <v>3.2030316949931099</v>
      </c>
      <c r="AL124" s="919">
        <f>Data[[#This Row],[AAL Fuel Cost]]/Data[[#This Row],[AAL Consumption]]</f>
        <v>3.1838728117776691</v>
      </c>
      <c r="AM124" s="919">
        <f>Data[[#This Row],[DAL Fuel Cost]]/Data[[#This Row],[DAL Consumption]]</f>
        <v>3.2745708565203309</v>
      </c>
      <c r="AN124" s="919">
        <f>Data[[#This Row],[UAL Fuel Cost]]/Data[[#This Row],[UALConsumption]]</f>
        <v>3.1371039290240814</v>
      </c>
      <c r="AO124" s="919">
        <f>Data[[#This Row],[LUV Fuel Cost]]/Data[[#This Row],[LUV Consumption]]</f>
        <v>3.2163280449231895</v>
      </c>
      <c r="AP124" s="919">
        <v>2.9689999999999999</v>
      </c>
      <c r="AQ124" s="783">
        <f>AVERAGE(AP122:AP124)</f>
        <v>3.0926666666666667</v>
      </c>
    </row>
    <row r="125" spans="1:43" s="253" customFormat="1">
      <c r="A125" s="263">
        <f t="shared" si="9"/>
        <v>41394</v>
      </c>
      <c r="B125" s="263" t="s">
        <v>357</v>
      </c>
      <c r="C125" s="277">
        <v>47.483345</v>
      </c>
      <c r="D125" s="277">
        <v>7.0500990000000003</v>
      </c>
      <c r="E125" s="277">
        <v>9.115298000000001</v>
      </c>
      <c r="F125" s="277">
        <v>8.5708979999999997</v>
      </c>
      <c r="G125" s="277">
        <v>9.608585999999999</v>
      </c>
      <c r="H125" s="284">
        <f t="shared" si="5"/>
        <v>13.138463999999999</v>
      </c>
      <c r="I125" s="277">
        <v>39.406328000000002</v>
      </c>
      <c r="J125" s="277">
        <v>6.0184189999999997</v>
      </c>
      <c r="K125" s="277">
        <v>7.7088159999999997</v>
      </c>
      <c r="L125" s="277">
        <v>7.3051360000000001</v>
      </c>
      <c r="M125" s="277">
        <v>7.4625219999999999</v>
      </c>
      <c r="N125" s="284">
        <f t="shared" si="6"/>
        <v>10.911435000000001</v>
      </c>
      <c r="O125" s="277">
        <v>53.228574999999999</v>
      </c>
      <c r="P125" s="277">
        <v>5.3492480000000002</v>
      </c>
      <c r="Q125" s="277">
        <v>8.1293000000000006</v>
      </c>
      <c r="R125" s="277">
        <v>5.2632279999999998</v>
      </c>
      <c r="S125" s="277">
        <v>9.6430710000000008</v>
      </c>
      <c r="T125" s="284">
        <f t="shared" si="7"/>
        <v>24.843727999999999</v>
      </c>
      <c r="U125" s="920">
        <v>11842.632</v>
      </c>
      <c r="V125" s="920">
        <v>1232.6153333333334</v>
      </c>
      <c r="W125" s="920">
        <v>2117.0486666666666</v>
      </c>
      <c r="X125" s="920">
        <v>1921.6409999999998</v>
      </c>
      <c r="Y125" s="920">
        <v>1528.5376666666668</v>
      </c>
      <c r="Z125" s="874">
        <f t="shared" si="8"/>
        <v>5042.7893333333332</v>
      </c>
      <c r="AA125" s="920">
        <v>839.4</v>
      </c>
      <c r="AB125" s="277">
        <v>116.285</v>
      </c>
      <c r="AC125" s="920">
        <v>129.95699999999999</v>
      </c>
      <c r="AD125" s="920">
        <v>122.075</v>
      </c>
      <c r="AE125" s="920">
        <v>155.38399999999999</v>
      </c>
      <c r="AF125" s="920">
        <v>2560.4</v>
      </c>
      <c r="AG125" s="277">
        <v>367.16199999999998</v>
      </c>
      <c r="AH125" s="920">
        <v>407.49799999999999</v>
      </c>
      <c r="AI125" s="920">
        <v>360.34800000000001</v>
      </c>
      <c r="AJ125" s="920">
        <v>458.798</v>
      </c>
      <c r="AK125" s="919">
        <f>Data[[#This Row],[Industry Cost ($m)]]/Data[[#This Row],[Industry Consumption]]</f>
        <v>3.0502740052418398</v>
      </c>
      <c r="AL125" s="919">
        <f>Data[[#This Row],[AAL Fuel Cost]]/Data[[#This Row],[AAL Consumption]]</f>
        <v>3.157432170959281</v>
      </c>
      <c r="AM125" s="919">
        <f>Data[[#This Row],[DAL Fuel Cost]]/Data[[#This Row],[DAL Consumption]]</f>
        <v>3.1356371722954517</v>
      </c>
      <c r="AN125" s="919">
        <f>Data[[#This Row],[UAL Fuel Cost]]/Data[[#This Row],[UALConsumption]]</f>
        <v>2.9518574646733566</v>
      </c>
      <c r="AO125" s="919">
        <f>Data[[#This Row],[LUV Fuel Cost]]/Data[[#This Row],[LUV Consumption]]</f>
        <v>2.9526720897904548</v>
      </c>
      <c r="AP125" s="919">
        <v>2.8079999999999998</v>
      </c>
      <c r="AQ125" s="783"/>
    </row>
    <row r="126" spans="1:43" s="253" customFormat="1">
      <c r="A126" s="263">
        <f t="shared" si="9"/>
        <v>41425</v>
      </c>
      <c r="B126" s="263" t="s">
        <v>357</v>
      </c>
      <c r="C126" s="277">
        <v>49.034852999999998</v>
      </c>
      <c r="D126" s="277">
        <v>7.3600029999999999</v>
      </c>
      <c r="E126" s="277">
        <v>9.2877170000000007</v>
      </c>
      <c r="F126" s="277">
        <v>8.9843970000000013</v>
      </c>
      <c r="G126" s="277">
        <v>9.7872469999999989</v>
      </c>
      <c r="H126" s="284">
        <f t="shared" si="5"/>
        <v>13.615488999999997</v>
      </c>
      <c r="I126" s="277">
        <v>41.709091000000001</v>
      </c>
      <c r="J126" s="277">
        <v>6.3678379999999999</v>
      </c>
      <c r="K126" s="277">
        <v>7.9999830000000003</v>
      </c>
      <c r="L126" s="277">
        <v>7.795617</v>
      </c>
      <c r="M126" s="277">
        <v>8.0161960000000008</v>
      </c>
      <c r="N126" s="284">
        <f t="shared" si="6"/>
        <v>11.529457000000001</v>
      </c>
      <c r="O126" s="277">
        <v>56.562928999999997</v>
      </c>
      <c r="P126" s="277">
        <v>5.6615029999999997</v>
      </c>
      <c r="Q126" s="277">
        <v>8.5217139999999993</v>
      </c>
      <c r="R126" s="277">
        <v>5.6186959999999999</v>
      </c>
      <c r="S126" s="277">
        <v>10.354673</v>
      </c>
      <c r="T126" s="284">
        <f t="shared" si="7"/>
        <v>26.406343</v>
      </c>
      <c r="U126" s="920">
        <v>11842.632</v>
      </c>
      <c r="V126" s="920">
        <v>1232.6153333333334</v>
      </c>
      <c r="W126" s="920">
        <v>2117.0486666666666</v>
      </c>
      <c r="X126" s="920">
        <v>1921.6409999999998</v>
      </c>
      <c r="Y126" s="920">
        <v>1528.5376666666668</v>
      </c>
      <c r="Z126" s="874">
        <f t="shared" si="8"/>
        <v>5042.7893333333332</v>
      </c>
      <c r="AA126" s="920">
        <v>867.8</v>
      </c>
      <c r="AB126" s="277">
        <v>121.292</v>
      </c>
      <c r="AC126" s="920">
        <v>132.86600000000001</v>
      </c>
      <c r="AD126" s="920">
        <v>128.334</v>
      </c>
      <c r="AE126" s="920">
        <v>158.03899999999999</v>
      </c>
      <c r="AF126" s="920">
        <v>2532.8000000000002</v>
      </c>
      <c r="AG126" s="277">
        <v>352.887</v>
      </c>
      <c r="AH126" s="920">
        <v>393.03100000000001</v>
      </c>
      <c r="AI126" s="920">
        <v>358.65</v>
      </c>
      <c r="AJ126" s="920">
        <v>476.58800000000002</v>
      </c>
      <c r="AK126" s="919">
        <f>Data[[#This Row],[Industry Cost ($m)]]/Data[[#This Row],[Industry Consumption]]</f>
        <v>2.9186448490435586</v>
      </c>
      <c r="AL126" s="919">
        <f>Data[[#This Row],[AAL Fuel Cost]]/Data[[#This Row],[AAL Consumption]]</f>
        <v>2.9094004551000889</v>
      </c>
      <c r="AM126" s="919">
        <f>Data[[#This Row],[DAL Fuel Cost]]/Data[[#This Row],[DAL Consumption]]</f>
        <v>2.9581006427528487</v>
      </c>
      <c r="AN126" s="919">
        <f>Data[[#This Row],[UAL Fuel Cost]]/Data[[#This Row],[UALConsumption]]</f>
        <v>2.7946608069568466</v>
      </c>
      <c r="AO126" s="919">
        <f>Data[[#This Row],[LUV Fuel Cost]]/Data[[#This Row],[LUV Consumption]]</f>
        <v>3.0156353811400987</v>
      </c>
      <c r="AP126" s="919">
        <v>2.7250000000000001</v>
      </c>
      <c r="AQ126" s="783"/>
    </row>
    <row r="127" spans="1:43" s="253" customFormat="1">
      <c r="A127" s="263">
        <f t="shared" si="9"/>
        <v>41455</v>
      </c>
      <c r="B127" s="263" t="s">
        <v>357</v>
      </c>
      <c r="C127" s="277">
        <v>50.555970000000002</v>
      </c>
      <c r="D127" s="277">
        <v>7.334295</v>
      </c>
      <c r="E127" s="277">
        <v>9.8190640000000009</v>
      </c>
      <c r="F127" s="277">
        <v>9.4162999999999997</v>
      </c>
      <c r="G127" s="277">
        <v>9.9384540000000001</v>
      </c>
      <c r="H127" s="284">
        <f t="shared" si="5"/>
        <v>14.047857</v>
      </c>
      <c r="I127" s="277">
        <v>44.089519000000003</v>
      </c>
      <c r="J127" s="277">
        <v>6.5436870000000003</v>
      </c>
      <c r="K127" s="277">
        <v>8.6375890000000002</v>
      </c>
      <c r="L127" s="277">
        <v>8.3729750000000003</v>
      </c>
      <c r="M127" s="277">
        <v>8.4365970000000008</v>
      </c>
      <c r="N127" s="284">
        <f t="shared" si="6"/>
        <v>12.098671000000003</v>
      </c>
      <c r="O127" s="277">
        <v>57.990788999999999</v>
      </c>
      <c r="P127" s="277">
        <v>5.7665110000000004</v>
      </c>
      <c r="Q127" s="277">
        <v>8.9558289999999996</v>
      </c>
      <c r="R127" s="277">
        <v>5.8350429999999998</v>
      </c>
      <c r="S127" s="277">
        <v>10.501237</v>
      </c>
      <c r="T127" s="284">
        <f t="shared" si="7"/>
        <v>26.932169000000002</v>
      </c>
      <c r="U127" s="920">
        <v>11842.632</v>
      </c>
      <c r="V127" s="920">
        <v>1232.6153333333334</v>
      </c>
      <c r="W127" s="920">
        <v>2117.0486666666666</v>
      </c>
      <c r="X127" s="920">
        <v>1921.6409999999998</v>
      </c>
      <c r="Y127" s="920">
        <v>1528.5376666666668</v>
      </c>
      <c r="Z127" s="874">
        <f t="shared" si="8"/>
        <v>5042.7893333333332</v>
      </c>
      <c r="AA127" s="920">
        <v>889.6</v>
      </c>
      <c r="AB127" s="277">
        <v>122.018</v>
      </c>
      <c r="AC127" s="920">
        <v>141.21199999999999</v>
      </c>
      <c r="AD127" s="920">
        <v>134.755</v>
      </c>
      <c r="AE127" s="920">
        <v>160.69</v>
      </c>
      <c r="AF127" s="920">
        <v>2579.9</v>
      </c>
      <c r="AG127" s="277">
        <v>353.697</v>
      </c>
      <c r="AH127" s="920">
        <v>429.74900000000002</v>
      </c>
      <c r="AI127" s="920">
        <v>373.65800000000002</v>
      </c>
      <c r="AJ127" s="920">
        <v>462.73500000000001</v>
      </c>
      <c r="AK127" s="919">
        <f>Data[[#This Row],[Industry Cost ($m)]]/Data[[#This Row],[Industry Consumption]]</f>
        <v>2.9000674460431655</v>
      </c>
      <c r="AL127" s="919">
        <f>Data[[#This Row],[AAL Fuel Cost]]/Data[[#This Row],[AAL Consumption]]</f>
        <v>2.8987280565162519</v>
      </c>
      <c r="AM127" s="919">
        <f>Data[[#This Row],[DAL Fuel Cost]]/Data[[#This Row],[DAL Consumption]]</f>
        <v>3.0432895221369294</v>
      </c>
      <c r="AN127" s="919">
        <f>Data[[#This Row],[UAL Fuel Cost]]/Data[[#This Row],[UALConsumption]]</f>
        <v>2.7728692812882643</v>
      </c>
      <c r="AO127" s="919">
        <f>Data[[#This Row],[LUV Fuel Cost]]/Data[[#This Row],[LUV Consumption]]</f>
        <v>2.8796751509116936</v>
      </c>
      <c r="AP127" s="919">
        <v>2.7690000000000001</v>
      </c>
      <c r="AQ127" s="783">
        <f>AVERAGE(AP125:AP127)</f>
        <v>2.7673333333333332</v>
      </c>
    </row>
    <row r="128" spans="1:43" s="253" customFormat="1">
      <c r="A128" s="263">
        <f t="shared" si="9"/>
        <v>41486</v>
      </c>
      <c r="B128" s="263" t="s">
        <v>357</v>
      </c>
      <c r="C128" s="277">
        <v>52.846639000000003</v>
      </c>
      <c r="D128" s="277">
        <v>7.6305309999999995</v>
      </c>
      <c r="E128" s="277">
        <v>10.459715000000001</v>
      </c>
      <c r="F128" s="277">
        <v>9.6763439999999985</v>
      </c>
      <c r="G128" s="277">
        <v>10.255768</v>
      </c>
      <c r="H128" s="284">
        <f t="shared" si="5"/>
        <v>14.824281000000006</v>
      </c>
      <c r="I128" s="277">
        <v>45.931973999999997</v>
      </c>
      <c r="J128" s="277">
        <v>6.7794230000000004</v>
      </c>
      <c r="K128" s="277">
        <v>9.1703550000000007</v>
      </c>
      <c r="L128" s="277">
        <v>8.5603890000000007</v>
      </c>
      <c r="M128" s="277">
        <v>8.5961300000000005</v>
      </c>
      <c r="N128" s="284">
        <f t="shared" si="6"/>
        <v>12.825676999999992</v>
      </c>
      <c r="O128" s="277">
        <v>59.310478000000003</v>
      </c>
      <c r="P128" s="277">
        <v>5.9049149999999999</v>
      </c>
      <c r="Q128" s="277">
        <v>9.2859960000000008</v>
      </c>
      <c r="R128" s="277">
        <v>5.8998220000000003</v>
      </c>
      <c r="S128" s="277">
        <v>10.516679</v>
      </c>
      <c r="T128" s="284">
        <f t="shared" si="7"/>
        <v>27.703066000000003</v>
      </c>
      <c r="U128" s="920">
        <v>11996.835333333334</v>
      </c>
      <c r="V128" s="920">
        <v>1244.9206666666666</v>
      </c>
      <c r="W128" s="920">
        <v>2188.9316666666668</v>
      </c>
      <c r="X128" s="920">
        <v>1930.8890000000001</v>
      </c>
      <c r="Y128" s="920">
        <v>1496.1009999999999</v>
      </c>
      <c r="Z128" s="874">
        <f t="shared" si="8"/>
        <v>5135.9930000000013</v>
      </c>
      <c r="AA128" s="920">
        <v>926.1</v>
      </c>
      <c r="AB128" s="277">
        <v>126.364</v>
      </c>
      <c r="AC128" s="920">
        <v>151.64400000000001</v>
      </c>
      <c r="AD128" s="920">
        <v>138.49</v>
      </c>
      <c r="AE128" s="920">
        <v>165.61799999999999</v>
      </c>
      <c r="AF128" s="920">
        <v>2699.1</v>
      </c>
      <c r="AG128" s="277">
        <v>352.375</v>
      </c>
      <c r="AH128" s="920">
        <v>444.976</v>
      </c>
      <c r="AI128" s="920">
        <v>399.19</v>
      </c>
      <c r="AJ128" s="920">
        <v>483.75599999999997</v>
      </c>
      <c r="AK128" s="919">
        <f>Data[[#This Row],[Industry Cost ($m)]]/Data[[#This Row],[Industry Consumption]]</f>
        <v>2.9144800777453836</v>
      </c>
      <c r="AL128" s="919">
        <f>Data[[#This Row],[AAL Fuel Cost]]/Data[[#This Row],[AAL Consumption]]</f>
        <v>2.7885711120255769</v>
      </c>
      <c r="AM128" s="919">
        <f>Data[[#This Row],[DAL Fuel Cost]]/Data[[#This Row],[DAL Consumption]]</f>
        <v>2.9343462319643376</v>
      </c>
      <c r="AN128" s="919">
        <f>Data[[#This Row],[UAL Fuel Cost]]/Data[[#This Row],[UALConsumption]]</f>
        <v>2.8824463860206513</v>
      </c>
      <c r="AO128" s="919">
        <f>Data[[#This Row],[LUV Fuel Cost]]/Data[[#This Row],[LUV Consumption]]</f>
        <v>2.9209143933630402</v>
      </c>
      <c r="AP128" s="919">
        <v>2.8940000000000001</v>
      </c>
      <c r="AQ128" s="783"/>
    </row>
    <row r="129" spans="1:43" s="253" customFormat="1">
      <c r="A129" s="263">
        <f t="shared" si="9"/>
        <v>41517</v>
      </c>
      <c r="B129" s="263" t="s">
        <v>357</v>
      </c>
      <c r="C129" s="277">
        <v>51.900230999999998</v>
      </c>
      <c r="D129" s="277">
        <v>7.6285080000000001</v>
      </c>
      <c r="E129" s="277">
        <v>10.364130999999999</v>
      </c>
      <c r="F129" s="277">
        <v>9.5957419999999995</v>
      </c>
      <c r="G129" s="277">
        <v>9.7345269999999999</v>
      </c>
      <c r="H129" s="284">
        <f t="shared" si="5"/>
        <v>14.577323</v>
      </c>
      <c r="I129" s="277">
        <v>44.563454</v>
      </c>
      <c r="J129" s="277">
        <v>6.5897490000000003</v>
      </c>
      <c r="K129" s="277">
        <v>9.0267300000000006</v>
      </c>
      <c r="L129" s="277">
        <v>8.5153739999999996</v>
      </c>
      <c r="M129" s="277">
        <v>7.9312389999999997</v>
      </c>
      <c r="N129" s="284">
        <f t="shared" si="6"/>
        <v>12.500362000000003</v>
      </c>
      <c r="O129" s="277">
        <v>58.115405000000003</v>
      </c>
      <c r="P129" s="277">
        <v>5.7179929999999999</v>
      </c>
      <c r="Q129" s="277">
        <v>9.1863869999999999</v>
      </c>
      <c r="R129" s="277">
        <v>5.9020849999999996</v>
      </c>
      <c r="S129" s="277">
        <v>9.9288059999999998</v>
      </c>
      <c r="T129" s="284">
        <f t="shared" si="7"/>
        <v>27.380134000000005</v>
      </c>
      <c r="U129" s="920">
        <v>11996.835333333334</v>
      </c>
      <c r="V129" s="920">
        <v>1244.9206666666666</v>
      </c>
      <c r="W129" s="920">
        <v>2188.9316666666668</v>
      </c>
      <c r="X129" s="920">
        <v>1930.8890000000001</v>
      </c>
      <c r="Y129" s="920">
        <v>1496.1009999999999</v>
      </c>
      <c r="Z129" s="874">
        <f t="shared" si="8"/>
        <v>5135.9930000000013</v>
      </c>
      <c r="AA129" s="920">
        <v>897.4</v>
      </c>
      <c r="AB129" s="277">
        <v>112.01900000000001</v>
      </c>
      <c r="AC129" s="920">
        <v>149.25700000000001</v>
      </c>
      <c r="AD129" s="920">
        <v>137.97300000000001</v>
      </c>
      <c r="AE129" s="920">
        <v>156.09299999999999</v>
      </c>
      <c r="AF129" s="920">
        <v>2737.3</v>
      </c>
      <c r="AG129" s="277">
        <v>383.71499999999997</v>
      </c>
      <c r="AH129" s="920">
        <v>439.04700000000003</v>
      </c>
      <c r="AI129" s="920">
        <v>408.18700000000001</v>
      </c>
      <c r="AJ129" s="920">
        <v>463.94600000000003</v>
      </c>
      <c r="AK129" s="919">
        <f>Data[[#This Row],[Industry Cost ($m)]]/Data[[#This Row],[Industry Consumption]]</f>
        <v>3.0502562959661246</v>
      </c>
      <c r="AL129" s="919">
        <f>Data[[#This Row],[AAL Fuel Cost]]/Data[[#This Row],[AAL Consumption]]</f>
        <v>3.4254456833215792</v>
      </c>
      <c r="AM129" s="919">
        <f>Data[[#This Row],[DAL Fuel Cost]]/Data[[#This Row],[DAL Consumption]]</f>
        <v>2.9415504800444872</v>
      </c>
      <c r="AN129" s="919">
        <f>Data[[#This Row],[UAL Fuel Cost]]/Data[[#This Row],[UALConsumption]]</f>
        <v>2.9584556398715689</v>
      </c>
      <c r="AO129" s="919">
        <f>Data[[#This Row],[LUV Fuel Cost]]/Data[[#This Row],[LUV Consumption]]</f>
        <v>2.972240907664021</v>
      </c>
      <c r="AP129" s="919">
        <v>3.0030000000000001</v>
      </c>
      <c r="AQ129" s="783"/>
    </row>
    <row r="130" spans="1:43" s="253" customFormat="1">
      <c r="A130" s="263">
        <f t="shared" si="9"/>
        <v>41547</v>
      </c>
      <c r="B130" s="263" t="s">
        <v>357</v>
      </c>
      <c r="C130" s="277">
        <v>46.236500999999997</v>
      </c>
      <c r="D130" s="277">
        <v>6.9325140000000003</v>
      </c>
      <c r="E130" s="277">
        <v>8.9658269999999991</v>
      </c>
      <c r="F130" s="277">
        <v>8.4509559999999997</v>
      </c>
      <c r="G130" s="277">
        <v>8.9572690000000001</v>
      </c>
      <c r="H130" s="284">
        <f t="shared" ref="H130:H193" si="10">+C130-SUM(D130,E130,F130,G130)</f>
        <v>12.929934999999993</v>
      </c>
      <c r="I130" s="277">
        <v>37.451642999999997</v>
      </c>
      <c r="J130" s="277">
        <v>5.5865600000000004</v>
      </c>
      <c r="K130" s="277">
        <v>7.3867120000000002</v>
      </c>
      <c r="L130" s="277">
        <v>7.0629330000000001</v>
      </c>
      <c r="M130" s="277">
        <v>6.9077099999999998</v>
      </c>
      <c r="N130" s="284">
        <f t="shared" ref="N130:N193" si="11">+I130-SUM(J130,K130,L130,M130)</f>
        <v>10.507727999999993</v>
      </c>
      <c r="O130" s="277">
        <v>50.766098</v>
      </c>
      <c r="P130" s="277">
        <v>5.0042260000000001</v>
      </c>
      <c r="Q130" s="277">
        <v>7.8561100000000001</v>
      </c>
      <c r="R130" s="277">
        <v>5.0972140000000001</v>
      </c>
      <c r="S130" s="277">
        <v>8.8948680000000007</v>
      </c>
      <c r="T130" s="284">
        <f t="shared" ref="T130:T193" si="12">+O130-SUM(P130,Q130,R130,S130)</f>
        <v>23.913679999999999</v>
      </c>
      <c r="U130" s="920">
        <v>11996.835333333334</v>
      </c>
      <c r="V130" s="920">
        <v>1244.9206666666666</v>
      </c>
      <c r="W130" s="920">
        <v>2188.9316666666668</v>
      </c>
      <c r="X130" s="920">
        <v>1930.8890000000001</v>
      </c>
      <c r="Y130" s="920">
        <v>1496.1009999999999</v>
      </c>
      <c r="Z130" s="874">
        <f t="shared" ref="Z130:Z193" si="13">+U130-SUM(V130,W130,X130,Y130)</f>
        <v>5135.9930000000013</v>
      </c>
      <c r="AA130" s="920">
        <v>798.8</v>
      </c>
      <c r="AB130" s="277">
        <v>111.83499999999999</v>
      </c>
      <c r="AC130" s="920">
        <v>128.97999999999999</v>
      </c>
      <c r="AD130" s="920">
        <v>120.623</v>
      </c>
      <c r="AE130" s="920">
        <v>140.52000000000001</v>
      </c>
      <c r="AF130" s="920">
        <v>2464.4</v>
      </c>
      <c r="AG130" s="277">
        <v>363.08199999999999</v>
      </c>
      <c r="AH130" s="920">
        <v>378.65199999999999</v>
      </c>
      <c r="AI130" s="920">
        <v>364.59100000000001</v>
      </c>
      <c r="AJ130" s="920">
        <v>432.71300000000002</v>
      </c>
      <c r="AK130" s="919">
        <f>Data[[#This Row],[Industry Cost ($m)]]/Data[[#This Row],[Industry Consumption]]</f>
        <v>3.085127691537306</v>
      </c>
      <c r="AL130" s="919">
        <f>Data[[#This Row],[AAL Fuel Cost]]/Data[[#This Row],[AAL Consumption]]</f>
        <v>3.2465864890240086</v>
      </c>
      <c r="AM130" s="919">
        <f>Data[[#This Row],[DAL Fuel Cost]]/Data[[#This Row],[DAL Consumption]]</f>
        <v>2.9357419755000778</v>
      </c>
      <c r="AN130" s="919">
        <f>Data[[#This Row],[UAL Fuel Cost]]/Data[[#This Row],[UALConsumption]]</f>
        <v>3.0225661772630428</v>
      </c>
      <c r="AO130" s="919">
        <f>Data[[#This Row],[LUV Fuel Cost]]/Data[[#This Row],[LUV Consumption]]</f>
        <v>3.0793694847708513</v>
      </c>
      <c r="AP130" s="919">
        <v>2.9340000000000002</v>
      </c>
      <c r="AQ130" s="783">
        <f>AVERAGE(AP128:AP130)</f>
        <v>2.9436666666666667</v>
      </c>
    </row>
    <row r="131" spans="1:43" s="253" customFormat="1">
      <c r="A131" s="263">
        <f t="shared" ref="A131:A194" si="14">EOMONTH(A130,1)</f>
        <v>41578</v>
      </c>
      <c r="B131" s="263" t="s">
        <v>357</v>
      </c>
      <c r="C131" s="277">
        <v>48.216943999999998</v>
      </c>
      <c r="D131" s="277">
        <v>7.2737850000000002</v>
      </c>
      <c r="E131" s="277">
        <v>9.3547860000000007</v>
      </c>
      <c r="F131" s="277">
        <v>8.9256020000000014</v>
      </c>
      <c r="G131" s="277">
        <v>9.4708830000000006</v>
      </c>
      <c r="H131" s="284">
        <f t="shared" si="10"/>
        <v>13.191887999999992</v>
      </c>
      <c r="I131" s="277">
        <v>39.944003000000002</v>
      </c>
      <c r="J131" s="277">
        <v>6.1159179999999997</v>
      </c>
      <c r="K131" s="277">
        <v>7.8282569999999998</v>
      </c>
      <c r="L131" s="277">
        <v>7.5342950000000002</v>
      </c>
      <c r="M131" s="277">
        <v>7.5304250000000001</v>
      </c>
      <c r="N131" s="284">
        <f t="shared" si="11"/>
        <v>10.935108</v>
      </c>
      <c r="O131" s="277">
        <v>54.706246</v>
      </c>
      <c r="P131" s="277">
        <v>5.5378230000000004</v>
      </c>
      <c r="Q131" s="277">
        <v>8.4951699999999999</v>
      </c>
      <c r="R131" s="277">
        <v>5.5246930000000001</v>
      </c>
      <c r="S131" s="277">
        <v>9.7648810000000008</v>
      </c>
      <c r="T131" s="284">
        <f t="shared" si="12"/>
        <v>25.383679000000001</v>
      </c>
      <c r="U131" s="920">
        <v>11648.031333333332</v>
      </c>
      <c r="V131" s="920">
        <v>1192.2243333333333</v>
      </c>
      <c r="W131" s="920">
        <v>2044.3216666666667</v>
      </c>
      <c r="X131" s="920">
        <v>1840.0283333333334</v>
      </c>
      <c r="Y131" s="920">
        <v>1459.9620000000002</v>
      </c>
      <c r="Z131" s="874">
        <f t="shared" si="13"/>
        <v>5111.4949999999981</v>
      </c>
      <c r="AA131" s="920">
        <v>839.8</v>
      </c>
      <c r="AB131" s="277">
        <v>105.479</v>
      </c>
      <c r="AC131" s="920">
        <v>134.24</v>
      </c>
      <c r="AD131" s="920">
        <v>127.404</v>
      </c>
      <c r="AE131" s="920">
        <v>148.869</v>
      </c>
      <c r="AF131" s="920">
        <v>2557.6</v>
      </c>
      <c r="AG131" s="277">
        <v>363.98599999999999</v>
      </c>
      <c r="AH131" s="920">
        <v>400.72699999999998</v>
      </c>
      <c r="AI131" s="920">
        <v>374.04300000000001</v>
      </c>
      <c r="AJ131" s="920">
        <v>442.09699999999998</v>
      </c>
      <c r="AK131" s="919">
        <f>Data[[#This Row],[Industry Cost ($m)]]/Data[[#This Row],[Industry Consumption]]</f>
        <v>3.0454870207192188</v>
      </c>
      <c r="AL131" s="919">
        <f>Data[[#This Row],[AAL Fuel Cost]]/Data[[#This Row],[AAL Consumption]]</f>
        <v>3.4507911527413038</v>
      </c>
      <c r="AM131" s="919">
        <f>Data[[#This Row],[DAL Fuel Cost]]/Data[[#This Row],[DAL Consumption]]</f>
        <v>2.9851534564958282</v>
      </c>
      <c r="AN131" s="919">
        <f>Data[[#This Row],[UAL Fuel Cost]]/Data[[#This Row],[UALConsumption]]</f>
        <v>2.9358811340303288</v>
      </c>
      <c r="AO131" s="919">
        <f>Data[[#This Row],[LUV Fuel Cost]]/Data[[#This Row],[LUV Consumption]]</f>
        <v>2.9697049083422336</v>
      </c>
      <c r="AP131" s="919">
        <v>2.8849999999999998</v>
      </c>
      <c r="AQ131" s="783"/>
    </row>
    <row r="132" spans="1:43" s="253" customFormat="1">
      <c r="A132" s="263">
        <f t="shared" si="14"/>
        <v>41608</v>
      </c>
      <c r="B132" s="263" t="s">
        <v>357</v>
      </c>
      <c r="C132" s="277">
        <v>46.412998999999999</v>
      </c>
      <c r="D132" s="277">
        <v>6.9706099999999998</v>
      </c>
      <c r="E132" s="277">
        <v>8.7905949999999997</v>
      </c>
      <c r="F132" s="277">
        <v>8.4594529999999999</v>
      </c>
      <c r="G132" s="277">
        <v>9.0918489999999998</v>
      </c>
      <c r="H132" s="284">
        <f t="shared" si="10"/>
        <v>13.100492000000003</v>
      </c>
      <c r="I132" s="277">
        <v>37.260727000000003</v>
      </c>
      <c r="J132" s="277">
        <v>5.6153009999999997</v>
      </c>
      <c r="K132" s="277">
        <v>7.0486639999999996</v>
      </c>
      <c r="L132" s="277">
        <v>6.9573830000000001</v>
      </c>
      <c r="M132" s="277">
        <v>7.1559090000000003</v>
      </c>
      <c r="N132" s="284">
        <f t="shared" si="11"/>
        <v>10.483470000000004</v>
      </c>
      <c r="O132" s="277">
        <v>50.542543000000002</v>
      </c>
      <c r="P132" s="277">
        <v>5.0395669999999999</v>
      </c>
      <c r="Q132" s="277">
        <v>7.6614149999999999</v>
      </c>
      <c r="R132" s="277">
        <v>5.1229240000000003</v>
      </c>
      <c r="S132" s="277">
        <v>9.2825849999999992</v>
      </c>
      <c r="T132" s="284">
        <f t="shared" si="12"/>
        <v>23.436052000000004</v>
      </c>
      <c r="U132" s="920">
        <v>11648.031333333332</v>
      </c>
      <c r="V132" s="920">
        <v>1192.2243333333333</v>
      </c>
      <c r="W132" s="920">
        <v>2044.3216666666667</v>
      </c>
      <c r="X132" s="920">
        <v>1840.0283333333334</v>
      </c>
      <c r="Y132" s="920">
        <v>1459.9620000000002</v>
      </c>
      <c r="Z132" s="874">
        <f t="shared" si="13"/>
        <v>5111.4949999999981</v>
      </c>
      <c r="AA132" s="920">
        <v>801.9</v>
      </c>
      <c r="AB132" s="277">
        <v>99.531000000000006</v>
      </c>
      <c r="AC132" s="920">
        <v>126.083</v>
      </c>
      <c r="AD132" s="920">
        <v>119.131</v>
      </c>
      <c r="AE132" s="920">
        <v>139.99100000000001</v>
      </c>
      <c r="AF132" s="920">
        <v>2423</v>
      </c>
      <c r="AG132" s="277">
        <v>331.40699999999998</v>
      </c>
      <c r="AH132" s="920">
        <v>387.041</v>
      </c>
      <c r="AI132" s="920">
        <v>344.49400000000003</v>
      </c>
      <c r="AJ132" s="920">
        <v>415.26</v>
      </c>
      <c r="AK132" s="919">
        <f>Data[[#This Row],[Industry Cost ($m)]]/Data[[#This Row],[Industry Consumption]]</f>
        <v>3.0215737623145031</v>
      </c>
      <c r="AL132" s="919">
        <f>Data[[#This Row],[AAL Fuel Cost]]/Data[[#This Row],[AAL Consumption]]</f>
        <v>3.3296862284112483</v>
      </c>
      <c r="AM132" s="919">
        <f>Data[[#This Row],[DAL Fuel Cost]]/Data[[#This Row],[DAL Consumption]]</f>
        <v>3.0697318433095657</v>
      </c>
      <c r="AN132" s="919">
        <f>Data[[#This Row],[UAL Fuel Cost]]/Data[[#This Row],[UALConsumption]]</f>
        <v>2.8917242363448641</v>
      </c>
      <c r="AO132" s="919">
        <f>Data[[#This Row],[LUV Fuel Cost]]/Data[[#This Row],[LUV Consumption]]</f>
        <v>2.9663335500139292</v>
      </c>
      <c r="AP132" s="919">
        <v>2.83</v>
      </c>
      <c r="AQ132" s="783"/>
    </row>
    <row r="133" spans="1:43" s="253" customFormat="1">
      <c r="A133" s="263">
        <f t="shared" si="14"/>
        <v>41639</v>
      </c>
      <c r="B133" s="263" t="s">
        <v>357</v>
      </c>
      <c r="C133" s="277">
        <v>48.506216000000002</v>
      </c>
      <c r="D133" s="277">
        <v>7.2372520000000007</v>
      </c>
      <c r="E133" s="277">
        <v>9.0305689999999998</v>
      </c>
      <c r="F133" s="277">
        <v>8.721093999999999</v>
      </c>
      <c r="G133" s="277">
        <v>9.6456029999999995</v>
      </c>
      <c r="H133" s="284">
        <f t="shared" si="10"/>
        <v>13.871698000000002</v>
      </c>
      <c r="I133" s="277">
        <v>41.313840999999996</v>
      </c>
      <c r="J133" s="277">
        <v>6.1418179999999998</v>
      </c>
      <c r="K133" s="277">
        <v>7.7952659999999998</v>
      </c>
      <c r="L133" s="277">
        <v>7.6754280000000001</v>
      </c>
      <c r="M133" s="277">
        <v>8.0009169999999994</v>
      </c>
      <c r="N133" s="284">
        <f t="shared" si="11"/>
        <v>11.700412</v>
      </c>
      <c r="O133" s="277">
        <v>54.332935999999997</v>
      </c>
      <c r="P133" s="277">
        <v>5.3793040000000003</v>
      </c>
      <c r="Q133" s="277">
        <v>8.0894019999999998</v>
      </c>
      <c r="R133" s="277">
        <v>5.5050929999999996</v>
      </c>
      <c r="S133" s="277">
        <v>10.248472</v>
      </c>
      <c r="T133" s="284">
        <f t="shared" si="12"/>
        <v>25.110664999999997</v>
      </c>
      <c r="U133" s="920">
        <v>11648.031333333332</v>
      </c>
      <c r="V133" s="920">
        <v>1192.2243333333333</v>
      </c>
      <c r="W133" s="920">
        <v>2044.3216666666667</v>
      </c>
      <c r="X133" s="920">
        <v>1840.0283333333334</v>
      </c>
      <c r="Y133" s="920">
        <v>1459.9620000000002</v>
      </c>
      <c r="Z133" s="874">
        <f t="shared" si="13"/>
        <v>5111.4949999999981</v>
      </c>
      <c r="AA133" s="920">
        <v>877.2</v>
      </c>
      <c r="AB133" s="277">
        <v>116.08199999999999</v>
      </c>
      <c r="AC133" s="920">
        <v>131.142</v>
      </c>
      <c r="AD133" s="920">
        <v>124.61799999999999</v>
      </c>
      <c r="AE133" s="920">
        <v>150.05600000000001</v>
      </c>
      <c r="AF133" s="920">
        <v>2656.4</v>
      </c>
      <c r="AG133" s="277">
        <v>363.30700000000002</v>
      </c>
      <c r="AH133" s="920">
        <v>400.09199999999998</v>
      </c>
      <c r="AI133" s="920">
        <v>368.95699999999999</v>
      </c>
      <c r="AJ133" s="920">
        <v>444.21199999999999</v>
      </c>
      <c r="AK133" s="919">
        <f>Data[[#This Row],[Industry Cost ($m)]]/Data[[#This Row],[Industry Consumption]]</f>
        <v>3.0282717738258094</v>
      </c>
      <c r="AL133" s="919">
        <f>Data[[#This Row],[AAL Fuel Cost]]/Data[[#This Row],[AAL Consumption]]</f>
        <v>3.1297444909632848</v>
      </c>
      <c r="AM133" s="919">
        <f>Data[[#This Row],[DAL Fuel Cost]]/Data[[#This Row],[DAL Consumption]]</f>
        <v>3.0508303975842979</v>
      </c>
      <c r="AN133" s="919">
        <f>Data[[#This Row],[UAL Fuel Cost]]/Data[[#This Row],[UALConsumption]]</f>
        <v>2.960703911152482</v>
      </c>
      <c r="AO133" s="919">
        <f>Data[[#This Row],[LUV Fuel Cost]]/Data[[#This Row],[LUV Consumption]]</f>
        <v>2.9603081516233938</v>
      </c>
      <c r="AP133" s="919">
        <v>2.9550000000000001</v>
      </c>
      <c r="AQ133" s="783">
        <f>AVERAGE(AP131:AP133)</f>
        <v>2.89</v>
      </c>
    </row>
    <row r="134" spans="1:43" s="253" customFormat="1">
      <c r="A134" s="263">
        <f t="shared" si="14"/>
        <v>41670</v>
      </c>
      <c r="B134" s="263" t="s">
        <v>357</v>
      </c>
      <c r="C134" s="277">
        <v>45.345289999999999</v>
      </c>
      <c r="D134" s="277">
        <v>7.2482749999999996</v>
      </c>
      <c r="E134" s="277">
        <v>8.4487070000000006</v>
      </c>
      <c r="F134" s="277">
        <v>7.8814260000000003</v>
      </c>
      <c r="G134" s="277">
        <v>8.7422720000000016</v>
      </c>
      <c r="H134" s="284">
        <f t="shared" si="10"/>
        <v>13.024609999999996</v>
      </c>
      <c r="I134" s="277">
        <v>36.599144000000003</v>
      </c>
      <c r="J134" s="277">
        <v>5.8554899999999996</v>
      </c>
      <c r="K134" s="277">
        <v>6.9462120000000001</v>
      </c>
      <c r="L134" s="277">
        <v>6.6181910000000004</v>
      </c>
      <c r="M134" s="277">
        <v>6.67157</v>
      </c>
      <c r="N134" s="284">
        <f t="shared" si="11"/>
        <v>10.507681000000005</v>
      </c>
      <c r="O134" s="277">
        <v>47.957371000000002</v>
      </c>
      <c r="P134" s="277">
        <v>5.2228810000000001</v>
      </c>
      <c r="Q134" s="277">
        <v>7.1146029999999998</v>
      </c>
      <c r="R134" s="277">
        <v>4.7868209999999998</v>
      </c>
      <c r="S134" s="277">
        <v>8.5690489999999997</v>
      </c>
      <c r="T134" s="284">
        <f t="shared" si="12"/>
        <v>22.264017000000003</v>
      </c>
      <c r="U134" s="920">
        <v>11186.149333333333</v>
      </c>
      <c r="V134" s="920">
        <v>1236.8066666666666</v>
      </c>
      <c r="W134" s="920">
        <v>2009.2156666666667</v>
      </c>
      <c r="X134" s="920">
        <v>1668.5290000000002</v>
      </c>
      <c r="Y134" s="920">
        <v>1368.8426666666667</v>
      </c>
      <c r="Z134" s="874">
        <f t="shared" si="13"/>
        <v>4902.7553333333326</v>
      </c>
      <c r="AA134" s="920">
        <v>793.7</v>
      </c>
      <c r="AB134" s="277">
        <v>104.8</v>
      </c>
      <c r="AC134" s="920">
        <v>119.548</v>
      </c>
      <c r="AD134" s="920">
        <v>113.69199999999999</v>
      </c>
      <c r="AE134" s="920">
        <v>134.238</v>
      </c>
      <c r="AF134" s="920">
        <v>2453.9</v>
      </c>
      <c r="AG134" s="277">
        <v>368.87599999999998</v>
      </c>
      <c r="AH134" s="920">
        <v>357.70699999999999</v>
      </c>
      <c r="AI134" s="920">
        <v>339.59199999999998</v>
      </c>
      <c r="AJ134" s="920">
        <v>395.14600000000002</v>
      </c>
      <c r="AK134" s="919">
        <f>Data[[#This Row],[Industry Cost ($m)]]/Data[[#This Row],[Industry Consumption]]</f>
        <v>3.0917223132165805</v>
      </c>
      <c r="AL134" s="919">
        <f>Data[[#This Row],[AAL Fuel Cost]]/Data[[#This Row],[AAL Consumption]]</f>
        <v>3.5198091603053432</v>
      </c>
      <c r="AM134" s="919">
        <f>Data[[#This Row],[DAL Fuel Cost]]/Data[[#This Row],[DAL Consumption]]</f>
        <v>2.9921621440760195</v>
      </c>
      <c r="AN134" s="919">
        <f>Data[[#This Row],[UAL Fuel Cost]]/Data[[#This Row],[UALConsumption]]</f>
        <v>2.9869471906554552</v>
      </c>
      <c r="AO134" s="919">
        <f>Data[[#This Row],[LUV Fuel Cost]]/Data[[#This Row],[LUV Consumption]]</f>
        <v>2.943622521193701</v>
      </c>
      <c r="AP134" s="919">
        <v>2.9209999999999998</v>
      </c>
      <c r="AQ134" s="783"/>
    </row>
    <row r="135" spans="1:43" s="253" customFormat="1">
      <c r="A135" s="263">
        <f t="shared" si="14"/>
        <v>41698</v>
      </c>
      <c r="B135" s="263" t="s">
        <v>357</v>
      </c>
      <c r="C135" s="277">
        <v>41.658410000000003</v>
      </c>
      <c r="D135" s="277">
        <v>6.4767869999999998</v>
      </c>
      <c r="E135" s="277">
        <v>7.6891999999999996</v>
      </c>
      <c r="F135" s="277">
        <v>7.2363100000000005</v>
      </c>
      <c r="G135" s="277">
        <v>8.2694729999999996</v>
      </c>
      <c r="H135" s="284">
        <f t="shared" si="10"/>
        <v>11.986640000000001</v>
      </c>
      <c r="I135" s="277">
        <v>34.344225999999999</v>
      </c>
      <c r="J135" s="277">
        <v>5.3543700000000003</v>
      </c>
      <c r="K135" s="277">
        <v>6.516165</v>
      </c>
      <c r="L135" s="277">
        <v>6.1017489999999999</v>
      </c>
      <c r="M135" s="277">
        <v>6.4643249999999997</v>
      </c>
      <c r="N135" s="284">
        <f t="shared" si="11"/>
        <v>9.9076169999999983</v>
      </c>
      <c r="O135" s="277">
        <v>45.513184000000003</v>
      </c>
      <c r="P135" s="277">
        <v>4.8168110000000004</v>
      </c>
      <c r="Q135" s="277">
        <v>6.8287550000000001</v>
      </c>
      <c r="R135" s="277">
        <v>4.565753</v>
      </c>
      <c r="S135" s="277">
        <v>8.3824179999999995</v>
      </c>
      <c r="T135" s="284">
        <f t="shared" si="12"/>
        <v>20.919447000000005</v>
      </c>
      <c r="U135" s="920">
        <v>11186.149333333333</v>
      </c>
      <c r="V135" s="920">
        <v>1236.8066666666666</v>
      </c>
      <c r="W135" s="920">
        <v>2009.2156666666667</v>
      </c>
      <c r="X135" s="920">
        <v>1668.5290000000002</v>
      </c>
      <c r="Y135" s="920">
        <v>1368.8426666666667</v>
      </c>
      <c r="Z135" s="874">
        <f t="shared" si="13"/>
        <v>4902.7553333333326</v>
      </c>
      <c r="AA135" s="920">
        <v>737.8</v>
      </c>
      <c r="AB135" s="277">
        <v>104.102</v>
      </c>
      <c r="AC135" s="920">
        <v>109.374</v>
      </c>
      <c r="AD135" s="920">
        <v>105.232</v>
      </c>
      <c r="AE135" s="920">
        <v>126.199</v>
      </c>
      <c r="AF135" s="920">
        <v>2246.3000000000002</v>
      </c>
      <c r="AG135" s="277">
        <v>323.28699999999998</v>
      </c>
      <c r="AH135" s="920">
        <v>325.38200000000001</v>
      </c>
      <c r="AI135" s="920">
        <v>315.50700000000001</v>
      </c>
      <c r="AJ135" s="920">
        <v>379.47899999999998</v>
      </c>
      <c r="AK135" s="919">
        <f>Data[[#This Row],[Industry Cost ($m)]]/Data[[#This Row],[Industry Consumption]]</f>
        <v>3.0445920303605316</v>
      </c>
      <c r="AL135" s="919">
        <f>Data[[#This Row],[AAL Fuel Cost]]/Data[[#This Row],[AAL Consumption]]</f>
        <v>3.1054830838984837</v>
      </c>
      <c r="AM135" s="919">
        <f>Data[[#This Row],[DAL Fuel Cost]]/Data[[#This Row],[DAL Consumption]]</f>
        <v>2.9749483423848448</v>
      </c>
      <c r="AN135" s="919">
        <f>Data[[#This Row],[UAL Fuel Cost]]/Data[[#This Row],[UALConsumption]]</f>
        <v>2.9982039683746389</v>
      </c>
      <c r="AO135" s="919">
        <f>Data[[#This Row],[LUV Fuel Cost]]/Data[[#This Row],[LUV Consumption]]</f>
        <v>3.0069889618776693</v>
      </c>
      <c r="AP135" s="919">
        <v>2.9649999999999999</v>
      </c>
      <c r="AQ135" s="783"/>
    </row>
    <row r="136" spans="1:43" s="253" customFormat="1">
      <c r="A136" s="263">
        <f t="shared" si="14"/>
        <v>41729</v>
      </c>
      <c r="B136" s="263" t="s">
        <v>357</v>
      </c>
      <c r="C136" s="277">
        <v>51.248668000000002</v>
      </c>
      <c r="D136" s="277">
        <v>7.511342</v>
      </c>
      <c r="E136" s="277">
        <v>9.9621700000000004</v>
      </c>
      <c r="F136" s="277">
        <v>8.908513000000001</v>
      </c>
      <c r="G136" s="277">
        <v>10.529919</v>
      </c>
      <c r="H136" s="284">
        <f t="shared" si="10"/>
        <v>14.336724000000004</v>
      </c>
      <c r="I136" s="277">
        <v>43.896813999999999</v>
      </c>
      <c r="J136" s="277">
        <v>6.4189100000000003</v>
      </c>
      <c r="K136" s="277">
        <v>8.7623610000000003</v>
      </c>
      <c r="L136" s="277">
        <v>7.7496400000000003</v>
      </c>
      <c r="M136" s="277">
        <v>8.7071459999999998</v>
      </c>
      <c r="N136" s="284">
        <f t="shared" si="11"/>
        <v>12.258756999999996</v>
      </c>
      <c r="O136" s="277">
        <v>57.762169999999998</v>
      </c>
      <c r="P136" s="277">
        <v>5.7416239999999998</v>
      </c>
      <c r="Q136" s="277">
        <v>9.2386459999999992</v>
      </c>
      <c r="R136" s="277">
        <v>5.645416</v>
      </c>
      <c r="S136" s="277">
        <v>10.944063999999999</v>
      </c>
      <c r="T136" s="284">
        <f t="shared" si="12"/>
        <v>26.192419999999998</v>
      </c>
      <c r="U136" s="920">
        <v>11186.149333333333</v>
      </c>
      <c r="V136" s="920">
        <v>1236.8066666666666</v>
      </c>
      <c r="W136" s="920">
        <v>2009.2156666666667</v>
      </c>
      <c r="X136" s="920">
        <v>1668.5290000000002</v>
      </c>
      <c r="Y136" s="920">
        <v>1368.8426666666667</v>
      </c>
      <c r="Z136" s="874">
        <f t="shared" si="13"/>
        <v>4902.7553333333326</v>
      </c>
      <c r="AA136" s="920">
        <v>882.6</v>
      </c>
      <c r="AB136" s="277">
        <v>119.352</v>
      </c>
      <c r="AC136" s="920">
        <v>141.11099999999999</v>
      </c>
      <c r="AD136" s="920">
        <v>125.267</v>
      </c>
      <c r="AE136" s="920">
        <v>157.58500000000001</v>
      </c>
      <c r="AF136" s="920">
        <v>2651.2</v>
      </c>
      <c r="AG136" s="277">
        <v>346.44799999999998</v>
      </c>
      <c r="AH136" s="920">
        <v>426.40600000000001</v>
      </c>
      <c r="AI136" s="920">
        <v>372.27</v>
      </c>
      <c r="AJ136" s="920">
        <v>469.36200000000002</v>
      </c>
      <c r="AK136" s="919">
        <f>Data[[#This Row],[Industry Cost ($m)]]/Data[[#This Row],[Industry Consumption]]</f>
        <v>3.0038522547020166</v>
      </c>
      <c r="AL136" s="919">
        <f>Data[[#This Row],[AAL Fuel Cost]]/Data[[#This Row],[AAL Consumption]]</f>
        <v>2.9027414706079493</v>
      </c>
      <c r="AM136" s="919">
        <f>Data[[#This Row],[DAL Fuel Cost]]/Data[[#This Row],[DAL Consumption]]</f>
        <v>3.0217771825017188</v>
      </c>
      <c r="AN136" s="919">
        <f>Data[[#This Row],[UAL Fuel Cost]]/Data[[#This Row],[UALConsumption]]</f>
        <v>2.9718122091213166</v>
      </c>
      <c r="AO136" s="919">
        <f>Data[[#This Row],[LUV Fuel Cost]]/Data[[#This Row],[LUV Consumption]]</f>
        <v>2.9784687628898689</v>
      </c>
      <c r="AP136" s="919">
        <v>2.89</v>
      </c>
      <c r="AQ136" s="783">
        <f>AVERAGE(AP134:AP136)</f>
        <v>2.9253333333333331</v>
      </c>
    </row>
    <row r="137" spans="1:43" s="253" customFormat="1">
      <c r="A137" s="263">
        <f t="shared" si="14"/>
        <v>41759</v>
      </c>
      <c r="B137" s="263" t="s">
        <v>357</v>
      </c>
      <c r="C137" s="277">
        <v>49.065683</v>
      </c>
      <c r="D137" s="277">
        <v>7.1129440000000006</v>
      </c>
      <c r="E137" s="277">
        <v>9.5866299999999995</v>
      </c>
      <c r="F137" s="277">
        <v>8.3450260000000007</v>
      </c>
      <c r="G137" s="277">
        <v>10.228611000000001</v>
      </c>
      <c r="H137" s="284">
        <f t="shared" si="10"/>
        <v>13.792471999999997</v>
      </c>
      <c r="I137" s="277">
        <v>41.744692000000001</v>
      </c>
      <c r="J137" s="277">
        <v>6.1543060000000001</v>
      </c>
      <c r="K137" s="277">
        <v>8.4065480000000008</v>
      </c>
      <c r="L137" s="277">
        <v>7.2698119999999999</v>
      </c>
      <c r="M137" s="277">
        <v>8.3497299999999992</v>
      </c>
      <c r="N137" s="284">
        <f t="shared" si="11"/>
        <v>11.564295999999999</v>
      </c>
      <c r="O137" s="277">
        <v>55.247481999999998</v>
      </c>
      <c r="P137" s="277">
        <v>5.5014050000000001</v>
      </c>
      <c r="Q137" s="277">
        <v>8.9611180000000008</v>
      </c>
      <c r="R137" s="277">
        <v>5.2637890000000001</v>
      </c>
      <c r="S137" s="277">
        <v>10.564429000000001</v>
      </c>
      <c r="T137" s="284">
        <f t="shared" si="12"/>
        <v>24.956740999999997</v>
      </c>
      <c r="U137" s="920">
        <v>12690.402333333333</v>
      </c>
      <c r="V137" s="920">
        <v>1384.1636666666666</v>
      </c>
      <c r="W137" s="920">
        <v>2350.9209999999998</v>
      </c>
      <c r="X137" s="920">
        <v>1972.2026666666668</v>
      </c>
      <c r="Y137" s="920">
        <v>1649.0936666666666</v>
      </c>
      <c r="Z137" s="874">
        <f t="shared" si="13"/>
        <v>5334.0213333333331</v>
      </c>
      <c r="AA137" s="920">
        <v>851.1</v>
      </c>
      <c r="AB137" s="277">
        <v>112.94199999999999</v>
      </c>
      <c r="AC137" s="920">
        <v>134.90199999999999</v>
      </c>
      <c r="AD137" s="920">
        <v>116.13</v>
      </c>
      <c r="AE137" s="920">
        <v>151.71</v>
      </c>
      <c r="AF137" s="920">
        <v>2536.1</v>
      </c>
      <c r="AG137" s="277">
        <v>346.66300000000001</v>
      </c>
      <c r="AH137" s="920">
        <v>390.36399999999998</v>
      </c>
      <c r="AI137" s="920">
        <v>342.64299999999997</v>
      </c>
      <c r="AJ137" s="920">
        <v>444.21899999999999</v>
      </c>
      <c r="AK137" s="919">
        <f>Data[[#This Row],[Industry Cost ($m)]]/Data[[#This Row],[Industry Consumption]]</f>
        <v>2.9797908588884972</v>
      </c>
      <c r="AL137" s="919">
        <f>Data[[#This Row],[AAL Fuel Cost]]/Data[[#This Row],[AAL Consumption]]</f>
        <v>3.0693895982008468</v>
      </c>
      <c r="AM137" s="919">
        <f>Data[[#This Row],[DAL Fuel Cost]]/Data[[#This Row],[DAL Consumption]]</f>
        <v>2.893685786719248</v>
      </c>
      <c r="AN137" s="919">
        <f>Data[[#This Row],[UAL Fuel Cost]]/Data[[#This Row],[UALConsumption]]</f>
        <v>2.9505123568414708</v>
      </c>
      <c r="AO137" s="919">
        <f>Data[[#This Row],[LUV Fuel Cost]]/Data[[#This Row],[LUV Consumption]]</f>
        <v>2.9280798892624085</v>
      </c>
      <c r="AP137" s="919">
        <v>2.8879999999999999</v>
      </c>
      <c r="AQ137" s="783"/>
    </row>
    <row r="138" spans="1:43" s="253" customFormat="1">
      <c r="A138" s="263">
        <f t="shared" si="14"/>
        <v>41790</v>
      </c>
      <c r="B138" s="263" t="s">
        <v>357</v>
      </c>
      <c r="C138" s="277">
        <v>50.523117999999997</v>
      </c>
      <c r="D138" s="277">
        <v>7.2738160000000001</v>
      </c>
      <c r="E138" s="277">
        <v>9.8626560000000012</v>
      </c>
      <c r="F138" s="277">
        <v>8.9243480000000002</v>
      </c>
      <c r="G138" s="277">
        <v>10.359057</v>
      </c>
      <c r="H138" s="284">
        <f t="shared" si="10"/>
        <v>14.103240999999997</v>
      </c>
      <c r="I138" s="277">
        <v>43.681148</v>
      </c>
      <c r="J138" s="277">
        <v>6.3725769999999997</v>
      </c>
      <c r="K138" s="277">
        <v>8.7295580000000008</v>
      </c>
      <c r="L138" s="277">
        <v>7.8305720000000001</v>
      </c>
      <c r="M138" s="277">
        <v>8.6683880000000002</v>
      </c>
      <c r="N138" s="284">
        <f t="shared" si="11"/>
        <v>12.080052999999999</v>
      </c>
      <c r="O138" s="277">
        <v>57.888637000000003</v>
      </c>
      <c r="P138" s="277">
        <v>5.7672559999999997</v>
      </c>
      <c r="Q138" s="277">
        <v>9.3640670000000004</v>
      </c>
      <c r="R138" s="277">
        <v>5.6765340000000002</v>
      </c>
      <c r="S138" s="277">
        <v>11.027354000000001</v>
      </c>
      <c r="T138" s="284">
        <f t="shared" si="12"/>
        <v>26.053426000000002</v>
      </c>
      <c r="U138" s="920">
        <v>12690.402333333333</v>
      </c>
      <c r="V138" s="920">
        <v>1384.1636666666666</v>
      </c>
      <c r="W138" s="920">
        <v>2350.9209999999998</v>
      </c>
      <c r="X138" s="920">
        <v>1972.2026666666668</v>
      </c>
      <c r="Y138" s="920">
        <v>1649.0936666666666</v>
      </c>
      <c r="Z138" s="874">
        <f t="shared" si="13"/>
        <v>5334.0213333333331</v>
      </c>
      <c r="AA138" s="920">
        <v>874</v>
      </c>
      <c r="AB138" s="277">
        <v>116.203</v>
      </c>
      <c r="AC138" s="920">
        <v>139.53299999999999</v>
      </c>
      <c r="AD138" s="920">
        <v>125.85599999999999</v>
      </c>
      <c r="AE138" s="920">
        <v>153.65700000000001</v>
      </c>
      <c r="AF138" s="920">
        <v>2612.6</v>
      </c>
      <c r="AG138" s="277">
        <v>346.75200000000001</v>
      </c>
      <c r="AH138" s="920">
        <v>407.88799999999998</v>
      </c>
      <c r="AI138" s="920">
        <v>371.46899999999999</v>
      </c>
      <c r="AJ138" s="920">
        <v>452.25700000000001</v>
      </c>
      <c r="AK138" s="919">
        <f>Data[[#This Row],[Industry Cost ($m)]]/Data[[#This Row],[Industry Consumption]]</f>
        <v>2.9892448512585812</v>
      </c>
      <c r="AL138" s="919">
        <f>Data[[#This Row],[AAL Fuel Cost]]/Data[[#This Row],[AAL Consumption]]</f>
        <v>2.9840193454557973</v>
      </c>
      <c r="AM138" s="919">
        <f>Data[[#This Row],[DAL Fuel Cost]]/Data[[#This Row],[DAL Consumption]]</f>
        <v>2.9232367970300932</v>
      </c>
      <c r="AN138" s="919">
        <f>Data[[#This Row],[UAL Fuel Cost]]/Data[[#This Row],[UALConsumption]]</f>
        <v>2.9515398550724639</v>
      </c>
      <c r="AO138" s="919">
        <f>Data[[#This Row],[LUV Fuel Cost]]/Data[[#This Row],[LUV Consumption]]</f>
        <v>2.9432892741625829</v>
      </c>
      <c r="AP138" s="919">
        <v>2.8679999999999999</v>
      </c>
      <c r="AQ138" s="783"/>
    </row>
    <row r="139" spans="1:43" s="253" customFormat="1">
      <c r="A139" s="263">
        <f t="shared" si="14"/>
        <v>41820</v>
      </c>
      <c r="B139" s="263" t="s">
        <v>357</v>
      </c>
      <c r="C139" s="277">
        <v>52.445034999999997</v>
      </c>
      <c r="D139" s="277">
        <v>7.3699680000000001</v>
      </c>
      <c r="E139" s="277">
        <v>10.233839</v>
      </c>
      <c r="F139" s="277">
        <v>9.3303700000000003</v>
      </c>
      <c r="G139" s="277">
        <v>10.888866</v>
      </c>
      <c r="H139" s="284">
        <f t="shared" si="10"/>
        <v>14.621991999999999</v>
      </c>
      <c r="I139" s="277">
        <v>45.988315</v>
      </c>
      <c r="J139" s="277">
        <v>6.5597849999999998</v>
      </c>
      <c r="K139" s="277">
        <v>9.1363669999999999</v>
      </c>
      <c r="L139" s="277">
        <v>8.2662800000000001</v>
      </c>
      <c r="M139" s="277">
        <v>9.3750529999999994</v>
      </c>
      <c r="N139" s="284">
        <f t="shared" si="11"/>
        <v>12.650829999999999</v>
      </c>
      <c r="O139" s="277">
        <v>59.262095000000002</v>
      </c>
      <c r="P139" s="277">
        <v>5.9359209999999996</v>
      </c>
      <c r="Q139" s="277">
        <v>9.6046180000000003</v>
      </c>
      <c r="R139" s="277">
        <v>5.7824179999999998</v>
      </c>
      <c r="S139" s="277">
        <v>11.506171</v>
      </c>
      <c r="T139" s="284">
        <f t="shared" si="12"/>
        <v>26.432967000000005</v>
      </c>
      <c r="U139" s="920">
        <v>12690.402333333333</v>
      </c>
      <c r="V139" s="920">
        <v>1384.1636666666666</v>
      </c>
      <c r="W139" s="920">
        <v>2350.9209999999998</v>
      </c>
      <c r="X139" s="920">
        <v>1972.2026666666668</v>
      </c>
      <c r="Y139" s="920">
        <v>1649.0936666666666</v>
      </c>
      <c r="Z139" s="874">
        <f t="shared" si="13"/>
        <v>5334.0213333333331</v>
      </c>
      <c r="AA139" s="920">
        <v>901.2</v>
      </c>
      <c r="AB139" s="277">
        <v>119.489</v>
      </c>
      <c r="AC139" s="920">
        <v>146.48400000000001</v>
      </c>
      <c r="AD139" s="920">
        <v>131.76400000000001</v>
      </c>
      <c r="AE139" s="920">
        <v>159.78100000000001</v>
      </c>
      <c r="AF139" s="920">
        <v>2677</v>
      </c>
      <c r="AG139" s="277">
        <v>366.34699999999998</v>
      </c>
      <c r="AH139" s="920">
        <v>422.06799999999998</v>
      </c>
      <c r="AI139" s="920">
        <v>385.536</v>
      </c>
      <c r="AJ139" s="920">
        <v>458.815</v>
      </c>
      <c r="AK139" s="919">
        <f>Data[[#This Row],[Industry Cost ($m)]]/Data[[#This Row],[Industry Consumption]]</f>
        <v>2.9704837993786062</v>
      </c>
      <c r="AL139" s="919">
        <f>Data[[#This Row],[AAL Fuel Cost]]/Data[[#This Row],[AAL Consumption]]</f>
        <v>3.0659474930746762</v>
      </c>
      <c r="AM139" s="919">
        <f>Data[[#This Row],[DAL Fuel Cost]]/Data[[#This Row],[DAL Consumption]]</f>
        <v>2.881324922858469</v>
      </c>
      <c r="AN139" s="919">
        <f>Data[[#This Row],[UAL Fuel Cost]]/Data[[#This Row],[UALConsumption]]</f>
        <v>2.9259585319207067</v>
      </c>
      <c r="AO139" s="919">
        <f>Data[[#This Row],[LUV Fuel Cost]]/Data[[#This Row],[LUV Consumption]]</f>
        <v>2.8715241486785037</v>
      </c>
      <c r="AP139" s="919">
        <v>2.883</v>
      </c>
      <c r="AQ139" s="783">
        <f>AVERAGE(AP137:AP139)</f>
        <v>2.8796666666666666</v>
      </c>
    </row>
    <row r="140" spans="1:43" s="253" customFormat="1">
      <c r="A140" s="263">
        <f t="shared" si="14"/>
        <v>41851</v>
      </c>
      <c r="B140" s="263" t="s">
        <v>357</v>
      </c>
      <c r="C140" s="277">
        <v>55.183860000000003</v>
      </c>
      <c r="D140" s="277">
        <v>7.7080580000000003</v>
      </c>
      <c r="E140" s="277">
        <v>10.814486</v>
      </c>
      <c r="F140" s="277">
        <v>9.6925790000000003</v>
      </c>
      <c r="G140" s="277">
        <v>11.415306000000001</v>
      </c>
      <c r="H140" s="284">
        <f t="shared" si="10"/>
        <v>15.553431000000003</v>
      </c>
      <c r="I140" s="277">
        <v>48.670279000000001</v>
      </c>
      <c r="J140" s="277">
        <v>6.8786579999999997</v>
      </c>
      <c r="K140" s="277">
        <v>9.7450639999999993</v>
      </c>
      <c r="L140" s="277">
        <v>8.5662749999999992</v>
      </c>
      <c r="M140" s="277">
        <v>9.9030059999999995</v>
      </c>
      <c r="N140" s="284">
        <f t="shared" si="11"/>
        <v>13.577276000000005</v>
      </c>
      <c r="O140" s="277">
        <v>61.757697999999998</v>
      </c>
      <c r="P140" s="277">
        <v>6.1370120000000004</v>
      </c>
      <c r="Q140" s="277">
        <v>10.060931</v>
      </c>
      <c r="R140" s="277">
        <v>5.9273910000000001</v>
      </c>
      <c r="S140" s="277">
        <v>11.917562</v>
      </c>
      <c r="T140" s="284">
        <f t="shared" si="12"/>
        <v>27.714801999999999</v>
      </c>
      <c r="U140" s="920">
        <v>12641.452333333335</v>
      </c>
      <c r="V140" s="920">
        <v>1334.384</v>
      </c>
      <c r="W140" s="920">
        <v>2357.2829999999999</v>
      </c>
      <c r="X140" s="920">
        <v>1989.0336666666665</v>
      </c>
      <c r="Y140" s="920">
        <v>1583.2160000000001</v>
      </c>
      <c r="Z140" s="874">
        <f t="shared" si="13"/>
        <v>5377.5356666666676</v>
      </c>
      <c r="AA140" s="920">
        <v>928.1</v>
      </c>
      <c r="AB140" s="277">
        <v>110.538</v>
      </c>
      <c r="AC140" s="920">
        <v>153.334</v>
      </c>
      <c r="AD140" s="920">
        <v>135.208</v>
      </c>
      <c r="AE140" s="920">
        <v>166.393</v>
      </c>
      <c r="AF140" s="920">
        <v>2783.3</v>
      </c>
      <c r="AG140" s="277">
        <v>377.91199999999998</v>
      </c>
      <c r="AH140" s="920">
        <v>441.23399999999998</v>
      </c>
      <c r="AI140" s="920">
        <v>391.58499999999998</v>
      </c>
      <c r="AJ140" s="920">
        <v>480.27800000000002</v>
      </c>
      <c r="AK140" s="919">
        <f>Data[[#This Row],[Industry Cost ($m)]]/Data[[#This Row],[Industry Consumption]]</f>
        <v>2.9989225298997955</v>
      </c>
      <c r="AL140" s="919">
        <f>Data[[#This Row],[AAL Fuel Cost]]/Data[[#This Row],[AAL Consumption]]</f>
        <v>3.4188423890426822</v>
      </c>
      <c r="AM140" s="919">
        <f>Data[[#This Row],[DAL Fuel Cost]]/Data[[#This Row],[DAL Consumption]]</f>
        <v>2.8776005321715989</v>
      </c>
      <c r="AN140" s="919">
        <f>Data[[#This Row],[UAL Fuel Cost]]/Data[[#This Row],[UALConsumption]]</f>
        <v>2.8961673865451747</v>
      </c>
      <c r="AO140" s="919">
        <f>Data[[#This Row],[LUV Fuel Cost]]/Data[[#This Row],[LUV Consumption]]</f>
        <v>2.88640748108394</v>
      </c>
      <c r="AP140" s="919">
        <v>2.8170000000000002</v>
      </c>
      <c r="AQ140" s="783"/>
    </row>
    <row r="141" spans="1:43" s="253" customFormat="1">
      <c r="A141" s="263">
        <f t="shared" si="14"/>
        <v>41882</v>
      </c>
      <c r="B141" s="263" t="s">
        <v>357</v>
      </c>
      <c r="C141" s="277">
        <v>53.570639</v>
      </c>
      <c r="D141" s="277">
        <v>7.4738129999999998</v>
      </c>
      <c r="E141" s="277">
        <v>10.797004999999999</v>
      </c>
      <c r="F141" s="277">
        <v>9.3733629999999994</v>
      </c>
      <c r="G141" s="277">
        <v>10.513731</v>
      </c>
      <c r="H141" s="284">
        <f t="shared" si="10"/>
        <v>15.412727000000004</v>
      </c>
      <c r="I141" s="277">
        <v>46.76408</v>
      </c>
      <c r="J141" s="277">
        <v>6.568778</v>
      </c>
      <c r="K141" s="277">
        <v>9.5737649999999999</v>
      </c>
      <c r="L141" s="277">
        <v>8.3581850000000006</v>
      </c>
      <c r="M141" s="277">
        <v>8.9961190000000002</v>
      </c>
      <c r="N141" s="284">
        <f t="shared" si="11"/>
        <v>13.267232999999997</v>
      </c>
      <c r="O141" s="277">
        <v>59.758814000000001</v>
      </c>
      <c r="P141" s="277">
        <v>5.8466849999999999</v>
      </c>
      <c r="Q141" s="277">
        <v>9.8751660000000001</v>
      </c>
      <c r="R141" s="277">
        <v>5.8478969999999997</v>
      </c>
      <c r="S141" s="277">
        <v>11.134047000000001</v>
      </c>
      <c r="T141" s="284">
        <f t="shared" si="12"/>
        <v>27.055019000000001</v>
      </c>
      <c r="U141" s="920">
        <v>12641.452333333335</v>
      </c>
      <c r="V141" s="920">
        <v>1334.384</v>
      </c>
      <c r="W141" s="920">
        <v>2357.2829999999999</v>
      </c>
      <c r="X141" s="920">
        <v>1989.0336666666665</v>
      </c>
      <c r="Y141" s="920">
        <v>1583.2160000000001</v>
      </c>
      <c r="Z141" s="874">
        <f t="shared" si="13"/>
        <v>5377.5356666666676</v>
      </c>
      <c r="AA141" s="920">
        <v>900.4</v>
      </c>
      <c r="AB141" s="277">
        <v>106.55200000000001</v>
      </c>
      <c r="AC141" s="920">
        <v>153.864</v>
      </c>
      <c r="AD141" s="920">
        <v>130.63399999999999</v>
      </c>
      <c r="AE141" s="920">
        <v>154.029</v>
      </c>
      <c r="AF141" s="920">
        <v>2685</v>
      </c>
      <c r="AG141" s="277">
        <v>344.03699999999998</v>
      </c>
      <c r="AH141" s="920">
        <v>449.06599999999997</v>
      </c>
      <c r="AI141" s="920">
        <v>377.267</v>
      </c>
      <c r="AJ141" s="920">
        <v>440.95800000000003</v>
      </c>
      <c r="AK141" s="919">
        <f>Data[[#This Row],[Industry Cost ($m)]]/Data[[#This Row],[Industry Consumption]]</f>
        <v>2.9820079964460242</v>
      </c>
      <c r="AL141" s="919">
        <f>Data[[#This Row],[AAL Fuel Cost]]/Data[[#This Row],[AAL Consumption]]</f>
        <v>3.2288178541932573</v>
      </c>
      <c r="AM141" s="919">
        <f>Data[[#This Row],[DAL Fuel Cost]]/Data[[#This Row],[DAL Consumption]]</f>
        <v>2.9185904435085526</v>
      </c>
      <c r="AN141" s="919">
        <f>Data[[#This Row],[UAL Fuel Cost]]/Data[[#This Row],[UALConsumption]]</f>
        <v>2.8879694413399273</v>
      </c>
      <c r="AO141" s="919">
        <f>Data[[#This Row],[LUV Fuel Cost]]/Data[[#This Row],[LUV Consumption]]</f>
        <v>2.8628245330424793</v>
      </c>
      <c r="AP141" s="919">
        <v>2.839</v>
      </c>
      <c r="AQ141" s="783"/>
    </row>
    <row r="142" spans="1:43" s="253" customFormat="1">
      <c r="A142" s="263">
        <f t="shared" si="14"/>
        <v>41912</v>
      </c>
      <c r="B142" s="263" t="s">
        <v>357</v>
      </c>
      <c r="C142" s="277">
        <v>48.240659999999998</v>
      </c>
      <c r="D142" s="277">
        <v>6.8996729999999999</v>
      </c>
      <c r="E142" s="277">
        <v>9.4367149999999995</v>
      </c>
      <c r="F142" s="277">
        <v>8.4249419999999997</v>
      </c>
      <c r="G142" s="277">
        <v>9.7198950000000011</v>
      </c>
      <c r="H142" s="284">
        <f t="shared" si="10"/>
        <v>13.759434999999996</v>
      </c>
      <c r="I142" s="277">
        <v>39.767307000000002</v>
      </c>
      <c r="J142" s="277">
        <v>5.6750410000000002</v>
      </c>
      <c r="K142" s="277">
        <v>7.9744159999999997</v>
      </c>
      <c r="L142" s="277">
        <v>7.0533669999999997</v>
      </c>
      <c r="M142" s="277">
        <v>7.8405810000000002</v>
      </c>
      <c r="N142" s="284">
        <f t="shared" si="11"/>
        <v>11.223902000000002</v>
      </c>
      <c r="O142" s="277">
        <v>52.529471999999998</v>
      </c>
      <c r="P142" s="277">
        <v>5.1630779999999996</v>
      </c>
      <c r="Q142" s="277">
        <v>8.6364450000000001</v>
      </c>
      <c r="R142" s="277">
        <v>5.1642380000000001</v>
      </c>
      <c r="S142" s="277">
        <v>10.028081999999999</v>
      </c>
      <c r="T142" s="284">
        <f t="shared" si="12"/>
        <v>23.537628999999995</v>
      </c>
      <c r="U142" s="920">
        <v>12641.452333333335</v>
      </c>
      <c r="V142" s="920">
        <v>1334.384</v>
      </c>
      <c r="W142" s="920">
        <v>2357.2829999999999</v>
      </c>
      <c r="X142" s="920">
        <v>1989.0336666666665</v>
      </c>
      <c r="Y142" s="920">
        <v>1583.2160000000001</v>
      </c>
      <c r="Z142" s="874">
        <f t="shared" si="13"/>
        <v>5377.5356666666676</v>
      </c>
      <c r="AA142" s="920">
        <v>822.5</v>
      </c>
      <c r="AB142" s="277">
        <v>108.846</v>
      </c>
      <c r="AC142" s="920">
        <v>135.22300000000001</v>
      </c>
      <c r="AD142" s="920">
        <v>116.845</v>
      </c>
      <c r="AE142" s="920">
        <v>142.172</v>
      </c>
      <c r="AF142" s="920">
        <v>2376.8000000000002</v>
      </c>
      <c r="AG142" s="277">
        <v>323.54399999999998</v>
      </c>
      <c r="AH142" s="920">
        <v>381.38400000000001</v>
      </c>
      <c r="AI142" s="920">
        <v>324.87799999999999</v>
      </c>
      <c r="AJ142" s="920">
        <v>402.13</v>
      </c>
      <c r="AK142" s="919">
        <f>Data[[#This Row],[Industry Cost ($m)]]/Data[[#This Row],[Industry Consumption]]</f>
        <v>2.8897264437689971</v>
      </c>
      <c r="AL142" s="919">
        <f>Data[[#This Row],[AAL Fuel Cost]]/Data[[#This Row],[AAL Consumption]]</f>
        <v>2.9724932473402785</v>
      </c>
      <c r="AM142" s="919">
        <f>Data[[#This Row],[DAL Fuel Cost]]/Data[[#This Row],[DAL Consumption]]</f>
        <v>2.8204077708673818</v>
      </c>
      <c r="AN142" s="919">
        <f>Data[[#This Row],[UAL Fuel Cost]]/Data[[#This Row],[UALConsumption]]</f>
        <v>2.7804185031451922</v>
      </c>
      <c r="AO142" s="919">
        <f>Data[[#This Row],[LUV Fuel Cost]]/Data[[#This Row],[LUV Consumption]]</f>
        <v>2.8284753678642769</v>
      </c>
      <c r="AP142" s="919">
        <v>2.7290000000000001</v>
      </c>
      <c r="AQ142" s="783">
        <f>AVERAGE(AP140:AP142)</f>
        <v>2.7950000000000004</v>
      </c>
    </row>
    <row r="143" spans="1:43" s="253" customFormat="1">
      <c r="A143" s="263">
        <f t="shared" si="14"/>
        <v>41943</v>
      </c>
      <c r="B143" s="263" t="s">
        <v>357</v>
      </c>
      <c r="C143" s="277">
        <v>50.874952</v>
      </c>
      <c r="D143" s="277">
        <v>7.2055429999999996</v>
      </c>
      <c r="E143" s="277">
        <v>9.8817500000000003</v>
      </c>
      <c r="F143" s="277">
        <v>9.008109000000001</v>
      </c>
      <c r="G143" s="277">
        <v>10.261948</v>
      </c>
      <c r="H143" s="284">
        <f t="shared" si="10"/>
        <v>14.517602000000004</v>
      </c>
      <c r="I143" s="277">
        <v>42.886946999999999</v>
      </c>
      <c r="J143" s="277">
        <v>6.1132160000000004</v>
      </c>
      <c r="K143" s="277">
        <v>8.5670520000000003</v>
      </c>
      <c r="L143" s="277">
        <v>7.5654960000000004</v>
      </c>
      <c r="M143" s="277">
        <v>8.5363489999999995</v>
      </c>
      <c r="N143" s="284">
        <f t="shared" si="11"/>
        <v>12.104833999999997</v>
      </c>
      <c r="O143" s="277">
        <v>57.084923000000003</v>
      </c>
      <c r="P143" s="277">
        <v>5.5865999999999998</v>
      </c>
      <c r="Q143" s="277">
        <v>9.4303670000000004</v>
      </c>
      <c r="R143" s="277">
        <v>5.6028250000000002</v>
      </c>
      <c r="S143" s="277">
        <v>10.953878</v>
      </c>
      <c r="T143" s="284">
        <f t="shared" si="12"/>
        <v>25.511253000000004</v>
      </c>
      <c r="U143" s="920">
        <v>12105.968666666668</v>
      </c>
      <c r="V143" s="920">
        <v>1223.0260000000001</v>
      </c>
      <c r="W143" s="920">
        <v>2206.9536666666668</v>
      </c>
      <c r="X143" s="920">
        <v>1810.2323333333334</v>
      </c>
      <c r="Y143" s="920">
        <v>1525.193</v>
      </c>
      <c r="Z143" s="874">
        <f t="shared" si="13"/>
        <v>5340.5636666666669</v>
      </c>
      <c r="AA143" s="920">
        <v>872.5</v>
      </c>
      <c r="AB143" s="277">
        <v>114.541</v>
      </c>
      <c r="AC143" s="920">
        <v>141.56700000000001</v>
      </c>
      <c r="AD143" s="920">
        <v>123.666</v>
      </c>
      <c r="AE143" s="920">
        <v>148.63800000000001</v>
      </c>
      <c r="AF143" s="920">
        <v>2349.1</v>
      </c>
      <c r="AG143" s="277">
        <v>314.24700000000001</v>
      </c>
      <c r="AH143" s="920">
        <v>380.69900000000001</v>
      </c>
      <c r="AI143" s="920">
        <v>322.42200000000003</v>
      </c>
      <c r="AJ143" s="920">
        <v>393.52800000000002</v>
      </c>
      <c r="AK143" s="919">
        <f>Data[[#This Row],[Industry Cost ($m)]]/Data[[#This Row],[Industry Consumption]]</f>
        <v>2.6923782234957021</v>
      </c>
      <c r="AL143" s="919">
        <f>Data[[#This Row],[AAL Fuel Cost]]/Data[[#This Row],[AAL Consumption]]</f>
        <v>2.7435328834216572</v>
      </c>
      <c r="AM143" s="919">
        <f>Data[[#This Row],[DAL Fuel Cost]]/Data[[#This Row],[DAL Consumption]]</f>
        <v>2.6891789753261706</v>
      </c>
      <c r="AN143" s="919">
        <f>Data[[#This Row],[UAL Fuel Cost]]/Data[[#This Row],[UALConsumption]]</f>
        <v>2.6072000388142258</v>
      </c>
      <c r="AO143" s="919">
        <f>Data[[#This Row],[LUV Fuel Cost]]/Data[[#This Row],[LUV Consumption]]</f>
        <v>2.6475598433778713</v>
      </c>
      <c r="AP143" s="919">
        <v>2.46</v>
      </c>
      <c r="AQ143" s="783"/>
    </row>
    <row r="144" spans="1:43" s="253" customFormat="1">
      <c r="A144" s="263">
        <f t="shared" si="14"/>
        <v>41973</v>
      </c>
      <c r="B144" s="263" t="s">
        <v>357</v>
      </c>
      <c r="C144" s="277">
        <v>48.798003999999999</v>
      </c>
      <c r="D144" s="277">
        <v>6.9803599999999992</v>
      </c>
      <c r="E144" s="277">
        <v>9.2313299999999998</v>
      </c>
      <c r="F144" s="277">
        <v>8.2327009999999987</v>
      </c>
      <c r="G144" s="277">
        <v>10.111998999999999</v>
      </c>
      <c r="H144" s="284">
        <f t="shared" si="10"/>
        <v>14.241614000000006</v>
      </c>
      <c r="I144" s="277">
        <v>39.878655000000002</v>
      </c>
      <c r="J144" s="277">
        <v>5.6312280000000001</v>
      </c>
      <c r="K144" s="277">
        <v>7.7372480000000001</v>
      </c>
      <c r="L144" s="277">
        <v>6.7681750000000003</v>
      </c>
      <c r="M144" s="277">
        <v>8.1506019999999992</v>
      </c>
      <c r="N144" s="284">
        <f t="shared" si="11"/>
        <v>11.591402000000002</v>
      </c>
      <c r="O144" s="277">
        <v>52.578037000000002</v>
      </c>
      <c r="P144" s="277">
        <v>5.0990700000000002</v>
      </c>
      <c r="Q144" s="277">
        <v>8.5552209999999995</v>
      </c>
      <c r="R144" s="277">
        <v>5.0591749999999998</v>
      </c>
      <c r="S144" s="277">
        <v>10.417562</v>
      </c>
      <c r="T144" s="284">
        <f t="shared" si="12"/>
        <v>23.447009000000001</v>
      </c>
      <c r="U144" s="920">
        <v>12105.968666666668</v>
      </c>
      <c r="V144" s="920">
        <v>1223.0260000000001</v>
      </c>
      <c r="W144" s="920">
        <v>2206.9536666666668</v>
      </c>
      <c r="X144" s="920">
        <v>1810.2323333333334</v>
      </c>
      <c r="Y144" s="920">
        <v>1525.193</v>
      </c>
      <c r="Z144" s="874">
        <f t="shared" si="13"/>
        <v>5340.5636666666669</v>
      </c>
      <c r="AA144" s="920">
        <v>830</v>
      </c>
      <c r="AB144" s="277">
        <v>108.18899999999999</v>
      </c>
      <c r="AC144" s="920">
        <v>132.167</v>
      </c>
      <c r="AD144" s="920">
        <v>111.46299999999999</v>
      </c>
      <c r="AE144" s="920">
        <v>146.43</v>
      </c>
      <c r="AF144" s="920">
        <v>2138.3000000000002</v>
      </c>
      <c r="AG144" s="277">
        <v>277.392</v>
      </c>
      <c r="AH144" s="920">
        <v>360.69099999999997</v>
      </c>
      <c r="AI144" s="920">
        <v>273.10300000000001</v>
      </c>
      <c r="AJ144" s="920">
        <v>364.59899999999999</v>
      </c>
      <c r="AK144" s="919">
        <f>Data[[#This Row],[Industry Cost ($m)]]/Data[[#This Row],[Industry Consumption]]</f>
        <v>2.576265060240964</v>
      </c>
      <c r="AL144" s="919">
        <f>Data[[#This Row],[AAL Fuel Cost]]/Data[[#This Row],[AAL Consumption]]</f>
        <v>2.5639575187865682</v>
      </c>
      <c r="AM144" s="919">
        <f>Data[[#This Row],[DAL Fuel Cost]]/Data[[#This Row],[DAL Consumption]]</f>
        <v>2.7290549078060331</v>
      </c>
      <c r="AN144" s="919">
        <f>Data[[#This Row],[UAL Fuel Cost]]/Data[[#This Row],[UALConsumption]]</f>
        <v>2.4501673200972522</v>
      </c>
      <c r="AO144" s="919">
        <f>Data[[#This Row],[LUV Fuel Cost]]/Data[[#This Row],[LUV Consumption]]</f>
        <v>2.4899200983405039</v>
      </c>
      <c r="AP144" s="919">
        <v>2.2970000000000002</v>
      </c>
      <c r="AQ144" s="783"/>
    </row>
    <row r="145" spans="1:43" s="253" customFormat="1">
      <c r="A145" s="263">
        <f t="shared" si="14"/>
        <v>42004</v>
      </c>
      <c r="B145" s="263" t="s">
        <v>357</v>
      </c>
      <c r="C145" s="277">
        <v>51.775407999999999</v>
      </c>
      <c r="D145" s="277">
        <v>7.629594</v>
      </c>
      <c r="E145" s="277">
        <v>9.5366579999999992</v>
      </c>
      <c r="F145" s="277">
        <v>8.7206440000000001</v>
      </c>
      <c r="G145" s="277">
        <v>10.680966</v>
      </c>
      <c r="H145" s="284">
        <f t="shared" si="10"/>
        <v>15.207546000000001</v>
      </c>
      <c r="I145" s="277">
        <v>43.355091999999999</v>
      </c>
      <c r="J145" s="277">
        <v>6.2529680000000001</v>
      </c>
      <c r="K145" s="277">
        <v>8.1289650000000009</v>
      </c>
      <c r="L145" s="277">
        <v>7.4819310000000003</v>
      </c>
      <c r="M145" s="277">
        <v>8.8656159999999993</v>
      </c>
      <c r="N145" s="284">
        <f t="shared" si="11"/>
        <v>12.625612</v>
      </c>
      <c r="O145" s="277">
        <v>55.487071999999998</v>
      </c>
      <c r="P145" s="277">
        <v>5.5662349999999998</v>
      </c>
      <c r="Q145" s="277">
        <v>8.5501690000000004</v>
      </c>
      <c r="R145" s="277">
        <v>5.3460559999999999</v>
      </c>
      <c r="S145" s="277">
        <v>11.250166999999999</v>
      </c>
      <c r="T145" s="284">
        <f t="shared" si="12"/>
        <v>24.774445</v>
      </c>
      <c r="U145" s="920">
        <v>12105.968666666668</v>
      </c>
      <c r="V145" s="920">
        <v>1223.0260000000001</v>
      </c>
      <c r="W145" s="920">
        <v>2206.9536666666668</v>
      </c>
      <c r="X145" s="920">
        <v>1810.2323333333334</v>
      </c>
      <c r="Y145" s="920">
        <v>1525.193</v>
      </c>
      <c r="Z145" s="874">
        <f t="shared" si="13"/>
        <v>5340.5636666666669</v>
      </c>
      <c r="AA145" s="920">
        <v>898.9</v>
      </c>
      <c r="AB145" s="277">
        <v>116.95699999999999</v>
      </c>
      <c r="AC145" s="920">
        <v>135.61500000000001</v>
      </c>
      <c r="AD145" s="920">
        <v>118.48099999999999</v>
      </c>
      <c r="AE145" s="920">
        <v>145.839</v>
      </c>
      <c r="AF145" s="920">
        <v>2080.9</v>
      </c>
      <c r="AG145" s="277">
        <v>257.98899999999998</v>
      </c>
      <c r="AH145" s="920">
        <v>340.01400000000001</v>
      </c>
      <c r="AI145" s="920">
        <v>255.114</v>
      </c>
      <c r="AJ145" s="920">
        <v>348.13799999999998</v>
      </c>
      <c r="AK145" s="919">
        <f>Data[[#This Row],[Industry Cost ($m)]]/Data[[#This Row],[Industry Consumption]]</f>
        <v>2.3149404828123261</v>
      </c>
      <c r="AL145" s="919">
        <f>Data[[#This Row],[AAL Fuel Cost]]/Data[[#This Row],[AAL Consumption]]</f>
        <v>2.2058448831621877</v>
      </c>
      <c r="AM145" s="919">
        <f>Data[[#This Row],[DAL Fuel Cost]]/Data[[#This Row],[DAL Consumption]]</f>
        <v>2.5072005309147216</v>
      </c>
      <c r="AN145" s="919">
        <f>Data[[#This Row],[UAL Fuel Cost]]/Data[[#This Row],[UALConsumption]]</f>
        <v>2.1532059992741455</v>
      </c>
      <c r="AO145" s="919">
        <f>Data[[#This Row],[LUV Fuel Cost]]/Data[[#This Row],[LUV Consumption]]</f>
        <v>2.3871392425894307</v>
      </c>
      <c r="AP145" s="919">
        <v>1.8009999999999999</v>
      </c>
      <c r="AQ145" s="783">
        <f>AVERAGE(AP143:AP145)</f>
        <v>2.1859999999999999</v>
      </c>
    </row>
    <row r="146" spans="1:43" s="253" customFormat="1">
      <c r="A146" s="263">
        <f t="shared" si="14"/>
        <v>42035</v>
      </c>
      <c r="B146" s="263" t="s">
        <v>357</v>
      </c>
      <c r="C146" s="277">
        <v>49.164135999999999</v>
      </c>
      <c r="D146" s="277">
        <v>7.2365440000000003</v>
      </c>
      <c r="E146" s="277">
        <v>9.0543650000000007</v>
      </c>
      <c r="F146" s="277">
        <v>7.865329</v>
      </c>
      <c r="G146" s="277">
        <v>10.443049999999999</v>
      </c>
      <c r="H146" s="284">
        <f t="shared" si="10"/>
        <v>14.564847999999998</v>
      </c>
      <c r="I146" s="277">
        <v>39.114345999999998</v>
      </c>
      <c r="J146" s="277">
        <v>5.7643319999999996</v>
      </c>
      <c r="K146" s="277">
        <v>7.3494580000000003</v>
      </c>
      <c r="L146" s="277">
        <v>6.5396330000000003</v>
      </c>
      <c r="M146" s="277">
        <v>7.8538230000000002</v>
      </c>
      <c r="N146" s="284">
        <f t="shared" si="11"/>
        <v>11.607099999999996</v>
      </c>
      <c r="O146" s="277">
        <v>49.727992</v>
      </c>
      <c r="P146" s="277">
        <v>5.1401849999999998</v>
      </c>
      <c r="Q146" s="277">
        <v>7.7707439999999997</v>
      </c>
      <c r="R146" s="277">
        <v>4.8045390000000001</v>
      </c>
      <c r="S146" s="277">
        <v>9.8915760000000006</v>
      </c>
      <c r="T146" s="284">
        <f t="shared" si="12"/>
        <v>22.120947999999999</v>
      </c>
      <c r="U146" s="920">
        <v>11466.815999999999</v>
      </c>
      <c r="V146" s="920">
        <v>1224.415</v>
      </c>
      <c r="W146" s="920">
        <v>2156.2483333333334</v>
      </c>
      <c r="X146" s="920">
        <v>1637.3400000000001</v>
      </c>
      <c r="Y146" s="920">
        <v>1451.5546666666667</v>
      </c>
      <c r="Z146" s="874">
        <f t="shared" si="13"/>
        <v>4997.257999999998</v>
      </c>
      <c r="AA146" s="920">
        <v>826.8</v>
      </c>
      <c r="AB146" s="277">
        <v>110.155</v>
      </c>
      <c r="AC146" s="920">
        <v>128.505</v>
      </c>
      <c r="AD146" s="920">
        <v>107.321</v>
      </c>
      <c r="AE146" s="920">
        <v>142.39099999999999</v>
      </c>
      <c r="AF146" s="920">
        <v>1600.8</v>
      </c>
      <c r="AG146" s="277">
        <v>195.47300000000001</v>
      </c>
      <c r="AH146" s="920">
        <v>321.23399999999998</v>
      </c>
      <c r="AI146" s="920">
        <v>187.32900000000001</v>
      </c>
      <c r="AJ146" s="920">
        <v>277.08499999999998</v>
      </c>
      <c r="AK146" s="919">
        <f>Data[[#This Row],[Industry Cost ($m)]]/Data[[#This Row],[Industry Consumption]]</f>
        <v>1.9361393323657474</v>
      </c>
      <c r="AL146" s="919">
        <f>Data[[#This Row],[AAL Fuel Cost]]/Data[[#This Row],[AAL Consumption]]</f>
        <v>1.7745268031410286</v>
      </c>
      <c r="AM146" s="919">
        <f>Data[[#This Row],[DAL Fuel Cost]]/Data[[#This Row],[DAL Consumption]]</f>
        <v>2.4997782187463522</v>
      </c>
      <c r="AN146" s="919">
        <f>Data[[#This Row],[UAL Fuel Cost]]/Data[[#This Row],[UALConsumption]]</f>
        <v>1.7455018123200492</v>
      </c>
      <c r="AO146" s="919">
        <f>Data[[#This Row],[LUV Fuel Cost]]/Data[[#This Row],[LUV Consumption]]</f>
        <v>1.9459446172862049</v>
      </c>
      <c r="AP146" s="919">
        <v>1.496</v>
      </c>
      <c r="AQ146" s="783"/>
    </row>
    <row r="147" spans="1:43" s="253" customFormat="1">
      <c r="A147" s="263">
        <f t="shared" si="14"/>
        <v>42063</v>
      </c>
      <c r="B147" s="263" t="s">
        <v>357</v>
      </c>
      <c r="C147" s="277">
        <v>44.390137000000003</v>
      </c>
      <c r="D147" s="277">
        <v>6.2827010000000003</v>
      </c>
      <c r="E147" s="277">
        <v>8.3649979999999999</v>
      </c>
      <c r="F147" s="277">
        <v>7.25718</v>
      </c>
      <c r="G147" s="277">
        <v>9.2354710000000004</v>
      </c>
      <c r="H147" s="284">
        <f t="shared" si="10"/>
        <v>13.249787000000001</v>
      </c>
      <c r="I147" s="277">
        <v>36.692619999999998</v>
      </c>
      <c r="J147" s="277">
        <v>5.2298020000000003</v>
      </c>
      <c r="K147" s="277">
        <v>7.0984369999999997</v>
      </c>
      <c r="L147" s="277">
        <v>6.0833589999999997</v>
      </c>
      <c r="M147" s="277">
        <v>7.3911160000000002</v>
      </c>
      <c r="N147" s="284">
        <f t="shared" si="11"/>
        <v>10.889906</v>
      </c>
      <c r="O147" s="277">
        <v>47.164898000000001</v>
      </c>
      <c r="P147" s="277">
        <v>4.6840260000000002</v>
      </c>
      <c r="Q147" s="277">
        <v>7.621569</v>
      </c>
      <c r="R147" s="277">
        <v>4.6070209999999996</v>
      </c>
      <c r="S147" s="277">
        <v>9.4029539999999994</v>
      </c>
      <c r="T147" s="284">
        <f t="shared" si="12"/>
        <v>20.849328</v>
      </c>
      <c r="U147" s="920">
        <v>11466.815999999999</v>
      </c>
      <c r="V147" s="920">
        <v>1224.415</v>
      </c>
      <c r="W147" s="920">
        <v>2156.2483333333334</v>
      </c>
      <c r="X147" s="920">
        <v>1637.3400000000001</v>
      </c>
      <c r="Y147" s="920">
        <v>1451.5546666666667</v>
      </c>
      <c r="Z147" s="874">
        <f t="shared" si="13"/>
        <v>4997.257999999998</v>
      </c>
      <c r="AA147" s="920">
        <v>755</v>
      </c>
      <c r="AB147" s="277">
        <v>97.299000000000007</v>
      </c>
      <c r="AC147" s="920">
        <v>120.218</v>
      </c>
      <c r="AD147" s="920">
        <v>99.63</v>
      </c>
      <c r="AE147" s="920">
        <v>127.521</v>
      </c>
      <c r="AF147" s="920">
        <v>1683.1</v>
      </c>
      <c r="AG147" s="277">
        <v>172.13</v>
      </c>
      <c r="AH147" s="920">
        <v>532.10799999999995</v>
      </c>
      <c r="AI147" s="920">
        <v>171.05099999999999</v>
      </c>
      <c r="AJ147" s="920">
        <v>246.07</v>
      </c>
      <c r="AK147" s="919">
        <f>Data[[#This Row],[Industry Cost ($m)]]/Data[[#This Row],[Industry Consumption]]</f>
        <v>2.2292715231788076</v>
      </c>
      <c r="AL147" s="919">
        <f>Data[[#This Row],[AAL Fuel Cost]]/Data[[#This Row],[AAL Consumption]]</f>
        <v>1.7690829299376147</v>
      </c>
      <c r="AM147" s="919">
        <f>Data[[#This Row],[DAL Fuel Cost]]/Data[[#This Row],[DAL Consumption]]</f>
        <v>4.4261924171089184</v>
      </c>
      <c r="AN147" s="919">
        <f>Data[[#This Row],[UAL Fuel Cost]]/Data[[#This Row],[UALConsumption]]</f>
        <v>1.7168623908461307</v>
      </c>
      <c r="AO147" s="919">
        <f>Data[[#This Row],[LUV Fuel Cost]]/Data[[#This Row],[LUV Consumption]]</f>
        <v>1.9296429607672461</v>
      </c>
      <c r="AP147" s="919">
        <v>1.766</v>
      </c>
      <c r="AQ147" s="783"/>
    </row>
    <row r="148" spans="1:43" s="253" customFormat="1">
      <c r="A148" s="263">
        <f t="shared" si="14"/>
        <v>42094</v>
      </c>
      <c r="B148" s="263" t="s">
        <v>357</v>
      </c>
      <c r="C148" s="277">
        <v>54.533892000000002</v>
      </c>
      <c r="D148" s="277">
        <v>7.5678410000000005</v>
      </c>
      <c r="E148" s="277">
        <v>10.415333</v>
      </c>
      <c r="F148" s="277">
        <v>8.9997229999999995</v>
      </c>
      <c r="G148" s="277">
        <v>11.810347</v>
      </c>
      <c r="H148" s="284">
        <f t="shared" si="10"/>
        <v>15.740648</v>
      </c>
      <c r="I148" s="277">
        <v>46.890717000000002</v>
      </c>
      <c r="J148" s="277">
        <v>6.4098480000000002</v>
      </c>
      <c r="K148" s="277">
        <v>9.2242660000000001</v>
      </c>
      <c r="L148" s="277">
        <v>7.7396880000000001</v>
      </c>
      <c r="M148" s="277">
        <v>10.002601</v>
      </c>
      <c r="N148" s="284">
        <f t="shared" si="11"/>
        <v>13.514313999999999</v>
      </c>
      <c r="O148" s="277">
        <v>59.557625999999999</v>
      </c>
      <c r="P148" s="277">
        <v>5.73034</v>
      </c>
      <c r="Q148" s="277">
        <v>9.8985850000000006</v>
      </c>
      <c r="R148" s="277">
        <v>5.7767140000000001</v>
      </c>
      <c r="S148" s="277">
        <v>12.354566999999999</v>
      </c>
      <c r="T148" s="284">
        <f t="shared" si="12"/>
        <v>25.797420000000002</v>
      </c>
      <c r="U148" s="920">
        <v>11466.815999999999</v>
      </c>
      <c r="V148" s="920">
        <v>1224.415</v>
      </c>
      <c r="W148" s="920">
        <v>2156.2483333333334</v>
      </c>
      <c r="X148" s="920">
        <v>1637.3400000000001</v>
      </c>
      <c r="Y148" s="920">
        <v>1451.5546666666667</v>
      </c>
      <c r="Z148" s="874">
        <f t="shared" si="13"/>
        <v>4997.257999999998</v>
      </c>
      <c r="AA148" s="920">
        <v>906.1</v>
      </c>
      <c r="AB148" s="277">
        <v>115.96599999999999</v>
      </c>
      <c r="AC148" s="920">
        <v>149.44499999999999</v>
      </c>
      <c r="AD148" s="920">
        <v>121.172</v>
      </c>
      <c r="AE148" s="920">
        <v>161.798</v>
      </c>
      <c r="AF148" s="920">
        <v>1818.2</v>
      </c>
      <c r="AG148" s="277">
        <v>211.61099999999999</v>
      </c>
      <c r="AH148" s="920">
        <v>394.71499999999997</v>
      </c>
      <c r="AI148" s="920">
        <v>218.16300000000001</v>
      </c>
      <c r="AJ148" s="920">
        <v>303.97399999999999</v>
      </c>
      <c r="AK148" s="919">
        <f>Data[[#This Row],[Industry Cost ($m)]]/Data[[#This Row],[Industry Consumption]]</f>
        <v>2.0066217856748705</v>
      </c>
      <c r="AL148" s="919">
        <f>Data[[#This Row],[AAL Fuel Cost]]/Data[[#This Row],[AAL Consumption]]</f>
        <v>1.8247676042978114</v>
      </c>
      <c r="AM148" s="919">
        <f>Data[[#This Row],[DAL Fuel Cost]]/Data[[#This Row],[DAL Consumption]]</f>
        <v>2.6412057947739971</v>
      </c>
      <c r="AN148" s="919">
        <f>Data[[#This Row],[UAL Fuel Cost]]/Data[[#This Row],[UALConsumption]]</f>
        <v>1.8004406958703332</v>
      </c>
      <c r="AO148" s="919">
        <f>Data[[#This Row],[LUV Fuel Cost]]/Data[[#This Row],[LUV Consumption]]</f>
        <v>1.8787253241696436</v>
      </c>
      <c r="AP148" s="919">
        <v>1.629</v>
      </c>
      <c r="AQ148" s="783">
        <f>AVERAGE(AP146:AP148)</f>
        <v>1.6303333333333334</v>
      </c>
    </row>
    <row r="149" spans="1:43" s="253" customFormat="1">
      <c r="A149" s="263">
        <f t="shared" si="14"/>
        <v>42124</v>
      </c>
      <c r="B149" s="263" t="s">
        <v>357</v>
      </c>
      <c r="C149" s="277">
        <v>53.176406</v>
      </c>
      <c r="D149" s="277">
        <v>7.4905110000000006</v>
      </c>
      <c r="E149" s="277">
        <v>10.063949000000001</v>
      </c>
      <c r="F149" s="277">
        <v>8.6246029999999987</v>
      </c>
      <c r="G149" s="277">
        <v>11.596962</v>
      </c>
      <c r="H149" s="284">
        <f t="shared" si="10"/>
        <v>15.400381000000003</v>
      </c>
      <c r="I149" s="277">
        <v>45.132069000000001</v>
      </c>
      <c r="J149" s="277">
        <v>6.3297150000000002</v>
      </c>
      <c r="K149" s="277">
        <v>8.7777100000000008</v>
      </c>
      <c r="L149" s="277">
        <v>7.4222130000000002</v>
      </c>
      <c r="M149" s="277">
        <v>9.6589270000000003</v>
      </c>
      <c r="N149" s="284">
        <f t="shared" si="11"/>
        <v>12.943503999999997</v>
      </c>
      <c r="O149" s="277">
        <v>57.698341999999997</v>
      </c>
      <c r="P149" s="277">
        <v>5.6882299999999999</v>
      </c>
      <c r="Q149" s="277">
        <v>9.5377369999999999</v>
      </c>
      <c r="R149" s="277">
        <v>5.5113390000000004</v>
      </c>
      <c r="S149" s="277">
        <v>12.021031000000001</v>
      </c>
      <c r="T149" s="284">
        <f t="shared" si="12"/>
        <v>24.940004999999999</v>
      </c>
      <c r="U149" s="920">
        <v>12662.972333333333</v>
      </c>
      <c r="V149" s="920">
        <v>1315.9903333333334</v>
      </c>
      <c r="W149" s="920">
        <v>2438.0266666666666</v>
      </c>
      <c r="X149" s="920">
        <v>1919.5246666666665</v>
      </c>
      <c r="Y149" s="920">
        <v>1678.4073333333333</v>
      </c>
      <c r="Z149" s="874">
        <f t="shared" si="13"/>
        <v>5311.0233333333335</v>
      </c>
      <c r="AA149" s="920">
        <v>884.1</v>
      </c>
      <c r="AB149" s="277">
        <v>115.849</v>
      </c>
      <c r="AC149" s="920">
        <v>142.98400000000001</v>
      </c>
      <c r="AD149" s="920">
        <v>115.95</v>
      </c>
      <c r="AE149" s="920">
        <v>159.31899999999999</v>
      </c>
      <c r="AF149" s="920">
        <v>1699.7</v>
      </c>
      <c r="AG149" s="277">
        <v>205.60599999999999</v>
      </c>
      <c r="AH149" s="920">
        <v>354.77100000000002</v>
      </c>
      <c r="AI149" s="920">
        <v>200.101</v>
      </c>
      <c r="AJ149" s="920">
        <v>292.15499999999997</v>
      </c>
      <c r="AK149" s="919">
        <f>Data[[#This Row],[Industry Cost ($m)]]/Data[[#This Row],[Industry Consumption]]</f>
        <v>1.9225200769143762</v>
      </c>
      <c r="AL149" s="919">
        <f>Data[[#This Row],[AAL Fuel Cost]]/Data[[#This Row],[AAL Consumption]]</f>
        <v>1.7747757857210678</v>
      </c>
      <c r="AM149" s="919">
        <f>Data[[#This Row],[DAL Fuel Cost]]/Data[[#This Row],[DAL Consumption]]</f>
        <v>2.4811936999944049</v>
      </c>
      <c r="AN149" s="919">
        <f>Data[[#This Row],[UAL Fuel Cost]]/Data[[#This Row],[UALConsumption]]</f>
        <v>1.7257524795170331</v>
      </c>
      <c r="AO149" s="919">
        <f>Data[[#This Row],[LUV Fuel Cost]]/Data[[#This Row],[LUV Consumption]]</f>
        <v>1.8337737495214004</v>
      </c>
      <c r="AP149" s="919">
        <v>1.702</v>
      </c>
      <c r="AQ149" s="783"/>
    </row>
    <row r="150" spans="1:43" s="253" customFormat="1">
      <c r="A150" s="263">
        <f t="shared" si="14"/>
        <v>42155</v>
      </c>
      <c r="B150" s="263" t="s">
        <v>357</v>
      </c>
      <c r="C150" s="277">
        <v>55.088273000000001</v>
      </c>
      <c r="D150" s="277">
        <v>7.4646000000000008</v>
      </c>
      <c r="E150" s="277">
        <v>10.514173000000001</v>
      </c>
      <c r="F150" s="277">
        <v>9.3343160000000012</v>
      </c>
      <c r="G150" s="277">
        <v>11.758717000000001</v>
      </c>
      <c r="H150" s="284">
        <f t="shared" si="10"/>
        <v>16.016466999999992</v>
      </c>
      <c r="I150" s="277">
        <v>47.181717999999996</v>
      </c>
      <c r="J150" s="277">
        <v>6.3763940000000003</v>
      </c>
      <c r="K150" s="277">
        <v>9.2422450000000005</v>
      </c>
      <c r="L150" s="277">
        <v>8.0656599999999994</v>
      </c>
      <c r="M150" s="277">
        <v>9.9514189999999996</v>
      </c>
      <c r="N150" s="284">
        <f t="shared" si="11"/>
        <v>13.545999999999992</v>
      </c>
      <c r="O150" s="277">
        <v>60.252606999999998</v>
      </c>
      <c r="P150" s="277">
        <v>5.7046000000000001</v>
      </c>
      <c r="Q150" s="277">
        <v>10.018605000000001</v>
      </c>
      <c r="R150" s="277">
        <v>5.9844989999999996</v>
      </c>
      <c r="S150" s="277">
        <v>12.380509999999999</v>
      </c>
      <c r="T150" s="284">
        <f t="shared" si="12"/>
        <v>26.164392999999997</v>
      </c>
      <c r="U150" s="920">
        <v>12662.972333333333</v>
      </c>
      <c r="V150" s="920">
        <v>1315.9903333333334</v>
      </c>
      <c r="W150" s="920">
        <v>2438.0266666666666</v>
      </c>
      <c r="X150" s="920">
        <v>1919.5246666666665</v>
      </c>
      <c r="Y150" s="920">
        <v>1678.4073333333333</v>
      </c>
      <c r="Z150" s="874">
        <f t="shared" si="13"/>
        <v>5311.0233333333335</v>
      </c>
      <c r="AA150" s="920">
        <v>909.8</v>
      </c>
      <c r="AB150" s="277">
        <v>114.99299999999999</v>
      </c>
      <c r="AC150" s="920">
        <v>149.126</v>
      </c>
      <c r="AD150" s="920">
        <v>126.461</v>
      </c>
      <c r="AE150" s="920">
        <v>162.32</v>
      </c>
      <c r="AF150" s="920">
        <v>1901.9</v>
      </c>
      <c r="AG150" s="277">
        <v>224.62100000000001</v>
      </c>
      <c r="AH150" s="920">
        <v>369.76</v>
      </c>
      <c r="AI150" s="920">
        <v>244.02799999999999</v>
      </c>
      <c r="AJ150" s="920">
        <v>326.649</v>
      </c>
      <c r="AK150" s="919">
        <f>Data[[#This Row],[Industry Cost ($m)]]/Data[[#This Row],[Industry Consumption]]</f>
        <v>2.0904594416355247</v>
      </c>
      <c r="AL150" s="919">
        <f>Data[[#This Row],[AAL Fuel Cost]]/Data[[#This Row],[AAL Consumption]]</f>
        <v>1.9533449862165524</v>
      </c>
      <c r="AM150" s="919">
        <f>Data[[#This Row],[DAL Fuel Cost]]/Data[[#This Row],[DAL Consumption]]</f>
        <v>2.4795139680538605</v>
      </c>
      <c r="AN150" s="919">
        <f>Data[[#This Row],[UAL Fuel Cost]]/Data[[#This Row],[UALConsumption]]</f>
        <v>1.9296700168431373</v>
      </c>
      <c r="AO150" s="919">
        <f>Data[[#This Row],[LUV Fuel Cost]]/Data[[#This Row],[LUV Consumption]]</f>
        <v>2.0123767865943814</v>
      </c>
      <c r="AP150" s="919">
        <v>1.849</v>
      </c>
      <c r="AQ150" s="783"/>
    </row>
    <row r="151" spans="1:43" s="253" customFormat="1">
      <c r="A151" s="263">
        <f t="shared" si="14"/>
        <v>42185</v>
      </c>
      <c r="B151" s="263" t="s">
        <v>357</v>
      </c>
      <c r="C151" s="277">
        <v>56.655605000000001</v>
      </c>
      <c r="D151" s="277">
        <v>7.608714</v>
      </c>
      <c r="E151" s="277">
        <v>10.929990999999999</v>
      </c>
      <c r="F151" s="277">
        <v>9.8169210000000007</v>
      </c>
      <c r="G151" s="277">
        <v>12.138085999999999</v>
      </c>
      <c r="H151" s="284">
        <f t="shared" si="10"/>
        <v>16.161892999999999</v>
      </c>
      <c r="I151" s="277">
        <v>49.628025999999998</v>
      </c>
      <c r="J151" s="277">
        <v>6.7657540000000003</v>
      </c>
      <c r="K151" s="277">
        <v>9.816846</v>
      </c>
      <c r="L151" s="277">
        <v>8.6150669999999998</v>
      </c>
      <c r="M151" s="277">
        <v>10.471378</v>
      </c>
      <c r="N151" s="284">
        <f t="shared" si="11"/>
        <v>13.958981000000001</v>
      </c>
      <c r="O151" s="277">
        <v>61.811275999999999</v>
      </c>
      <c r="P151" s="277">
        <v>5.9382320000000002</v>
      </c>
      <c r="Q151" s="277">
        <v>10.447049</v>
      </c>
      <c r="R151" s="277">
        <v>6.2319399999999998</v>
      </c>
      <c r="S151" s="277">
        <v>12.694096999999999</v>
      </c>
      <c r="T151" s="284">
        <f t="shared" si="12"/>
        <v>26.499957999999999</v>
      </c>
      <c r="U151" s="920">
        <v>12662.972333333333</v>
      </c>
      <c r="V151" s="920">
        <v>1315.9903333333334</v>
      </c>
      <c r="W151" s="920">
        <v>2438.0266666666666</v>
      </c>
      <c r="X151" s="920">
        <v>1919.5246666666665</v>
      </c>
      <c r="Y151" s="920">
        <v>1678.4073333333333</v>
      </c>
      <c r="Z151" s="874">
        <f t="shared" si="13"/>
        <v>5311.0233333333335</v>
      </c>
      <c r="AA151" s="920">
        <v>939</v>
      </c>
      <c r="AB151" s="277">
        <v>116.31100000000001</v>
      </c>
      <c r="AC151" s="920">
        <v>156.46100000000001</v>
      </c>
      <c r="AD151" s="920">
        <v>132.666</v>
      </c>
      <c r="AE151" s="920">
        <v>167.61799999999999</v>
      </c>
      <c r="AF151" s="920">
        <v>1915.3</v>
      </c>
      <c r="AG151" s="277">
        <v>226.089</v>
      </c>
      <c r="AH151" s="920">
        <v>385.24799999999999</v>
      </c>
      <c r="AI151" s="920">
        <v>246.78299999999999</v>
      </c>
      <c r="AJ151" s="920">
        <v>329.54700000000003</v>
      </c>
      <c r="AK151" s="919">
        <f>Data[[#This Row],[Industry Cost ($m)]]/Data[[#This Row],[Industry Consumption]]</f>
        <v>2.0397231096911606</v>
      </c>
      <c r="AL151" s="919">
        <f>Data[[#This Row],[AAL Fuel Cost]]/Data[[#This Row],[AAL Consumption]]</f>
        <v>1.9438316238360944</v>
      </c>
      <c r="AM151" s="919">
        <f>Data[[#This Row],[DAL Fuel Cost]]/Data[[#This Row],[DAL Consumption]]</f>
        <v>2.4622621611775455</v>
      </c>
      <c r="AN151" s="919">
        <f>Data[[#This Row],[UAL Fuel Cost]]/Data[[#This Row],[UALConsumption]]</f>
        <v>1.8601827144860024</v>
      </c>
      <c r="AO151" s="919">
        <f>Data[[#This Row],[LUV Fuel Cost]]/Data[[#This Row],[LUV Consumption]]</f>
        <v>1.9660597310551375</v>
      </c>
      <c r="AP151" s="919">
        <v>1.732</v>
      </c>
      <c r="AQ151" s="783">
        <f>AVERAGE(AP149:AP151)</f>
        <v>1.7610000000000001</v>
      </c>
    </row>
    <row r="152" spans="1:43" s="253" customFormat="1">
      <c r="A152" s="263">
        <f t="shared" si="14"/>
        <v>42216</v>
      </c>
      <c r="B152" s="263" t="s">
        <v>357</v>
      </c>
      <c r="C152" s="277">
        <v>65.122649999999993</v>
      </c>
      <c r="D152" s="277">
        <v>13.433644000000001</v>
      </c>
      <c r="E152" s="277">
        <v>11.593058000000001</v>
      </c>
      <c r="F152" s="277">
        <v>10.111394000000001</v>
      </c>
      <c r="G152" s="277">
        <v>12.765655000000001</v>
      </c>
      <c r="H152" s="284">
        <f t="shared" si="10"/>
        <v>17.218898999999986</v>
      </c>
      <c r="I152" s="277">
        <v>57.569878000000003</v>
      </c>
      <c r="J152" s="277">
        <v>12.080458</v>
      </c>
      <c r="K152" s="277">
        <v>10.388742000000001</v>
      </c>
      <c r="L152" s="277">
        <v>8.9960140000000006</v>
      </c>
      <c r="M152" s="277">
        <v>11.183337</v>
      </c>
      <c r="N152" s="284">
        <f t="shared" si="11"/>
        <v>14.921326999999998</v>
      </c>
      <c r="O152" s="277">
        <v>65.129347999999993</v>
      </c>
      <c r="P152" s="277">
        <v>11.012727999999999</v>
      </c>
      <c r="Q152" s="277">
        <v>10.866963999999999</v>
      </c>
      <c r="R152" s="277">
        <v>6.4510290000000001</v>
      </c>
      <c r="S152" s="277">
        <v>13.387625</v>
      </c>
      <c r="T152" s="284">
        <f t="shared" si="12"/>
        <v>23.411001999999996</v>
      </c>
      <c r="U152" s="920">
        <v>12723.57</v>
      </c>
      <c r="V152" s="920">
        <v>2246.277</v>
      </c>
      <c r="W152" s="920">
        <v>2422.5409999999997</v>
      </c>
      <c r="X152" s="920">
        <v>1964.7153333333333</v>
      </c>
      <c r="Y152" s="920">
        <v>1749.1463333333334</v>
      </c>
      <c r="Z152" s="874">
        <f t="shared" si="13"/>
        <v>4340.8903333333328</v>
      </c>
      <c r="AA152" s="920">
        <v>986.7</v>
      </c>
      <c r="AB152" s="277">
        <v>201.40799999999999</v>
      </c>
      <c r="AC152" s="920">
        <v>165.18600000000001</v>
      </c>
      <c r="AD152" s="920">
        <v>136.74700000000001</v>
      </c>
      <c r="AE152" s="920">
        <v>176.208</v>
      </c>
      <c r="AF152" s="920">
        <v>1803.6</v>
      </c>
      <c r="AG152" s="277">
        <v>352.87700000000001</v>
      </c>
      <c r="AH152" s="920">
        <v>320.92500000000001</v>
      </c>
      <c r="AI152" s="920">
        <v>234.70500000000001</v>
      </c>
      <c r="AJ152" s="920">
        <v>334.39800000000002</v>
      </c>
      <c r="AK152" s="919">
        <f>Data[[#This Row],[Industry Cost ($m)]]/Data[[#This Row],[Industry Consumption]]</f>
        <v>1.8279112192155669</v>
      </c>
      <c r="AL152" s="919">
        <f>Data[[#This Row],[AAL Fuel Cost]]/Data[[#This Row],[AAL Consumption]]</f>
        <v>1.7520505640292343</v>
      </c>
      <c r="AM152" s="919">
        <f>Data[[#This Row],[DAL Fuel Cost]]/Data[[#This Row],[DAL Consumption]]</f>
        <v>1.9428099233591225</v>
      </c>
      <c r="AN152" s="919">
        <f>Data[[#This Row],[UAL Fuel Cost]]/Data[[#This Row],[UALConsumption]]</f>
        <v>1.7163447827009002</v>
      </c>
      <c r="AO152" s="919">
        <f>Data[[#This Row],[LUV Fuel Cost]]/Data[[#This Row],[LUV Consumption]]</f>
        <v>1.8977458458185783</v>
      </c>
      <c r="AP152" s="919">
        <v>1.5489999999999999</v>
      </c>
      <c r="AQ152" s="783"/>
    </row>
    <row r="153" spans="1:43" s="253" customFormat="1">
      <c r="A153" s="263">
        <f t="shared" si="14"/>
        <v>42247</v>
      </c>
      <c r="B153" s="263" t="s">
        <v>357</v>
      </c>
      <c r="C153" s="277">
        <v>63.294589000000002</v>
      </c>
      <c r="D153" s="277">
        <v>13.04087</v>
      </c>
      <c r="E153" s="277">
        <v>11.610204</v>
      </c>
      <c r="F153" s="277">
        <v>9.7355390000000011</v>
      </c>
      <c r="G153" s="277">
        <v>11.848730999999999</v>
      </c>
      <c r="H153" s="284">
        <f t="shared" si="10"/>
        <v>17.059244999999997</v>
      </c>
      <c r="I153" s="277">
        <v>55.027203</v>
      </c>
      <c r="J153" s="277">
        <v>11.565486999999999</v>
      </c>
      <c r="K153" s="277">
        <v>10.212115000000001</v>
      </c>
      <c r="L153" s="277">
        <v>8.6216880000000007</v>
      </c>
      <c r="M153" s="277">
        <v>10.119603</v>
      </c>
      <c r="N153" s="284">
        <f t="shared" si="11"/>
        <v>14.508310000000002</v>
      </c>
      <c r="O153" s="277">
        <v>62.770806</v>
      </c>
      <c r="P153" s="277">
        <v>10.562351</v>
      </c>
      <c r="Q153" s="277">
        <v>10.643803</v>
      </c>
      <c r="R153" s="277">
        <v>6.2730129999999997</v>
      </c>
      <c r="S153" s="277">
        <v>12.435731000000001</v>
      </c>
      <c r="T153" s="284">
        <f t="shared" si="12"/>
        <v>22.855908000000007</v>
      </c>
      <c r="U153" s="920">
        <v>12723.57</v>
      </c>
      <c r="V153" s="920">
        <v>2246.277</v>
      </c>
      <c r="W153" s="920">
        <v>2422.5409999999997</v>
      </c>
      <c r="X153" s="920">
        <v>1964.7153333333333</v>
      </c>
      <c r="Y153" s="920">
        <v>1749.1463333333334</v>
      </c>
      <c r="Z153" s="874">
        <f t="shared" si="13"/>
        <v>4340.8903333333328</v>
      </c>
      <c r="AA153" s="920">
        <v>957.2</v>
      </c>
      <c r="AB153" s="277">
        <v>195.90600000000001</v>
      </c>
      <c r="AC153" s="920">
        <v>168.041</v>
      </c>
      <c r="AD153" s="920">
        <v>131.67099999999999</v>
      </c>
      <c r="AE153" s="920">
        <v>163.922</v>
      </c>
      <c r="AF153" s="920">
        <v>1605.2</v>
      </c>
      <c r="AG153" s="277">
        <v>317.685</v>
      </c>
      <c r="AH153" s="920">
        <v>307.32400000000001</v>
      </c>
      <c r="AI153" s="920">
        <v>202.059</v>
      </c>
      <c r="AJ153" s="920">
        <v>288.10700000000003</v>
      </c>
      <c r="AK153" s="919">
        <f>Data[[#This Row],[Industry Cost ($m)]]/Data[[#This Row],[Industry Consumption]]</f>
        <v>1.6769745089845383</v>
      </c>
      <c r="AL153" s="919">
        <f>Data[[#This Row],[AAL Fuel Cost]]/Data[[#This Row],[AAL Consumption]]</f>
        <v>1.6216195522342347</v>
      </c>
      <c r="AM153" s="919">
        <f>Data[[#This Row],[DAL Fuel Cost]]/Data[[#This Row],[DAL Consumption]]</f>
        <v>1.8288631941014397</v>
      </c>
      <c r="AN153" s="919">
        <f>Data[[#This Row],[UAL Fuel Cost]]/Data[[#This Row],[UALConsumption]]</f>
        <v>1.5345748114619013</v>
      </c>
      <c r="AO153" s="919">
        <f>Data[[#This Row],[LUV Fuel Cost]]/Data[[#This Row],[LUV Consumption]]</f>
        <v>1.7575859250131163</v>
      </c>
      <c r="AP153" s="919">
        <v>1.389</v>
      </c>
      <c r="AQ153" s="783"/>
    </row>
    <row r="154" spans="1:43" s="253" customFormat="1">
      <c r="A154" s="263">
        <f t="shared" si="14"/>
        <v>42277</v>
      </c>
      <c r="B154" s="263" t="s">
        <v>357</v>
      </c>
      <c r="C154" s="277">
        <v>56.355727000000002</v>
      </c>
      <c r="D154" s="277">
        <v>11.602587999999999</v>
      </c>
      <c r="E154" s="277">
        <v>9.8144980000000004</v>
      </c>
      <c r="F154" s="277">
        <v>8.6808750000000003</v>
      </c>
      <c r="G154" s="277">
        <v>10.923960999999998</v>
      </c>
      <c r="H154" s="284">
        <f t="shared" si="10"/>
        <v>15.333805000000005</v>
      </c>
      <c r="I154" s="277">
        <v>47.385126999999997</v>
      </c>
      <c r="J154" s="277">
        <v>9.9446449999999995</v>
      </c>
      <c r="K154" s="277">
        <v>8.4450979999999998</v>
      </c>
      <c r="L154" s="277">
        <v>7.4129779999999998</v>
      </c>
      <c r="M154" s="277">
        <v>9.0564929999999997</v>
      </c>
      <c r="N154" s="284">
        <f t="shared" si="11"/>
        <v>12.525913000000003</v>
      </c>
      <c r="O154" s="277">
        <v>55.989598999999998</v>
      </c>
      <c r="P154" s="277">
        <v>9.3946249999999996</v>
      </c>
      <c r="Q154" s="277">
        <v>9.3108050000000002</v>
      </c>
      <c r="R154" s="277">
        <v>5.6554589999999996</v>
      </c>
      <c r="S154" s="277">
        <v>11.424637000000001</v>
      </c>
      <c r="T154" s="284">
        <f t="shared" si="12"/>
        <v>20.204072999999994</v>
      </c>
      <c r="U154" s="920">
        <v>12723.57</v>
      </c>
      <c r="V154" s="920">
        <v>2246.277</v>
      </c>
      <c r="W154" s="920">
        <v>2422.5409999999997</v>
      </c>
      <c r="X154" s="920">
        <v>1964.7153333333333</v>
      </c>
      <c r="Y154" s="920">
        <v>1749.1463333333334</v>
      </c>
      <c r="Z154" s="874">
        <f t="shared" si="13"/>
        <v>4340.8903333333328</v>
      </c>
      <c r="AA154" s="920">
        <v>857.1</v>
      </c>
      <c r="AB154" s="277">
        <v>173.33199999999999</v>
      </c>
      <c r="AC154" s="920">
        <v>140.39099999999999</v>
      </c>
      <c r="AD154" s="920">
        <v>116.786</v>
      </c>
      <c r="AE154" s="920">
        <v>150.23500000000001</v>
      </c>
      <c r="AF154" s="920">
        <v>1365.8</v>
      </c>
      <c r="AG154" s="277">
        <v>262.74</v>
      </c>
      <c r="AH154" s="920">
        <v>236.32499999999999</v>
      </c>
      <c r="AI154" s="920">
        <v>171.61199999999999</v>
      </c>
      <c r="AJ154" s="920">
        <v>259.60300000000001</v>
      </c>
      <c r="AK154" s="919">
        <f>Data[[#This Row],[Industry Cost ($m)]]/Data[[#This Row],[Industry Consumption]]</f>
        <v>1.5935130089837823</v>
      </c>
      <c r="AL154" s="919">
        <f>Data[[#This Row],[AAL Fuel Cost]]/Data[[#This Row],[AAL Consumption]]</f>
        <v>1.5158193524565575</v>
      </c>
      <c r="AM154" s="919">
        <f>Data[[#This Row],[DAL Fuel Cost]]/Data[[#This Row],[DAL Consumption]]</f>
        <v>1.6833344017778917</v>
      </c>
      <c r="AN154" s="919">
        <f>Data[[#This Row],[UAL Fuel Cost]]/Data[[#This Row],[UALConsumption]]</f>
        <v>1.4694569554569896</v>
      </c>
      <c r="AO154" s="919">
        <f>Data[[#This Row],[LUV Fuel Cost]]/Data[[#This Row],[LUV Consumption]]</f>
        <v>1.7279794987852364</v>
      </c>
      <c r="AP154" s="919">
        <v>1.395</v>
      </c>
      <c r="AQ154" s="783">
        <f>AVERAGE(AP152:AP154)</f>
        <v>1.4443333333333335</v>
      </c>
    </row>
    <row r="155" spans="1:43" s="253" customFormat="1">
      <c r="A155" s="263">
        <f t="shared" si="14"/>
        <v>42308</v>
      </c>
      <c r="B155" s="263" t="s">
        <v>357</v>
      </c>
      <c r="C155" s="277">
        <v>59.279170999999998</v>
      </c>
      <c r="D155" s="277">
        <v>12.077896000000001</v>
      </c>
      <c r="E155" s="277">
        <v>10.304397000000002</v>
      </c>
      <c r="F155" s="277">
        <v>9.3843809999999994</v>
      </c>
      <c r="G155" s="277">
        <v>11.341970999999999</v>
      </c>
      <c r="H155" s="284">
        <f t="shared" si="10"/>
        <v>16.170525999999995</v>
      </c>
      <c r="I155" s="277">
        <v>51.413448000000002</v>
      </c>
      <c r="J155" s="277">
        <v>10.682605000000001</v>
      </c>
      <c r="K155" s="277">
        <v>9.1711259999999992</v>
      </c>
      <c r="L155" s="277">
        <v>8.1795460000000002</v>
      </c>
      <c r="M155" s="277">
        <v>9.7636380000000003</v>
      </c>
      <c r="N155" s="284">
        <f t="shared" si="11"/>
        <v>13.616533000000004</v>
      </c>
      <c r="O155" s="277">
        <v>60.892617000000001</v>
      </c>
      <c r="P155" s="277">
        <v>10.202477999999999</v>
      </c>
      <c r="Q155" s="277">
        <v>10.186484999999999</v>
      </c>
      <c r="R155" s="277">
        <v>6.3291690000000003</v>
      </c>
      <c r="S155" s="277">
        <v>12.373023</v>
      </c>
      <c r="T155" s="284">
        <f t="shared" si="12"/>
        <v>21.801462000000001</v>
      </c>
      <c r="U155" s="920">
        <v>12124.110333333332</v>
      </c>
      <c r="V155" s="920">
        <v>2108.4223333333334</v>
      </c>
      <c r="W155" s="920">
        <v>2248.203</v>
      </c>
      <c r="X155" s="920">
        <v>1788.8176666666668</v>
      </c>
      <c r="Y155" s="920">
        <v>1631.9283333333333</v>
      </c>
      <c r="Z155" s="874">
        <f t="shared" si="13"/>
        <v>4346.7389999999987</v>
      </c>
      <c r="AA155" s="920">
        <v>901.6</v>
      </c>
      <c r="AB155" s="277">
        <v>181.46799999999999</v>
      </c>
      <c r="AC155" s="920">
        <v>147.65799999999999</v>
      </c>
      <c r="AD155" s="920">
        <v>125.23699999999999</v>
      </c>
      <c r="AE155" s="920">
        <v>157.095</v>
      </c>
      <c r="AF155" s="920">
        <v>1472.6</v>
      </c>
      <c r="AG155" s="277">
        <v>268.988</v>
      </c>
      <c r="AH155" s="920">
        <v>303.12299999999999</v>
      </c>
      <c r="AI155" s="920">
        <v>184.24799999999999</v>
      </c>
      <c r="AJ155" s="920">
        <v>256.15699999999998</v>
      </c>
      <c r="AK155" s="919">
        <f>Data[[#This Row],[Industry Cost ($m)]]/Data[[#This Row],[Industry Consumption]]</f>
        <v>1.633318544809228</v>
      </c>
      <c r="AL155" s="919">
        <f>Data[[#This Row],[AAL Fuel Cost]]/Data[[#This Row],[AAL Consumption]]</f>
        <v>1.4822888883990566</v>
      </c>
      <c r="AM155" s="919">
        <f>Data[[#This Row],[DAL Fuel Cost]]/Data[[#This Row],[DAL Consumption]]</f>
        <v>2.0528721775995882</v>
      </c>
      <c r="AN155" s="919">
        <f>Data[[#This Row],[UAL Fuel Cost]]/Data[[#This Row],[UALConsumption]]</f>
        <v>1.4711946150099411</v>
      </c>
      <c r="AO155" s="919">
        <f>Data[[#This Row],[LUV Fuel Cost]]/Data[[#This Row],[LUV Consumption]]</f>
        <v>1.630586587733537</v>
      </c>
      <c r="AP155" s="919">
        <v>1.391</v>
      </c>
      <c r="AQ155" s="783"/>
    </row>
    <row r="156" spans="1:43" s="253" customFormat="1">
      <c r="A156" s="263">
        <f t="shared" si="14"/>
        <v>42338</v>
      </c>
      <c r="B156" s="263" t="s">
        <v>357</v>
      </c>
      <c r="C156" s="277">
        <v>57.341374000000002</v>
      </c>
      <c r="D156" s="277">
        <v>11.611497</v>
      </c>
      <c r="E156" s="277">
        <v>9.7498950000000004</v>
      </c>
      <c r="F156" s="277">
        <v>8.6511669999999992</v>
      </c>
      <c r="G156" s="277">
        <v>11.326383</v>
      </c>
      <c r="H156" s="284">
        <f t="shared" si="10"/>
        <v>16.002431999999999</v>
      </c>
      <c r="I156" s="277">
        <v>48.443218000000002</v>
      </c>
      <c r="J156" s="277">
        <v>9.9014050000000005</v>
      </c>
      <c r="K156" s="277">
        <v>8.4749389999999991</v>
      </c>
      <c r="L156" s="277">
        <v>7.3878820000000003</v>
      </c>
      <c r="M156" s="277">
        <v>9.4561790000000006</v>
      </c>
      <c r="N156" s="284">
        <f t="shared" si="11"/>
        <v>13.222813000000002</v>
      </c>
      <c r="O156" s="277">
        <v>57.150827999999997</v>
      </c>
      <c r="P156" s="277">
        <v>9.5002899999999997</v>
      </c>
      <c r="Q156" s="277">
        <v>9.4702710000000003</v>
      </c>
      <c r="R156" s="277">
        <v>5.7401770000000001</v>
      </c>
      <c r="S156" s="277">
        <v>11.917933</v>
      </c>
      <c r="T156" s="284">
        <f t="shared" si="12"/>
        <v>20.522157</v>
      </c>
      <c r="U156" s="920">
        <v>12124.110333333332</v>
      </c>
      <c r="V156" s="920">
        <v>2108.4223333333334</v>
      </c>
      <c r="W156" s="920">
        <v>2248.203</v>
      </c>
      <c r="X156" s="920">
        <v>1788.8176666666668</v>
      </c>
      <c r="Y156" s="920">
        <v>1631.9283333333333</v>
      </c>
      <c r="Z156" s="874">
        <f t="shared" si="13"/>
        <v>4346.7389999999987</v>
      </c>
      <c r="AA156" s="920">
        <v>871.9</v>
      </c>
      <c r="AB156" s="277">
        <v>174.44499999999999</v>
      </c>
      <c r="AC156" s="920">
        <v>141.59299999999999</v>
      </c>
      <c r="AD156" s="920">
        <v>115.553</v>
      </c>
      <c r="AE156" s="920">
        <v>157.57499999999999</v>
      </c>
      <c r="AF156" s="920">
        <v>1367.5</v>
      </c>
      <c r="AG156" s="277">
        <v>257.642</v>
      </c>
      <c r="AH156" s="920">
        <v>259.73399999999998</v>
      </c>
      <c r="AI156" s="920">
        <v>159.04300000000001</v>
      </c>
      <c r="AJ156" s="920">
        <v>253.42400000000001</v>
      </c>
      <c r="AK156" s="919">
        <f>Data[[#This Row],[Industry Cost ($m)]]/Data[[#This Row],[Industry Consumption]]</f>
        <v>1.5684138089230417</v>
      </c>
      <c r="AL156" s="919">
        <f>Data[[#This Row],[AAL Fuel Cost]]/Data[[#This Row],[AAL Consumption]]</f>
        <v>1.4769239588408953</v>
      </c>
      <c r="AM156" s="919">
        <f>Data[[#This Row],[DAL Fuel Cost]]/Data[[#This Row],[DAL Consumption]]</f>
        <v>1.834370343166682</v>
      </c>
      <c r="AN156" s="919">
        <f>Data[[#This Row],[UAL Fuel Cost]]/Data[[#This Row],[UALConsumption]]</f>
        <v>1.3763640926674341</v>
      </c>
      <c r="AO156" s="919">
        <f>Data[[#This Row],[LUV Fuel Cost]]/Data[[#This Row],[LUV Consumption]]</f>
        <v>1.6082754244010791</v>
      </c>
      <c r="AP156" s="919">
        <v>1.3260000000000001</v>
      </c>
      <c r="AQ156" s="783"/>
    </row>
    <row r="157" spans="1:43" s="253" customFormat="1">
      <c r="A157" s="263">
        <f t="shared" si="14"/>
        <v>42369</v>
      </c>
      <c r="B157" s="263" t="s">
        <v>357</v>
      </c>
      <c r="C157" s="277">
        <v>60.065592000000002</v>
      </c>
      <c r="D157" s="277">
        <v>12.323293</v>
      </c>
      <c r="E157" s="277">
        <v>10.033897000000001</v>
      </c>
      <c r="F157" s="277">
        <v>9.1454179999999994</v>
      </c>
      <c r="G157" s="277">
        <v>11.673617</v>
      </c>
      <c r="H157" s="284">
        <f t="shared" si="10"/>
        <v>16.889367</v>
      </c>
      <c r="I157" s="277">
        <v>50.581513999999999</v>
      </c>
      <c r="J157" s="277">
        <v>10.453499000000001</v>
      </c>
      <c r="K157" s="277">
        <v>8.6361939999999997</v>
      </c>
      <c r="L157" s="277">
        <v>7.8272329999999997</v>
      </c>
      <c r="M157" s="277">
        <v>9.7032120000000006</v>
      </c>
      <c r="N157" s="284">
        <f t="shared" si="11"/>
        <v>13.961376000000001</v>
      </c>
      <c r="O157" s="277">
        <v>57.870955000000002</v>
      </c>
      <c r="P157" s="277">
        <v>9.7219320000000007</v>
      </c>
      <c r="Q157" s="277">
        <v>9.1313929999999992</v>
      </c>
      <c r="R157" s="277">
        <v>5.8137420000000004</v>
      </c>
      <c r="S157" s="277">
        <v>12.123894</v>
      </c>
      <c r="T157" s="284">
        <f t="shared" si="12"/>
        <v>21.079994000000006</v>
      </c>
      <c r="U157" s="920">
        <v>12124.110333333332</v>
      </c>
      <c r="V157" s="920">
        <v>2108.4223333333334</v>
      </c>
      <c r="W157" s="920">
        <v>2248.203</v>
      </c>
      <c r="X157" s="920">
        <v>1788.8176666666668</v>
      </c>
      <c r="Y157" s="920">
        <v>1631.9283333333333</v>
      </c>
      <c r="Z157" s="874">
        <f t="shared" si="13"/>
        <v>4346.7389999999987</v>
      </c>
      <c r="AA157" s="920">
        <v>946.1</v>
      </c>
      <c r="AB157" s="277">
        <v>184.631</v>
      </c>
      <c r="AC157" s="920">
        <v>145.14099999999999</v>
      </c>
      <c r="AD157" s="920">
        <v>122.309</v>
      </c>
      <c r="AE157" s="920">
        <v>162.22800000000001</v>
      </c>
      <c r="AF157" s="920">
        <v>1366</v>
      </c>
      <c r="AG157" s="277">
        <v>249.56200000000001</v>
      </c>
      <c r="AH157" s="920">
        <v>267.495</v>
      </c>
      <c r="AI157" s="920">
        <v>156.20099999999999</v>
      </c>
      <c r="AJ157" s="920">
        <v>236.81299999999999</v>
      </c>
      <c r="AK157" s="919">
        <f>Data[[#This Row],[Industry Cost ($m)]]/Data[[#This Row],[Industry Consumption]]</f>
        <v>1.4438220061304301</v>
      </c>
      <c r="AL157" s="919">
        <f>Data[[#This Row],[AAL Fuel Cost]]/Data[[#This Row],[AAL Consumption]]</f>
        <v>1.351679837080447</v>
      </c>
      <c r="AM157" s="919">
        <f>Data[[#This Row],[DAL Fuel Cost]]/Data[[#This Row],[DAL Consumption]]</f>
        <v>1.8430009439097155</v>
      </c>
      <c r="AN157" s="919">
        <f>Data[[#This Row],[UAL Fuel Cost]]/Data[[#This Row],[UALConsumption]]</f>
        <v>1.2771014397959266</v>
      </c>
      <c r="AO157" s="919">
        <f>Data[[#This Row],[LUV Fuel Cost]]/Data[[#This Row],[LUV Consumption]]</f>
        <v>1.4597541731390387</v>
      </c>
      <c r="AP157" s="919">
        <v>1.0820000000000001</v>
      </c>
      <c r="AQ157" s="783">
        <f>AVERAGE(AP155:AP157)</f>
        <v>1.2663333333333335</v>
      </c>
    </row>
    <row r="158" spans="1:43" s="253" customFormat="1">
      <c r="A158" s="263">
        <f t="shared" si="14"/>
        <v>42400</v>
      </c>
      <c r="B158" s="263" t="s">
        <v>357</v>
      </c>
      <c r="C158" s="277">
        <v>56.639924000000001</v>
      </c>
      <c r="D158" s="277">
        <v>11.731985</v>
      </c>
      <c r="E158" s="277">
        <v>9.5741319999999988</v>
      </c>
      <c r="F158" s="277">
        <v>7.9092030000000006</v>
      </c>
      <c r="G158" s="277">
        <v>11.171074000000001</v>
      </c>
      <c r="H158" s="284">
        <f t="shared" si="10"/>
        <v>16.253529999999998</v>
      </c>
      <c r="I158" s="277">
        <v>45.815367999999999</v>
      </c>
      <c r="J158" s="277">
        <v>9.6677710000000001</v>
      </c>
      <c r="K158" s="277">
        <v>7.9571759999999996</v>
      </c>
      <c r="L158" s="277">
        <v>6.617756</v>
      </c>
      <c r="M158" s="277">
        <v>8.6457499999999996</v>
      </c>
      <c r="N158" s="284">
        <f t="shared" si="11"/>
        <v>12.926915000000001</v>
      </c>
      <c r="O158" s="277">
        <v>52.474245000000003</v>
      </c>
      <c r="P158" s="277">
        <v>9.0441280000000006</v>
      </c>
      <c r="Q158" s="277">
        <v>8.471686</v>
      </c>
      <c r="R158" s="277">
        <v>5.0554199999999998</v>
      </c>
      <c r="S158" s="277">
        <v>10.695152999999999</v>
      </c>
      <c r="T158" s="284">
        <f t="shared" si="12"/>
        <v>19.207858000000009</v>
      </c>
      <c r="U158" s="920">
        <v>11588.832</v>
      </c>
      <c r="V158" s="920">
        <v>1893.9639999999999</v>
      </c>
      <c r="W158" s="920">
        <v>2240.1226666666666</v>
      </c>
      <c r="X158" s="920">
        <v>1655.1973333333333</v>
      </c>
      <c r="Y158" s="920">
        <v>1577.4023333333334</v>
      </c>
      <c r="Z158" s="874">
        <f t="shared" si="13"/>
        <v>4222.1456666666672</v>
      </c>
      <c r="AA158" s="920">
        <v>855.7</v>
      </c>
      <c r="AB158" s="277">
        <v>174.11</v>
      </c>
      <c r="AC158" s="920">
        <v>137.68199999999999</v>
      </c>
      <c r="AD158" s="920">
        <v>105.833</v>
      </c>
      <c r="AE158" s="920">
        <v>152.935</v>
      </c>
      <c r="AF158" s="920">
        <v>1103.0999999999999</v>
      </c>
      <c r="AG158" s="277">
        <v>195.09899999999999</v>
      </c>
      <c r="AH158" s="920">
        <v>187.25899999999999</v>
      </c>
      <c r="AI158" s="920">
        <v>116.934</v>
      </c>
      <c r="AJ158" s="920">
        <v>275.51499999999999</v>
      </c>
      <c r="AK158" s="919">
        <f>Data[[#This Row],[Industry Cost ($m)]]/Data[[#This Row],[Industry Consumption]]</f>
        <v>1.2891200186981417</v>
      </c>
      <c r="AL158" s="919">
        <f>Data[[#This Row],[AAL Fuel Cost]]/Data[[#This Row],[AAL Consumption]]</f>
        <v>1.1205502268680718</v>
      </c>
      <c r="AM158" s="919">
        <f>Data[[#This Row],[DAL Fuel Cost]]/Data[[#This Row],[DAL Consumption]]</f>
        <v>1.3600833805435715</v>
      </c>
      <c r="AN158" s="919">
        <f>Data[[#This Row],[UAL Fuel Cost]]/Data[[#This Row],[UALConsumption]]</f>
        <v>1.1048916689501385</v>
      </c>
      <c r="AO158" s="919">
        <f>Data[[#This Row],[LUV Fuel Cost]]/Data[[#This Row],[LUV Consumption]]</f>
        <v>1.801516984339752</v>
      </c>
      <c r="AP158" s="919">
        <v>0.93</v>
      </c>
      <c r="AQ158" s="783"/>
    </row>
    <row r="159" spans="1:43" s="253" customFormat="1">
      <c r="A159" s="263">
        <f t="shared" si="14"/>
        <v>42429</v>
      </c>
      <c r="B159" s="263" t="s">
        <v>357</v>
      </c>
      <c r="C159" s="277">
        <v>54.584420999999999</v>
      </c>
      <c r="D159" s="277">
        <v>11.307796</v>
      </c>
      <c r="E159" s="277">
        <v>9.3843150000000009</v>
      </c>
      <c r="F159" s="277">
        <v>7.8274869999999996</v>
      </c>
      <c r="G159" s="277">
        <v>10.522028000000001</v>
      </c>
      <c r="H159" s="284">
        <f t="shared" si="10"/>
        <v>15.542794999999998</v>
      </c>
      <c r="I159" s="277">
        <v>44.273296999999999</v>
      </c>
      <c r="J159" s="277">
        <v>9.2045879999999993</v>
      </c>
      <c r="K159" s="277">
        <v>7.722067</v>
      </c>
      <c r="L159" s="277">
        <v>6.383051</v>
      </c>
      <c r="M159" s="277">
        <v>8.3148300000000006</v>
      </c>
      <c r="N159" s="284">
        <f t="shared" si="11"/>
        <v>12.648761</v>
      </c>
      <c r="O159" s="277">
        <v>51.111615999999998</v>
      </c>
      <c r="P159" s="277">
        <v>8.6301050000000004</v>
      </c>
      <c r="Q159" s="277">
        <v>8.3317669999999993</v>
      </c>
      <c r="R159" s="277">
        <v>4.9732380000000003</v>
      </c>
      <c r="S159" s="277">
        <v>10.37838</v>
      </c>
      <c r="T159" s="284">
        <f t="shared" si="12"/>
        <v>18.798125999999996</v>
      </c>
      <c r="U159" s="920">
        <v>11588.832</v>
      </c>
      <c r="V159" s="920">
        <v>1893.9639999999999</v>
      </c>
      <c r="W159" s="920">
        <v>2240.1226666666666</v>
      </c>
      <c r="X159" s="920">
        <v>1655.1973333333333</v>
      </c>
      <c r="Y159" s="920">
        <v>1577.4023333333334</v>
      </c>
      <c r="Z159" s="874">
        <f t="shared" si="13"/>
        <v>4222.1456666666672</v>
      </c>
      <c r="AA159" s="920">
        <v>824.7</v>
      </c>
      <c r="AB159" s="277">
        <v>167.49700000000001</v>
      </c>
      <c r="AC159" s="920">
        <v>135.851</v>
      </c>
      <c r="AD159" s="920">
        <v>104.23399999999999</v>
      </c>
      <c r="AE159" s="920">
        <v>144.33099999999999</v>
      </c>
      <c r="AF159" s="920">
        <v>1020.9</v>
      </c>
      <c r="AG159" s="277">
        <v>177.571</v>
      </c>
      <c r="AH159" s="920">
        <v>182.053</v>
      </c>
      <c r="AI159" s="920">
        <v>108.637</v>
      </c>
      <c r="AJ159" s="920">
        <v>251.26400000000001</v>
      </c>
      <c r="AK159" s="919">
        <f>Data[[#This Row],[Industry Cost ($m)]]/Data[[#This Row],[Industry Consumption]]</f>
        <v>1.2379046926154964</v>
      </c>
      <c r="AL159" s="919">
        <f>Data[[#This Row],[AAL Fuel Cost]]/Data[[#This Row],[AAL Consumption]]</f>
        <v>1.0601443607945216</v>
      </c>
      <c r="AM159" s="919">
        <f>Data[[#This Row],[DAL Fuel Cost]]/Data[[#This Row],[DAL Consumption]]</f>
        <v>1.3400931903335271</v>
      </c>
      <c r="AN159" s="919">
        <f>Data[[#This Row],[UAL Fuel Cost]]/Data[[#This Row],[UALConsumption]]</f>
        <v>1.0422414950975689</v>
      </c>
      <c r="AO159" s="919">
        <f>Data[[#This Row],[LUV Fuel Cost]]/Data[[#This Row],[LUV Consumption]]</f>
        <v>1.7408872660758952</v>
      </c>
      <c r="AP159" s="919">
        <v>0.97299999999999998</v>
      </c>
      <c r="AQ159" s="783"/>
    </row>
    <row r="160" spans="1:43" s="253" customFormat="1">
      <c r="A160" s="263">
        <f t="shared" si="14"/>
        <v>42460</v>
      </c>
      <c r="B160" s="263" t="s">
        <v>357</v>
      </c>
      <c r="C160" s="277">
        <v>63.234119</v>
      </c>
      <c r="D160" s="277">
        <v>12.894677</v>
      </c>
      <c r="E160" s="277">
        <v>11.082316</v>
      </c>
      <c r="F160" s="277">
        <v>9.1875419999999988</v>
      </c>
      <c r="G160" s="277">
        <v>12.456087</v>
      </c>
      <c r="H160" s="284">
        <f t="shared" si="10"/>
        <v>17.613497000000002</v>
      </c>
      <c r="I160" s="277">
        <v>54.084375000000001</v>
      </c>
      <c r="J160" s="277">
        <v>11.038831999999999</v>
      </c>
      <c r="K160" s="277">
        <v>9.64405</v>
      </c>
      <c r="L160" s="277">
        <v>7.8128270000000004</v>
      </c>
      <c r="M160" s="277">
        <v>10.551170000000001</v>
      </c>
      <c r="N160" s="284">
        <f t="shared" si="11"/>
        <v>15.037496000000004</v>
      </c>
      <c r="O160" s="277">
        <v>61.593609999999998</v>
      </c>
      <c r="P160" s="277">
        <v>10.231930999999999</v>
      </c>
      <c r="Q160" s="277">
        <v>10.207834999999999</v>
      </c>
      <c r="R160" s="277">
        <v>5.9237830000000002</v>
      </c>
      <c r="S160" s="277">
        <v>12.862493000000001</v>
      </c>
      <c r="T160" s="284">
        <f t="shared" si="12"/>
        <v>22.367567999999999</v>
      </c>
      <c r="U160" s="920">
        <v>11588.832</v>
      </c>
      <c r="V160" s="920">
        <v>1893.9639999999999</v>
      </c>
      <c r="W160" s="920">
        <v>2240.1226666666666</v>
      </c>
      <c r="X160" s="920">
        <v>1655.1973333333333</v>
      </c>
      <c r="Y160" s="920">
        <v>1577.4023333333334</v>
      </c>
      <c r="Z160" s="874">
        <f t="shared" si="13"/>
        <v>4222.1456666666672</v>
      </c>
      <c r="AA160" s="920">
        <v>943.9</v>
      </c>
      <c r="AB160" s="277">
        <v>183.559</v>
      </c>
      <c r="AC160" s="920">
        <v>158.26900000000001</v>
      </c>
      <c r="AD160" s="920">
        <v>122.31699999999999</v>
      </c>
      <c r="AE160" s="920">
        <v>170.97399999999999</v>
      </c>
      <c r="AF160" s="920">
        <v>1207.9000000000001</v>
      </c>
      <c r="AG160" s="277">
        <v>201.27099999999999</v>
      </c>
      <c r="AH160" s="920">
        <v>218.28899999999999</v>
      </c>
      <c r="AI160" s="920">
        <v>135.86099999999999</v>
      </c>
      <c r="AJ160" s="920">
        <v>281.476</v>
      </c>
      <c r="AK160" s="919">
        <f>Data[[#This Row],[Industry Cost ($m)]]/Data[[#This Row],[Industry Consumption]]</f>
        <v>1.2796906451954657</v>
      </c>
      <c r="AL160" s="919">
        <f>Data[[#This Row],[AAL Fuel Cost]]/Data[[#This Row],[AAL Consumption]]</f>
        <v>1.0964921360434519</v>
      </c>
      <c r="AM160" s="919">
        <f>Data[[#This Row],[DAL Fuel Cost]]/Data[[#This Row],[DAL Consumption]]</f>
        <v>1.3792277704414635</v>
      </c>
      <c r="AN160" s="919">
        <f>Data[[#This Row],[UAL Fuel Cost]]/Data[[#This Row],[UALConsumption]]</f>
        <v>1.1107286803960201</v>
      </c>
      <c r="AO160" s="919">
        <f>Data[[#This Row],[LUV Fuel Cost]]/Data[[#This Row],[LUV Consumption]]</f>
        <v>1.6463087954893727</v>
      </c>
      <c r="AP160" s="919">
        <v>1.069</v>
      </c>
      <c r="AQ160" s="783">
        <f>AVERAGE(AP158:AP160)</f>
        <v>0.9906666666666667</v>
      </c>
    </row>
    <row r="161" spans="1:43" s="253" customFormat="1">
      <c r="A161" s="263">
        <f t="shared" si="14"/>
        <v>42490</v>
      </c>
      <c r="B161" s="263" t="s">
        <v>357</v>
      </c>
      <c r="C161" s="277">
        <v>60.634473999999997</v>
      </c>
      <c r="D161" s="277">
        <v>12.094565000000001</v>
      </c>
      <c r="E161" s="277">
        <v>10.583512000000001</v>
      </c>
      <c r="F161" s="277">
        <v>8.8492859999999993</v>
      </c>
      <c r="G161" s="277">
        <v>12.021456000000001</v>
      </c>
      <c r="H161" s="284">
        <f t="shared" si="10"/>
        <v>17.085654999999996</v>
      </c>
      <c r="I161" s="277">
        <v>51.093246999999998</v>
      </c>
      <c r="J161" s="277">
        <v>10.244532</v>
      </c>
      <c r="K161" s="277">
        <v>9.1413019999999996</v>
      </c>
      <c r="L161" s="277">
        <v>7.4713370000000001</v>
      </c>
      <c r="M161" s="277">
        <v>10.045417</v>
      </c>
      <c r="N161" s="284">
        <f t="shared" si="11"/>
        <v>14.190658999999997</v>
      </c>
      <c r="O161" s="277">
        <v>58.894278</v>
      </c>
      <c r="P161" s="277">
        <v>9.6121409999999994</v>
      </c>
      <c r="Q161" s="277">
        <v>9.8861170000000005</v>
      </c>
      <c r="R161" s="277">
        <v>5.7299280000000001</v>
      </c>
      <c r="S161" s="277">
        <v>12.366059</v>
      </c>
      <c r="T161" s="284">
        <f t="shared" si="12"/>
        <v>21.300032999999999</v>
      </c>
      <c r="U161" s="920">
        <v>12894.336666666668</v>
      </c>
      <c r="V161" s="920">
        <v>2308.5953333333332</v>
      </c>
      <c r="W161" s="920">
        <v>2461.7313333333336</v>
      </c>
      <c r="X161" s="920">
        <v>1906.3466666666666</v>
      </c>
      <c r="Y161" s="920">
        <v>1760.079</v>
      </c>
      <c r="Z161" s="874">
        <f t="shared" si="13"/>
        <v>4457.5843333333341</v>
      </c>
      <c r="AA161" s="920">
        <v>903.4</v>
      </c>
      <c r="AB161" s="277">
        <v>177.708</v>
      </c>
      <c r="AC161" s="920">
        <v>149.30099999999999</v>
      </c>
      <c r="AD161" s="920">
        <v>117.402</v>
      </c>
      <c r="AE161" s="920">
        <v>164.53899999999999</v>
      </c>
      <c r="AF161" s="920">
        <v>1201.3</v>
      </c>
      <c r="AG161" s="277">
        <v>208.34299999999999</v>
      </c>
      <c r="AH161" s="920">
        <v>228.947</v>
      </c>
      <c r="AI161" s="920">
        <v>136.755</v>
      </c>
      <c r="AJ161" s="920">
        <v>260.32600000000002</v>
      </c>
      <c r="AK161" s="919">
        <f>Data[[#This Row],[Industry Cost ($m)]]/Data[[#This Row],[Industry Consumption]]</f>
        <v>1.3297542616781048</v>
      </c>
      <c r="AL161" s="919">
        <f>Data[[#This Row],[AAL Fuel Cost]]/Data[[#This Row],[AAL Consumption]]</f>
        <v>1.1723895378936231</v>
      </c>
      <c r="AM161" s="919">
        <f>Data[[#This Row],[DAL Fuel Cost]]/Data[[#This Row],[DAL Consumption]]</f>
        <v>1.5334592534544311</v>
      </c>
      <c r="AN161" s="919">
        <f>Data[[#This Row],[UAL Fuel Cost]]/Data[[#This Row],[UALConsumption]]</f>
        <v>1.1648438697807533</v>
      </c>
      <c r="AO161" s="919">
        <f>Data[[#This Row],[LUV Fuel Cost]]/Data[[#This Row],[LUV Consumption]]</f>
        <v>1.5821537750928354</v>
      </c>
      <c r="AP161" s="919">
        <v>1.147</v>
      </c>
      <c r="AQ161" s="783"/>
    </row>
    <row r="162" spans="1:43" s="253" customFormat="1">
      <c r="A162" s="263">
        <f t="shared" si="14"/>
        <v>42521</v>
      </c>
      <c r="B162" s="263" t="s">
        <v>357</v>
      </c>
      <c r="C162" s="277">
        <v>63.325415999999997</v>
      </c>
      <c r="D162" s="277">
        <v>12.699221</v>
      </c>
      <c r="E162" s="277">
        <v>11.143941</v>
      </c>
      <c r="F162" s="277">
        <v>9.4623610000000014</v>
      </c>
      <c r="G162" s="277">
        <v>12.236820999999999</v>
      </c>
      <c r="H162" s="284">
        <f t="shared" si="10"/>
        <v>17.783071999999997</v>
      </c>
      <c r="I162" s="277">
        <v>54.489587</v>
      </c>
      <c r="J162" s="277">
        <v>10.933731999999999</v>
      </c>
      <c r="K162" s="277">
        <v>9.7763200000000001</v>
      </c>
      <c r="L162" s="277">
        <v>8.1866070000000004</v>
      </c>
      <c r="M162" s="277">
        <v>10.532532</v>
      </c>
      <c r="N162" s="284">
        <f t="shared" si="11"/>
        <v>15.060395999999997</v>
      </c>
      <c r="O162" s="277">
        <v>62.752723000000003</v>
      </c>
      <c r="P162" s="277">
        <v>10.283822000000001</v>
      </c>
      <c r="Q162" s="277">
        <v>10.702738999999999</v>
      </c>
      <c r="R162" s="277">
        <v>6.2936180000000004</v>
      </c>
      <c r="S162" s="277">
        <v>12.996805999999999</v>
      </c>
      <c r="T162" s="284">
        <f t="shared" si="12"/>
        <v>22.475738</v>
      </c>
      <c r="U162" s="920">
        <v>12894.336666666668</v>
      </c>
      <c r="V162" s="920">
        <v>2308.5953333333332</v>
      </c>
      <c r="W162" s="920">
        <v>2461.7313333333336</v>
      </c>
      <c r="X162" s="920">
        <v>1906.3466666666666</v>
      </c>
      <c r="Y162" s="920">
        <v>1760.079</v>
      </c>
      <c r="Z162" s="874">
        <f t="shared" si="13"/>
        <v>4457.5843333333341</v>
      </c>
      <c r="AA162" s="920">
        <v>950.5</v>
      </c>
      <c r="AB162" s="277">
        <v>188.173</v>
      </c>
      <c r="AC162" s="920">
        <v>166.393</v>
      </c>
      <c r="AD162" s="920">
        <v>128.09</v>
      </c>
      <c r="AE162" s="920">
        <v>168.52099999999999</v>
      </c>
      <c r="AF162" s="920">
        <v>1359.4</v>
      </c>
      <c r="AG162" s="277">
        <v>240.80600000000001</v>
      </c>
      <c r="AH162" s="920">
        <v>250.66800000000001</v>
      </c>
      <c r="AI162" s="920">
        <v>166.74799999999999</v>
      </c>
      <c r="AJ162" s="920">
        <v>282.7</v>
      </c>
      <c r="AK162" s="919">
        <f>Data[[#This Row],[Industry Cost ($m)]]/Data[[#This Row],[Industry Consumption]]</f>
        <v>1.4301946344029459</v>
      </c>
      <c r="AL162" s="919">
        <f>Data[[#This Row],[AAL Fuel Cost]]/Data[[#This Row],[AAL Consumption]]</f>
        <v>1.279705377498366</v>
      </c>
      <c r="AM162" s="919">
        <f>Data[[#This Row],[DAL Fuel Cost]]/Data[[#This Row],[DAL Consumption]]</f>
        <v>1.5064816428575722</v>
      </c>
      <c r="AN162" s="919">
        <f>Data[[#This Row],[UAL Fuel Cost]]/Data[[#This Row],[UALConsumption]]</f>
        <v>1.3018034194706847</v>
      </c>
      <c r="AO162" s="919">
        <f>Data[[#This Row],[LUV Fuel Cost]]/Data[[#This Row],[LUV Consumption]]</f>
        <v>1.677535737385845</v>
      </c>
      <c r="AP162" s="919">
        <v>1.2989999999999999</v>
      </c>
      <c r="AQ162" s="783"/>
    </row>
    <row r="163" spans="1:43" s="253" customFormat="1">
      <c r="A163" s="263">
        <f t="shared" si="14"/>
        <v>42551</v>
      </c>
      <c r="B163" s="263" t="s">
        <v>357</v>
      </c>
      <c r="C163" s="277">
        <v>65.522751999999997</v>
      </c>
      <c r="D163" s="277">
        <v>13.337906</v>
      </c>
      <c r="E163" s="277">
        <v>11.516309</v>
      </c>
      <c r="F163" s="277">
        <v>9.7830769999999987</v>
      </c>
      <c r="G163" s="277">
        <v>12.714881999999999</v>
      </c>
      <c r="H163" s="284">
        <f t="shared" si="10"/>
        <v>18.170577999999992</v>
      </c>
      <c r="I163" s="277">
        <v>57.560003999999999</v>
      </c>
      <c r="J163" s="277">
        <v>11.763266</v>
      </c>
      <c r="K163" s="277">
        <v>10.207591000000001</v>
      </c>
      <c r="L163" s="277">
        <v>8.7531639999999999</v>
      </c>
      <c r="M163" s="277">
        <v>11.109937</v>
      </c>
      <c r="N163" s="284">
        <f t="shared" si="11"/>
        <v>15.726045999999997</v>
      </c>
      <c r="O163" s="277">
        <v>64.757942999999997</v>
      </c>
      <c r="P163" s="277">
        <v>10.576237000000001</v>
      </c>
      <c r="Q163" s="277">
        <v>10.801557000000001</v>
      </c>
      <c r="R163" s="277">
        <v>6.5921849999999997</v>
      </c>
      <c r="S163" s="277">
        <v>13.333765</v>
      </c>
      <c r="T163" s="284">
        <f t="shared" si="12"/>
        <v>23.454198999999996</v>
      </c>
      <c r="U163" s="920">
        <v>12894.336666666668</v>
      </c>
      <c r="V163" s="920">
        <v>2308.5953333333332</v>
      </c>
      <c r="W163" s="920">
        <v>2461.7313333333336</v>
      </c>
      <c r="X163" s="920">
        <v>1906.3466666666666</v>
      </c>
      <c r="Y163" s="920">
        <v>1760.079</v>
      </c>
      <c r="Z163" s="874">
        <f t="shared" si="13"/>
        <v>4457.5843333333341</v>
      </c>
      <c r="AA163" s="920">
        <v>992.2</v>
      </c>
      <c r="AB163" s="277">
        <v>197.90700000000001</v>
      </c>
      <c r="AC163" s="920">
        <v>172.351</v>
      </c>
      <c r="AD163" s="920">
        <v>133.303</v>
      </c>
      <c r="AE163" s="920">
        <v>175.18899999999999</v>
      </c>
      <c r="AF163" s="920">
        <v>1778.7</v>
      </c>
      <c r="AG163" s="277">
        <v>275.327</v>
      </c>
      <c r="AH163" s="920">
        <v>529.202</v>
      </c>
      <c r="AI163" s="920">
        <v>189.38499999999999</v>
      </c>
      <c r="AJ163" s="920">
        <v>307.07600000000002</v>
      </c>
      <c r="AK163" s="919">
        <f>Data[[#This Row],[Industry Cost ($m)]]/Data[[#This Row],[Industry Consumption]]</f>
        <v>1.7926829268292683</v>
      </c>
      <c r="AL163" s="919">
        <f>Data[[#This Row],[AAL Fuel Cost]]/Data[[#This Row],[AAL Consumption]]</f>
        <v>1.3911938435729914</v>
      </c>
      <c r="AM163" s="919">
        <f>Data[[#This Row],[DAL Fuel Cost]]/Data[[#This Row],[DAL Consumption]]</f>
        <v>3.0704898724115322</v>
      </c>
      <c r="AN163" s="919">
        <f>Data[[#This Row],[UAL Fuel Cost]]/Data[[#This Row],[UALConsumption]]</f>
        <v>1.4207107116869087</v>
      </c>
      <c r="AO163" s="919">
        <f>Data[[#This Row],[LUV Fuel Cost]]/Data[[#This Row],[LUV Consumption]]</f>
        <v>1.752826946897351</v>
      </c>
      <c r="AP163" s="919">
        <v>1.3819999999999999</v>
      </c>
      <c r="AQ163" s="783">
        <f>AVERAGE(AP161:AP163)</f>
        <v>1.2759999999999998</v>
      </c>
    </row>
    <row r="164" spans="1:43" s="253" customFormat="1">
      <c r="A164" s="263">
        <f t="shared" si="14"/>
        <v>42582</v>
      </c>
      <c r="B164" s="263" t="s">
        <v>357</v>
      </c>
      <c r="C164" s="277">
        <v>68.217600000000004</v>
      </c>
      <c r="D164" s="277">
        <v>13.748059</v>
      </c>
      <c r="E164" s="277">
        <v>12.195664000000001</v>
      </c>
      <c r="F164" s="277">
        <v>10.230414000000001</v>
      </c>
      <c r="G164" s="277">
        <v>12.958264999999999</v>
      </c>
      <c r="H164" s="284">
        <f t="shared" si="10"/>
        <v>19.085198000000005</v>
      </c>
      <c r="I164" s="277">
        <v>59.611300999999997</v>
      </c>
      <c r="J164" s="277">
        <v>12.008604</v>
      </c>
      <c r="K164" s="277">
        <v>10.648388000000001</v>
      </c>
      <c r="L164" s="277">
        <v>9.0922879999999999</v>
      </c>
      <c r="M164" s="277">
        <v>11.242391</v>
      </c>
      <c r="N164" s="284">
        <f t="shared" si="11"/>
        <v>16.619629999999994</v>
      </c>
      <c r="O164" s="277">
        <v>66.135126</v>
      </c>
      <c r="P164" s="277">
        <v>10.707983</v>
      </c>
      <c r="Q164" s="277">
        <v>10.934957000000001</v>
      </c>
      <c r="R164" s="277">
        <v>6.767029</v>
      </c>
      <c r="S164" s="277">
        <v>13.307475999999999</v>
      </c>
      <c r="T164" s="284">
        <f t="shared" si="12"/>
        <v>24.417680999999995</v>
      </c>
      <c r="U164" s="920">
        <v>13089.206</v>
      </c>
      <c r="V164" s="920">
        <v>2484.6569999999997</v>
      </c>
      <c r="W164" s="920">
        <v>2379.0136666666667</v>
      </c>
      <c r="X164" s="920">
        <v>1972.9033333333334</v>
      </c>
      <c r="Y164" s="920">
        <v>1682.018</v>
      </c>
      <c r="Z164" s="874">
        <f t="shared" si="13"/>
        <v>4570.6139999999996</v>
      </c>
      <c r="AA164" s="920">
        <v>1027.5999999999999</v>
      </c>
      <c r="AB164" s="277">
        <v>204.63499999999999</v>
      </c>
      <c r="AC164" s="920">
        <v>183.23500000000001</v>
      </c>
      <c r="AD164" s="920">
        <v>139.41999999999999</v>
      </c>
      <c r="AE164" s="920">
        <v>179.33799999999999</v>
      </c>
      <c r="AF164" s="920">
        <v>1540.6</v>
      </c>
      <c r="AG164" s="277">
        <v>282.00599999999997</v>
      </c>
      <c r="AH164" s="920">
        <v>270.47699999999998</v>
      </c>
      <c r="AI164" s="920">
        <v>195.54300000000001</v>
      </c>
      <c r="AJ164" s="920">
        <v>315.13499999999999</v>
      </c>
      <c r="AK164" s="919">
        <f>Data[[#This Row],[Industry Cost ($m)]]/Data[[#This Row],[Industry Consumption]]</f>
        <v>1.4992214869599065</v>
      </c>
      <c r="AL164" s="919">
        <f>Data[[#This Row],[AAL Fuel Cost]]/Data[[#This Row],[AAL Consumption]]</f>
        <v>1.3780927016395044</v>
      </c>
      <c r="AM164" s="919">
        <f>Data[[#This Row],[DAL Fuel Cost]]/Data[[#This Row],[DAL Consumption]]</f>
        <v>1.4761208284443472</v>
      </c>
      <c r="AN164" s="919">
        <f>Data[[#This Row],[UAL Fuel Cost]]/Data[[#This Row],[UALConsumption]]</f>
        <v>1.4025462630899441</v>
      </c>
      <c r="AO164" s="919">
        <f>Data[[#This Row],[LUV Fuel Cost]]/Data[[#This Row],[LUV Consumption]]</f>
        <v>1.7572126375893564</v>
      </c>
      <c r="AP164" s="919">
        <v>1.272</v>
      </c>
      <c r="AQ164" s="783"/>
    </row>
    <row r="165" spans="1:43" s="253" customFormat="1">
      <c r="A165" s="263">
        <f t="shared" si="14"/>
        <v>42613</v>
      </c>
      <c r="B165" s="263" t="s">
        <v>357</v>
      </c>
      <c r="C165" s="277">
        <v>66.647541000000004</v>
      </c>
      <c r="D165" s="277">
        <v>13.197741000000001</v>
      </c>
      <c r="E165" s="277">
        <v>11.968706000000001</v>
      </c>
      <c r="F165" s="277">
        <v>10.311843000000001</v>
      </c>
      <c r="G165" s="277">
        <v>12.324002</v>
      </c>
      <c r="H165" s="284">
        <f t="shared" si="10"/>
        <v>18.845249000000003</v>
      </c>
      <c r="I165" s="277">
        <v>56.605963000000003</v>
      </c>
      <c r="J165" s="277">
        <v>11.189609000000001</v>
      </c>
      <c r="K165" s="277">
        <v>10.081262000000001</v>
      </c>
      <c r="L165" s="277">
        <v>8.9310010000000002</v>
      </c>
      <c r="M165" s="277">
        <v>10.423658</v>
      </c>
      <c r="N165" s="284">
        <f t="shared" si="11"/>
        <v>15.980433000000005</v>
      </c>
      <c r="O165" s="277">
        <v>63.498615000000001</v>
      </c>
      <c r="P165" s="277">
        <v>10.094479</v>
      </c>
      <c r="Q165" s="277">
        <v>10.332267</v>
      </c>
      <c r="R165" s="277">
        <v>6.788195</v>
      </c>
      <c r="S165" s="277">
        <v>12.69</v>
      </c>
      <c r="T165" s="284">
        <f t="shared" si="12"/>
        <v>23.593674</v>
      </c>
      <c r="U165" s="920">
        <v>13089.206</v>
      </c>
      <c r="V165" s="920">
        <v>2484.6569999999997</v>
      </c>
      <c r="W165" s="920">
        <v>2379.0136666666667</v>
      </c>
      <c r="X165" s="920">
        <v>1972.9033333333334</v>
      </c>
      <c r="Y165" s="920">
        <v>1682.018</v>
      </c>
      <c r="Z165" s="874">
        <f t="shared" si="13"/>
        <v>4570.6139999999996</v>
      </c>
      <c r="AA165" s="920">
        <v>1006.7</v>
      </c>
      <c r="AB165" s="277">
        <v>196.114</v>
      </c>
      <c r="AC165" s="920">
        <v>178.32300000000001</v>
      </c>
      <c r="AD165" s="920">
        <v>141.03100000000001</v>
      </c>
      <c r="AE165" s="920">
        <v>170.50200000000001</v>
      </c>
      <c r="AF165" s="920">
        <v>1450.8</v>
      </c>
      <c r="AG165" s="277">
        <v>249.131</v>
      </c>
      <c r="AH165" s="920">
        <v>274.51</v>
      </c>
      <c r="AI165" s="920">
        <v>186.83199999999999</v>
      </c>
      <c r="AJ165" s="920">
        <v>293.33499999999998</v>
      </c>
      <c r="AK165" s="919">
        <f>Data[[#This Row],[Industry Cost ($m)]]/Data[[#This Row],[Industry Consumption]]</f>
        <v>1.4411443329691069</v>
      </c>
      <c r="AL165" s="919">
        <f>Data[[#This Row],[AAL Fuel Cost]]/Data[[#This Row],[AAL Consumption]]</f>
        <v>1.2703376607483403</v>
      </c>
      <c r="AM165" s="919">
        <f>Data[[#This Row],[DAL Fuel Cost]]/Data[[#This Row],[DAL Consumption]]</f>
        <v>1.5393976099549693</v>
      </c>
      <c r="AN165" s="919">
        <f>Data[[#This Row],[UAL Fuel Cost]]/Data[[#This Row],[UALConsumption]]</f>
        <v>1.324758386454042</v>
      </c>
      <c r="AO165" s="919">
        <f>Data[[#This Row],[LUV Fuel Cost]]/Data[[#This Row],[LUV Consumption]]</f>
        <v>1.7204197018216794</v>
      </c>
      <c r="AP165" s="919">
        <v>1.2949999999999999</v>
      </c>
      <c r="AQ165" s="783"/>
    </row>
    <row r="166" spans="1:43" s="253" customFormat="1">
      <c r="A166" s="263">
        <f t="shared" si="14"/>
        <v>42643</v>
      </c>
      <c r="B166" s="263" t="s">
        <v>357</v>
      </c>
      <c r="C166" s="277">
        <v>59.465854</v>
      </c>
      <c r="D166" s="277">
        <v>11.514602</v>
      </c>
      <c r="E166" s="277">
        <v>10.245825</v>
      </c>
      <c r="F166" s="277">
        <v>9.3869919999999993</v>
      </c>
      <c r="G166" s="277">
        <v>11.509627</v>
      </c>
      <c r="H166" s="284">
        <f t="shared" si="10"/>
        <v>16.808807999999999</v>
      </c>
      <c r="I166" s="277">
        <v>50.225549000000001</v>
      </c>
      <c r="J166" s="277">
        <v>9.7603209999999994</v>
      </c>
      <c r="K166" s="277">
        <v>8.8403919999999996</v>
      </c>
      <c r="L166" s="277">
        <v>7.9784819999999996</v>
      </c>
      <c r="M166" s="277">
        <v>9.7331810000000001</v>
      </c>
      <c r="N166" s="284">
        <f t="shared" si="11"/>
        <v>13.913173</v>
      </c>
      <c r="O166" s="277">
        <v>58.620581000000001</v>
      </c>
      <c r="P166" s="277">
        <v>9.2130050000000008</v>
      </c>
      <c r="Q166" s="277">
        <v>9.7123229999999996</v>
      </c>
      <c r="R166" s="277">
        <v>6.3374829999999998</v>
      </c>
      <c r="S166" s="277">
        <v>12.132315</v>
      </c>
      <c r="T166" s="284">
        <f t="shared" si="12"/>
        <v>21.225455000000004</v>
      </c>
      <c r="U166" s="920">
        <v>13089.206</v>
      </c>
      <c r="V166" s="920">
        <v>2484.6569999999997</v>
      </c>
      <c r="W166" s="920">
        <v>2379.0136666666667</v>
      </c>
      <c r="X166" s="920">
        <v>1972.9033333333334</v>
      </c>
      <c r="Y166" s="920">
        <v>1682.018</v>
      </c>
      <c r="Z166" s="874">
        <f t="shared" si="13"/>
        <v>4570.6139999999996</v>
      </c>
      <c r="AA166" s="920">
        <v>897.3</v>
      </c>
      <c r="AB166" s="277">
        <v>170.339</v>
      </c>
      <c r="AC166" s="920">
        <v>154.74199999999999</v>
      </c>
      <c r="AD166" s="920">
        <v>128.04</v>
      </c>
      <c r="AE166" s="920">
        <v>158.61799999999999</v>
      </c>
      <c r="AF166" s="920">
        <v>1327.9</v>
      </c>
      <c r="AG166" s="277">
        <v>234.90100000000001</v>
      </c>
      <c r="AH166" s="920">
        <v>219.94</v>
      </c>
      <c r="AI166" s="920">
        <v>176.34100000000001</v>
      </c>
      <c r="AJ166" s="920">
        <v>281.33499999999998</v>
      </c>
      <c r="AK166" s="919">
        <f>Data[[#This Row],[Industry Cost ($m)]]/Data[[#This Row],[Industry Consumption]]</f>
        <v>1.4798840967346485</v>
      </c>
      <c r="AL166" s="919">
        <f>Data[[#This Row],[AAL Fuel Cost]]/Data[[#This Row],[AAL Consumption]]</f>
        <v>1.3790206588039147</v>
      </c>
      <c r="AM166" s="919">
        <f>Data[[#This Row],[DAL Fuel Cost]]/Data[[#This Row],[DAL Consumption]]</f>
        <v>1.4213335745951325</v>
      </c>
      <c r="AN166" s="919">
        <f>Data[[#This Row],[UAL Fuel Cost]]/Data[[#This Row],[UALConsumption]]</f>
        <v>1.3772336769759452</v>
      </c>
      <c r="AO166" s="919">
        <f>Data[[#This Row],[LUV Fuel Cost]]/Data[[#This Row],[LUV Consumption]]</f>
        <v>1.7736637708204617</v>
      </c>
      <c r="AP166" s="919">
        <v>1.319</v>
      </c>
      <c r="AQ166" s="783">
        <f>AVERAGE(AP164:AP166)</f>
        <v>1.2953333333333334</v>
      </c>
    </row>
    <row r="167" spans="1:43" s="253" customFormat="1">
      <c r="A167" s="263">
        <f t="shared" si="14"/>
        <v>42674</v>
      </c>
      <c r="B167" s="263" t="s">
        <v>357</v>
      </c>
      <c r="C167" s="277">
        <v>61.709940000000003</v>
      </c>
      <c r="D167" s="277">
        <v>11.966559999999999</v>
      </c>
      <c r="E167" s="277">
        <v>10.603987</v>
      </c>
      <c r="F167" s="277">
        <v>9.7709720000000004</v>
      </c>
      <c r="G167" s="277">
        <v>11.931398999999999</v>
      </c>
      <c r="H167" s="284">
        <f t="shared" si="10"/>
        <v>17.437022000000006</v>
      </c>
      <c r="I167" s="277">
        <v>52.849283</v>
      </c>
      <c r="J167" s="277">
        <v>10.254956</v>
      </c>
      <c r="K167" s="277">
        <v>9.3462110000000003</v>
      </c>
      <c r="L167" s="277">
        <v>8.39222</v>
      </c>
      <c r="M167" s="277">
        <v>10.245380000000001</v>
      </c>
      <c r="N167" s="284">
        <f t="shared" si="11"/>
        <v>14.610516000000004</v>
      </c>
      <c r="O167" s="277">
        <v>61.709420999999999</v>
      </c>
      <c r="P167" s="277">
        <v>9.6692429999999998</v>
      </c>
      <c r="Q167" s="277">
        <v>10.384814</v>
      </c>
      <c r="R167" s="277">
        <v>6.7901210000000001</v>
      </c>
      <c r="S167" s="277">
        <v>12.821619</v>
      </c>
      <c r="T167" s="284">
        <f t="shared" si="12"/>
        <v>22.043624000000001</v>
      </c>
      <c r="U167" s="920">
        <v>12796.734666666665</v>
      </c>
      <c r="V167" s="920">
        <v>2353.8086666666668</v>
      </c>
      <c r="W167" s="920">
        <v>2321.23</v>
      </c>
      <c r="X167" s="920">
        <v>1866.11</v>
      </c>
      <c r="Y167" s="920">
        <v>1661.2670000000001</v>
      </c>
      <c r="Z167" s="874">
        <f t="shared" si="13"/>
        <v>4594.3189999999977</v>
      </c>
      <c r="AA167" s="920">
        <v>919.7</v>
      </c>
      <c r="AB167" s="277">
        <v>174.99199999999999</v>
      </c>
      <c r="AC167" s="920">
        <v>160.47</v>
      </c>
      <c r="AD167" s="920">
        <v>132.23400000000001</v>
      </c>
      <c r="AE167" s="920">
        <v>163.4</v>
      </c>
      <c r="AF167" s="920">
        <v>1459.8</v>
      </c>
      <c r="AG167" s="277">
        <v>249.38</v>
      </c>
      <c r="AH167" s="920">
        <v>273.93200000000002</v>
      </c>
      <c r="AI167" s="920">
        <v>193.065</v>
      </c>
      <c r="AJ167" s="920">
        <v>298.03699999999998</v>
      </c>
      <c r="AK167" s="919">
        <f>Data[[#This Row],[Industry Cost ($m)]]/Data[[#This Row],[Industry Consumption]]</f>
        <v>1.5872567141459171</v>
      </c>
      <c r="AL167" s="919">
        <f>Data[[#This Row],[AAL Fuel Cost]]/Data[[#This Row],[AAL Consumption]]</f>
        <v>1.4250937185699919</v>
      </c>
      <c r="AM167" s="919">
        <f>Data[[#This Row],[DAL Fuel Cost]]/Data[[#This Row],[DAL Consumption]]</f>
        <v>1.7070605097526019</v>
      </c>
      <c r="AN167" s="919">
        <f>Data[[#This Row],[UAL Fuel Cost]]/Data[[#This Row],[UALConsumption]]</f>
        <v>1.4600254095013385</v>
      </c>
      <c r="AO167" s="919">
        <f>Data[[#This Row],[LUV Fuel Cost]]/Data[[#This Row],[LUV Consumption]]</f>
        <v>1.8239718482252141</v>
      </c>
      <c r="AP167" s="919">
        <v>1.4570000000000001</v>
      </c>
      <c r="AQ167" s="783"/>
    </row>
    <row r="168" spans="1:43" s="253" customFormat="1">
      <c r="A168" s="263">
        <f t="shared" si="14"/>
        <v>42704</v>
      </c>
      <c r="B168" s="263" t="s">
        <v>357</v>
      </c>
      <c r="C168" s="277">
        <v>59.870435000000001</v>
      </c>
      <c r="D168" s="277">
        <v>11.625958000000001</v>
      </c>
      <c r="E168" s="277">
        <v>10.037897000000001</v>
      </c>
      <c r="F168" s="277">
        <v>9.0578510000000012</v>
      </c>
      <c r="G168" s="277">
        <v>11.919554</v>
      </c>
      <c r="H168" s="284">
        <f t="shared" si="10"/>
        <v>17.229174999999998</v>
      </c>
      <c r="I168" s="277">
        <v>50.878734000000001</v>
      </c>
      <c r="J168" s="277">
        <v>9.7748530000000002</v>
      </c>
      <c r="K168" s="277">
        <v>8.8477099999999993</v>
      </c>
      <c r="L168" s="277">
        <v>7.7229289999999997</v>
      </c>
      <c r="M168" s="277">
        <v>10.157213</v>
      </c>
      <c r="N168" s="284">
        <f t="shared" si="11"/>
        <v>14.376029000000003</v>
      </c>
      <c r="O168" s="277">
        <v>59.269837000000003</v>
      </c>
      <c r="P168" s="277">
        <v>9.2285419999999991</v>
      </c>
      <c r="Q168" s="277">
        <v>9.8584080000000007</v>
      </c>
      <c r="R168" s="277">
        <v>6.297085</v>
      </c>
      <c r="S168" s="277">
        <v>12.689306999999999</v>
      </c>
      <c r="T168" s="284">
        <f t="shared" si="12"/>
        <v>21.196495000000006</v>
      </c>
      <c r="U168" s="920">
        <v>12796.734666666665</v>
      </c>
      <c r="V168" s="920">
        <v>2353.8086666666668</v>
      </c>
      <c r="W168" s="920">
        <v>2321.23</v>
      </c>
      <c r="X168" s="920">
        <v>1866.11</v>
      </c>
      <c r="Y168" s="920">
        <v>1661.2670000000001</v>
      </c>
      <c r="Z168" s="874">
        <f t="shared" si="13"/>
        <v>4594.3189999999977</v>
      </c>
      <c r="AA168" s="920">
        <v>886</v>
      </c>
      <c r="AB168" s="277">
        <v>169.179</v>
      </c>
      <c r="AC168" s="920">
        <v>152.35599999999999</v>
      </c>
      <c r="AD168" s="920">
        <v>120.544</v>
      </c>
      <c r="AE168" s="920">
        <v>162.637</v>
      </c>
      <c r="AF168" s="920">
        <v>1286.4000000000001</v>
      </c>
      <c r="AG168" s="277">
        <v>240.79300000000001</v>
      </c>
      <c r="AH168" s="920">
        <v>237.90899999999999</v>
      </c>
      <c r="AI168" s="920">
        <v>172.15600000000001</v>
      </c>
      <c r="AJ168" s="920">
        <v>295.93400000000003</v>
      </c>
      <c r="AK168" s="919">
        <f>Data[[#This Row],[Industry Cost ($m)]]/Data[[#This Row],[Industry Consumption]]</f>
        <v>1.4519187358916479</v>
      </c>
      <c r="AL168" s="919">
        <f>Data[[#This Row],[AAL Fuel Cost]]/Data[[#This Row],[AAL Consumption]]</f>
        <v>1.4233031286388973</v>
      </c>
      <c r="AM168" s="919">
        <f>Data[[#This Row],[DAL Fuel Cost]]/Data[[#This Row],[DAL Consumption]]</f>
        <v>1.5615335136128541</v>
      </c>
      <c r="AN168" s="919">
        <f>Data[[#This Row],[UAL Fuel Cost]]/Data[[#This Row],[UALConsumption]]</f>
        <v>1.428159012476772</v>
      </c>
      <c r="AO168" s="919">
        <f>Data[[#This Row],[LUV Fuel Cost]]/Data[[#This Row],[LUV Consumption]]</f>
        <v>1.8195982464014955</v>
      </c>
      <c r="AP168" s="919">
        <v>1.3560000000000001</v>
      </c>
      <c r="AQ168" s="783"/>
    </row>
    <row r="169" spans="1:43" s="253" customFormat="1">
      <c r="A169" s="263">
        <f t="shared" si="14"/>
        <v>42735</v>
      </c>
      <c r="B169" s="263" t="s">
        <v>357</v>
      </c>
      <c r="C169" s="277">
        <v>62.627817999999998</v>
      </c>
      <c r="D169" s="277">
        <v>12.339582</v>
      </c>
      <c r="E169" s="277">
        <v>10.377364</v>
      </c>
      <c r="F169" s="277">
        <v>9.5926669999999987</v>
      </c>
      <c r="G169" s="277">
        <v>12.1914</v>
      </c>
      <c r="H169" s="284">
        <f t="shared" si="10"/>
        <v>18.126804999999997</v>
      </c>
      <c r="I169" s="277">
        <v>52.401528999999996</v>
      </c>
      <c r="J169" s="277">
        <v>10.191708</v>
      </c>
      <c r="K169" s="277">
        <v>9.0161909999999992</v>
      </c>
      <c r="L169" s="277">
        <v>8.1538229999999992</v>
      </c>
      <c r="M169" s="277">
        <v>10.083869999999999</v>
      </c>
      <c r="N169" s="284">
        <f t="shared" si="11"/>
        <v>14.955936999999999</v>
      </c>
      <c r="O169" s="277">
        <v>59.178832999999997</v>
      </c>
      <c r="P169" s="277">
        <v>9.3347610000000003</v>
      </c>
      <c r="Q169" s="277">
        <v>9.3730770000000003</v>
      </c>
      <c r="R169" s="277">
        <v>6.2320289999999998</v>
      </c>
      <c r="S169" s="277">
        <v>12.547224999999999</v>
      </c>
      <c r="T169" s="284">
        <f t="shared" si="12"/>
        <v>21.691740999999993</v>
      </c>
      <c r="U169" s="920">
        <v>12796.734666666665</v>
      </c>
      <c r="V169" s="920">
        <v>2353.8086666666668</v>
      </c>
      <c r="W169" s="920">
        <v>2321.23</v>
      </c>
      <c r="X169" s="920">
        <v>1866.11</v>
      </c>
      <c r="Y169" s="920">
        <v>1661.2670000000001</v>
      </c>
      <c r="Z169" s="874">
        <f t="shared" si="13"/>
        <v>4594.3189999999977</v>
      </c>
      <c r="AA169" s="920">
        <v>959.6</v>
      </c>
      <c r="AB169" s="277">
        <v>180.93</v>
      </c>
      <c r="AC169" s="920">
        <v>158.94</v>
      </c>
      <c r="AD169" s="920">
        <v>128.34899999999999</v>
      </c>
      <c r="AE169" s="920">
        <v>168.67099999999999</v>
      </c>
      <c r="AF169" s="920">
        <v>1543.1</v>
      </c>
      <c r="AG169" s="277">
        <v>270.26400000000001</v>
      </c>
      <c r="AH169" s="920">
        <v>258.75700000000001</v>
      </c>
      <c r="AI169" s="920">
        <v>192.69</v>
      </c>
      <c r="AJ169" s="920">
        <v>309.41399999999999</v>
      </c>
      <c r="AK169" s="919">
        <f>Data[[#This Row],[Industry Cost ($m)]]/Data[[#This Row],[Industry Consumption]]</f>
        <v>1.6080658607753229</v>
      </c>
      <c r="AL169" s="919">
        <f>Data[[#This Row],[AAL Fuel Cost]]/Data[[#This Row],[AAL Consumption]]</f>
        <v>1.493748963687614</v>
      </c>
      <c r="AM169" s="919">
        <f>Data[[#This Row],[DAL Fuel Cost]]/Data[[#This Row],[DAL Consumption]]</f>
        <v>1.6280168617088211</v>
      </c>
      <c r="AN169" s="919">
        <f>Data[[#This Row],[UAL Fuel Cost]]/Data[[#This Row],[UALConsumption]]</f>
        <v>1.5012972442325223</v>
      </c>
      <c r="AO169" s="919">
        <f>Data[[#This Row],[LUV Fuel Cost]]/Data[[#This Row],[LUV Consumption]]</f>
        <v>1.8344232262807478</v>
      </c>
      <c r="AP169" s="919">
        <v>1.4910000000000001</v>
      </c>
      <c r="AQ169" s="783">
        <f>AVERAGE(AP167:AP169)</f>
        <v>1.4346666666666668</v>
      </c>
    </row>
    <row r="170" spans="1:43" s="253" customFormat="1">
      <c r="A170" s="263">
        <f t="shared" si="14"/>
        <v>42766</v>
      </c>
      <c r="B170" s="263" t="s">
        <v>357</v>
      </c>
      <c r="C170" s="277">
        <v>60.357404000000002</v>
      </c>
      <c r="D170" s="277">
        <v>11.906091</v>
      </c>
      <c r="E170" s="277">
        <v>9.9139159999999986</v>
      </c>
      <c r="F170" s="277">
        <v>8.586939000000001</v>
      </c>
      <c r="G170" s="277">
        <v>11.799123</v>
      </c>
      <c r="H170" s="284">
        <f t="shared" si="10"/>
        <v>18.151335000000003</v>
      </c>
      <c r="I170" s="277">
        <v>48.118098000000003</v>
      </c>
      <c r="J170" s="277">
        <v>9.5500019999999992</v>
      </c>
      <c r="K170" s="277">
        <v>8.1958219999999997</v>
      </c>
      <c r="L170" s="277">
        <v>7.1170489999999997</v>
      </c>
      <c r="M170" s="277">
        <v>9.0072050000000008</v>
      </c>
      <c r="N170" s="284">
        <f t="shared" si="11"/>
        <v>14.248020000000004</v>
      </c>
      <c r="O170" s="277">
        <v>54.109329000000002</v>
      </c>
      <c r="P170" s="277">
        <v>8.8507289999999994</v>
      </c>
      <c r="Q170" s="277">
        <v>8.5262180000000001</v>
      </c>
      <c r="R170" s="277">
        <v>5.5778980000000002</v>
      </c>
      <c r="S170" s="277">
        <v>11.037315</v>
      </c>
      <c r="T170" s="284">
        <f t="shared" si="12"/>
        <v>20.117169000000004</v>
      </c>
      <c r="U170" s="920">
        <v>12328.190333333334</v>
      </c>
      <c r="V170" s="920">
        <v>2312.9313333333334</v>
      </c>
      <c r="W170" s="920">
        <v>2233.9780000000001</v>
      </c>
      <c r="X170" s="920">
        <v>1707.5780000000002</v>
      </c>
      <c r="Y170" s="920">
        <v>1593.2136666666665</v>
      </c>
      <c r="Z170" s="874">
        <f t="shared" si="13"/>
        <v>4480.4893333333339</v>
      </c>
      <c r="AA170" s="920">
        <v>882.4</v>
      </c>
      <c r="AB170" s="277">
        <v>173.46899999999999</v>
      </c>
      <c r="AC170" s="920">
        <v>150.47300000000001</v>
      </c>
      <c r="AD170" s="920">
        <v>114.13500000000001</v>
      </c>
      <c r="AE170" s="920">
        <v>162.137</v>
      </c>
      <c r="AF170" s="920">
        <v>1451.9</v>
      </c>
      <c r="AG170" s="277">
        <v>266.03399999999999</v>
      </c>
      <c r="AH170" s="920">
        <v>250.41800000000001</v>
      </c>
      <c r="AI170" s="920">
        <v>181.09100000000001</v>
      </c>
      <c r="AJ170" s="920">
        <v>288.11399999999998</v>
      </c>
      <c r="AK170" s="919">
        <f>Data[[#This Row],[Industry Cost ($m)]]/Data[[#This Row],[Industry Consumption]]</f>
        <v>1.6453989120580237</v>
      </c>
      <c r="AL170" s="919">
        <f>Data[[#This Row],[AAL Fuel Cost]]/Data[[#This Row],[AAL Consumption]]</f>
        <v>1.5336111927779603</v>
      </c>
      <c r="AM170" s="919">
        <f>Data[[#This Row],[DAL Fuel Cost]]/Data[[#This Row],[DAL Consumption]]</f>
        <v>1.6642055385351524</v>
      </c>
      <c r="AN170" s="919">
        <f>Data[[#This Row],[UAL Fuel Cost]]/Data[[#This Row],[UALConsumption]]</f>
        <v>1.5866386296929076</v>
      </c>
      <c r="AO170" s="919">
        <f>Data[[#This Row],[LUV Fuel Cost]]/Data[[#This Row],[LUV Consumption]]</f>
        <v>1.7769787278659404</v>
      </c>
      <c r="AP170" s="919">
        <v>1.514</v>
      </c>
      <c r="AQ170" s="783"/>
    </row>
    <row r="171" spans="1:43" s="253" customFormat="1">
      <c r="A171" s="263">
        <f t="shared" si="14"/>
        <v>42794</v>
      </c>
      <c r="B171" s="263" t="s">
        <v>357</v>
      </c>
      <c r="C171" s="277">
        <v>55.009656999999997</v>
      </c>
      <c r="D171" s="277">
        <v>10.817748</v>
      </c>
      <c r="E171" s="277">
        <v>9.2373840000000005</v>
      </c>
      <c r="F171" s="277">
        <v>7.948169</v>
      </c>
      <c r="G171" s="277">
        <v>10.561828</v>
      </c>
      <c r="H171" s="284">
        <f t="shared" si="10"/>
        <v>16.444527999999998</v>
      </c>
      <c r="I171" s="277">
        <v>44.641537999999997</v>
      </c>
      <c r="J171" s="277">
        <v>8.783061</v>
      </c>
      <c r="K171" s="277">
        <v>7.7402790000000001</v>
      </c>
      <c r="L171" s="277">
        <v>6.5173889999999997</v>
      </c>
      <c r="M171" s="277">
        <v>8.3734850000000005</v>
      </c>
      <c r="N171" s="284">
        <f t="shared" si="11"/>
        <v>13.227323999999996</v>
      </c>
      <c r="O171" s="277">
        <v>51.078172000000002</v>
      </c>
      <c r="P171" s="277">
        <v>8.3137720000000002</v>
      </c>
      <c r="Q171" s="277">
        <v>8.2439040000000006</v>
      </c>
      <c r="R171" s="277">
        <v>5.2541130000000003</v>
      </c>
      <c r="S171" s="277">
        <v>10.40635</v>
      </c>
      <c r="T171" s="284">
        <f t="shared" si="12"/>
        <v>18.860033000000001</v>
      </c>
      <c r="U171" s="920">
        <v>12328.190333333334</v>
      </c>
      <c r="V171" s="920">
        <v>2312.9313333333334</v>
      </c>
      <c r="W171" s="920">
        <v>2233.9780000000001</v>
      </c>
      <c r="X171" s="920">
        <v>1707.5780000000002</v>
      </c>
      <c r="Y171" s="920">
        <v>1593.2136666666665</v>
      </c>
      <c r="Z171" s="874">
        <f t="shared" si="13"/>
        <v>4480.4893333333339</v>
      </c>
      <c r="AA171" s="920">
        <v>804</v>
      </c>
      <c r="AB171" s="277">
        <v>156.839</v>
      </c>
      <c r="AC171" s="920">
        <v>139.78399999999999</v>
      </c>
      <c r="AD171" s="920">
        <v>104.88</v>
      </c>
      <c r="AE171" s="920">
        <v>144.702</v>
      </c>
      <c r="AF171" s="920">
        <v>1369.6</v>
      </c>
      <c r="AG171" s="277">
        <v>247.34100000000001</v>
      </c>
      <c r="AH171" s="920">
        <v>251.05</v>
      </c>
      <c r="AI171" s="920">
        <v>168.39699999999999</v>
      </c>
      <c r="AJ171" s="920">
        <v>266.32600000000002</v>
      </c>
      <c r="AK171" s="919">
        <f>Data[[#This Row],[Industry Cost ($m)]]/Data[[#This Row],[Industry Consumption]]</f>
        <v>1.7034825870646766</v>
      </c>
      <c r="AL171" s="919">
        <f>Data[[#This Row],[AAL Fuel Cost]]/Data[[#This Row],[AAL Consumption]]</f>
        <v>1.5770375990665588</v>
      </c>
      <c r="AM171" s="919">
        <f>Data[[#This Row],[DAL Fuel Cost]]/Data[[#This Row],[DAL Consumption]]</f>
        <v>1.7959852343615865</v>
      </c>
      <c r="AN171" s="919">
        <f>Data[[#This Row],[UAL Fuel Cost]]/Data[[#This Row],[UALConsumption]]</f>
        <v>1.6056159420289855</v>
      </c>
      <c r="AO171" s="919">
        <f>Data[[#This Row],[LUV Fuel Cost]]/Data[[#This Row],[LUV Consumption]]</f>
        <v>1.8405136072756425</v>
      </c>
      <c r="AP171" s="919">
        <v>1.5469999999999999</v>
      </c>
      <c r="AQ171" s="783"/>
    </row>
    <row r="172" spans="1:43" s="253" customFormat="1">
      <c r="A172" s="263">
        <f t="shared" si="14"/>
        <v>42825</v>
      </c>
      <c r="B172" s="263" t="s">
        <v>357</v>
      </c>
      <c r="C172" s="277">
        <v>65.948650000000001</v>
      </c>
      <c r="D172" s="277">
        <v>12.714264</v>
      </c>
      <c r="E172" s="277">
        <v>11.417168999999999</v>
      </c>
      <c r="F172" s="277">
        <v>9.8255180000000006</v>
      </c>
      <c r="G172" s="277">
        <v>12.918338</v>
      </c>
      <c r="H172" s="284">
        <f t="shared" si="10"/>
        <v>19.073360999999998</v>
      </c>
      <c r="I172" s="277">
        <v>56.543678999999997</v>
      </c>
      <c r="J172" s="277">
        <v>10.889246999999999</v>
      </c>
      <c r="K172" s="277">
        <v>10.035786</v>
      </c>
      <c r="L172" s="277">
        <v>8.4756239999999998</v>
      </c>
      <c r="M172" s="277">
        <v>10.904961</v>
      </c>
      <c r="N172" s="284">
        <f t="shared" si="11"/>
        <v>16.238061000000002</v>
      </c>
      <c r="O172" s="277">
        <v>63.963808</v>
      </c>
      <c r="P172" s="277">
        <v>10.234502000000001</v>
      </c>
      <c r="Q172" s="277">
        <v>10.589366999999999</v>
      </c>
      <c r="R172" s="277">
        <v>6.712764</v>
      </c>
      <c r="S172" s="277">
        <v>13.268281999999999</v>
      </c>
      <c r="T172" s="284">
        <f t="shared" si="12"/>
        <v>23.158892999999999</v>
      </c>
      <c r="U172" s="920">
        <v>12328.190333333334</v>
      </c>
      <c r="V172" s="920">
        <v>2312.9313333333334</v>
      </c>
      <c r="W172" s="920">
        <v>2233.9780000000001</v>
      </c>
      <c r="X172" s="920">
        <v>1707.5780000000002</v>
      </c>
      <c r="Y172" s="920">
        <v>1593.2136666666665</v>
      </c>
      <c r="Z172" s="874">
        <f t="shared" si="13"/>
        <v>4480.4893333333339</v>
      </c>
      <c r="AA172" s="920">
        <v>965</v>
      </c>
      <c r="AB172" s="277">
        <v>184.643</v>
      </c>
      <c r="AC172" s="920">
        <v>171.602</v>
      </c>
      <c r="AD172" s="920">
        <v>130.47200000000001</v>
      </c>
      <c r="AE172" s="920">
        <v>176.13800000000001</v>
      </c>
      <c r="AF172" s="920">
        <v>1590.9</v>
      </c>
      <c r="AG172" s="277">
        <v>285.71199999999999</v>
      </c>
      <c r="AH172" s="920">
        <v>287.23500000000001</v>
      </c>
      <c r="AI172" s="920">
        <v>204.90700000000001</v>
      </c>
      <c r="AJ172" s="920">
        <v>316.12099999999998</v>
      </c>
      <c r="AK172" s="919">
        <f>Data[[#This Row],[Industry Cost ($m)]]/Data[[#This Row],[Industry Consumption]]</f>
        <v>1.6486010362694301</v>
      </c>
      <c r="AL172" s="919">
        <f>Data[[#This Row],[AAL Fuel Cost]]/Data[[#This Row],[AAL Consumption]]</f>
        <v>1.5473752051255665</v>
      </c>
      <c r="AM172" s="919">
        <f>Data[[#This Row],[DAL Fuel Cost]]/Data[[#This Row],[DAL Consumption]]</f>
        <v>1.6738441276908196</v>
      </c>
      <c r="AN172" s="919">
        <f>Data[[#This Row],[UAL Fuel Cost]]/Data[[#This Row],[UALConsumption]]</f>
        <v>1.5705055490833282</v>
      </c>
      <c r="AO172" s="919">
        <f>Data[[#This Row],[LUV Fuel Cost]]/Data[[#This Row],[LUV Consumption]]</f>
        <v>1.794734810205634</v>
      </c>
      <c r="AP172" s="919">
        <v>1.4450000000000001</v>
      </c>
      <c r="AQ172" s="783">
        <f>AVERAGE(AP170:AP172)</f>
        <v>1.502</v>
      </c>
    </row>
    <row r="173" spans="1:43" s="253" customFormat="1">
      <c r="A173" s="263">
        <f t="shared" si="14"/>
        <v>42855</v>
      </c>
      <c r="B173" s="263" t="s">
        <v>357</v>
      </c>
      <c r="C173" s="277">
        <v>63.407125000000001</v>
      </c>
      <c r="D173" s="277">
        <v>11.951478999999999</v>
      </c>
      <c r="E173" s="277">
        <v>10.572665000000001</v>
      </c>
      <c r="F173" s="277">
        <v>9.4007959999999997</v>
      </c>
      <c r="G173" s="277">
        <v>12.855437999999999</v>
      </c>
      <c r="H173" s="284">
        <f t="shared" si="10"/>
        <v>18.626747000000002</v>
      </c>
      <c r="I173" s="277">
        <v>54.108272999999997</v>
      </c>
      <c r="J173" s="277">
        <v>10.201138</v>
      </c>
      <c r="K173" s="277">
        <v>9.1824279999999998</v>
      </c>
      <c r="L173" s="277">
        <v>8.2607029999999995</v>
      </c>
      <c r="M173" s="277">
        <v>10.816086</v>
      </c>
      <c r="N173" s="284">
        <f t="shared" si="11"/>
        <v>15.647917999999997</v>
      </c>
      <c r="O173" s="277">
        <v>61.099004000000001</v>
      </c>
      <c r="P173" s="277">
        <v>9.6062829999999995</v>
      </c>
      <c r="Q173" s="277">
        <v>9.6847860000000008</v>
      </c>
      <c r="R173" s="277">
        <v>6.4787499999999998</v>
      </c>
      <c r="S173" s="277">
        <v>13.121976</v>
      </c>
      <c r="T173" s="284">
        <f t="shared" si="12"/>
        <v>22.207208999999999</v>
      </c>
      <c r="U173" s="920">
        <v>13910.114333333333</v>
      </c>
      <c r="V173" s="920">
        <v>2589.9573333333333</v>
      </c>
      <c r="W173" s="920">
        <v>2574.098</v>
      </c>
      <c r="X173" s="920">
        <v>2057.0876666666668</v>
      </c>
      <c r="Y173" s="920">
        <v>1868.3113333333333</v>
      </c>
      <c r="Z173" s="874">
        <f t="shared" si="13"/>
        <v>4820.66</v>
      </c>
      <c r="AA173" s="920">
        <v>919.2</v>
      </c>
      <c r="AB173" s="277">
        <v>174.16200000000001</v>
      </c>
      <c r="AC173" s="920">
        <v>157.911</v>
      </c>
      <c r="AD173" s="920">
        <v>124.867</v>
      </c>
      <c r="AE173" s="920">
        <v>174.22200000000001</v>
      </c>
      <c r="AF173" s="920">
        <v>1525.3</v>
      </c>
      <c r="AG173" s="277">
        <v>270.09800000000001</v>
      </c>
      <c r="AH173" s="920">
        <v>266.83100000000002</v>
      </c>
      <c r="AI173" s="920">
        <v>196.071</v>
      </c>
      <c r="AJ173" s="920">
        <v>315.49200000000002</v>
      </c>
      <c r="AK173" s="919">
        <f>Data[[#This Row],[Industry Cost ($m)]]/Data[[#This Row],[Industry Consumption]]</f>
        <v>1.6593777197563098</v>
      </c>
      <c r="AL173" s="919">
        <f>Data[[#This Row],[AAL Fuel Cost]]/Data[[#This Row],[AAL Consumption]]</f>
        <v>1.5508434675761646</v>
      </c>
      <c r="AM173" s="919">
        <f>Data[[#This Row],[DAL Fuel Cost]]/Data[[#This Row],[DAL Consumption]]</f>
        <v>1.6897556218376175</v>
      </c>
      <c r="AN173" s="919">
        <f>Data[[#This Row],[UAL Fuel Cost]]/Data[[#This Row],[UALConsumption]]</f>
        <v>1.5702387340129897</v>
      </c>
      <c r="AO173" s="919">
        <f>Data[[#This Row],[LUV Fuel Cost]]/Data[[#This Row],[LUV Consumption]]</f>
        <v>1.810862003650515</v>
      </c>
      <c r="AP173" s="919">
        <v>1.51</v>
      </c>
      <c r="AQ173" s="783"/>
    </row>
    <row r="174" spans="1:43" s="253" customFormat="1">
      <c r="A174" s="263">
        <f t="shared" si="14"/>
        <v>42886</v>
      </c>
      <c r="B174" s="263" t="s">
        <v>357</v>
      </c>
      <c r="C174" s="277">
        <v>66.071675999999997</v>
      </c>
      <c r="D174" s="277">
        <v>12.63434</v>
      </c>
      <c r="E174" s="277">
        <v>11.408995000000001</v>
      </c>
      <c r="F174" s="277">
        <v>10.130248999999999</v>
      </c>
      <c r="G174" s="277">
        <v>12.690398999999999</v>
      </c>
      <c r="H174" s="284">
        <f t="shared" si="10"/>
        <v>19.207692999999999</v>
      </c>
      <c r="I174" s="277">
        <v>56.768802000000001</v>
      </c>
      <c r="J174" s="277">
        <v>10.796329999999999</v>
      </c>
      <c r="K174" s="277">
        <v>10.10192</v>
      </c>
      <c r="L174" s="277">
        <v>8.8028519999999997</v>
      </c>
      <c r="M174" s="277">
        <v>10.854324999999999</v>
      </c>
      <c r="N174" s="284">
        <f t="shared" si="11"/>
        <v>16.213375000000006</v>
      </c>
      <c r="O174" s="277">
        <v>64.442976999999999</v>
      </c>
      <c r="P174" s="277">
        <v>10.136949</v>
      </c>
      <c r="Q174" s="277">
        <v>10.813516999999999</v>
      </c>
      <c r="R174" s="277">
        <v>6.9143189999999999</v>
      </c>
      <c r="S174" s="277">
        <v>13.381479000000001</v>
      </c>
      <c r="T174" s="284">
        <f t="shared" si="12"/>
        <v>23.196713000000003</v>
      </c>
      <c r="U174" s="920">
        <v>13910.114333333333</v>
      </c>
      <c r="V174" s="920">
        <v>2589.9573333333333</v>
      </c>
      <c r="W174" s="920">
        <v>2574.098</v>
      </c>
      <c r="X174" s="920">
        <v>2057.0876666666668</v>
      </c>
      <c r="Y174" s="920">
        <v>1868.3113333333333</v>
      </c>
      <c r="Z174" s="874">
        <f t="shared" si="13"/>
        <v>4820.66</v>
      </c>
      <c r="AA174" s="920">
        <v>963.9</v>
      </c>
      <c r="AB174" s="277">
        <v>184.34399999999999</v>
      </c>
      <c r="AC174" s="920">
        <v>171.73500000000001</v>
      </c>
      <c r="AD174" s="920">
        <v>136.19499999999999</v>
      </c>
      <c r="AE174" s="920">
        <v>174.76300000000001</v>
      </c>
      <c r="AF174" s="920">
        <v>1544.5</v>
      </c>
      <c r="AG174" s="277">
        <v>274.55500000000001</v>
      </c>
      <c r="AH174" s="920">
        <v>290.97000000000003</v>
      </c>
      <c r="AI174" s="920">
        <v>204.101</v>
      </c>
      <c r="AJ174" s="920">
        <v>310.01299999999998</v>
      </c>
      <c r="AK174" s="919">
        <f>Data[[#This Row],[Industry Cost ($m)]]/Data[[#This Row],[Industry Consumption]]</f>
        <v>1.602344641560328</v>
      </c>
      <c r="AL174" s="919">
        <f>Data[[#This Row],[AAL Fuel Cost]]/Data[[#This Row],[AAL Consumption]]</f>
        <v>1.4893622792171159</v>
      </c>
      <c r="AM174" s="919">
        <f>Data[[#This Row],[DAL Fuel Cost]]/Data[[#This Row],[DAL Consumption]]</f>
        <v>1.694296445104376</v>
      </c>
      <c r="AN174" s="919">
        <f>Data[[#This Row],[UAL Fuel Cost]]/Data[[#This Row],[UALConsumption]]</f>
        <v>1.4985939278240759</v>
      </c>
      <c r="AO174" s="919">
        <f>Data[[#This Row],[LUV Fuel Cost]]/Data[[#This Row],[LUV Consumption]]</f>
        <v>1.7739052316565862</v>
      </c>
      <c r="AP174" s="919">
        <v>1.4119999999999999</v>
      </c>
      <c r="AQ174" s="783"/>
    </row>
    <row r="175" spans="1:43" s="253" customFormat="1">
      <c r="A175" s="263">
        <f t="shared" si="14"/>
        <v>42916</v>
      </c>
      <c r="B175" s="263" t="s">
        <v>357</v>
      </c>
      <c r="C175" s="277">
        <v>68.879074000000003</v>
      </c>
      <c r="D175" s="277">
        <v>13.080057</v>
      </c>
      <c r="E175" s="277">
        <v>11.907511000000001</v>
      </c>
      <c r="F175" s="277">
        <v>10.856358</v>
      </c>
      <c r="G175" s="277">
        <v>13.108705</v>
      </c>
      <c r="H175" s="284">
        <f t="shared" si="10"/>
        <v>19.926442999999999</v>
      </c>
      <c r="I175" s="277">
        <v>60.135012000000003</v>
      </c>
      <c r="J175" s="277">
        <v>11.405562</v>
      </c>
      <c r="K175" s="277">
        <v>10.614438</v>
      </c>
      <c r="L175" s="277">
        <v>9.5927469999999992</v>
      </c>
      <c r="M175" s="277">
        <v>11.466613000000001</v>
      </c>
      <c r="N175" s="284">
        <f t="shared" si="11"/>
        <v>17.055652000000002</v>
      </c>
      <c r="O175" s="277">
        <v>66.746463000000006</v>
      </c>
      <c r="P175" s="277">
        <v>10.253686</v>
      </c>
      <c r="Q175" s="277">
        <v>10.968902999999999</v>
      </c>
      <c r="R175" s="277">
        <v>7.4092560000000001</v>
      </c>
      <c r="S175" s="277">
        <v>13.873457999999999</v>
      </c>
      <c r="T175" s="284">
        <f t="shared" si="12"/>
        <v>24.241160000000008</v>
      </c>
      <c r="U175" s="920">
        <v>13910.114333333333</v>
      </c>
      <c r="V175" s="920">
        <v>2589.9573333333333</v>
      </c>
      <c r="W175" s="920">
        <v>2574.098</v>
      </c>
      <c r="X175" s="920">
        <v>2057.0876666666668</v>
      </c>
      <c r="Y175" s="920">
        <v>1868.3113333333333</v>
      </c>
      <c r="Z175" s="874">
        <f t="shared" si="13"/>
        <v>4820.66</v>
      </c>
      <c r="AA175" s="920">
        <v>1008.7</v>
      </c>
      <c r="AB175" s="277">
        <v>190.148</v>
      </c>
      <c r="AC175" s="920">
        <v>181.06899999999999</v>
      </c>
      <c r="AD175" s="920">
        <v>147.00200000000001</v>
      </c>
      <c r="AE175" s="920">
        <v>180.43199999999999</v>
      </c>
      <c r="AF175" s="920">
        <v>1546.7</v>
      </c>
      <c r="AG175" s="277">
        <v>266.44400000000002</v>
      </c>
      <c r="AH175" s="920">
        <v>296.09199999999998</v>
      </c>
      <c r="AI175" s="920">
        <v>211.56200000000001</v>
      </c>
      <c r="AJ175" s="920">
        <v>304.38299999999998</v>
      </c>
      <c r="AK175" s="919">
        <f>Data[[#This Row],[Industry Cost ($m)]]/Data[[#This Row],[Industry Consumption]]</f>
        <v>1.5333597700009913</v>
      </c>
      <c r="AL175" s="919">
        <f>Data[[#This Row],[AAL Fuel Cost]]/Data[[#This Row],[AAL Consumption]]</f>
        <v>1.4012453457306941</v>
      </c>
      <c r="AM175" s="919">
        <f>Data[[#This Row],[DAL Fuel Cost]]/Data[[#This Row],[DAL Consumption]]</f>
        <v>1.6352440229967582</v>
      </c>
      <c r="AN175" s="919">
        <f>Data[[#This Row],[UAL Fuel Cost]]/Data[[#This Row],[UALConsumption]]</f>
        <v>1.4391776982626086</v>
      </c>
      <c r="AO175" s="919">
        <f>Data[[#This Row],[LUV Fuel Cost]]/Data[[#This Row],[LUV Consumption]]</f>
        <v>1.6869679436020217</v>
      </c>
      <c r="AP175" s="919">
        <v>1.2949999999999999</v>
      </c>
      <c r="AQ175" s="783">
        <f>AVERAGE(AP173:AP175)</f>
        <v>1.4056666666666666</v>
      </c>
    </row>
    <row r="176" spans="1:43" s="253" customFormat="1">
      <c r="A176" s="263">
        <f t="shared" si="14"/>
        <v>42947</v>
      </c>
      <c r="B176" s="263" t="s">
        <v>357</v>
      </c>
      <c r="C176" s="277">
        <v>71.982934999999998</v>
      </c>
      <c r="D176" s="277">
        <v>13.620668</v>
      </c>
      <c r="E176" s="277">
        <v>12.622816</v>
      </c>
      <c r="F176" s="277">
        <v>11.319520000000001</v>
      </c>
      <c r="G176" s="277">
        <v>13.588081000000001</v>
      </c>
      <c r="H176" s="284">
        <f t="shared" si="10"/>
        <v>20.831849999999989</v>
      </c>
      <c r="I176" s="277">
        <v>62.705398000000002</v>
      </c>
      <c r="J176" s="277">
        <v>11.790478</v>
      </c>
      <c r="K176" s="277">
        <v>11.205988</v>
      </c>
      <c r="L176" s="277">
        <v>10.074370999999999</v>
      </c>
      <c r="M176" s="277">
        <v>11.84516</v>
      </c>
      <c r="N176" s="284">
        <f t="shared" si="11"/>
        <v>17.789401000000005</v>
      </c>
      <c r="O176" s="277">
        <v>68.575480999999996</v>
      </c>
      <c r="P176" s="277">
        <v>10.476594</v>
      </c>
      <c r="Q176" s="277">
        <v>11.309402</v>
      </c>
      <c r="R176" s="277">
        <v>7.6804350000000001</v>
      </c>
      <c r="S176" s="277">
        <v>14.194967</v>
      </c>
      <c r="T176" s="284">
        <f t="shared" si="12"/>
        <v>24.914082999999998</v>
      </c>
      <c r="U176" s="920">
        <v>13500.112666666668</v>
      </c>
      <c r="V176" s="920">
        <v>2453.4516666666664</v>
      </c>
      <c r="W176" s="920">
        <v>2551.9946666666669</v>
      </c>
      <c r="X176" s="920">
        <v>1977.9870000000001</v>
      </c>
      <c r="Y176" s="920">
        <v>1713.845</v>
      </c>
      <c r="Z176" s="874">
        <f t="shared" si="13"/>
        <v>4802.8343333333341</v>
      </c>
      <c r="AA176" s="920">
        <v>1037.5</v>
      </c>
      <c r="AB176" s="277">
        <v>197.554</v>
      </c>
      <c r="AC176" s="920">
        <v>189.999</v>
      </c>
      <c r="AD176" s="920">
        <v>152.99100000000001</v>
      </c>
      <c r="AE176" s="920">
        <v>185.619</v>
      </c>
      <c r="AF176" s="920">
        <v>1610.9</v>
      </c>
      <c r="AG176" s="277">
        <v>280.61599999999999</v>
      </c>
      <c r="AH176" s="920">
        <v>315.40499999999997</v>
      </c>
      <c r="AI176" s="920">
        <v>221.38900000000001</v>
      </c>
      <c r="AJ176" s="920">
        <v>314.22699999999998</v>
      </c>
      <c r="AK176" s="919">
        <f>Data[[#This Row],[Industry Cost ($m)]]/Data[[#This Row],[Industry Consumption]]</f>
        <v>1.5526746987951807</v>
      </c>
      <c r="AL176" s="919">
        <f>Data[[#This Row],[AAL Fuel Cost]]/Data[[#This Row],[AAL Consumption]]</f>
        <v>1.4204521295443271</v>
      </c>
      <c r="AM176" s="919">
        <f>Data[[#This Row],[DAL Fuel Cost]]/Data[[#This Row],[DAL Consumption]]</f>
        <v>1.6600350528160674</v>
      </c>
      <c r="AN176" s="919">
        <f>Data[[#This Row],[UAL Fuel Cost]]/Data[[#This Row],[UALConsumption]]</f>
        <v>1.4470720499898686</v>
      </c>
      <c r="AO176" s="919">
        <f>Data[[#This Row],[LUV Fuel Cost]]/Data[[#This Row],[LUV Consumption]]</f>
        <v>1.6928601059158814</v>
      </c>
      <c r="AP176" s="919">
        <v>1.417</v>
      </c>
      <c r="AQ176" s="783"/>
    </row>
    <row r="177" spans="1:43" s="253" customFormat="1">
      <c r="A177" s="263">
        <f t="shared" si="14"/>
        <v>42978</v>
      </c>
      <c r="B177" s="263" t="s">
        <v>357</v>
      </c>
      <c r="C177" s="277">
        <v>70.442721000000006</v>
      </c>
      <c r="D177" s="277">
        <v>13.438388999999999</v>
      </c>
      <c r="E177" s="277">
        <v>12.58582</v>
      </c>
      <c r="F177" s="277">
        <v>11.120138000000001</v>
      </c>
      <c r="G177" s="277">
        <v>12.849101000000001</v>
      </c>
      <c r="H177" s="284">
        <f t="shared" si="10"/>
        <v>20.449273000000005</v>
      </c>
      <c r="I177" s="277">
        <v>60.253922000000003</v>
      </c>
      <c r="J177" s="277">
        <v>11.45904</v>
      </c>
      <c r="K177" s="277">
        <v>11.098526</v>
      </c>
      <c r="L177" s="277">
        <v>9.5860470000000007</v>
      </c>
      <c r="M177" s="277">
        <v>10.907849000000001</v>
      </c>
      <c r="N177" s="284">
        <f t="shared" si="11"/>
        <v>17.202460000000002</v>
      </c>
      <c r="O177" s="277">
        <v>66.664018999999996</v>
      </c>
      <c r="P177" s="277">
        <v>10.366917000000001</v>
      </c>
      <c r="Q177" s="277">
        <v>11.30963</v>
      </c>
      <c r="R177" s="277">
        <v>7.404363</v>
      </c>
      <c r="S177" s="277">
        <v>13.316907</v>
      </c>
      <c r="T177" s="284">
        <f t="shared" si="12"/>
        <v>24.266201999999993</v>
      </c>
      <c r="U177" s="920">
        <v>13500.112666666668</v>
      </c>
      <c r="V177" s="920">
        <v>2453.4516666666664</v>
      </c>
      <c r="W177" s="920">
        <v>2551.9946666666669</v>
      </c>
      <c r="X177" s="920">
        <v>1977.9870000000001</v>
      </c>
      <c r="Y177" s="920">
        <v>1713.845</v>
      </c>
      <c r="Z177" s="874">
        <f t="shared" si="13"/>
        <v>4802.8343333333341</v>
      </c>
      <c r="AA177" s="920">
        <v>1030.2</v>
      </c>
      <c r="AB177" s="277">
        <v>195.499</v>
      </c>
      <c r="AC177" s="920">
        <v>190.23599999999999</v>
      </c>
      <c r="AD177" s="920">
        <v>150.518</v>
      </c>
      <c r="AE177" s="920">
        <v>176.279</v>
      </c>
      <c r="AF177" s="920">
        <v>1696.2</v>
      </c>
      <c r="AG177" s="277">
        <v>301.12900000000002</v>
      </c>
      <c r="AH177" s="920">
        <v>303.34300000000002</v>
      </c>
      <c r="AI177" s="920">
        <v>236.55</v>
      </c>
      <c r="AJ177" s="920">
        <v>322.81</v>
      </c>
      <c r="AK177" s="919">
        <f>Data[[#This Row],[Industry Cost ($m)]]/Data[[#This Row],[Industry Consumption]]</f>
        <v>1.6464764123471169</v>
      </c>
      <c r="AL177" s="919">
        <f>Data[[#This Row],[AAL Fuel Cost]]/Data[[#This Row],[AAL Consumption]]</f>
        <v>1.5403096691031668</v>
      </c>
      <c r="AM177" s="919">
        <f>Data[[#This Row],[DAL Fuel Cost]]/Data[[#This Row],[DAL Consumption]]</f>
        <v>1.5945614920414644</v>
      </c>
      <c r="AN177" s="919">
        <f>Data[[#This Row],[UAL Fuel Cost]]/Data[[#This Row],[UALConsumption]]</f>
        <v>1.5715728351426408</v>
      </c>
      <c r="AO177" s="919">
        <f>Data[[#This Row],[LUV Fuel Cost]]/Data[[#This Row],[LUV Consumption]]</f>
        <v>1.8312447880916047</v>
      </c>
      <c r="AP177" s="919">
        <v>1.5609999999999999</v>
      </c>
      <c r="AQ177" s="783"/>
    </row>
    <row r="178" spans="1:43" s="253" customFormat="1">
      <c r="A178" s="263">
        <f t="shared" si="14"/>
        <v>43008</v>
      </c>
      <c r="B178" s="263" t="s">
        <v>357</v>
      </c>
      <c r="C178" s="277">
        <v>60.585438000000003</v>
      </c>
      <c r="D178" s="277">
        <v>11.226666</v>
      </c>
      <c r="E178" s="277">
        <v>10.512139999999999</v>
      </c>
      <c r="F178" s="277">
        <v>9.6225629999999995</v>
      </c>
      <c r="G178" s="277">
        <v>11.307257</v>
      </c>
      <c r="H178" s="284">
        <f t="shared" si="10"/>
        <v>17.916812000000007</v>
      </c>
      <c r="I178" s="277">
        <v>49.858885000000001</v>
      </c>
      <c r="J178" s="277">
        <v>9.3738580000000002</v>
      </c>
      <c r="K178" s="277">
        <v>8.8749540000000007</v>
      </c>
      <c r="L178" s="277">
        <v>7.9411680000000002</v>
      </c>
      <c r="M178" s="277">
        <v>9.2795769999999997</v>
      </c>
      <c r="N178" s="284">
        <f t="shared" si="11"/>
        <v>14.389327999999999</v>
      </c>
      <c r="O178" s="277">
        <v>57.144508000000002</v>
      </c>
      <c r="P178" s="277">
        <v>8.8446420000000003</v>
      </c>
      <c r="Q178" s="277">
        <v>9.4169689999999999</v>
      </c>
      <c r="R178" s="277">
        <v>6.3660600000000001</v>
      </c>
      <c r="S178" s="277">
        <v>11.730577</v>
      </c>
      <c r="T178" s="284">
        <f t="shared" si="12"/>
        <v>20.786259999999999</v>
      </c>
      <c r="U178" s="920">
        <v>13500.112666666668</v>
      </c>
      <c r="V178" s="920">
        <v>2453.4516666666664</v>
      </c>
      <c r="W178" s="920">
        <v>2551.9946666666669</v>
      </c>
      <c r="X178" s="920">
        <v>1977.9870000000001</v>
      </c>
      <c r="Y178" s="920">
        <v>1713.845</v>
      </c>
      <c r="Z178" s="874">
        <f t="shared" si="13"/>
        <v>4802.8343333333341</v>
      </c>
      <c r="AA178" s="920">
        <v>879.4</v>
      </c>
      <c r="AB178" s="277">
        <v>161.053</v>
      </c>
      <c r="AC178" s="920">
        <v>157.76300000000001</v>
      </c>
      <c r="AD178" s="920">
        <v>129.30500000000001</v>
      </c>
      <c r="AE178" s="920">
        <v>153.27699999999999</v>
      </c>
      <c r="AF178" s="920">
        <v>1589.1</v>
      </c>
      <c r="AG178" s="277">
        <v>272.39999999999998</v>
      </c>
      <c r="AH178" s="920">
        <v>276.54899999999998</v>
      </c>
      <c r="AI178" s="920">
        <v>225.464</v>
      </c>
      <c r="AJ178" s="920">
        <v>300.27800000000002</v>
      </c>
      <c r="AK178" s="919">
        <f>Data[[#This Row],[Industry Cost ($m)]]/Data[[#This Row],[Industry Consumption]]</f>
        <v>1.8070275187627927</v>
      </c>
      <c r="AL178" s="919">
        <f>Data[[#This Row],[AAL Fuel Cost]]/Data[[#This Row],[AAL Consumption]]</f>
        <v>1.6913686798755687</v>
      </c>
      <c r="AM178" s="919">
        <f>Data[[#This Row],[DAL Fuel Cost]]/Data[[#This Row],[DAL Consumption]]</f>
        <v>1.7529395358861075</v>
      </c>
      <c r="AN178" s="919">
        <f>Data[[#This Row],[UAL Fuel Cost]]/Data[[#This Row],[UALConsumption]]</f>
        <v>1.7436603379606357</v>
      </c>
      <c r="AO178" s="919">
        <f>Data[[#This Row],[LUV Fuel Cost]]/Data[[#This Row],[LUV Consumption]]</f>
        <v>1.9590545222048974</v>
      </c>
      <c r="AP178" s="919">
        <v>1.8</v>
      </c>
      <c r="AQ178" s="783">
        <f>AVERAGE(AP176:AP178)</f>
        <v>1.5926666666666665</v>
      </c>
    </row>
    <row r="179" spans="1:43" s="253" customFormat="1">
      <c r="A179" s="263">
        <f t="shared" si="14"/>
        <v>43039</v>
      </c>
      <c r="B179" s="263" t="s">
        <v>357</v>
      </c>
      <c r="C179" s="277">
        <v>65.327753999999999</v>
      </c>
      <c r="D179" s="277">
        <v>12.275793</v>
      </c>
      <c r="E179" s="277">
        <v>11.175537</v>
      </c>
      <c r="F179" s="277">
        <v>10.308776</v>
      </c>
      <c r="G179" s="277">
        <v>12.093076999999999</v>
      </c>
      <c r="H179" s="284">
        <f t="shared" si="10"/>
        <v>19.474570999999997</v>
      </c>
      <c r="I179" s="277">
        <v>56.062908999999998</v>
      </c>
      <c r="J179" s="277">
        <v>10.693868</v>
      </c>
      <c r="K179" s="277">
        <v>9.8542690000000004</v>
      </c>
      <c r="L179" s="277">
        <v>8.8206489999999995</v>
      </c>
      <c r="M179" s="277">
        <v>10.412685</v>
      </c>
      <c r="N179" s="284">
        <f t="shared" si="11"/>
        <v>16.281438000000001</v>
      </c>
      <c r="O179" s="277">
        <v>64.625405000000001</v>
      </c>
      <c r="P179" s="277">
        <v>10.184329999999999</v>
      </c>
      <c r="Q179" s="277">
        <v>10.725324000000001</v>
      </c>
      <c r="R179" s="277">
        <v>7.1007639999999999</v>
      </c>
      <c r="S179" s="277">
        <v>13.24977</v>
      </c>
      <c r="T179" s="284">
        <f t="shared" si="12"/>
        <v>23.365217000000001</v>
      </c>
      <c r="U179" s="920">
        <v>13774.584333333332</v>
      </c>
      <c r="V179" s="920">
        <v>2512.8046666666664</v>
      </c>
      <c r="W179" s="920">
        <v>2537.5346666666669</v>
      </c>
      <c r="X179" s="920">
        <v>1968.0983333333334</v>
      </c>
      <c r="Y179" s="920">
        <v>1718.4226666666666</v>
      </c>
      <c r="Z179" s="874">
        <f t="shared" si="13"/>
        <v>5037.7239999999983</v>
      </c>
      <c r="AA179" s="920">
        <v>953.4</v>
      </c>
      <c r="AB179" s="277">
        <v>177.88300000000001</v>
      </c>
      <c r="AC179" s="920">
        <v>169.577</v>
      </c>
      <c r="AD179" s="920">
        <v>138.941</v>
      </c>
      <c r="AE179" s="920">
        <v>164.44499999999999</v>
      </c>
      <c r="AF179" s="920">
        <v>1735.7</v>
      </c>
      <c r="AG179" s="277">
        <v>303.57</v>
      </c>
      <c r="AH179" s="920">
        <v>321.51600000000002</v>
      </c>
      <c r="AI179" s="920">
        <v>242.69399999999999</v>
      </c>
      <c r="AJ179" s="920">
        <v>318.14800000000002</v>
      </c>
      <c r="AK179" s="919">
        <f>Data[[#This Row],[Industry Cost ($m)]]/Data[[#This Row],[Industry Consumption]]</f>
        <v>1.8205370253828403</v>
      </c>
      <c r="AL179" s="919">
        <f>Data[[#This Row],[AAL Fuel Cost]]/Data[[#This Row],[AAL Consumption]]</f>
        <v>1.7065711731868698</v>
      </c>
      <c r="AM179" s="919">
        <f>Data[[#This Row],[DAL Fuel Cost]]/Data[[#This Row],[DAL Consumption]]</f>
        <v>1.8959882531239498</v>
      </c>
      <c r="AN179" s="919">
        <f>Data[[#This Row],[UAL Fuel Cost]]/Data[[#This Row],[UALConsumption]]</f>
        <v>1.7467414226182336</v>
      </c>
      <c r="AO179" s="919">
        <f>Data[[#This Row],[LUV Fuel Cost]]/Data[[#This Row],[LUV Consumption]]</f>
        <v>1.9346772477120011</v>
      </c>
      <c r="AP179" s="919">
        <v>1.659</v>
      </c>
      <c r="AQ179" s="783"/>
    </row>
    <row r="180" spans="1:43" s="253" customFormat="1">
      <c r="A180" s="263">
        <f t="shared" si="14"/>
        <v>43069</v>
      </c>
      <c r="B180" s="263" t="s">
        <v>357</v>
      </c>
      <c r="C180" s="277">
        <v>62.590874999999997</v>
      </c>
      <c r="D180" s="277">
        <v>11.375384</v>
      </c>
      <c r="E180" s="277">
        <v>10.431477000000001</v>
      </c>
      <c r="F180" s="277">
        <v>9.6579480000000011</v>
      </c>
      <c r="G180" s="277">
        <v>12.122301</v>
      </c>
      <c r="H180" s="284">
        <f t="shared" si="10"/>
        <v>19.003764999999994</v>
      </c>
      <c r="I180" s="277">
        <v>53.800322999999999</v>
      </c>
      <c r="J180" s="277">
        <v>9.9518789999999999</v>
      </c>
      <c r="K180" s="277">
        <v>9.1519720000000007</v>
      </c>
      <c r="L180" s="277">
        <v>8.366581</v>
      </c>
      <c r="M180" s="277">
        <v>10.445556</v>
      </c>
      <c r="N180" s="284">
        <f t="shared" si="11"/>
        <v>15.884335</v>
      </c>
      <c r="O180" s="277">
        <v>61.911765000000003</v>
      </c>
      <c r="P180" s="277">
        <v>9.4865589999999997</v>
      </c>
      <c r="Q180" s="277">
        <v>9.9687739999999998</v>
      </c>
      <c r="R180" s="277">
        <v>6.8035310000000004</v>
      </c>
      <c r="S180" s="277">
        <v>13.253765</v>
      </c>
      <c r="T180" s="284">
        <f t="shared" si="12"/>
        <v>22.399136000000006</v>
      </c>
      <c r="U180" s="920">
        <v>13774.584333333332</v>
      </c>
      <c r="V180" s="920">
        <v>2512.8046666666664</v>
      </c>
      <c r="W180" s="920">
        <v>2537.5346666666669</v>
      </c>
      <c r="X180" s="920">
        <v>1968.0983333333334</v>
      </c>
      <c r="Y180" s="920">
        <v>1718.4226666666666</v>
      </c>
      <c r="Z180" s="874">
        <f t="shared" si="13"/>
        <v>5037.7239999999983</v>
      </c>
      <c r="AA180" s="920">
        <v>921.7</v>
      </c>
      <c r="AB180" s="277">
        <v>164.45500000000001</v>
      </c>
      <c r="AC180" s="920">
        <v>158.964</v>
      </c>
      <c r="AD180" s="920">
        <v>129.511</v>
      </c>
      <c r="AE180" s="920">
        <v>163.75899999999999</v>
      </c>
      <c r="AF180" s="920">
        <v>1726.6</v>
      </c>
      <c r="AG180" s="277">
        <v>287.65699999999998</v>
      </c>
      <c r="AH180" s="920">
        <v>307.04599999999999</v>
      </c>
      <c r="AI180" s="920">
        <v>232.15600000000001</v>
      </c>
      <c r="AJ180" s="920">
        <v>323.863</v>
      </c>
      <c r="AK180" s="919">
        <f>Data[[#This Row],[Industry Cost ($m)]]/Data[[#This Row],[Industry Consumption]]</f>
        <v>1.8732776391450578</v>
      </c>
      <c r="AL180" s="919">
        <f>Data[[#This Row],[AAL Fuel Cost]]/Data[[#This Row],[AAL Consumption]]</f>
        <v>1.7491532638107687</v>
      </c>
      <c r="AM180" s="919">
        <f>Data[[#This Row],[DAL Fuel Cost]]/Data[[#This Row],[DAL Consumption]]</f>
        <v>1.9315442490123549</v>
      </c>
      <c r="AN180" s="919">
        <f>Data[[#This Row],[UAL Fuel Cost]]/Data[[#This Row],[UALConsumption]]</f>
        <v>1.7925581610828425</v>
      </c>
      <c r="AO180" s="919">
        <f>Data[[#This Row],[LUV Fuel Cost]]/Data[[#This Row],[LUV Consumption]]</f>
        <v>1.9776806160272109</v>
      </c>
      <c r="AP180" s="919">
        <v>1.76</v>
      </c>
      <c r="AQ180" s="783"/>
    </row>
    <row r="181" spans="1:43" s="253" customFormat="1">
      <c r="A181" s="263">
        <f t="shared" si="14"/>
        <v>43100</v>
      </c>
      <c r="B181" s="263" t="s">
        <v>357</v>
      </c>
      <c r="C181" s="277">
        <v>65.600797</v>
      </c>
      <c r="D181" s="277">
        <v>12.482194999999999</v>
      </c>
      <c r="E181" s="277">
        <v>10.550012000000001</v>
      </c>
      <c r="F181" s="277">
        <v>10.147632999999999</v>
      </c>
      <c r="G181" s="277">
        <v>12.365084000000001</v>
      </c>
      <c r="H181" s="284">
        <f t="shared" si="10"/>
        <v>20.055872999999998</v>
      </c>
      <c r="I181" s="277">
        <v>54.919243999999999</v>
      </c>
      <c r="J181" s="277">
        <v>10.541422000000001</v>
      </c>
      <c r="K181" s="277">
        <v>8.9941329999999997</v>
      </c>
      <c r="L181" s="277">
        <v>8.5601000000000003</v>
      </c>
      <c r="M181" s="277">
        <v>10.314253000000001</v>
      </c>
      <c r="N181" s="284">
        <f t="shared" si="11"/>
        <v>16.509335999999998</v>
      </c>
      <c r="O181" s="277">
        <v>61.374167</v>
      </c>
      <c r="P181" s="277">
        <v>9.7164230000000007</v>
      </c>
      <c r="Q181" s="277">
        <v>9.1780869999999997</v>
      </c>
      <c r="R181" s="277">
        <v>6.7321299999999997</v>
      </c>
      <c r="S181" s="277">
        <v>12.974166</v>
      </c>
      <c r="T181" s="284">
        <f t="shared" si="12"/>
        <v>22.773360999999994</v>
      </c>
      <c r="U181" s="920">
        <v>13774.584333333332</v>
      </c>
      <c r="V181" s="920">
        <v>2512.8046666666664</v>
      </c>
      <c r="W181" s="920">
        <v>2537.5346666666669</v>
      </c>
      <c r="X181" s="920">
        <v>1968.0983333333334</v>
      </c>
      <c r="Y181" s="920">
        <v>1718.4226666666666</v>
      </c>
      <c r="Z181" s="874">
        <f t="shared" si="13"/>
        <v>5037.7239999999983</v>
      </c>
      <c r="AA181" s="920">
        <v>975</v>
      </c>
      <c r="AB181" s="277">
        <v>180.095</v>
      </c>
      <c r="AC181" s="920">
        <v>159.88800000000001</v>
      </c>
      <c r="AD181" s="920">
        <v>135.53899999999999</v>
      </c>
      <c r="AE181" s="920">
        <v>167.239</v>
      </c>
      <c r="AF181" s="920">
        <v>1862.6</v>
      </c>
      <c r="AG181" s="277">
        <v>326.99400000000003</v>
      </c>
      <c r="AH181" s="920">
        <v>313.73399999999998</v>
      </c>
      <c r="AI181" s="920">
        <v>250.828</v>
      </c>
      <c r="AJ181" s="920">
        <v>324.62700000000001</v>
      </c>
      <c r="AK181" s="919">
        <f>Data[[#This Row],[Industry Cost ($m)]]/Data[[#This Row],[Industry Consumption]]</f>
        <v>1.9103589743589742</v>
      </c>
      <c r="AL181" s="919">
        <f>Data[[#This Row],[AAL Fuel Cost]]/Data[[#This Row],[AAL Consumption]]</f>
        <v>1.8156750603847971</v>
      </c>
      <c r="AM181" s="919">
        <f>Data[[#This Row],[DAL Fuel Cost]]/Data[[#This Row],[DAL Consumption]]</f>
        <v>1.9622110477334131</v>
      </c>
      <c r="AN181" s="919">
        <f>Data[[#This Row],[UAL Fuel Cost]]/Data[[#This Row],[UALConsumption]]</f>
        <v>1.8505965072783481</v>
      </c>
      <c r="AO181" s="919">
        <f>Data[[#This Row],[LUV Fuel Cost]]/Data[[#This Row],[LUV Consumption]]</f>
        <v>1.9410962753903096</v>
      </c>
      <c r="AP181" s="919">
        <v>1.8169999999999999</v>
      </c>
      <c r="AQ181" s="783">
        <f>AVERAGE(AP179:AP181)</f>
        <v>1.7453333333333332</v>
      </c>
    </row>
    <row r="182" spans="1:43" s="253" customFormat="1">
      <c r="A182" s="263">
        <f t="shared" si="14"/>
        <v>43131</v>
      </c>
      <c r="B182" s="263" t="s">
        <v>357</v>
      </c>
      <c r="C182" s="277">
        <v>63.130322</v>
      </c>
      <c r="D182" s="277">
        <v>12.121308000000001</v>
      </c>
      <c r="E182" s="277">
        <v>10.341773</v>
      </c>
      <c r="F182" s="277">
        <v>8.9531560000000017</v>
      </c>
      <c r="G182" s="277">
        <v>12.023861999999999</v>
      </c>
      <c r="H182" s="284">
        <f t="shared" si="10"/>
        <v>19.690222999999996</v>
      </c>
      <c r="I182" s="277">
        <v>49.936872000000001</v>
      </c>
      <c r="J182" s="277">
        <v>9.7495419999999999</v>
      </c>
      <c r="K182" s="277">
        <v>8.3264899999999997</v>
      </c>
      <c r="L182" s="277">
        <v>7.2737160000000003</v>
      </c>
      <c r="M182" s="277">
        <v>9.3588430000000002</v>
      </c>
      <c r="N182" s="284">
        <f t="shared" si="11"/>
        <v>15.228281000000003</v>
      </c>
      <c r="O182" s="277">
        <v>55.831159</v>
      </c>
      <c r="P182" s="277">
        <v>9.0311780000000006</v>
      </c>
      <c r="Q182" s="277">
        <v>8.5695040000000002</v>
      </c>
      <c r="R182" s="277">
        <v>5.765091</v>
      </c>
      <c r="S182" s="277">
        <v>11.656511999999999</v>
      </c>
      <c r="T182" s="284">
        <f t="shared" si="12"/>
        <v>20.808874000000003</v>
      </c>
      <c r="U182" s="920">
        <v>13139.292333333333</v>
      </c>
      <c r="V182" s="920">
        <v>2396.7943333333333</v>
      </c>
      <c r="W182" s="920">
        <v>2387.6533333333332</v>
      </c>
      <c r="X182" s="920">
        <v>1825.1413333333333</v>
      </c>
      <c r="Y182" s="920">
        <v>1604.2359999999999</v>
      </c>
      <c r="Z182" s="874">
        <f t="shared" si="13"/>
        <v>4925.4673333333321</v>
      </c>
      <c r="AA182" s="920">
        <v>910.7</v>
      </c>
      <c r="AB182" s="277">
        <v>173.505</v>
      </c>
      <c r="AC182" s="920">
        <v>155.92699999999999</v>
      </c>
      <c r="AD182" s="920">
        <v>120.128</v>
      </c>
      <c r="AE182" s="920">
        <v>161.13800000000001</v>
      </c>
      <c r="AF182" s="920">
        <v>1837.8</v>
      </c>
      <c r="AG182" s="277">
        <v>337.14699999999999</v>
      </c>
      <c r="AH182" s="920">
        <v>321.39999999999998</v>
      </c>
      <c r="AI182" s="920">
        <v>237.637</v>
      </c>
      <c r="AJ182" s="920">
        <v>315.017</v>
      </c>
      <c r="AK182" s="919">
        <f>Data[[#This Row],[Industry Cost ($m)]]/Data[[#This Row],[Industry Consumption]]</f>
        <v>2.0180081256176567</v>
      </c>
      <c r="AL182" s="919">
        <f>Data[[#This Row],[AAL Fuel Cost]]/Data[[#This Row],[AAL Consumption]]</f>
        <v>1.9431543759545835</v>
      </c>
      <c r="AM182" s="919">
        <f>Data[[#This Row],[DAL Fuel Cost]]/Data[[#This Row],[DAL Consumption]]</f>
        <v>2.0612209559601609</v>
      </c>
      <c r="AN182" s="919">
        <f>Data[[#This Row],[UAL Fuel Cost]]/Data[[#This Row],[UALConsumption]]</f>
        <v>1.9781982551944592</v>
      </c>
      <c r="AO182" s="919">
        <f>Data[[#This Row],[LUV Fuel Cost]]/Data[[#This Row],[LUV Consumption]]</f>
        <v>1.9549516563442515</v>
      </c>
      <c r="AP182" s="919">
        <v>1.952</v>
      </c>
      <c r="AQ182" s="783"/>
    </row>
    <row r="183" spans="1:43" s="253" customFormat="1">
      <c r="A183" s="263">
        <f t="shared" si="14"/>
        <v>43159</v>
      </c>
      <c r="B183" s="263" t="s">
        <v>357</v>
      </c>
      <c r="C183" s="277">
        <v>58.225205000000003</v>
      </c>
      <c r="D183" s="277">
        <v>11.176619000000001</v>
      </c>
      <c r="E183" s="277">
        <v>9.7528850000000009</v>
      </c>
      <c r="F183" s="277">
        <v>8.2592499999999998</v>
      </c>
      <c r="G183" s="277">
        <v>10.675371999999999</v>
      </c>
      <c r="H183" s="284">
        <f t="shared" si="10"/>
        <v>18.361079000000004</v>
      </c>
      <c r="I183" s="277">
        <v>47.753625999999997</v>
      </c>
      <c r="J183" s="277">
        <v>9.2924140000000008</v>
      </c>
      <c r="K183" s="277">
        <v>8.1703880000000009</v>
      </c>
      <c r="L183" s="277">
        <v>6.7946309999999999</v>
      </c>
      <c r="M183" s="277">
        <v>8.6613910000000001</v>
      </c>
      <c r="N183" s="284">
        <f t="shared" si="11"/>
        <v>14.834801999999996</v>
      </c>
      <c r="O183" s="277">
        <v>54.078218999999997</v>
      </c>
      <c r="P183" s="277">
        <v>8.7535699999999999</v>
      </c>
      <c r="Q183" s="277">
        <v>8.5729780000000009</v>
      </c>
      <c r="R183" s="277">
        <v>5.5006029999999999</v>
      </c>
      <c r="S183" s="277">
        <v>10.920661000000001</v>
      </c>
      <c r="T183" s="284">
        <f t="shared" si="12"/>
        <v>20.330406999999994</v>
      </c>
      <c r="U183" s="920">
        <v>13139.292333333333</v>
      </c>
      <c r="V183" s="920">
        <v>2396.7943333333333</v>
      </c>
      <c r="W183" s="920">
        <v>2387.6533333333332</v>
      </c>
      <c r="X183" s="920">
        <v>1825.1413333333333</v>
      </c>
      <c r="Y183" s="920">
        <v>1604.2359999999999</v>
      </c>
      <c r="Z183" s="874">
        <f t="shared" si="13"/>
        <v>4925.4673333333321</v>
      </c>
      <c r="AA183" s="920">
        <v>850.9</v>
      </c>
      <c r="AB183" s="277">
        <v>163.17699999999999</v>
      </c>
      <c r="AC183" s="920">
        <v>148.18899999999999</v>
      </c>
      <c r="AD183" s="920">
        <v>112.265</v>
      </c>
      <c r="AE183" s="920">
        <v>145.01300000000001</v>
      </c>
      <c r="AF183" s="920">
        <v>1721.2</v>
      </c>
      <c r="AG183" s="277">
        <v>320.33699999999999</v>
      </c>
      <c r="AH183" s="920">
        <v>303.31099999999998</v>
      </c>
      <c r="AI183" s="920">
        <v>223.50399999999999</v>
      </c>
      <c r="AJ183" s="920">
        <v>291.089</v>
      </c>
      <c r="AK183" s="919">
        <f>Data[[#This Row],[Industry Cost ($m)]]/Data[[#This Row],[Industry Consumption]]</f>
        <v>2.0227993888823601</v>
      </c>
      <c r="AL183" s="919">
        <f>Data[[#This Row],[AAL Fuel Cost]]/Data[[#This Row],[AAL Consumption]]</f>
        <v>1.9631259307377877</v>
      </c>
      <c r="AM183" s="919">
        <f>Data[[#This Row],[DAL Fuel Cost]]/Data[[#This Row],[DAL Consumption]]</f>
        <v>2.0467848490778668</v>
      </c>
      <c r="AN183" s="919">
        <f>Data[[#This Row],[UAL Fuel Cost]]/Data[[#This Row],[UALConsumption]]</f>
        <v>1.9908609094553065</v>
      </c>
      <c r="AO183" s="919">
        <f>Data[[#This Row],[LUV Fuel Cost]]/Data[[#This Row],[LUV Consumption]]</f>
        <v>2.0073303772765199</v>
      </c>
      <c r="AP183" s="919">
        <v>1.849</v>
      </c>
      <c r="AQ183" s="783"/>
    </row>
    <row r="184" spans="1:43" s="253" customFormat="1">
      <c r="A184" s="263">
        <f t="shared" si="14"/>
        <v>43190</v>
      </c>
      <c r="B184" s="263" t="s">
        <v>357</v>
      </c>
      <c r="C184" s="277">
        <v>69.113369000000006</v>
      </c>
      <c r="D184" s="277">
        <v>12.636079000000001</v>
      </c>
      <c r="E184" s="277">
        <v>11.965187</v>
      </c>
      <c r="F184" s="277">
        <v>10.155473000000001</v>
      </c>
      <c r="G184" s="277">
        <v>13.227223</v>
      </c>
      <c r="H184" s="284">
        <f t="shared" si="10"/>
        <v>21.129407</v>
      </c>
      <c r="I184" s="277">
        <v>59.620609000000002</v>
      </c>
      <c r="J184" s="277">
        <v>11.148485000000001</v>
      </c>
      <c r="K184" s="277">
        <v>10.504705</v>
      </c>
      <c r="L184" s="277">
        <v>8.7384140000000006</v>
      </c>
      <c r="M184" s="277">
        <v>11.267619</v>
      </c>
      <c r="N184" s="284">
        <f t="shared" si="11"/>
        <v>17.961386000000005</v>
      </c>
      <c r="O184" s="277">
        <v>66.644135000000006</v>
      </c>
      <c r="P184" s="277">
        <v>10.422226</v>
      </c>
      <c r="Q184" s="277">
        <v>10.898771999999999</v>
      </c>
      <c r="R184" s="277">
        <v>6.9089210000000003</v>
      </c>
      <c r="S184" s="277">
        <v>13.899027</v>
      </c>
      <c r="T184" s="284">
        <f t="shared" si="12"/>
        <v>24.515189000000007</v>
      </c>
      <c r="U184" s="920">
        <v>13139.292333333333</v>
      </c>
      <c r="V184" s="920">
        <v>2396.7943333333333</v>
      </c>
      <c r="W184" s="920">
        <v>2387.6533333333332</v>
      </c>
      <c r="X184" s="920">
        <v>1825.1413333333333</v>
      </c>
      <c r="Y184" s="920">
        <v>1604.2359999999999</v>
      </c>
      <c r="Z184" s="874">
        <f t="shared" si="13"/>
        <v>4925.4673333333321</v>
      </c>
      <c r="AA184" s="920">
        <v>990.3</v>
      </c>
      <c r="AB184" s="277">
        <v>182.34800000000001</v>
      </c>
      <c r="AC184" s="920">
        <v>179.10300000000001</v>
      </c>
      <c r="AD184" s="920">
        <v>134.54</v>
      </c>
      <c r="AE184" s="920">
        <v>176.77</v>
      </c>
      <c r="AF184" s="920">
        <v>1936.7</v>
      </c>
      <c r="AG184" s="277">
        <v>350.49599999999998</v>
      </c>
      <c r="AH184" s="920">
        <v>339.50299999999999</v>
      </c>
      <c r="AI184" s="920">
        <v>260.56</v>
      </c>
      <c r="AJ184" s="920">
        <v>345.31700000000001</v>
      </c>
      <c r="AK184" s="919">
        <f>Data[[#This Row],[Industry Cost ($m)]]/Data[[#This Row],[Industry Consumption]]</f>
        <v>1.9556699989902051</v>
      </c>
      <c r="AL184" s="919">
        <f>Data[[#This Row],[AAL Fuel Cost]]/Data[[#This Row],[AAL Consumption]]</f>
        <v>1.9221269221488579</v>
      </c>
      <c r="AM184" s="919">
        <f>Data[[#This Row],[DAL Fuel Cost]]/Data[[#This Row],[DAL Consumption]]</f>
        <v>1.8955740551526215</v>
      </c>
      <c r="AN184" s="919">
        <f>Data[[#This Row],[UAL Fuel Cost]]/Data[[#This Row],[UALConsumption]]</f>
        <v>1.9366731083692583</v>
      </c>
      <c r="AO184" s="919">
        <f>Data[[#This Row],[LUV Fuel Cost]]/Data[[#This Row],[LUV Consumption]]</f>
        <v>1.9534819256661198</v>
      </c>
      <c r="AP184" s="919">
        <v>1.8580000000000001</v>
      </c>
      <c r="AQ184" s="783">
        <f>AVERAGE(AP182:AP184)</f>
        <v>1.8863333333333336</v>
      </c>
    </row>
    <row r="185" spans="1:43" s="253" customFormat="1">
      <c r="A185" s="263">
        <f t="shared" si="14"/>
        <v>43220</v>
      </c>
      <c r="B185" s="263" t="s">
        <v>357</v>
      </c>
      <c r="C185" s="277">
        <v>69.214685000000003</v>
      </c>
      <c r="D185" s="277">
        <v>12.204254000000001</v>
      </c>
      <c r="E185" s="277">
        <v>11.469933000000001</v>
      </c>
      <c r="F185" s="277">
        <v>10.327667999999999</v>
      </c>
      <c r="G185" s="277">
        <v>13.072513000000001</v>
      </c>
      <c r="H185" s="284">
        <f t="shared" si="10"/>
        <v>22.140316999999996</v>
      </c>
      <c r="I185" s="277">
        <v>58.456826999999997</v>
      </c>
      <c r="J185" s="277">
        <v>10.458335</v>
      </c>
      <c r="K185" s="277">
        <v>9.8926780000000001</v>
      </c>
      <c r="L185" s="277">
        <v>8.8985330000000005</v>
      </c>
      <c r="M185" s="277">
        <v>10.794650000000001</v>
      </c>
      <c r="N185" s="284">
        <f t="shared" si="11"/>
        <v>18.412630999999998</v>
      </c>
      <c r="O185" s="277">
        <v>64.557779999999994</v>
      </c>
      <c r="P185" s="277">
        <v>9.8792650000000002</v>
      </c>
      <c r="Q185" s="277">
        <v>10.458857999999999</v>
      </c>
      <c r="R185" s="277">
        <v>6.9970369999999997</v>
      </c>
      <c r="S185" s="277">
        <v>13.396982</v>
      </c>
      <c r="T185" s="284">
        <f t="shared" si="12"/>
        <v>23.825637999999998</v>
      </c>
      <c r="U185" s="920">
        <v>14751.286666666667</v>
      </c>
      <c r="V185" s="920">
        <v>2623.752</v>
      </c>
      <c r="W185" s="920">
        <v>2780.7196666666664</v>
      </c>
      <c r="X185" s="920">
        <v>2229.7706666666668</v>
      </c>
      <c r="Y185" s="920">
        <v>1863.4193333333333</v>
      </c>
      <c r="Z185" s="874">
        <f t="shared" si="13"/>
        <v>5253.625</v>
      </c>
      <c r="AA185" s="920">
        <v>965.4</v>
      </c>
      <c r="AB185" s="277">
        <v>176.46899999999999</v>
      </c>
      <c r="AC185" s="920">
        <v>170.928</v>
      </c>
      <c r="AD185" s="920">
        <v>137.001</v>
      </c>
      <c r="AE185" s="920">
        <v>174.52199999999999</v>
      </c>
      <c r="AF185" s="920">
        <v>2005.5</v>
      </c>
      <c r="AG185" s="277">
        <v>347.767</v>
      </c>
      <c r="AH185" s="920">
        <v>371.62</v>
      </c>
      <c r="AI185" s="920">
        <v>279.21899999999999</v>
      </c>
      <c r="AJ185" s="920">
        <v>348.976</v>
      </c>
      <c r="AK185" s="919">
        <f>Data[[#This Row],[Industry Cost ($m)]]/Data[[#This Row],[Industry Consumption]]</f>
        <v>2.0773772529521444</v>
      </c>
      <c r="AL185" s="919">
        <f>Data[[#This Row],[AAL Fuel Cost]]/Data[[#This Row],[AAL Consumption]]</f>
        <v>1.9706974029432931</v>
      </c>
      <c r="AM185" s="919">
        <f>Data[[#This Row],[DAL Fuel Cost]]/Data[[#This Row],[DAL Consumption]]</f>
        <v>2.1741317981840309</v>
      </c>
      <c r="AN185" s="919">
        <f>Data[[#This Row],[UAL Fuel Cost]]/Data[[#This Row],[UALConsumption]]</f>
        <v>2.0380800140144961</v>
      </c>
      <c r="AO185" s="919">
        <f>Data[[#This Row],[LUV Fuel Cost]]/Data[[#This Row],[LUV Consumption]]</f>
        <v>1.9996103643093708</v>
      </c>
      <c r="AP185" s="919">
        <v>2.0150000000000001</v>
      </c>
      <c r="AQ185" s="783"/>
    </row>
    <row r="186" spans="1:43" s="253" customFormat="1">
      <c r="A186" s="263">
        <f t="shared" si="14"/>
        <v>43251</v>
      </c>
      <c r="B186" s="263" t="s">
        <v>357</v>
      </c>
      <c r="C186" s="277">
        <v>72.179680000000005</v>
      </c>
      <c r="D186" s="277">
        <v>12.828584999999999</v>
      </c>
      <c r="E186" s="277">
        <v>11.956434999999999</v>
      </c>
      <c r="F186" s="277">
        <v>10.808911999999999</v>
      </c>
      <c r="G186" s="277">
        <v>13.34469</v>
      </c>
      <c r="H186" s="284">
        <f t="shared" si="10"/>
        <v>23.24105800000001</v>
      </c>
      <c r="I186" s="277">
        <v>61.692422000000001</v>
      </c>
      <c r="J186" s="277">
        <v>11.074519</v>
      </c>
      <c r="K186" s="277">
        <v>10.465289</v>
      </c>
      <c r="L186" s="277">
        <v>9.3896829999999998</v>
      </c>
      <c r="M186" s="277">
        <v>11.300151</v>
      </c>
      <c r="N186" s="284">
        <f t="shared" si="11"/>
        <v>19.462780000000002</v>
      </c>
      <c r="O186" s="277">
        <v>67.846119000000002</v>
      </c>
      <c r="P186" s="277">
        <v>10.356532</v>
      </c>
      <c r="Q186" s="277">
        <v>11.0427</v>
      </c>
      <c r="R186" s="277">
        <v>7.4168770000000004</v>
      </c>
      <c r="S186" s="277">
        <v>14.040464999999999</v>
      </c>
      <c r="T186" s="284">
        <f t="shared" si="12"/>
        <v>24.989545000000007</v>
      </c>
      <c r="U186" s="920">
        <v>14751.286666666667</v>
      </c>
      <c r="V186" s="920">
        <v>2623.752</v>
      </c>
      <c r="W186" s="920">
        <v>2780.7196666666664</v>
      </c>
      <c r="X186" s="920">
        <v>2229.7706666666668</v>
      </c>
      <c r="Y186" s="920">
        <v>1863.4193333333333</v>
      </c>
      <c r="Z186" s="874">
        <f t="shared" si="13"/>
        <v>5253.625</v>
      </c>
      <c r="AA186" s="920">
        <v>1011.8</v>
      </c>
      <c r="AB186" s="277">
        <v>186.10599999999999</v>
      </c>
      <c r="AC186" s="920">
        <v>179.70699999999999</v>
      </c>
      <c r="AD186" s="920">
        <v>144.733</v>
      </c>
      <c r="AE186" s="920">
        <v>179.255</v>
      </c>
      <c r="AF186" s="920">
        <v>2209.9</v>
      </c>
      <c r="AG186" s="277">
        <v>393.99799999999999</v>
      </c>
      <c r="AH186" s="920">
        <v>379.47300000000001</v>
      </c>
      <c r="AI186" s="920">
        <v>314.82400000000001</v>
      </c>
      <c r="AJ186" s="920">
        <v>379.12</v>
      </c>
      <c r="AK186" s="919">
        <f>Data[[#This Row],[Industry Cost ($m)]]/Data[[#This Row],[Industry Consumption]]</f>
        <v>2.1841272978849577</v>
      </c>
      <c r="AL186" s="919">
        <f>Data[[#This Row],[AAL Fuel Cost]]/Data[[#This Row],[AAL Consumption]]</f>
        <v>2.1170623193233964</v>
      </c>
      <c r="AM186" s="919">
        <f>Data[[#This Row],[DAL Fuel Cost]]/Data[[#This Row],[DAL Consumption]]</f>
        <v>2.1116205823924501</v>
      </c>
      <c r="AN186" s="919">
        <f>Data[[#This Row],[UAL Fuel Cost]]/Data[[#This Row],[UALConsumption]]</f>
        <v>2.1752053781791298</v>
      </c>
      <c r="AO186" s="919">
        <f>Data[[#This Row],[LUV Fuel Cost]]/Data[[#This Row],[LUV Consumption]]</f>
        <v>2.1149758723606036</v>
      </c>
      <c r="AP186" s="919">
        <v>2.1549999999999998</v>
      </c>
      <c r="AQ186" s="783"/>
    </row>
    <row r="187" spans="1:43" s="253" customFormat="1">
      <c r="A187" s="263">
        <f t="shared" si="14"/>
        <v>43281</v>
      </c>
      <c r="B187" s="263" t="s">
        <v>357</v>
      </c>
      <c r="C187" s="277">
        <v>74.200872000000004</v>
      </c>
      <c r="D187" s="277">
        <v>13.207884</v>
      </c>
      <c r="E187" s="277">
        <v>12.661054</v>
      </c>
      <c r="F187" s="277">
        <v>11.383563000000001</v>
      </c>
      <c r="G187" s="277">
        <v>13.512464</v>
      </c>
      <c r="H187" s="284">
        <f t="shared" si="10"/>
        <v>23.435907</v>
      </c>
      <c r="I187" s="277">
        <v>65.185742000000005</v>
      </c>
      <c r="J187" s="277">
        <v>11.718730000000001</v>
      </c>
      <c r="K187" s="277">
        <v>11.23612</v>
      </c>
      <c r="L187" s="277">
        <v>10.219056</v>
      </c>
      <c r="M187" s="277">
        <v>11.739575</v>
      </c>
      <c r="N187" s="284">
        <f t="shared" si="11"/>
        <v>20.272261</v>
      </c>
      <c r="O187" s="277">
        <v>70.279157999999995</v>
      </c>
      <c r="P187" s="277">
        <v>10.635376000000001</v>
      </c>
      <c r="Q187" s="277">
        <v>11.433287</v>
      </c>
      <c r="R187" s="277">
        <v>7.9536579999999999</v>
      </c>
      <c r="S187" s="277">
        <v>14.252319999999999</v>
      </c>
      <c r="T187" s="284">
        <f t="shared" si="12"/>
        <v>26.004516999999993</v>
      </c>
      <c r="U187" s="920">
        <v>14751.286666666667</v>
      </c>
      <c r="V187" s="920">
        <v>2623.752</v>
      </c>
      <c r="W187" s="920">
        <v>2780.7196666666664</v>
      </c>
      <c r="X187" s="920">
        <v>2229.7706666666668</v>
      </c>
      <c r="Y187" s="920">
        <v>1863.4193333333333</v>
      </c>
      <c r="Z187" s="874">
        <f t="shared" si="13"/>
        <v>5253.625</v>
      </c>
      <c r="AA187" s="920">
        <v>1038.5999999999999</v>
      </c>
      <c r="AB187" s="277">
        <v>191.94200000000001</v>
      </c>
      <c r="AC187" s="920">
        <v>189.495</v>
      </c>
      <c r="AD187" s="920">
        <v>154.05699999999999</v>
      </c>
      <c r="AE187" s="920">
        <v>181.822</v>
      </c>
      <c r="AF187" s="920">
        <v>2288.3000000000002</v>
      </c>
      <c r="AG187" s="277">
        <v>413.05500000000001</v>
      </c>
      <c r="AH187" s="920">
        <v>410.2</v>
      </c>
      <c r="AI187" s="920">
        <v>335.404</v>
      </c>
      <c r="AJ187" s="920">
        <v>394.59100000000001</v>
      </c>
      <c r="AK187" s="919">
        <f>Data[[#This Row],[Industry Cost ($m)]]/Data[[#This Row],[Industry Consumption]]</f>
        <v>2.2032543808973624</v>
      </c>
      <c r="AL187" s="919">
        <f>Data[[#This Row],[AAL Fuel Cost]]/Data[[#This Row],[AAL Consumption]]</f>
        <v>2.1519782017484448</v>
      </c>
      <c r="AM187" s="919">
        <f>Data[[#This Row],[DAL Fuel Cost]]/Data[[#This Row],[DAL Consumption]]</f>
        <v>2.1647009155914403</v>
      </c>
      <c r="AN187" s="919">
        <f>Data[[#This Row],[UAL Fuel Cost]]/Data[[#This Row],[UALConsumption]]</f>
        <v>2.1771422265784746</v>
      </c>
      <c r="AO187" s="919">
        <f>Data[[#This Row],[LUV Fuel Cost]]/Data[[#This Row],[LUV Consumption]]</f>
        <v>2.1702049256965603</v>
      </c>
      <c r="AP187" s="919">
        <v>2.09</v>
      </c>
      <c r="AQ187" s="783">
        <f>AVERAGE(AP185:AP187)</f>
        <v>2.0866666666666664</v>
      </c>
    </row>
    <row r="188" spans="1:43" s="253" customFormat="1">
      <c r="A188" s="263">
        <f t="shared" si="14"/>
        <v>43312</v>
      </c>
      <c r="B188" s="263" t="s">
        <v>357</v>
      </c>
      <c r="C188" s="277">
        <v>77.276233000000005</v>
      </c>
      <c r="D188" s="277">
        <v>13.669487999999999</v>
      </c>
      <c r="E188" s="277">
        <v>13.445174000000002</v>
      </c>
      <c r="F188" s="277">
        <v>11.862388999999999</v>
      </c>
      <c r="G188" s="277">
        <v>14.018889</v>
      </c>
      <c r="H188" s="284">
        <f t="shared" si="10"/>
        <v>24.280293</v>
      </c>
      <c r="I188" s="277">
        <v>68.176940999999999</v>
      </c>
      <c r="J188" s="277">
        <v>12.143687999999999</v>
      </c>
      <c r="K188" s="277">
        <v>11.991789000000001</v>
      </c>
      <c r="L188" s="277">
        <v>10.831424999999999</v>
      </c>
      <c r="M188" s="277">
        <v>12.079916000000001</v>
      </c>
      <c r="N188" s="284">
        <f t="shared" si="11"/>
        <v>21.130122999999998</v>
      </c>
      <c r="O188" s="277">
        <v>72.540389000000005</v>
      </c>
      <c r="P188" s="277">
        <v>10.882459000000001</v>
      </c>
      <c r="Q188" s="277">
        <v>11.918888000000001</v>
      </c>
      <c r="R188" s="277">
        <v>8.3595980000000001</v>
      </c>
      <c r="S188" s="277">
        <v>14.456159</v>
      </c>
      <c r="T188" s="284">
        <f t="shared" si="12"/>
        <v>26.923285000000007</v>
      </c>
      <c r="U188" s="920">
        <v>14599.553333333335</v>
      </c>
      <c r="V188" s="920">
        <v>2541.6916666666666</v>
      </c>
      <c r="W188" s="920">
        <v>2746.846</v>
      </c>
      <c r="X188" s="920">
        <v>2254.0930000000003</v>
      </c>
      <c r="Y188" s="920">
        <v>1811.6493333333335</v>
      </c>
      <c r="Z188" s="874">
        <f t="shared" si="13"/>
        <v>5245.2733333333344</v>
      </c>
      <c r="AA188" s="920">
        <v>1078.4000000000001</v>
      </c>
      <c r="AB188" s="277">
        <v>200.04300000000001</v>
      </c>
      <c r="AC188" s="920">
        <v>200.21299999999999</v>
      </c>
      <c r="AD188" s="920">
        <v>160.01599999999999</v>
      </c>
      <c r="AE188" s="920">
        <v>188.79300000000001</v>
      </c>
      <c r="AF188" s="920">
        <v>2365.1</v>
      </c>
      <c r="AG188" s="277">
        <v>423.96699999999998</v>
      </c>
      <c r="AH188" s="920">
        <v>451.14400000000001</v>
      </c>
      <c r="AI188" s="920">
        <v>345.24400000000003</v>
      </c>
      <c r="AJ188" s="920">
        <v>401.00700000000001</v>
      </c>
      <c r="AK188" s="919">
        <f>Data[[#This Row],[Industry Cost ($m)]]/Data[[#This Row],[Industry Consumption]]</f>
        <v>2.1931565281899106</v>
      </c>
      <c r="AL188" s="919">
        <f>Data[[#This Row],[AAL Fuel Cost]]/Data[[#This Row],[AAL Consumption]]</f>
        <v>2.1193793334433098</v>
      </c>
      <c r="AM188" s="919">
        <f>Data[[#This Row],[DAL Fuel Cost]]/Data[[#This Row],[DAL Consumption]]</f>
        <v>2.2533202139721196</v>
      </c>
      <c r="AN188" s="919">
        <f>Data[[#This Row],[UAL Fuel Cost]]/Data[[#This Row],[UALConsumption]]</f>
        <v>2.1575592440755926</v>
      </c>
      <c r="AO188" s="919">
        <f>Data[[#This Row],[LUV Fuel Cost]]/Data[[#This Row],[LUV Consumption]]</f>
        <v>2.124056506332332</v>
      </c>
      <c r="AP188" s="919">
        <v>2.0979999999999999</v>
      </c>
      <c r="AQ188" s="783"/>
    </row>
    <row r="189" spans="1:43" s="253" customFormat="1">
      <c r="A189" s="263">
        <f t="shared" si="14"/>
        <v>43343</v>
      </c>
      <c r="B189" s="263" t="s">
        <v>357</v>
      </c>
      <c r="C189" s="277">
        <v>75.566730000000007</v>
      </c>
      <c r="D189" s="277">
        <v>13.457585</v>
      </c>
      <c r="E189" s="277">
        <v>13.353453</v>
      </c>
      <c r="F189" s="277">
        <v>11.771387000000001</v>
      </c>
      <c r="G189" s="277">
        <v>13.124191999999999</v>
      </c>
      <c r="H189" s="284">
        <f t="shared" si="10"/>
        <v>23.860113000000005</v>
      </c>
      <c r="I189" s="277">
        <v>65.217820000000003</v>
      </c>
      <c r="J189" s="277">
        <v>11.635177000000001</v>
      </c>
      <c r="K189" s="277">
        <v>11.803438999999999</v>
      </c>
      <c r="L189" s="277">
        <v>10.376588999999999</v>
      </c>
      <c r="M189" s="277">
        <v>11.053578</v>
      </c>
      <c r="N189" s="284">
        <f t="shared" si="11"/>
        <v>20.349037000000003</v>
      </c>
      <c r="O189" s="277">
        <v>70.338562999999994</v>
      </c>
      <c r="P189" s="277">
        <v>10.584429999999999</v>
      </c>
      <c r="Q189" s="277">
        <v>11.932518</v>
      </c>
      <c r="R189" s="277">
        <v>8.1244189999999996</v>
      </c>
      <c r="S189" s="277">
        <v>13.593159999999999</v>
      </c>
      <c r="T189" s="284">
        <f t="shared" si="12"/>
        <v>26.104035999999994</v>
      </c>
      <c r="U189" s="920">
        <v>14599.553333333335</v>
      </c>
      <c r="V189" s="920">
        <v>2541.6916666666666</v>
      </c>
      <c r="W189" s="920">
        <v>2746.846</v>
      </c>
      <c r="X189" s="920">
        <v>2254.0930000000003</v>
      </c>
      <c r="Y189" s="920">
        <v>1811.6493333333335</v>
      </c>
      <c r="Z189" s="874">
        <f t="shared" si="13"/>
        <v>5245.2733333333344</v>
      </c>
      <c r="AA189" s="920">
        <v>1071.0999999999999</v>
      </c>
      <c r="AB189" s="277">
        <v>200.03100000000001</v>
      </c>
      <c r="AC189" s="920">
        <v>200.75899999999999</v>
      </c>
      <c r="AD189" s="920">
        <v>159.273</v>
      </c>
      <c r="AE189" s="920">
        <v>177.34200000000001</v>
      </c>
      <c r="AF189" s="920">
        <v>2349.1999999999998</v>
      </c>
      <c r="AG189" s="277">
        <v>425.452</v>
      </c>
      <c r="AH189" s="920">
        <v>437.34800000000001</v>
      </c>
      <c r="AI189" s="920">
        <v>344.423</v>
      </c>
      <c r="AJ189" s="920">
        <v>384.096</v>
      </c>
      <c r="AK189" s="919">
        <f>Data[[#This Row],[Industry Cost ($m)]]/Data[[#This Row],[Industry Consumption]]</f>
        <v>2.1932592661749601</v>
      </c>
      <c r="AL189" s="919">
        <f>Data[[#This Row],[AAL Fuel Cost]]/Data[[#This Row],[AAL Consumption]]</f>
        <v>2.1269303257995009</v>
      </c>
      <c r="AM189" s="919">
        <f>Data[[#This Row],[DAL Fuel Cost]]/Data[[#This Row],[DAL Consumption]]</f>
        <v>2.1784726961182317</v>
      </c>
      <c r="AN189" s="919">
        <f>Data[[#This Row],[UAL Fuel Cost]]/Data[[#This Row],[UALConsumption]]</f>
        <v>2.1624694706572991</v>
      </c>
      <c r="AO189" s="919">
        <f>Data[[#This Row],[LUV Fuel Cost]]/Data[[#This Row],[LUV Consumption]]</f>
        <v>2.1658490374530568</v>
      </c>
      <c r="AP189" s="919">
        <v>2.1179999999999999</v>
      </c>
      <c r="AQ189" s="783"/>
    </row>
    <row r="190" spans="1:43" s="253" customFormat="1">
      <c r="A190" s="263">
        <f t="shared" si="14"/>
        <v>43373</v>
      </c>
      <c r="B190" s="263" t="s">
        <v>357</v>
      </c>
      <c r="C190" s="277">
        <v>67.490855999999994</v>
      </c>
      <c r="D190" s="277">
        <v>12.225584999999999</v>
      </c>
      <c r="E190" s="277">
        <v>11.358251000000001</v>
      </c>
      <c r="F190" s="277">
        <v>10.542313</v>
      </c>
      <c r="G190" s="277">
        <v>12.060186999999999</v>
      </c>
      <c r="H190" s="284">
        <f t="shared" si="10"/>
        <v>21.304519999999997</v>
      </c>
      <c r="I190" s="277">
        <v>54.647264999999997</v>
      </c>
      <c r="J190" s="277">
        <v>9.6929169999999996</v>
      </c>
      <c r="K190" s="277">
        <v>9.5046359999999996</v>
      </c>
      <c r="L190" s="277">
        <v>8.6206130000000005</v>
      </c>
      <c r="M190" s="277">
        <v>9.7322389999999999</v>
      </c>
      <c r="N190" s="284">
        <f t="shared" si="11"/>
        <v>17.09686</v>
      </c>
      <c r="O190" s="277">
        <v>60.468575000000001</v>
      </c>
      <c r="P190" s="277">
        <v>9.0043360000000003</v>
      </c>
      <c r="Q190" s="277">
        <v>10.028453000000001</v>
      </c>
      <c r="R190" s="277">
        <v>6.9584169999999999</v>
      </c>
      <c r="S190" s="277">
        <v>12.231040999999999</v>
      </c>
      <c r="T190" s="284">
        <f t="shared" si="12"/>
        <v>22.246327999999998</v>
      </c>
      <c r="U190" s="920">
        <v>14599.553333333335</v>
      </c>
      <c r="V190" s="920">
        <v>2541.6916666666666</v>
      </c>
      <c r="W190" s="920">
        <v>2746.846</v>
      </c>
      <c r="X190" s="920">
        <v>2254.0930000000003</v>
      </c>
      <c r="Y190" s="920">
        <v>1811.6493333333335</v>
      </c>
      <c r="Z190" s="874">
        <f t="shared" si="13"/>
        <v>5245.2733333333344</v>
      </c>
      <c r="AA190" s="920">
        <v>950.1</v>
      </c>
      <c r="AB190" s="277">
        <v>181.029</v>
      </c>
      <c r="AC190" s="920">
        <v>168.81</v>
      </c>
      <c r="AD190" s="920">
        <v>141.27000000000001</v>
      </c>
      <c r="AE190" s="920">
        <v>162.637</v>
      </c>
      <c r="AF190" s="920">
        <v>2104.8000000000002</v>
      </c>
      <c r="AG190" s="277">
        <v>394.11900000000003</v>
      </c>
      <c r="AH190" s="920">
        <v>376.81599999999997</v>
      </c>
      <c r="AI190" s="920">
        <v>313.60599999999999</v>
      </c>
      <c r="AJ190" s="920">
        <v>348.298</v>
      </c>
      <c r="AK190" s="919">
        <f>Data[[#This Row],[Industry Cost ($m)]]/Data[[#This Row],[Industry Consumption]]</f>
        <v>2.2153457530786236</v>
      </c>
      <c r="AL190" s="919">
        <f>Data[[#This Row],[AAL Fuel Cost]]/Data[[#This Row],[AAL Consumption]]</f>
        <v>2.1771042208706892</v>
      </c>
      <c r="AM190" s="919">
        <f>Data[[#This Row],[DAL Fuel Cost]]/Data[[#This Row],[DAL Consumption]]</f>
        <v>2.2321900361352998</v>
      </c>
      <c r="AN190" s="919">
        <f>Data[[#This Row],[UAL Fuel Cost]]/Data[[#This Row],[UALConsumption]]</f>
        <v>2.2199051461739927</v>
      </c>
      <c r="AO190" s="919">
        <f>Data[[#This Row],[LUV Fuel Cost]]/Data[[#This Row],[LUV Consumption]]</f>
        <v>2.1415668021421941</v>
      </c>
      <c r="AP190" s="919">
        <v>2.1890000000000001</v>
      </c>
      <c r="AQ190" s="783">
        <f>AVERAGE(AP188:AP190)</f>
        <v>2.1349999999999998</v>
      </c>
    </row>
    <row r="191" spans="1:43" s="253" customFormat="1">
      <c r="A191" s="263">
        <f t="shared" si="14"/>
        <v>43404</v>
      </c>
      <c r="B191" s="263" t="s">
        <v>357</v>
      </c>
      <c r="C191" s="277">
        <v>70.991226999999995</v>
      </c>
      <c r="D191" s="277">
        <v>12.787012000000001</v>
      </c>
      <c r="E191" s="277">
        <v>11.780794999999999</v>
      </c>
      <c r="F191" s="277">
        <v>11.032446</v>
      </c>
      <c r="G191" s="277">
        <v>13.025413</v>
      </c>
      <c r="H191" s="284">
        <f t="shared" si="10"/>
        <v>22.365560999999992</v>
      </c>
      <c r="I191" s="277">
        <v>60.190272999999998</v>
      </c>
      <c r="J191" s="277">
        <v>10.846817</v>
      </c>
      <c r="K191" s="277">
        <v>10.249931999999999</v>
      </c>
      <c r="L191" s="277">
        <v>9.3992780000000007</v>
      </c>
      <c r="M191" s="277">
        <v>11.012373</v>
      </c>
      <c r="N191" s="284">
        <f t="shared" si="11"/>
        <v>18.681873000000003</v>
      </c>
      <c r="O191" s="277">
        <v>67.082086000000004</v>
      </c>
      <c r="P191" s="277">
        <v>10.268808</v>
      </c>
      <c r="Q191" s="277">
        <v>11.070334000000001</v>
      </c>
      <c r="R191" s="277">
        <v>7.6608169999999998</v>
      </c>
      <c r="S191" s="277">
        <v>13.766257</v>
      </c>
      <c r="T191" s="284">
        <f t="shared" si="12"/>
        <v>24.315870000000004</v>
      </c>
      <c r="U191" s="920">
        <v>14738.519</v>
      </c>
      <c r="V191" s="920">
        <v>2582.9270000000001</v>
      </c>
      <c r="W191" s="920">
        <v>2621.8119999999999</v>
      </c>
      <c r="X191" s="920">
        <v>2208.4863333333333</v>
      </c>
      <c r="Y191" s="920">
        <v>1853.807</v>
      </c>
      <c r="Z191" s="874">
        <f t="shared" si="13"/>
        <v>5471.4866666666676</v>
      </c>
      <c r="AA191" s="920">
        <v>1003.8</v>
      </c>
      <c r="AB191" s="277">
        <v>190.202</v>
      </c>
      <c r="AC191" s="920">
        <v>175.61799999999999</v>
      </c>
      <c r="AD191" s="920">
        <v>148.70599999999999</v>
      </c>
      <c r="AE191" s="920">
        <v>175.167</v>
      </c>
      <c r="AF191" s="920">
        <v>2350.6999999999998</v>
      </c>
      <c r="AG191" s="277">
        <v>429.95699999999999</v>
      </c>
      <c r="AH191" s="920">
        <v>428.20299999999997</v>
      </c>
      <c r="AI191" s="920">
        <v>343.66199999999998</v>
      </c>
      <c r="AJ191" s="920">
        <v>385.416</v>
      </c>
      <c r="AK191" s="919">
        <f>Data[[#This Row],[Industry Cost ($m)]]/Data[[#This Row],[Industry Consumption]]</f>
        <v>2.3418011556086871</v>
      </c>
      <c r="AL191" s="919">
        <f>Data[[#This Row],[AAL Fuel Cost]]/Data[[#This Row],[AAL Consumption]]</f>
        <v>2.2605282804597215</v>
      </c>
      <c r="AM191" s="919">
        <f>Data[[#This Row],[DAL Fuel Cost]]/Data[[#This Row],[DAL Consumption]]</f>
        <v>2.4382637315081599</v>
      </c>
      <c r="AN191" s="919">
        <f>Data[[#This Row],[UAL Fuel Cost]]/Data[[#This Row],[UALConsumption]]</f>
        <v>2.3110163678667974</v>
      </c>
      <c r="AO191" s="919">
        <f>Data[[#This Row],[LUV Fuel Cost]]/Data[[#This Row],[LUV Consumption]]</f>
        <v>2.2002774495196014</v>
      </c>
      <c r="AP191" s="919">
        <v>2.2490000000000001</v>
      </c>
      <c r="AQ191" s="783"/>
    </row>
    <row r="192" spans="1:43" s="253" customFormat="1">
      <c r="A192" s="263">
        <f t="shared" si="14"/>
        <v>43434</v>
      </c>
      <c r="B192" s="263" t="s">
        <v>357</v>
      </c>
      <c r="C192" s="277">
        <v>68.120834000000002</v>
      </c>
      <c r="D192" s="277">
        <v>12.055161</v>
      </c>
      <c r="E192" s="277">
        <v>11.040272000000002</v>
      </c>
      <c r="F192" s="277">
        <v>10.243138999999999</v>
      </c>
      <c r="G192" s="277">
        <v>12.90733</v>
      </c>
      <c r="H192" s="284">
        <f t="shared" si="10"/>
        <v>21.874932000000001</v>
      </c>
      <c r="I192" s="277">
        <v>58.009149000000001</v>
      </c>
      <c r="J192" s="277">
        <v>10.285416</v>
      </c>
      <c r="K192" s="277">
        <v>9.7306690000000007</v>
      </c>
      <c r="L192" s="277">
        <v>8.8167159999999996</v>
      </c>
      <c r="M192" s="277">
        <v>10.924229</v>
      </c>
      <c r="N192" s="284">
        <f t="shared" si="11"/>
        <v>18.252119</v>
      </c>
      <c r="O192" s="277">
        <v>64.660021999999998</v>
      </c>
      <c r="P192" s="277">
        <v>9.8883039999999998</v>
      </c>
      <c r="Q192" s="277">
        <v>10.544475</v>
      </c>
      <c r="R192" s="277">
        <v>7.1993790000000004</v>
      </c>
      <c r="S192" s="277">
        <v>13.627166000000001</v>
      </c>
      <c r="T192" s="284">
        <f t="shared" si="12"/>
        <v>23.400697999999998</v>
      </c>
      <c r="U192" s="920">
        <v>14738.519</v>
      </c>
      <c r="V192" s="920">
        <v>2582.9270000000001</v>
      </c>
      <c r="W192" s="920">
        <v>2621.8119999999999</v>
      </c>
      <c r="X192" s="920">
        <v>2208.4863333333333</v>
      </c>
      <c r="Y192" s="920">
        <v>1853.807</v>
      </c>
      <c r="Z192" s="874">
        <f t="shared" si="13"/>
        <v>5471.4866666666676</v>
      </c>
      <c r="AA192" s="920">
        <v>970.6</v>
      </c>
      <c r="AB192" s="277">
        <v>178.27799999999999</v>
      </c>
      <c r="AC192" s="920">
        <v>166.54499999999999</v>
      </c>
      <c r="AD192" s="920">
        <v>137.56299999999999</v>
      </c>
      <c r="AE192" s="920">
        <v>172.86500000000001</v>
      </c>
      <c r="AF192" s="920">
        <v>2186.1</v>
      </c>
      <c r="AG192" s="277">
        <v>381.04199999999997</v>
      </c>
      <c r="AH192" s="920">
        <v>409.71800000000002</v>
      </c>
      <c r="AI192" s="920">
        <v>304.09699999999998</v>
      </c>
      <c r="AJ192" s="920">
        <v>386.22300000000001</v>
      </c>
      <c r="AK192" s="919">
        <f>Data[[#This Row],[Industry Cost ($m)]]/Data[[#This Row],[Industry Consumption]]</f>
        <v>2.2523181537193486</v>
      </c>
      <c r="AL192" s="919">
        <f>Data[[#This Row],[AAL Fuel Cost]]/Data[[#This Row],[AAL Consumption]]</f>
        <v>2.1373472890653922</v>
      </c>
      <c r="AM192" s="919">
        <f>Data[[#This Row],[DAL Fuel Cost]]/Data[[#This Row],[DAL Consumption]]</f>
        <v>2.4601038758293559</v>
      </c>
      <c r="AN192" s="919">
        <f>Data[[#This Row],[UAL Fuel Cost]]/Data[[#This Row],[UALConsumption]]</f>
        <v>2.2106016879538828</v>
      </c>
      <c r="AO192" s="919">
        <f>Data[[#This Row],[LUV Fuel Cost]]/Data[[#This Row],[LUV Consumption]]</f>
        <v>2.2342463772307868</v>
      </c>
      <c r="AP192" s="919">
        <v>1.9450000000000001</v>
      </c>
      <c r="AQ192" s="783"/>
    </row>
    <row r="193" spans="1:43" s="253" customFormat="1">
      <c r="A193" s="263">
        <f t="shared" si="14"/>
        <v>43465</v>
      </c>
      <c r="B193" s="263" t="s">
        <v>357</v>
      </c>
      <c r="C193" s="277">
        <v>70.877758</v>
      </c>
      <c r="D193" s="277">
        <v>12.538423</v>
      </c>
      <c r="E193" s="277">
        <v>11.454096999999999</v>
      </c>
      <c r="F193" s="277">
        <v>10.819656999999999</v>
      </c>
      <c r="G193" s="277">
        <v>13.027186</v>
      </c>
      <c r="H193" s="284">
        <f t="shared" si="10"/>
        <v>23.038395000000001</v>
      </c>
      <c r="I193" s="277">
        <v>58.711320000000001</v>
      </c>
      <c r="J193" s="277">
        <v>10.426356</v>
      </c>
      <c r="K193" s="277">
        <v>9.7820920000000005</v>
      </c>
      <c r="L193" s="277">
        <v>9.0351289999999995</v>
      </c>
      <c r="M193" s="277">
        <v>10.630955</v>
      </c>
      <c r="N193" s="284">
        <f t="shared" si="11"/>
        <v>18.836787999999999</v>
      </c>
      <c r="O193" s="277">
        <v>63.646582000000002</v>
      </c>
      <c r="P193" s="277">
        <v>9.7643880000000003</v>
      </c>
      <c r="Q193" s="277">
        <v>10.002045000000001</v>
      </c>
      <c r="R193" s="277">
        <v>7.0512309999999996</v>
      </c>
      <c r="S193" s="277">
        <v>13.205219</v>
      </c>
      <c r="T193" s="284">
        <f t="shared" si="12"/>
        <v>23.623699000000002</v>
      </c>
      <c r="U193" s="920">
        <v>14738.519</v>
      </c>
      <c r="V193" s="920">
        <v>2582.9270000000001</v>
      </c>
      <c r="W193" s="920">
        <v>2621.8119999999999</v>
      </c>
      <c r="X193" s="920">
        <v>2208.4863333333333</v>
      </c>
      <c r="Y193" s="920">
        <v>1853.807</v>
      </c>
      <c r="Z193" s="874">
        <f t="shared" si="13"/>
        <v>5471.4866666666676</v>
      </c>
      <c r="AA193" s="920">
        <v>1006.7</v>
      </c>
      <c r="AB193" s="277">
        <v>183.22499999999999</v>
      </c>
      <c r="AC193" s="920">
        <v>169.261</v>
      </c>
      <c r="AD193" s="920">
        <v>142.85499999999999</v>
      </c>
      <c r="AE193" s="920">
        <v>173.20400000000001</v>
      </c>
      <c r="AF193" s="920">
        <v>2047.3</v>
      </c>
      <c r="AG193" s="277">
        <v>345.96100000000001</v>
      </c>
      <c r="AH193" s="920">
        <v>414.327</v>
      </c>
      <c r="AI193" s="920">
        <v>275.411</v>
      </c>
      <c r="AJ193" s="920">
        <v>351.34</v>
      </c>
      <c r="AK193" s="919">
        <f>Data[[#This Row],[Industry Cost ($m)]]/Data[[#This Row],[Industry Consumption]]</f>
        <v>2.0336743816429919</v>
      </c>
      <c r="AL193" s="919">
        <f>Data[[#This Row],[AAL Fuel Cost]]/Data[[#This Row],[AAL Consumption]]</f>
        <v>1.8881757402101242</v>
      </c>
      <c r="AM193" s="919">
        <f>Data[[#This Row],[DAL Fuel Cost]]/Data[[#This Row],[DAL Consumption]]</f>
        <v>2.4478586325260987</v>
      </c>
      <c r="AN193" s="919">
        <f>Data[[#This Row],[UAL Fuel Cost]]/Data[[#This Row],[UALConsumption]]</f>
        <v>1.927905918588779</v>
      </c>
      <c r="AO193" s="919">
        <f>Data[[#This Row],[LUV Fuel Cost]]/Data[[#This Row],[LUV Consumption]]</f>
        <v>2.0284750929539732</v>
      </c>
      <c r="AP193" s="919">
        <v>1.696</v>
      </c>
      <c r="AQ193" s="783">
        <f>AVERAGE(AP191:AP193)</f>
        <v>1.9633333333333332</v>
      </c>
    </row>
    <row r="194" spans="1:43" s="253" customFormat="1">
      <c r="A194" s="263">
        <f t="shared" si="14"/>
        <v>43496</v>
      </c>
      <c r="B194" s="263" t="s">
        <v>357</v>
      </c>
      <c r="C194" s="277">
        <v>67.820305000000005</v>
      </c>
      <c r="D194" s="277">
        <v>12.401864999999999</v>
      </c>
      <c r="E194" s="277">
        <v>11.237080000000001</v>
      </c>
      <c r="F194" s="277">
        <v>9.6715509999999991</v>
      </c>
      <c r="G194" s="277">
        <v>12.274355999999999</v>
      </c>
      <c r="H194" s="284">
        <f t="shared" ref="H194:H259" si="15">+C194-SUM(D194,E194,F194,G194)</f>
        <v>22.235453000000007</v>
      </c>
      <c r="I194" s="277">
        <v>53.677152999999997</v>
      </c>
      <c r="J194" s="277">
        <v>10.126054</v>
      </c>
      <c r="K194" s="277">
        <v>9.0657350000000001</v>
      </c>
      <c r="L194" s="277">
        <v>7.8508389999999997</v>
      </c>
      <c r="M194" s="277">
        <v>9.33141</v>
      </c>
      <c r="N194" s="284">
        <f t="shared" ref="N194:N259" si="16">+I194-SUM(J194,K194,L194,M194)</f>
        <v>17.303114999999998</v>
      </c>
      <c r="O194" s="277">
        <v>58.034261999999998</v>
      </c>
      <c r="P194" s="277">
        <v>9.5475449999999995</v>
      </c>
      <c r="Q194" s="277">
        <v>9.2534320000000001</v>
      </c>
      <c r="R194" s="277">
        <v>6.0735919999999997</v>
      </c>
      <c r="S194" s="277">
        <v>11.610803000000001</v>
      </c>
      <c r="T194" s="284">
        <f t="shared" ref="T194:T259" si="17">+O194-SUM(P194,Q194,R194,S194)</f>
        <v>21.54889</v>
      </c>
      <c r="U194" s="920">
        <v>13791.997000000001</v>
      </c>
      <c r="V194" s="920">
        <v>2488.7550000000001</v>
      </c>
      <c r="W194" s="920">
        <v>2563.9893333333334</v>
      </c>
      <c r="X194" s="920">
        <v>1958.3680000000002</v>
      </c>
      <c r="Y194" s="920">
        <v>1662.671</v>
      </c>
      <c r="Z194" s="874">
        <f t="shared" ref="Z194:Z259" si="18">+U194-SUM(V194,W194,X194,Y194)</f>
        <v>5118.2136666666665</v>
      </c>
      <c r="AA194" s="920">
        <v>947.7</v>
      </c>
      <c r="AB194" s="277">
        <v>181.80500000000001</v>
      </c>
      <c r="AC194" s="920">
        <v>165.83600000000001</v>
      </c>
      <c r="AD194" s="920">
        <v>127.59099999999999</v>
      </c>
      <c r="AE194" s="920">
        <v>162.87700000000001</v>
      </c>
      <c r="AF194" s="920">
        <v>1808.5</v>
      </c>
      <c r="AG194" s="277">
        <v>330.99400000000003</v>
      </c>
      <c r="AH194" s="920">
        <v>340.012</v>
      </c>
      <c r="AI194" s="920">
        <v>234.727</v>
      </c>
      <c r="AJ194" s="920">
        <v>311.25799999999998</v>
      </c>
      <c r="AK194" s="919">
        <f>Data[[#This Row],[Industry Cost ($m)]]/Data[[#This Row],[Industry Consumption]]</f>
        <v>1.908304315711723</v>
      </c>
      <c r="AL194" s="919">
        <f>Data[[#This Row],[AAL Fuel Cost]]/Data[[#This Row],[AAL Consumption]]</f>
        <v>1.8205989934270235</v>
      </c>
      <c r="AM194" s="919">
        <f>Data[[#This Row],[DAL Fuel Cost]]/Data[[#This Row],[DAL Consumption]]</f>
        <v>2.0502906485925854</v>
      </c>
      <c r="AN194" s="919">
        <f>Data[[#This Row],[UAL Fuel Cost]]/Data[[#This Row],[UALConsumption]]</f>
        <v>1.8396830497448882</v>
      </c>
      <c r="AO194" s="919">
        <f>Data[[#This Row],[LUV Fuel Cost]]/Data[[#This Row],[LUV Consumption]]</f>
        <v>1.9110003253989205</v>
      </c>
      <c r="AP194" s="919">
        <v>1.784</v>
      </c>
      <c r="AQ194" s="783"/>
    </row>
    <row r="195" spans="1:43" s="253" customFormat="1">
      <c r="A195" s="263">
        <f t="shared" ref="A195:A230" si="19">EOMONTH(A194,1)</f>
        <v>43524</v>
      </c>
      <c r="B195" s="263" t="s">
        <v>357</v>
      </c>
      <c r="C195" s="277">
        <v>61.97786</v>
      </c>
      <c r="D195" s="277">
        <v>11.507586999999999</v>
      </c>
      <c r="E195" s="277">
        <v>10.190661</v>
      </c>
      <c r="F195" s="277">
        <v>8.8947059999999993</v>
      </c>
      <c r="G195" s="277">
        <v>10.890681000000001</v>
      </c>
      <c r="H195" s="284">
        <f t="shared" si="15"/>
        <v>20.494225</v>
      </c>
      <c r="I195" s="277">
        <v>50.772069000000002</v>
      </c>
      <c r="J195" s="277">
        <v>9.6662119999999998</v>
      </c>
      <c r="K195" s="277">
        <v>8.5330619999999993</v>
      </c>
      <c r="L195" s="277">
        <v>7.2642110000000004</v>
      </c>
      <c r="M195" s="277">
        <v>8.7993369999999995</v>
      </c>
      <c r="N195" s="284">
        <f t="shared" si="16"/>
        <v>16.509247000000002</v>
      </c>
      <c r="O195" s="277">
        <v>55.679481000000003</v>
      </c>
      <c r="P195" s="277">
        <v>9.2345299999999995</v>
      </c>
      <c r="Q195" s="277">
        <v>8.8641159999999992</v>
      </c>
      <c r="R195" s="277">
        <v>5.8016480000000001</v>
      </c>
      <c r="S195" s="277">
        <v>11.053350999999999</v>
      </c>
      <c r="T195" s="284">
        <f t="shared" si="17"/>
        <v>20.725836000000008</v>
      </c>
      <c r="U195" s="920">
        <v>13791.997000000001</v>
      </c>
      <c r="V195" s="920">
        <v>2488.7550000000001</v>
      </c>
      <c r="W195" s="920">
        <v>2563.9893333333334</v>
      </c>
      <c r="X195" s="920">
        <v>1958.3680000000002</v>
      </c>
      <c r="Y195" s="920">
        <v>1662.671</v>
      </c>
      <c r="Z195" s="874">
        <f t="shared" si="18"/>
        <v>5118.2136666666665</v>
      </c>
      <c r="AA195" s="920">
        <v>874.7</v>
      </c>
      <c r="AB195" s="277">
        <v>171.405</v>
      </c>
      <c r="AC195" s="920">
        <v>152.32300000000001</v>
      </c>
      <c r="AD195" s="920">
        <v>119.312</v>
      </c>
      <c r="AE195" s="920">
        <v>146.809</v>
      </c>
      <c r="AF195" s="920">
        <v>1741</v>
      </c>
      <c r="AG195" s="277">
        <v>327.02699999999999</v>
      </c>
      <c r="AH195" s="920">
        <v>313.96100000000001</v>
      </c>
      <c r="AI195" s="920">
        <v>229.839</v>
      </c>
      <c r="AJ195" s="920">
        <v>289.14</v>
      </c>
      <c r="AK195" s="919">
        <f>Data[[#This Row],[Industry Cost ($m)]]/Data[[#This Row],[Industry Consumption]]</f>
        <v>1.9903967074425517</v>
      </c>
      <c r="AL195" s="919">
        <f>Data[[#This Row],[AAL Fuel Cost]]/Data[[#This Row],[AAL Consumption]]</f>
        <v>1.9079198389778593</v>
      </c>
      <c r="AM195" s="919">
        <f>Data[[#This Row],[DAL Fuel Cost]]/Data[[#This Row],[DAL Consumption]]</f>
        <v>2.0611529447292924</v>
      </c>
      <c r="AN195" s="919">
        <f>Data[[#This Row],[UAL Fuel Cost]]/Data[[#This Row],[UALConsumption]]</f>
        <v>1.9263695185731529</v>
      </c>
      <c r="AO195" s="919">
        <f>Data[[#This Row],[LUV Fuel Cost]]/Data[[#This Row],[LUV Consumption]]</f>
        <v>1.9694977828334774</v>
      </c>
      <c r="AP195" s="919">
        <v>1.9139999999999999</v>
      </c>
      <c r="AQ195" s="783"/>
    </row>
    <row r="196" spans="1:43" s="253" customFormat="1">
      <c r="A196" s="263">
        <f t="shared" si="19"/>
        <v>43555</v>
      </c>
      <c r="B196" s="263" t="s">
        <v>357</v>
      </c>
      <c r="C196" s="277">
        <v>74.668858999999998</v>
      </c>
      <c r="D196" s="277">
        <v>13.021888000000001</v>
      </c>
      <c r="E196" s="277">
        <v>12.839700000000001</v>
      </c>
      <c r="F196" s="277">
        <v>11.170691000000001</v>
      </c>
      <c r="G196" s="277">
        <v>13.25309</v>
      </c>
      <c r="H196" s="284">
        <f t="shared" si="15"/>
        <v>24.383489999999995</v>
      </c>
      <c r="I196" s="277">
        <v>64.607692999999998</v>
      </c>
      <c r="J196" s="277">
        <v>11.550425000000001</v>
      </c>
      <c r="K196" s="277">
        <v>11.342854000000001</v>
      </c>
      <c r="L196" s="277">
        <v>9.6379669999999997</v>
      </c>
      <c r="M196" s="277">
        <v>11.354236999999999</v>
      </c>
      <c r="N196" s="284">
        <f t="shared" si="16"/>
        <v>20.722210000000004</v>
      </c>
      <c r="O196" s="277">
        <v>70.234128999999996</v>
      </c>
      <c r="P196" s="277">
        <v>10.903095</v>
      </c>
      <c r="Q196" s="277">
        <v>11.737009</v>
      </c>
      <c r="R196" s="277">
        <v>7.5452649999999997</v>
      </c>
      <c r="S196" s="277">
        <v>13.990024</v>
      </c>
      <c r="T196" s="284">
        <f t="shared" si="17"/>
        <v>26.058735999999996</v>
      </c>
      <c r="U196" s="920">
        <v>13791.997000000001</v>
      </c>
      <c r="V196" s="920">
        <v>2488.7550000000001</v>
      </c>
      <c r="W196" s="920">
        <v>2563.9893333333334</v>
      </c>
      <c r="X196" s="920">
        <v>1958.3680000000002</v>
      </c>
      <c r="Y196" s="920">
        <v>1662.671</v>
      </c>
      <c r="Z196" s="874">
        <f t="shared" si="18"/>
        <v>5118.2136666666665</v>
      </c>
      <c r="AA196" s="920">
        <v>1031.9000000000001</v>
      </c>
      <c r="AB196" s="277">
        <v>193.30099999999999</v>
      </c>
      <c r="AC196" s="920">
        <v>187.11600000000001</v>
      </c>
      <c r="AD196" s="920">
        <v>147.71299999999999</v>
      </c>
      <c r="AE196" s="920">
        <v>177.68100000000001</v>
      </c>
      <c r="AF196" s="920">
        <v>2087</v>
      </c>
      <c r="AG196" s="277">
        <v>377.33600000000001</v>
      </c>
      <c r="AH196" s="920">
        <v>379.21600000000001</v>
      </c>
      <c r="AI196" s="920">
        <v>293.66000000000003</v>
      </c>
      <c r="AJ196" s="920">
        <v>352.91199999999998</v>
      </c>
      <c r="AK196" s="919">
        <f>Data[[#This Row],[Industry Cost ($m)]]/Data[[#This Row],[Industry Consumption]]</f>
        <v>2.0224827987208061</v>
      </c>
      <c r="AL196" s="919">
        <f>Data[[#This Row],[AAL Fuel Cost]]/Data[[#This Row],[AAL Consumption]]</f>
        <v>1.9520643969767359</v>
      </c>
      <c r="AM196" s="919">
        <f>Data[[#This Row],[DAL Fuel Cost]]/Data[[#This Row],[DAL Consumption]]</f>
        <v>2.0266358836229932</v>
      </c>
      <c r="AN196" s="919">
        <f>Data[[#This Row],[UAL Fuel Cost]]/Data[[#This Row],[UALConsumption]]</f>
        <v>1.9880443833650392</v>
      </c>
      <c r="AO196" s="919">
        <f>Data[[#This Row],[LUV Fuel Cost]]/Data[[#This Row],[LUV Consumption]]</f>
        <v>1.9862112437458139</v>
      </c>
      <c r="AP196" s="919">
        <v>1.9019999999999999</v>
      </c>
      <c r="AQ196" s="783">
        <f>AVERAGE(AP194:AP196)</f>
        <v>1.8666666666666665</v>
      </c>
    </row>
    <row r="197" spans="1:43" s="253" customFormat="1">
      <c r="A197" s="263">
        <f t="shared" si="19"/>
        <v>43585</v>
      </c>
      <c r="B197" s="263" t="s">
        <v>357</v>
      </c>
      <c r="C197" s="277">
        <v>71.411752000000007</v>
      </c>
      <c r="D197" s="277">
        <v>12.037896</v>
      </c>
      <c r="E197" s="277">
        <v>12.172141</v>
      </c>
      <c r="F197" s="277">
        <v>10.866921</v>
      </c>
      <c r="G197" s="277">
        <v>12.696498999999999</v>
      </c>
      <c r="H197" s="284">
        <f t="shared" si="15"/>
        <v>23.638295000000014</v>
      </c>
      <c r="I197" s="277">
        <v>61.213312999999999</v>
      </c>
      <c r="J197" s="277">
        <v>10.605509</v>
      </c>
      <c r="K197" s="277">
        <v>10.700708000000001</v>
      </c>
      <c r="L197" s="277">
        <v>9.3571430000000007</v>
      </c>
      <c r="M197" s="277">
        <v>10.78177</v>
      </c>
      <c r="N197" s="284">
        <f t="shared" si="16"/>
        <v>19.768183000000001</v>
      </c>
      <c r="O197" s="277">
        <v>66.938654</v>
      </c>
      <c r="P197" s="277">
        <v>10.162369999999999</v>
      </c>
      <c r="Q197" s="277">
        <v>11.237133</v>
      </c>
      <c r="R197" s="277">
        <v>7.3456060000000001</v>
      </c>
      <c r="S197" s="277">
        <v>13.359857</v>
      </c>
      <c r="T197" s="284">
        <f t="shared" si="17"/>
        <v>24.833688000000002</v>
      </c>
      <c r="U197" s="920">
        <v>15526.782666666666</v>
      </c>
      <c r="V197" s="920">
        <v>2731.136</v>
      </c>
      <c r="W197" s="920">
        <v>2995.4189999999999</v>
      </c>
      <c r="X197" s="920">
        <v>2362.3780000000002</v>
      </c>
      <c r="Y197" s="920">
        <v>1913.0913333333335</v>
      </c>
      <c r="Z197" s="874">
        <f t="shared" si="18"/>
        <v>5524.7583333333314</v>
      </c>
      <c r="AA197" s="920">
        <v>992.3</v>
      </c>
      <c r="AB197" s="277">
        <v>180.185</v>
      </c>
      <c r="AC197" s="920">
        <v>178.154</v>
      </c>
      <c r="AD197" s="920">
        <v>144.59</v>
      </c>
      <c r="AE197" s="920">
        <v>171.40199999999999</v>
      </c>
      <c r="AF197" s="920">
        <v>2042.2</v>
      </c>
      <c r="AG197" s="277">
        <v>362.56099999999998</v>
      </c>
      <c r="AH197" s="920">
        <v>359.44900000000001</v>
      </c>
      <c r="AI197" s="920">
        <v>294.43099999999998</v>
      </c>
      <c r="AJ197" s="920">
        <v>343.35700000000003</v>
      </c>
      <c r="AK197" s="919">
        <f>Data[[#This Row],[Industry Cost ($m)]]/Data[[#This Row],[Industry Consumption]]</f>
        <v>2.0580469616043535</v>
      </c>
      <c r="AL197" s="919">
        <f>Data[[#This Row],[AAL Fuel Cost]]/Data[[#This Row],[AAL Consumption]]</f>
        <v>2.0121597247273635</v>
      </c>
      <c r="AM197" s="919">
        <f>Data[[#This Row],[DAL Fuel Cost]]/Data[[#This Row],[DAL Consumption]]</f>
        <v>2.0176308137903165</v>
      </c>
      <c r="AN197" s="919">
        <f>Data[[#This Row],[UAL Fuel Cost]]/Data[[#This Row],[UALConsumption]]</f>
        <v>2.0363164810844454</v>
      </c>
      <c r="AO197" s="919">
        <f>Data[[#This Row],[LUV Fuel Cost]]/Data[[#This Row],[LUV Consumption]]</f>
        <v>2.0032263334150131</v>
      </c>
      <c r="AP197" s="919">
        <v>1.9770000000000001</v>
      </c>
      <c r="AQ197" s="783"/>
    </row>
    <row r="198" spans="1:43" s="253" customFormat="1">
      <c r="A198" s="263">
        <f t="shared" si="19"/>
        <v>43616</v>
      </c>
      <c r="B198" s="263" t="s">
        <v>357</v>
      </c>
      <c r="C198" s="277">
        <v>74.472491000000005</v>
      </c>
      <c r="D198" s="277">
        <v>12.911875</v>
      </c>
      <c r="E198" s="277">
        <v>12.731018000000001</v>
      </c>
      <c r="F198" s="277">
        <v>11.216868</v>
      </c>
      <c r="G198" s="277">
        <v>13.000401999999999</v>
      </c>
      <c r="H198" s="284">
        <f t="shared" si="15"/>
        <v>24.612328000000005</v>
      </c>
      <c r="I198" s="277">
        <v>65.062929999999994</v>
      </c>
      <c r="J198" s="277">
        <v>11.53689</v>
      </c>
      <c r="K198" s="277">
        <v>11.454034</v>
      </c>
      <c r="L198" s="277">
        <v>9.8200869999999991</v>
      </c>
      <c r="M198" s="277">
        <v>11.242872999999999</v>
      </c>
      <c r="N198" s="284">
        <f t="shared" si="16"/>
        <v>21.009045999999998</v>
      </c>
      <c r="O198" s="277">
        <v>71.364144999999994</v>
      </c>
      <c r="P198" s="277">
        <v>11.006299</v>
      </c>
      <c r="Q198" s="277">
        <v>12.030749</v>
      </c>
      <c r="R198" s="277">
        <v>7.7734449999999997</v>
      </c>
      <c r="S198" s="277">
        <v>14.024988</v>
      </c>
      <c r="T198" s="284">
        <f t="shared" si="17"/>
        <v>26.528663999999992</v>
      </c>
      <c r="U198" s="920">
        <v>15526.782666666666</v>
      </c>
      <c r="V198" s="920">
        <v>2731.136</v>
      </c>
      <c r="W198" s="920">
        <v>2995.4189999999999</v>
      </c>
      <c r="X198" s="920">
        <v>2362.3780000000002</v>
      </c>
      <c r="Y198" s="920">
        <v>1913.0913333333335</v>
      </c>
      <c r="Z198" s="874">
        <f t="shared" si="18"/>
        <v>5524.7583333333314</v>
      </c>
      <c r="AA198" s="920">
        <v>1047.0999999999999</v>
      </c>
      <c r="AB198" s="277">
        <v>195.42500000000001</v>
      </c>
      <c r="AC198" s="920">
        <v>186.75899999999999</v>
      </c>
      <c r="AD198" s="920">
        <v>153.202</v>
      </c>
      <c r="AE198" s="920">
        <v>177.34800000000001</v>
      </c>
      <c r="AF198" s="920">
        <v>2217.3000000000002</v>
      </c>
      <c r="AG198" s="277">
        <v>400.38499999999999</v>
      </c>
      <c r="AH198" s="920">
        <v>383.65100000000001</v>
      </c>
      <c r="AI198" s="920">
        <v>322.625</v>
      </c>
      <c r="AJ198" s="920">
        <v>371.65300000000002</v>
      </c>
      <c r="AK198" s="919">
        <f>Data[[#This Row],[Industry Cost ($m)]]/Data[[#This Row],[Industry Consumption]]</f>
        <v>2.1175627924744536</v>
      </c>
      <c r="AL198" s="919">
        <f>Data[[#This Row],[AAL Fuel Cost]]/Data[[#This Row],[AAL Consumption]]</f>
        <v>2.0487910963285145</v>
      </c>
      <c r="AM198" s="919">
        <f>Data[[#This Row],[DAL Fuel Cost]]/Data[[#This Row],[DAL Consumption]]</f>
        <v>2.0542570906890703</v>
      </c>
      <c r="AN198" s="919">
        <f>Data[[#This Row],[UAL Fuel Cost]]/Data[[#This Row],[UALConsumption]]</f>
        <v>2.1058798188013212</v>
      </c>
      <c r="AO198" s="919">
        <f>Data[[#This Row],[LUV Fuel Cost]]/Data[[#This Row],[LUV Consumption]]</f>
        <v>2.0956142725037776</v>
      </c>
      <c r="AP198" s="919">
        <v>1.972</v>
      </c>
      <c r="AQ198" s="783"/>
    </row>
    <row r="199" spans="1:43" s="253" customFormat="1">
      <c r="A199" s="263">
        <f t="shared" si="19"/>
        <v>43646</v>
      </c>
      <c r="B199" s="263" t="s">
        <v>357</v>
      </c>
      <c r="C199" s="277">
        <v>75.677413999999999</v>
      </c>
      <c r="D199" s="277">
        <v>12.850824000000001</v>
      </c>
      <c r="E199" s="277">
        <v>13.404779000000001</v>
      </c>
      <c r="F199" s="277">
        <v>11.544131999999999</v>
      </c>
      <c r="G199" s="277">
        <v>12.86415</v>
      </c>
      <c r="H199" s="284">
        <f t="shared" si="15"/>
        <v>25.013528999999998</v>
      </c>
      <c r="I199" s="277">
        <v>67.637010000000004</v>
      </c>
      <c r="J199" s="277">
        <v>11.789635000000001</v>
      </c>
      <c r="K199" s="277">
        <v>12.304731</v>
      </c>
      <c r="L199" s="277">
        <v>10.500473</v>
      </c>
      <c r="M199" s="277">
        <v>11.267874000000001</v>
      </c>
      <c r="N199" s="284">
        <f t="shared" si="16"/>
        <v>21.774297000000004</v>
      </c>
      <c r="O199" s="277">
        <v>72.790418000000003</v>
      </c>
      <c r="P199" s="277">
        <v>10.931036000000001</v>
      </c>
      <c r="Q199" s="277">
        <v>12.517894</v>
      </c>
      <c r="R199" s="277">
        <v>8.0688379999999995</v>
      </c>
      <c r="S199" s="277">
        <v>14.001624</v>
      </c>
      <c r="T199" s="284">
        <f t="shared" si="17"/>
        <v>27.271026000000006</v>
      </c>
      <c r="U199" s="920">
        <v>15526.782666666666</v>
      </c>
      <c r="V199" s="920">
        <v>2731.136</v>
      </c>
      <c r="W199" s="920">
        <v>2995.4189999999999</v>
      </c>
      <c r="X199" s="920">
        <v>2362.3780000000002</v>
      </c>
      <c r="Y199" s="920">
        <v>1913.0913333333335</v>
      </c>
      <c r="Z199" s="874">
        <f t="shared" si="18"/>
        <v>5524.7583333333314</v>
      </c>
      <c r="AA199" s="920">
        <v>1060.0999999999999</v>
      </c>
      <c r="AB199" s="277">
        <v>195.67</v>
      </c>
      <c r="AC199" s="920">
        <v>196.667</v>
      </c>
      <c r="AD199" s="920">
        <v>158.80199999999999</v>
      </c>
      <c r="AE199" s="920">
        <v>176.31700000000001</v>
      </c>
      <c r="AF199" s="920">
        <v>2115.1</v>
      </c>
      <c r="AG199" s="277">
        <v>373.90800000000002</v>
      </c>
      <c r="AH199" s="920">
        <v>416.40600000000001</v>
      </c>
      <c r="AI199" s="920">
        <v>306.34699999999998</v>
      </c>
      <c r="AJ199" s="920">
        <v>351.39299999999997</v>
      </c>
      <c r="AK199" s="919">
        <f>Data[[#This Row],[Industry Cost ($m)]]/Data[[#This Row],[Industry Consumption]]</f>
        <v>1.995189133100651</v>
      </c>
      <c r="AL199" s="919">
        <f>Data[[#This Row],[AAL Fuel Cost]]/Data[[#This Row],[AAL Consumption]]</f>
        <v>1.9109112280881078</v>
      </c>
      <c r="AM199" s="919">
        <f>Data[[#This Row],[DAL Fuel Cost]]/Data[[#This Row],[DAL Consumption]]</f>
        <v>2.1173150553982114</v>
      </c>
      <c r="AN199" s="919">
        <f>Data[[#This Row],[UAL Fuel Cost]]/Data[[#This Row],[UALConsumption]]</f>
        <v>1.9291129834636842</v>
      </c>
      <c r="AO199" s="919">
        <f>Data[[#This Row],[LUV Fuel Cost]]/Data[[#This Row],[LUV Consumption]]</f>
        <v>1.9929615408610626</v>
      </c>
      <c r="AP199" s="919">
        <v>1.8169999999999999</v>
      </c>
      <c r="AQ199" s="783">
        <f>AVERAGE(AP197:AP199)</f>
        <v>1.9219999999999999</v>
      </c>
    </row>
    <row r="200" spans="1:43" s="253" customFormat="1">
      <c r="A200" s="263">
        <f t="shared" si="19"/>
        <v>43677</v>
      </c>
      <c r="B200" s="263" t="s">
        <v>357</v>
      </c>
      <c r="C200" s="277">
        <v>79.103566000000001</v>
      </c>
      <c r="D200" s="277">
        <v>13.393599</v>
      </c>
      <c r="E200" s="277">
        <v>14.222614</v>
      </c>
      <c r="F200" s="277">
        <v>11.995899999999999</v>
      </c>
      <c r="G200" s="277">
        <v>13.435238999999999</v>
      </c>
      <c r="H200" s="284">
        <f t="shared" si="15"/>
        <v>26.056213999999997</v>
      </c>
      <c r="I200" s="277">
        <v>70.462705</v>
      </c>
      <c r="J200" s="277">
        <v>12.201478</v>
      </c>
      <c r="K200" s="277">
        <v>13.005057000000001</v>
      </c>
      <c r="L200" s="277">
        <v>10.930448</v>
      </c>
      <c r="M200" s="277">
        <v>11.521773</v>
      </c>
      <c r="N200" s="284">
        <f t="shared" si="16"/>
        <v>22.803949000000003</v>
      </c>
      <c r="O200" s="277">
        <v>75.281915999999995</v>
      </c>
      <c r="P200" s="277">
        <v>11.275850999999999</v>
      </c>
      <c r="Q200" s="277">
        <v>12.965327</v>
      </c>
      <c r="R200" s="277">
        <v>8.3419589999999992</v>
      </c>
      <c r="S200" s="277">
        <v>14.271326</v>
      </c>
      <c r="T200" s="284">
        <f t="shared" si="17"/>
        <v>28.427453</v>
      </c>
      <c r="U200" s="920">
        <v>15249.544666666667</v>
      </c>
      <c r="V200" s="920">
        <v>2656.2193333333335</v>
      </c>
      <c r="W200" s="920">
        <v>2945.1766666666667</v>
      </c>
      <c r="X200" s="920">
        <v>2364.6906666666669</v>
      </c>
      <c r="Y200" s="920">
        <v>1835.3856666666668</v>
      </c>
      <c r="Z200" s="874">
        <f t="shared" si="18"/>
        <v>5448.0723333333317</v>
      </c>
      <c r="AA200" s="920">
        <v>1099.7</v>
      </c>
      <c r="AB200" s="277">
        <v>200.601</v>
      </c>
      <c r="AC200" s="920">
        <v>206.25800000000001</v>
      </c>
      <c r="AD200" s="920">
        <v>163.602</v>
      </c>
      <c r="AE200" s="920">
        <v>182.53899999999999</v>
      </c>
      <c r="AF200" s="920">
        <v>2185.9</v>
      </c>
      <c r="AG200" s="277">
        <v>385.858</v>
      </c>
      <c r="AH200" s="920">
        <v>403.67899999999997</v>
      </c>
      <c r="AI200" s="920">
        <v>318.91699999999997</v>
      </c>
      <c r="AJ200" s="920">
        <v>362.43700000000001</v>
      </c>
      <c r="AK200" s="919">
        <f>Data[[#This Row],[Industry Cost ($m)]]/Data[[#This Row],[Industry Consumption]]</f>
        <v>1.9877239247067382</v>
      </c>
      <c r="AL200" s="919">
        <f>Data[[#This Row],[AAL Fuel Cost]]/Data[[#This Row],[AAL Consumption]]</f>
        <v>1.9235098528920593</v>
      </c>
      <c r="AM200" s="919">
        <f>Data[[#This Row],[DAL Fuel Cost]]/Data[[#This Row],[DAL Consumption]]</f>
        <v>1.957155601237285</v>
      </c>
      <c r="AN200" s="919">
        <f>Data[[#This Row],[UAL Fuel Cost]]/Data[[#This Row],[UALConsumption]]</f>
        <v>1.9493465850050731</v>
      </c>
      <c r="AO200" s="919">
        <f>Data[[#This Row],[LUV Fuel Cost]]/Data[[#This Row],[LUV Consumption]]</f>
        <v>1.985531858945212</v>
      </c>
      <c r="AP200" s="919">
        <v>1.913</v>
      </c>
      <c r="AQ200" s="783"/>
    </row>
    <row r="201" spans="1:43" s="253" customFormat="1">
      <c r="A201" s="263">
        <f t="shared" si="19"/>
        <v>43708</v>
      </c>
      <c r="B201" s="263" t="s">
        <v>357</v>
      </c>
      <c r="C201" s="277">
        <v>77.976078999999999</v>
      </c>
      <c r="D201" s="277">
        <v>13.497465</v>
      </c>
      <c r="E201" s="277">
        <v>14.117869000000001</v>
      </c>
      <c r="F201" s="277">
        <v>11.855912</v>
      </c>
      <c r="G201" s="277">
        <v>12.883141</v>
      </c>
      <c r="H201" s="284">
        <f t="shared" si="15"/>
        <v>25.621691999999996</v>
      </c>
      <c r="I201" s="277">
        <v>67.346919</v>
      </c>
      <c r="J201" s="277">
        <v>11.824551</v>
      </c>
      <c r="K201" s="277">
        <v>12.649908</v>
      </c>
      <c r="L201" s="277">
        <v>10.400714000000001</v>
      </c>
      <c r="M201" s="277">
        <v>10.737030000000001</v>
      </c>
      <c r="N201" s="284">
        <f t="shared" si="16"/>
        <v>21.734715999999992</v>
      </c>
      <c r="O201" s="277">
        <v>72.729198999999994</v>
      </c>
      <c r="P201" s="277">
        <v>11.052004</v>
      </c>
      <c r="Q201" s="277">
        <v>12.693732000000001</v>
      </c>
      <c r="R201" s="277">
        <v>7.9873089999999998</v>
      </c>
      <c r="S201" s="277">
        <v>13.520089</v>
      </c>
      <c r="T201" s="284">
        <f t="shared" si="17"/>
        <v>27.476064999999991</v>
      </c>
      <c r="U201" s="920">
        <v>15249.544666666667</v>
      </c>
      <c r="V201" s="920">
        <v>2656.2193333333335</v>
      </c>
      <c r="W201" s="920">
        <v>2945.1766666666667</v>
      </c>
      <c r="X201" s="920">
        <v>2364.6906666666669</v>
      </c>
      <c r="Y201" s="920">
        <v>1835.3856666666668</v>
      </c>
      <c r="Z201" s="874">
        <f t="shared" si="18"/>
        <v>5448.0723333333317</v>
      </c>
      <c r="AA201" s="920">
        <v>1089.5</v>
      </c>
      <c r="AB201" s="277">
        <v>202.89500000000001</v>
      </c>
      <c r="AC201" s="920">
        <v>205.77799999999999</v>
      </c>
      <c r="AD201" s="920">
        <v>162.36000000000001</v>
      </c>
      <c r="AE201" s="920">
        <v>175.21899999999999</v>
      </c>
      <c r="AF201" s="920">
        <v>2110.8000000000002</v>
      </c>
      <c r="AG201" s="277">
        <v>381.04</v>
      </c>
      <c r="AH201" s="920">
        <v>391.47699999999998</v>
      </c>
      <c r="AI201" s="920">
        <v>308.41399999999999</v>
      </c>
      <c r="AJ201" s="920">
        <v>342.80500000000001</v>
      </c>
      <c r="AK201" s="919">
        <f>Data[[#This Row],[Industry Cost ($m)]]/Data[[#This Row],[Industry Consumption]]</f>
        <v>1.9374024782010097</v>
      </c>
      <c r="AL201" s="919">
        <f>Data[[#This Row],[AAL Fuel Cost]]/Data[[#This Row],[AAL Consumption]]</f>
        <v>1.8780157224179994</v>
      </c>
      <c r="AM201" s="919">
        <f>Data[[#This Row],[DAL Fuel Cost]]/Data[[#This Row],[DAL Consumption]]</f>
        <v>1.9024239714643936</v>
      </c>
      <c r="AN201" s="919">
        <f>Data[[#This Row],[UAL Fuel Cost]]/Data[[#This Row],[UALConsumption]]</f>
        <v>1.8995688593249567</v>
      </c>
      <c r="AO201" s="919">
        <f>Data[[#This Row],[LUV Fuel Cost]]/Data[[#This Row],[LUV Consumption]]</f>
        <v>1.9564373726593578</v>
      </c>
      <c r="AP201" s="919">
        <v>1.8</v>
      </c>
      <c r="AQ201" s="783"/>
    </row>
    <row r="202" spans="1:43" s="253" customFormat="1">
      <c r="A202" s="263">
        <f t="shared" si="19"/>
        <v>43738</v>
      </c>
      <c r="B202" s="263" t="s">
        <v>357</v>
      </c>
      <c r="C202" s="277">
        <v>69.731136000000006</v>
      </c>
      <c r="D202" s="277">
        <v>12.308126</v>
      </c>
      <c r="E202" s="277">
        <v>12.062013</v>
      </c>
      <c r="F202" s="277">
        <v>10.459835</v>
      </c>
      <c r="G202" s="277">
        <v>11.999134</v>
      </c>
      <c r="H202" s="284">
        <f t="shared" si="15"/>
        <v>22.902028000000008</v>
      </c>
      <c r="I202" s="277">
        <v>57.500227000000002</v>
      </c>
      <c r="J202" s="277">
        <v>10.305125</v>
      </c>
      <c r="K202" s="277">
        <v>10.413301000000001</v>
      </c>
      <c r="L202" s="277">
        <v>8.5519090000000002</v>
      </c>
      <c r="M202" s="277">
        <v>9.7277039999999992</v>
      </c>
      <c r="N202" s="284">
        <f t="shared" si="16"/>
        <v>18.502187999999997</v>
      </c>
      <c r="O202" s="277">
        <v>63.991365000000002</v>
      </c>
      <c r="P202" s="277">
        <v>9.9674420000000001</v>
      </c>
      <c r="Q202" s="277">
        <v>10.963963</v>
      </c>
      <c r="R202" s="277">
        <v>6.8435180000000004</v>
      </c>
      <c r="S202" s="277">
        <v>12.394693999999999</v>
      </c>
      <c r="T202" s="284">
        <f t="shared" si="17"/>
        <v>23.821748000000007</v>
      </c>
      <c r="U202" s="920">
        <v>15249.544666666667</v>
      </c>
      <c r="V202" s="920">
        <v>2656.2193333333335</v>
      </c>
      <c r="W202" s="920">
        <v>2945.1766666666667</v>
      </c>
      <c r="X202" s="920">
        <v>2364.6906666666669</v>
      </c>
      <c r="Y202" s="920">
        <v>1835.3856666666668</v>
      </c>
      <c r="Z202" s="874">
        <f t="shared" si="18"/>
        <v>5448.0723333333317</v>
      </c>
      <c r="AA202" s="920">
        <v>962.6</v>
      </c>
      <c r="AB202" s="277">
        <v>181.81299999999999</v>
      </c>
      <c r="AC202" s="920">
        <v>174.87299999999999</v>
      </c>
      <c r="AD202" s="920">
        <v>141.65100000000001</v>
      </c>
      <c r="AE202" s="920">
        <v>161.363</v>
      </c>
      <c r="AF202" s="920">
        <v>1888.5</v>
      </c>
      <c r="AG202" s="277">
        <v>345.92399999999998</v>
      </c>
      <c r="AH202" s="920">
        <v>346.03800000000001</v>
      </c>
      <c r="AI202" s="920">
        <v>269.88</v>
      </c>
      <c r="AJ202" s="920">
        <v>317.05099999999999</v>
      </c>
      <c r="AK202" s="919">
        <f>Data[[#This Row],[Industry Cost ($m)]]/Data[[#This Row],[Industry Consumption]]</f>
        <v>1.9618740910035322</v>
      </c>
      <c r="AL202" s="919">
        <f>Data[[#This Row],[AAL Fuel Cost]]/Data[[#This Row],[AAL Consumption]]</f>
        <v>1.9026362251324163</v>
      </c>
      <c r="AM202" s="919">
        <f>Data[[#This Row],[DAL Fuel Cost]]/Data[[#This Row],[DAL Consumption]]</f>
        <v>1.9787960405551459</v>
      </c>
      <c r="AN202" s="919">
        <f>Data[[#This Row],[UAL Fuel Cost]]/Data[[#This Row],[UALConsumption]]</f>
        <v>1.9052459919096933</v>
      </c>
      <c r="AO202" s="919">
        <f>Data[[#This Row],[LUV Fuel Cost]]/Data[[#This Row],[LUV Consumption]]</f>
        <v>1.9648308472202425</v>
      </c>
      <c r="AP202" s="919">
        <v>1.8740000000000001</v>
      </c>
      <c r="AQ202" s="783">
        <f>AVERAGE(AP200:AP202)</f>
        <v>1.8623333333333332</v>
      </c>
    </row>
    <row r="203" spans="1:43" s="253" customFormat="1">
      <c r="A203" s="263">
        <f t="shared" si="19"/>
        <v>43769</v>
      </c>
      <c r="B203" s="263" t="s">
        <v>357</v>
      </c>
      <c r="C203" s="277">
        <v>73.995063999999999</v>
      </c>
      <c r="D203" s="277">
        <v>12.847395000000001</v>
      </c>
      <c r="E203" s="277">
        <v>12.658209999999999</v>
      </c>
      <c r="F203" s="277">
        <v>11.220727</v>
      </c>
      <c r="G203" s="277">
        <v>12.916476000000001</v>
      </c>
      <c r="H203" s="284">
        <f t="shared" si="15"/>
        <v>24.352255999999997</v>
      </c>
      <c r="I203" s="277">
        <v>62.601869999999998</v>
      </c>
      <c r="J203" s="277">
        <v>11.041213000000001</v>
      </c>
      <c r="K203" s="277">
        <v>11.015606999999999</v>
      </c>
      <c r="L203" s="277">
        <v>9.4094239999999996</v>
      </c>
      <c r="M203" s="277">
        <v>10.832711</v>
      </c>
      <c r="N203" s="284">
        <f t="shared" si="16"/>
        <v>20.302914999999992</v>
      </c>
      <c r="O203" s="277">
        <v>69.936836</v>
      </c>
      <c r="P203" s="277">
        <v>10.783388</v>
      </c>
      <c r="Q203" s="277">
        <v>11.859503999999999</v>
      </c>
      <c r="R203" s="277">
        <v>7.542338</v>
      </c>
      <c r="S203" s="277">
        <v>13.752706999999999</v>
      </c>
      <c r="T203" s="284">
        <f t="shared" si="17"/>
        <v>25.998899000000002</v>
      </c>
      <c r="U203" s="920">
        <v>15212.277333333333</v>
      </c>
      <c r="V203" s="920">
        <v>2695.6503333333335</v>
      </c>
      <c r="W203" s="920">
        <v>2843.0229999999997</v>
      </c>
      <c r="X203" s="920">
        <v>2301.3316666666665</v>
      </c>
      <c r="Y203" s="920">
        <v>1859.9159999999999</v>
      </c>
      <c r="Z203" s="874">
        <f t="shared" si="18"/>
        <v>5512.356333333335</v>
      </c>
      <c r="AA203" s="920">
        <v>1033</v>
      </c>
      <c r="AB203" s="277">
        <v>191.643</v>
      </c>
      <c r="AC203" s="920">
        <v>184.46799999999999</v>
      </c>
      <c r="AD203" s="920">
        <v>151.71100000000001</v>
      </c>
      <c r="AE203" s="920">
        <v>174.40700000000001</v>
      </c>
      <c r="AF203" s="920">
        <v>2035</v>
      </c>
      <c r="AG203" s="277">
        <v>363.87400000000002</v>
      </c>
      <c r="AH203" s="920">
        <v>351.767</v>
      </c>
      <c r="AI203" s="920">
        <v>296.35899999999998</v>
      </c>
      <c r="AJ203" s="920">
        <v>344.839</v>
      </c>
      <c r="AK203" s="919">
        <f>Data[[#This Row],[Industry Cost ($m)]]/Data[[#This Row],[Industry Consumption]]</f>
        <v>1.9699903194578896</v>
      </c>
      <c r="AL203" s="919">
        <f>Data[[#This Row],[AAL Fuel Cost]]/Data[[#This Row],[AAL Consumption]]</f>
        <v>1.8987074925773444</v>
      </c>
      <c r="AM203" s="919">
        <f>Data[[#This Row],[DAL Fuel Cost]]/Data[[#This Row],[DAL Consumption]]</f>
        <v>1.906926946679099</v>
      </c>
      <c r="AN203" s="919">
        <f>Data[[#This Row],[UAL Fuel Cost]]/Data[[#This Row],[UALConsumption]]</f>
        <v>1.953444377797259</v>
      </c>
      <c r="AO203" s="919">
        <f>Data[[#This Row],[LUV Fuel Cost]]/Data[[#This Row],[LUV Consumption]]</f>
        <v>1.9772084836044423</v>
      </c>
      <c r="AP203" s="919">
        <v>1.861</v>
      </c>
      <c r="AQ203" s="783"/>
    </row>
    <row r="204" spans="1:43" s="253" customFormat="1">
      <c r="A204" s="263">
        <f t="shared" si="19"/>
        <v>43799</v>
      </c>
      <c r="B204" s="263" t="s">
        <v>357</v>
      </c>
      <c r="C204" s="277">
        <v>71.257097000000002</v>
      </c>
      <c r="D204" s="277">
        <v>12.617578999999999</v>
      </c>
      <c r="E204" s="277">
        <v>11.732477999999999</v>
      </c>
      <c r="F204" s="277">
        <v>10.45335</v>
      </c>
      <c r="G204" s="277">
        <v>12.588374</v>
      </c>
      <c r="H204" s="284">
        <f t="shared" si="15"/>
        <v>23.865316</v>
      </c>
      <c r="I204" s="277">
        <v>58.486181999999999</v>
      </c>
      <c r="J204" s="277">
        <v>10.518273000000001</v>
      </c>
      <c r="K204" s="277">
        <v>9.9826160000000002</v>
      </c>
      <c r="L204" s="277">
        <v>8.5218919999999994</v>
      </c>
      <c r="M204" s="277">
        <v>10.218591999999999</v>
      </c>
      <c r="N204" s="284">
        <f t="shared" si="16"/>
        <v>19.244808999999997</v>
      </c>
      <c r="O204" s="277">
        <v>64.827416999999997</v>
      </c>
      <c r="P204" s="277">
        <v>10.206878</v>
      </c>
      <c r="Q204" s="277">
        <v>10.787768</v>
      </c>
      <c r="R204" s="277">
        <v>6.783563</v>
      </c>
      <c r="S204" s="277">
        <v>12.697679000000001</v>
      </c>
      <c r="T204" s="284">
        <f t="shared" si="17"/>
        <v>24.351528999999999</v>
      </c>
      <c r="U204" s="920">
        <v>15212.277333333333</v>
      </c>
      <c r="V204" s="920">
        <v>2695.6503333333335</v>
      </c>
      <c r="W204" s="920">
        <v>2843.0229999999997</v>
      </c>
      <c r="X204" s="920">
        <v>2301.3316666666665</v>
      </c>
      <c r="Y204" s="920">
        <v>1859.9159999999999</v>
      </c>
      <c r="Z204" s="874">
        <f t="shared" si="18"/>
        <v>5512.356333333335</v>
      </c>
      <c r="AA204" s="920">
        <v>986.5</v>
      </c>
      <c r="AB204" s="277">
        <v>184.26300000000001</v>
      </c>
      <c r="AC204" s="920">
        <v>170.363</v>
      </c>
      <c r="AD204" s="920">
        <v>138.727</v>
      </c>
      <c r="AE204" s="920">
        <v>168.601</v>
      </c>
      <c r="AF204" s="920">
        <v>1966.6</v>
      </c>
      <c r="AG204" s="277">
        <v>351.53</v>
      </c>
      <c r="AH204" s="920">
        <v>339.54</v>
      </c>
      <c r="AI204" s="920">
        <v>272.33</v>
      </c>
      <c r="AJ204" s="920">
        <v>336.9</v>
      </c>
      <c r="AK204" s="919">
        <f>Data[[#This Row],[Industry Cost ($m)]]/Data[[#This Row],[Industry Consumption]]</f>
        <v>1.9935124176381145</v>
      </c>
      <c r="AL204" s="919">
        <f>Data[[#This Row],[AAL Fuel Cost]]/Data[[#This Row],[AAL Consumption]]</f>
        <v>1.9077622745749281</v>
      </c>
      <c r="AM204" s="919">
        <f>Data[[#This Row],[DAL Fuel Cost]]/Data[[#This Row],[DAL Consumption]]</f>
        <v>1.993038394487066</v>
      </c>
      <c r="AN204" s="919">
        <f>Data[[#This Row],[UAL Fuel Cost]]/Data[[#This Row],[UALConsumption]]</f>
        <v>1.9630641475704078</v>
      </c>
      <c r="AO204" s="919">
        <f>Data[[#This Row],[LUV Fuel Cost]]/Data[[#This Row],[LUV Consumption]]</f>
        <v>1.9982087887972193</v>
      </c>
      <c r="AP204" s="919">
        <v>1.8240000000000001</v>
      </c>
      <c r="AQ204" s="783"/>
    </row>
    <row r="205" spans="1:43" s="253" customFormat="1">
      <c r="A205" s="263">
        <f t="shared" si="19"/>
        <v>43830</v>
      </c>
      <c r="B205" s="263" t="s">
        <v>357</v>
      </c>
      <c r="C205" s="277">
        <v>75.266506000000007</v>
      </c>
      <c r="D205" s="277">
        <v>13.347773</v>
      </c>
      <c r="E205" s="277">
        <v>12.504628</v>
      </c>
      <c r="F205" s="277">
        <v>11.058804</v>
      </c>
      <c r="G205" s="277">
        <v>13.235389999999999</v>
      </c>
      <c r="H205" s="284">
        <f t="shared" si="15"/>
        <v>25.119911000000002</v>
      </c>
      <c r="I205" s="277">
        <v>64.563382000000004</v>
      </c>
      <c r="J205" s="277">
        <v>11.615715</v>
      </c>
      <c r="K205" s="277">
        <v>11.038354999999999</v>
      </c>
      <c r="L205" s="277">
        <v>9.6214250000000003</v>
      </c>
      <c r="M205" s="277">
        <v>11.136248</v>
      </c>
      <c r="N205" s="284">
        <f t="shared" si="16"/>
        <v>21.151639000000003</v>
      </c>
      <c r="O205" s="277">
        <v>69.737437999999997</v>
      </c>
      <c r="P205" s="277">
        <v>10.960471999999999</v>
      </c>
      <c r="Q205" s="277">
        <v>11.302966</v>
      </c>
      <c r="R205" s="277">
        <v>7.3650539999999998</v>
      </c>
      <c r="S205" s="277">
        <v>13.741387</v>
      </c>
      <c r="T205" s="284">
        <f t="shared" si="17"/>
        <v>26.367559</v>
      </c>
      <c r="U205" s="920">
        <v>15212.277333333333</v>
      </c>
      <c r="V205" s="920">
        <v>2695.6503333333335</v>
      </c>
      <c r="W205" s="920">
        <v>2843.0229999999997</v>
      </c>
      <c r="X205" s="920">
        <v>2301.3316666666665</v>
      </c>
      <c r="Y205" s="920">
        <v>1859.9159999999999</v>
      </c>
      <c r="Z205" s="874">
        <f t="shared" si="18"/>
        <v>5512.356333333335</v>
      </c>
      <c r="AA205" s="920">
        <v>1059</v>
      </c>
      <c r="AB205" s="277">
        <v>194.16499999999999</v>
      </c>
      <c r="AC205" s="920">
        <v>181.06299999999999</v>
      </c>
      <c r="AD205" s="920">
        <v>146.52799999999999</v>
      </c>
      <c r="AE205" s="920">
        <v>177.29499999999999</v>
      </c>
      <c r="AF205" s="920">
        <v>2131.1</v>
      </c>
      <c r="AG205" s="277">
        <v>371.92099999999999</v>
      </c>
      <c r="AH205" s="920">
        <v>368.38099999999997</v>
      </c>
      <c r="AI205" s="920">
        <v>287.709</v>
      </c>
      <c r="AJ205" s="920">
        <v>358.54899999999998</v>
      </c>
      <c r="AK205" s="919">
        <f>Data[[#This Row],[Industry Cost ($m)]]/Data[[#This Row],[Industry Consumption]]</f>
        <v>2.0123701605288007</v>
      </c>
      <c r="AL205" s="919">
        <f>Data[[#This Row],[AAL Fuel Cost]]/Data[[#This Row],[AAL Consumption]]</f>
        <v>1.915489403342518</v>
      </c>
      <c r="AM205" s="919">
        <f>Data[[#This Row],[DAL Fuel Cost]]/Data[[#This Row],[DAL Consumption]]</f>
        <v>2.0345459867559912</v>
      </c>
      <c r="AN205" s="919">
        <f>Data[[#This Row],[UAL Fuel Cost]]/Data[[#This Row],[UALConsumption]]</f>
        <v>1.963508680934702</v>
      </c>
      <c r="AO205" s="919">
        <f>Data[[#This Row],[LUV Fuel Cost]]/Data[[#This Row],[LUV Consumption]]</f>
        <v>2.0223300149468399</v>
      </c>
      <c r="AP205" s="919">
        <v>1.893</v>
      </c>
      <c r="AQ205" s="783">
        <f>AVERAGE(AP203:AP205)</f>
        <v>1.8593333333333335</v>
      </c>
    </row>
    <row r="206" spans="1:43" s="253" customFormat="1">
      <c r="A206" s="263">
        <f t="shared" si="19"/>
        <v>43861</v>
      </c>
      <c r="B206" s="263" t="s">
        <v>357</v>
      </c>
      <c r="C206" s="277">
        <v>71.558323000000001</v>
      </c>
      <c r="D206" s="277">
        <v>12.600657999999999</v>
      </c>
      <c r="E206" s="277">
        <v>12.343052</v>
      </c>
      <c r="F206" s="277">
        <v>10.158192999999999</v>
      </c>
      <c r="G206" s="277">
        <v>12.035795999999999</v>
      </c>
      <c r="H206" s="284">
        <f t="shared" si="15"/>
        <v>24.420624000000004</v>
      </c>
      <c r="I206" s="277">
        <v>56.979647</v>
      </c>
      <c r="J206" s="277">
        <v>10.439038999999999</v>
      </c>
      <c r="K206" s="277">
        <v>10.142414</v>
      </c>
      <c r="L206" s="277">
        <v>8.2947550000000003</v>
      </c>
      <c r="M206" s="277">
        <v>9.2015410000000006</v>
      </c>
      <c r="N206" s="284">
        <f t="shared" si="16"/>
        <v>18.901898000000003</v>
      </c>
      <c r="O206" s="277">
        <v>61.638893000000003</v>
      </c>
      <c r="P206" s="277">
        <v>9.8564659999999993</v>
      </c>
      <c r="Q206" s="277">
        <v>10.249349</v>
      </c>
      <c r="R206" s="277">
        <v>6.4110670000000001</v>
      </c>
      <c r="S206" s="277">
        <v>11.576961000000001</v>
      </c>
      <c r="T206" s="284">
        <f t="shared" si="17"/>
        <v>23.545050000000003</v>
      </c>
      <c r="U206" s="920">
        <v>11974.137333333332</v>
      </c>
      <c r="V206" s="920">
        <v>2015.796</v>
      </c>
      <c r="W206" s="920">
        <v>2127.9693333333335</v>
      </c>
      <c r="X206" s="920">
        <v>1692.4816666666666</v>
      </c>
      <c r="Y206" s="920">
        <v>1370.8066666666666</v>
      </c>
      <c r="Z206" s="874">
        <f t="shared" si="18"/>
        <v>4767.0836666666655</v>
      </c>
      <c r="AA206" s="920">
        <v>982.3</v>
      </c>
      <c r="AB206" s="277">
        <v>183.78800000000001</v>
      </c>
      <c r="AC206" s="920">
        <v>178.006</v>
      </c>
      <c r="AD206" s="920">
        <v>133.34399999999999</v>
      </c>
      <c r="AE206" s="920">
        <v>161.053</v>
      </c>
      <c r="AF206" s="920">
        <v>1950.1</v>
      </c>
      <c r="AG206" s="277">
        <v>349.25299999999999</v>
      </c>
      <c r="AH206" s="920">
        <v>340.79399999999998</v>
      </c>
      <c r="AI206" s="920">
        <v>262.62299999999999</v>
      </c>
      <c r="AJ206" s="920">
        <v>323.30799999999999</v>
      </c>
      <c r="AK206" s="919">
        <f>Data[[#This Row],[Industry Cost ($m)]]/Data[[#This Row],[Industry Consumption]]</f>
        <v>1.9852387254402932</v>
      </c>
      <c r="AL206" s="919">
        <f>Data[[#This Row],[AAL Fuel Cost]]/Data[[#This Row],[AAL Consumption]]</f>
        <v>1.9003036106818725</v>
      </c>
      <c r="AM206" s="919">
        <f>Data[[#This Row],[DAL Fuel Cost]]/Data[[#This Row],[DAL Consumption]]</f>
        <v>1.9145084997134927</v>
      </c>
      <c r="AN206" s="919">
        <f>Data[[#This Row],[UAL Fuel Cost]]/Data[[#This Row],[UALConsumption]]</f>
        <v>1.9695149388048956</v>
      </c>
      <c r="AO206" s="919">
        <f>Data[[#This Row],[LUV Fuel Cost]]/Data[[#This Row],[LUV Consumption]]</f>
        <v>2.0074633816197154</v>
      </c>
      <c r="AP206" s="919">
        <v>1.77</v>
      </c>
      <c r="AQ206" s="783"/>
    </row>
    <row r="207" spans="1:43" s="253" customFormat="1">
      <c r="A207" s="263">
        <f t="shared" si="19"/>
        <v>43890</v>
      </c>
      <c r="B207" s="263" t="s">
        <v>357</v>
      </c>
      <c r="C207" s="277">
        <v>67.671308999999994</v>
      </c>
      <c r="D207" s="277">
        <v>11.869527</v>
      </c>
      <c r="E207" s="277">
        <v>11.488196</v>
      </c>
      <c r="F207" s="277">
        <v>9.6389370000000003</v>
      </c>
      <c r="G207" s="277">
        <v>11.183564000000001</v>
      </c>
      <c r="H207" s="284">
        <f t="shared" si="15"/>
        <v>23.491084999999998</v>
      </c>
      <c r="I207" s="277">
        <v>54.701686000000002</v>
      </c>
      <c r="J207" s="277">
        <v>9.9189229999999995</v>
      </c>
      <c r="K207" s="277">
        <v>9.6895229999999994</v>
      </c>
      <c r="L207" s="277">
        <v>7.736103</v>
      </c>
      <c r="M207" s="277">
        <v>8.8170409999999997</v>
      </c>
      <c r="N207" s="284">
        <f t="shared" si="16"/>
        <v>18.540095999999998</v>
      </c>
      <c r="O207" s="277">
        <v>59.879629999999999</v>
      </c>
      <c r="P207" s="277">
        <v>9.4979250000000004</v>
      </c>
      <c r="Q207" s="277">
        <v>9.9603699999999993</v>
      </c>
      <c r="R207" s="277">
        <v>6.0851550000000003</v>
      </c>
      <c r="S207" s="277">
        <v>11.205802</v>
      </c>
      <c r="T207" s="284">
        <f t="shared" si="17"/>
        <v>23.130378</v>
      </c>
      <c r="U207" s="920">
        <v>11974.137333333332</v>
      </c>
      <c r="V207" s="920">
        <v>2015.796</v>
      </c>
      <c r="W207" s="920">
        <v>2127.9693333333335</v>
      </c>
      <c r="X207" s="920">
        <v>1692.4816666666666</v>
      </c>
      <c r="Y207" s="920">
        <v>1370.8066666666666</v>
      </c>
      <c r="Z207" s="874">
        <f t="shared" si="18"/>
        <v>4767.0836666666655</v>
      </c>
      <c r="AA207" s="920">
        <v>926.9</v>
      </c>
      <c r="AB207" s="277">
        <v>173.31700000000001</v>
      </c>
      <c r="AC207" s="920">
        <v>166.58600000000001</v>
      </c>
      <c r="AD207" s="920">
        <v>127.749</v>
      </c>
      <c r="AE207" s="920">
        <v>150.48500000000001</v>
      </c>
      <c r="AF207" s="920">
        <v>1663.1</v>
      </c>
      <c r="AG207" s="277">
        <v>295.33300000000003</v>
      </c>
      <c r="AH207" s="920">
        <v>320.06200000000001</v>
      </c>
      <c r="AI207" s="920">
        <v>221.65899999999999</v>
      </c>
      <c r="AJ207" s="920">
        <v>276.78800000000001</v>
      </c>
      <c r="AK207" s="919">
        <f>Data[[#This Row],[Industry Cost ($m)]]/Data[[#This Row],[Industry Consumption]]</f>
        <v>1.7942604380192038</v>
      </c>
      <c r="AL207" s="919">
        <f>Data[[#This Row],[AAL Fuel Cost]]/Data[[#This Row],[AAL Consumption]]</f>
        <v>1.7040048004523505</v>
      </c>
      <c r="AM207" s="919">
        <f>Data[[#This Row],[DAL Fuel Cost]]/Data[[#This Row],[DAL Consumption]]</f>
        <v>1.9213019101245001</v>
      </c>
      <c r="AN207" s="919">
        <f>Data[[#This Row],[UAL Fuel Cost]]/Data[[#This Row],[UALConsumption]]</f>
        <v>1.7351133864061559</v>
      </c>
      <c r="AO207" s="919">
        <f>Data[[#This Row],[LUV Fuel Cost]]/Data[[#This Row],[LUV Consumption]]</f>
        <v>1.8393062431471574</v>
      </c>
      <c r="AP207" s="919">
        <v>1.5089999999999999</v>
      </c>
      <c r="AQ207" s="783"/>
    </row>
    <row r="208" spans="1:43" s="253" customFormat="1">
      <c r="A208" s="263">
        <f t="shared" si="19"/>
        <v>43921</v>
      </c>
      <c r="B208" s="263" t="s">
        <v>357</v>
      </c>
      <c r="C208" s="277">
        <v>64.222055999999995</v>
      </c>
      <c r="D208" s="277">
        <v>10.985368000000001</v>
      </c>
      <c r="E208" s="277">
        <v>10.500691999999999</v>
      </c>
      <c r="F208" s="277">
        <v>9.0200639999999996</v>
      </c>
      <c r="G208" s="277">
        <v>11.134969</v>
      </c>
      <c r="H208" s="284">
        <f t="shared" si="15"/>
        <v>22.580962999999997</v>
      </c>
      <c r="I208" s="277">
        <v>32.172558000000002</v>
      </c>
      <c r="J208" s="277">
        <v>5.6981469999999996</v>
      </c>
      <c r="K208" s="277">
        <v>5.4426189999999997</v>
      </c>
      <c r="L208" s="277">
        <v>4.5137280000000004</v>
      </c>
      <c r="M208" s="277">
        <v>5.129143</v>
      </c>
      <c r="N208" s="284">
        <f t="shared" si="16"/>
        <v>11.388921000000003</v>
      </c>
      <c r="O208" s="277">
        <v>34.420555</v>
      </c>
      <c r="P208" s="277">
        <v>5.3583639999999999</v>
      </c>
      <c r="Q208" s="277">
        <v>5.4898660000000001</v>
      </c>
      <c r="R208" s="277">
        <v>3.4672900000000002</v>
      </c>
      <c r="S208" s="277">
        <v>6.2161280000000003</v>
      </c>
      <c r="T208" s="284">
        <f t="shared" si="17"/>
        <v>13.888907</v>
      </c>
      <c r="U208" s="920">
        <v>11974.137333333332</v>
      </c>
      <c r="V208" s="920">
        <v>2015.796</v>
      </c>
      <c r="W208" s="920">
        <v>2127.9693333333335</v>
      </c>
      <c r="X208" s="920">
        <v>1692.4816666666666</v>
      </c>
      <c r="Y208" s="920">
        <v>1370.8066666666666</v>
      </c>
      <c r="Z208" s="874">
        <f t="shared" si="18"/>
        <v>4767.0836666666655</v>
      </c>
      <c r="AA208" s="920">
        <v>848.2</v>
      </c>
      <c r="AB208" s="277">
        <v>150.79</v>
      </c>
      <c r="AC208" s="920">
        <v>144.011</v>
      </c>
      <c r="AD208" s="920">
        <v>112.816</v>
      </c>
      <c r="AE208" s="920">
        <v>141.126</v>
      </c>
      <c r="AF208" s="920">
        <v>1238.7</v>
      </c>
      <c r="AG208" s="277">
        <v>205.297</v>
      </c>
      <c r="AH208" s="920">
        <v>232.31700000000001</v>
      </c>
      <c r="AI208" s="920">
        <v>162.19</v>
      </c>
      <c r="AJ208" s="920">
        <v>218.869</v>
      </c>
      <c r="AK208" s="919">
        <f>Data[[#This Row],[Industry Cost ($m)]]/Data[[#This Row],[Industry Consumption]]</f>
        <v>1.4603867012497052</v>
      </c>
      <c r="AL208" s="919">
        <f>Data[[#This Row],[AAL Fuel Cost]]/Data[[#This Row],[AAL Consumption]]</f>
        <v>1.3614762252138737</v>
      </c>
      <c r="AM208" s="919">
        <f>Data[[#This Row],[DAL Fuel Cost]]/Data[[#This Row],[DAL Consumption]]</f>
        <v>1.6131892702640771</v>
      </c>
      <c r="AN208" s="919">
        <f>Data[[#This Row],[UAL Fuel Cost]]/Data[[#This Row],[UALConsumption]]</f>
        <v>1.4376506878456956</v>
      </c>
      <c r="AO208" s="919">
        <f>Data[[#This Row],[LUV Fuel Cost]]/Data[[#This Row],[LUV Consumption]]</f>
        <v>1.5508765216898375</v>
      </c>
      <c r="AP208" s="919">
        <v>0.95299999999999996</v>
      </c>
      <c r="AQ208" s="783">
        <f>AVERAGE(AP206:AP208)</f>
        <v>1.4106666666666667</v>
      </c>
    </row>
    <row r="209" spans="1:43" s="253" customFormat="1">
      <c r="A209" s="263">
        <f t="shared" si="19"/>
        <v>43951</v>
      </c>
      <c r="B209" s="263" t="s">
        <v>357</v>
      </c>
      <c r="C209" s="277">
        <v>19.314523999999999</v>
      </c>
      <c r="D209" s="277">
        <v>4.1553389999999997</v>
      </c>
      <c r="E209" s="277">
        <v>2.5520459999999998</v>
      </c>
      <c r="F209" s="277">
        <v>1.7429649999999999</v>
      </c>
      <c r="G209" s="277">
        <v>5.4893900000000002</v>
      </c>
      <c r="H209" s="284">
        <f t="shared" si="15"/>
        <v>5.3747839999999982</v>
      </c>
      <c r="I209" s="277">
        <v>2.531101</v>
      </c>
      <c r="J209" s="277">
        <v>0.64641000000000004</v>
      </c>
      <c r="K209" s="277">
        <v>0.43515599999999999</v>
      </c>
      <c r="L209" s="277">
        <v>0.229099</v>
      </c>
      <c r="M209" s="277">
        <v>0.42844900000000002</v>
      </c>
      <c r="N209" s="284">
        <f t="shared" si="16"/>
        <v>0.791987</v>
      </c>
      <c r="O209" s="277">
        <v>2.879712</v>
      </c>
      <c r="P209" s="277">
        <v>0.63275099999999995</v>
      </c>
      <c r="Q209" s="277">
        <v>0.45207399999999998</v>
      </c>
      <c r="R209" s="277">
        <v>0.18549099999999999</v>
      </c>
      <c r="S209" s="277">
        <v>0.51572799999999996</v>
      </c>
      <c r="T209" s="284">
        <f t="shared" si="17"/>
        <v>1.0936680000000001</v>
      </c>
      <c r="U209" s="920">
        <v>4604.7106666666668</v>
      </c>
      <c r="V209" s="920">
        <v>471.48366666666669</v>
      </c>
      <c r="W209" s="920">
        <v>402.62700000000001</v>
      </c>
      <c r="X209" s="920">
        <v>308.61433333333332</v>
      </c>
      <c r="Y209" s="920">
        <v>335.75766666666669</v>
      </c>
      <c r="Z209" s="874">
        <f t="shared" si="18"/>
        <v>3086.2280000000001</v>
      </c>
      <c r="AA209" s="920">
        <v>313</v>
      </c>
      <c r="AB209" s="277">
        <v>51.712000000000003</v>
      </c>
      <c r="AC209" s="920">
        <v>33.040999999999997</v>
      </c>
      <c r="AD209" s="920">
        <v>19.847999999999999</v>
      </c>
      <c r="AE209" s="920">
        <v>60.576000000000001</v>
      </c>
      <c r="AF209" s="920">
        <v>455.1</v>
      </c>
      <c r="AG209" s="277">
        <v>53.383000000000003</v>
      </c>
      <c r="AH209" s="920">
        <v>52.42</v>
      </c>
      <c r="AI209" s="920">
        <v>22.968</v>
      </c>
      <c r="AJ209" s="920">
        <v>83.355000000000004</v>
      </c>
      <c r="AK209" s="919">
        <f>Data[[#This Row],[Industry Cost ($m)]]/Data[[#This Row],[Industry Consumption]]</f>
        <v>1.4539936102236422</v>
      </c>
      <c r="AL209" s="919">
        <f>Data[[#This Row],[AAL Fuel Cost]]/Data[[#This Row],[AAL Consumption]]</f>
        <v>1.0323135829207921</v>
      </c>
      <c r="AM209" s="919">
        <f>Data[[#This Row],[DAL Fuel Cost]]/Data[[#This Row],[DAL Consumption]]</f>
        <v>1.5865137253715083</v>
      </c>
      <c r="AN209" s="919">
        <f>Data[[#This Row],[UAL Fuel Cost]]/Data[[#This Row],[UALConsumption]]</f>
        <v>1.1571946795646917</v>
      </c>
      <c r="AO209" s="919">
        <f>Data[[#This Row],[LUV Fuel Cost]]/Data[[#This Row],[LUV Consumption]]</f>
        <v>1.3760400158478605</v>
      </c>
      <c r="AP209" s="919">
        <v>0.60599999999999998</v>
      </c>
      <c r="AQ209" s="783"/>
    </row>
    <row r="210" spans="1:43" s="253" customFormat="1">
      <c r="A210" s="263">
        <f t="shared" si="19"/>
        <v>43982</v>
      </c>
      <c r="B210" s="263" t="s">
        <v>357</v>
      </c>
      <c r="C210" s="277">
        <v>17.11035</v>
      </c>
      <c r="D210" s="277">
        <v>3.4557359999999999</v>
      </c>
      <c r="E210" s="277">
        <v>2.1503429999999999</v>
      </c>
      <c r="F210" s="277">
        <v>1.36334</v>
      </c>
      <c r="G210" s="277">
        <v>4.8771940000000003</v>
      </c>
      <c r="H210" s="284">
        <f t="shared" si="15"/>
        <v>5.2637370000000008</v>
      </c>
      <c r="I210" s="277">
        <v>6.6173330000000004</v>
      </c>
      <c r="J210" s="277">
        <v>1.6488640000000001</v>
      </c>
      <c r="K210" s="277">
        <v>0.79167399999999999</v>
      </c>
      <c r="L210" s="277">
        <v>0.50123600000000001</v>
      </c>
      <c r="M210" s="277">
        <v>1.4596499999999999</v>
      </c>
      <c r="N210" s="284">
        <f t="shared" si="16"/>
        <v>2.2159089999999999</v>
      </c>
      <c r="O210" s="277">
        <v>7.861491</v>
      </c>
      <c r="P210" s="277">
        <v>1.6599600000000001</v>
      </c>
      <c r="Q210" s="277">
        <v>0.84360299999999999</v>
      </c>
      <c r="R210" s="277">
        <v>0.39678000000000002</v>
      </c>
      <c r="S210" s="277">
        <v>1.836192</v>
      </c>
      <c r="T210" s="284">
        <f t="shared" si="17"/>
        <v>3.1249560000000001</v>
      </c>
      <c r="U210" s="920">
        <v>4604.7106666666668</v>
      </c>
      <c r="V210" s="920">
        <v>471.48366666666669</v>
      </c>
      <c r="W210" s="920">
        <v>402.62700000000001</v>
      </c>
      <c r="X210" s="920">
        <v>308.61433333333332</v>
      </c>
      <c r="Y210" s="920">
        <v>335.75766666666669</v>
      </c>
      <c r="Z210" s="874">
        <f t="shared" si="18"/>
        <v>3086.2280000000001</v>
      </c>
      <c r="AA210" s="920">
        <v>297</v>
      </c>
      <c r="AB210" s="277">
        <v>45.218000000000004</v>
      </c>
      <c r="AC210" s="920">
        <v>28.707000000000001</v>
      </c>
      <c r="AD210" s="920">
        <v>16.715</v>
      </c>
      <c r="AE210" s="920">
        <v>56.436</v>
      </c>
      <c r="AF210" s="920">
        <v>316.3</v>
      </c>
      <c r="AG210" s="277">
        <v>48.32</v>
      </c>
      <c r="AH210" s="920">
        <v>43.183</v>
      </c>
      <c r="AI210" s="920">
        <v>17.690000000000001</v>
      </c>
      <c r="AJ210" s="920">
        <v>69.747</v>
      </c>
      <c r="AK210" s="919">
        <f>Data[[#This Row],[Industry Cost ($m)]]/Data[[#This Row],[Industry Consumption]]</f>
        <v>1.0649831649831649</v>
      </c>
      <c r="AL210" s="919">
        <f>Data[[#This Row],[AAL Fuel Cost]]/Data[[#This Row],[AAL Consumption]]</f>
        <v>1.0686009996019283</v>
      </c>
      <c r="AM210" s="919">
        <f>Data[[#This Row],[DAL Fuel Cost]]/Data[[#This Row],[DAL Consumption]]</f>
        <v>1.5042672518897828</v>
      </c>
      <c r="AN210" s="919">
        <f>Data[[#This Row],[UAL Fuel Cost]]/Data[[#This Row],[UALConsumption]]</f>
        <v>1.0583308405623693</v>
      </c>
      <c r="AO210" s="919">
        <f>Data[[#This Row],[LUV Fuel Cost]]/Data[[#This Row],[LUV Consumption]]</f>
        <v>1.2358600893046991</v>
      </c>
      <c r="AP210" s="919">
        <v>0.68600000000000005</v>
      </c>
      <c r="AQ210" s="783"/>
    </row>
    <row r="211" spans="1:43" s="253" customFormat="1">
      <c r="A211" s="263">
        <f t="shared" si="19"/>
        <v>44012</v>
      </c>
      <c r="B211" s="263" t="s">
        <v>357</v>
      </c>
      <c r="C211" s="277">
        <v>24.641020000000001</v>
      </c>
      <c r="D211" s="277">
        <v>4.4095569999999995</v>
      </c>
      <c r="E211" s="277">
        <v>2.9854439999999998</v>
      </c>
      <c r="F211" s="277">
        <v>1.524141</v>
      </c>
      <c r="G211" s="277">
        <v>7.5218249999999998</v>
      </c>
      <c r="H211" s="284">
        <f t="shared" si="15"/>
        <v>8.2000530000000005</v>
      </c>
      <c r="I211" s="277">
        <v>13.844224000000001</v>
      </c>
      <c r="J211" s="277">
        <v>3.0404040000000001</v>
      </c>
      <c r="K211" s="277">
        <v>1.455783</v>
      </c>
      <c r="L211" s="277">
        <v>0.83857899999999996</v>
      </c>
      <c r="M211" s="277">
        <v>3.726559</v>
      </c>
      <c r="N211" s="284">
        <f t="shared" si="16"/>
        <v>4.7828990000000005</v>
      </c>
      <c r="O211" s="277">
        <v>16.132885000000002</v>
      </c>
      <c r="P211" s="277">
        <v>2.9602750000000002</v>
      </c>
      <c r="Q211" s="277">
        <v>1.5390900000000001</v>
      </c>
      <c r="R211" s="277">
        <v>0.66127499999999995</v>
      </c>
      <c r="S211" s="277">
        <v>4.6378170000000001</v>
      </c>
      <c r="T211" s="284">
        <f t="shared" si="17"/>
        <v>6.3344280000000026</v>
      </c>
      <c r="U211" s="920">
        <v>4604.7106666666668</v>
      </c>
      <c r="V211" s="920">
        <v>471.48366666666669</v>
      </c>
      <c r="W211" s="920">
        <v>402.62700000000001</v>
      </c>
      <c r="X211" s="920">
        <v>308.61433333333332</v>
      </c>
      <c r="Y211" s="920">
        <v>335.75766666666669</v>
      </c>
      <c r="Z211" s="874">
        <f t="shared" si="18"/>
        <v>3086.2280000000001</v>
      </c>
      <c r="AA211" s="920">
        <v>393.5</v>
      </c>
      <c r="AB211" s="277">
        <v>59.875999999999998</v>
      </c>
      <c r="AC211" s="920">
        <v>39.075000000000003</v>
      </c>
      <c r="AD211" s="920">
        <v>19.122</v>
      </c>
      <c r="AE211" s="920">
        <v>90.879000000000005</v>
      </c>
      <c r="AF211" s="920">
        <v>442.9</v>
      </c>
      <c r="AG211" s="277">
        <v>60.192</v>
      </c>
      <c r="AH211" s="920">
        <v>53.091000000000001</v>
      </c>
      <c r="AI211" s="920">
        <v>22.457999999999998</v>
      </c>
      <c r="AJ211" s="920">
        <v>106.274</v>
      </c>
      <c r="AK211" s="919">
        <f>Data[[#This Row],[Industry Cost ($m)]]/Data[[#This Row],[Industry Consumption]]</f>
        <v>1.1255400254129606</v>
      </c>
      <c r="AL211" s="919">
        <f>Data[[#This Row],[AAL Fuel Cost]]/Data[[#This Row],[AAL Consumption]]</f>
        <v>1.0052775736522146</v>
      </c>
      <c r="AM211" s="919">
        <f>Data[[#This Row],[DAL Fuel Cost]]/Data[[#This Row],[DAL Consumption]]</f>
        <v>1.3586948176583493</v>
      </c>
      <c r="AN211" s="919">
        <f>Data[[#This Row],[UAL Fuel Cost]]/Data[[#This Row],[UALConsumption]]</f>
        <v>1.1744587386256666</v>
      </c>
      <c r="AO211" s="919">
        <f>Data[[#This Row],[LUV Fuel Cost]]/Data[[#This Row],[LUV Consumption]]</f>
        <v>1.1694010717547507</v>
      </c>
      <c r="AP211" s="919">
        <v>0.98299999999999998</v>
      </c>
      <c r="AQ211" s="783">
        <f>AVERAGE(AP209:AP211)</f>
        <v>0.7583333333333333</v>
      </c>
    </row>
    <row r="212" spans="1:43" s="253" customFormat="1">
      <c r="A212" s="263">
        <f t="shared" si="19"/>
        <v>44043</v>
      </c>
      <c r="B212" s="263" t="s">
        <v>357</v>
      </c>
      <c r="C212" s="277">
        <v>40.150393000000001</v>
      </c>
      <c r="D212" s="277">
        <v>7.5103469999999994</v>
      </c>
      <c r="E212" s="277">
        <v>5.7001189999999999</v>
      </c>
      <c r="F212" s="277">
        <v>3.1101770000000002</v>
      </c>
      <c r="G212" s="277">
        <v>9.442501</v>
      </c>
      <c r="H212" s="284">
        <f t="shared" si="15"/>
        <v>14.387249000000001</v>
      </c>
      <c r="I212" s="277">
        <v>19.995062999999998</v>
      </c>
      <c r="J212" s="277">
        <v>4.3844779999999997</v>
      </c>
      <c r="K212" s="277">
        <v>2.4076689999999998</v>
      </c>
      <c r="L212" s="277">
        <v>1.518114</v>
      </c>
      <c r="M212" s="277">
        <v>4.0235409999999998</v>
      </c>
      <c r="N212" s="284">
        <f t="shared" si="16"/>
        <v>7.6612609999999979</v>
      </c>
      <c r="O212" s="277">
        <v>22.922158</v>
      </c>
      <c r="P212" s="277">
        <v>4.3031699999999997</v>
      </c>
      <c r="Q212" s="277">
        <v>2.4179460000000002</v>
      </c>
      <c r="R212" s="277">
        <v>1.207341</v>
      </c>
      <c r="S212" s="277">
        <v>5.0784799999999999</v>
      </c>
      <c r="T212" s="284">
        <f t="shared" si="17"/>
        <v>9.915220999999999</v>
      </c>
      <c r="U212" s="920">
        <v>6542.0503333333336</v>
      </c>
      <c r="V212" s="920">
        <v>902.0866666666667</v>
      </c>
      <c r="W212" s="920">
        <v>866.49833333333333</v>
      </c>
      <c r="X212" s="920">
        <v>557.22433333333333</v>
      </c>
      <c r="Y212" s="920">
        <v>591.08966666666663</v>
      </c>
      <c r="Z212" s="874">
        <f t="shared" si="18"/>
        <v>3625.1513333333332</v>
      </c>
      <c r="AA212" s="920">
        <v>565.70000000000005</v>
      </c>
      <c r="AB212" s="277">
        <v>99.048000000000002</v>
      </c>
      <c r="AC212" s="920">
        <v>73.066000000000003</v>
      </c>
      <c r="AD212" s="920">
        <v>39.090000000000003</v>
      </c>
      <c r="AE212" s="920">
        <v>115.244</v>
      </c>
      <c r="AF212" s="920">
        <v>666.1</v>
      </c>
      <c r="AG212" s="277">
        <v>109.47799999999999</v>
      </c>
      <c r="AH212" s="920">
        <v>86.659000000000006</v>
      </c>
      <c r="AI212" s="920">
        <v>47.284999999999997</v>
      </c>
      <c r="AJ212" s="920">
        <v>130.239</v>
      </c>
      <c r="AK212" s="919">
        <f>Data[[#This Row],[Industry Cost ($m)]]/Data[[#This Row],[Industry Consumption]]</f>
        <v>1.1774792292734664</v>
      </c>
      <c r="AL212" s="919">
        <f>Data[[#This Row],[AAL Fuel Cost]]/Data[[#This Row],[AAL Consumption]]</f>
        <v>1.1053024796058475</v>
      </c>
      <c r="AM212" s="919">
        <f>Data[[#This Row],[DAL Fuel Cost]]/Data[[#This Row],[DAL Consumption]]</f>
        <v>1.1860372813620563</v>
      </c>
      <c r="AN212" s="919">
        <f>Data[[#This Row],[UAL Fuel Cost]]/Data[[#This Row],[UALConsumption]]</f>
        <v>1.2096444103351238</v>
      </c>
      <c r="AO212" s="919">
        <f>Data[[#This Row],[LUV Fuel Cost]]/Data[[#This Row],[LUV Consumption]]</f>
        <v>1.1301152337648814</v>
      </c>
      <c r="AP212" s="919">
        <v>1.0840000000000001</v>
      </c>
      <c r="AQ212" s="783"/>
    </row>
    <row r="213" spans="1:43" s="253" customFormat="1">
      <c r="A213" s="263">
        <f t="shared" si="19"/>
        <v>44074</v>
      </c>
      <c r="B213" s="263" t="s">
        <v>357</v>
      </c>
      <c r="C213" s="277">
        <v>42.704075000000003</v>
      </c>
      <c r="D213" s="277">
        <v>7.4196960000000001</v>
      </c>
      <c r="E213" s="277">
        <v>7.318524</v>
      </c>
      <c r="F213" s="277">
        <v>4.43506</v>
      </c>
      <c r="G213" s="277">
        <v>9.5321749999999987</v>
      </c>
      <c r="H213" s="284">
        <f t="shared" si="15"/>
        <v>13.998620000000006</v>
      </c>
      <c r="I213" s="277">
        <v>21.105626000000001</v>
      </c>
      <c r="J213" s="277">
        <v>4.3691240000000002</v>
      </c>
      <c r="K213" s="277">
        <v>3.068565</v>
      </c>
      <c r="L213" s="277">
        <v>2.1639940000000002</v>
      </c>
      <c r="M213" s="277">
        <v>4.0156359999999998</v>
      </c>
      <c r="N213" s="284">
        <f t="shared" si="16"/>
        <v>7.4883069999999989</v>
      </c>
      <c r="O213" s="277">
        <v>24.431822</v>
      </c>
      <c r="P213" s="277">
        <v>4.3374030000000001</v>
      </c>
      <c r="Q213" s="277">
        <v>3.194715</v>
      </c>
      <c r="R213" s="277">
        <v>1.7905629999999999</v>
      </c>
      <c r="S213" s="277">
        <v>5.0664999999999996</v>
      </c>
      <c r="T213" s="284">
        <f t="shared" si="17"/>
        <v>10.042641</v>
      </c>
      <c r="U213" s="920">
        <v>6542.0503333333336</v>
      </c>
      <c r="V213" s="920">
        <v>902.0866666666667</v>
      </c>
      <c r="W213" s="920">
        <v>866.49833333333333</v>
      </c>
      <c r="X213" s="920">
        <v>557.22433333333333</v>
      </c>
      <c r="Y213" s="920">
        <v>591.08966666666663</v>
      </c>
      <c r="Z213" s="874">
        <f t="shared" si="18"/>
        <v>3625.1513333333332</v>
      </c>
      <c r="AA213" s="920">
        <v>589.1</v>
      </c>
      <c r="AB213" s="277">
        <v>99.715999999999994</v>
      </c>
      <c r="AC213" s="920">
        <v>95.084999999999994</v>
      </c>
      <c r="AD213" s="920">
        <v>54.482999999999997</v>
      </c>
      <c r="AE213" s="920">
        <v>116.18899999999999</v>
      </c>
      <c r="AF213" s="920">
        <v>714</v>
      </c>
      <c r="AG213" s="277">
        <v>114.529</v>
      </c>
      <c r="AH213" s="920">
        <v>123.639</v>
      </c>
      <c r="AI213" s="920">
        <v>64.626000000000005</v>
      </c>
      <c r="AJ213" s="920">
        <v>131.71100000000001</v>
      </c>
      <c r="AK213" s="919">
        <f>Data[[#This Row],[Industry Cost ($m)]]/Data[[#This Row],[Industry Consumption]]</f>
        <v>1.212018333050416</v>
      </c>
      <c r="AL213" s="919">
        <f>Data[[#This Row],[AAL Fuel Cost]]/Data[[#This Row],[AAL Consumption]]</f>
        <v>1.1485518873601028</v>
      </c>
      <c r="AM213" s="919">
        <f>Data[[#This Row],[DAL Fuel Cost]]/Data[[#This Row],[DAL Consumption]]</f>
        <v>1.3002997318188989</v>
      </c>
      <c r="AN213" s="919">
        <f>Data[[#This Row],[UAL Fuel Cost]]/Data[[#This Row],[UALConsumption]]</f>
        <v>1.1861681625461153</v>
      </c>
      <c r="AO213" s="919">
        <f>Data[[#This Row],[LUV Fuel Cost]]/Data[[#This Row],[LUV Consumption]]</f>
        <v>1.133592680890618</v>
      </c>
      <c r="AP213" s="919">
        <v>1.1120000000000001</v>
      </c>
      <c r="AQ213" s="783"/>
    </row>
    <row r="214" spans="1:43" s="253" customFormat="1">
      <c r="A214" s="263">
        <f t="shared" si="19"/>
        <v>44104</v>
      </c>
      <c r="B214" s="263" t="s">
        <v>357</v>
      </c>
      <c r="C214" s="277">
        <v>35.743836999999999</v>
      </c>
      <c r="D214" s="277">
        <v>6.253012</v>
      </c>
      <c r="E214" s="277">
        <v>6.7654240000000003</v>
      </c>
      <c r="F214" s="277">
        <v>3.6673390000000001</v>
      </c>
      <c r="G214" s="277">
        <v>7.1913320000000001</v>
      </c>
      <c r="H214" s="284">
        <f t="shared" si="15"/>
        <v>11.86673</v>
      </c>
      <c r="I214" s="277">
        <v>20.39856</v>
      </c>
      <c r="J214" s="277">
        <v>4.5079760000000002</v>
      </c>
      <c r="K214" s="277">
        <v>3.0826579999999999</v>
      </c>
      <c r="L214" s="277">
        <v>2.2064780000000002</v>
      </c>
      <c r="M214" s="277">
        <v>3.7017030000000002</v>
      </c>
      <c r="N214" s="284">
        <f t="shared" si="16"/>
        <v>6.8997449999999994</v>
      </c>
      <c r="O214" s="277">
        <v>23.854772000000001</v>
      </c>
      <c r="P214" s="277">
        <v>4.5384409999999997</v>
      </c>
      <c r="Q214" s="277">
        <v>3.316398</v>
      </c>
      <c r="R214" s="277">
        <v>1.821096</v>
      </c>
      <c r="S214" s="277">
        <v>4.786829</v>
      </c>
      <c r="T214" s="284">
        <f t="shared" si="17"/>
        <v>9.3920080000000006</v>
      </c>
      <c r="U214" s="920">
        <v>6542.0503333333336</v>
      </c>
      <c r="V214" s="920">
        <v>902.0866666666667</v>
      </c>
      <c r="W214" s="920">
        <v>866.49833333333333</v>
      </c>
      <c r="X214" s="920">
        <v>557.22433333333333</v>
      </c>
      <c r="Y214" s="920">
        <v>591.08966666666663</v>
      </c>
      <c r="Z214" s="874">
        <f t="shared" si="18"/>
        <v>3625.1513333333332</v>
      </c>
      <c r="AA214" s="920">
        <v>508.5</v>
      </c>
      <c r="AB214" s="277">
        <v>86.331000000000003</v>
      </c>
      <c r="AC214" s="920">
        <v>85.058999999999997</v>
      </c>
      <c r="AD214" s="920">
        <v>44.798000000000002</v>
      </c>
      <c r="AE214" s="920">
        <v>88.629000000000005</v>
      </c>
      <c r="AF214" s="920">
        <v>599</v>
      </c>
      <c r="AG214" s="277">
        <v>92.902000000000001</v>
      </c>
      <c r="AH214" s="920">
        <v>109.18300000000001</v>
      </c>
      <c r="AI214" s="920">
        <v>50.856999999999999</v>
      </c>
      <c r="AJ214" s="920">
        <v>105.904</v>
      </c>
      <c r="AK214" s="919">
        <f>Data[[#This Row],[Industry Cost ($m)]]/Data[[#This Row],[Industry Consumption]]</f>
        <v>1.1779744346116028</v>
      </c>
      <c r="AL214" s="919">
        <f>Data[[#This Row],[AAL Fuel Cost]]/Data[[#This Row],[AAL Consumption]]</f>
        <v>1.0761140262478137</v>
      </c>
      <c r="AM214" s="919">
        <f>Data[[#This Row],[DAL Fuel Cost]]/Data[[#This Row],[DAL Consumption]]</f>
        <v>1.2836149025970209</v>
      </c>
      <c r="AN214" s="919">
        <f>Data[[#This Row],[UAL Fuel Cost]]/Data[[#This Row],[UALConsumption]]</f>
        <v>1.1352515737309701</v>
      </c>
      <c r="AO214" s="919">
        <f>Data[[#This Row],[LUV Fuel Cost]]/Data[[#This Row],[LUV Consumption]]</f>
        <v>1.1949136287219757</v>
      </c>
      <c r="AP214" s="919">
        <v>1.006</v>
      </c>
      <c r="AQ214" s="783">
        <f>AVERAGE(AP212:AP214)</f>
        <v>1.0673333333333332</v>
      </c>
    </row>
    <row r="215" spans="1:43" s="253" customFormat="1">
      <c r="A215" s="263">
        <f t="shared" si="19"/>
        <v>44135</v>
      </c>
      <c r="B215" s="263" t="s">
        <v>357</v>
      </c>
      <c r="C215" s="277">
        <v>40.318368</v>
      </c>
      <c r="D215" s="277">
        <v>6.6408069999999997</v>
      </c>
      <c r="E215" s="277">
        <v>7.5766620000000007</v>
      </c>
      <c r="F215" s="277">
        <v>4.8625240000000005</v>
      </c>
      <c r="G215" s="277">
        <v>7.2661009999999999</v>
      </c>
      <c r="H215" s="284">
        <f t="shared" si="15"/>
        <v>13.972273999999999</v>
      </c>
      <c r="I215" s="277">
        <v>24.390235000000001</v>
      </c>
      <c r="J215" s="277">
        <v>5.0842840000000002</v>
      </c>
      <c r="K215" s="277">
        <v>3.512886</v>
      </c>
      <c r="L215" s="277">
        <v>3.2098909999999998</v>
      </c>
      <c r="M215" s="277">
        <v>3.9777100000000001</v>
      </c>
      <c r="N215" s="284">
        <f t="shared" si="16"/>
        <v>8.6054639999999996</v>
      </c>
      <c r="O215" s="277">
        <v>28.027208999999999</v>
      </c>
      <c r="P215" s="277">
        <v>5.0965860000000003</v>
      </c>
      <c r="Q215" s="277">
        <v>3.7310650000000001</v>
      </c>
      <c r="R215" s="277">
        <v>2.6970960000000002</v>
      </c>
      <c r="S215" s="277">
        <v>5.1573089999999997</v>
      </c>
      <c r="T215" s="284">
        <f t="shared" si="17"/>
        <v>11.345153</v>
      </c>
      <c r="U215" s="920">
        <v>7803.3416666666672</v>
      </c>
      <c r="V215" s="920">
        <v>1048.3353333333332</v>
      </c>
      <c r="W215" s="920">
        <v>1091.1016666666667</v>
      </c>
      <c r="X215" s="920">
        <v>745.32866666666666</v>
      </c>
      <c r="Y215" s="920">
        <v>657.02733333333333</v>
      </c>
      <c r="Z215" s="874">
        <f t="shared" si="18"/>
        <v>4261.5486666666675</v>
      </c>
      <c r="AA215" s="920">
        <v>568.9</v>
      </c>
      <c r="AB215" s="277">
        <v>91.584999999999994</v>
      </c>
      <c r="AC215" s="920">
        <v>95.727999999999994</v>
      </c>
      <c r="AD215" s="920">
        <v>60.423999999999999</v>
      </c>
      <c r="AE215" s="920">
        <v>90.591999999999999</v>
      </c>
      <c r="AF215" s="920">
        <v>650.5</v>
      </c>
      <c r="AG215" s="277">
        <v>97.730999999999995</v>
      </c>
      <c r="AH215" s="920">
        <v>116.351</v>
      </c>
      <c r="AI215" s="920">
        <v>67.314999999999998</v>
      </c>
      <c r="AJ215" s="920">
        <v>98.438999999999993</v>
      </c>
      <c r="AK215" s="919">
        <f>Data[[#This Row],[Industry Cost ($m)]]/Data[[#This Row],[Industry Consumption]]</f>
        <v>1.1434346985410442</v>
      </c>
      <c r="AL215" s="919">
        <f>Data[[#This Row],[AAL Fuel Cost]]/Data[[#This Row],[AAL Consumption]]</f>
        <v>1.0671070590162144</v>
      </c>
      <c r="AM215" s="919">
        <f>Data[[#This Row],[DAL Fuel Cost]]/Data[[#This Row],[DAL Consumption]]</f>
        <v>1.2154333110479694</v>
      </c>
      <c r="AN215" s="919">
        <f>Data[[#This Row],[UAL Fuel Cost]]/Data[[#This Row],[UALConsumption]]</f>
        <v>1.1140440884416787</v>
      </c>
      <c r="AO215" s="919">
        <f>Data[[#This Row],[LUV Fuel Cost]]/Data[[#This Row],[LUV Consumption]]</f>
        <v>1.0866191275167785</v>
      </c>
      <c r="AP215" s="919">
        <v>1.0469999999999999</v>
      </c>
      <c r="AQ215" s="783"/>
    </row>
    <row r="216" spans="1:43" s="253" customFormat="1">
      <c r="A216" s="263">
        <f t="shared" si="19"/>
        <v>44165</v>
      </c>
      <c r="B216" s="263" t="s">
        <v>357</v>
      </c>
      <c r="C216" s="277">
        <v>43.377699999999997</v>
      </c>
      <c r="D216" s="277">
        <v>6.757161</v>
      </c>
      <c r="E216" s="277">
        <v>8.0622160000000012</v>
      </c>
      <c r="F216" s="277">
        <v>5.0824110000000005</v>
      </c>
      <c r="G216" s="277">
        <v>8.3157199999999989</v>
      </c>
      <c r="H216" s="284">
        <f t="shared" si="15"/>
        <v>15.160191999999995</v>
      </c>
      <c r="I216" s="277">
        <v>23.666198000000001</v>
      </c>
      <c r="J216" s="277">
        <v>4.4689709999999998</v>
      </c>
      <c r="K216" s="277">
        <v>3.4261979999999999</v>
      </c>
      <c r="L216" s="277">
        <v>3.1702819999999998</v>
      </c>
      <c r="M216" s="277">
        <v>3.9833419999999999</v>
      </c>
      <c r="N216" s="284">
        <f t="shared" si="16"/>
        <v>8.6174050000000015</v>
      </c>
      <c r="O216" s="277">
        <v>26.294513999999999</v>
      </c>
      <c r="P216" s="277">
        <v>4.2694279999999996</v>
      </c>
      <c r="Q216" s="277">
        <v>3.5246040000000001</v>
      </c>
      <c r="R216" s="277">
        <v>2.5885750000000001</v>
      </c>
      <c r="S216" s="277">
        <v>4.9570220000000003</v>
      </c>
      <c r="T216" s="284">
        <f t="shared" si="17"/>
        <v>10.954884999999999</v>
      </c>
      <c r="U216" s="920">
        <v>7803.3416666666672</v>
      </c>
      <c r="V216" s="920">
        <v>1048.3353333333332</v>
      </c>
      <c r="W216" s="920">
        <v>1091.1016666666667</v>
      </c>
      <c r="X216" s="920">
        <v>745.32866666666666</v>
      </c>
      <c r="Y216" s="920">
        <v>657.02733333333333</v>
      </c>
      <c r="Z216" s="874">
        <f t="shared" si="18"/>
        <v>4261.5486666666675</v>
      </c>
      <c r="AA216" s="920">
        <v>593</v>
      </c>
      <c r="AB216" s="277">
        <v>91.683999999999997</v>
      </c>
      <c r="AC216" s="920">
        <v>101.322</v>
      </c>
      <c r="AD216" s="920">
        <v>61.853999999999999</v>
      </c>
      <c r="AE216" s="920">
        <v>102.233</v>
      </c>
      <c r="AF216" s="920">
        <v>717.9</v>
      </c>
      <c r="AG216" s="277">
        <v>103.27500000000001</v>
      </c>
      <c r="AH216" s="920">
        <v>123.495</v>
      </c>
      <c r="AI216" s="920">
        <v>73.064999999999998</v>
      </c>
      <c r="AJ216" s="920">
        <v>121.06100000000001</v>
      </c>
      <c r="AK216" s="919">
        <f>Data[[#This Row],[Industry Cost ($m)]]/Data[[#This Row],[Industry Consumption]]</f>
        <v>1.2106239460370996</v>
      </c>
      <c r="AL216" s="919">
        <f>Data[[#This Row],[AAL Fuel Cost]]/Data[[#This Row],[AAL Consumption]]</f>
        <v>1.1264233672178352</v>
      </c>
      <c r="AM216" s="919">
        <f>Data[[#This Row],[DAL Fuel Cost]]/Data[[#This Row],[DAL Consumption]]</f>
        <v>1.2188369751880144</v>
      </c>
      <c r="AN216" s="919">
        <f>Data[[#This Row],[UAL Fuel Cost]]/Data[[#This Row],[UALConsumption]]</f>
        <v>1.1812493937336308</v>
      </c>
      <c r="AO216" s="919">
        <f>Data[[#This Row],[LUV Fuel Cost]]/Data[[#This Row],[LUV Consumption]]</f>
        <v>1.1841675388573161</v>
      </c>
      <c r="AP216" s="919">
        <v>1.133</v>
      </c>
      <c r="AQ216" s="783"/>
    </row>
    <row r="217" spans="1:43" s="253" customFormat="1">
      <c r="A217" s="263">
        <f t="shared" si="19"/>
        <v>44196</v>
      </c>
      <c r="B217" s="263" t="s">
        <v>357</v>
      </c>
      <c r="C217" s="277">
        <v>44.949733999999999</v>
      </c>
      <c r="D217" s="277">
        <v>7.2116059999999997</v>
      </c>
      <c r="E217" s="277">
        <v>8.5066000000000006</v>
      </c>
      <c r="F217" s="277">
        <v>5.5190489999999999</v>
      </c>
      <c r="G217" s="277">
        <v>7.6006220000000004</v>
      </c>
      <c r="H217" s="284">
        <f t="shared" si="15"/>
        <v>16.111856999999997</v>
      </c>
      <c r="I217" s="277">
        <v>25.015291999999999</v>
      </c>
      <c r="J217" s="277">
        <v>4.4549339999999997</v>
      </c>
      <c r="K217" s="277">
        <v>3.6410610000000001</v>
      </c>
      <c r="L217" s="277">
        <v>3.3561909999999999</v>
      </c>
      <c r="M217" s="277">
        <v>4.5237540000000003</v>
      </c>
      <c r="N217" s="284">
        <f t="shared" si="16"/>
        <v>9.0393519999999974</v>
      </c>
      <c r="O217" s="277">
        <v>27.264199000000001</v>
      </c>
      <c r="P217" s="277">
        <v>4.1589999999999998</v>
      </c>
      <c r="Q217" s="277">
        <v>3.5387979999999999</v>
      </c>
      <c r="R217" s="277">
        <v>2.6693530000000001</v>
      </c>
      <c r="S217" s="277">
        <v>5.5651219999999997</v>
      </c>
      <c r="T217" s="284">
        <f t="shared" si="17"/>
        <v>11.331926000000003</v>
      </c>
      <c r="U217" s="920">
        <v>7803.3416666666672</v>
      </c>
      <c r="V217" s="920">
        <v>1048.3353333333332</v>
      </c>
      <c r="W217" s="920">
        <v>1091.1016666666667</v>
      </c>
      <c r="X217" s="920">
        <v>745.32866666666666</v>
      </c>
      <c r="Y217" s="920">
        <v>657.02733333333333</v>
      </c>
      <c r="Z217" s="874">
        <f t="shared" si="18"/>
        <v>4261.5486666666675</v>
      </c>
      <c r="AA217" s="920">
        <v>646.70000000000005</v>
      </c>
      <c r="AB217" s="277">
        <v>96.268000000000001</v>
      </c>
      <c r="AC217" s="920">
        <v>107.19</v>
      </c>
      <c r="AD217" s="920">
        <v>66.611999999999995</v>
      </c>
      <c r="AE217" s="920">
        <v>94.512</v>
      </c>
      <c r="AF217" s="920">
        <v>953</v>
      </c>
      <c r="AG217" s="277">
        <v>125.08799999999999</v>
      </c>
      <c r="AH217" s="920">
        <v>205.251</v>
      </c>
      <c r="AI217" s="920">
        <v>89.406999999999996</v>
      </c>
      <c r="AJ217" s="920">
        <v>128.65199999999999</v>
      </c>
      <c r="AK217" s="919">
        <f>Data[[#This Row],[Industry Cost ($m)]]/Data[[#This Row],[Industry Consumption]]</f>
        <v>1.4736353796196071</v>
      </c>
      <c r="AL217" s="919">
        <f>Data[[#This Row],[AAL Fuel Cost]]/Data[[#This Row],[AAL Consumption]]</f>
        <v>1.2993725848672455</v>
      </c>
      <c r="AM217" s="919">
        <f>Data[[#This Row],[DAL Fuel Cost]]/Data[[#This Row],[DAL Consumption]]</f>
        <v>1.9148334732717605</v>
      </c>
      <c r="AN217" s="919">
        <f>Data[[#This Row],[UAL Fuel Cost]]/Data[[#This Row],[UALConsumption]]</f>
        <v>1.3422056085990512</v>
      </c>
      <c r="AO217" s="919">
        <f>Data[[#This Row],[LUV Fuel Cost]]/Data[[#This Row],[LUV Consumption]]</f>
        <v>1.361223971559167</v>
      </c>
      <c r="AP217" s="919">
        <v>1.3240000000000001</v>
      </c>
      <c r="AQ217" s="783">
        <f>AVERAGE(AP215:AP217)</f>
        <v>1.1679999999999999</v>
      </c>
    </row>
    <row r="218" spans="1:43" s="253" customFormat="1">
      <c r="A218" s="263">
        <f t="shared" si="19"/>
        <v>44227</v>
      </c>
      <c r="B218" s="263" t="s">
        <v>357</v>
      </c>
      <c r="C218" s="277">
        <v>42.182777000000002</v>
      </c>
      <c r="D218" s="277">
        <v>6.9789350000000008</v>
      </c>
      <c r="E218" s="277">
        <v>8.4311179999999997</v>
      </c>
      <c r="F218" s="277">
        <v>4.9285909999999999</v>
      </c>
      <c r="G218" s="277">
        <v>7.1847780000000006</v>
      </c>
      <c r="H218" s="284">
        <f t="shared" si="15"/>
        <v>14.659354999999998</v>
      </c>
      <c r="I218" s="277">
        <v>22.298925000000001</v>
      </c>
      <c r="J218" s="277">
        <v>4.0125789999999997</v>
      </c>
      <c r="K218" s="277">
        <v>3.603046</v>
      </c>
      <c r="L218" s="277">
        <v>2.798343</v>
      </c>
      <c r="M218" s="277">
        <v>3.832821</v>
      </c>
      <c r="N218" s="284">
        <f t="shared" si="16"/>
        <v>8.0521360000000008</v>
      </c>
      <c r="O218" s="277">
        <v>24.305907999999999</v>
      </c>
      <c r="P218" s="277">
        <v>3.8107839999999999</v>
      </c>
      <c r="Q218" s="277">
        <v>3.4857429999999998</v>
      </c>
      <c r="R218" s="277">
        <v>2.272605</v>
      </c>
      <c r="S218" s="277">
        <v>4.6833920000000004</v>
      </c>
      <c r="T218" s="284">
        <f t="shared" si="17"/>
        <v>10.053383999999998</v>
      </c>
      <c r="U218" s="920">
        <v>7645.0933333333332</v>
      </c>
      <c r="V218" s="920">
        <v>1033.58</v>
      </c>
      <c r="W218" s="920">
        <v>1147.7438136826784</v>
      </c>
      <c r="X218" s="920">
        <v>703.78133333333335</v>
      </c>
      <c r="Y218" s="920">
        <v>667.64600000000007</v>
      </c>
      <c r="Z218" s="874">
        <f t="shared" si="18"/>
        <v>4092.3421863173212</v>
      </c>
      <c r="AA218" s="920">
        <v>579</v>
      </c>
      <c r="AB218" s="277">
        <v>92.578999999999994</v>
      </c>
      <c r="AC218" s="920">
        <v>106.922</v>
      </c>
      <c r="AD218" s="920">
        <v>59.816000000000003</v>
      </c>
      <c r="AE218" s="920">
        <v>88.87</v>
      </c>
      <c r="AF218" s="920">
        <v>877.5</v>
      </c>
      <c r="AG218" s="277">
        <v>130.63900000000001</v>
      </c>
      <c r="AH218" s="920">
        <v>174.971</v>
      </c>
      <c r="AI218" s="920">
        <v>86.367000000000004</v>
      </c>
      <c r="AJ218" s="920">
        <v>127.994</v>
      </c>
      <c r="AK218" s="919">
        <f>Data[[#This Row],[Industry Cost ($m)]]/Data[[#This Row],[Industry Consumption]]</f>
        <v>1.5155440414507773</v>
      </c>
      <c r="AL218" s="919">
        <f>Data[[#This Row],[AAL Fuel Cost]]/Data[[#This Row],[AAL Consumption]]</f>
        <v>1.4111083507058839</v>
      </c>
      <c r="AM218" s="919">
        <f>Data[[#This Row],[DAL Fuel Cost]]/Data[[#This Row],[DAL Consumption]]</f>
        <v>1.6364359065486991</v>
      </c>
      <c r="AN218" s="919">
        <f>Data[[#This Row],[UAL Fuel Cost]]/Data[[#This Row],[UALConsumption]]</f>
        <v>1.4438778922027551</v>
      </c>
      <c r="AO218" s="919">
        <f>Data[[#This Row],[LUV Fuel Cost]]/Data[[#This Row],[LUV Consumption]]</f>
        <v>1.4402385506920219</v>
      </c>
      <c r="AP218" s="919">
        <v>1.42</v>
      </c>
      <c r="AQ218" s="783"/>
    </row>
    <row r="219" spans="1:43" s="253" customFormat="1">
      <c r="A219" s="263">
        <f t="shared" si="19"/>
        <v>44255</v>
      </c>
      <c r="B219" s="263" t="s">
        <v>357</v>
      </c>
      <c r="C219" s="277">
        <v>37.809009000000003</v>
      </c>
      <c r="D219" s="277">
        <v>5.9897999999999998</v>
      </c>
      <c r="E219" s="277">
        <v>7.5262460000000004</v>
      </c>
      <c r="F219" s="277">
        <v>4.4286270000000005</v>
      </c>
      <c r="G219" s="277">
        <v>5.7795800000000002</v>
      </c>
      <c r="H219" s="284">
        <f t="shared" si="15"/>
        <v>14.084756000000002</v>
      </c>
      <c r="I219" s="277">
        <v>22.418441999999999</v>
      </c>
      <c r="J219" s="277">
        <v>3.813323</v>
      </c>
      <c r="K219" s="277">
        <v>3.666261</v>
      </c>
      <c r="L219" s="277">
        <v>2.6689880000000001</v>
      </c>
      <c r="M219" s="277">
        <v>3.7206359999999998</v>
      </c>
      <c r="N219" s="284">
        <f t="shared" si="16"/>
        <v>8.5492339999999984</v>
      </c>
      <c r="O219" s="277">
        <v>24.483505000000001</v>
      </c>
      <c r="P219" s="277">
        <v>3.6229269999999998</v>
      </c>
      <c r="Q219" s="277">
        <v>3.5235249999999998</v>
      </c>
      <c r="R219" s="277">
        <v>2.2081590000000002</v>
      </c>
      <c r="S219" s="277">
        <v>4.6239179999999998</v>
      </c>
      <c r="T219" s="284">
        <f t="shared" si="17"/>
        <v>10.504976000000001</v>
      </c>
      <c r="U219" s="920">
        <v>7645.0933333333332</v>
      </c>
      <c r="V219" s="920">
        <v>1033.58</v>
      </c>
      <c r="W219" s="920">
        <v>1147.7438136826784</v>
      </c>
      <c r="X219" s="920">
        <v>703.78133333333335</v>
      </c>
      <c r="Y219" s="920">
        <v>667.64600000000007</v>
      </c>
      <c r="Z219" s="874">
        <f t="shared" si="18"/>
        <v>4092.3421863173212</v>
      </c>
      <c r="AA219" s="920">
        <v>525.79999999999995</v>
      </c>
      <c r="AB219" s="277">
        <v>82.582999999999998</v>
      </c>
      <c r="AC219" s="920">
        <v>96.981999999999999</v>
      </c>
      <c r="AD219" s="920">
        <v>54.761000000000003</v>
      </c>
      <c r="AE219" s="920">
        <v>73.893000000000001</v>
      </c>
      <c r="AF219" s="920">
        <v>848.2</v>
      </c>
      <c r="AG219" s="277">
        <v>128.41900000000001</v>
      </c>
      <c r="AH219" s="920">
        <v>155.98699999999999</v>
      </c>
      <c r="AI219" s="920">
        <v>85.460999999999999</v>
      </c>
      <c r="AJ219" s="920">
        <v>117.08499999999999</v>
      </c>
      <c r="AK219" s="919">
        <f>Data[[#This Row],[Industry Cost ($m)]]/Data[[#This Row],[Industry Consumption]]</f>
        <v>1.6131608976797263</v>
      </c>
      <c r="AL219" s="919">
        <f>Data[[#This Row],[AAL Fuel Cost]]/Data[[#This Row],[AAL Consumption]]</f>
        <v>1.5550294854873281</v>
      </c>
      <c r="AM219" s="919">
        <f>Data[[#This Row],[DAL Fuel Cost]]/Data[[#This Row],[DAL Consumption]]</f>
        <v>1.6084118702439627</v>
      </c>
      <c r="AN219" s="919">
        <f>Data[[#This Row],[UAL Fuel Cost]]/Data[[#This Row],[UALConsumption]]</f>
        <v>1.5606179580358284</v>
      </c>
      <c r="AO219" s="919">
        <f>Data[[#This Row],[LUV Fuel Cost]]/Data[[#This Row],[LUV Consumption]]</f>
        <v>1.5845208612453141</v>
      </c>
      <c r="AP219" s="919">
        <v>1.601</v>
      </c>
      <c r="AQ219" s="783"/>
    </row>
    <row r="220" spans="1:43" s="253" customFormat="1">
      <c r="A220" s="263">
        <f t="shared" si="19"/>
        <v>44286</v>
      </c>
      <c r="B220" s="263" t="s">
        <v>357</v>
      </c>
      <c r="C220" s="277">
        <v>53.593108999999998</v>
      </c>
      <c r="D220" s="277">
        <v>8.6614629999999995</v>
      </c>
      <c r="E220" s="277">
        <v>9.8737519999999996</v>
      </c>
      <c r="F220" s="277">
        <v>5.7845620000000002</v>
      </c>
      <c r="G220" s="277">
        <v>9.5218670000000003</v>
      </c>
      <c r="H220" s="284">
        <f t="shared" si="15"/>
        <v>19.751464999999996</v>
      </c>
      <c r="I220" s="277">
        <v>36.718462000000002</v>
      </c>
      <c r="J220" s="277">
        <v>6.5097820000000004</v>
      </c>
      <c r="K220" s="277">
        <v>5.3938199999999998</v>
      </c>
      <c r="L220" s="277">
        <v>4.2387969999999999</v>
      </c>
      <c r="M220" s="277">
        <v>6.9350110000000003</v>
      </c>
      <c r="N220" s="284">
        <f t="shared" si="16"/>
        <v>13.641052000000006</v>
      </c>
      <c r="O220" s="277">
        <v>39.343494999999997</v>
      </c>
      <c r="P220" s="277">
        <v>6.094754</v>
      </c>
      <c r="Q220" s="277">
        <v>5.0820189999999998</v>
      </c>
      <c r="R220" s="277">
        <v>3.43486</v>
      </c>
      <c r="S220" s="277">
        <v>8.284478</v>
      </c>
      <c r="T220" s="284">
        <f t="shared" si="17"/>
        <v>16.447383999999996</v>
      </c>
      <c r="U220" s="920">
        <v>7645.0933333333332</v>
      </c>
      <c r="V220" s="920">
        <v>1033.58</v>
      </c>
      <c r="W220" s="920">
        <v>1147.7438136826784</v>
      </c>
      <c r="X220" s="920">
        <v>703.78133333333335</v>
      </c>
      <c r="Y220" s="920">
        <v>667.64600000000007</v>
      </c>
      <c r="Z220" s="874">
        <f t="shared" si="18"/>
        <v>4092.3421863173212</v>
      </c>
      <c r="AA220" s="920">
        <v>713.6</v>
      </c>
      <c r="AB220" s="277">
        <v>116.749</v>
      </c>
      <c r="AC220" s="920">
        <v>124.276</v>
      </c>
      <c r="AD220" s="920">
        <v>71.700999999999993</v>
      </c>
      <c r="AE220" s="920">
        <v>121.142</v>
      </c>
      <c r="AF220" s="920">
        <v>1333.1</v>
      </c>
      <c r="AG220" s="277">
        <v>195.61500000000001</v>
      </c>
      <c r="AH220" s="920">
        <v>308.53500000000003</v>
      </c>
      <c r="AI220" s="920">
        <v>123.01600000000001</v>
      </c>
      <c r="AJ220" s="920">
        <v>206.005</v>
      </c>
      <c r="AK220" s="919">
        <f>Data[[#This Row],[Industry Cost ($m)]]/Data[[#This Row],[Industry Consumption]]</f>
        <v>1.8681334080717487</v>
      </c>
      <c r="AL220" s="919">
        <f>Data[[#This Row],[AAL Fuel Cost]]/Data[[#This Row],[AAL Consumption]]</f>
        <v>1.6755175633196002</v>
      </c>
      <c r="AM220" s="919">
        <f>Data[[#This Row],[DAL Fuel Cost]]/Data[[#This Row],[DAL Consumption]]</f>
        <v>2.4826595641958225</v>
      </c>
      <c r="AN220" s="919">
        <f>Data[[#This Row],[UAL Fuel Cost]]/Data[[#This Row],[UALConsumption]]</f>
        <v>1.7156803949735711</v>
      </c>
      <c r="AO220" s="919">
        <f>Data[[#This Row],[LUV Fuel Cost]]/Data[[#This Row],[LUV Consumption]]</f>
        <v>1.7005250037146489</v>
      </c>
      <c r="AP220" s="919">
        <v>1.661</v>
      </c>
      <c r="AQ220" s="783">
        <f>AVERAGE(AP218:AP220)</f>
        <v>1.5606666666666669</v>
      </c>
    </row>
    <row r="221" spans="1:43" s="253" customFormat="1">
      <c r="A221" s="263">
        <f t="shared" si="19"/>
        <v>44316</v>
      </c>
      <c r="B221" s="263" t="s">
        <v>357</v>
      </c>
      <c r="C221" s="277">
        <v>54.609251999999998</v>
      </c>
      <c r="D221" s="277">
        <v>9.2778619999999989</v>
      </c>
      <c r="E221" s="277">
        <v>9.8094000000000001</v>
      </c>
      <c r="F221" s="277">
        <v>5.7703180000000005</v>
      </c>
      <c r="G221" s="277">
        <v>9.7220890000000004</v>
      </c>
      <c r="H221" s="284">
        <f t="shared" si="15"/>
        <v>20.029583000000002</v>
      </c>
      <c r="I221" s="277">
        <v>40.847237</v>
      </c>
      <c r="J221" s="277">
        <v>7.6857530000000001</v>
      </c>
      <c r="K221" s="277">
        <v>5.735582</v>
      </c>
      <c r="L221" s="277">
        <v>4.683681</v>
      </c>
      <c r="M221" s="277">
        <v>7.6888610000000002</v>
      </c>
      <c r="N221" s="284">
        <f t="shared" si="16"/>
        <v>15.053360000000001</v>
      </c>
      <c r="O221" s="277">
        <v>43.798946000000001</v>
      </c>
      <c r="P221" s="277">
        <v>7.2555829999999997</v>
      </c>
      <c r="Q221" s="277">
        <v>5.3889319999999996</v>
      </c>
      <c r="R221" s="277">
        <v>3.7454809999999998</v>
      </c>
      <c r="S221" s="277">
        <v>9.2793770000000002</v>
      </c>
      <c r="T221" s="284">
        <f t="shared" si="17"/>
        <v>18.129573000000004</v>
      </c>
      <c r="U221" s="920">
        <v>11676.184000000001</v>
      </c>
      <c r="V221" s="920">
        <v>1990.6323333333332</v>
      </c>
      <c r="W221" s="920">
        <v>1992.2724605107071</v>
      </c>
      <c r="X221" s="920">
        <v>1255.5773333333334</v>
      </c>
      <c r="Y221" s="920">
        <v>1293.7806666666668</v>
      </c>
      <c r="Z221" s="874">
        <f t="shared" si="18"/>
        <v>5143.921206155961</v>
      </c>
      <c r="AA221" s="920">
        <v>739.8</v>
      </c>
      <c r="AB221" s="277">
        <v>126.86799999999999</v>
      </c>
      <c r="AC221" s="920">
        <v>125.845</v>
      </c>
      <c r="AD221" s="920">
        <v>73.114999999999995</v>
      </c>
      <c r="AE221" s="920">
        <v>125.74</v>
      </c>
      <c r="AF221" s="920">
        <v>1302.3</v>
      </c>
      <c r="AG221" s="277">
        <v>214.39599999999999</v>
      </c>
      <c r="AH221" s="920">
        <v>222.005</v>
      </c>
      <c r="AI221" s="920">
        <v>126.452</v>
      </c>
      <c r="AJ221" s="920">
        <v>222.78700000000001</v>
      </c>
      <c r="AK221" s="919">
        <f>Data[[#This Row],[Industry Cost ($m)]]/Data[[#This Row],[Industry Consumption]]</f>
        <v>1.7603406326034063</v>
      </c>
      <c r="AL221" s="919">
        <f>Data[[#This Row],[AAL Fuel Cost]]/Data[[#This Row],[AAL Consumption]]</f>
        <v>1.6899139262855882</v>
      </c>
      <c r="AM221" s="919">
        <f>Data[[#This Row],[DAL Fuel Cost]]/Data[[#This Row],[DAL Consumption]]</f>
        <v>1.7641145854026778</v>
      </c>
      <c r="AN221" s="919">
        <f>Data[[#This Row],[UAL Fuel Cost]]/Data[[#This Row],[UALConsumption]]</f>
        <v>1.7294946317445121</v>
      </c>
      <c r="AO221" s="919">
        <f>Data[[#This Row],[LUV Fuel Cost]]/Data[[#This Row],[LUV Consumption]]</f>
        <v>1.77180690313345</v>
      </c>
      <c r="AP221" s="919">
        <v>1.669</v>
      </c>
      <c r="AQ221" s="783"/>
    </row>
    <row r="222" spans="1:43" s="253" customFormat="1">
      <c r="A222" s="263">
        <f t="shared" si="19"/>
        <v>44347</v>
      </c>
      <c r="B222" s="263" t="s">
        <v>357</v>
      </c>
      <c r="C222" s="277">
        <v>61.120491999999999</v>
      </c>
      <c r="D222" s="277">
        <v>11.029284000000001</v>
      </c>
      <c r="E222" s="277">
        <v>10.947183000000001</v>
      </c>
      <c r="F222" s="277">
        <v>6.6269150000000003</v>
      </c>
      <c r="G222" s="277">
        <v>10.671145000000001</v>
      </c>
      <c r="H222" s="284">
        <f t="shared" si="15"/>
        <v>21.845965</v>
      </c>
      <c r="I222" s="277">
        <v>49.504829000000001</v>
      </c>
      <c r="J222" s="277">
        <v>9.3459839999999996</v>
      </c>
      <c r="K222" s="277">
        <v>8.6390510000000003</v>
      </c>
      <c r="L222" s="277">
        <v>5.4009970000000003</v>
      </c>
      <c r="M222" s="277">
        <v>8.9022310000000004</v>
      </c>
      <c r="N222" s="284">
        <f t="shared" si="16"/>
        <v>17.216566</v>
      </c>
      <c r="O222" s="277">
        <v>52.752164</v>
      </c>
      <c r="P222" s="277">
        <v>8.6028859999999998</v>
      </c>
      <c r="Q222" s="277">
        <v>8.1405130000000003</v>
      </c>
      <c r="R222" s="277">
        <v>4.2373029999999998</v>
      </c>
      <c r="S222" s="277">
        <v>10.776857</v>
      </c>
      <c r="T222" s="284">
        <f t="shared" si="17"/>
        <v>20.994605</v>
      </c>
      <c r="U222" s="920">
        <v>11676.184000000001</v>
      </c>
      <c r="V222" s="920">
        <v>1990.6323333333332</v>
      </c>
      <c r="W222" s="920">
        <v>1992.2724605107071</v>
      </c>
      <c r="X222" s="920">
        <v>1255.5773333333334</v>
      </c>
      <c r="Y222" s="920">
        <v>1293.7806666666668</v>
      </c>
      <c r="Z222" s="874">
        <f t="shared" si="18"/>
        <v>5143.921206155961</v>
      </c>
      <c r="AA222" s="920">
        <v>819.4</v>
      </c>
      <c r="AB222" s="277">
        <v>151.41200000000001</v>
      </c>
      <c r="AC222" s="920">
        <v>144.934</v>
      </c>
      <c r="AD222" s="920">
        <v>83.8</v>
      </c>
      <c r="AE222" s="920">
        <v>139.07400000000001</v>
      </c>
      <c r="AF222" s="920">
        <v>1632.4</v>
      </c>
      <c r="AG222" s="277">
        <v>263.142</v>
      </c>
      <c r="AH222" s="920">
        <v>403.55599999999998</v>
      </c>
      <c r="AI222" s="920">
        <v>150.86699999999999</v>
      </c>
      <c r="AJ222" s="920">
        <v>245.84200000000001</v>
      </c>
      <c r="AK222" s="919">
        <f>Data[[#This Row],[Industry Cost ($m)]]/Data[[#This Row],[Industry Consumption]]</f>
        <v>1.9921894068830854</v>
      </c>
      <c r="AL222" s="919">
        <f>Data[[#This Row],[AAL Fuel Cost]]/Data[[#This Row],[AAL Consumption]]</f>
        <v>1.7379203761921116</v>
      </c>
      <c r="AM222" s="919">
        <f>Data[[#This Row],[DAL Fuel Cost]]/Data[[#This Row],[DAL Consumption]]</f>
        <v>2.7844122152152013</v>
      </c>
      <c r="AN222" s="919">
        <f>Data[[#This Row],[UAL Fuel Cost]]/Data[[#This Row],[UALConsumption]]</f>
        <v>1.8003221957040572</v>
      </c>
      <c r="AO222" s="919">
        <f>Data[[#This Row],[LUV Fuel Cost]]/Data[[#This Row],[LUV Consumption]]</f>
        <v>1.7677064009088685</v>
      </c>
      <c r="AP222" s="919">
        <v>1.752</v>
      </c>
      <c r="AQ222" s="783"/>
    </row>
    <row r="223" spans="1:43" s="253" customFormat="1">
      <c r="A223" s="263">
        <f t="shared" si="19"/>
        <v>44377</v>
      </c>
      <c r="B223" s="263" t="s">
        <v>357</v>
      </c>
      <c r="C223" s="277">
        <v>67.221782000000005</v>
      </c>
      <c r="D223" s="277">
        <v>12.596565</v>
      </c>
      <c r="E223" s="277">
        <v>11.233416999999999</v>
      </c>
      <c r="F223" s="277">
        <v>7.8996750000000002</v>
      </c>
      <c r="G223" s="277">
        <v>11.987009</v>
      </c>
      <c r="H223" s="284">
        <f t="shared" si="15"/>
        <v>23.505116000000001</v>
      </c>
      <c r="I223" s="277">
        <v>57.542386999999998</v>
      </c>
      <c r="J223" s="277">
        <v>11.247522999999999</v>
      </c>
      <c r="K223" s="277">
        <v>9.6762270000000008</v>
      </c>
      <c r="L223" s="277">
        <v>6.7269379999999996</v>
      </c>
      <c r="M223" s="277">
        <v>10.233967</v>
      </c>
      <c r="N223" s="284">
        <f t="shared" si="16"/>
        <v>19.657732000000003</v>
      </c>
      <c r="O223" s="277">
        <v>60.110694000000002</v>
      </c>
      <c r="P223" s="277">
        <v>10.186206</v>
      </c>
      <c r="Q223" s="277">
        <v>9.3444730000000007</v>
      </c>
      <c r="R223" s="277">
        <v>5.0836110000000003</v>
      </c>
      <c r="S223" s="277">
        <v>12.004580000000001</v>
      </c>
      <c r="T223" s="284">
        <f t="shared" si="17"/>
        <v>23.491824000000001</v>
      </c>
      <c r="U223" s="920">
        <v>11676.184000000001</v>
      </c>
      <c r="V223" s="920">
        <v>1990.6323333333332</v>
      </c>
      <c r="W223" s="920">
        <v>1992.2724605107071</v>
      </c>
      <c r="X223" s="920">
        <v>1255.5773333333334</v>
      </c>
      <c r="Y223" s="920">
        <v>1293.7806666666668</v>
      </c>
      <c r="Z223" s="874">
        <f t="shared" si="18"/>
        <v>5143.921206155961</v>
      </c>
      <c r="AA223" s="920">
        <v>897.7</v>
      </c>
      <c r="AB223" s="277">
        <v>175.25399999999999</v>
      </c>
      <c r="AC223" s="920">
        <v>144.934</v>
      </c>
      <c r="AD223" s="920">
        <v>102.709</v>
      </c>
      <c r="AE223" s="920">
        <v>155.85</v>
      </c>
      <c r="AF223" s="920">
        <v>1824.9</v>
      </c>
      <c r="AG223" s="277">
        <v>318.92399999999998</v>
      </c>
      <c r="AH223" s="920">
        <v>403.55599999999998</v>
      </c>
      <c r="AI223" s="920">
        <v>192.245</v>
      </c>
      <c r="AJ223" s="920">
        <v>297.16000000000003</v>
      </c>
      <c r="AK223" s="919">
        <f>Data[[#This Row],[Industry Cost ($m)]]/Data[[#This Row],[Industry Consumption]]</f>
        <v>2.0328617578255543</v>
      </c>
      <c r="AL223" s="919">
        <f>Data[[#This Row],[AAL Fuel Cost]]/Data[[#This Row],[AAL Consumption]]</f>
        <v>1.8197815741723442</v>
      </c>
      <c r="AM223" s="919">
        <f>Data[[#This Row],[DAL Fuel Cost]]/Data[[#This Row],[DAL Consumption]]</f>
        <v>2.7844122152152013</v>
      </c>
      <c r="AN223" s="919">
        <f>Data[[#This Row],[UAL Fuel Cost]]/Data[[#This Row],[UALConsumption]]</f>
        <v>1.8717444430380978</v>
      </c>
      <c r="AO223" s="919">
        <f>Data[[#This Row],[LUV Fuel Cost]]/Data[[#This Row],[LUV Consumption]]</f>
        <v>1.906705165222971</v>
      </c>
      <c r="AP223" s="919">
        <v>1.857</v>
      </c>
      <c r="AQ223" s="783">
        <f>AVERAGE(AP221:AP223)</f>
        <v>1.7593333333333334</v>
      </c>
    </row>
    <row r="224" spans="1:43" s="253" customFormat="1">
      <c r="A224" s="263">
        <f t="shared" si="19"/>
        <v>44408</v>
      </c>
      <c r="B224" s="263" t="s">
        <v>357</v>
      </c>
      <c r="C224" s="277">
        <v>73.101095999999998</v>
      </c>
      <c r="D224" s="277">
        <v>13.317148</v>
      </c>
      <c r="E224" s="277">
        <v>11.879190000000001</v>
      </c>
      <c r="F224" s="277">
        <v>9.5992450000000016</v>
      </c>
      <c r="G224" s="277">
        <v>13.045862</v>
      </c>
      <c r="H224" s="284">
        <f t="shared" si="15"/>
        <v>25.259650999999998</v>
      </c>
      <c r="I224" s="277">
        <v>64.326768999999999</v>
      </c>
      <c r="J224" s="277">
        <v>12.096626000000001</v>
      </c>
      <c r="K224" s="277">
        <v>10.662663999999999</v>
      </c>
      <c r="L224" s="277">
        <v>8.4732749999999992</v>
      </c>
      <c r="M224" s="277">
        <v>11.374043</v>
      </c>
      <c r="N224" s="284">
        <f t="shared" si="16"/>
        <v>21.720160999999997</v>
      </c>
      <c r="O224" s="277">
        <v>66.739880999999997</v>
      </c>
      <c r="P224" s="277">
        <v>10.950575000000001</v>
      </c>
      <c r="Q224" s="277">
        <v>10.311639</v>
      </c>
      <c r="R224" s="277">
        <v>6.395518</v>
      </c>
      <c r="S224" s="277">
        <v>13.236682</v>
      </c>
      <c r="T224" s="284">
        <f t="shared" si="17"/>
        <v>25.845466999999999</v>
      </c>
      <c r="U224" s="920">
        <v>13681.510666666667</v>
      </c>
      <c r="V224" s="920">
        <v>2372.8646666666668</v>
      </c>
      <c r="W224" s="920">
        <v>2443.6974922356649</v>
      </c>
      <c r="X224" s="920">
        <v>1803.9033333333334</v>
      </c>
      <c r="Y224" s="920">
        <v>1508.8689999999999</v>
      </c>
      <c r="Z224" s="874">
        <f t="shared" si="18"/>
        <v>5552.1761744310015</v>
      </c>
      <c r="AA224" s="920">
        <v>993.7</v>
      </c>
      <c r="AB224" s="277">
        <v>185.066</v>
      </c>
      <c r="AC224" s="920">
        <v>168.023</v>
      </c>
      <c r="AD224" s="920">
        <v>126.843</v>
      </c>
      <c r="AE224" s="920">
        <v>169.477</v>
      </c>
      <c r="AF224" s="920">
        <v>1978.3</v>
      </c>
      <c r="AG224" s="277">
        <v>350.351</v>
      </c>
      <c r="AH224" s="920">
        <v>337.358</v>
      </c>
      <c r="AI224" s="920">
        <v>246.84200000000001</v>
      </c>
      <c r="AJ224" s="920">
        <v>316.85199999999998</v>
      </c>
      <c r="AK224" s="919">
        <f>Data[[#This Row],[Industry Cost ($m)]]/Data[[#This Row],[Industry Consumption]]</f>
        <v>1.990842306531146</v>
      </c>
      <c r="AL224" s="919">
        <f>Data[[#This Row],[AAL Fuel Cost]]/Data[[#This Row],[AAL Consumption]]</f>
        <v>1.893113808046859</v>
      </c>
      <c r="AM224" s="919">
        <f>Data[[#This Row],[DAL Fuel Cost]]/Data[[#This Row],[DAL Consumption]]</f>
        <v>2.0078084547948793</v>
      </c>
      <c r="AN224" s="919">
        <f>Data[[#This Row],[UAL Fuel Cost]]/Data[[#This Row],[UALConsumption]]</f>
        <v>1.9460435341327469</v>
      </c>
      <c r="AO224" s="919">
        <f>Data[[#This Row],[LUV Fuel Cost]]/Data[[#This Row],[LUV Consumption]]</f>
        <v>1.8695870236079231</v>
      </c>
      <c r="AP224" s="919">
        <v>1.887</v>
      </c>
      <c r="AQ224" s="783"/>
    </row>
    <row r="225" spans="1:47">
      <c r="A225" s="263">
        <f t="shared" si="19"/>
        <v>44439</v>
      </c>
      <c r="B225" s="263" t="s">
        <v>357</v>
      </c>
      <c r="C225" s="277">
        <v>71.565318000000005</v>
      </c>
      <c r="D225" s="277">
        <v>12.797222</v>
      </c>
      <c r="E225" s="277">
        <v>11.893038000000001</v>
      </c>
      <c r="F225" s="277">
        <v>9.7694989999999997</v>
      </c>
      <c r="G225" s="277">
        <v>12.866566000000001</v>
      </c>
      <c r="H225" s="284">
        <f t="shared" si="15"/>
        <v>24.238993000000001</v>
      </c>
      <c r="I225" s="277">
        <v>58.220039999999997</v>
      </c>
      <c r="J225" s="277">
        <v>10.594509</v>
      </c>
      <c r="K225" s="277">
        <v>10.176507000000001</v>
      </c>
      <c r="L225" s="277">
        <v>8.1058179999999993</v>
      </c>
      <c r="M225" s="277">
        <v>10.197217</v>
      </c>
      <c r="N225" s="284">
        <f t="shared" si="16"/>
        <v>19.145988999999993</v>
      </c>
      <c r="O225" s="277">
        <v>60.630876999999998</v>
      </c>
      <c r="P225" s="277">
        <v>9.6113999999999997</v>
      </c>
      <c r="Q225" s="277">
        <v>9.856033</v>
      </c>
      <c r="R225" s="277">
        <v>6.1209230000000003</v>
      </c>
      <c r="S225" s="277">
        <v>11.867179</v>
      </c>
      <c r="T225" s="284">
        <f t="shared" si="17"/>
        <v>23.175342000000001</v>
      </c>
      <c r="U225" s="920">
        <v>13681.510666666667</v>
      </c>
      <c r="V225" s="920">
        <v>2372.8646666666668</v>
      </c>
      <c r="W225" s="920">
        <v>2443.6974922356649</v>
      </c>
      <c r="X225" s="920">
        <v>1803.9033333333334</v>
      </c>
      <c r="Y225" s="920">
        <v>1508.8689999999999</v>
      </c>
      <c r="Z225" s="874">
        <f t="shared" si="18"/>
        <v>5552.1761744310015</v>
      </c>
      <c r="AA225" s="920">
        <v>965.2</v>
      </c>
      <c r="AB225" s="277">
        <v>177.041</v>
      </c>
      <c r="AC225" s="920">
        <v>167.649</v>
      </c>
      <c r="AD225" s="920">
        <v>127.736</v>
      </c>
      <c r="AE225" s="920">
        <v>166.202</v>
      </c>
      <c r="AF225" s="920">
        <v>1907.9</v>
      </c>
      <c r="AG225" s="277">
        <v>336.00799999999998</v>
      </c>
      <c r="AH225" s="920">
        <v>327.16800000000001</v>
      </c>
      <c r="AI225" s="920">
        <v>250.607</v>
      </c>
      <c r="AJ225" s="920">
        <v>324.20999999999998</v>
      </c>
      <c r="AK225" s="919">
        <f>Data[[#This Row],[Industry Cost ($m)]]/Data[[#This Row],[Industry Consumption]]</f>
        <v>1.9766887691670121</v>
      </c>
      <c r="AL225" s="919">
        <f>Data[[#This Row],[AAL Fuel Cost]]/Data[[#This Row],[AAL Consumption]]</f>
        <v>1.8979106534644516</v>
      </c>
      <c r="AM225" s="919">
        <f>Data[[#This Row],[DAL Fuel Cost]]/Data[[#This Row],[DAL Consumption]]</f>
        <v>1.9515058246693986</v>
      </c>
      <c r="AN225" s="919">
        <f>Data[[#This Row],[UAL Fuel Cost]]/Data[[#This Row],[UALConsumption]]</f>
        <v>1.9619136343708898</v>
      </c>
      <c r="AO225" s="919">
        <f>Data[[#This Row],[LUV Fuel Cost]]/Data[[#This Row],[LUV Consumption]]</f>
        <v>1.9506985475505709</v>
      </c>
      <c r="AP225" s="919">
        <v>1.8169999999999999</v>
      </c>
      <c r="AQ225" s="783"/>
      <c r="AR225" s="253"/>
      <c r="AS225" s="253"/>
      <c r="AT225" s="253"/>
      <c r="AU225" s="253"/>
    </row>
    <row r="226" spans="1:47">
      <c r="A226" s="263">
        <f t="shared" si="19"/>
        <v>44469</v>
      </c>
      <c r="B226" s="263" t="s">
        <v>357</v>
      </c>
      <c r="C226" s="277">
        <v>66.006820000000005</v>
      </c>
      <c r="D226" s="277">
        <v>11.792102000000002</v>
      </c>
      <c r="E226" s="277">
        <v>11.105900999999999</v>
      </c>
      <c r="F226" s="277">
        <v>9.223001</v>
      </c>
      <c r="G226" s="277">
        <v>11.734041999999999</v>
      </c>
      <c r="H226" s="284">
        <f t="shared" si="15"/>
        <v>22.151774000000003</v>
      </c>
      <c r="I226" s="277">
        <v>49.96163</v>
      </c>
      <c r="J226" s="277">
        <v>9.3138500000000004</v>
      </c>
      <c r="K226" s="277">
        <v>8.7495930000000008</v>
      </c>
      <c r="L226" s="277">
        <v>7.0260020000000001</v>
      </c>
      <c r="M226" s="277">
        <v>8.8121430000000007</v>
      </c>
      <c r="N226" s="284">
        <f t="shared" si="16"/>
        <v>16.060042000000003</v>
      </c>
      <c r="O226" s="277">
        <v>53.902403999999997</v>
      </c>
      <c r="P226" s="277">
        <v>8.8147099999999998</v>
      </c>
      <c r="Q226" s="277">
        <v>8.7930460000000004</v>
      </c>
      <c r="R226" s="277">
        <v>5.6134969999999997</v>
      </c>
      <c r="S226" s="277">
        <v>10.68933</v>
      </c>
      <c r="T226" s="284">
        <f t="shared" si="17"/>
        <v>19.991820999999995</v>
      </c>
      <c r="U226" s="920">
        <v>13681.510666666667</v>
      </c>
      <c r="V226" s="920">
        <v>2372.8646666666668</v>
      </c>
      <c r="W226" s="920">
        <v>2443.6974922356649</v>
      </c>
      <c r="X226" s="920">
        <v>1803.9033333333334</v>
      </c>
      <c r="Y226" s="920">
        <v>1508.8689999999999</v>
      </c>
      <c r="Z226" s="874">
        <f t="shared" si="18"/>
        <v>5552.1761744310015</v>
      </c>
      <c r="AA226" s="920">
        <v>884.3</v>
      </c>
      <c r="AB226" s="277">
        <v>160.483</v>
      </c>
      <c r="AC226" s="920">
        <v>150.857</v>
      </c>
      <c r="AD226" s="920">
        <v>119.55</v>
      </c>
      <c r="AE226" s="920">
        <v>149.82599999999999</v>
      </c>
      <c r="AF226" s="920">
        <v>1773.3</v>
      </c>
      <c r="AG226" s="277">
        <v>315.08</v>
      </c>
      <c r="AH226" s="920">
        <v>269.93400000000003</v>
      </c>
      <c r="AI226" s="920">
        <v>238.35</v>
      </c>
      <c r="AJ226" s="920">
        <v>296.2</v>
      </c>
      <c r="AK226" s="919">
        <f>Data[[#This Row],[Industry Cost ($m)]]/Data[[#This Row],[Industry Consumption]]</f>
        <v>2.0053149383693318</v>
      </c>
      <c r="AL226" s="919">
        <f>Data[[#This Row],[AAL Fuel Cost]]/Data[[#This Row],[AAL Consumption]]</f>
        <v>1.9633232180355551</v>
      </c>
      <c r="AM226" s="919">
        <f>Data[[#This Row],[DAL Fuel Cost]]/Data[[#This Row],[DAL Consumption]]</f>
        <v>1.7893369217205699</v>
      </c>
      <c r="AN226" s="919">
        <f>Data[[#This Row],[UAL Fuel Cost]]/Data[[#This Row],[UALConsumption]]</f>
        <v>1.9937264742785445</v>
      </c>
      <c r="AO226" s="919">
        <f>Data[[#This Row],[LUV Fuel Cost]]/Data[[#This Row],[LUV Consumption]]</f>
        <v>1.9769599401972955</v>
      </c>
      <c r="AP226" s="919">
        <v>2.0030000000000001</v>
      </c>
      <c r="AQ226" s="783">
        <f>AVERAGE(AP224:AP226)</f>
        <v>1.9023333333333332</v>
      </c>
      <c r="AR226" s="253"/>
      <c r="AS226" s="253"/>
      <c r="AT226" s="253"/>
      <c r="AU226" s="253"/>
    </row>
    <row r="227" spans="1:47">
      <c r="A227" s="263">
        <f t="shared" si="19"/>
        <v>44500</v>
      </c>
      <c r="B227" s="263" t="s">
        <v>357</v>
      </c>
      <c r="C227" s="277">
        <v>68.788498000000004</v>
      </c>
      <c r="D227" s="277">
        <v>12.353774999999999</v>
      </c>
      <c r="E227" s="277">
        <v>11.517745000000001</v>
      </c>
      <c r="F227" s="277">
        <v>9.7766460000000013</v>
      </c>
      <c r="G227" s="277">
        <v>12.099069999999999</v>
      </c>
      <c r="H227" s="284">
        <f t="shared" si="15"/>
        <v>23.041262000000003</v>
      </c>
      <c r="I227" s="277">
        <v>55.741931999999998</v>
      </c>
      <c r="J227" s="277">
        <v>10.529514000000001</v>
      </c>
      <c r="K227" s="277">
        <v>9.4827969999999997</v>
      </c>
      <c r="L227" s="277">
        <v>7.9907159999999999</v>
      </c>
      <c r="M227" s="277">
        <v>9.7466480000000004</v>
      </c>
      <c r="N227" s="284">
        <f t="shared" si="16"/>
        <v>17.992257000000002</v>
      </c>
      <c r="O227" s="277">
        <v>60.547953</v>
      </c>
      <c r="P227" s="277">
        <v>10.10116</v>
      </c>
      <c r="Q227" s="277">
        <v>9.6318839999999994</v>
      </c>
      <c r="R227" s="277">
        <v>6.5520589999999999</v>
      </c>
      <c r="S227" s="277">
        <v>11.893214</v>
      </c>
      <c r="T227" s="284">
        <f t="shared" si="17"/>
        <v>22.369636</v>
      </c>
      <c r="U227" s="920">
        <v>14877.978528592907</v>
      </c>
      <c r="V227" s="920">
        <v>2801.7559048843195</v>
      </c>
      <c r="W227" s="920">
        <v>2594.2995902959997</v>
      </c>
      <c r="X227" s="920">
        <v>2260.361046327012</v>
      </c>
      <c r="Y227" s="920">
        <v>1793.0376666666664</v>
      </c>
      <c r="Z227" s="874">
        <f t="shared" si="18"/>
        <v>5428.5243204189082</v>
      </c>
      <c r="AA227" s="920">
        <v>927.8</v>
      </c>
      <c r="AB227" s="783"/>
      <c r="AC227" s="783"/>
      <c r="AD227" s="783"/>
      <c r="AE227" s="783"/>
      <c r="AF227" s="920">
        <v>2078</v>
      </c>
      <c r="AG227" s="783"/>
      <c r="AH227" s="783"/>
      <c r="AI227" s="783"/>
      <c r="AJ227" s="783"/>
      <c r="AK227" s="919">
        <f>Data[[#This Row],[Industry Cost ($m)]]/Data[[#This Row],[Industry Consumption]]</f>
        <v>2.2397068333692607</v>
      </c>
      <c r="AL227" s="919">
        <v>2.3587540279269601</v>
      </c>
      <c r="AM227" s="919">
        <v>2.3112582781456954</v>
      </c>
      <c r="AN227" s="919">
        <v>2.4103194103194103</v>
      </c>
      <c r="AO227" s="919">
        <v>2.3601105721306883</v>
      </c>
      <c r="AP227" s="919">
        <v>2.2959999999999998</v>
      </c>
      <c r="AQ227" s="783"/>
      <c r="AR227" s="253"/>
      <c r="AS227" s="253"/>
      <c r="AT227" s="253"/>
      <c r="AU227" s="253"/>
    </row>
    <row r="228" spans="1:47">
      <c r="A228" s="263">
        <f t="shared" si="19"/>
        <v>44530</v>
      </c>
      <c r="B228" s="263" t="s">
        <v>357</v>
      </c>
      <c r="C228" s="277">
        <v>68.176215999999997</v>
      </c>
      <c r="D228" s="277">
        <v>12.551110000000001</v>
      </c>
      <c r="E228" s="277">
        <v>11.293353999999999</v>
      </c>
      <c r="F228" s="277">
        <v>9.7184380000000008</v>
      </c>
      <c r="G228" s="277">
        <v>11.772206000000001</v>
      </c>
      <c r="H228" s="284">
        <f t="shared" si="15"/>
        <v>22.841107999999991</v>
      </c>
      <c r="I228" s="277">
        <v>55.533935</v>
      </c>
      <c r="J228" s="277">
        <v>10.55696</v>
      </c>
      <c r="K228" s="277">
        <v>9.3321679999999994</v>
      </c>
      <c r="L228" s="277">
        <v>8.0225220000000004</v>
      </c>
      <c r="M228" s="277">
        <v>9.6021409999999996</v>
      </c>
      <c r="N228" s="284">
        <f t="shared" si="16"/>
        <v>18.020144000000002</v>
      </c>
      <c r="O228" s="277">
        <v>59.778784000000002</v>
      </c>
      <c r="P228" s="277">
        <v>10.071653</v>
      </c>
      <c r="Q228" s="277">
        <v>9.6226020000000005</v>
      </c>
      <c r="R228" s="277">
        <v>6.4712069999999997</v>
      </c>
      <c r="S228" s="277">
        <v>11.775524000000001</v>
      </c>
      <c r="T228" s="284">
        <f t="shared" si="17"/>
        <v>21.837798000000006</v>
      </c>
      <c r="U228" s="920">
        <v>14877.978528592908</v>
      </c>
      <c r="V228" s="920">
        <v>2801.7559048843195</v>
      </c>
      <c r="W228" s="920">
        <v>2594.2995902959997</v>
      </c>
      <c r="X228" s="920">
        <v>2260.361046327012</v>
      </c>
      <c r="Y228" s="920">
        <v>1793.0376666666664</v>
      </c>
      <c r="Z228" s="874">
        <f t="shared" si="18"/>
        <v>5428.5243204189101</v>
      </c>
      <c r="AA228" s="920">
        <v>915.1</v>
      </c>
      <c r="AB228" s="783"/>
      <c r="AC228" s="783"/>
      <c r="AD228" s="783"/>
      <c r="AE228" s="783"/>
      <c r="AF228" s="920">
        <v>2109.4</v>
      </c>
      <c r="AG228" s="783"/>
      <c r="AH228" s="783"/>
      <c r="AI228" s="783"/>
      <c r="AJ228" s="783"/>
      <c r="AK228" s="919">
        <f>Data[[#This Row],[Industry Cost ($m)]]/Data[[#This Row],[Industry Consumption]]</f>
        <v>2.3051032674024698</v>
      </c>
      <c r="AL228" s="919">
        <v>2.3587540279269601</v>
      </c>
      <c r="AM228" s="919">
        <v>2.3112582781456954</v>
      </c>
      <c r="AN228" s="919">
        <v>2.4103194103194103</v>
      </c>
      <c r="AO228" s="919">
        <v>2.3601105721306883</v>
      </c>
      <c r="AP228" s="919">
        <v>2.1930000000000001</v>
      </c>
      <c r="AQ228" s="783"/>
      <c r="AR228" s="253"/>
      <c r="AS228" s="253"/>
      <c r="AT228" s="253"/>
      <c r="AU228" s="253"/>
    </row>
    <row r="229" spans="1:47">
      <c r="A229" s="263">
        <f t="shared" si="19"/>
        <v>44561</v>
      </c>
      <c r="B229" s="263" t="s">
        <v>357</v>
      </c>
      <c r="C229" s="277">
        <v>69.133358999999999</v>
      </c>
      <c r="D229" s="277">
        <v>12.770175999999999</v>
      </c>
      <c r="E229" s="277">
        <v>11.081713000000001</v>
      </c>
      <c r="F229" s="277">
        <v>10.313495999999999</v>
      </c>
      <c r="G229" s="277">
        <v>11.725503</v>
      </c>
      <c r="H229" s="284">
        <f t="shared" si="15"/>
        <v>23.242470999999995</v>
      </c>
      <c r="I229" s="277">
        <v>56.867944000000001</v>
      </c>
      <c r="J229" s="277">
        <v>10.742754</v>
      </c>
      <c r="K229" s="277">
        <v>9.3222489999999993</v>
      </c>
      <c r="L229" s="277">
        <v>8.6641359999999992</v>
      </c>
      <c r="M229" s="277">
        <v>9.5014040000000008</v>
      </c>
      <c r="N229" s="284">
        <f t="shared" si="16"/>
        <v>18.637401000000004</v>
      </c>
      <c r="O229" s="277">
        <v>59.532589000000002</v>
      </c>
      <c r="P229" s="277">
        <v>10.082533</v>
      </c>
      <c r="Q229" s="277">
        <v>9.2169810000000005</v>
      </c>
      <c r="R229" s="277">
        <v>6.6689699999999998</v>
      </c>
      <c r="S229" s="277">
        <v>11.584666</v>
      </c>
      <c r="T229" s="284">
        <f t="shared" si="17"/>
        <v>21.979438999999999</v>
      </c>
      <c r="U229" s="920">
        <v>14877.978528592908</v>
      </c>
      <c r="V229" s="920">
        <v>2801.7559048843195</v>
      </c>
      <c r="W229" s="920">
        <v>2594.2995902959997</v>
      </c>
      <c r="X229" s="920">
        <v>2260.361046327012</v>
      </c>
      <c r="Y229" s="920">
        <v>1793.0376666666664</v>
      </c>
      <c r="Z229" s="874">
        <f t="shared" si="18"/>
        <v>5428.5243204189101</v>
      </c>
      <c r="AA229" s="920">
        <v>976.5</v>
      </c>
      <c r="AB229" s="920"/>
      <c r="AC229" s="783"/>
      <c r="AD229" s="783"/>
      <c r="AE229" s="783"/>
      <c r="AF229" s="920">
        <v>2085</v>
      </c>
      <c r="AG229" s="783"/>
      <c r="AH229" s="783"/>
      <c r="AI229" s="917"/>
      <c r="AJ229" s="783"/>
      <c r="AK229" s="919">
        <f>Data[[#This Row],[Industry Cost ($m)]]/Data[[#This Row],[Industry Consumption]]</f>
        <v>2.1351766513056836</v>
      </c>
      <c r="AL229" s="919">
        <v>2.3587540279269601</v>
      </c>
      <c r="AM229" s="919">
        <v>2.3112582781456954</v>
      </c>
      <c r="AN229" s="919">
        <v>2.4103194103194103</v>
      </c>
      <c r="AO229" s="919">
        <v>2.3601105721306883</v>
      </c>
      <c r="AP229" s="919">
        <v>2.0950000000000002</v>
      </c>
      <c r="AQ229" s="783">
        <f>AVERAGE(AP227:AP229)</f>
        <v>2.1946666666666665</v>
      </c>
      <c r="AR229" s="253"/>
      <c r="AS229" s="253"/>
      <c r="AT229" s="253"/>
      <c r="AU229" s="253"/>
    </row>
    <row r="230" spans="1:47">
      <c r="A230" s="263">
        <f t="shared" si="19"/>
        <v>44592</v>
      </c>
      <c r="B230" s="263" t="s">
        <v>357</v>
      </c>
      <c r="C230" s="277">
        <v>64.024658000000002</v>
      </c>
      <c r="D230" s="277">
        <v>11.597543</v>
      </c>
      <c r="E230" s="277">
        <v>11.01535</v>
      </c>
      <c r="F230" s="277">
        <v>9.1275359999999992</v>
      </c>
      <c r="G230" s="277">
        <v>10.898481</v>
      </c>
      <c r="H230" s="284">
        <f t="shared" si="15"/>
        <v>21.385748000000007</v>
      </c>
      <c r="I230" s="277">
        <v>43.782505999999998</v>
      </c>
      <c r="J230" s="277">
        <v>7.9955290000000003</v>
      </c>
      <c r="K230" s="277">
        <v>7.7789060000000001</v>
      </c>
      <c r="L230" s="277">
        <v>6.2925950000000004</v>
      </c>
      <c r="M230" s="277">
        <v>7.4200929999999996</v>
      </c>
      <c r="N230" s="284">
        <f t="shared" si="16"/>
        <v>14.295382999999994</v>
      </c>
      <c r="O230" s="277">
        <v>45.748868999999999</v>
      </c>
      <c r="P230" s="277">
        <v>7.5407440000000001</v>
      </c>
      <c r="Q230" s="277">
        <v>7.7234220000000002</v>
      </c>
      <c r="R230" s="277">
        <v>4.8845260000000001</v>
      </c>
      <c r="S230" s="277">
        <v>8.8314039999999991</v>
      </c>
      <c r="T230" s="284">
        <f t="shared" si="17"/>
        <v>16.768772999999999</v>
      </c>
      <c r="U230" s="920">
        <v>0</v>
      </c>
      <c r="V230" s="920">
        <v>0</v>
      </c>
      <c r="W230" s="920">
        <v>0</v>
      </c>
      <c r="X230" s="920">
        <v>0</v>
      </c>
      <c r="Y230" s="920">
        <v>0</v>
      </c>
      <c r="Z230" s="874">
        <f t="shared" si="18"/>
        <v>0</v>
      </c>
      <c r="AA230" s="920">
        <v>848.7</v>
      </c>
      <c r="AB230" s="783"/>
      <c r="AC230" s="783"/>
      <c r="AD230" s="783"/>
      <c r="AE230" s="783"/>
      <c r="AF230" s="920">
        <v>2003.4</v>
      </c>
      <c r="AG230" s="783"/>
      <c r="AH230" s="783"/>
      <c r="AI230" s="783"/>
      <c r="AJ230" s="783"/>
      <c r="AK230" s="919">
        <f>Data[[#This Row],[Industry Cost ($m)]]/Data[[#This Row],[Industry Consumption]]</f>
        <v>2.3605514316012726</v>
      </c>
      <c r="AL230" s="783"/>
      <c r="AM230" s="783"/>
      <c r="AN230" s="783"/>
      <c r="AO230" s="783"/>
      <c r="AP230" s="919">
        <v>2.4460000000000002</v>
      </c>
      <c r="AQ230" s="783"/>
      <c r="AR230" s="253"/>
      <c r="AS230" s="253"/>
      <c r="AT230" s="253"/>
      <c r="AU230" s="253"/>
    </row>
    <row r="231" spans="1:47">
      <c r="A231" s="263">
        <f>EOMONTH(A230,1)</f>
        <v>44620</v>
      </c>
      <c r="B231" s="263"/>
      <c r="C231" s="277"/>
      <c r="D231" s="277"/>
      <c r="E231" s="277"/>
      <c r="F231" s="277"/>
      <c r="G231" s="277"/>
      <c r="H231" s="284">
        <f>+C231-SUM(D231,E231,F231,G231)</f>
        <v>0</v>
      </c>
      <c r="I231" s="277"/>
      <c r="J231" s="277"/>
      <c r="K231" s="277"/>
      <c r="L231" s="277"/>
      <c r="M231" s="277"/>
      <c r="N231" s="284">
        <f>+I231-SUM(J231,K231,L231,M231)</f>
        <v>0</v>
      </c>
      <c r="O231" s="277"/>
      <c r="P231" s="277"/>
      <c r="Q231" s="277"/>
      <c r="R231" s="277"/>
      <c r="S231" s="277"/>
      <c r="T231" s="284">
        <f>+O231-SUM(P231,Q231,R231,S231)</f>
        <v>0</v>
      </c>
      <c r="U231" s="920" t="e">
        <f>+#REF!+#REF!+#REF!</f>
        <v>#REF!</v>
      </c>
      <c r="V231" s="920" t="e">
        <f>+#REF!+#REF!+#REF!</f>
        <v>#REF!</v>
      </c>
      <c r="W231" s="920">
        <f>SUMIF('Rev and Net Income'!$B:$B,Data[[#This Row],[Period]],'Rev and Net Income'!Q:Q)/3</f>
        <v>0</v>
      </c>
      <c r="X231" s="920">
        <f>SUMIF('Rev and Net Income'!$B:$B,Data[[#This Row],[Period]],'Rev and Net Income'!X:X)/3</f>
        <v>0</v>
      </c>
      <c r="Y231" s="920">
        <f>SUMIF('Rev and Net Income'!$B:$B,Data[[#This Row],[Period]],'Rev and Net Income'!AE:AE)/3</f>
        <v>0</v>
      </c>
      <c r="Z231" s="874" t="e">
        <f>+U231-SUM(V231,W231,X231,Y231)</f>
        <v>#REF!</v>
      </c>
      <c r="AA231" s="920"/>
      <c r="AB231" s="783"/>
      <c r="AC231" s="783"/>
      <c r="AD231" s="783"/>
      <c r="AE231" s="783"/>
      <c r="AF231" s="920"/>
      <c r="AG231" s="783"/>
      <c r="AH231" s="783"/>
      <c r="AI231" s="783"/>
      <c r="AJ231" s="783"/>
      <c r="AK231" s="919"/>
      <c r="AL231" s="783"/>
      <c r="AM231" s="783"/>
      <c r="AN231" s="783"/>
      <c r="AO231" s="783"/>
      <c r="AP231" s="1154">
        <v>2.6819999999999999</v>
      </c>
      <c r="AQ231" s="783"/>
      <c r="AR231" s="253"/>
      <c r="AS231" s="253"/>
      <c r="AT231" s="253"/>
      <c r="AU231" s="253"/>
    </row>
    <row r="232" spans="1:47">
      <c r="A232" s="263">
        <f>EOMONTH(A231,1)</f>
        <v>44651</v>
      </c>
      <c r="B232" s="263"/>
      <c r="C232" s="277"/>
      <c r="D232" s="277"/>
      <c r="E232" s="277"/>
      <c r="F232" s="277"/>
      <c r="G232" s="277"/>
      <c r="H232" s="284">
        <f>+C232-SUM(D232,E232,F232,G232)</f>
        <v>0</v>
      </c>
      <c r="I232" s="277"/>
      <c r="J232" s="277"/>
      <c r="K232" s="277"/>
      <c r="L232" s="277"/>
      <c r="M232" s="277"/>
      <c r="N232" s="284">
        <f>+I232-SUM(J232,K232,L232,M232)</f>
        <v>0</v>
      </c>
      <c r="O232" s="277"/>
      <c r="P232" s="277"/>
      <c r="Q232" s="277"/>
      <c r="R232" s="277"/>
      <c r="S232" s="277"/>
      <c r="T232" s="284">
        <f>+O232-SUM(P232,Q232,R232,S232)</f>
        <v>0</v>
      </c>
      <c r="U232" s="920" t="e">
        <f>+#REF!+#REF!+#REF!</f>
        <v>#REF!</v>
      </c>
      <c r="V232" s="920" t="e">
        <f>+#REF!+#REF!+#REF!</f>
        <v>#REF!</v>
      </c>
      <c r="W232" s="920">
        <f>SUMIF('Rev and Net Income'!$B:$B,Data[[#This Row],[Period]],'Rev and Net Income'!Q:Q)/3</f>
        <v>0</v>
      </c>
      <c r="X232" s="920">
        <f>SUMIF('Rev and Net Income'!$B:$B,Data[[#This Row],[Period]],'Rev and Net Income'!X:X)/3</f>
        <v>0</v>
      </c>
      <c r="Y232" s="920">
        <f>SUMIF('Rev and Net Income'!$B:$B,Data[[#This Row],[Period]],'Rev and Net Income'!AE:AE)/3</f>
        <v>0</v>
      </c>
      <c r="Z232" s="874" t="e">
        <f>+U232-SUM(V232,W232,X232,Y232)</f>
        <v>#REF!</v>
      </c>
      <c r="AA232" s="920"/>
      <c r="AB232" s="783"/>
      <c r="AC232" s="783"/>
      <c r="AD232" s="783"/>
      <c r="AE232" s="783"/>
      <c r="AF232" s="920"/>
      <c r="AG232" s="783"/>
      <c r="AH232" s="783"/>
      <c r="AI232" s="783"/>
      <c r="AJ232" s="783"/>
      <c r="AK232" s="919"/>
      <c r="AL232" s="783"/>
      <c r="AM232" s="783"/>
      <c r="AN232" s="783"/>
      <c r="AO232" s="783"/>
      <c r="AP232" s="1154">
        <v>3.4950000000000001</v>
      </c>
      <c r="AQ232" s="783">
        <f>AVERAGE(AP230:AP232)</f>
        <v>2.8743333333333339</v>
      </c>
      <c r="AR232" s="253"/>
      <c r="AS232" s="253"/>
      <c r="AT232" s="253"/>
      <c r="AU232" s="253"/>
    </row>
    <row r="233" spans="1:47" ht="10.5" customHeight="1">
      <c r="A233" s="872">
        <v>37652</v>
      </c>
      <c r="B233" s="872" t="s">
        <v>537</v>
      </c>
      <c r="C233" s="690">
        <v>11.290009</v>
      </c>
      <c r="D233" s="690">
        <v>4.2373890000000003</v>
      </c>
      <c r="E233" s="690">
        <v>2.3631700000000002</v>
      </c>
      <c r="F233" s="690">
        <v>4.2516150000000001</v>
      </c>
      <c r="G233" s="690">
        <v>0</v>
      </c>
      <c r="H233" s="873">
        <f t="shared" si="15"/>
        <v>0.43783499999999798</v>
      </c>
      <c r="I233" s="690">
        <v>8.1116119999999992</v>
      </c>
      <c r="J233" s="690">
        <v>2.9767039999999998</v>
      </c>
      <c r="K233" s="690">
        <v>1.6058250000000001</v>
      </c>
      <c r="L233" s="690">
        <v>3.24451</v>
      </c>
      <c r="M233" s="690">
        <v>0</v>
      </c>
      <c r="N233" s="873">
        <f t="shared" si="16"/>
        <v>0.28457299999999908</v>
      </c>
      <c r="O233" s="690">
        <v>9.7264359999999996</v>
      </c>
      <c r="P233" s="690">
        <v>1.354646</v>
      </c>
      <c r="Q233" s="690">
        <v>0.50170800000000004</v>
      </c>
      <c r="R233" s="690">
        <v>0.73292400000000002</v>
      </c>
      <c r="S233" s="921">
        <v>0</v>
      </c>
      <c r="T233" s="878">
        <f t="shared" si="17"/>
        <v>7.1371579999999994</v>
      </c>
      <c r="U233" s="921">
        <v>2322.6309999999999</v>
      </c>
      <c r="V233" s="921">
        <v>405.39166666666665</v>
      </c>
      <c r="W233" s="921">
        <v>183.76666666666668</v>
      </c>
      <c r="X233" s="921">
        <v>367.40699999999998</v>
      </c>
      <c r="Y233" s="921">
        <v>0</v>
      </c>
      <c r="Z233" s="878">
        <f t="shared" si="18"/>
        <v>1366.0656666666666</v>
      </c>
      <c r="AA233" s="921">
        <v>377.8</v>
      </c>
      <c r="AB233" s="921">
        <v>70.31</v>
      </c>
      <c r="AC233" s="921">
        <v>41.963000000000001</v>
      </c>
      <c r="AD233" s="921">
        <v>76.585999999999999</v>
      </c>
      <c r="AE233" s="921">
        <v>0</v>
      </c>
      <c r="AF233" s="921">
        <v>339.5</v>
      </c>
      <c r="AG233" s="921">
        <v>64.454999999999998</v>
      </c>
      <c r="AH233" s="921">
        <v>33.680999999999997</v>
      </c>
      <c r="AI233" s="921">
        <v>72.262</v>
      </c>
      <c r="AJ233" s="921">
        <v>0</v>
      </c>
      <c r="AK233" s="1159">
        <f>Data[[#This Row],[Industry Cost ($m)]]/Data[[#This Row],[Industry Consumption]]</f>
        <v>0.89862361037586025</v>
      </c>
      <c r="AL233" s="1159">
        <f>Data[[#This Row],[AAL Fuel Cost]]/Data[[#This Row],[AAL Consumption]]</f>
        <v>0.91672592803299668</v>
      </c>
      <c r="AM233" s="1159">
        <f>Data[[#This Row],[DAL Fuel Cost]]/Data[[#This Row],[DAL Consumption]]</f>
        <v>0.80263565522007474</v>
      </c>
      <c r="AN233" s="1159">
        <f>Data[[#This Row],[UAL Fuel Cost]]/Data[[#This Row],[UALConsumption]]</f>
        <v>0.94354059488679398</v>
      </c>
      <c r="AO233" s="1159">
        <f>IFERROR(Data[[#This Row],[LUV Fuel Cost]]/Data[[#This Row],[LUV Consumption]],0)</f>
        <v>0</v>
      </c>
      <c r="AP233" s="1159"/>
      <c r="AQ233" s="1160"/>
      <c r="AR233" s="253"/>
      <c r="AS233" s="253"/>
      <c r="AT233" s="253"/>
      <c r="AU233" s="253"/>
    </row>
    <row r="234" spans="1:47" ht="10.5" customHeight="1">
      <c r="A234" s="263">
        <v>37680</v>
      </c>
      <c r="B234" s="263" t="s">
        <v>537</v>
      </c>
      <c r="C234" s="277">
        <v>9.6792630000000006</v>
      </c>
      <c r="D234" s="277">
        <v>3.665686</v>
      </c>
      <c r="E234" s="277">
        <v>1.8869629999999999</v>
      </c>
      <c r="F234" s="277">
        <v>3.7118280000000001</v>
      </c>
      <c r="G234" s="277">
        <v>0</v>
      </c>
      <c r="H234" s="284">
        <f t="shared" si="15"/>
        <v>0.41478600000000121</v>
      </c>
      <c r="I234" s="277">
        <v>6.6182449999999999</v>
      </c>
      <c r="J234" s="277">
        <v>2.493611</v>
      </c>
      <c r="K234" s="277">
        <v>1.2568699999999999</v>
      </c>
      <c r="L234" s="277">
        <v>2.5825879999999999</v>
      </c>
      <c r="M234" s="277">
        <v>0</v>
      </c>
      <c r="N234" s="284">
        <f t="shared" si="16"/>
        <v>0.28517599999999987</v>
      </c>
      <c r="O234" s="277">
        <v>8.283372</v>
      </c>
      <c r="P234" s="277">
        <v>1.13947</v>
      </c>
      <c r="Q234" s="277">
        <v>0.40690799999999999</v>
      </c>
      <c r="R234" s="277">
        <v>0.60314599999999996</v>
      </c>
      <c r="S234" s="920">
        <v>0</v>
      </c>
      <c r="T234" s="874">
        <f t="shared" si="17"/>
        <v>6.1338480000000004</v>
      </c>
      <c r="U234" s="920">
        <v>2322.6309999999999</v>
      </c>
      <c r="V234" s="920">
        <v>405.39166666666665</v>
      </c>
      <c r="W234" s="920">
        <v>183.76666666666668</v>
      </c>
      <c r="X234" s="920">
        <v>367.40699999999998</v>
      </c>
      <c r="Y234" s="920">
        <v>0</v>
      </c>
      <c r="Z234" s="874">
        <f t="shared" si="18"/>
        <v>1366.0656666666666</v>
      </c>
      <c r="AA234" s="920">
        <v>329.9</v>
      </c>
      <c r="AB234" s="920">
        <v>61.853999999999999</v>
      </c>
      <c r="AC234" s="920">
        <v>32.427999999999997</v>
      </c>
      <c r="AD234" s="920">
        <v>68.238</v>
      </c>
      <c r="AE234" s="920">
        <v>0</v>
      </c>
      <c r="AF234" s="920">
        <v>313.5</v>
      </c>
      <c r="AG234" s="920">
        <v>56.575000000000003</v>
      </c>
      <c r="AH234" s="920">
        <v>24.266999999999999</v>
      </c>
      <c r="AI234" s="920">
        <v>70.798000000000002</v>
      </c>
      <c r="AJ234" s="920">
        <v>0</v>
      </c>
      <c r="AK234" s="919">
        <f>Data[[#This Row],[Industry Cost ($m)]]/Data[[#This Row],[Industry Consumption]]</f>
        <v>0.95028796605031829</v>
      </c>
      <c r="AL234" s="919">
        <f>Data[[#This Row],[AAL Fuel Cost]]/Data[[#This Row],[AAL Consumption]]</f>
        <v>0.91465386232094936</v>
      </c>
      <c r="AM234" s="919">
        <f>Data[[#This Row],[DAL Fuel Cost]]/Data[[#This Row],[DAL Consumption]]</f>
        <v>0.74833477241889734</v>
      </c>
      <c r="AN234" s="919">
        <f>Data[[#This Row],[UAL Fuel Cost]]/Data[[#This Row],[UALConsumption]]</f>
        <v>1.0375157536856296</v>
      </c>
      <c r="AO234" s="919">
        <f>IFERROR(Data[[#This Row],[LUV Fuel Cost]]/Data[[#This Row],[LUV Consumption]],0)</f>
        <v>0</v>
      </c>
      <c r="AP234" s="919"/>
      <c r="AQ234" s="783"/>
      <c r="AR234" s="253"/>
      <c r="AS234" s="253"/>
      <c r="AT234" s="253"/>
      <c r="AU234" s="253"/>
    </row>
    <row r="235" spans="1:47" ht="10.5" customHeight="1">
      <c r="A235" s="263">
        <v>37711</v>
      </c>
      <c r="B235" s="263" t="s">
        <v>537</v>
      </c>
      <c r="C235" s="277">
        <v>10.905794</v>
      </c>
      <c r="D235" s="277">
        <v>4.1473089999999999</v>
      </c>
      <c r="E235" s="277">
        <v>2.202747</v>
      </c>
      <c r="F235" s="277">
        <v>4.0816840000000001</v>
      </c>
      <c r="G235" s="277">
        <v>0</v>
      </c>
      <c r="H235" s="284">
        <f t="shared" si="15"/>
        <v>0.47405399999999887</v>
      </c>
      <c r="I235" s="277">
        <v>7.7010940000000003</v>
      </c>
      <c r="J235" s="277">
        <v>2.8861370000000002</v>
      </c>
      <c r="K235" s="277">
        <v>1.5564560000000001</v>
      </c>
      <c r="L235" s="277">
        <v>2.9287770000000002</v>
      </c>
      <c r="M235" s="277">
        <v>0</v>
      </c>
      <c r="N235" s="284">
        <f t="shared" si="16"/>
        <v>0.32972399999999968</v>
      </c>
      <c r="O235" s="277">
        <v>9.538653</v>
      </c>
      <c r="P235" s="277">
        <v>1.3208089999999999</v>
      </c>
      <c r="Q235" s="277">
        <v>0.49127999999999999</v>
      </c>
      <c r="R235" s="277">
        <v>0.68976499999999996</v>
      </c>
      <c r="S235" s="920">
        <v>0</v>
      </c>
      <c r="T235" s="874">
        <f t="shared" si="17"/>
        <v>7.0367990000000002</v>
      </c>
      <c r="U235" s="920">
        <v>2322.6309999999999</v>
      </c>
      <c r="V235" s="920">
        <v>405.39166666666665</v>
      </c>
      <c r="W235" s="920">
        <v>183.76666666666668</v>
      </c>
      <c r="X235" s="920">
        <v>367.40699999999998</v>
      </c>
      <c r="Y235" s="920">
        <v>0</v>
      </c>
      <c r="Z235" s="874">
        <f t="shared" si="18"/>
        <v>1366.0656666666666</v>
      </c>
      <c r="AA235" s="920">
        <v>374.2</v>
      </c>
      <c r="AB235" s="920">
        <v>70.11</v>
      </c>
      <c r="AC235" s="920">
        <v>39.595999999999997</v>
      </c>
      <c r="AD235" s="920">
        <v>77.412000000000006</v>
      </c>
      <c r="AE235" s="920">
        <v>0</v>
      </c>
      <c r="AF235" s="920">
        <v>360.1</v>
      </c>
      <c r="AG235" s="920">
        <v>72.962000000000003</v>
      </c>
      <c r="AH235" s="920">
        <v>37.262</v>
      </c>
      <c r="AI235" s="920">
        <v>75.338999999999999</v>
      </c>
      <c r="AJ235" s="920">
        <v>0</v>
      </c>
      <c r="AK235" s="919">
        <f>Data[[#This Row],[Industry Cost ($m)]]/Data[[#This Row],[Industry Consumption]]</f>
        <v>0.96231961517904874</v>
      </c>
      <c r="AL235" s="919">
        <f>Data[[#This Row],[AAL Fuel Cost]]/Data[[#This Row],[AAL Consumption]]</f>
        <v>1.0406789331051205</v>
      </c>
      <c r="AM235" s="919">
        <f>Data[[#This Row],[DAL Fuel Cost]]/Data[[#This Row],[DAL Consumption]]</f>
        <v>0.94105465198504912</v>
      </c>
      <c r="AN235" s="919">
        <f>Data[[#This Row],[UAL Fuel Cost]]/Data[[#This Row],[UALConsumption]]</f>
        <v>0.97322120601457129</v>
      </c>
      <c r="AO235" s="919">
        <f>IFERROR(Data[[#This Row],[LUV Fuel Cost]]/Data[[#This Row],[LUV Consumption]],0)</f>
        <v>0</v>
      </c>
      <c r="AP235" s="783"/>
      <c r="AQ235" s="783"/>
      <c r="AR235" s="253"/>
      <c r="AS235" s="253"/>
      <c r="AT235" s="253"/>
      <c r="AU235" s="253"/>
    </row>
    <row r="236" spans="1:47" ht="10.5" customHeight="1">
      <c r="A236" s="263">
        <v>37741</v>
      </c>
      <c r="B236" s="263" t="s">
        <v>537</v>
      </c>
      <c r="C236" s="277">
        <v>9.5592629999999996</v>
      </c>
      <c r="D236" s="277">
        <v>3.874139</v>
      </c>
      <c r="E236" s="277">
        <v>1.9547030000000001</v>
      </c>
      <c r="F236" s="277">
        <v>3.3069980000000001</v>
      </c>
      <c r="G236" s="277">
        <v>0</v>
      </c>
      <c r="H236" s="284">
        <f t="shared" si="15"/>
        <v>0.42342299999999966</v>
      </c>
      <c r="I236" s="277">
        <v>6.2793479999999997</v>
      </c>
      <c r="J236" s="277">
        <v>2.5610539999999999</v>
      </c>
      <c r="K236" s="277">
        <v>1.3731040000000001</v>
      </c>
      <c r="L236" s="277">
        <v>2.061464</v>
      </c>
      <c r="M236" s="277">
        <v>0</v>
      </c>
      <c r="N236" s="284">
        <f t="shared" si="16"/>
        <v>0.2837259999999997</v>
      </c>
      <c r="O236" s="277">
        <v>8.3093050000000002</v>
      </c>
      <c r="P236" s="277">
        <v>1.1971069999999999</v>
      </c>
      <c r="Q236" s="277">
        <v>0.44858700000000001</v>
      </c>
      <c r="R236" s="277">
        <v>0.51735399999999998</v>
      </c>
      <c r="S236" s="920">
        <v>0</v>
      </c>
      <c r="T236" s="874">
        <f t="shared" si="17"/>
        <v>6.1462570000000003</v>
      </c>
      <c r="U236" s="920">
        <v>2305.2309999999998</v>
      </c>
      <c r="V236" s="920">
        <v>417.41466666666673</v>
      </c>
      <c r="W236" s="920">
        <v>204.53533333333328</v>
      </c>
      <c r="X236" s="920">
        <v>306.76366666666667</v>
      </c>
      <c r="Y236" s="920">
        <v>0</v>
      </c>
      <c r="Z236" s="874">
        <f t="shared" si="18"/>
        <v>1376.517333333333</v>
      </c>
      <c r="AA236" s="920">
        <v>338.1</v>
      </c>
      <c r="AB236" s="920">
        <v>65.688000000000002</v>
      </c>
      <c r="AC236" s="920">
        <v>34.904000000000003</v>
      </c>
      <c r="AD236" s="920">
        <v>63.131999999999998</v>
      </c>
      <c r="AE236" s="920">
        <v>0</v>
      </c>
      <c r="AF236" s="920">
        <v>309.3</v>
      </c>
      <c r="AG236" s="920">
        <v>59.744</v>
      </c>
      <c r="AH236" s="920">
        <v>28.044</v>
      </c>
      <c r="AI236" s="920">
        <v>58.121000000000002</v>
      </c>
      <c r="AJ236" s="920">
        <v>0</v>
      </c>
      <c r="AK236" s="919">
        <f>Data[[#This Row],[Industry Cost ($m)]]/Data[[#This Row],[Industry Consumption]]</f>
        <v>0.91481810115350481</v>
      </c>
      <c r="AL236" s="919">
        <f>Data[[#This Row],[AAL Fuel Cost]]/Data[[#This Row],[AAL Consumption]]</f>
        <v>0.90951163073925223</v>
      </c>
      <c r="AM236" s="919">
        <f>Data[[#This Row],[DAL Fuel Cost]]/Data[[#This Row],[DAL Consumption]]</f>
        <v>0.80346092138436853</v>
      </c>
      <c r="AN236" s="919">
        <f>Data[[#This Row],[UAL Fuel Cost]]/Data[[#This Row],[UALConsumption]]</f>
        <v>0.92062662358233549</v>
      </c>
      <c r="AO236" s="919">
        <f>IFERROR(Data[[#This Row],[LUV Fuel Cost]]/Data[[#This Row],[LUV Consumption]],0)</f>
        <v>0</v>
      </c>
      <c r="AP236" s="783"/>
      <c r="AQ236" s="783"/>
      <c r="AR236" s="253"/>
      <c r="AS236" s="253"/>
      <c r="AT236" s="253"/>
      <c r="AU236" s="253"/>
    </row>
    <row r="237" spans="1:47" ht="10.5" customHeight="1">
      <c r="A237" s="263">
        <v>37772</v>
      </c>
      <c r="B237" s="263" t="s">
        <v>537</v>
      </c>
      <c r="C237" s="277">
        <v>9.3438750000000006</v>
      </c>
      <c r="D237" s="277">
        <v>3.912655</v>
      </c>
      <c r="E237" s="277">
        <v>2.0227469999999999</v>
      </c>
      <c r="F237" s="277">
        <v>3.0478609999999997</v>
      </c>
      <c r="G237" s="277">
        <v>0</v>
      </c>
      <c r="H237" s="284">
        <f t="shared" si="15"/>
        <v>0.36061200000000149</v>
      </c>
      <c r="I237" s="277">
        <v>6.9241339999999996</v>
      </c>
      <c r="J237" s="277">
        <v>2.78308</v>
      </c>
      <c r="K237" s="277">
        <v>1.5576749999999999</v>
      </c>
      <c r="L237" s="277">
        <v>2.326031</v>
      </c>
      <c r="M237" s="277">
        <v>0</v>
      </c>
      <c r="N237" s="284">
        <f t="shared" si="16"/>
        <v>0.25734799999999947</v>
      </c>
      <c r="O237" s="277">
        <v>8.8018730000000005</v>
      </c>
      <c r="P237" s="277">
        <v>1.230334</v>
      </c>
      <c r="Q237" s="277">
        <v>0.48297299999999999</v>
      </c>
      <c r="R237" s="277">
        <v>0.58726500000000004</v>
      </c>
      <c r="S237" s="920">
        <v>0</v>
      </c>
      <c r="T237" s="874">
        <f t="shared" si="17"/>
        <v>6.5013010000000007</v>
      </c>
      <c r="U237" s="920">
        <v>2305.2309999999998</v>
      </c>
      <c r="V237" s="920">
        <v>417.41466666666673</v>
      </c>
      <c r="W237" s="920">
        <v>204.53533333333328</v>
      </c>
      <c r="X237" s="920">
        <v>306.76366666666667</v>
      </c>
      <c r="Y237" s="920">
        <v>0</v>
      </c>
      <c r="Z237" s="874">
        <f t="shared" si="18"/>
        <v>1376.517333333333</v>
      </c>
      <c r="AA237" s="920">
        <v>374.9</v>
      </c>
      <c r="AB237" s="920">
        <v>65.405000000000001</v>
      </c>
      <c r="AC237" s="920">
        <v>35.72</v>
      </c>
      <c r="AD237" s="920">
        <v>58.35</v>
      </c>
      <c r="AE237" s="920">
        <v>0</v>
      </c>
      <c r="AF237" s="920">
        <v>271.5</v>
      </c>
      <c r="AG237" s="920">
        <v>52.781999999999996</v>
      </c>
      <c r="AH237" s="920">
        <v>25.888999999999999</v>
      </c>
      <c r="AI237" s="920">
        <v>49.433</v>
      </c>
      <c r="AJ237" s="920">
        <v>0</v>
      </c>
      <c r="AK237" s="919">
        <f>Data[[#This Row],[Industry Cost ($m)]]/Data[[#This Row],[Industry Consumption]]</f>
        <v>0.724193118164844</v>
      </c>
      <c r="AL237" s="919">
        <f>Data[[#This Row],[AAL Fuel Cost]]/Data[[#This Row],[AAL Consumption]]</f>
        <v>0.80700252274290951</v>
      </c>
      <c r="AM237" s="919">
        <f>Data[[#This Row],[DAL Fuel Cost]]/Data[[#This Row],[DAL Consumption]]</f>
        <v>0.72477603583426653</v>
      </c>
      <c r="AN237" s="919">
        <f>Data[[#This Row],[UAL Fuel Cost]]/Data[[#This Row],[UALConsumption]]</f>
        <v>0.84718080548414731</v>
      </c>
      <c r="AO237" s="919">
        <f>IFERROR(Data[[#This Row],[LUV Fuel Cost]]/Data[[#This Row],[LUV Consumption]],0)</f>
        <v>0</v>
      </c>
      <c r="AP237" s="783"/>
      <c r="AQ237" s="783"/>
      <c r="AR237" s="253"/>
      <c r="AS237" s="253"/>
      <c r="AT237" s="253"/>
      <c r="AU237" s="253"/>
    </row>
    <row r="238" spans="1:47" ht="10.5" customHeight="1">
      <c r="A238" s="263">
        <v>37802</v>
      </c>
      <c r="B238" s="263" t="s">
        <v>537</v>
      </c>
      <c r="C238" s="277">
        <v>10.445100999999999</v>
      </c>
      <c r="D238" s="277">
        <v>4.280106</v>
      </c>
      <c r="E238" s="277">
        <v>2.2804250000000001</v>
      </c>
      <c r="F238" s="277">
        <v>3.5190900000000003</v>
      </c>
      <c r="G238" s="277">
        <v>0</v>
      </c>
      <c r="H238" s="284">
        <f t="shared" si="15"/>
        <v>0.36547999999999981</v>
      </c>
      <c r="I238" s="277">
        <v>8.4435280000000006</v>
      </c>
      <c r="J238" s="277">
        <v>3.3060659999999999</v>
      </c>
      <c r="K238" s="277">
        <v>1.930992</v>
      </c>
      <c r="L238" s="277">
        <v>2.9455650000000002</v>
      </c>
      <c r="M238" s="277">
        <v>0</v>
      </c>
      <c r="N238" s="284">
        <f t="shared" si="16"/>
        <v>0.26090500000000105</v>
      </c>
      <c r="O238" s="277">
        <v>10.347899999999999</v>
      </c>
      <c r="P238" s="277">
        <v>1.4434359999999999</v>
      </c>
      <c r="Q238" s="277">
        <v>0.58452599999999999</v>
      </c>
      <c r="R238" s="277">
        <v>0.72892500000000005</v>
      </c>
      <c r="S238" s="920">
        <v>0</v>
      </c>
      <c r="T238" s="874">
        <f t="shared" si="17"/>
        <v>7.5910129999999993</v>
      </c>
      <c r="U238" s="920">
        <v>2305.2309999999998</v>
      </c>
      <c r="V238" s="920">
        <v>417.41466666666673</v>
      </c>
      <c r="W238" s="920">
        <v>204.53533333333328</v>
      </c>
      <c r="X238" s="920">
        <v>306.76366666666667</v>
      </c>
      <c r="Y238" s="920">
        <v>0</v>
      </c>
      <c r="Z238" s="874">
        <f t="shared" si="18"/>
        <v>1376.517333333333</v>
      </c>
      <c r="AA238" s="920">
        <v>361.6</v>
      </c>
      <c r="AB238" s="920">
        <v>70.590999999999994</v>
      </c>
      <c r="AC238" s="920">
        <v>40.363</v>
      </c>
      <c r="AD238" s="920">
        <v>64.899000000000001</v>
      </c>
      <c r="AE238" s="920">
        <v>0</v>
      </c>
      <c r="AF238" s="920">
        <v>287.8</v>
      </c>
      <c r="AG238" s="920">
        <v>56.488999999999997</v>
      </c>
      <c r="AH238" s="920">
        <v>28.56</v>
      </c>
      <c r="AI238" s="920">
        <v>54.664999999999999</v>
      </c>
      <c r="AJ238" s="920">
        <v>0</v>
      </c>
      <c r="AK238" s="919">
        <f>Data[[#This Row],[Industry Cost ($m)]]/Data[[#This Row],[Industry Consumption]]</f>
        <v>0.7959070796460177</v>
      </c>
      <c r="AL238" s="919">
        <f>Data[[#This Row],[AAL Fuel Cost]]/Data[[#This Row],[AAL Consumption]]</f>
        <v>0.80022949101160212</v>
      </c>
      <c r="AM238" s="919">
        <f>Data[[#This Row],[DAL Fuel Cost]]/Data[[#This Row],[DAL Consumption]]</f>
        <v>0.70757872308797654</v>
      </c>
      <c r="AN238" s="919">
        <f>Data[[#This Row],[UAL Fuel Cost]]/Data[[#This Row],[UALConsumption]]</f>
        <v>0.84230881831769366</v>
      </c>
      <c r="AO238" s="919">
        <f>IFERROR(Data[[#This Row],[LUV Fuel Cost]]/Data[[#This Row],[LUV Consumption]],0)</f>
        <v>0</v>
      </c>
      <c r="AP238" s="783"/>
      <c r="AQ238" s="783"/>
      <c r="AR238" s="253"/>
      <c r="AS238" s="253"/>
      <c r="AT238" s="253"/>
      <c r="AU238" s="253"/>
    </row>
    <row r="239" spans="1:47" ht="10.5" customHeight="1">
      <c r="A239" s="263">
        <v>37833</v>
      </c>
      <c r="B239" s="263" t="s">
        <v>537</v>
      </c>
      <c r="C239" s="277">
        <v>11.363263</v>
      </c>
      <c r="D239" s="277">
        <v>4.7287749999999997</v>
      </c>
      <c r="E239" s="277">
        <v>2.4480479999999996</v>
      </c>
      <c r="F239" s="277">
        <v>3.7973970000000001</v>
      </c>
      <c r="G239" s="277">
        <v>0</v>
      </c>
      <c r="H239" s="284">
        <f t="shared" si="15"/>
        <v>0.38904300000000092</v>
      </c>
      <c r="I239" s="277">
        <v>9.4000959999999996</v>
      </c>
      <c r="J239" s="277">
        <v>3.767023</v>
      </c>
      <c r="K239" s="277">
        <v>2.0804840000000002</v>
      </c>
      <c r="L239" s="277">
        <v>3.2559140000000002</v>
      </c>
      <c r="M239" s="277">
        <v>0</v>
      </c>
      <c r="N239" s="284">
        <f t="shared" si="16"/>
        <v>0.29667499999999869</v>
      </c>
      <c r="O239" s="277">
        <v>11.705206</v>
      </c>
      <c r="P239" s="277">
        <v>1.7352730000000001</v>
      </c>
      <c r="Q239" s="277">
        <v>0.631965</v>
      </c>
      <c r="R239" s="277">
        <v>0.81219699999999995</v>
      </c>
      <c r="S239" s="920">
        <v>0</v>
      </c>
      <c r="T239" s="874">
        <f t="shared" si="17"/>
        <v>8.5257710000000007</v>
      </c>
      <c r="U239" s="920">
        <v>2538.5986666666663</v>
      </c>
      <c r="V239" s="920">
        <v>497.14566666666673</v>
      </c>
      <c r="W239" s="920">
        <v>248.95900000000003</v>
      </c>
      <c r="X239" s="920">
        <v>387.88633333333337</v>
      </c>
      <c r="Y239" s="920">
        <v>0</v>
      </c>
      <c r="Z239" s="874">
        <f t="shared" si="18"/>
        <v>1404.6076666666663</v>
      </c>
      <c r="AA239" s="920">
        <v>390.9</v>
      </c>
      <c r="AB239" s="920">
        <v>77.384</v>
      </c>
      <c r="AC239" s="920">
        <v>43.171999999999997</v>
      </c>
      <c r="AD239" s="920">
        <v>67.855999999999995</v>
      </c>
      <c r="AE239" s="920">
        <v>0</v>
      </c>
      <c r="AF239" s="920">
        <v>315.89999999999998</v>
      </c>
      <c r="AG239" s="920">
        <v>63.835999999999999</v>
      </c>
      <c r="AH239" s="920">
        <v>32.011000000000003</v>
      </c>
      <c r="AI239" s="920">
        <v>59.045999999999999</v>
      </c>
      <c r="AJ239" s="920">
        <v>0</v>
      </c>
      <c r="AK239" s="919">
        <f>Data[[#This Row],[Industry Cost ($m)]]/Data[[#This Row],[Industry Consumption]]</f>
        <v>0.80813507290867226</v>
      </c>
      <c r="AL239" s="919">
        <f>Data[[#This Row],[AAL Fuel Cost]]/Data[[#This Row],[AAL Consumption]]</f>
        <v>0.82492504910575826</v>
      </c>
      <c r="AM239" s="919">
        <f>Data[[#This Row],[DAL Fuel Cost]]/Data[[#This Row],[DAL Consumption]]</f>
        <v>0.74147595663856214</v>
      </c>
      <c r="AN239" s="919">
        <f>Data[[#This Row],[UAL Fuel Cost]]/Data[[#This Row],[UALConsumption]]</f>
        <v>0.87016623437868434</v>
      </c>
      <c r="AO239" s="919">
        <f>IFERROR(Data[[#This Row],[LUV Fuel Cost]]/Data[[#This Row],[LUV Consumption]],0)</f>
        <v>0</v>
      </c>
      <c r="AP239" s="783"/>
      <c r="AQ239" s="783"/>
      <c r="AR239" s="253"/>
      <c r="AS239" s="253"/>
      <c r="AT239" s="253"/>
      <c r="AU239" s="253"/>
    </row>
    <row r="240" spans="1:47" ht="10.5" customHeight="1">
      <c r="A240" s="263">
        <v>37864</v>
      </c>
      <c r="B240" s="263" t="s">
        <v>537</v>
      </c>
      <c r="C240" s="277">
        <v>11.680892</v>
      </c>
      <c r="D240" s="277">
        <v>4.7255880000000001</v>
      </c>
      <c r="E240" s="277">
        <v>2.5361819999999997</v>
      </c>
      <c r="F240" s="277">
        <v>4.0217510000000001</v>
      </c>
      <c r="G240" s="277">
        <v>0</v>
      </c>
      <c r="H240" s="284">
        <f t="shared" si="15"/>
        <v>0.3973709999999997</v>
      </c>
      <c r="I240" s="277">
        <v>9.617324</v>
      </c>
      <c r="J240" s="277">
        <v>3.752936</v>
      </c>
      <c r="K240" s="277">
        <v>2.106144</v>
      </c>
      <c r="L240" s="277">
        <v>3.4428809999999999</v>
      </c>
      <c r="M240" s="277">
        <v>0</v>
      </c>
      <c r="N240" s="284">
        <f t="shared" si="16"/>
        <v>0.31536299999999962</v>
      </c>
      <c r="O240" s="277">
        <v>11.799671999999999</v>
      </c>
      <c r="P240" s="277">
        <v>1.7280880000000001</v>
      </c>
      <c r="Q240" s="277">
        <v>0.64077600000000001</v>
      </c>
      <c r="R240" s="277">
        <v>0.83903799999999995</v>
      </c>
      <c r="S240" s="920">
        <v>0</v>
      </c>
      <c r="T240" s="874">
        <f t="shared" si="17"/>
        <v>8.5917699999999986</v>
      </c>
      <c r="U240" s="920">
        <v>2538.5986666666663</v>
      </c>
      <c r="V240" s="920">
        <v>497.14566666666673</v>
      </c>
      <c r="W240" s="920">
        <v>248.95900000000003</v>
      </c>
      <c r="X240" s="920">
        <v>387.88633333333337</v>
      </c>
      <c r="Y240" s="920">
        <v>0</v>
      </c>
      <c r="Z240" s="874">
        <f t="shared" si="18"/>
        <v>1404.6076666666663</v>
      </c>
      <c r="AA240" s="920">
        <v>401.5</v>
      </c>
      <c r="AB240" s="920">
        <v>77.644999999999996</v>
      </c>
      <c r="AC240" s="920">
        <v>44.734999999999999</v>
      </c>
      <c r="AD240" s="920">
        <v>72.489000000000004</v>
      </c>
      <c r="AE240" s="920">
        <v>0</v>
      </c>
      <c r="AF240" s="920">
        <v>338</v>
      </c>
      <c r="AG240" s="920">
        <v>66.599999999999994</v>
      </c>
      <c r="AH240" s="920">
        <v>35.029000000000003</v>
      </c>
      <c r="AI240" s="920">
        <v>65.813000000000002</v>
      </c>
      <c r="AJ240" s="920">
        <v>0</v>
      </c>
      <c r="AK240" s="919">
        <f>Data[[#This Row],[Industry Cost ($m)]]/Data[[#This Row],[Industry Consumption]]</f>
        <v>0.84184308841843092</v>
      </c>
      <c r="AL240" s="919">
        <f>Data[[#This Row],[AAL Fuel Cost]]/Data[[#This Row],[AAL Consumption]]</f>
        <v>0.85775001609891166</v>
      </c>
      <c r="AM240" s="919">
        <f>Data[[#This Row],[DAL Fuel Cost]]/Data[[#This Row],[DAL Consumption]]</f>
        <v>0.78303341902313628</v>
      </c>
      <c r="AN240" s="919">
        <f>Data[[#This Row],[UAL Fuel Cost]]/Data[[#This Row],[UALConsumption]]</f>
        <v>0.90790326808205379</v>
      </c>
      <c r="AO240" s="919">
        <f>IFERROR(Data[[#This Row],[LUV Fuel Cost]]/Data[[#This Row],[LUV Consumption]],0)</f>
        <v>0</v>
      </c>
      <c r="AP240" s="783"/>
      <c r="AQ240" s="783"/>
      <c r="AR240" s="253"/>
      <c r="AS240" s="253"/>
      <c r="AT240" s="253"/>
      <c r="AU240" s="253"/>
    </row>
    <row r="241" spans="1:47" ht="10.5" customHeight="1">
      <c r="A241" s="263">
        <v>37894</v>
      </c>
      <c r="B241" s="263" t="s">
        <v>537</v>
      </c>
      <c r="C241" s="277">
        <v>11.038582999999999</v>
      </c>
      <c r="D241" s="277">
        <v>4.294746</v>
      </c>
      <c r="E241" s="277">
        <v>2.470132</v>
      </c>
      <c r="F241" s="277">
        <v>3.9307609999999999</v>
      </c>
      <c r="G241" s="277">
        <v>0</v>
      </c>
      <c r="H241" s="284">
        <f t="shared" si="15"/>
        <v>0.34294399999999925</v>
      </c>
      <c r="I241" s="277">
        <v>8.2915580000000002</v>
      </c>
      <c r="J241" s="277">
        <v>2.981061</v>
      </c>
      <c r="K241" s="277">
        <v>1.889135</v>
      </c>
      <c r="L241" s="277">
        <v>3.2170670000000001</v>
      </c>
      <c r="M241" s="277">
        <v>0</v>
      </c>
      <c r="N241" s="284">
        <f t="shared" si="16"/>
        <v>0.20429500000000012</v>
      </c>
      <c r="O241" s="277">
        <v>9.4546469999999996</v>
      </c>
      <c r="P241" s="277">
        <v>1.244953</v>
      </c>
      <c r="Q241" s="277">
        <v>0.53276900000000005</v>
      </c>
      <c r="R241" s="277">
        <v>0.75438899999999998</v>
      </c>
      <c r="S241" s="920">
        <v>0</v>
      </c>
      <c r="T241" s="874">
        <f t="shared" si="17"/>
        <v>6.9225359999999991</v>
      </c>
      <c r="U241" s="920">
        <v>2538.5986666666663</v>
      </c>
      <c r="V241" s="920">
        <v>497.14566666666673</v>
      </c>
      <c r="W241" s="920">
        <v>248.95900000000003</v>
      </c>
      <c r="X241" s="920">
        <v>387.88633333333337</v>
      </c>
      <c r="Y241" s="920">
        <v>0</v>
      </c>
      <c r="Z241" s="874">
        <f t="shared" si="18"/>
        <v>1404.6076666666663</v>
      </c>
      <c r="AA241" s="920">
        <v>389.5</v>
      </c>
      <c r="AB241" s="920">
        <v>69.971999999999994</v>
      </c>
      <c r="AC241" s="920">
        <v>42.405000000000001</v>
      </c>
      <c r="AD241" s="920">
        <v>82.125</v>
      </c>
      <c r="AE241" s="920">
        <v>0</v>
      </c>
      <c r="AF241" s="920">
        <v>317.10000000000002</v>
      </c>
      <c r="AG241" s="920">
        <v>60.033000000000001</v>
      </c>
      <c r="AH241" s="920">
        <v>33.006</v>
      </c>
      <c r="AI241" s="920">
        <v>62.726999999999997</v>
      </c>
      <c r="AJ241" s="920">
        <v>0</v>
      </c>
      <c r="AK241" s="919">
        <f>Data[[#This Row],[Industry Cost ($m)]]/Data[[#This Row],[Industry Consumption]]</f>
        <v>0.8141206675224647</v>
      </c>
      <c r="AL241" s="919">
        <f>Data[[#This Row],[AAL Fuel Cost]]/Data[[#This Row],[AAL Consumption]]</f>
        <v>0.85795746870176648</v>
      </c>
      <c r="AM241" s="919">
        <f>Data[[#This Row],[DAL Fuel Cost]]/Data[[#This Row],[DAL Consumption]]</f>
        <v>0.77835160948001414</v>
      </c>
      <c r="AN241" s="919">
        <f>Data[[#This Row],[UAL Fuel Cost]]/Data[[#This Row],[UALConsumption]]</f>
        <v>0.7637990867579908</v>
      </c>
      <c r="AO241" s="919">
        <f>IFERROR(Data[[#This Row],[LUV Fuel Cost]]/Data[[#This Row],[LUV Consumption]],0)</f>
        <v>0</v>
      </c>
      <c r="AP241" s="783"/>
      <c r="AQ241" s="783"/>
      <c r="AR241" s="253"/>
      <c r="AS241" s="253"/>
      <c r="AT241" s="253"/>
      <c r="AU241" s="253"/>
    </row>
    <row r="242" spans="1:47" ht="10.5" customHeight="1">
      <c r="A242" s="263">
        <v>37925</v>
      </c>
      <c r="B242" s="263" t="s">
        <v>537</v>
      </c>
      <c r="C242" s="277">
        <v>11.161648</v>
      </c>
      <c r="D242" s="277">
        <v>4.343985</v>
      </c>
      <c r="E242" s="277">
        <v>2.3625729999999998</v>
      </c>
      <c r="F242" s="277">
        <v>4.0875000000000004</v>
      </c>
      <c r="G242" s="277">
        <v>0</v>
      </c>
      <c r="H242" s="284">
        <f t="shared" si="15"/>
        <v>0.36758999999999986</v>
      </c>
      <c r="I242" s="277">
        <v>8.3545850000000002</v>
      </c>
      <c r="J242" s="277">
        <v>2.9898319999999998</v>
      </c>
      <c r="K242" s="277">
        <v>1.8154539999999999</v>
      </c>
      <c r="L242" s="277">
        <v>3.3033429999999999</v>
      </c>
      <c r="M242" s="277">
        <v>0</v>
      </c>
      <c r="N242" s="284">
        <f t="shared" si="16"/>
        <v>0.24595599999999962</v>
      </c>
      <c r="O242" s="277">
        <v>9.6083580000000008</v>
      </c>
      <c r="P242" s="277">
        <v>1.273217</v>
      </c>
      <c r="Q242" s="277">
        <v>0.53698199999999996</v>
      </c>
      <c r="R242" s="277">
        <v>0.76613299999999995</v>
      </c>
      <c r="S242" s="920">
        <v>0</v>
      </c>
      <c r="T242" s="874">
        <f t="shared" si="17"/>
        <v>7.032026000000001</v>
      </c>
      <c r="U242" s="920">
        <v>2466.1800000000003</v>
      </c>
      <c r="V242" s="920">
        <v>459.7093333333334</v>
      </c>
      <c r="W242" s="920">
        <v>223.43933333333334</v>
      </c>
      <c r="X242" s="920">
        <v>376.46066666666667</v>
      </c>
      <c r="Y242" s="920">
        <v>0</v>
      </c>
      <c r="Z242" s="874">
        <f t="shared" si="18"/>
        <v>1406.570666666667</v>
      </c>
      <c r="AA242" s="920">
        <v>383.4</v>
      </c>
      <c r="AB242" s="920">
        <v>70.808000000000007</v>
      </c>
      <c r="AC242" s="920">
        <v>41.353000000000002</v>
      </c>
      <c r="AD242" s="920">
        <v>75.096999999999994</v>
      </c>
      <c r="AE242" s="920">
        <v>0</v>
      </c>
      <c r="AF242" s="920">
        <v>328.2</v>
      </c>
      <c r="AG242" s="920">
        <v>60.502000000000002</v>
      </c>
      <c r="AH242" s="920">
        <v>33.738</v>
      </c>
      <c r="AI242" s="920">
        <v>68.307000000000002</v>
      </c>
      <c r="AJ242" s="920">
        <v>0</v>
      </c>
      <c r="AK242" s="919">
        <f>Data[[#This Row],[Industry Cost ($m)]]/Data[[#This Row],[Industry Consumption]]</f>
        <v>0.8560250391236307</v>
      </c>
      <c r="AL242" s="919">
        <f>Data[[#This Row],[AAL Fuel Cost]]/Data[[#This Row],[AAL Consumption]]</f>
        <v>0.85445147440967117</v>
      </c>
      <c r="AM242" s="919">
        <f>Data[[#This Row],[DAL Fuel Cost]]/Data[[#This Row],[DAL Consumption]]</f>
        <v>0.81585374700747226</v>
      </c>
      <c r="AN242" s="919">
        <f>Data[[#This Row],[UAL Fuel Cost]]/Data[[#This Row],[UALConsumption]]</f>
        <v>0.90958360520393633</v>
      </c>
      <c r="AO242" s="919">
        <f>IFERROR(Data[[#This Row],[LUV Fuel Cost]]/Data[[#This Row],[LUV Consumption]],0)</f>
        <v>0</v>
      </c>
      <c r="AP242" s="783"/>
      <c r="AQ242" s="783"/>
      <c r="AR242" s="253"/>
      <c r="AS242" s="253"/>
      <c r="AT242" s="253"/>
      <c r="AU242" s="253"/>
    </row>
    <row r="243" spans="1:47" ht="10.5" customHeight="1">
      <c r="A243" s="263">
        <v>37955</v>
      </c>
      <c r="B243" s="263" t="s">
        <v>537</v>
      </c>
      <c r="C243" s="277">
        <v>10.763500000000001</v>
      </c>
      <c r="D243" s="277">
        <v>4.2581899999999999</v>
      </c>
      <c r="E243" s="277">
        <v>2.1861869999999999</v>
      </c>
      <c r="F243" s="277">
        <v>3.883162</v>
      </c>
      <c r="G243" s="277">
        <v>0</v>
      </c>
      <c r="H243" s="284">
        <f t="shared" si="15"/>
        <v>0.43596100000000071</v>
      </c>
      <c r="I243" s="277">
        <v>8.1536749999999998</v>
      </c>
      <c r="J243" s="277">
        <v>3.0322209999999998</v>
      </c>
      <c r="K243" s="277">
        <v>1.6465620000000001</v>
      </c>
      <c r="L243" s="277">
        <v>3.1800320000000002</v>
      </c>
      <c r="M243" s="277">
        <v>0</v>
      </c>
      <c r="N243" s="284">
        <f t="shared" si="16"/>
        <v>0.2948599999999999</v>
      </c>
      <c r="O243" s="277">
        <v>9.4818859999999994</v>
      </c>
      <c r="P243" s="277">
        <v>1.3361099999999999</v>
      </c>
      <c r="Q243" s="277">
        <v>0.50168500000000005</v>
      </c>
      <c r="R243" s="277">
        <v>0.72351299999999996</v>
      </c>
      <c r="S243" s="920">
        <v>0</v>
      </c>
      <c r="T243" s="874">
        <f t="shared" si="17"/>
        <v>6.920577999999999</v>
      </c>
      <c r="U243" s="920">
        <v>2466.1800000000003</v>
      </c>
      <c r="V243" s="920">
        <v>459.7093333333334</v>
      </c>
      <c r="W243" s="920">
        <v>223.43933333333334</v>
      </c>
      <c r="X243" s="920">
        <v>376.46066666666667</v>
      </c>
      <c r="Y243" s="920">
        <v>0</v>
      </c>
      <c r="Z243" s="874">
        <f t="shared" si="18"/>
        <v>1406.570666666667</v>
      </c>
      <c r="AA243" s="920">
        <v>360.4</v>
      </c>
      <c r="AB243" s="920">
        <v>69.769000000000005</v>
      </c>
      <c r="AC243" s="920">
        <v>38.265999999999998</v>
      </c>
      <c r="AD243" s="920">
        <v>72.811999999999998</v>
      </c>
      <c r="AE243" s="920">
        <v>0</v>
      </c>
      <c r="AF243" s="920">
        <v>317.5</v>
      </c>
      <c r="AG243" s="920">
        <v>62.438000000000002</v>
      </c>
      <c r="AH243" s="920">
        <v>30.686</v>
      </c>
      <c r="AI243" s="920">
        <v>66.105000000000004</v>
      </c>
      <c r="AJ243" s="920">
        <v>0</v>
      </c>
      <c r="AK243" s="919">
        <f>Data[[#This Row],[Industry Cost ($m)]]/Data[[#This Row],[Industry Consumption]]</f>
        <v>0.88096559378468375</v>
      </c>
      <c r="AL243" s="919">
        <f>Data[[#This Row],[AAL Fuel Cost]]/Data[[#This Row],[AAL Consumption]]</f>
        <v>0.89492468001547965</v>
      </c>
      <c r="AM243" s="919">
        <f>Data[[#This Row],[DAL Fuel Cost]]/Data[[#This Row],[DAL Consumption]]</f>
        <v>0.80191292531228775</v>
      </c>
      <c r="AN243" s="919">
        <f>Data[[#This Row],[UAL Fuel Cost]]/Data[[#This Row],[UALConsumption]]</f>
        <v>0.90788606273691164</v>
      </c>
      <c r="AO243" s="919">
        <f>IFERROR(Data[[#This Row],[LUV Fuel Cost]]/Data[[#This Row],[LUV Consumption]],0)</f>
        <v>0</v>
      </c>
      <c r="AP243" s="783"/>
      <c r="AQ243" s="783"/>
      <c r="AR243" s="253"/>
      <c r="AS243" s="253"/>
      <c r="AT243" s="253"/>
      <c r="AU243" s="253"/>
    </row>
    <row r="244" spans="1:47" ht="10.5" customHeight="1">
      <c r="A244" s="263">
        <v>37986</v>
      </c>
      <c r="B244" s="263" t="s">
        <v>537</v>
      </c>
      <c r="C244" s="277">
        <v>11.242015</v>
      </c>
      <c r="D244" s="277">
        <v>4.4947520000000001</v>
      </c>
      <c r="E244" s="277">
        <v>2.2542209999999998</v>
      </c>
      <c r="F244" s="277">
        <v>4.0121120000000001</v>
      </c>
      <c r="G244" s="277">
        <v>0</v>
      </c>
      <c r="H244" s="284">
        <f t="shared" si="15"/>
        <v>0.48093000000000075</v>
      </c>
      <c r="I244" s="277">
        <v>8.8748310000000004</v>
      </c>
      <c r="J244" s="277">
        <v>3.4093520000000002</v>
      </c>
      <c r="K244" s="277">
        <v>1.772599</v>
      </c>
      <c r="L244" s="277">
        <v>3.3581089999999998</v>
      </c>
      <c r="M244" s="277">
        <v>0</v>
      </c>
      <c r="N244" s="284">
        <f t="shared" si="16"/>
        <v>0.33477099999999993</v>
      </c>
      <c r="O244" s="277">
        <v>10.512547</v>
      </c>
      <c r="P244" s="277">
        <v>1.531539</v>
      </c>
      <c r="Q244" s="277">
        <v>0.54634400000000005</v>
      </c>
      <c r="R244" s="277">
        <v>0.77134000000000003</v>
      </c>
      <c r="S244" s="920">
        <v>0</v>
      </c>
      <c r="T244" s="874">
        <f t="shared" si="17"/>
        <v>7.6633239999999994</v>
      </c>
      <c r="U244" s="920">
        <v>2466.1800000000003</v>
      </c>
      <c r="V244" s="920">
        <v>459.7093333333334</v>
      </c>
      <c r="W244" s="920">
        <v>223.43933333333334</v>
      </c>
      <c r="X244" s="920">
        <v>376.46066666666667</v>
      </c>
      <c r="Y244" s="920">
        <v>0</v>
      </c>
      <c r="Z244" s="874">
        <f t="shared" si="18"/>
        <v>1406.570666666667</v>
      </c>
      <c r="AA244" s="920">
        <v>368.9</v>
      </c>
      <c r="AB244" s="920">
        <v>73.248000000000005</v>
      </c>
      <c r="AC244" s="920">
        <v>39.683</v>
      </c>
      <c r="AD244" s="920">
        <v>74.614000000000004</v>
      </c>
      <c r="AE244" s="920">
        <v>0</v>
      </c>
      <c r="AF244" s="920">
        <v>339.8</v>
      </c>
      <c r="AG244" s="920">
        <v>68.994</v>
      </c>
      <c r="AH244" s="920">
        <v>33.936999999999998</v>
      </c>
      <c r="AI244" s="920">
        <v>71.11</v>
      </c>
      <c r="AJ244" s="920">
        <v>0</v>
      </c>
      <c r="AK244" s="919">
        <f>Data[[#This Row],[Industry Cost ($m)]]/Data[[#This Row],[Industry Consumption]]</f>
        <v>0.9211168338303064</v>
      </c>
      <c r="AL244" s="919">
        <f>Data[[#This Row],[AAL Fuel Cost]]/Data[[#This Row],[AAL Consumption]]</f>
        <v>0.94192332896461328</v>
      </c>
      <c r="AM244" s="919">
        <f>Data[[#This Row],[DAL Fuel Cost]]/Data[[#This Row],[DAL Consumption]]</f>
        <v>0.85520247965123597</v>
      </c>
      <c r="AN244" s="919">
        <f>Data[[#This Row],[UAL Fuel Cost]]/Data[[#This Row],[UALConsumption]]</f>
        <v>0.95303830380357568</v>
      </c>
      <c r="AO244" s="919">
        <f>IFERROR(Data[[#This Row],[LUV Fuel Cost]]/Data[[#This Row],[LUV Consumption]],0)</f>
        <v>0</v>
      </c>
      <c r="AP244" s="783"/>
      <c r="AQ244" s="783"/>
      <c r="AR244" s="253"/>
      <c r="AS244" s="253"/>
      <c r="AT244" s="253"/>
      <c r="AU244" s="253"/>
    </row>
    <row r="245" spans="1:47" ht="10.5" customHeight="1">
      <c r="A245" s="263">
        <v>38017</v>
      </c>
      <c r="B245" s="263" t="s">
        <v>537</v>
      </c>
      <c r="C245" s="277">
        <v>11.318180999999999</v>
      </c>
      <c r="D245" s="277">
        <v>4.60114</v>
      </c>
      <c r="E245" s="277">
        <v>2.1826149999999997</v>
      </c>
      <c r="F245" s="277">
        <v>4.0414899999999996</v>
      </c>
      <c r="G245" s="277">
        <v>0</v>
      </c>
      <c r="H245" s="284">
        <f t="shared" si="15"/>
        <v>0.49293600000000026</v>
      </c>
      <c r="I245" s="277">
        <v>8.4755500000000001</v>
      </c>
      <c r="J245" s="277">
        <v>3.3043650000000002</v>
      </c>
      <c r="K245" s="277">
        <v>1.615081</v>
      </c>
      <c r="L245" s="277">
        <v>3.2142010000000001</v>
      </c>
      <c r="M245" s="277">
        <v>0</v>
      </c>
      <c r="N245" s="284">
        <f t="shared" si="16"/>
        <v>0.34190300000000029</v>
      </c>
      <c r="O245" s="277">
        <v>10.252443</v>
      </c>
      <c r="P245" s="277">
        <v>1.4726999999999999</v>
      </c>
      <c r="Q245" s="277">
        <v>0.505444</v>
      </c>
      <c r="R245" s="277">
        <v>0.73257899999999998</v>
      </c>
      <c r="S245" s="920">
        <v>0</v>
      </c>
      <c r="T245" s="874">
        <f t="shared" si="17"/>
        <v>7.5417199999999998</v>
      </c>
      <c r="U245" s="920">
        <v>2582.5483333333336</v>
      </c>
      <c r="V245" s="920">
        <v>489.74166666666673</v>
      </c>
      <c r="W245" s="920">
        <v>209.34366666666668</v>
      </c>
      <c r="X245" s="920">
        <v>401.20266666666663</v>
      </c>
      <c r="Y245" s="920">
        <v>0</v>
      </c>
      <c r="Z245" s="874">
        <f t="shared" si="18"/>
        <v>1482.2603333333336</v>
      </c>
      <c r="AA245" s="920">
        <v>371.3</v>
      </c>
      <c r="AB245" s="920">
        <v>74.445999999999998</v>
      </c>
      <c r="AC245" s="920">
        <v>37.667000000000002</v>
      </c>
      <c r="AD245" s="920">
        <v>82.575999999999993</v>
      </c>
      <c r="AE245" s="920">
        <v>0</v>
      </c>
      <c r="AF245" s="920">
        <v>368.9</v>
      </c>
      <c r="AG245" s="920">
        <v>73.474000000000004</v>
      </c>
      <c r="AH245" s="920">
        <v>34.591000000000001</v>
      </c>
      <c r="AI245" s="920">
        <v>83.343999999999994</v>
      </c>
      <c r="AJ245" s="920">
        <v>0</v>
      </c>
      <c r="AK245" s="919">
        <f>Data[[#This Row],[Industry Cost ($m)]]/Data[[#This Row],[Industry Consumption]]</f>
        <v>0.99353622407756526</v>
      </c>
      <c r="AL245" s="919">
        <f>Data[[#This Row],[AAL Fuel Cost]]/Data[[#This Row],[AAL Consumption]]</f>
        <v>0.98694355640329912</v>
      </c>
      <c r="AM245" s="919">
        <f>Data[[#This Row],[DAL Fuel Cost]]/Data[[#This Row],[DAL Consumption]]</f>
        <v>0.91833700586720468</v>
      </c>
      <c r="AN245" s="919">
        <f>Data[[#This Row],[UAL Fuel Cost]]/Data[[#This Row],[UALConsumption]]</f>
        <v>1.0093005231544274</v>
      </c>
      <c r="AO245" s="919">
        <f>IFERROR(Data[[#This Row],[LUV Fuel Cost]]/Data[[#This Row],[LUV Consumption]],0)</f>
        <v>0</v>
      </c>
      <c r="AP245" s="783"/>
      <c r="AQ245" s="783"/>
      <c r="AR245" s="253"/>
      <c r="AS245" s="253"/>
      <c r="AT245" s="253"/>
      <c r="AU245" s="253"/>
    </row>
    <row r="246" spans="1:47" ht="10.5" customHeight="1">
      <c r="A246" s="263">
        <v>38046</v>
      </c>
      <c r="B246" s="263" t="s">
        <v>537</v>
      </c>
      <c r="C246" s="277">
        <v>10.597341999999999</v>
      </c>
      <c r="D246" s="277">
        <v>4.3344420000000001</v>
      </c>
      <c r="E246" s="277">
        <v>2.0121089999999997</v>
      </c>
      <c r="F246" s="277">
        <v>3.759566</v>
      </c>
      <c r="G246" s="277">
        <v>0</v>
      </c>
      <c r="H246" s="284">
        <f t="shared" si="15"/>
        <v>0.49122500000000002</v>
      </c>
      <c r="I246" s="277">
        <v>7.5016150000000001</v>
      </c>
      <c r="J246" s="277">
        <v>2.913449</v>
      </c>
      <c r="K246" s="277">
        <v>1.3539870000000001</v>
      </c>
      <c r="L246" s="277">
        <v>2.8787699999999998</v>
      </c>
      <c r="M246" s="277">
        <v>0</v>
      </c>
      <c r="N246" s="284">
        <f t="shared" si="16"/>
        <v>0.35540900000000075</v>
      </c>
      <c r="O246" s="277">
        <v>9.3103169999999995</v>
      </c>
      <c r="P246" s="277">
        <v>1.3355900000000001</v>
      </c>
      <c r="Q246" s="277">
        <v>0.43533699999999997</v>
      </c>
      <c r="R246" s="277">
        <v>0.66922300000000001</v>
      </c>
      <c r="S246" s="920">
        <v>0</v>
      </c>
      <c r="T246" s="874">
        <f t="shared" si="17"/>
        <v>6.8701669999999995</v>
      </c>
      <c r="U246" s="920">
        <v>2582.5483333333336</v>
      </c>
      <c r="V246" s="920">
        <v>489.74166666666673</v>
      </c>
      <c r="W246" s="920">
        <v>209.34366666666668</v>
      </c>
      <c r="X246" s="920">
        <v>401.20266666666663</v>
      </c>
      <c r="Y246" s="920">
        <v>0</v>
      </c>
      <c r="Z246" s="874">
        <f t="shared" si="18"/>
        <v>1482.2603333333336</v>
      </c>
      <c r="AA246" s="920">
        <v>347.1</v>
      </c>
      <c r="AB246" s="920">
        <v>69.334000000000003</v>
      </c>
      <c r="AC246" s="920">
        <v>34.518000000000001</v>
      </c>
      <c r="AD246" s="920">
        <v>66.742000000000004</v>
      </c>
      <c r="AE246" s="920">
        <v>0</v>
      </c>
      <c r="AF246" s="920">
        <v>352.4</v>
      </c>
      <c r="AG246" s="920">
        <v>72.888000000000005</v>
      </c>
      <c r="AH246" s="920">
        <v>31.925999999999998</v>
      </c>
      <c r="AI246" s="920">
        <v>66.760000000000005</v>
      </c>
      <c r="AJ246" s="920">
        <v>0</v>
      </c>
      <c r="AK246" s="919">
        <f>Data[[#This Row],[Industry Cost ($m)]]/Data[[#This Row],[Industry Consumption]]</f>
        <v>1.0152693748199364</v>
      </c>
      <c r="AL246" s="919">
        <f>Data[[#This Row],[AAL Fuel Cost]]/Data[[#This Row],[AAL Consumption]]</f>
        <v>1.0512591225084373</v>
      </c>
      <c r="AM246" s="919">
        <f>Data[[#This Row],[DAL Fuel Cost]]/Data[[#This Row],[DAL Consumption]]</f>
        <v>0.92490874326438377</v>
      </c>
      <c r="AN246" s="919">
        <f>Data[[#This Row],[UAL Fuel Cost]]/Data[[#This Row],[UALConsumption]]</f>
        <v>1.0002696952443739</v>
      </c>
      <c r="AO246" s="919">
        <f>IFERROR(Data[[#This Row],[LUV Fuel Cost]]/Data[[#This Row],[LUV Consumption]],0)</f>
        <v>0</v>
      </c>
      <c r="AP246" s="783"/>
      <c r="AQ246" s="783"/>
      <c r="AR246" s="253"/>
      <c r="AS246" s="253"/>
      <c r="AT246" s="253"/>
      <c r="AU246" s="253"/>
    </row>
    <row r="247" spans="1:47" ht="10.5" customHeight="1">
      <c r="A247" s="263">
        <v>38077</v>
      </c>
      <c r="B247" s="263" t="s">
        <v>537</v>
      </c>
      <c r="C247" s="277">
        <v>11.426667999999999</v>
      </c>
      <c r="D247" s="277">
        <v>4.6459299999999999</v>
      </c>
      <c r="E247" s="277">
        <v>2.203703</v>
      </c>
      <c r="F247" s="277">
        <v>4.029509</v>
      </c>
      <c r="G247" s="277">
        <v>0</v>
      </c>
      <c r="H247" s="284">
        <f t="shared" si="15"/>
        <v>0.54752599999999951</v>
      </c>
      <c r="I247" s="277">
        <v>9.0659469999999995</v>
      </c>
      <c r="J247" s="277">
        <v>3.4661240000000002</v>
      </c>
      <c r="K247" s="277">
        <v>1.789501</v>
      </c>
      <c r="L247" s="277">
        <v>3.4198849999999998</v>
      </c>
      <c r="M247" s="277">
        <v>0</v>
      </c>
      <c r="N247" s="284">
        <f t="shared" si="16"/>
        <v>0.39043700000000037</v>
      </c>
      <c r="O247" s="277">
        <v>10.97644</v>
      </c>
      <c r="P247" s="277">
        <v>1.5344819999999999</v>
      </c>
      <c r="Q247" s="277">
        <v>0.55443600000000004</v>
      </c>
      <c r="R247" s="277">
        <v>0.793659</v>
      </c>
      <c r="S247" s="920">
        <v>0</v>
      </c>
      <c r="T247" s="874">
        <f t="shared" si="17"/>
        <v>8.0938630000000007</v>
      </c>
      <c r="U247" s="920">
        <v>2582.5483333333336</v>
      </c>
      <c r="V247" s="920">
        <v>489.74166666666673</v>
      </c>
      <c r="W247" s="920">
        <v>209.34366666666668</v>
      </c>
      <c r="X247" s="920">
        <v>401.20266666666663</v>
      </c>
      <c r="Y247" s="920">
        <v>0</v>
      </c>
      <c r="Z247" s="874">
        <f t="shared" si="18"/>
        <v>1482.2603333333336</v>
      </c>
      <c r="AA247" s="920">
        <v>373.6</v>
      </c>
      <c r="AB247" s="920">
        <v>65.688000000000002</v>
      </c>
      <c r="AC247" s="920">
        <v>37.259</v>
      </c>
      <c r="AD247" s="920">
        <v>76.971999999999994</v>
      </c>
      <c r="AE247" s="920">
        <v>0</v>
      </c>
      <c r="AF247" s="920">
        <v>394.5</v>
      </c>
      <c r="AG247" s="920">
        <v>75.686000000000007</v>
      </c>
      <c r="AH247" s="920">
        <v>35.100999999999999</v>
      </c>
      <c r="AI247" s="920">
        <v>76.73</v>
      </c>
      <c r="AJ247" s="920">
        <v>0</v>
      </c>
      <c r="AK247" s="919">
        <f>Data[[#This Row],[Industry Cost ($m)]]/Data[[#This Row],[Industry Consumption]]</f>
        <v>1.0559421841541756</v>
      </c>
      <c r="AL247" s="919">
        <f>Data[[#This Row],[AAL Fuel Cost]]/Data[[#This Row],[AAL Consumption]]</f>
        <v>1.1522043600048715</v>
      </c>
      <c r="AM247" s="919">
        <f>Data[[#This Row],[DAL Fuel Cost]]/Data[[#This Row],[DAL Consumption]]</f>
        <v>0.94208110792023403</v>
      </c>
      <c r="AN247" s="919">
        <f>Data[[#This Row],[UAL Fuel Cost]]/Data[[#This Row],[UALConsumption]]</f>
        <v>0.99685599958426452</v>
      </c>
      <c r="AO247" s="919">
        <f>IFERROR(Data[[#This Row],[LUV Fuel Cost]]/Data[[#This Row],[LUV Consumption]],0)</f>
        <v>0</v>
      </c>
      <c r="AP247" s="783"/>
      <c r="AQ247" s="783"/>
      <c r="AR247" s="253"/>
      <c r="AS247" s="253"/>
      <c r="AT247" s="253"/>
      <c r="AU247" s="253"/>
    </row>
    <row r="248" spans="1:47" ht="10.5" customHeight="1">
      <c r="A248" s="263">
        <v>38107</v>
      </c>
      <c r="B248" s="263" t="s">
        <v>537</v>
      </c>
      <c r="C248" s="277">
        <v>11.619158000000001</v>
      </c>
      <c r="D248" s="277">
        <v>4.6704480000000004</v>
      </c>
      <c r="E248" s="277">
        <v>2.5086280000000003</v>
      </c>
      <c r="F248" s="277">
        <v>3.9300450000000002</v>
      </c>
      <c r="G248" s="277">
        <v>0</v>
      </c>
      <c r="H248" s="284">
        <f t="shared" si="15"/>
        <v>0.51003700000000052</v>
      </c>
      <c r="I248" s="277">
        <v>8.9441229999999994</v>
      </c>
      <c r="J248" s="277">
        <v>3.4066869999999998</v>
      </c>
      <c r="K248" s="277">
        <v>1.9719819999999999</v>
      </c>
      <c r="L248" s="277">
        <v>3.197289</v>
      </c>
      <c r="M248" s="277">
        <v>0</v>
      </c>
      <c r="N248" s="284">
        <f t="shared" si="16"/>
        <v>0.36816499999999941</v>
      </c>
      <c r="O248" s="277">
        <v>10.802021999999999</v>
      </c>
      <c r="P248" s="277">
        <v>1.515225</v>
      </c>
      <c r="Q248" s="277">
        <v>0.60230600000000001</v>
      </c>
      <c r="R248" s="277">
        <v>0.74499899999999997</v>
      </c>
      <c r="S248" s="920">
        <v>0</v>
      </c>
      <c r="T248" s="874">
        <f t="shared" si="17"/>
        <v>7.9394919999999995</v>
      </c>
      <c r="U248" s="920">
        <v>2812.232</v>
      </c>
      <c r="V248" s="920">
        <v>541.49533333333329</v>
      </c>
      <c r="W248" s="920">
        <v>277.20766666666663</v>
      </c>
      <c r="X248" s="920">
        <v>421.69166666666661</v>
      </c>
      <c r="Y248" s="920">
        <v>0</v>
      </c>
      <c r="Z248" s="874">
        <f t="shared" si="18"/>
        <v>1571.8373333333334</v>
      </c>
      <c r="AA248" s="920">
        <v>380.9</v>
      </c>
      <c r="AB248" s="920">
        <v>74.941999999999993</v>
      </c>
      <c r="AC248" s="920">
        <v>41.679000000000002</v>
      </c>
      <c r="AD248" s="920">
        <v>74.575000000000003</v>
      </c>
      <c r="AE248" s="920">
        <v>0</v>
      </c>
      <c r="AF248" s="920">
        <v>393.6</v>
      </c>
      <c r="AG248" s="920">
        <v>79.742999999999995</v>
      </c>
      <c r="AH248" s="920">
        <v>40.057000000000002</v>
      </c>
      <c r="AI248" s="920">
        <v>77.581999999999994</v>
      </c>
      <c r="AJ248" s="920">
        <v>0</v>
      </c>
      <c r="AK248" s="919">
        <f>Data[[#This Row],[Industry Cost ($m)]]/Data[[#This Row],[Industry Consumption]]</f>
        <v>1.0333420845366239</v>
      </c>
      <c r="AL248" s="919">
        <f>Data[[#This Row],[AAL Fuel Cost]]/Data[[#This Row],[AAL Consumption]]</f>
        <v>1.0640628752902244</v>
      </c>
      <c r="AM248" s="919">
        <f>Data[[#This Row],[DAL Fuel Cost]]/Data[[#This Row],[DAL Consumption]]</f>
        <v>0.96108351927829361</v>
      </c>
      <c r="AN248" s="919">
        <f>Data[[#This Row],[UAL Fuel Cost]]/Data[[#This Row],[UALConsumption]]</f>
        <v>1.0403218236674487</v>
      </c>
      <c r="AO248" s="919">
        <f>IFERROR(Data[[#This Row],[LUV Fuel Cost]]/Data[[#This Row],[LUV Consumption]],0)</f>
        <v>0</v>
      </c>
      <c r="AP248" s="783"/>
      <c r="AQ248" s="783"/>
      <c r="AR248" s="253"/>
      <c r="AS248" s="253"/>
      <c r="AT248" s="253"/>
      <c r="AU248" s="253"/>
    </row>
    <row r="249" spans="1:47" ht="10.5" customHeight="1">
      <c r="A249" s="263">
        <v>38138</v>
      </c>
      <c r="B249" s="263" t="s">
        <v>537</v>
      </c>
      <c r="C249" s="277">
        <v>12.221123</v>
      </c>
      <c r="D249" s="277">
        <v>4.9805799999999998</v>
      </c>
      <c r="E249" s="277">
        <v>2.7862959999999997</v>
      </c>
      <c r="F249" s="277">
        <v>3.962634</v>
      </c>
      <c r="G249" s="277">
        <v>0</v>
      </c>
      <c r="H249" s="284">
        <f t="shared" si="15"/>
        <v>0.49161300000000097</v>
      </c>
      <c r="I249" s="277">
        <v>9.4116339999999994</v>
      </c>
      <c r="J249" s="277">
        <v>3.5568620000000002</v>
      </c>
      <c r="K249" s="277">
        <v>2.165943</v>
      </c>
      <c r="L249" s="277">
        <v>3.3346499999999999</v>
      </c>
      <c r="M249" s="277">
        <v>0</v>
      </c>
      <c r="N249" s="284">
        <f t="shared" si="16"/>
        <v>0.35417899999999847</v>
      </c>
      <c r="O249" s="277">
        <v>10.971254</v>
      </c>
      <c r="P249" s="277">
        <v>1.4804619999999999</v>
      </c>
      <c r="Q249" s="277">
        <v>0.63644699999999998</v>
      </c>
      <c r="R249" s="277">
        <v>0.77227800000000002</v>
      </c>
      <c r="S249" s="920">
        <v>0</v>
      </c>
      <c r="T249" s="874">
        <f t="shared" si="17"/>
        <v>8.0820670000000003</v>
      </c>
      <c r="U249" s="920">
        <v>2812.232</v>
      </c>
      <c r="V249" s="920">
        <v>541.49533333333329</v>
      </c>
      <c r="W249" s="920">
        <v>277.20766666666663</v>
      </c>
      <c r="X249" s="920">
        <v>421.69166666666661</v>
      </c>
      <c r="Y249" s="920">
        <v>0</v>
      </c>
      <c r="Z249" s="874">
        <f t="shared" si="18"/>
        <v>1571.8373333333334</v>
      </c>
      <c r="AA249" s="920">
        <v>402.4</v>
      </c>
      <c r="AB249" s="920">
        <v>80.12</v>
      </c>
      <c r="AC249" s="920">
        <v>46.198</v>
      </c>
      <c r="AD249" s="920">
        <v>74.150999999999996</v>
      </c>
      <c r="AE249" s="920">
        <v>0</v>
      </c>
      <c r="AF249" s="920">
        <v>443.9</v>
      </c>
      <c r="AG249" s="920">
        <v>86.914000000000001</v>
      </c>
      <c r="AH249" s="920">
        <v>47.988999999999997</v>
      </c>
      <c r="AI249" s="920">
        <v>82.263000000000005</v>
      </c>
      <c r="AJ249" s="920">
        <v>0</v>
      </c>
      <c r="AK249" s="919">
        <f>Data[[#This Row],[Industry Cost ($m)]]/Data[[#This Row],[Industry Consumption]]</f>
        <v>1.1031312127236581</v>
      </c>
      <c r="AL249" s="919">
        <f>Data[[#This Row],[AAL Fuel Cost]]/Data[[#This Row],[AAL Consumption]]</f>
        <v>1.0847978032950574</v>
      </c>
      <c r="AM249" s="919">
        <f>Data[[#This Row],[DAL Fuel Cost]]/Data[[#This Row],[DAL Consumption]]</f>
        <v>1.0387679120308237</v>
      </c>
      <c r="AN249" s="919">
        <f>Data[[#This Row],[UAL Fuel Cost]]/Data[[#This Row],[UALConsumption]]</f>
        <v>1.1093983897722217</v>
      </c>
      <c r="AO249" s="919">
        <f>IFERROR(Data[[#This Row],[LUV Fuel Cost]]/Data[[#This Row],[LUV Consumption]],0)</f>
        <v>0</v>
      </c>
      <c r="AP249" s="783"/>
      <c r="AQ249" s="783"/>
      <c r="AR249" s="253"/>
      <c r="AS249" s="253"/>
      <c r="AT249" s="253"/>
      <c r="AU249" s="253"/>
    </row>
    <row r="250" spans="1:47" ht="10.5" customHeight="1">
      <c r="A250" s="263">
        <v>38168</v>
      </c>
      <c r="B250" s="263" t="s">
        <v>537</v>
      </c>
      <c r="C250" s="277">
        <v>12.58128</v>
      </c>
      <c r="D250" s="277">
        <v>5.0855870000000003</v>
      </c>
      <c r="E250" s="277">
        <v>2.844865</v>
      </c>
      <c r="F250" s="277">
        <v>4.0903220000000005</v>
      </c>
      <c r="G250" s="277">
        <v>0</v>
      </c>
      <c r="H250" s="284">
        <f t="shared" si="15"/>
        <v>0.56050599999999839</v>
      </c>
      <c r="I250" s="277">
        <v>10.438181999999999</v>
      </c>
      <c r="J250" s="277">
        <v>3.911727</v>
      </c>
      <c r="K250" s="277">
        <v>2.4645480000000002</v>
      </c>
      <c r="L250" s="277">
        <v>3.6554570000000002</v>
      </c>
      <c r="M250" s="277">
        <v>0</v>
      </c>
      <c r="N250" s="284">
        <f t="shared" si="16"/>
        <v>0.40644999999999953</v>
      </c>
      <c r="O250" s="277">
        <v>12.159514</v>
      </c>
      <c r="P250" s="277">
        <v>1.6553850000000001</v>
      </c>
      <c r="Q250" s="277">
        <v>0.72766900000000001</v>
      </c>
      <c r="R250" s="277">
        <v>0.85651100000000002</v>
      </c>
      <c r="S250" s="920">
        <v>0</v>
      </c>
      <c r="T250" s="874">
        <f t="shared" si="17"/>
        <v>8.919948999999999</v>
      </c>
      <c r="U250" s="920">
        <v>2812.232</v>
      </c>
      <c r="V250" s="920">
        <v>541.49533333333329</v>
      </c>
      <c r="W250" s="920">
        <v>277.20766666666663</v>
      </c>
      <c r="X250" s="920">
        <v>421.69166666666661</v>
      </c>
      <c r="Y250" s="920">
        <v>0</v>
      </c>
      <c r="Z250" s="874">
        <f t="shared" si="18"/>
        <v>1571.8373333333334</v>
      </c>
      <c r="AA250" s="920">
        <v>413</v>
      </c>
      <c r="AB250" s="920">
        <v>80.75</v>
      </c>
      <c r="AC250" s="920">
        <v>48.244999999999997</v>
      </c>
      <c r="AD250" s="920">
        <v>77.251000000000005</v>
      </c>
      <c r="AE250" s="920">
        <v>0</v>
      </c>
      <c r="AF250" s="920">
        <v>465.8</v>
      </c>
      <c r="AG250" s="920">
        <v>88.596000000000004</v>
      </c>
      <c r="AH250" s="920">
        <v>51.578000000000003</v>
      </c>
      <c r="AI250" s="920">
        <v>87.513999999999996</v>
      </c>
      <c r="AJ250" s="920">
        <v>0</v>
      </c>
      <c r="AK250" s="919">
        <f>Data[[#This Row],[Industry Cost ($m)]]/Data[[#This Row],[Industry Consumption]]</f>
        <v>1.1278450363196126</v>
      </c>
      <c r="AL250" s="919">
        <f>Data[[#This Row],[AAL Fuel Cost]]/Data[[#This Row],[AAL Consumption]]</f>
        <v>1.0971640866873065</v>
      </c>
      <c r="AM250" s="919">
        <f>Data[[#This Row],[DAL Fuel Cost]]/Data[[#This Row],[DAL Consumption]]</f>
        <v>1.0690848792620997</v>
      </c>
      <c r="AN250" s="919">
        <f>Data[[#This Row],[UAL Fuel Cost]]/Data[[#This Row],[UALConsumption]]</f>
        <v>1.1328526491566451</v>
      </c>
      <c r="AO250" s="919">
        <f>IFERROR(Data[[#This Row],[LUV Fuel Cost]]/Data[[#This Row],[LUV Consumption]],0)</f>
        <v>0</v>
      </c>
      <c r="AP250" s="783"/>
      <c r="AQ250" s="783"/>
      <c r="AR250" s="253"/>
      <c r="AS250" s="253"/>
      <c r="AT250" s="253"/>
      <c r="AU250" s="253"/>
    </row>
    <row r="251" spans="1:47" ht="10.5" customHeight="1">
      <c r="A251" s="263">
        <v>38199</v>
      </c>
      <c r="B251" s="263" t="s">
        <v>537</v>
      </c>
      <c r="C251" s="277">
        <v>13.435537999999999</v>
      </c>
      <c r="D251" s="277">
        <v>5.5376980000000007</v>
      </c>
      <c r="E251" s="277">
        <v>2.949557</v>
      </c>
      <c r="F251" s="277">
        <v>4.3228929999999997</v>
      </c>
      <c r="G251" s="277">
        <v>0</v>
      </c>
      <c r="H251" s="284">
        <f t="shared" si="15"/>
        <v>0.62538999999999767</v>
      </c>
      <c r="I251" s="277">
        <v>11.119235</v>
      </c>
      <c r="J251" s="277">
        <v>4.4202680000000001</v>
      </c>
      <c r="K251" s="277">
        <v>2.5387900000000001</v>
      </c>
      <c r="L251" s="277">
        <v>3.6966600000000001</v>
      </c>
      <c r="M251" s="277">
        <v>0</v>
      </c>
      <c r="N251" s="284">
        <f t="shared" si="16"/>
        <v>0.46351699999999951</v>
      </c>
      <c r="O251" s="277">
        <v>13.502912999999999</v>
      </c>
      <c r="P251" s="277">
        <v>1.974326</v>
      </c>
      <c r="Q251" s="277">
        <v>0.77044900000000005</v>
      </c>
      <c r="R251" s="277">
        <v>0.87884600000000002</v>
      </c>
      <c r="S251" s="920">
        <v>0</v>
      </c>
      <c r="T251" s="874">
        <f t="shared" si="17"/>
        <v>9.8792919999999995</v>
      </c>
      <c r="U251" s="920">
        <v>3006.377</v>
      </c>
      <c r="V251" s="920">
        <v>587.32666666666671</v>
      </c>
      <c r="W251" s="920">
        <v>283.99099999999999</v>
      </c>
      <c r="X251" s="920">
        <v>467.0796666666667</v>
      </c>
      <c r="Y251" s="920">
        <v>0</v>
      </c>
      <c r="Z251" s="874">
        <f t="shared" si="18"/>
        <v>1667.9796666666666</v>
      </c>
      <c r="AA251" s="920">
        <v>432.1</v>
      </c>
      <c r="AB251" s="920">
        <v>88.938999999999993</v>
      </c>
      <c r="AC251" s="920">
        <v>50.103999999999999</v>
      </c>
      <c r="AD251" s="920">
        <v>81.278000000000006</v>
      </c>
      <c r="AE251" s="920">
        <v>0</v>
      </c>
      <c r="AF251" s="920">
        <v>493.7</v>
      </c>
      <c r="AG251" s="920">
        <v>100.881</v>
      </c>
      <c r="AH251" s="920">
        <v>54.37</v>
      </c>
      <c r="AI251" s="920">
        <v>93.662000000000006</v>
      </c>
      <c r="AJ251" s="920">
        <v>0</v>
      </c>
      <c r="AK251" s="919">
        <f>Data[[#This Row],[Industry Cost ($m)]]/Data[[#This Row],[Industry Consumption]]</f>
        <v>1.1425595926868779</v>
      </c>
      <c r="AL251" s="919">
        <f>Data[[#This Row],[AAL Fuel Cost]]/Data[[#This Row],[AAL Consumption]]</f>
        <v>1.1342718042703426</v>
      </c>
      <c r="AM251" s="919">
        <f>Data[[#This Row],[DAL Fuel Cost]]/Data[[#This Row],[DAL Consumption]]</f>
        <v>1.0851429027622546</v>
      </c>
      <c r="AN251" s="919">
        <f>Data[[#This Row],[UAL Fuel Cost]]/Data[[#This Row],[UALConsumption]]</f>
        <v>1.1523659538866606</v>
      </c>
      <c r="AO251" s="919">
        <f>IFERROR(Data[[#This Row],[LUV Fuel Cost]]/Data[[#This Row],[LUV Consumption]],0)</f>
        <v>0</v>
      </c>
      <c r="AP251" s="783"/>
      <c r="AQ251" s="783"/>
      <c r="AR251" s="253"/>
      <c r="AS251" s="253"/>
      <c r="AT251" s="253"/>
      <c r="AU251" s="253"/>
    </row>
    <row r="252" spans="1:47" ht="10.5" customHeight="1">
      <c r="A252" s="263">
        <v>38230</v>
      </c>
      <c r="B252" s="263" t="s">
        <v>537</v>
      </c>
      <c r="C252" s="277">
        <v>13.372610999999999</v>
      </c>
      <c r="D252" s="277">
        <v>5.4964469999999999</v>
      </c>
      <c r="E252" s="277">
        <v>2.9393000000000002</v>
      </c>
      <c r="F252" s="277">
        <v>4.3201890000000001</v>
      </c>
      <c r="G252" s="277">
        <v>0</v>
      </c>
      <c r="H252" s="284">
        <f t="shared" si="15"/>
        <v>0.61667500000000075</v>
      </c>
      <c r="I252" s="277">
        <v>10.843299999999999</v>
      </c>
      <c r="J252" s="277">
        <v>4.2684430000000004</v>
      </c>
      <c r="K252" s="277">
        <v>2.4158360000000001</v>
      </c>
      <c r="L252" s="277">
        <v>3.6969240000000001</v>
      </c>
      <c r="M252" s="277">
        <v>0</v>
      </c>
      <c r="N252" s="284">
        <f t="shared" si="16"/>
        <v>0.46209699999999998</v>
      </c>
      <c r="O252" s="277">
        <v>13.203566</v>
      </c>
      <c r="P252" s="277">
        <v>1.914936</v>
      </c>
      <c r="Q252" s="277">
        <v>0.73538599999999998</v>
      </c>
      <c r="R252" s="277">
        <v>0.87626499999999996</v>
      </c>
      <c r="S252" s="920">
        <v>0</v>
      </c>
      <c r="T252" s="874">
        <f t="shared" si="17"/>
        <v>9.6769789999999993</v>
      </c>
      <c r="U252" s="920">
        <v>3006.377</v>
      </c>
      <c r="V252" s="920">
        <v>587.32666666666671</v>
      </c>
      <c r="W252" s="920">
        <v>283.99099999999999</v>
      </c>
      <c r="X252" s="920">
        <v>467.0796666666667</v>
      </c>
      <c r="Y252" s="920">
        <v>0</v>
      </c>
      <c r="Z252" s="874">
        <f t="shared" si="18"/>
        <v>1667.9796666666666</v>
      </c>
      <c r="AA252" s="920">
        <v>432.4</v>
      </c>
      <c r="AB252" s="920">
        <v>87.825000000000003</v>
      </c>
      <c r="AC252" s="920">
        <v>48.494</v>
      </c>
      <c r="AD252" s="920">
        <v>83.028999999999996</v>
      </c>
      <c r="AE252" s="920">
        <v>0</v>
      </c>
      <c r="AF252" s="920">
        <v>530.79999999999995</v>
      </c>
      <c r="AG252" s="920">
        <v>108.28700000000001</v>
      </c>
      <c r="AH252" s="920">
        <v>58.356000000000002</v>
      </c>
      <c r="AI252" s="920">
        <v>103.55800000000001</v>
      </c>
      <c r="AJ252" s="920">
        <v>0</v>
      </c>
      <c r="AK252" s="919">
        <f>Data[[#This Row],[Industry Cost ($m)]]/Data[[#This Row],[Industry Consumption]]</f>
        <v>1.2275670675300647</v>
      </c>
      <c r="AL252" s="919">
        <f>Data[[#This Row],[AAL Fuel Cost]]/Data[[#This Row],[AAL Consumption]]</f>
        <v>1.2329860518075719</v>
      </c>
      <c r="AM252" s="919">
        <f>Data[[#This Row],[DAL Fuel Cost]]/Data[[#This Row],[DAL Consumption]]</f>
        <v>1.2033653647873963</v>
      </c>
      <c r="AN252" s="919">
        <f>Data[[#This Row],[UAL Fuel Cost]]/Data[[#This Row],[UALConsumption]]</f>
        <v>1.2472509605077746</v>
      </c>
      <c r="AO252" s="919">
        <f>IFERROR(Data[[#This Row],[LUV Fuel Cost]]/Data[[#This Row],[LUV Consumption]],0)</f>
        <v>0</v>
      </c>
      <c r="AP252" s="783"/>
      <c r="AQ252" s="783"/>
      <c r="AR252" s="253"/>
      <c r="AS252" s="253"/>
      <c r="AT252" s="253"/>
      <c r="AU252" s="253"/>
    </row>
    <row r="253" spans="1:47" ht="10.5" customHeight="1">
      <c r="A253" s="263">
        <v>38260</v>
      </c>
      <c r="B253" s="263" t="s">
        <v>537</v>
      </c>
      <c r="C253" s="277">
        <v>12.181253999999999</v>
      </c>
      <c r="D253" s="277">
        <v>4.6934080000000007</v>
      </c>
      <c r="E253" s="277">
        <v>2.7996300000000001</v>
      </c>
      <c r="F253" s="277">
        <v>4.1463400000000004</v>
      </c>
      <c r="G253" s="277">
        <v>0</v>
      </c>
      <c r="H253" s="284">
        <f t="shared" si="15"/>
        <v>0.54187599999999847</v>
      </c>
      <c r="I253" s="277">
        <v>9.4751650000000005</v>
      </c>
      <c r="J253" s="277">
        <v>3.489849</v>
      </c>
      <c r="K253" s="277">
        <v>2.1834419999999999</v>
      </c>
      <c r="L253" s="277">
        <v>3.4406099999999999</v>
      </c>
      <c r="M253" s="277">
        <v>0</v>
      </c>
      <c r="N253" s="284">
        <f t="shared" si="16"/>
        <v>0.36126400000000025</v>
      </c>
      <c r="O253" s="277">
        <v>10.570682</v>
      </c>
      <c r="P253" s="277">
        <v>1.3871519999999999</v>
      </c>
      <c r="Q253" s="277">
        <v>0.61884099999999997</v>
      </c>
      <c r="R253" s="277">
        <v>0.80684999999999996</v>
      </c>
      <c r="S253" s="920">
        <v>0</v>
      </c>
      <c r="T253" s="874">
        <f t="shared" si="17"/>
        <v>7.7578389999999997</v>
      </c>
      <c r="U253" s="920">
        <v>3006.377</v>
      </c>
      <c r="V253" s="920">
        <v>587.32666666666671</v>
      </c>
      <c r="W253" s="920">
        <v>283.99099999999999</v>
      </c>
      <c r="X253" s="920">
        <v>467.0796666666667</v>
      </c>
      <c r="Y253" s="920">
        <v>0</v>
      </c>
      <c r="Z253" s="874">
        <f t="shared" si="18"/>
        <v>1667.9796666666666</v>
      </c>
      <c r="AA253" s="920">
        <v>402.3</v>
      </c>
      <c r="AB253" s="920">
        <v>75.822999999999993</v>
      </c>
      <c r="AC253" s="920">
        <v>44.563000000000002</v>
      </c>
      <c r="AD253" s="920">
        <v>79.983000000000004</v>
      </c>
      <c r="AE253" s="920">
        <v>0</v>
      </c>
      <c r="AF253" s="920">
        <v>523.5</v>
      </c>
      <c r="AG253" s="920">
        <v>98.501999999999995</v>
      </c>
      <c r="AH253" s="920">
        <v>56.043999999999997</v>
      </c>
      <c r="AI253" s="920">
        <v>97.74</v>
      </c>
      <c r="AJ253" s="920">
        <v>0</v>
      </c>
      <c r="AK253" s="919">
        <f>Data[[#This Row],[Industry Cost ($m)]]/Data[[#This Row],[Industry Consumption]]</f>
        <v>1.3012677106636839</v>
      </c>
      <c r="AL253" s="919">
        <f>Data[[#This Row],[AAL Fuel Cost]]/Data[[#This Row],[AAL Consumption]]</f>
        <v>1.2991044933595348</v>
      </c>
      <c r="AM253" s="919">
        <f>Data[[#This Row],[DAL Fuel Cost]]/Data[[#This Row],[DAL Consumption]]</f>
        <v>1.2576352579494199</v>
      </c>
      <c r="AN253" s="919">
        <f>Data[[#This Row],[UAL Fuel Cost]]/Data[[#This Row],[UALConsumption]]</f>
        <v>1.2220096770563744</v>
      </c>
      <c r="AO253" s="919">
        <f>IFERROR(Data[[#This Row],[LUV Fuel Cost]]/Data[[#This Row],[LUV Consumption]],0)</f>
        <v>0</v>
      </c>
      <c r="AP253" s="783"/>
      <c r="AQ253" s="783"/>
      <c r="AR253" s="253"/>
      <c r="AS253" s="253"/>
      <c r="AT253" s="253"/>
      <c r="AU253" s="253"/>
    </row>
    <row r="254" spans="1:47" ht="10.5" customHeight="1">
      <c r="A254" s="263">
        <v>38291</v>
      </c>
      <c r="B254" s="263" t="s">
        <v>537</v>
      </c>
      <c r="C254" s="277">
        <v>12.462847</v>
      </c>
      <c r="D254" s="277">
        <v>4.9543840000000001</v>
      </c>
      <c r="E254" s="277">
        <v>2.6476219999999997</v>
      </c>
      <c r="F254" s="277">
        <v>4.2556149999999997</v>
      </c>
      <c r="G254" s="277">
        <v>0</v>
      </c>
      <c r="H254" s="284">
        <f t="shared" si="15"/>
        <v>0.60522600000000182</v>
      </c>
      <c r="I254" s="277">
        <v>9.4688400000000001</v>
      </c>
      <c r="J254" s="277">
        <v>3.5866500000000001</v>
      </c>
      <c r="K254" s="277">
        <v>2.0679639999999999</v>
      </c>
      <c r="L254" s="277">
        <v>3.3933599999999999</v>
      </c>
      <c r="M254" s="277">
        <v>0</v>
      </c>
      <c r="N254" s="284">
        <f t="shared" si="16"/>
        <v>0.42086600000000018</v>
      </c>
      <c r="O254" s="277">
        <v>10.772176999999999</v>
      </c>
      <c r="P254" s="277">
        <v>1.4599690000000001</v>
      </c>
      <c r="Q254" s="277">
        <v>0.61386499999999999</v>
      </c>
      <c r="R254" s="277">
        <v>0.78922400000000004</v>
      </c>
      <c r="S254" s="920">
        <v>0</v>
      </c>
      <c r="T254" s="874">
        <f t="shared" si="17"/>
        <v>7.9091189999999987</v>
      </c>
      <c r="U254" s="920">
        <v>2851.4339999999997</v>
      </c>
      <c r="V254" s="920">
        <v>532.42566666666664</v>
      </c>
      <c r="W254" s="920">
        <v>237.518</v>
      </c>
      <c r="X254" s="920">
        <v>448.39533333333338</v>
      </c>
      <c r="Y254" s="920">
        <v>0</v>
      </c>
      <c r="Z254" s="874">
        <f t="shared" si="18"/>
        <v>1633.0949999999998</v>
      </c>
      <c r="AA254" s="920">
        <v>411.8</v>
      </c>
      <c r="AB254" s="920">
        <v>79.953000000000003</v>
      </c>
      <c r="AC254" s="920">
        <v>44.488999999999997</v>
      </c>
      <c r="AD254" s="920">
        <v>81.972999999999999</v>
      </c>
      <c r="AE254" s="920">
        <v>0</v>
      </c>
      <c r="AF254" s="920">
        <v>592.4</v>
      </c>
      <c r="AG254" s="920">
        <v>111.664</v>
      </c>
      <c r="AH254" s="920">
        <v>64.581000000000003</v>
      </c>
      <c r="AI254" s="920">
        <v>111.01</v>
      </c>
      <c r="AJ254" s="920">
        <v>0</v>
      </c>
      <c r="AK254" s="919">
        <f>Data[[#This Row],[Industry Cost ($m)]]/Data[[#This Row],[Industry Consumption]]</f>
        <v>1.4385624089363769</v>
      </c>
      <c r="AL254" s="919">
        <f>Data[[#This Row],[AAL Fuel Cost]]/Data[[#This Row],[AAL Consumption]]</f>
        <v>1.3966205145522994</v>
      </c>
      <c r="AM254" s="919">
        <f>Data[[#This Row],[DAL Fuel Cost]]/Data[[#This Row],[DAL Consumption]]</f>
        <v>1.4516172537031626</v>
      </c>
      <c r="AN254" s="919">
        <f>Data[[#This Row],[UAL Fuel Cost]]/Data[[#This Row],[UALConsumption]]</f>
        <v>1.3542263916167518</v>
      </c>
      <c r="AO254" s="919">
        <f>IFERROR(Data[[#This Row],[LUV Fuel Cost]]/Data[[#This Row],[LUV Consumption]],0)</f>
        <v>0</v>
      </c>
      <c r="AP254" s="783"/>
      <c r="AQ254" s="783"/>
      <c r="AR254" s="253"/>
      <c r="AS254" s="253"/>
      <c r="AT254" s="253"/>
      <c r="AU254" s="253"/>
    </row>
    <row r="255" spans="1:47" ht="10.5" customHeight="1">
      <c r="A255" s="263">
        <v>38321</v>
      </c>
      <c r="B255" s="263" t="s">
        <v>537</v>
      </c>
      <c r="C255" s="277">
        <v>12.066483</v>
      </c>
      <c r="D255" s="277">
        <v>4.699694</v>
      </c>
      <c r="E255" s="277">
        <v>2.4073580000000003</v>
      </c>
      <c r="F255" s="277">
        <v>4.2548870000000001</v>
      </c>
      <c r="G255" s="277">
        <v>0</v>
      </c>
      <c r="H255" s="284">
        <f t="shared" si="15"/>
        <v>0.70454400000000028</v>
      </c>
      <c r="I255" s="277">
        <v>8.8585689999999992</v>
      </c>
      <c r="J255" s="277">
        <v>3.3337509999999999</v>
      </c>
      <c r="K255" s="277">
        <v>1.8140069999999999</v>
      </c>
      <c r="L255" s="277">
        <v>3.2247710000000001</v>
      </c>
      <c r="M255" s="277">
        <v>0</v>
      </c>
      <c r="N255" s="284">
        <f t="shared" si="16"/>
        <v>0.48603999999999914</v>
      </c>
      <c r="O255" s="277">
        <v>10.17432</v>
      </c>
      <c r="P255" s="277">
        <v>1.439853</v>
      </c>
      <c r="Q255" s="277">
        <v>0.55869800000000003</v>
      </c>
      <c r="R255" s="277">
        <v>0.73400500000000002</v>
      </c>
      <c r="S255" s="920">
        <v>0</v>
      </c>
      <c r="T255" s="874">
        <f t="shared" si="17"/>
        <v>7.441764</v>
      </c>
      <c r="U255" s="920">
        <v>2851.4339999999997</v>
      </c>
      <c r="V255" s="920">
        <v>532.42566666666664</v>
      </c>
      <c r="W255" s="920">
        <v>237.518</v>
      </c>
      <c r="X255" s="920">
        <v>448.39533333333338</v>
      </c>
      <c r="Y255" s="920">
        <v>0</v>
      </c>
      <c r="Z255" s="874">
        <f t="shared" si="18"/>
        <v>1633.0949999999998</v>
      </c>
      <c r="AA255" s="920">
        <v>390.2</v>
      </c>
      <c r="AB255" s="920">
        <v>74.647999999999996</v>
      </c>
      <c r="AC255" s="920">
        <v>40.887999999999998</v>
      </c>
      <c r="AD255" s="920">
        <v>80.7</v>
      </c>
      <c r="AE255" s="920">
        <v>0</v>
      </c>
      <c r="AF255" s="920">
        <v>569.29999999999995</v>
      </c>
      <c r="AG255" s="920">
        <v>111.06699999999999</v>
      </c>
      <c r="AH255" s="920">
        <v>56.905999999999999</v>
      </c>
      <c r="AI255" s="920">
        <v>116.82</v>
      </c>
      <c r="AJ255" s="920">
        <v>0</v>
      </c>
      <c r="AK255" s="919">
        <f>Data[[#This Row],[Industry Cost ($m)]]/Data[[#This Row],[Industry Consumption]]</f>
        <v>1.4589953869810353</v>
      </c>
      <c r="AL255" s="919">
        <f>Data[[#This Row],[AAL Fuel Cost]]/Data[[#This Row],[AAL Consumption]]</f>
        <v>1.4878764333940628</v>
      </c>
      <c r="AM255" s="919">
        <f>Data[[#This Row],[DAL Fuel Cost]]/Data[[#This Row],[DAL Consumption]]</f>
        <v>1.3917530815887302</v>
      </c>
      <c r="AN255" s="919">
        <f>Data[[#This Row],[UAL Fuel Cost]]/Data[[#This Row],[UALConsumption]]</f>
        <v>1.4475836431226765</v>
      </c>
      <c r="AO255" s="919">
        <f>IFERROR(Data[[#This Row],[LUV Fuel Cost]]/Data[[#This Row],[LUV Consumption]],0)</f>
        <v>0</v>
      </c>
      <c r="AP255" s="783"/>
      <c r="AQ255" s="783"/>
      <c r="AR255" s="253"/>
      <c r="AS255" s="253"/>
      <c r="AT255" s="253"/>
      <c r="AU255" s="253"/>
    </row>
    <row r="256" spans="1:47" ht="10.5" customHeight="1">
      <c r="A256" s="263">
        <v>38352</v>
      </c>
      <c r="B256" s="263" t="s">
        <v>537</v>
      </c>
      <c r="C256" s="277">
        <v>12.999423999999999</v>
      </c>
      <c r="D256" s="277">
        <v>5.0649840000000008</v>
      </c>
      <c r="E256" s="277">
        <v>2.649057</v>
      </c>
      <c r="F256" s="277">
        <v>4.5090269999999997</v>
      </c>
      <c r="G256" s="277">
        <v>0</v>
      </c>
      <c r="H256" s="284">
        <f t="shared" si="15"/>
        <v>0.77635599999999805</v>
      </c>
      <c r="I256" s="277">
        <v>9.8746460000000003</v>
      </c>
      <c r="J256" s="277">
        <v>3.7721260000000001</v>
      </c>
      <c r="K256" s="277">
        <v>2.029623</v>
      </c>
      <c r="L256" s="277">
        <v>3.5268090000000001</v>
      </c>
      <c r="M256" s="277">
        <v>0</v>
      </c>
      <c r="N256" s="284">
        <f t="shared" si="16"/>
        <v>0.54608799999999924</v>
      </c>
      <c r="O256" s="277">
        <v>11.244427</v>
      </c>
      <c r="P256" s="277">
        <v>1.6737949999999999</v>
      </c>
      <c r="Q256" s="277">
        <v>0.63084399999999996</v>
      </c>
      <c r="R256" s="277">
        <v>0.81329200000000001</v>
      </c>
      <c r="S256" s="920">
        <v>0</v>
      </c>
      <c r="T256" s="874">
        <f t="shared" si="17"/>
        <v>8.1264959999999995</v>
      </c>
      <c r="U256" s="920">
        <v>2851.4339999999997</v>
      </c>
      <c r="V256" s="920">
        <v>532.42566666666664</v>
      </c>
      <c r="W256" s="920">
        <v>237.518</v>
      </c>
      <c r="X256" s="920">
        <v>448.39533333333338</v>
      </c>
      <c r="Y256" s="920">
        <v>0</v>
      </c>
      <c r="Z256" s="874">
        <f t="shared" si="18"/>
        <v>1633.0949999999998</v>
      </c>
      <c r="AA256" s="920">
        <v>407.5</v>
      </c>
      <c r="AB256" s="920">
        <v>80.602999999999994</v>
      </c>
      <c r="AC256" s="920">
        <v>44.25</v>
      </c>
      <c r="AD256" s="920">
        <v>84.323999999999998</v>
      </c>
      <c r="AE256" s="920">
        <v>0</v>
      </c>
      <c r="AF256" s="920">
        <v>561.79999999999995</v>
      </c>
      <c r="AG256" s="920">
        <v>112.095</v>
      </c>
      <c r="AH256" s="920">
        <v>59.511000000000003</v>
      </c>
      <c r="AI256" s="920">
        <v>113.434</v>
      </c>
      <c r="AJ256" s="920">
        <v>0</v>
      </c>
      <c r="AK256" s="919">
        <f>Data[[#This Row],[Industry Cost ($m)]]/Data[[#This Row],[Industry Consumption]]</f>
        <v>1.3786503067484661</v>
      </c>
      <c r="AL256" s="919">
        <f>Data[[#This Row],[AAL Fuel Cost]]/Data[[#This Row],[AAL Consumption]]</f>
        <v>1.3907050606056848</v>
      </c>
      <c r="AM256" s="919">
        <f>Data[[#This Row],[DAL Fuel Cost]]/Data[[#This Row],[DAL Consumption]]</f>
        <v>1.3448813559322035</v>
      </c>
      <c r="AN256" s="919">
        <f>Data[[#This Row],[UAL Fuel Cost]]/Data[[#This Row],[UALConsumption]]</f>
        <v>1.3452160713438641</v>
      </c>
      <c r="AO256" s="919">
        <f>IFERROR(Data[[#This Row],[LUV Fuel Cost]]/Data[[#This Row],[LUV Consumption]],0)</f>
        <v>0</v>
      </c>
      <c r="AP256" s="783"/>
      <c r="AQ256" s="783"/>
      <c r="AR256" s="253"/>
      <c r="AS256" s="253"/>
      <c r="AT256" s="253"/>
      <c r="AU256" s="253"/>
    </row>
    <row r="257" spans="1:47" ht="10.5" customHeight="1">
      <c r="A257" s="263">
        <v>38383</v>
      </c>
      <c r="B257" s="263" t="s">
        <v>537</v>
      </c>
      <c r="C257" s="277">
        <v>13.097308</v>
      </c>
      <c r="D257" s="277">
        <v>5.1097010000000003</v>
      </c>
      <c r="E257" s="277">
        <v>2.5897869999999998</v>
      </c>
      <c r="F257" s="277">
        <v>4.5810279999999999</v>
      </c>
      <c r="G257" s="277">
        <v>0</v>
      </c>
      <c r="H257" s="284">
        <f t="shared" si="15"/>
        <v>0.81679199999999952</v>
      </c>
      <c r="I257" s="277">
        <v>9.8231459999999995</v>
      </c>
      <c r="J257" s="277">
        <v>3.7481040000000001</v>
      </c>
      <c r="K257" s="277">
        <v>1.9557439999999999</v>
      </c>
      <c r="L257" s="277">
        <v>3.549785</v>
      </c>
      <c r="M257" s="277">
        <v>0</v>
      </c>
      <c r="N257" s="284">
        <f t="shared" si="16"/>
        <v>0.56951299999999883</v>
      </c>
      <c r="O257" s="277">
        <v>11.387275000000001</v>
      </c>
      <c r="P257" s="277">
        <v>1.666774</v>
      </c>
      <c r="Q257" s="277">
        <v>0.61793200000000004</v>
      </c>
      <c r="R257" s="277">
        <v>0.832152</v>
      </c>
      <c r="S257" s="920">
        <v>0</v>
      </c>
      <c r="T257" s="874">
        <f t="shared" si="17"/>
        <v>8.2704170000000019</v>
      </c>
      <c r="U257" s="920">
        <v>2997.6036666666664</v>
      </c>
      <c r="V257" s="920">
        <v>564.39166666666665</v>
      </c>
      <c r="W257" s="920">
        <v>239.69499999999996</v>
      </c>
      <c r="X257" s="920">
        <v>458.56166666666667</v>
      </c>
      <c r="Y257" s="920">
        <v>0</v>
      </c>
      <c r="Z257" s="874">
        <f t="shared" si="18"/>
        <v>1734.9553333333331</v>
      </c>
      <c r="AA257" s="920">
        <v>405.2</v>
      </c>
      <c r="AB257" s="920">
        <v>81.14</v>
      </c>
      <c r="AC257" s="920">
        <v>43.454000000000001</v>
      </c>
      <c r="AD257" s="920">
        <v>87.570999999999998</v>
      </c>
      <c r="AE257" s="920">
        <v>0</v>
      </c>
      <c r="AF257" s="920">
        <v>538.70000000000005</v>
      </c>
      <c r="AG257" s="920">
        <v>107.572</v>
      </c>
      <c r="AH257" s="920">
        <v>57.884</v>
      </c>
      <c r="AI257" s="920">
        <v>115.248</v>
      </c>
      <c r="AJ257" s="920">
        <v>0</v>
      </c>
      <c r="AK257" s="919">
        <f>Data[[#This Row],[Industry Cost ($m)]]/Data[[#This Row],[Industry Consumption]]</f>
        <v>1.3294669299111552</v>
      </c>
      <c r="AL257" s="919">
        <f>Data[[#This Row],[AAL Fuel Cost]]/Data[[#This Row],[AAL Consumption]]</f>
        <v>1.3257579492235643</v>
      </c>
      <c r="AM257" s="919">
        <f>Data[[#This Row],[DAL Fuel Cost]]/Data[[#This Row],[DAL Consumption]]</f>
        <v>1.3320752980162931</v>
      </c>
      <c r="AN257" s="919">
        <f>Data[[#This Row],[UAL Fuel Cost]]/Data[[#This Row],[UALConsumption]]</f>
        <v>1.3160521177102009</v>
      </c>
      <c r="AO257" s="919">
        <f>IFERROR(Data[[#This Row],[LUV Fuel Cost]]/Data[[#This Row],[LUV Consumption]],0)</f>
        <v>0</v>
      </c>
      <c r="AP257" s="783"/>
      <c r="AQ257" s="783"/>
      <c r="AR257" s="253"/>
      <c r="AS257" s="253"/>
      <c r="AT257" s="253"/>
      <c r="AU257" s="253"/>
    </row>
    <row r="258" spans="1:47" ht="10.5" customHeight="1">
      <c r="A258" s="263">
        <v>38411</v>
      </c>
      <c r="B258" s="263" t="s">
        <v>537</v>
      </c>
      <c r="C258" s="277">
        <v>11.852558</v>
      </c>
      <c r="D258" s="277">
        <v>4.6693860000000003</v>
      </c>
      <c r="E258" s="277">
        <v>2.300354</v>
      </c>
      <c r="F258" s="277">
        <v>4.1327039999999995</v>
      </c>
      <c r="G258" s="277">
        <v>0</v>
      </c>
      <c r="H258" s="284">
        <f t="shared" si="15"/>
        <v>0.75011400000000172</v>
      </c>
      <c r="I258" s="277">
        <v>8.4313870000000009</v>
      </c>
      <c r="J258" s="277">
        <v>3.232996</v>
      </c>
      <c r="K258" s="277">
        <v>1.6328339999999999</v>
      </c>
      <c r="L258" s="277">
        <v>3.0289730000000001</v>
      </c>
      <c r="M258" s="277">
        <v>0</v>
      </c>
      <c r="N258" s="284">
        <f t="shared" si="16"/>
        <v>0.53658400000000128</v>
      </c>
      <c r="O258" s="277">
        <v>9.9450669999999999</v>
      </c>
      <c r="P258" s="277">
        <v>1.4542580000000001</v>
      </c>
      <c r="Q258" s="277">
        <v>0.52942599999999995</v>
      </c>
      <c r="R258" s="277">
        <v>0.72135400000000005</v>
      </c>
      <c r="S258" s="920">
        <v>0</v>
      </c>
      <c r="T258" s="874">
        <f t="shared" si="17"/>
        <v>7.2400289999999998</v>
      </c>
      <c r="U258" s="920">
        <v>2997.6036666666664</v>
      </c>
      <c r="V258" s="920">
        <v>564.39166666666665</v>
      </c>
      <c r="W258" s="920">
        <v>239.69499999999996</v>
      </c>
      <c r="X258" s="920">
        <v>458.56166666666667</v>
      </c>
      <c r="Y258" s="920">
        <v>0</v>
      </c>
      <c r="Z258" s="874">
        <f t="shared" si="18"/>
        <v>1734.9553333333331</v>
      </c>
      <c r="AA258" s="920">
        <v>368.3</v>
      </c>
      <c r="AB258" s="920">
        <v>74.441999999999993</v>
      </c>
      <c r="AC258" s="920">
        <v>37.887</v>
      </c>
      <c r="AD258" s="920">
        <v>77.590999999999994</v>
      </c>
      <c r="AE258" s="920">
        <v>0</v>
      </c>
      <c r="AF258" s="920">
        <v>503</v>
      </c>
      <c r="AG258" s="920">
        <v>101.575</v>
      </c>
      <c r="AH258" s="920">
        <v>51.677999999999997</v>
      </c>
      <c r="AI258" s="920">
        <v>105.459</v>
      </c>
      <c r="AJ258" s="920">
        <v>0</v>
      </c>
      <c r="AK258" s="919">
        <f>Data[[#This Row],[Industry Cost ($m)]]/Data[[#This Row],[Industry Consumption]]</f>
        <v>1.3657344556068423</v>
      </c>
      <c r="AL258" s="919">
        <f>Data[[#This Row],[AAL Fuel Cost]]/Data[[#This Row],[AAL Consumption]]</f>
        <v>1.364485102495903</v>
      </c>
      <c r="AM258" s="919">
        <f>Data[[#This Row],[DAL Fuel Cost]]/Data[[#This Row],[DAL Consumption]]</f>
        <v>1.3640034840446591</v>
      </c>
      <c r="AN258" s="919">
        <f>Data[[#This Row],[UAL Fuel Cost]]/Data[[#This Row],[UALConsumption]]</f>
        <v>1.3591653671173205</v>
      </c>
      <c r="AO258" s="919">
        <f>IFERROR(Data[[#This Row],[LUV Fuel Cost]]/Data[[#This Row],[LUV Consumption]],0)</f>
        <v>0</v>
      </c>
      <c r="AP258" s="783"/>
      <c r="AQ258" s="783"/>
      <c r="AR258" s="253"/>
      <c r="AS258" s="253"/>
      <c r="AT258" s="253"/>
      <c r="AU258" s="253"/>
    </row>
    <row r="259" spans="1:47" ht="10.5" customHeight="1">
      <c r="A259" s="263">
        <v>38442</v>
      </c>
      <c r="B259" s="263" t="s">
        <v>537</v>
      </c>
      <c r="C259" s="277">
        <v>13.474379000000001</v>
      </c>
      <c r="D259" s="277">
        <v>5.2643760000000004</v>
      </c>
      <c r="E259" s="277">
        <v>2.750413</v>
      </c>
      <c r="F259" s="277">
        <v>4.6002900000000002</v>
      </c>
      <c r="G259" s="277">
        <v>0</v>
      </c>
      <c r="H259" s="284">
        <f t="shared" si="15"/>
        <v>0.85929999999999929</v>
      </c>
      <c r="I259" s="277">
        <v>10.84788</v>
      </c>
      <c r="J259" s="277">
        <v>4.0987869999999997</v>
      </c>
      <c r="K259" s="277">
        <v>2.2465160000000002</v>
      </c>
      <c r="L259" s="277">
        <v>3.8579409999999998</v>
      </c>
      <c r="M259" s="277">
        <v>0</v>
      </c>
      <c r="N259" s="284">
        <f t="shared" si="16"/>
        <v>0.64463600000000021</v>
      </c>
      <c r="O259" s="277">
        <v>12.479642999999999</v>
      </c>
      <c r="P259" s="277">
        <v>1.8350569999999999</v>
      </c>
      <c r="Q259" s="277">
        <v>0.71554600000000002</v>
      </c>
      <c r="R259" s="277">
        <v>0.90681500000000004</v>
      </c>
      <c r="S259" s="920">
        <v>0</v>
      </c>
      <c r="T259" s="874">
        <f t="shared" si="17"/>
        <v>9.0222249999999988</v>
      </c>
      <c r="U259" s="920">
        <v>2997.6036666666664</v>
      </c>
      <c r="V259" s="920">
        <v>564.39166666666665</v>
      </c>
      <c r="W259" s="920">
        <v>239.69499999999996</v>
      </c>
      <c r="X259" s="920">
        <v>458.56166666666667</v>
      </c>
      <c r="Y259" s="920">
        <v>0</v>
      </c>
      <c r="Z259" s="874">
        <f t="shared" si="18"/>
        <v>1734.9553333333331</v>
      </c>
      <c r="AA259" s="920">
        <v>424.1</v>
      </c>
      <c r="AB259" s="920">
        <v>83.384</v>
      </c>
      <c r="AC259" s="920">
        <v>45.222000000000001</v>
      </c>
      <c r="AD259" s="920">
        <v>88.426000000000002</v>
      </c>
      <c r="AE259" s="920">
        <v>0</v>
      </c>
      <c r="AF259" s="920">
        <v>604</v>
      </c>
      <c r="AG259" s="920">
        <v>126.694</v>
      </c>
      <c r="AH259" s="920">
        <v>53.625</v>
      </c>
      <c r="AI259" s="920">
        <v>124.741</v>
      </c>
      <c r="AJ259" s="920">
        <v>0</v>
      </c>
      <c r="AK259" s="919">
        <f>Data[[#This Row],[Industry Cost ($m)]]/Data[[#This Row],[Industry Consumption]]</f>
        <v>1.4241924074510728</v>
      </c>
      <c r="AL259" s="919">
        <f>Data[[#This Row],[AAL Fuel Cost]]/Data[[#This Row],[AAL Consumption]]</f>
        <v>1.5194042022450351</v>
      </c>
      <c r="AM259" s="919">
        <f>Data[[#This Row],[DAL Fuel Cost]]/Data[[#This Row],[DAL Consumption]]</f>
        <v>1.1858166379195967</v>
      </c>
      <c r="AN259" s="919">
        <f>Data[[#This Row],[UAL Fuel Cost]]/Data[[#This Row],[UALConsumption]]</f>
        <v>1.4106823784859657</v>
      </c>
      <c r="AO259" s="919">
        <f>IFERROR(Data[[#This Row],[LUV Fuel Cost]]/Data[[#This Row],[LUV Consumption]],0)</f>
        <v>0</v>
      </c>
      <c r="AP259" s="783"/>
      <c r="AQ259" s="783"/>
      <c r="AR259" s="253"/>
      <c r="AS259" s="253"/>
      <c r="AT259" s="253"/>
      <c r="AU259" s="253"/>
    </row>
    <row r="260" spans="1:47" ht="10.5" customHeight="1">
      <c r="A260" s="263">
        <v>38472</v>
      </c>
      <c r="B260" s="263" t="s">
        <v>537</v>
      </c>
      <c r="C260" s="277">
        <v>13.336501999999999</v>
      </c>
      <c r="D260" s="277">
        <v>5.2714679999999996</v>
      </c>
      <c r="E260" s="277">
        <v>2.7860339999999999</v>
      </c>
      <c r="F260" s="277">
        <v>4.4626060000000001</v>
      </c>
      <c r="G260" s="277">
        <v>0</v>
      </c>
      <c r="H260" s="284">
        <f t="shared" ref="H260:H323" si="20">+C260-SUM(D260,E260,F260,G260)</f>
        <v>0.81639399999999895</v>
      </c>
      <c r="I260" s="277">
        <v>10.199642000000001</v>
      </c>
      <c r="J260" s="277">
        <v>3.8669959999999999</v>
      </c>
      <c r="K260" s="277">
        <v>2.2127110000000001</v>
      </c>
      <c r="L260" s="277">
        <v>3.543396</v>
      </c>
      <c r="M260" s="277">
        <v>0</v>
      </c>
      <c r="N260" s="284">
        <f t="shared" ref="N260:N323" si="21">+I260-SUM(J260,K260,L260,M260)</f>
        <v>0.57653900000000036</v>
      </c>
      <c r="O260" s="277">
        <v>11.521174</v>
      </c>
      <c r="P260" s="277">
        <v>1.652015</v>
      </c>
      <c r="Q260" s="277">
        <v>0.68544499999999997</v>
      </c>
      <c r="R260" s="277">
        <v>0.83749300000000004</v>
      </c>
      <c r="S260" s="920">
        <v>0</v>
      </c>
      <c r="T260" s="874">
        <f t="shared" ref="T260:T323" si="22">+O260-SUM(P260,Q260,R260,S260)</f>
        <v>8.3462209999999999</v>
      </c>
      <c r="U260" s="920">
        <v>3328.2413333333334</v>
      </c>
      <c r="V260" s="920">
        <v>630.51266666666663</v>
      </c>
      <c r="W260" s="920">
        <v>302.16699999999997</v>
      </c>
      <c r="X260" s="920">
        <v>499.94366666666673</v>
      </c>
      <c r="Y260" s="920">
        <v>0</v>
      </c>
      <c r="Z260" s="874">
        <f t="shared" ref="Z260:Z323" si="23">+U260-SUM(V260,W260,X260,Y260)</f>
        <v>1895.6179999999999</v>
      </c>
      <c r="AA260" s="920">
        <v>410.4</v>
      </c>
      <c r="AB260" s="920">
        <v>82.066999999999993</v>
      </c>
      <c r="AC260" s="920">
        <v>45.43</v>
      </c>
      <c r="AD260" s="920">
        <v>81.676000000000002</v>
      </c>
      <c r="AE260" s="920">
        <v>0</v>
      </c>
      <c r="AF260" s="920">
        <v>698.8</v>
      </c>
      <c r="AG260" s="920">
        <v>133.85400000000001</v>
      </c>
      <c r="AH260" s="920">
        <v>73.953999999999994</v>
      </c>
      <c r="AI260" s="920">
        <v>131.708</v>
      </c>
      <c r="AJ260" s="920">
        <v>0</v>
      </c>
      <c r="AK260" s="919">
        <f>Data[[#This Row],[Industry Cost ($m)]]/Data[[#This Row],[Industry Consumption]]</f>
        <v>1.702729044834308</v>
      </c>
      <c r="AL260" s="919">
        <f>Data[[#This Row],[AAL Fuel Cost]]/Data[[#This Row],[AAL Consumption]]</f>
        <v>1.6310331802064171</v>
      </c>
      <c r="AM260" s="919">
        <f>Data[[#This Row],[DAL Fuel Cost]]/Data[[#This Row],[DAL Consumption]]</f>
        <v>1.6278670482060311</v>
      </c>
      <c r="AN260" s="919">
        <f>Data[[#This Row],[UAL Fuel Cost]]/Data[[#This Row],[UALConsumption]]</f>
        <v>1.6125667270679269</v>
      </c>
      <c r="AO260" s="919">
        <f>IFERROR(Data[[#This Row],[LUV Fuel Cost]]/Data[[#This Row],[LUV Consumption]],0)</f>
        <v>0</v>
      </c>
      <c r="AP260" s="783"/>
      <c r="AQ260" s="783"/>
      <c r="AR260" s="253"/>
      <c r="AS260" s="253"/>
      <c r="AT260" s="253"/>
      <c r="AU260" s="253"/>
    </row>
    <row r="261" spans="1:47" ht="10.5" customHeight="1">
      <c r="A261" s="263">
        <v>38503</v>
      </c>
      <c r="B261" s="263" t="s">
        <v>537</v>
      </c>
      <c r="C261" s="277">
        <v>13.92802</v>
      </c>
      <c r="D261" s="277">
        <v>5.4883790000000001</v>
      </c>
      <c r="E261" s="277">
        <v>3.0601030000000002</v>
      </c>
      <c r="F261" s="277">
        <v>4.6422020000000002</v>
      </c>
      <c r="G261" s="277">
        <v>0</v>
      </c>
      <c r="H261" s="284">
        <f t="shared" si="20"/>
        <v>0.7373359999999991</v>
      </c>
      <c r="I261" s="277">
        <v>10.914521000000001</v>
      </c>
      <c r="J261" s="277">
        <v>4.1001620000000001</v>
      </c>
      <c r="K261" s="277">
        <v>2.499622</v>
      </c>
      <c r="L261" s="277">
        <v>3.794645</v>
      </c>
      <c r="M261" s="277">
        <v>0</v>
      </c>
      <c r="N261" s="284">
        <f t="shared" si="21"/>
        <v>0.52009200000000178</v>
      </c>
      <c r="O261" s="277">
        <v>12.1646</v>
      </c>
      <c r="P261" s="277">
        <v>1.6988099999999999</v>
      </c>
      <c r="Q261" s="277">
        <v>0.74367300000000003</v>
      </c>
      <c r="R261" s="277">
        <v>0.88250300000000004</v>
      </c>
      <c r="S261" s="920">
        <v>0</v>
      </c>
      <c r="T261" s="874">
        <f t="shared" si="22"/>
        <v>8.839614000000001</v>
      </c>
      <c r="U261" s="920">
        <v>3328.2413333333334</v>
      </c>
      <c r="V261" s="920">
        <v>630.51266666666663</v>
      </c>
      <c r="W261" s="920">
        <v>302.16699999999997</v>
      </c>
      <c r="X261" s="920">
        <v>499.94366666666673</v>
      </c>
      <c r="Y261" s="920">
        <v>0</v>
      </c>
      <c r="Z261" s="874">
        <f t="shared" si="23"/>
        <v>1895.6179999999999</v>
      </c>
      <c r="AA261" s="920">
        <v>426.1</v>
      </c>
      <c r="AB261" s="920">
        <v>84.774000000000001</v>
      </c>
      <c r="AC261" s="920">
        <v>50.369</v>
      </c>
      <c r="AD261" s="920">
        <v>85.94</v>
      </c>
      <c r="AE261" s="920">
        <v>0</v>
      </c>
      <c r="AF261" s="920">
        <v>700</v>
      </c>
      <c r="AG261" s="920">
        <v>136.20500000000001</v>
      </c>
      <c r="AH261" s="920">
        <v>78.070999999999998</v>
      </c>
      <c r="AI261" s="920">
        <v>143.22499999999999</v>
      </c>
      <c r="AJ261" s="920">
        <v>0</v>
      </c>
      <c r="AK261" s="919">
        <f>Data[[#This Row],[Industry Cost ($m)]]/Data[[#This Row],[Industry Consumption]]</f>
        <v>1.6428068528514432</v>
      </c>
      <c r="AL261" s="919">
        <f>Data[[#This Row],[AAL Fuel Cost]]/Data[[#This Row],[AAL Consumption]]</f>
        <v>1.6066836530068183</v>
      </c>
      <c r="AM261" s="919">
        <f>Data[[#This Row],[DAL Fuel Cost]]/Data[[#This Row],[DAL Consumption]]</f>
        <v>1.5499811391927574</v>
      </c>
      <c r="AN261" s="919">
        <f>Data[[#This Row],[UAL Fuel Cost]]/Data[[#This Row],[UALConsumption]]</f>
        <v>1.6665696997905515</v>
      </c>
      <c r="AO261" s="919">
        <f>IFERROR(Data[[#This Row],[LUV Fuel Cost]]/Data[[#This Row],[LUV Consumption]],0)</f>
        <v>0</v>
      </c>
      <c r="AP261" s="783"/>
      <c r="AQ261" s="783"/>
      <c r="AR261" s="253"/>
      <c r="AS261" s="253"/>
      <c r="AT261" s="253"/>
      <c r="AU261" s="253"/>
    </row>
    <row r="262" spans="1:47" ht="10.5" customHeight="1">
      <c r="A262" s="263">
        <v>38533</v>
      </c>
      <c r="B262" s="263" t="s">
        <v>537</v>
      </c>
      <c r="C262" s="277">
        <v>13.956947</v>
      </c>
      <c r="D262" s="277">
        <v>5.5885029999999993</v>
      </c>
      <c r="E262" s="277">
        <v>3.0854679999999997</v>
      </c>
      <c r="F262" s="277">
        <v>4.5712099999999998</v>
      </c>
      <c r="G262" s="277">
        <v>0</v>
      </c>
      <c r="H262" s="284">
        <f t="shared" si="20"/>
        <v>0.71176600000000079</v>
      </c>
      <c r="I262" s="277">
        <v>11.656366</v>
      </c>
      <c r="J262" s="277">
        <v>4.433929</v>
      </c>
      <c r="K262" s="277">
        <v>2.651713</v>
      </c>
      <c r="L262" s="277">
        <v>4.0518330000000002</v>
      </c>
      <c r="M262" s="277">
        <v>0</v>
      </c>
      <c r="N262" s="284">
        <f t="shared" si="21"/>
        <v>0.51889099999999999</v>
      </c>
      <c r="O262" s="277">
        <v>13.140060999999999</v>
      </c>
      <c r="P262" s="277">
        <v>1.88473</v>
      </c>
      <c r="Q262" s="277">
        <v>0.79233799999999999</v>
      </c>
      <c r="R262" s="277">
        <v>0.94298099999999996</v>
      </c>
      <c r="S262" s="920">
        <v>0</v>
      </c>
      <c r="T262" s="874">
        <f t="shared" si="22"/>
        <v>9.5200119999999995</v>
      </c>
      <c r="U262" s="920">
        <v>3328.2413333333334</v>
      </c>
      <c r="V262" s="920">
        <v>630.51266666666663</v>
      </c>
      <c r="W262" s="920">
        <v>302.16699999999997</v>
      </c>
      <c r="X262" s="920">
        <v>499.94366666666673</v>
      </c>
      <c r="Y262" s="920">
        <v>0</v>
      </c>
      <c r="Z262" s="874">
        <f t="shared" si="23"/>
        <v>1895.6179999999999</v>
      </c>
      <c r="AA262" s="920">
        <v>441</v>
      </c>
      <c r="AB262" s="920">
        <v>86.531000000000006</v>
      </c>
      <c r="AC262" s="920">
        <v>51.796999999999997</v>
      </c>
      <c r="AD262" s="920">
        <v>85.876999999999995</v>
      </c>
      <c r="AE262" s="920">
        <v>0</v>
      </c>
      <c r="AF262" s="920">
        <v>709.6</v>
      </c>
      <c r="AG262" s="920">
        <v>138.511</v>
      </c>
      <c r="AH262" s="920">
        <v>83.680999999999997</v>
      </c>
      <c r="AI262" s="920">
        <v>134.59700000000001</v>
      </c>
      <c r="AJ262" s="920">
        <v>0</v>
      </c>
      <c r="AK262" s="919">
        <f>Data[[#This Row],[Industry Cost ($m)]]/Data[[#This Row],[Industry Consumption]]</f>
        <v>1.6090702947845805</v>
      </c>
      <c r="AL262" s="919">
        <f>Data[[#This Row],[AAL Fuel Cost]]/Data[[#This Row],[AAL Consumption]]</f>
        <v>1.6007095722920108</v>
      </c>
      <c r="AM262" s="919">
        <f>Data[[#This Row],[DAL Fuel Cost]]/Data[[#This Row],[DAL Consumption]]</f>
        <v>1.6155568855339113</v>
      </c>
      <c r="AN262" s="919">
        <f>Data[[#This Row],[UAL Fuel Cost]]/Data[[#This Row],[UALConsumption]]</f>
        <v>1.5673230317780082</v>
      </c>
      <c r="AO262" s="919">
        <f>IFERROR(Data[[#This Row],[LUV Fuel Cost]]/Data[[#This Row],[LUV Consumption]],0)</f>
        <v>0</v>
      </c>
      <c r="AP262" s="783"/>
      <c r="AQ262" s="783"/>
      <c r="AR262" s="253"/>
      <c r="AS262" s="253"/>
      <c r="AT262" s="253"/>
      <c r="AU262" s="253"/>
    </row>
    <row r="263" spans="1:47" ht="10.5" customHeight="1">
      <c r="A263" s="263">
        <v>38564</v>
      </c>
      <c r="B263" s="263" t="s">
        <v>537</v>
      </c>
      <c r="C263" s="277">
        <v>14.682569000000001</v>
      </c>
      <c r="D263" s="277">
        <v>5.9299059999999999</v>
      </c>
      <c r="E263" s="277">
        <v>3.2489430000000001</v>
      </c>
      <c r="F263" s="277">
        <v>4.7649709999999992</v>
      </c>
      <c r="G263" s="277">
        <v>0</v>
      </c>
      <c r="H263" s="284">
        <f t="shared" si="20"/>
        <v>0.7387490000000021</v>
      </c>
      <c r="I263" s="277">
        <v>12.350248000000001</v>
      </c>
      <c r="J263" s="277">
        <v>4.9389760000000003</v>
      </c>
      <c r="K263" s="277">
        <v>2.7764769999999999</v>
      </c>
      <c r="L263" s="277">
        <v>4.0749810000000002</v>
      </c>
      <c r="M263" s="277">
        <v>0</v>
      </c>
      <c r="N263" s="284">
        <f t="shared" si="21"/>
        <v>0.55981399999999937</v>
      </c>
      <c r="O263" s="277">
        <v>14.421208999999999</v>
      </c>
      <c r="P263" s="277">
        <v>2.1732800000000001</v>
      </c>
      <c r="Q263" s="277">
        <v>0.83939600000000003</v>
      </c>
      <c r="R263" s="277">
        <v>0.95625700000000002</v>
      </c>
      <c r="S263" s="920">
        <v>0</v>
      </c>
      <c r="T263" s="874">
        <f t="shared" si="22"/>
        <v>10.452275999999999</v>
      </c>
      <c r="U263" s="920">
        <v>3586.8083333333338</v>
      </c>
      <c r="V263" s="920">
        <v>688.91266666666661</v>
      </c>
      <c r="W263" s="920">
        <v>328.42533333333336</v>
      </c>
      <c r="X263" s="920">
        <v>527.73533333333341</v>
      </c>
      <c r="Y263" s="920">
        <v>0</v>
      </c>
      <c r="Z263" s="874">
        <f t="shared" si="23"/>
        <v>2041.7350000000006</v>
      </c>
      <c r="AA263" s="920">
        <v>460.9</v>
      </c>
      <c r="AB263" s="920">
        <v>91.606999999999999</v>
      </c>
      <c r="AC263" s="920">
        <v>55.408000000000001</v>
      </c>
      <c r="AD263" s="920">
        <v>89.171999999999997</v>
      </c>
      <c r="AE263" s="920">
        <v>0</v>
      </c>
      <c r="AF263" s="920">
        <v>785.7</v>
      </c>
      <c r="AG263" s="920">
        <v>158.95699999999999</v>
      </c>
      <c r="AH263" s="920">
        <v>93.688000000000002</v>
      </c>
      <c r="AI263" s="920">
        <v>152.29499999999999</v>
      </c>
      <c r="AJ263" s="920">
        <v>0</v>
      </c>
      <c r="AK263" s="919">
        <f>Data[[#This Row],[Industry Cost ($m)]]/Data[[#This Row],[Industry Consumption]]</f>
        <v>1.704708179648514</v>
      </c>
      <c r="AL263" s="919">
        <f>Data[[#This Row],[AAL Fuel Cost]]/Data[[#This Row],[AAL Consumption]]</f>
        <v>1.7352058248823778</v>
      </c>
      <c r="AM263" s="919">
        <f>Data[[#This Row],[DAL Fuel Cost]]/Data[[#This Row],[DAL Consumption]]</f>
        <v>1.6908749639041294</v>
      </c>
      <c r="AN263" s="919">
        <f>Data[[#This Row],[UAL Fuel Cost]]/Data[[#This Row],[UALConsumption]]</f>
        <v>1.7078791548916699</v>
      </c>
      <c r="AO263" s="919">
        <f>IFERROR(Data[[#This Row],[LUV Fuel Cost]]/Data[[#This Row],[LUV Consumption]],0)</f>
        <v>0</v>
      </c>
      <c r="AP263" s="783"/>
      <c r="AQ263" s="783"/>
      <c r="AR263" s="253"/>
      <c r="AS263" s="253"/>
      <c r="AT263" s="253"/>
      <c r="AU263" s="253"/>
    </row>
    <row r="264" spans="1:47" ht="10.5" customHeight="1">
      <c r="A264" s="263">
        <v>38595</v>
      </c>
      <c r="B264" s="263" t="s">
        <v>537</v>
      </c>
      <c r="C264" s="277">
        <v>14.446721999999999</v>
      </c>
      <c r="D264" s="277">
        <v>5.6994720000000001</v>
      </c>
      <c r="E264" s="277">
        <v>3.2510659999999998</v>
      </c>
      <c r="F264" s="277">
        <v>4.7461530000000005</v>
      </c>
      <c r="G264" s="277">
        <v>0</v>
      </c>
      <c r="H264" s="284">
        <f t="shared" si="20"/>
        <v>0.75003099999999812</v>
      </c>
      <c r="I264" s="277">
        <v>11.792728</v>
      </c>
      <c r="J264" s="277">
        <v>4.5955409999999999</v>
      </c>
      <c r="K264" s="277">
        <v>2.6075919999999999</v>
      </c>
      <c r="L264" s="277">
        <v>4.0429940000000002</v>
      </c>
      <c r="M264" s="277">
        <v>0</v>
      </c>
      <c r="N264" s="284">
        <f t="shared" si="21"/>
        <v>0.54660100000000078</v>
      </c>
      <c r="O264" s="277">
        <v>13.703334</v>
      </c>
      <c r="P264" s="277">
        <v>2.0032760000000001</v>
      </c>
      <c r="Q264" s="277">
        <v>0.78544800000000004</v>
      </c>
      <c r="R264" s="277">
        <v>0.94972900000000005</v>
      </c>
      <c r="S264" s="920">
        <v>0</v>
      </c>
      <c r="T264" s="874">
        <f t="shared" si="22"/>
        <v>9.9648810000000001</v>
      </c>
      <c r="U264" s="920">
        <v>3586.8083333333338</v>
      </c>
      <c r="V264" s="920">
        <v>688.91266666666661</v>
      </c>
      <c r="W264" s="920">
        <v>328.42533333333336</v>
      </c>
      <c r="X264" s="920">
        <v>527.73533333333341</v>
      </c>
      <c r="Y264" s="920">
        <v>0</v>
      </c>
      <c r="Z264" s="874">
        <f t="shared" si="23"/>
        <v>2041.7350000000006</v>
      </c>
      <c r="AA264" s="920">
        <v>456.7</v>
      </c>
      <c r="AB264" s="920">
        <v>88.224000000000004</v>
      </c>
      <c r="AC264" s="920">
        <v>54.738</v>
      </c>
      <c r="AD264" s="920">
        <v>90.197000000000003</v>
      </c>
      <c r="AE264" s="920">
        <v>0</v>
      </c>
      <c r="AF264" s="920">
        <v>816.1</v>
      </c>
      <c r="AG264" s="920">
        <v>157.46199999999999</v>
      </c>
      <c r="AH264" s="920">
        <v>97.442999999999998</v>
      </c>
      <c r="AI264" s="920">
        <v>157.09299999999999</v>
      </c>
      <c r="AJ264" s="920">
        <v>0</v>
      </c>
      <c r="AK264" s="919">
        <f>Data[[#This Row],[Industry Cost ($m)]]/Data[[#This Row],[Industry Consumption]]</f>
        <v>1.7869498576746223</v>
      </c>
      <c r="AL264" s="919">
        <f>Data[[#This Row],[AAL Fuel Cost]]/Data[[#This Row],[AAL Consumption]]</f>
        <v>1.7847977874501268</v>
      </c>
      <c r="AM264" s="919">
        <f>Data[[#This Row],[DAL Fuel Cost]]/Data[[#This Row],[DAL Consumption]]</f>
        <v>1.7801709963827688</v>
      </c>
      <c r="AN264" s="919">
        <f>Data[[#This Row],[UAL Fuel Cost]]/Data[[#This Row],[UALConsumption]]</f>
        <v>1.7416654655919819</v>
      </c>
      <c r="AO264" s="919">
        <f>IFERROR(Data[[#This Row],[LUV Fuel Cost]]/Data[[#This Row],[LUV Consumption]],0)</f>
        <v>0</v>
      </c>
      <c r="AP264" s="783"/>
      <c r="AQ264" s="783"/>
      <c r="AR264" s="253"/>
      <c r="AS264" s="253"/>
      <c r="AT264" s="253"/>
      <c r="AU264" s="253"/>
    </row>
    <row r="265" spans="1:47" ht="10.5" customHeight="1">
      <c r="A265" s="263">
        <v>38625</v>
      </c>
      <c r="B265" s="263" t="s">
        <v>537</v>
      </c>
      <c r="C265" s="277">
        <v>13.451961000000001</v>
      </c>
      <c r="D265" s="277">
        <v>5.2481850000000003</v>
      </c>
      <c r="E265" s="277">
        <v>3.1051700000000002</v>
      </c>
      <c r="F265" s="277">
        <v>4.4361420000000003</v>
      </c>
      <c r="G265" s="277">
        <v>0</v>
      </c>
      <c r="H265" s="284">
        <f t="shared" si="20"/>
        <v>0.66246399999999994</v>
      </c>
      <c r="I265" s="277">
        <v>10.401348</v>
      </c>
      <c r="J265" s="277">
        <v>3.8934329999999999</v>
      </c>
      <c r="K265" s="277">
        <v>2.3928189999999998</v>
      </c>
      <c r="L265" s="277">
        <v>3.673257</v>
      </c>
      <c r="M265" s="277">
        <v>0</v>
      </c>
      <c r="N265" s="284">
        <f t="shared" si="21"/>
        <v>0.44183900000000165</v>
      </c>
      <c r="O265" s="277">
        <v>11.325799999999999</v>
      </c>
      <c r="P265" s="277">
        <v>1.5584720000000001</v>
      </c>
      <c r="Q265" s="277">
        <v>0.682944</v>
      </c>
      <c r="R265" s="277">
        <v>0.84387000000000001</v>
      </c>
      <c r="S265" s="920">
        <v>0</v>
      </c>
      <c r="T265" s="874">
        <f t="shared" si="22"/>
        <v>8.2405139999999992</v>
      </c>
      <c r="U265" s="920">
        <v>3586.8083333333338</v>
      </c>
      <c r="V265" s="920">
        <v>688.91266666666661</v>
      </c>
      <c r="W265" s="920">
        <v>328.42533333333336</v>
      </c>
      <c r="X265" s="920">
        <v>527.73533333333341</v>
      </c>
      <c r="Y265" s="920">
        <v>0</v>
      </c>
      <c r="Z265" s="874">
        <f t="shared" si="23"/>
        <v>2041.7350000000006</v>
      </c>
      <c r="AA265" s="920">
        <v>421.9</v>
      </c>
      <c r="AB265" s="920">
        <v>82.087999999999994</v>
      </c>
      <c r="AC265" s="920">
        <v>52.06</v>
      </c>
      <c r="AD265" s="920">
        <v>84.123000000000005</v>
      </c>
      <c r="AE265" s="920">
        <v>0</v>
      </c>
      <c r="AF265" s="920">
        <v>829.2</v>
      </c>
      <c r="AG265" s="920">
        <v>163.56299999999999</v>
      </c>
      <c r="AH265" s="920">
        <v>104.27</v>
      </c>
      <c r="AI265" s="920">
        <v>157.024</v>
      </c>
      <c r="AJ265" s="920">
        <v>0</v>
      </c>
      <c r="AK265" s="919">
        <f>Data[[#This Row],[Industry Cost ($m)]]/Data[[#This Row],[Industry Consumption]]</f>
        <v>1.9653946432803984</v>
      </c>
      <c r="AL265" s="919">
        <f>Data[[#This Row],[AAL Fuel Cost]]/Data[[#This Row],[AAL Consumption]]</f>
        <v>1.9925324042490986</v>
      </c>
      <c r="AM265" s="919">
        <f>Data[[#This Row],[DAL Fuel Cost]]/Data[[#This Row],[DAL Consumption]]</f>
        <v>2.0028812908182863</v>
      </c>
      <c r="AN265" s="919">
        <f>Data[[#This Row],[UAL Fuel Cost]]/Data[[#This Row],[UALConsumption]]</f>
        <v>1.8666000974763144</v>
      </c>
      <c r="AO265" s="919">
        <f>IFERROR(Data[[#This Row],[LUV Fuel Cost]]/Data[[#This Row],[LUV Consumption]],0)</f>
        <v>0</v>
      </c>
      <c r="AP265" s="783"/>
      <c r="AQ265" s="783"/>
      <c r="AR265" s="253"/>
      <c r="AS265" s="253"/>
      <c r="AT265" s="253"/>
      <c r="AU265" s="253"/>
    </row>
    <row r="266" spans="1:47" ht="10.5" customHeight="1">
      <c r="A266" s="263">
        <v>38656</v>
      </c>
      <c r="B266" s="263" t="s">
        <v>537</v>
      </c>
      <c r="C266" s="277">
        <v>13.305517999999999</v>
      </c>
      <c r="D266" s="277">
        <v>5.1940939999999998</v>
      </c>
      <c r="E266" s="277">
        <v>2.9216529999999996</v>
      </c>
      <c r="F266" s="277">
        <v>4.5429459999999997</v>
      </c>
      <c r="G266" s="277">
        <v>0</v>
      </c>
      <c r="H266" s="284">
        <f t="shared" si="20"/>
        <v>0.64682499999999976</v>
      </c>
      <c r="I266" s="277">
        <v>10.096036</v>
      </c>
      <c r="J266" s="277">
        <v>3.737886</v>
      </c>
      <c r="K266" s="277">
        <v>2.2222650000000002</v>
      </c>
      <c r="L266" s="277">
        <v>3.6800120000000001</v>
      </c>
      <c r="M266" s="277">
        <v>0</v>
      </c>
      <c r="N266" s="284">
        <f t="shared" si="21"/>
        <v>0.45587300000000042</v>
      </c>
      <c r="O266" s="277">
        <v>11.107586</v>
      </c>
      <c r="P266" s="277">
        <v>1.50264</v>
      </c>
      <c r="Q266" s="277">
        <v>0.66011399999999998</v>
      </c>
      <c r="R266" s="277">
        <v>0.84075800000000001</v>
      </c>
      <c r="S266" s="920">
        <v>0</v>
      </c>
      <c r="T266" s="874">
        <f t="shared" si="22"/>
        <v>8.1040739999999989</v>
      </c>
      <c r="U266" s="920">
        <v>3316.126666666667</v>
      </c>
      <c r="V266" s="920">
        <v>605.04766666666671</v>
      </c>
      <c r="W266" s="920">
        <v>276.04266666666666</v>
      </c>
      <c r="X266" s="920">
        <v>493.47</v>
      </c>
      <c r="Y266" s="920">
        <v>0</v>
      </c>
      <c r="Z266" s="874">
        <f t="shared" si="23"/>
        <v>1941.5663333333337</v>
      </c>
      <c r="AA266" s="920">
        <v>417.1</v>
      </c>
      <c r="AB266" s="920">
        <v>80.873000000000005</v>
      </c>
      <c r="AC266" s="920">
        <v>48.177</v>
      </c>
      <c r="AD266" s="920">
        <v>85.802000000000007</v>
      </c>
      <c r="AE266" s="920">
        <v>0</v>
      </c>
      <c r="AF266" s="920">
        <v>886.5</v>
      </c>
      <c r="AG266" s="920">
        <v>168.12100000000001</v>
      </c>
      <c r="AH266" s="920">
        <v>109.063</v>
      </c>
      <c r="AI266" s="920">
        <v>172.86500000000001</v>
      </c>
      <c r="AJ266" s="920">
        <v>0</v>
      </c>
      <c r="AK266" s="919">
        <f>Data[[#This Row],[Industry Cost ($m)]]/Data[[#This Row],[Industry Consumption]]</f>
        <v>2.1253895948213857</v>
      </c>
      <c r="AL266" s="919">
        <f>Data[[#This Row],[AAL Fuel Cost]]/Data[[#This Row],[AAL Consumption]]</f>
        <v>2.078827297120176</v>
      </c>
      <c r="AM266" s="919">
        <f>Data[[#This Row],[DAL Fuel Cost]]/Data[[#This Row],[DAL Consumption]]</f>
        <v>2.2637980779209999</v>
      </c>
      <c r="AN266" s="919">
        <f>Data[[#This Row],[UAL Fuel Cost]]/Data[[#This Row],[UALConsumption]]</f>
        <v>2.0146966271182492</v>
      </c>
      <c r="AO266" s="919">
        <f>IFERROR(Data[[#This Row],[LUV Fuel Cost]]/Data[[#This Row],[LUV Consumption]],0)</f>
        <v>0</v>
      </c>
      <c r="AP266" s="783"/>
      <c r="AQ266" s="783"/>
      <c r="AR266" s="253"/>
      <c r="AS266" s="253"/>
      <c r="AT266" s="253"/>
      <c r="AU266" s="253"/>
    </row>
    <row r="267" spans="1:47" ht="10.5" customHeight="1">
      <c r="A267" s="263">
        <v>38686</v>
      </c>
      <c r="B267" s="263" t="s">
        <v>537</v>
      </c>
      <c r="C267" s="277">
        <v>12.450842</v>
      </c>
      <c r="D267" s="277">
        <v>4.9758900000000006</v>
      </c>
      <c r="E267" s="277">
        <v>2.5776210000000002</v>
      </c>
      <c r="F267" s="277">
        <v>4.1917229999999996</v>
      </c>
      <c r="G267" s="277">
        <v>0</v>
      </c>
      <c r="H267" s="284">
        <f t="shared" si="20"/>
        <v>0.70560799999999979</v>
      </c>
      <c r="I267" s="277">
        <v>9.3797300000000003</v>
      </c>
      <c r="J267" s="277">
        <v>3.5722360000000002</v>
      </c>
      <c r="K267" s="277">
        <v>1.927141</v>
      </c>
      <c r="L267" s="277">
        <v>3.3745440000000002</v>
      </c>
      <c r="M267" s="277">
        <v>0</v>
      </c>
      <c r="N267" s="284">
        <f t="shared" si="21"/>
        <v>0.50580900000000106</v>
      </c>
      <c r="O267" s="277">
        <v>10.580099000000001</v>
      </c>
      <c r="P267" s="277">
        <v>1.5095829999999999</v>
      </c>
      <c r="Q267" s="277">
        <v>0.59783699999999995</v>
      </c>
      <c r="R267" s="277">
        <v>0.76987000000000005</v>
      </c>
      <c r="S267" s="920">
        <v>0</v>
      </c>
      <c r="T267" s="874">
        <f t="shared" si="22"/>
        <v>7.7028090000000002</v>
      </c>
      <c r="U267" s="920">
        <v>3316.126666666667</v>
      </c>
      <c r="V267" s="920">
        <v>605.04766666666671</v>
      </c>
      <c r="W267" s="920">
        <v>276.04266666666666</v>
      </c>
      <c r="X267" s="920">
        <v>493.47</v>
      </c>
      <c r="Y267" s="920">
        <v>0</v>
      </c>
      <c r="Z267" s="874">
        <f t="shared" si="23"/>
        <v>1941.5663333333337</v>
      </c>
      <c r="AA267" s="920">
        <v>393.3</v>
      </c>
      <c r="AB267" s="920">
        <v>76.503</v>
      </c>
      <c r="AC267" s="920">
        <v>42.968000000000004</v>
      </c>
      <c r="AD267" s="920">
        <v>80.659000000000006</v>
      </c>
      <c r="AE267" s="920">
        <v>0</v>
      </c>
      <c r="AF267" s="920">
        <v>783.7</v>
      </c>
      <c r="AG267" s="920">
        <v>154.583</v>
      </c>
      <c r="AH267" s="920">
        <v>88.37</v>
      </c>
      <c r="AI267" s="920">
        <v>160.13999999999999</v>
      </c>
      <c r="AJ267" s="920">
        <v>0</v>
      </c>
      <c r="AK267" s="919">
        <f>Data[[#This Row],[Industry Cost ($m)]]/Data[[#This Row],[Industry Consumption]]</f>
        <v>1.9926264937706586</v>
      </c>
      <c r="AL267" s="919">
        <f>Data[[#This Row],[AAL Fuel Cost]]/Data[[#This Row],[AAL Consumption]]</f>
        <v>2.0206135707096453</v>
      </c>
      <c r="AM267" s="919">
        <f>Data[[#This Row],[DAL Fuel Cost]]/Data[[#This Row],[DAL Consumption]]</f>
        <v>2.0566468069260844</v>
      </c>
      <c r="AN267" s="919">
        <f>Data[[#This Row],[UAL Fuel Cost]]/Data[[#This Row],[UALConsumption]]</f>
        <v>1.9853953061654617</v>
      </c>
      <c r="AO267" s="919">
        <f>IFERROR(Data[[#This Row],[LUV Fuel Cost]]/Data[[#This Row],[LUV Consumption]],0)</f>
        <v>0</v>
      </c>
      <c r="AP267" s="783"/>
      <c r="AQ267" s="783"/>
      <c r="AR267" s="253"/>
      <c r="AS267" s="253"/>
      <c r="AT267" s="253"/>
      <c r="AU267" s="253"/>
    </row>
    <row r="268" spans="1:47" ht="10.5" customHeight="1">
      <c r="A268" s="263">
        <v>38717</v>
      </c>
      <c r="B268" s="263" t="s">
        <v>537</v>
      </c>
      <c r="C268" s="277">
        <v>13.518651</v>
      </c>
      <c r="D268" s="277">
        <v>5.3346049999999998</v>
      </c>
      <c r="E268" s="277">
        <v>2.8656190000000001</v>
      </c>
      <c r="F268" s="277">
        <v>4.5010829999999995</v>
      </c>
      <c r="G268" s="277">
        <v>0</v>
      </c>
      <c r="H268" s="284">
        <f t="shared" si="20"/>
        <v>0.81734400000000029</v>
      </c>
      <c r="I268" s="277">
        <v>10.451725</v>
      </c>
      <c r="J268" s="277">
        <v>4.0812039999999996</v>
      </c>
      <c r="K268" s="277">
        <v>2.1748750000000001</v>
      </c>
      <c r="L268" s="277">
        <v>3.6101800000000002</v>
      </c>
      <c r="M268" s="277">
        <v>0</v>
      </c>
      <c r="N268" s="284">
        <f t="shared" si="21"/>
        <v>0.58546600000000026</v>
      </c>
      <c r="O268" s="277">
        <v>11.812574</v>
      </c>
      <c r="P268" s="277">
        <v>1.7502770000000001</v>
      </c>
      <c r="Q268" s="277">
        <v>0.70217300000000005</v>
      </c>
      <c r="R268" s="277">
        <v>0.84525499999999998</v>
      </c>
      <c r="S268" s="920">
        <v>0</v>
      </c>
      <c r="T268" s="874">
        <f t="shared" si="22"/>
        <v>8.5148689999999991</v>
      </c>
      <c r="U268" s="920">
        <v>3316.126666666667</v>
      </c>
      <c r="V268" s="920">
        <v>605.04766666666671</v>
      </c>
      <c r="W268" s="920">
        <v>276.04266666666666</v>
      </c>
      <c r="X268" s="920">
        <v>493.47</v>
      </c>
      <c r="Y268" s="920">
        <v>0</v>
      </c>
      <c r="Z268" s="874">
        <f t="shared" si="23"/>
        <v>1941.5663333333337</v>
      </c>
      <c r="AA268" s="920">
        <v>415.3</v>
      </c>
      <c r="AB268" s="920">
        <v>82.043000000000006</v>
      </c>
      <c r="AC268" s="920">
        <v>48.378999999999998</v>
      </c>
      <c r="AD268" s="920">
        <v>85.201999999999998</v>
      </c>
      <c r="AE268" s="920">
        <v>0</v>
      </c>
      <c r="AF268" s="920">
        <v>745.6</v>
      </c>
      <c r="AG268" s="920">
        <v>144.34899999999999</v>
      </c>
      <c r="AH268" s="920">
        <v>87.653999999999996</v>
      </c>
      <c r="AI268" s="920">
        <v>154.30500000000001</v>
      </c>
      <c r="AJ268" s="920">
        <v>0</v>
      </c>
      <c r="AK268" s="919">
        <f>Data[[#This Row],[Industry Cost ($m)]]/Data[[#This Row],[Industry Consumption]]</f>
        <v>1.7953286780640501</v>
      </c>
      <c r="AL268" s="919">
        <f>Data[[#This Row],[AAL Fuel Cost]]/Data[[#This Row],[AAL Consumption]]</f>
        <v>1.7594310300695974</v>
      </c>
      <c r="AM268" s="919">
        <f>Data[[#This Row],[DAL Fuel Cost]]/Data[[#This Row],[DAL Consumption]]</f>
        <v>1.8118191777424089</v>
      </c>
      <c r="AN268" s="919">
        <f>Data[[#This Row],[UAL Fuel Cost]]/Data[[#This Row],[UALConsumption]]</f>
        <v>1.8110490364075962</v>
      </c>
      <c r="AO268" s="919">
        <f>IFERROR(Data[[#This Row],[LUV Fuel Cost]]/Data[[#This Row],[LUV Consumption]],0)</f>
        <v>0</v>
      </c>
      <c r="AP268" s="783"/>
      <c r="AQ268" s="783"/>
      <c r="AR268" s="253"/>
      <c r="AS268" s="253"/>
      <c r="AT268" s="253"/>
      <c r="AU268" s="253"/>
    </row>
    <row r="269" spans="1:47" ht="10.5" customHeight="1">
      <c r="A269" s="263">
        <v>38748</v>
      </c>
      <c r="B269" s="263" t="s">
        <v>537</v>
      </c>
      <c r="C269" s="277">
        <v>13.631349999999999</v>
      </c>
      <c r="D269" s="277">
        <v>5.419143</v>
      </c>
      <c r="E269" s="277">
        <v>2.8000729999999998</v>
      </c>
      <c r="F269" s="277">
        <v>4.5503720000000003</v>
      </c>
      <c r="G269" s="277">
        <v>0</v>
      </c>
      <c r="H269" s="284">
        <f t="shared" si="20"/>
        <v>0.86176200000000058</v>
      </c>
      <c r="I269" s="277">
        <v>10.254728</v>
      </c>
      <c r="J269" s="277">
        <v>3.9834369999999999</v>
      </c>
      <c r="K269" s="277">
        <v>2.052368</v>
      </c>
      <c r="L269" s="277">
        <v>3.5979950000000001</v>
      </c>
      <c r="M269" s="277">
        <v>0</v>
      </c>
      <c r="N269" s="284">
        <f t="shared" si="21"/>
        <v>0.62092799999999926</v>
      </c>
      <c r="O269" s="277">
        <v>11.724098</v>
      </c>
      <c r="P269" s="277">
        <v>1.7196769999999999</v>
      </c>
      <c r="Q269" s="277">
        <v>0.66910700000000001</v>
      </c>
      <c r="R269" s="277">
        <v>0.85265100000000005</v>
      </c>
      <c r="S269" s="920">
        <v>0</v>
      </c>
      <c r="T269" s="874">
        <f t="shared" si="22"/>
        <v>8.4826629999999987</v>
      </c>
      <c r="U269" s="920">
        <v>3329.8809999999999</v>
      </c>
      <c r="V269" s="920">
        <v>630.24400000000003</v>
      </c>
      <c r="W269" s="920">
        <v>252.94799999999998</v>
      </c>
      <c r="X269" s="920">
        <v>484.62100000000004</v>
      </c>
      <c r="Y269" s="920">
        <v>0</v>
      </c>
      <c r="Z269" s="874">
        <f t="shared" si="23"/>
        <v>1962.0679999999998</v>
      </c>
      <c r="AA269" s="920">
        <v>411.2</v>
      </c>
      <c r="AB269" s="920">
        <v>82.983999999999995</v>
      </c>
      <c r="AC269" s="920">
        <v>45.832999999999998</v>
      </c>
      <c r="AD269" s="920">
        <v>84.923000000000002</v>
      </c>
      <c r="AE269" s="920">
        <v>0</v>
      </c>
      <c r="AF269" s="920">
        <v>748.2</v>
      </c>
      <c r="AG269" s="920">
        <v>150.233</v>
      </c>
      <c r="AH269" s="920">
        <v>84.828999999999994</v>
      </c>
      <c r="AI269" s="920">
        <v>150.619</v>
      </c>
      <c r="AJ269" s="920">
        <v>0</v>
      </c>
      <c r="AK269" s="919">
        <f>Data[[#This Row],[Industry Cost ($m)]]/Data[[#This Row],[Industry Consumption]]</f>
        <v>1.8195525291828796</v>
      </c>
      <c r="AL269" s="919">
        <f>Data[[#This Row],[AAL Fuel Cost]]/Data[[#This Row],[AAL Consumption]]</f>
        <v>1.810385134483756</v>
      </c>
      <c r="AM269" s="919">
        <f>Data[[#This Row],[DAL Fuel Cost]]/Data[[#This Row],[DAL Consumption]]</f>
        <v>1.8508280060218618</v>
      </c>
      <c r="AN269" s="919">
        <f>Data[[#This Row],[UAL Fuel Cost]]/Data[[#This Row],[UALConsumption]]</f>
        <v>1.7735949036185721</v>
      </c>
      <c r="AO269" s="919">
        <f>IFERROR(Data[[#This Row],[LUV Fuel Cost]]/Data[[#This Row],[LUV Consumption]],0)</f>
        <v>0</v>
      </c>
      <c r="AP269" s="783"/>
      <c r="AQ269" s="783"/>
      <c r="AR269" s="253"/>
      <c r="AS269" s="253"/>
      <c r="AT269" s="253"/>
      <c r="AU269" s="253"/>
    </row>
    <row r="270" spans="1:47" ht="10.5" customHeight="1">
      <c r="A270" s="263">
        <v>38776</v>
      </c>
      <c r="B270" s="263" t="s">
        <v>537</v>
      </c>
      <c r="C270" s="277">
        <v>12.17651</v>
      </c>
      <c r="D270" s="277">
        <v>4.8409309999999994</v>
      </c>
      <c r="E270" s="277">
        <v>2.4417310000000003</v>
      </c>
      <c r="F270" s="277">
        <v>4.0833979999999999</v>
      </c>
      <c r="G270" s="277">
        <v>0</v>
      </c>
      <c r="H270" s="284">
        <f t="shared" si="20"/>
        <v>0.81044999999999945</v>
      </c>
      <c r="I270" s="277">
        <v>8.7078070000000007</v>
      </c>
      <c r="J270" s="277">
        <v>3.3652860000000002</v>
      </c>
      <c r="K270" s="277">
        <v>1.6976089999999999</v>
      </c>
      <c r="L270" s="277">
        <v>3.0469409999999999</v>
      </c>
      <c r="M270" s="277">
        <v>0</v>
      </c>
      <c r="N270" s="284">
        <f t="shared" si="21"/>
        <v>0.59797100000000114</v>
      </c>
      <c r="O270" s="277">
        <v>10.167275</v>
      </c>
      <c r="P270" s="277">
        <v>1.4782789999999999</v>
      </c>
      <c r="Q270" s="277">
        <v>0.56204299999999996</v>
      </c>
      <c r="R270" s="277">
        <v>0.74024599999999996</v>
      </c>
      <c r="S270" s="920">
        <v>0</v>
      </c>
      <c r="T270" s="874">
        <f t="shared" si="22"/>
        <v>7.3867070000000004</v>
      </c>
      <c r="U270" s="920">
        <v>3329.8809999999999</v>
      </c>
      <c r="V270" s="920">
        <v>630.24400000000003</v>
      </c>
      <c r="W270" s="920">
        <v>252.94799999999998</v>
      </c>
      <c r="X270" s="920">
        <v>484.62100000000004</v>
      </c>
      <c r="Y270" s="920">
        <v>0</v>
      </c>
      <c r="Z270" s="874">
        <f t="shared" si="23"/>
        <v>1962.0679999999998</v>
      </c>
      <c r="AA270" s="920">
        <v>372.1</v>
      </c>
      <c r="AB270" s="920">
        <v>73.48</v>
      </c>
      <c r="AC270" s="920">
        <v>40.415999999999997</v>
      </c>
      <c r="AD270" s="920">
        <v>75.628</v>
      </c>
      <c r="AE270" s="920">
        <v>0</v>
      </c>
      <c r="AF270" s="920">
        <v>693.6</v>
      </c>
      <c r="AG270" s="920">
        <v>137.31700000000001</v>
      </c>
      <c r="AH270" s="920">
        <v>75.135999999999996</v>
      </c>
      <c r="AI270" s="920">
        <v>133.98400000000001</v>
      </c>
      <c r="AJ270" s="920">
        <v>0</v>
      </c>
      <c r="AK270" s="919">
        <f>Data[[#This Row],[Industry Cost ($m)]]/Data[[#This Row],[Industry Consumption]]</f>
        <v>1.8640150497178178</v>
      </c>
      <c r="AL270" s="919">
        <f>Data[[#This Row],[AAL Fuel Cost]]/Data[[#This Row],[AAL Consumption]]</f>
        <v>1.8687670114316821</v>
      </c>
      <c r="AM270" s="919">
        <f>Data[[#This Row],[DAL Fuel Cost]]/Data[[#This Row],[DAL Consumption]]</f>
        <v>1.8590657165479019</v>
      </c>
      <c r="AN270" s="919">
        <f>Data[[#This Row],[UAL Fuel Cost]]/Data[[#This Row],[UALConsumption]]</f>
        <v>1.7716189770984292</v>
      </c>
      <c r="AO270" s="919">
        <f>IFERROR(Data[[#This Row],[LUV Fuel Cost]]/Data[[#This Row],[LUV Consumption]],0)</f>
        <v>0</v>
      </c>
      <c r="AP270" s="783"/>
      <c r="AQ270" s="783"/>
      <c r="AR270" s="253"/>
      <c r="AS270" s="253"/>
      <c r="AT270" s="253"/>
      <c r="AU270" s="253"/>
    </row>
    <row r="271" spans="1:47" ht="10.5" customHeight="1">
      <c r="A271" s="263">
        <v>38807</v>
      </c>
      <c r="B271" s="263" t="s">
        <v>537</v>
      </c>
      <c r="C271" s="277">
        <v>14.066109000000001</v>
      </c>
      <c r="D271" s="277">
        <v>5.469144</v>
      </c>
      <c r="E271" s="277">
        <v>3.1120410000000001</v>
      </c>
      <c r="F271" s="277">
        <v>4.5483580000000003</v>
      </c>
      <c r="G271" s="277">
        <v>0</v>
      </c>
      <c r="H271" s="284">
        <f t="shared" si="20"/>
        <v>0.9365660000000009</v>
      </c>
      <c r="I271" s="277">
        <v>11.246304</v>
      </c>
      <c r="J271" s="277">
        <v>4.2134650000000002</v>
      </c>
      <c r="K271" s="277">
        <v>2.4673129999999999</v>
      </c>
      <c r="L271" s="277">
        <v>3.8477009999999998</v>
      </c>
      <c r="M271" s="277">
        <v>0</v>
      </c>
      <c r="N271" s="284">
        <f t="shared" si="21"/>
        <v>0.71782499999999949</v>
      </c>
      <c r="O271" s="277">
        <v>12.707241</v>
      </c>
      <c r="P271" s="277">
        <v>1.817529</v>
      </c>
      <c r="Q271" s="277">
        <v>0.79344700000000001</v>
      </c>
      <c r="R271" s="277">
        <v>0.92279500000000003</v>
      </c>
      <c r="S271" s="920">
        <v>0</v>
      </c>
      <c r="T271" s="874">
        <f t="shared" si="22"/>
        <v>9.17347</v>
      </c>
      <c r="U271" s="920">
        <v>3329.8809999999999</v>
      </c>
      <c r="V271" s="920">
        <v>630.24400000000003</v>
      </c>
      <c r="W271" s="920">
        <v>252.94799999999998</v>
      </c>
      <c r="X271" s="920">
        <v>484.62100000000004</v>
      </c>
      <c r="Y271" s="920">
        <v>0</v>
      </c>
      <c r="Z271" s="874">
        <f t="shared" si="23"/>
        <v>1962.0679999999998</v>
      </c>
      <c r="AA271" s="920">
        <v>440.4</v>
      </c>
      <c r="AB271" s="920">
        <v>83.454999999999998</v>
      </c>
      <c r="AC271" s="920">
        <v>51.462000000000003</v>
      </c>
      <c r="AD271" s="920">
        <v>87.173000000000002</v>
      </c>
      <c r="AE271" s="920">
        <v>0</v>
      </c>
      <c r="AF271" s="920">
        <v>824</v>
      </c>
      <c r="AG271" s="920">
        <v>153.62899999999999</v>
      </c>
      <c r="AH271" s="920">
        <v>96.51</v>
      </c>
      <c r="AI271" s="920">
        <v>156.14599999999999</v>
      </c>
      <c r="AJ271" s="920">
        <v>0</v>
      </c>
      <c r="AK271" s="919">
        <f>Data[[#This Row],[Industry Cost ($m)]]/Data[[#This Row],[Industry Consumption]]</f>
        <v>1.8710263396911899</v>
      </c>
      <c r="AL271" s="919">
        <f>Data[[#This Row],[AAL Fuel Cost]]/Data[[#This Row],[AAL Consumption]]</f>
        <v>1.840860343897909</v>
      </c>
      <c r="AM271" s="919">
        <f>Data[[#This Row],[DAL Fuel Cost]]/Data[[#This Row],[DAL Consumption]]</f>
        <v>1.8753643465081031</v>
      </c>
      <c r="AN271" s="919">
        <f>Data[[#This Row],[UAL Fuel Cost]]/Data[[#This Row],[UALConsumption]]</f>
        <v>1.7912197584114344</v>
      </c>
      <c r="AO271" s="919">
        <f>IFERROR(Data[[#This Row],[LUV Fuel Cost]]/Data[[#This Row],[LUV Consumption]],0)</f>
        <v>0</v>
      </c>
      <c r="AP271" s="783"/>
      <c r="AQ271" s="783"/>
      <c r="AR271" s="253"/>
      <c r="AS271" s="253"/>
      <c r="AT271" s="253"/>
      <c r="AU271" s="253"/>
    </row>
    <row r="272" spans="1:47" ht="10.5" customHeight="1">
      <c r="A272" s="263">
        <v>38837</v>
      </c>
      <c r="B272" s="263" t="s">
        <v>537</v>
      </c>
      <c r="C272" s="277">
        <v>14.121427000000001</v>
      </c>
      <c r="D272" s="277">
        <v>5.5108459999999999</v>
      </c>
      <c r="E272" s="277">
        <v>3.1503809999999999</v>
      </c>
      <c r="F272" s="277">
        <v>4.5670539999999997</v>
      </c>
      <c r="G272" s="277">
        <v>0</v>
      </c>
      <c r="H272" s="284">
        <f t="shared" si="20"/>
        <v>0.89314600000000155</v>
      </c>
      <c r="I272" s="277">
        <v>11.138123999999999</v>
      </c>
      <c r="J272" s="277">
        <v>4.2592920000000003</v>
      </c>
      <c r="K272" s="277">
        <v>2.4942000000000002</v>
      </c>
      <c r="L272" s="277">
        <v>3.7050999999999998</v>
      </c>
      <c r="M272" s="277">
        <v>0</v>
      </c>
      <c r="N272" s="284">
        <f t="shared" si="21"/>
        <v>0.67953200000000002</v>
      </c>
      <c r="O272" s="277">
        <v>12.619137</v>
      </c>
      <c r="P272" s="277">
        <v>1.8061970000000001</v>
      </c>
      <c r="Q272" s="277">
        <v>0.78446099999999996</v>
      </c>
      <c r="R272" s="277">
        <v>0.89514899999999997</v>
      </c>
      <c r="S272" s="920">
        <v>0</v>
      </c>
      <c r="T272" s="874">
        <f t="shared" si="22"/>
        <v>9.1333300000000008</v>
      </c>
      <c r="U272" s="920">
        <v>3826.7029999999995</v>
      </c>
      <c r="V272" s="920">
        <v>729.97033333333331</v>
      </c>
      <c r="W272" s="920">
        <v>379.00600000000003</v>
      </c>
      <c r="X272" s="920">
        <v>546.73533333333341</v>
      </c>
      <c r="Y272" s="920">
        <v>0</v>
      </c>
      <c r="Z272" s="874">
        <f t="shared" si="23"/>
        <v>2170.9913333333329</v>
      </c>
      <c r="AA272" s="920">
        <v>426.2</v>
      </c>
      <c r="AB272" s="920">
        <v>84.262</v>
      </c>
      <c r="AC272" s="920">
        <v>51.831000000000003</v>
      </c>
      <c r="AD272" s="920">
        <v>83.343999999999994</v>
      </c>
      <c r="AE272" s="920">
        <v>0</v>
      </c>
      <c r="AF272" s="920">
        <v>838.3</v>
      </c>
      <c r="AG272" s="920">
        <v>160.31700000000001</v>
      </c>
      <c r="AH272" s="920">
        <v>102.16800000000001</v>
      </c>
      <c r="AI272" s="920">
        <v>158.93</v>
      </c>
      <c r="AJ272" s="920">
        <v>0</v>
      </c>
      <c r="AK272" s="919">
        <f>Data[[#This Row],[Industry Cost ($m)]]/Data[[#This Row],[Industry Consumption]]</f>
        <v>1.9669169404035662</v>
      </c>
      <c r="AL272" s="919">
        <f>Data[[#This Row],[AAL Fuel Cost]]/Data[[#This Row],[AAL Consumption]]</f>
        <v>1.9026014098882058</v>
      </c>
      <c r="AM272" s="919">
        <f>Data[[#This Row],[DAL Fuel Cost]]/Data[[#This Row],[DAL Consumption]]</f>
        <v>1.9711755513109914</v>
      </c>
      <c r="AN272" s="919">
        <f>Data[[#This Row],[UAL Fuel Cost]]/Data[[#This Row],[UALConsumption]]</f>
        <v>1.9069159147629107</v>
      </c>
      <c r="AO272" s="919">
        <f>IFERROR(Data[[#This Row],[LUV Fuel Cost]]/Data[[#This Row],[LUV Consumption]],0)</f>
        <v>0</v>
      </c>
      <c r="AP272" s="783"/>
      <c r="AQ272" s="783"/>
      <c r="AR272" s="253"/>
      <c r="AS272" s="253"/>
      <c r="AT272" s="253"/>
      <c r="AU272" s="253"/>
    </row>
    <row r="273" spans="1:47" ht="10.5" customHeight="1">
      <c r="A273" s="263">
        <v>38868</v>
      </c>
      <c r="B273" s="263" t="s">
        <v>537</v>
      </c>
      <c r="C273" s="277">
        <v>14.698218000000001</v>
      </c>
      <c r="D273" s="277">
        <v>5.743932</v>
      </c>
      <c r="E273" s="277">
        <v>3.5991740000000001</v>
      </c>
      <c r="F273" s="277">
        <v>4.6124660000000004</v>
      </c>
      <c r="G273" s="277">
        <v>0</v>
      </c>
      <c r="H273" s="284">
        <f t="shared" si="20"/>
        <v>0.74264600000000058</v>
      </c>
      <c r="I273" s="277">
        <v>11.69516</v>
      </c>
      <c r="J273" s="277">
        <v>4.3971</v>
      </c>
      <c r="K273" s="277">
        <v>2.8415819999999998</v>
      </c>
      <c r="L273" s="277">
        <v>3.888976</v>
      </c>
      <c r="M273" s="277">
        <v>0</v>
      </c>
      <c r="N273" s="284">
        <f t="shared" si="21"/>
        <v>0.56750199999999928</v>
      </c>
      <c r="O273" s="277">
        <v>12.610792999999999</v>
      </c>
      <c r="P273" s="277">
        <v>1.8122739999999999</v>
      </c>
      <c r="Q273" s="277">
        <v>0.84184400000000004</v>
      </c>
      <c r="R273" s="277">
        <v>0.92020599999999997</v>
      </c>
      <c r="S273" s="920">
        <v>0</v>
      </c>
      <c r="T273" s="874">
        <f t="shared" si="22"/>
        <v>9.0364690000000003</v>
      </c>
      <c r="U273" s="920">
        <v>3826.7029999999995</v>
      </c>
      <c r="V273" s="920">
        <v>729.97033333333331</v>
      </c>
      <c r="W273" s="920">
        <v>379.00600000000003</v>
      </c>
      <c r="X273" s="920">
        <v>546.73533333333341</v>
      </c>
      <c r="Y273" s="920">
        <v>0</v>
      </c>
      <c r="Z273" s="874">
        <f t="shared" si="23"/>
        <v>2170.9913333333329</v>
      </c>
      <c r="AA273" s="920">
        <v>448.1</v>
      </c>
      <c r="AB273" s="920">
        <v>88.263000000000005</v>
      </c>
      <c r="AC273" s="920">
        <v>57.344999999999999</v>
      </c>
      <c r="AD273" s="920">
        <v>83.147999999999996</v>
      </c>
      <c r="AE273" s="920">
        <v>0</v>
      </c>
      <c r="AF273" s="920">
        <v>937.7</v>
      </c>
      <c r="AG273" s="920">
        <v>183.59100000000001</v>
      </c>
      <c r="AH273" s="920">
        <v>119.601</v>
      </c>
      <c r="AI273" s="920">
        <v>169.83600000000001</v>
      </c>
      <c r="AJ273" s="920">
        <v>0</v>
      </c>
      <c r="AK273" s="919">
        <f>Data[[#This Row],[Industry Cost ($m)]]/Data[[#This Row],[Industry Consumption]]</f>
        <v>2.0926132559696495</v>
      </c>
      <c r="AL273" s="919">
        <f>Data[[#This Row],[AAL Fuel Cost]]/Data[[#This Row],[AAL Consumption]]</f>
        <v>2.0800448659121034</v>
      </c>
      <c r="AM273" s="919">
        <f>Data[[#This Row],[DAL Fuel Cost]]/Data[[#This Row],[DAL Consumption]]</f>
        <v>2.085639550091551</v>
      </c>
      <c r="AN273" s="919">
        <f>Data[[#This Row],[UAL Fuel Cost]]/Data[[#This Row],[UALConsumption]]</f>
        <v>2.042574686101891</v>
      </c>
      <c r="AO273" s="919">
        <f>IFERROR(Data[[#This Row],[LUV Fuel Cost]]/Data[[#This Row],[LUV Consumption]],0)</f>
        <v>0</v>
      </c>
      <c r="AP273" s="783"/>
      <c r="AQ273" s="783"/>
      <c r="AR273" s="253"/>
      <c r="AS273" s="253"/>
      <c r="AT273" s="253"/>
      <c r="AU273" s="253"/>
    </row>
    <row r="274" spans="1:47" ht="10.5" customHeight="1">
      <c r="A274" s="263">
        <v>38898</v>
      </c>
      <c r="B274" s="263" t="s">
        <v>537</v>
      </c>
      <c r="C274" s="277">
        <v>15.076981999999999</v>
      </c>
      <c r="D274" s="277">
        <v>5.659459</v>
      </c>
      <c r="E274" s="277">
        <v>4.0829499999999994</v>
      </c>
      <c r="F274" s="277">
        <v>4.5902529999999997</v>
      </c>
      <c r="G274" s="277">
        <v>0</v>
      </c>
      <c r="H274" s="284">
        <f t="shared" si="20"/>
        <v>0.74432000000000009</v>
      </c>
      <c r="I274" s="277">
        <v>12.85735</v>
      </c>
      <c r="J274" s="277">
        <v>4.6503629999999996</v>
      </c>
      <c r="K274" s="277">
        <v>3.4870209999999999</v>
      </c>
      <c r="L274" s="277">
        <v>4.1472790000000002</v>
      </c>
      <c r="M274" s="277">
        <v>0</v>
      </c>
      <c r="N274" s="284">
        <f t="shared" si="21"/>
        <v>0.57268700000000194</v>
      </c>
      <c r="O274" s="277">
        <v>13.690835</v>
      </c>
      <c r="P274" s="277">
        <v>1.92666</v>
      </c>
      <c r="Q274" s="277">
        <v>1.03444</v>
      </c>
      <c r="R274" s="277">
        <v>0.98668299999999998</v>
      </c>
      <c r="S274" s="920">
        <v>0</v>
      </c>
      <c r="T274" s="874">
        <f t="shared" si="22"/>
        <v>9.7430519999999987</v>
      </c>
      <c r="U274" s="920">
        <v>3826.7029999999995</v>
      </c>
      <c r="V274" s="920">
        <v>729.97033333333331</v>
      </c>
      <c r="W274" s="920">
        <v>379.00600000000003</v>
      </c>
      <c r="X274" s="920">
        <v>546.73533333333341</v>
      </c>
      <c r="Y274" s="920">
        <v>0</v>
      </c>
      <c r="Z274" s="874">
        <f t="shared" si="23"/>
        <v>2170.9913333333329</v>
      </c>
      <c r="AA274" s="920">
        <v>437.9</v>
      </c>
      <c r="AB274" s="920">
        <v>88.197999999999993</v>
      </c>
      <c r="AC274" s="920">
        <v>47.024999999999999</v>
      </c>
      <c r="AD274" s="920">
        <v>83.363</v>
      </c>
      <c r="AE274" s="920">
        <v>0</v>
      </c>
      <c r="AF274" s="920">
        <v>955.2</v>
      </c>
      <c r="AG274" s="920">
        <v>186.72200000000001</v>
      </c>
      <c r="AH274" s="920">
        <v>125.623</v>
      </c>
      <c r="AI274" s="920">
        <v>174.35400000000001</v>
      </c>
      <c r="AJ274" s="920">
        <v>0</v>
      </c>
      <c r="AK274" s="919">
        <f>Data[[#This Row],[Industry Cost ($m)]]/Data[[#This Row],[Industry Consumption]]</f>
        <v>2.1813199360584612</v>
      </c>
      <c r="AL274" s="919">
        <f>Data[[#This Row],[AAL Fuel Cost]]/Data[[#This Row],[AAL Consumption]]</f>
        <v>2.1170774847502214</v>
      </c>
      <c r="AM274" s="919">
        <f>Data[[#This Row],[DAL Fuel Cost]]/Data[[#This Row],[DAL Consumption]]</f>
        <v>2.6714088250930357</v>
      </c>
      <c r="AN274" s="919">
        <f>Data[[#This Row],[UAL Fuel Cost]]/Data[[#This Row],[UALConsumption]]</f>
        <v>2.091503424780778</v>
      </c>
      <c r="AO274" s="919">
        <f>IFERROR(Data[[#This Row],[LUV Fuel Cost]]/Data[[#This Row],[LUV Consumption]],0)</f>
        <v>0</v>
      </c>
      <c r="AP274" s="783"/>
      <c r="AQ274" s="783"/>
      <c r="AR274" s="253"/>
      <c r="AS274" s="253"/>
      <c r="AT274" s="253"/>
      <c r="AU274" s="253"/>
    </row>
    <row r="275" spans="1:47" ht="10.5" customHeight="1">
      <c r="A275" s="263">
        <v>38929</v>
      </c>
      <c r="B275" s="263" t="s">
        <v>537</v>
      </c>
      <c r="C275" s="277">
        <v>15.791857</v>
      </c>
      <c r="D275" s="277">
        <v>5.9149219999999998</v>
      </c>
      <c r="E275" s="277">
        <v>4.3254729999999997</v>
      </c>
      <c r="F275" s="277">
        <v>4.7877479999999997</v>
      </c>
      <c r="G275" s="277">
        <v>0</v>
      </c>
      <c r="H275" s="284">
        <f t="shared" si="20"/>
        <v>0.76371400000000023</v>
      </c>
      <c r="I275" s="277">
        <v>13.517068</v>
      </c>
      <c r="J275" s="277">
        <v>5.0163599999999997</v>
      </c>
      <c r="K275" s="277">
        <v>3.6812830000000001</v>
      </c>
      <c r="L275" s="277">
        <v>4.2194849999999997</v>
      </c>
      <c r="M275" s="277">
        <v>0</v>
      </c>
      <c r="N275" s="284">
        <f t="shared" si="21"/>
        <v>0.59994000000000192</v>
      </c>
      <c r="O275" s="277">
        <v>14.912621</v>
      </c>
      <c r="P275" s="277">
        <v>2.1552609999999999</v>
      </c>
      <c r="Q275" s="277">
        <v>1.1180619999999999</v>
      </c>
      <c r="R275" s="277">
        <v>1.024491</v>
      </c>
      <c r="S275" s="920">
        <v>0</v>
      </c>
      <c r="T275" s="874">
        <f t="shared" si="22"/>
        <v>10.614806999999999</v>
      </c>
      <c r="U275" s="920">
        <v>4067.5963333333334</v>
      </c>
      <c r="V275" s="920">
        <v>769.31100000000004</v>
      </c>
      <c r="W275" s="920">
        <v>431.97633333333334</v>
      </c>
      <c r="X275" s="920">
        <v>581.08266666666668</v>
      </c>
      <c r="Y275" s="920">
        <v>0</v>
      </c>
      <c r="Z275" s="874">
        <f t="shared" si="23"/>
        <v>2285.2263333333331</v>
      </c>
      <c r="AA275" s="920">
        <v>472.8</v>
      </c>
      <c r="AB275" s="920">
        <v>96.534999999999997</v>
      </c>
      <c r="AC275" s="920">
        <v>69.813999999999993</v>
      </c>
      <c r="AD275" s="920">
        <v>86.328999999999994</v>
      </c>
      <c r="AE275" s="920">
        <v>0</v>
      </c>
      <c r="AF275" s="920">
        <v>1023.5</v>
      </c>
      <c r="AG275" s="920">
        <v>197.23500000000001</v>
      </c>
      <c r="AH275" s="920">
        <v>149.886</v>
      </c>
      <c r="AI275" s="920">
        <v>181.01400000000001</v>
      </c>
      <c r="AJ275" s="920">
        <v>0</v>
      </c>
      <c r="AK275" s="919">
        <f>Data[[#This Row],[Industry Cost ($m)]]/Data[[#This Row],[Industry Consumption]]</f>
        <v>2.1647631133671741</v>
      </c>
      <c r="AL275" s="919">
        <f>Data[[#This Row],[AAL Fuel Cost]]/Data[[#This Row],[AAL Consumption]]</f>
        <v>2.0431449733257372</v>
      </c>
      <c r="AM275" s="919">
        <f>Data[[#This Row],[DAL Fuel Cost]]/Data[[#This Row],[DAL Consumption]]</f>
        <v>2.1469332798579082</v>
      </c>
      <c r="AN275" s="919">
        <f>Data[[#This Row],[UAL Fuel Cost]]/Data[[#This Row],[UALConsumption]]</f>
        <v>2.0967925030986114</v>
      </c>
      <c r="AO275" s="919">
        <f>IFERROR(Data[[#This Row],[LUV Fuel Cost]]/Data[[#This Row],[LUV Consumption]],0)</f>
        <v>0</v>
      </c>
      <c r="AP275" s="783"/>
      <c r="AQ275" s="783"/>
      <c r="AR275" s="253"/>
      <c r="AS275" s="253"/>
      <c r="AT275" s="253"/>
      <c r="AU275" s="253"/>
    </row>
    <row r="276" spans="1:47" ht="10.5" customHeight="1">
      <c r="A276" s="263">
        <v>38960</v>
      </c>
      <c r="B276" s="263" t="s">
        <v>537</v>
      </c>
      <c r="C276" s="277">
        <v>15.603434</v>
      </c>
      <c r="D276" s="277">
        <v>5.8378379999999996</v>
      </c>
      <c r="E276" s="277">
        <v>4.2422529999999998</v>
      </c>
      <c r="F276" s="277">
        <v>4.7877740000000006</v>
      </c>
      <c r="G276" s="277">
        <v>0</v>
      </c>
      <c r="H276" s="284">
        <f t="shared" si="20"/>
        <v>0.73556899999999992</v>
      </c>
      <c r="I276" s="277">
        <v>12.725572</v>
      </c>
      <c r="J276" s="277">
        <v>4.7288759999999996</v>
      </c>
      <c r="K276" s="277">
        <v>3.3523010000000002</v>
      </c>
      <c r="L276" s="277">
        <v>4.0769599999999997</v>
      </c>
      <c r="M276" s="277">
        <v>0</v>
      </c>
      <c r="N276" s="284">
        <f t="shared" si="21"/>
        <v>0.56743499999999969</v>
      </c>
      <c r="O276" s="277">
        <v>14.171796000000001</v>
      </c>
      <c r="P276" s="277">
        <v>2.020918</v>
      </c>
      <c r="Q276" s="277">
        <v>1.0089840000000001</v>
      </c>
      <c r="R276" s="277">
        <v>0.99232600000000004</v>
      </c>
      <c r="S276" s="920">
        <v>0</v>
      </c>
      <c r="T276" s="874">
        <f t="shared" si="22"/>
        <v>10.149568</v>
      </c>
      <c r="U276" s="920">
        <v>4067.5963333333334</v>
      </c>
      <c r="V276" s="920">
        <v>769.31100000000004</v>
      </c>
      <c r="W276" s="920">
        <v>431.97633333333334</v>
      </c>
      <c r="X276" s="920">
        <v>581.08266666666668</v>
      </c>
      <c r="Y276" s="920">
        <v>0</v>
      </c>
      <c r="Z276" s="874">
        <f t="shared" si="23"/>
        <v>2285.2263333333331</v>
      </c>
      <c r="AA276" s="920">
        <v>474.4</v>
      </c>
      <c r="AB276" s="920">
        <v>90.816999999999993</v>
      </c>
      <c r="AC276" s="920">
        <v>67.87</v>
      </c>
      <c r="AD276" s="920">
        <v>86.756</v>
      </c>
      <c r="AE276" s="920">
        <v>0</v>
      </c>
      <c r="AF276" s="920">
        <v>1044</v>
      </c>
      <c r="AG276" s="920">
        <v>199.61799999999999</v>
      </c>
      <c r="AH276" s="920">
        <v>154.17500000000001</v>
      </c>
      <c r="AI276" s="920">
        <v>184.63900000000001</v>
      </c>
      <c r="AJ276" s="920">
        <v>0</v>
      </c>
      <c r="AK276" s="919">
        <f>Data[[#This Row],[Industry Cost ($m)]]/Data[[#This Row],[Industry Consumption]]</f>
        <v>2.200674536256324</v>
      </c>
      <c r="AL276" s="919">
        <f>Data[[#This Row],[AAL Fuel Cost]]/Data[[#This Row],[AAL Consumption]]</f>
        <v>2.1980245989187046</v>
      </c>
      <c r="AM276" s="919">
        <f>Data[[#This Row],[DAL Fuel Cost]]/Data[[#This Row],[DAL Consumption]]</f>
        <v>2.2716222189479889</v>
      </c>
      <c r="AN276" s="919">
        <f>Data[[#This Row],[UAL Fuel Cost]]/Data[[#This Row],[UALConsumption]]</f>
        <v>2.1282562589330998</v>
      </c>
      <c r="AO276" s="919">
        <f>IFERROR(Data[[#This Row],[LUV Fuel Cost]]/Data[[#This Row],[LUV Consumption]],0)</f>
        <v>0</v>
      </c>
      <c r="AP276" s="783"/>
      <c r="AQ276" s="783"/>
      <c r="AR276" s="253"/>
      <c r="AS276" s="253"/>
      <c r="AT276" s="253"/>
      <c r="AU276" s="253"/>
    </row>
    <row r="277" spans="1:47" ht="10.5" customHeight="1">
      <c r="A277" s="263">
        <v>38990</v>
      </c>
      <c r="B277" s="263" t="s">
        <v>537</v>
      </c>
      <c r="C277" s="277">
        <v>14.376499000000001</v>
      </c>
      <c r="D277" s="277">
        <v>5.3872099999999996</v>
      </c>
      <c r="E277" s="277">
        <v>3.8205230000000001</v>
      </c>
      <c r="F277" s="277">
        <v>4.5126279999999994</v>
      </c>
      <c r="G277" s="277">
        <v>0</v>
      </c>
      <c r="H277" s="284">
        <f t="shared" si="20"/>
        <v>0.65613800000000211</v>
      </c>
      <c r="I277" s="277">
        <v>11.118943</v>
      </c>
      <c r="J277" s="277">
        <v>4.0151969999999997</v>
      </c>
      <c r="K277" s="277">
        <v>2.9383270000000001</v>
      </c>
      <c r="L277" s="277">
        <v>3.703716</v>
      </c>
      <c r="M277" s="277">
        <v>0</v>
      </c>
      <c r="N277" s="284">
        <f t="shared" si="21"/>
        <v>0.46170299999999997</v>
      </c>
      <c r="O277" s="277">
        <v>12.010922000000001</v>
      </c>
      <c r="P277" s="277">
        <v>1.5837319999999999</v>
      </c>
      <c r="Q277" s="277">
        <v>0.80035599999999996</v>
      </c>
      <c r="R277" s="277">
        <v>0.86095600000000005</v>
      </c>
      <c r="S277" s="920">
        <v>0</v>
      </c>
      <c r="T277" s="874">
        <f t="shared" si="22"/>
        <v>8.7658780000000007</v>
      </c>
      <c r="U277" s="920">
        <v>4067.5963333333334</v>
      </c>
      <c r="V277" s="920">
        <v>769.31100000000004</v>
      </c>
      <c r="W277" s="920">
        <v>431.97633333333334</v>
      </c>
      <c r="X277" s="920">
        <v>581.08266666666668</v>
      </c>
      <c r="Y277" s="920">
        <v>0</v>
      </c>
      <c r="Z277" s="874">
        <f t="shared" si="23"/>
        <v>2285.2263333333331</v>
      </c>
      <c r="AA277" s="920">
        <v>441.3</v>
      </c>
      <c r="AB277" s="920">
        <v>83.616</v>
      </c>
      <c r="AC277" s="920">
        <v>61.082000000000001</v>
      </c>
      <c r="AD277" s="920">
        <v>82.066000000000003</v>
      </c>
      <c r="AE277" s="920">
        <v>0</v>
      </c>
      <c r="AF277" s="920">
        <v>954.7</v>
      </c>
      <c r="AG277" s="920">
        <v>173.791</v>
      </c>
      <c r="AH277" s="920">
        <v>140.51</v>
      </c>
      <c r="AI277" s="920">
        <v>170.59399999999999</v>
      </c>
      <c r="AJ277" s="920">
        <v>0</v>
      </c>
      <c r="AK277" s="919">
        <f>Data[[#This Row],[Industry Cost ($m)]]/Data[[#This Row],[Industry Consumption]]</f>
        <v>2.1633809200090641</v>
      </c>
      <c r="AL277" s="919">
        <f>Data[[#This Row],[AAL Fuel Cost]]/Data[[#This Row],[AAL Consumption]]</f>
        <v>2.0784419249904325</v>
      </c>
      <c r="AM277" s="919">
        <f>Data[[#This Row],[DAL Fuel Cost]]/Data[[#This Row],[DAL Consumption]]</f>
        <v>2.300350348711568</v>
      </c>
      <c r="AN277" s="919">
        <f>Data[[#This Row],[UAL Fuel Cost]]/Data[[#This Row],[UALConsumption]]</f>
        <v>2.0787415007433041</v>
      </c>
      <c r="AO277" s="919">
        <f>IFERROR(Data[[#This Row],[LUV Fuel Cost]]/Data[[#This Row],[LUV Consumption]],0)</f>
        <v>0</v>
      </c>
      <c r="AP277" s="783"/>
      <c r="AQ277" s="783"/>
      <c r="AR277" s="253"/>
      <c r="AS277" s="253"/>
      <c r="AT277" s="253"/>
      <c r="AU277" s="253"/>
    </row>
    <row r="278" spans="1:47" ht="10.5" customHeight="1">
      <c r="A278" s="263">
        <v>39021</v>
      </c>
      <c r="B278" s="263" t="s">
        <v>537</v>
      </c>
      <c r="C278" s="277">
        <v>14.496732</v>
      </c>
      <c r="D278" s="277">
        <v>5.4293209999999998</v>
      </c>
      <c r="E278" s="277">
        <v>3.7446439999999996</v>
      </c>
      <c r="F278" s="277">
        <v>4.6108260000000003</v>
      </c>
      <c r="G278" s="277">
        <v>0</v>
      </c>
      <c r="H278" s="284">
        <f t="shared" si="20"/>
        <v>0.71194100000000127</v>
      </c>
      <c r="I278" s="277">
        <v>10.969765000000001</v>
      </c>
      <c r="J278" s="277">
        <v>3.9677769999999999</v>
      </c>
      <c r="K278" s="277">
        <v>2.781345</v>
      </c>
      <c r="L278" s="277">
        <v>3.7087720000000002</v>
      </c>
      <c r="M278" s="277">
        <v>0</v>
      </c>
      <c r="N278" s="284">
        <f t="shared" si="21"/>
        <v>0.51187100000000108</v>
      </c>
      <c r="O278" s="277">
        <v>11.517227999999999</v>
      </c>
      <c r="P278" s="277">
        <v>1.599153</v>
      </c>
      <c r="Q278" s="277">
        <v>0.771702</v>
      </c>
      <c r="R278" s="277">
        <v>0.85525799999999996</v>
      </c>
      <c r="S278" s="920">
        <v>0</v>
      </c>
      <c r="T278" s="874">
        <f t="shared" si="22"/>
        <v>8.2911149999999996</v>
      </c>
      <c r="U278" s="920">
        <v>3650.7786666666666</v>
      </c>
      <c r="V278" s="920">
        <v>672.19799999999998</v>
      </c>
      <c r="W278" s="920">
        <v>343.96299999999997</v>
      </c>
      <c r="X278" s="920">
        <v>526.6246666666666</v>
      </c>
      <c r="Y278" s="920">
        <v>0</v>
      </c>
      <c r="Z278" s="874">
        <f t="shared" si="23"/>
        <v>2107.9929999999999</v>
      </c>
      <c r="AA278" s="920">
        <v>440</v>
      </c>
      <c r="AB278" s="920">
        <v>84.087000000000003</v>
      </c>
      <c r="AC278" s="920">
        <v>59.734999999999999</v>
      </c>
      <c r="AD278" s="920">
        <v>83.326999999999998</v>
      </c>
      <c r="AE278" s="920">
        <v>0</v>
      </c>
      <c r="AF278" s="920">
        <v>887.2</v>
      </c>
      <c r="AG278" s="920">
        <v>159.11500000000001</v>
      </c>
      <c r="AH278" s="920">
        <v>132.834</v>
      </c>
      <c r="AI278" s="920">
        <v>161.42599999999999</v>
      </c>
      <c r="AJ278" s="920">
        <v>0</v>
      </c>
      <c r="AK278" s="919">
        <f>Data[[#This Row],[Industry Cost ($m)]]/Data[[#This Row],[Industry Consumption]]</f>
        <v>2.0163636363636366</v>
      </c>
      <c r="AL278" s="919">
        <f>Data[[#This Row],[AAL Fuel Cost]]/Data[[#This Row],[AAL Consumption]]</f>
        <v>1.89226634319217</v>
      </c>
      <c r="AM278" s="919">
        <f>Data[[#This Row],[DAL Fuel Cost]]/Data[[#This Row],[DAL Consumption]]</f>
        <v>2.223721436343852</v>
      </c>
      <c r="AN278" s="919">
        <f>Data[[#This Row],[UAL Fuel Cost]]/Data[[#This Row],[UALConsumption]]</f>
        <v>1.9372592317016093</v>
      </c>
      <c r="AO278" s="919">
        <f>IFERROR(Data[[#This Row],[LUV Fuel Cost]]/Data[[#This Row],[LUV Consumption]],0)</f>
        <v>0</v>
      </c>
      <c r="AP278" s="783"/>
      <c r="AQ278" s="783"/>
      <c r="AR278" s="253"/>
      <c r="AS278" s="253"/>
      <c r="AT278" s="253"/>
      <c r="AU278" s="253"/>
    </row>
    <row r="279" spans="1:47" ht="10.5" customHeight="1">
      <c r="A279" s="263">
        <v>39051</v>
      </c>
      <c r="B279" s="263" t="s">
        <v>537</v>
      </c>
      <c r="C279" s="277">
        <v>13.332027999999999</v>
      </c>
      <c r="D279" s="277">
        <v>4.9021360000000005</v>
      </c>
      <c r="E279" s="277">
        <v>3.1835360000000001</v>
      </c>
      <c r="F279" s="277">
        <v>4.4130339999999997</v>
      </c>
      <c r="G279" s="277">
        <v>0</v>
      </c>
      <c r="H279" s="284">
        <f t="shared" si="20"/>
        <v>0.83332199999999901</v>
      </c>
      <c r="I279" s="277">
        <v>10.242645</v>
      </c>
      <c r="J279" s="277">
        <v>3.6926359999999998</v>
      </c>
      <c r="K279" s="277">
        <v>2.4152230000000001</v>
      </c>
      <c r="L279" s="277">
        <v>3.549442</v>
      </c>
      <c r="M279" s="277">
        <v>0</v>
      </c>
      <c r="N279" s="284">
        <f t="shared" si="21"/>
        <v>0.5853439999999992</v>
      </c>
      <c r="O279" s="277">
        <v>11.222687000000001</v>
      </c>
      <c r="P279" s="277">
        <v>1.5838589999999999</v>
      </c>
      <c r="Q279" s="277">
        <v>0.72994800000000004</v>
      </c>
      <c r="R279" s="277">
        <v>0.83550100000000005</v>
      </c>
      <c r="S279" s="920">
        <v>0</v>
      </c>
      <c r="T279" s="874">
        <f t="shared" si="22"/>
        <v>8.073379000000001</v>
      </c>
      <c r="U279" s="920">
        <v>3650.7786666666666</v>
      </c>
      <c r="V279" s="920">
        <v>672.19799999999998</v>
      </c>
      <c r="W279" s="920">
        <v>343.96299999999997</v>
      </c>
      <c r="X279" s="920">
        <v>526.6246666666666</v>
      </c>
      <c r="Y279" s="920">
        <v>0</v>
      </c>
      <c r="Z279" s="874">
        <f t="shared" si="23"/>
        <v>2107.9929999999999</v>
      </c>
      <c r="AA279" s="920">
        <v>423.8</v>
      </c>
      <c r="AB279" s="920">
        <v>79.346000000000004</v>
      </c>
      <c r="AC279" s="920">
        <v>59.774000000000001</v>
      </c>
      <c r="AD279" s="920">
        <v>79.849000000000004</v>
      </c>
      <c r="AE279" s="920">
        <v>0</v>
      </c>
      <c r="AF279" s="920">
        <v>800.3</v>
      </c>
      <c r="AG279" s="920">
        <v>140.98500000000001</v>
      </c>
      <c r="AH279" s="920">
        <v>132.922</v>
      </c>
      <c r="AI279" s="920">
        <v>146.66800000000001</v>
      </c>
      <c r="AJ279" s="920">
        <v>0</v>
      </c>
      <c r="AK279" s="919">
        <f>Data[[#This Row],[Industry Cost ($m)]]/Data[[#This Row],[Industry Consumption]]</f>
        <v>1.8883907503539403</v>
      </c>
      <c r="AL279" s="919">
        <f>Data[[#This Row],[AAL Fuel Cost]]/Data[[#This Row],[AAL Consumption]]</f>
        <v>1.7768381518917149</v>
      </c>
      <c r="AM279" s="919">
        <f>Data[[#This Row],[DAL Fuel Cost]]/Data[[#This Row],[DAL Consumption]]</f>
        <v>2.2237427644126209</v>
      </c>
      <c r="AN279" s="919">
        <f>Data[[#This Row],[UAL Fuel Cost]]/Data[[#This Row],[UALConsumption]]</f>
        <v>1.836816992072537</v>
      </c>
      <c r="AO279" s="919">
        <f>IFERROR(Data[[#This Row],[LUV Fuel Cost]]/Data[[#This Row],[LUV Consumption]],0)</f>
        <v>0</v>
      </c>
      <c r="AP279" s="783"/>
      <c r="AQ279" s="783"/>
      <c r="AR279" s="253"/>
      <c r="AS279" s="253"/>
      <c r="AT279" s="253"/>
      <c r="AU279" s="253"/>
    </row>
    <row r="280" spans="1:47" ht="10.5" customHeight="1">
      <c r="A280" s="263">
        <v>39082</v>
      </c>
      <c r="B280" s="263" t="s">
        <v>537</v>
      </c>
      <c r="C280" s="277">
        <v>14.557779</v>
      </c>
      <c r="D280" s="277">
        <v>5.360525</v>
      </c>
      <c r="E280" s="277">
        <v>3.5730239999999998</v>
      </c>
      <c r="F280" s="277">
        <v>4.6331740000000003</v>
      </c>
      <c r="G280" s="277">
        <v>0</v>
      </c>
      <c r="H280" s="284">
        <f t="shared" si="20"/>
        <v>0.99105600000000038</v>
      </c>
      <c r="I280" s="277">
        <v>11.32296</v>
      </c>
      <c r="J280" s="277">
        <v>4.1098689999999998</v>
      </c>
      <c r="K280" s="277">
        <v>2.787245</v>
      </c>
      <c r="L280" s="277">
        <v>3.7158229999999999</v>
      </c>
      <c r="M280" s="277">
        <v>0</v>
      </c>
      <c r="N280" s="284">
        <f t="shared" si="21"/>
        <v>0.71002299999999963</v>
      </c>
      <c r="O280" s="277">
        <v>12.385958</v>
      </c>
      <c r="P280" s="277">
        <v>1.7829219999999999</v>
      </c>
      <c r="Q280" s="277">
        <v>0.89439299999999999</v>
      </c>
      <c r="R280" s="277">
        <v>0.88180000000000003</v>
      </c>
      <c r="S280" s="920">
        <v>0</v>
      </c>
      <c r="T280" s="874">
        <f t="shared" si="22"/>
        <v>8.8268430000000002</v>
      </c>
      <c r="U280" s="920">
        <v>3650.7786666666666</v>
      </c>
      <c r="V280" s="920">
        <v>672.19799999999998</v>
      </c>
      <c r="W280" s="920">
        <v>343.96299999999997</v>
      </c>
      <c r="X280" s="920">
        <v>526.6246666666666</v>
      </c>
      <c r="Y280" s="920">
        <v>0</v>
      </c>
      <c r="Z280" s="874">
        <f t="shared" si="23"/>
        <v>2107.9929999999999</v>
      </c>
      <c r="AA280" s="920">
        <v>432</v>
      </c>
      <c r="AB280" s="920">
        <v>82.388999999999996</v>
      </c>
      <c r="AC280" s="920">
        <v>56.198999999999998</v>
      </c>
      <c r="AD280" s="920">
        <v>83.373999999999995</v>
      </c>
      <c r="AE280" s="920">
        <v>0</v>
      </c>
      <c r="AF280" s="920">
        <v>828.4</v>
      </c>
      <c r="AG280" s="920">
        <v>154.19200000000001</v>
      </c>
      <c r="AH280" s="920">
        <v>115.42400000000001</v>
      </c>
      <c r="AI280" s="920">
        <v>151.58099999999999</v>
      </c>
      <c r="AJ280" s="920">
        <v>0</v>
      </c>
      <c r="AK280" s="919">
        <f>Data[[#This Row],[Industry Cost ($m)]]/Data[[#This Row],[Industry Consumption]]</f>
        <v>1.9175925925925925</v>
      </c>
      <c r="AL280" s="919">
        <f>Data[[#This Row],[AAL Fuel Cost]]/Data[[#This Row],[AAL Consumption]]</f>
        <v>1.8715119736858077</v>
      </c>
      <c r="AM280" s="919">
        <f>Data[[#This Row],[DAL Fuel Cost]]/Data[[#This Row],[DAL Consumption]]</f>
        <v>2.0538443744550618</v>
      </c>
      <c r="AN280" s="919">
        <f>Data[[#This Row],[UAL Fuel Cost]]/Data[[#This Row],[UALConsumption]]</f>
        <v>1.8180847746299806</v>
      </c>
      <c r="AO280" s="919">
        <f>IFERROR(Data[[#This Row],[LUV Fuel Cost]]/Data[[#This Row],[LUV Consumption]],0)</f>
        <v>0</v>
      </c>
      <c r="AP280" s="783"/>
      <c r="AQ280" s="783"/>
      <c r="AR280" s="253"/>
      <c r="AS280" s="253"/>
      <c r="AT280" s="253"/>
      <c r="AU280" s="253"/>
    </row>
    <row r="281" spans="1:47" ht="10.5" customHeight="1">
      <c r="A281" s="263">
        <v>39113</v>
      </c>
      <c r="B281" s="263" t="s">
        <v>537</v>
      </c>
      <c r="C281" s="277">
        <v>14.705002</v>
      </c>
      <c r="D281" s="277">
        <v>5.4404939999999993</v>
      </c>
      <c r="E281" s="277">
        <v>3.5979520000000003</v>
      </c>
      <c r="F281" s="277">
        <v>4.6330519999999993</v>
      </c>
      <c r="G281" s="277">
        <v>0</v>
      </c>
      <c r="H281" s="284">
        <f t="shared" si="20"/>
        <v>1.0335040000000006</v>
      </c>
      <c r="I281" s="277">
        <v>11.163788</v>
      </c>
      <c r="J281" s="277">
        <v>4.0472659999999996</v>
      </c>
      <c r="K281" s="277">
        <v>2.6913710000000002</v>
      </c>
      <c r="L281" s="277">
        <v>3.705838</v>
      </c>
      <c r="M281" s="277">
        <v>0</v>
      </c>
      <c r="N281" s="284">
        <f t="shared" si="21"/>
        <v>0.71931299999999965</v>
      </c>
      <c r="O281" s="277">
        <v>12.072442000000001</v>
      </c>
      <c r="P281" s="277">
        <v>1.7687379999999999</v>
      </c>
      <c r="Q281" s="277">
        <v>0.86582199999999998</v>
      </c>
      <c r="R281" s="277">
        <v>0.86560099999999995</v>
      </c>
      <c r="S281" s="920">
        <v>0</v>
      </c>
      <c r="T281" s="874">
        <f t="shared" si="22"/>
        <v>8.5722810000000003</v>
      </c>
      <c r="U281" s="920">
        <v>3710.2959999999998</v>
      </c>
      <c r="V281" s="920">
        <v>683.21466666666674</v>
      </c>
      <c r="W281" s="920">
        <v>346.73233333333332</v>
      </c>
      <c r="X281" s="920">
        <v>505.94133333333338</v>
      </c>
      <c r="Y281" s="920">
        <v>0</v>
      </c>
      <c r="Z281" s="874">
        <f t="shared" si="23"/>
        <v>2174.407666666666</v>
      </c>
      <c r="AA281" s="920">
        <v>431.5</v>
      </c>
      <c r="AB281" s="920">
        <v>83.456999999999994</v>
      </c>
      <c r="AC281" s="920">
        <v>56.433</v>
      </c>
      <c r="AD281" s="920">
        <v>82.454999999999998</v>
      </c>
      <c r="AE281" s="920">
        <v>0</v>
      </c>
      <c r="AF281" s="920">
        <v>821.4</v>
      </c>
      <c r="AG281" s="920">
        <v>151.78</v>
      </c>
      <c r="AH281" s="920">
        <v>110.717</v>
      </c>
      <c r="AI281" s="920">
        <v>149.88200000000001</v>
      </c>
      <c r="AJ281" s="920">
        <v>0</v>
      </c>
      <c r="AK281" s="919">
        <f>Data[[#This Row],[Industry Cost ($m)]]/Data[[#This Row],[Industry Consumption]]</f>
        <v>1.9035921205098494</v>
      </c>
      <c r="AL281" s="919">
        <f>Data[[#This Row],[AAL Fuel Cost]]/Data[[#This Row],[AAL Consumption]]</f>
        <v>1.8186611069173348</v>
      </c>
      <c r="AM281" s="919">
        <f>Data[[#This Row],[DAL Fuel Cost]]/Data[[#This Row],[DAL Consumption]]</f>
        <v>1.9619194442967767</v>
      </c>
      <c r="AN281" s="919">
        <f>Data[[#This Row],[UAL Fuel Cost]]/Data[[#This Row],[UALConsumption]]</f>
        <v>1.8177430113395185</v>
      </c>
      <c r="AO281" s="919">
        <f>IFERROR(Data[[#This Row],[LUV Fuel Cost]]/Data[[#This Row],[LUV Consumption]],0)</f>
        <v>0</v>
      </c>
      <c r="AP281" s="783"/>
      <c r="AQ281" s="783"/>
      <c r="AR281" s="253"/>
      <c r="AS281" s="253"/>
      <c r="AT281" s="253"/>
      <c r="AU281" s="253"/>
    </row>
    <row r="282" spans="1:47" ht="10.5" customHeight="1">
      <c r="A282" s="263">
        <v>39141</v>
      </c>
      <c r="B282" s="263" t="s">
        <v>537</v>
      </c>
      <c r="C282" s="277">
        <v>13.036659999999999</v>
      </c>
      <c r="D282" s="277">
        <v>4.7435979999999995</v>
      </c>
      <c r="E282" s="277">
        <v>3.1685110000000001</v>
      </c>
      <c r="F282" s="277">
        <v>4.1486279999999995</v>
      </c>
      <c r="G282" s="277">
        <v>0</v>
      </c>
      <c r="H282" s="284">
        <f t="shared" si="20"/>
        <v>0.97592299999999987</v>
      </c>
      <c r="I282" s="277">
        <v>9.4495799999999992</v>
      </c>
      <c r="J282" s="277">
        <v>3.4021710000000001</v>
      </c>
      <c r="K282" s="277">
        <v>2.228999</v>
      </c>
      <c r="L282" s="277">
        <v>3.1223010000000002</v>
      </c>
      <c r="M282" s="277">
        <v>0</v>
      </c>
      <c r="N282" s="284">
        <f t="shared" si="21"/>
        <v>0.69610899999999809</v>
      </c>
      <c r="O282" s="277">
        <v>10.59158</v>
      </c>
      <c r="P282" s="277">
        <v>1.49268</v>
      </c>
      <c r="Q282" s="277">
        <v>0.72819299999999998</v>
      </c>
      <c r="R282" s="277">
        <v>0.74682599999999999</v>
      </c>
      <c r="S282" s="920">
        <v>0</v>
      </c>
      <c r="T282" s="874">
        <f t="shared" si="22"/>
        <v>7.6238810000000008</v>
      </c>
      <c r="U282" s="920">
        <v>3710.2959999999998</v>
      </c>
      <c r="V282" s="920">
        <v>683.21466666666674</v>
      </c>
      <c r="W282" s="920">
        <v>346.73233333333332</v>
      </c>
      <c r="X282" s="920">
        <v>505.94133333333338</v>
      </c>
      <c r="Y282" s="920">
        <v>0</v>
      </c>
      <c r="Z282" s="874">
        <f t="shared" si="23"/>
        <v>2174.407666666666</v>
      </c>
      <c r="AA282" s="920">
        <v>382.6</v>
      </c>
      <c r="AB282" s="920">
        <v>73.224000000000004</v>
      </c>
      <c r="AC282" s="920">
        <v>48.994999999999997</v>
      </c>
      <c r="AD282" s="920">
        <v>73.933999999999997</v>
      </c>
      <c r="AE282" s="920">
        <v>0</v>
      </c>
      <c r="AF282" s="920">
        <v>681.1</v>
      </c>
      <c r="AG282" s="920">
        <v>128.64599999999999</v>
      </c>
      <c r="AH282" s="920">
        <v>92.418999999999997</v>
      </c>
      <c r="AI282" s="920">
        <v>134.35300000000001</v>
      </c>
      <c r="AJ282" s="920">
        <v>0</v>
      </c>
      <c r="AK282" s="919">
        <f>Data[[#This Row],[Industry Cost ($m)]]/Data[[#This Row],[Industry Consumption]]</f>
        <v>1.7801881860951385</v>
      </c>
      <c r="AL282" s="919">
        <f>Data[[#This Row],[AAL Fuel Cost]]/Data[[#This Row],[AAL Consumption]]</f>
        <v>1.7568829891838738</v>
      </c>
      <c r="AM282" s="919">
        <f>Data[[#This Row],[DAL Fuel Cost]]/Data[[#This Row],[DAL Consumption]]</f>
        <v>1.8862945198489642</v>
      </c>
      <c r="AN282" s="919">
        <f>Data[[#This Row],[UAL Fuel Cost]]/Data[[#This Row],[UALConsumption]]</f>
        <v>1.8172018286579925</v>
      </c>
      <c r="AO282" s="919">
        <f>IFERROR(Data[[#This Row],[LUV Fuel Cost]]/Data[[#This Row],[LUV Consumption]],0)</f>
        <v>0</v>
      </c>
      <c r="AP282" s="783"/>
      <c r="AQ282" s="783"/>
      <c r="AR282" s="253"/>
      <c r="AS282" s="253"/>
      <c r="AT282" s="253"/>
      <c r="AU282" s="253"/>
    </row>
    <row r="283" spans="1:47" ht="10.5" customHeight="1">
      <c r="A283" s="263">
        <v>39172</v>
      </c>
      <c r="B283" s="263" t="s">
        <v>537</v>
      </c>
      <c r="C283" s="277">
        <v>14.936292999999999</v>
      </c>
      <c r="D283" s="277">
        <v>5.3769010000000002</v>
      </c>
      <c r="E283" s="277">
        <v>3.745549</v>
      </c>
      <c r="F283" s="277">
        <v>4.6585270000000003</v>
      </c>
      <c r="G283" s="277">
        <v>0</v>
      </c>
      <c r="H283" s="284">
        <f t="shared" si="20"/>
        <v>1.1553159999999991</v>
      </c>
      <c r="I283" s="277">
        <v>12.142639000000001</v>
      </c>
      <c r="J283" s="277">
        <v>4.2470420000000004</v>
      </c>
      <c r="K283" s="277">
        <v>3.060924</v>
      </c>
      <c r="L283" s="277">
        <v>3.980429</v>
      </c>
      <c r="M283" s="277">
        <v>0</v>
      </c>
      <c r="N283" s="284">
        <f t="shared" si="21"/>
        <v>0.85424399999999956</v>
      </c>
      <c r="O283" s="277">
        <v>13.247375</v>
      </c>
      <c r="P283" s="277">
        <v>1.844066</v>
      </c>
      <c r="Q283" s="277">
        <v>0.97085399999999999</v>
      </c>
      <c r="R283" s="277">
        <v>0.94770699999999997</v>
      </c>
      <c r="S283" s="920">
        <v>0</v>
      </c>
      <c r="T283" s="874">
        <f t="shared" si="22"/>
        <v>9.4847479999999997</v>
      </c>
      <c r="U283" s="920">
        <v>3710.2959999999998</v>
      </c>
      <c r="V283" s="920">
        <v>683.21466666666674</v>
      </c>
      <c r="W283" s="920">
        <v>346.73233333333332</v>
      </c>
      <c r="X283" s="920">
        <v>505.94133333333338</v>
      </c>
      <c r="Y283" s="920">
        <v>0</v>
      </c>
      <c r="Z283" s="874">
        <f t="shared" si="23"/>
        <v>2174.407666666666</v>
      </c>
      <c r="AA283" s="920">
        <v>450.7</v>
      </c>
      <c r="AB283" s="920">
        <v>83.456000000000003</v>
      </c>
      <c r="AC283" s="920">
        <v>58.963000000000001</v>
      </c>
      <c r="AD283" s="920">
        <v>84.108000000000004</v>
      </c>
      <c r="AE283" s="920">
        <v>0</v>
      </c>
      <c r="AF283" s="920">
        <v>838.4</v>
      </c>
      <c r="AG283" s="920">
        <v>155.999</v>
      </c>
      <c r="AH283" s="920">
        <v>115.55500000000001</v>
      </c>
      <c r="AI283" s="920">
        <v>154.40100000000001</v>
      </c>
      <c r="AJ283" s="920">
        <v>0</v>
      </c>
      <c r="AK283" s="919">
        <f>Data[[#This Row],[Industry Cost ($m)]]/Data[[#This Row],[Industry Consumption]]</f>
        <v>1.8602174395384956</v>
      </c>
      <c r="AL283" s="919">
        <f>Data[[#This Row],[AAL Fuel Cost]]/Data[[#This Row],[AAL Consumption]]</f>
        <v>1.8692364838957054</v>
      </c>
      <c r="AM283" s="919">
        <f>Data[[#This Row],[DAL Fuel Cost]]/Data[[#This Row],[DAL Consumption]]</f>
        <v>1.9597883418414939</v>
      </c>
      <c r="AN283" s="919">
        <f>Data[[#This Row],[UAL Fuel Cost]]/Data[[#This Row],[UALConsumption]]</f>
        <v>1.8357468968469111</v>
      </c>
      <c r="AO283" s="919">
        <f>IFERROR(Data[[#This Row],[LUV Fuel Cost]]/Data[[#This Row],[LUV Consumption]],0)</f>
        <v>0</v>
      </c>
      <c r="AP283" s="783"/>
      <c r="AQ283" s="783"/>
      <c r="AR283" s="253"/>
      <c r="AS283" s="253"/>
      <c r="AT283" s="253"/>
      <c r="AU283" s="253"/>
    </row>
    <row r="284" spans="1:47" ht="10.5" customHeight="1">
      <c r="A284" s="263">
        <v>39202</v>
      </c>
      <c r="B284" s="263" t="s">
        <v>537</v>
      </c>
      <c r="C284" s="277">
        <v>14.803736000000001</v>
      </c>
      <c r="D284" s="277">
        <v>5.3461340000000002</v>
      </c>
      <c r="E284" s="277">
        <v>3.7315740000000002</v>
      </c>
      <c r="F284" s="277">
        <v>4.6711549999999997</v>
      </c>
      <c r="G284" s="277">
        <v>0</v>
      </c>
      <c r="H284" s="284">
        <f t="shared" si="20"/>
        <v>1.0548730000000006</v>
      </c>
      <c r="I284" s="277">
        <v>11.632014</v>
      </c>
      <c r="J284" s="277">
        <v>4.1486980000000004</v>
      </c>
      <c r="K284" s="277">
        <v>2.9343189999999999</v>
      </c>
      <c r="L284" s="277">
        <v>3.7769210000000002</v>
      </c>
      <c r="M284" s="277">
        <v>0</v>
      </c>
      <c r="N284" s="284">
        <f t="shared" si="21"/>
        <v>0.77207600000000021</v>
      </c>
      <c r="O284" s="277">
        <v>12.795517</v>
      </c>
      <c r="P284" s="277">
        <v>1.7871220000000001</v>
      </c>
      <c r="Q284" s="277">
        <v>0.90732199999999996</v>
      </c>
      <c r="R284" s="277">
        <v>0.89558400000000005</v>
      </c>
      <c r="S284" s="920">
        <v>0</v>
      </c>
      <c r="T284" s="874">
        <f t="shared" si="22"/>
        <v>9.205489</v>
      </c>
      <c r="U284" s="920">
        <v>4223.6540000000005</v>
      </c>
      <c r="V284" s="920">
        <v>735.91600000000005</v>
      </c>
      <c r="W284" s="920">
        <v>483.61166666666668</v>
      </c>
      <c r="X284" s="920">
        <v>607.07266666666669</v>
      </c>
      <c r="Y284" s="920">
        <v>0</v>
      </c>
      <c r="Z284" s="874">
        <f t="shared" si="23"/>
        <v>2397.0536666666667</v>
      </c>
      <c r="AA284" s="920">
        <v>436.6</v>
      </c>
      <c r="AB284" s="920">
        <v>82.787000000000006</v>
      </c>
      <c r="AC284" s="920">
        <v>58.835999999999999</v>
      </c>
      <c r="AD284" s="920">
        <v>84.108000000000004</v>
      </c>
      <c r="AE284" s="920">
        <v>0</v>
      </c>
      <c r="AF284" s="920">
        <v>851.8</v>
      </c>
      <c r="AG284" s="920">
        <v>162.166</v>
      </c>
      <c r="AH284" s="920">
        <v>118.794</v>
      </c>
      <c r="AI284" s="920">
        <v>154.40100000000001</v>
      </c>
      <c r="AJ284" s="920">
        <v>0</v>
      </c>
      <c r="AK284" s="919">
        <f>Data[[#This Row],[Industry Cost ($m)]]/Data[[#This Row],[Industry Consumption]]</f>
        <v>1.9509848831882728</v>
      </c>
      <c r="AL284" s="919">
        <f>Data[[#This Row],[AAL Fuel Cost]]/Data[[#This Row],[AAL Consumption]]</f>
        <v>1.9588341164675611</v>
      </c>
      <c r="AM284" s="919">
        <f>Data[[#This Row],[DAL Fuel Cost]]/Data[[#This Row],[DAL Consumption]]</f>
        <v>2.01906995716908</v>
      </c>
      <c r="AN284" s="919">
        <f>Data[[#This Row],[UAL Fuel Cost]]/Data[[#This Row],[UALConsumption]]</f>
        <v>1.8357468968469111</v>
      </c>
      <c r="AO284" s="919">
        <f>IFERROR(Data[[#This Row],[LUV Fuel Cost]]/Data[[#This Row],[LUV Consumption]],0)</f>
        <v>0</v>
      </c>
      <c r="AP284" s="783"/>
      <c r="AQ284" s="783"/>
      <c r="AR284" s="253"/>
      <c r="AS284" s="253"/>
      <c r="AT284" s="253"/>
      <c r="AU284" s="253"/>
    </row>
    <row r="285" spans="1:47" ht="10.5" customHeight="1">
      <c r="A285" s="263">
        <v>39233</v>
      </c>
      <c r="B285" s="263" t="s">
        <v>537</v>
      </c>
      <c r="C285" s="277">
        <v>15.384117</v>
      </c>
      <c r="D285" s="277">
        <v>5.5019549999999997</v>
      </c>
      <c r="E285" s="277">
        <v>4.0890550000000001</v>
      </c>
      <c r="F285" s="277">
        <v>4.8736259999999998</v>
      </c>
      <c r="G285" s="277">
        <v>0</v>
      </c>
      <c r="H285" s="284">
        <f t="shared" si="20"/>
        <v>0.91948099999999933</v>
      </c>
      <c r="I285" s="277">
        <v>12.165105000000001</v>
      </c>
      <c r="J285" s="277">
        <v>4.2343419999999998</v>
      </c>
      <c r="K285" s="277">
        <v>3.2125729999999999</v>
      </c>
      <c r="L285" s="277">
        <v>4.0368500000000003</v>
      </c>
      <c r="M285" s="277">
        <v>0</v>
      </c>
      <c r="N285" s="284">
        <f t="shared" si="21"/>
        <v>0.6813400000000005</v>
      </c>
      <c r="O285" s="277">
        <v>12.972588999999999</v>
      </c>
      <c r="P285" s="277">
        <v>1.767736</v>
      </c>
      <c r="Q285" s="277">
        <v>0.93166599999999999</v>
      </c>
      <c r="R285" s="277">
        <v>0.93779199999999996</v>
      </c>
      <c r="S285" s="920">
        <v>0</v>
      </c>
      <c r="T285" s="874">
        <f t="shared" si="22"/>
        <v>9.3353949999999983</v>
      </c>
      <c r="U285" s="920">
        <v>4223.6540000000005</v>
      </c>
      <c r="V285" s="920">
        <v>735.91600000000005</v>
      </c>
      <c r="W285" s="920">
        <v>483.61166666666668</v>
      </c>
      <c r="X285" s="920">
        <v>607.07266666666669</v>
      </c>
      <c r="Y285" s="920">
        <v>0</v>
      </c>
      <c r="Z285" s="874">
        <f t="shared" si="23"/>
        <v>2397.0536666666667</v>
      </c>
      <c r="AA285" s="920">
        <v>456.8</v>
      </c>
      <c r="AB285" s="920">
        <v>84.561000000000007</v>
      </c>
      <c r="AC285" s="920">
        <v>64.052999999999997</v>
      </c>
      <c r="AD285" s="920">
        <v>86.760999999999996</v>
      </c>
      <c r="AE285" s="920">
        <v>0</v>
      </c>
      <c r="AF285" s="920">
        <v>985</v>
      </c>
      <c r="AG285" s="920">
        <v>175.97300000000001</v>
      </c>
      <c r="AH285" s="920">
        <v>142.65299999999999</v>
      </c>
      <c r="AI285" s="920">
        <v>178.17400000000001</v>
      </c>
      <c r="AJ285" s="920">
        <v>0</v>
      </c>
      <c r="AK285" s="919">
        <f>Data[[#This Row],[Industry Cost ($m)]]/Data[[#This Row],[Industry Consumption]]</f>
        <v>2.1563047285464099</v>
      </c>
      <c r="AL285" s="919">
        <f>Data[[#This Row],[AAL Fuel Cost]]/Data[[#This Row],[AAL Consumption]]</f>
        <v>2.0810184363950284</v>
      </c>
      <c r="AM285" s="919">
        <f>Data[[#This Row],[DAL Fuel Cost]]/Data[[#This Row],[DAL Consumption]]</f>
        <v>2.2271088005245656</v>
      </c>
      <c r="AN285" s="919">
        <f>Data[[#This Row],[UAL Fuel Cost]]/Data[[#This Row],[UALConsumption]]</f>
        <v>2.0536185613351621</v>
      </c>
      <c r="AO285" s="919">
        <f>IFERROR(Data[[#This Row],[LUV Fuel Cost]]/Data[[#This Row],[LUV Consumption]],0)</f>
        <v>0</v>
      </c>
      <c r="AP285" s="783"/>
      <c r="AQ285" s="783"/>
      <c r="AR285" s="253"/>
      <c r="AS285" s="253"/>
      <c r="AT285" s="253"/>
      <c r="AU285" s="253"/>
    </row>
    <row r="286" spans="1:47" ht="10.5" customHeight="1">
      <c r="A286" s="263">
        <v>39263</v>
      </c>
      <c r="B286" s="263" t="s">
        <v>537</v>
      </c>
      <c r="C286" s="277">
        <v>15.972293000000001</v>
      </c>
      <c r="D286" s="277">
        <v>5.3839679999999994</v>
      </c>
      <c r="E286" s="277">
        <v>4.6881319999999995</v>
      </c>
      <c r="F286" s="277">
        <v>4.8832550000000001</v>
      </c>
      <c r="G286" s="277">
        <v>0</v>
      </c>
      <c r="H286" s="284">
        <f t="shared" si="20"/>
        <v>1.0169380000000015</v>
      </c>
      <c r="I286" s="277">
        <v>13.420949</v>
      </c>
      <c r="J286" s="277">
        <v>4.4550380000000001</v>
      </c>
      <c r="K286" s="277">
        <v>3.9163619999999999</v>
      </c>
      <c r="L286" s="277">
        <v>4.3049280000000003</v>
      </c>
      <c r="M286" s="277">
        <v>0</v>
      </c>
      <c r="N286" s="284">
        <f t="shared" si="21"/>
        <v>0.74462100000000042</v>
      </c>
      <c r="O286" s="277">
        <v>14.170877000000001</v>
      </c>
      <c r="P286" s="277">
        <v>1.8826890000000001</v>
      </c>
      <c r="Q286" s="277">
        <v>1.130654</v>
      </c>
      <c r="R286" s="277">
        <v>1.010445</v>
      </c>
      <c r="S286" s="920">
        <v>0</v>
      </c>
      <c r="T286" s="874">
        <f t="shared" si="22"/>
        <v>10.147089000000001</v>
      </c>
      <c r="U286" s="920">
        <v>4223.6540000000005</v>
      </c>
      <c r="V286" s="920">
        <v>735.91600000000005</v>
      </c>
      <c r="W286" s="920">
        <v>483.61166666666668</v>
      </c>
      <c r="X286" s="920">
        <v>607.07266666666669</v>
      </c>
      <c r="Y286" s="920">
        <v>0</v>
      </c>
      <c r="Z286" s="874">
        <f t="shared" si="23"/>
        <v>2397.0536666666667</v>
      </c>
      <c r="AA286" s="920">
        <v>468.4</v>
      </c>
      <c r="AB286" s="920">
        <v>84.629000000000005</v>
      </c>
      <c r="AC286" s="920">
        <v>73.275000000000006</v>
      </c>
      <c r="AD286" s="920">
        <v>87.194000000000003</v>
      </c>
      <c r="AE286" s="920">
        <v>0</v>
      </c>
      <c r="AF286" s="920">
        <v>982.2</v>
      </c>
      <c r="AG286" s="920">
        <v>175.65299999999999</v>
      </c>
      <c r="AH286" s="920">
        <v>162.995</v>
      </c>
      <c r="AI286" s="920">
        <v>182.72399999999999</v>
      </c>
      <c r="AJ286" s="920">
        <v>0</v>
      </c>
      <c r="AK286" s="919">
        <f>Data[[#This Row],[Industry Cost ($m)]]/Data[[#This Row],[Industry Consumption]]</f>
        <v>2.0969257045260461</v>
      </c>
      <c r="AL286" s="919">
        <f>Data[[#This Row],[AAL Fuel Cost]]/Data[[#This Row],[AAL Consumption]]</f>
        <v>2.0755651136135365</v>
      </c>
      <c r="AM286" s="919">
        <f>Data[[#This Row],[DAL Fuel Cost]]/Data[[#This Row],[DAL Consumption]]</f>
        <v>2.2244285226885019</v>
      </c>
      <c r="AN286" s="919">
        <f>Data[[#This Row],[UAL Fuel Cost]]/Data[[#This Row],[UALConsumption]]</f>
        <v>2.0956029084570038</v>
      </c>
      <c r="AO286" s="919">
        <f>IFERROR(Data[[#This Row],[LUV Fuel Cost]]/Data[[#This Row],[LUV Consumption]],0)</f>
        <v>0</v>
      </c>
      <c r="AP286" s="783"/>
      <c r="AQ286" s="783"/>
      <c r="AR286" s="253"/>
      <c r="AS286" s="253"/>
      <c r="AT286" s="253"/>
      <c r="AU286" s="253"/>
    </row>
    <row r="287" spans="1:47" ht="10.5" customHeight="1">
      <c r="A287" s="263">
        <v>39294</v>
      </c>
      <c r="B287" s="263" t="s">
        <v>537</v>
      </c>
      <c r="C287" s="277">
        <v>16.695837000000001</v>
      </c>
      <c r="D287" s="277">
        <v>5.6429399999999994</v>
      </c>
      <c r="E287" s="277">
        <v>4.9215169999999997</v>
      </c>
      <c r="F287" s="277">
        <v>5.0654449999999995</v>
      </c>
      <c r="G287" s="277">
        <v>0</v>
      </c>
      <c r="H287" s="284">
        <f t="shared" si="20"/>
        <v>1.0659350000000032</v>
      </c>
      <c r="I287" s="277">
        <v>14.203837</v>
      </c>
      <c r="J287" s="277">
        <v>4.8000230000000004</v>
      </c>
      <c r="K287" s="277">
        <v>4.1838090000000001</v>
      </c>
      <c r="L287" s="277">
        <v>4.3895379999999999</v>
      </c>
      <c r="M287" s="277">
        <v>0</v>
      </c>
      <c r="N287" s="284">
        <f t="shared" si="21"/>
        <v>0.83046700000000051</v>
      </c>
      <c r="O287" s="277">
        <v>15.470687</v>
      </c>
      <c r="P287" s="277">
        <v>2.0924700000000001</v>
      </c>
      <c r="Q287" s="277">
        <v>1.2382200000000001</v>
      </c>
      <c r="R287" s="277">
        <v>1.0377160000000001</v>
      </c>
      <c r="S287" s="920">
        <v>0</v>
      </c>
      <c r="T287" s="874">
        <f t="shared" si="22"/>
        <v>11.102281</v>
      </c>
      <c r="U287" s="920">
        <v>4554.5013333333327</v>
      </c>
      <c r="V287" s="920">
        <v>778.48633333333339</v>
      </c>
      <c r="W287" s="920">
        <v>553.64533333333327</v>
      </c>
      <c r="X287" s="920">
        <v>652.279</v>
      </c>
      <c r="Y287" s="920">
        <v>0</v>
      </c>
      <c r="Z287" s="874">
        <f t="shared" si="23"/>
        <v>2570.090666666666</v>
      </c>
      <c r="AA287" s="920">
        <v>499.3</v>
      </c>
      <c r="AB287" s="920">
        <v>92.694999999999993</v>
      </c>
      <c r="AC287" s="920">
        <v>77.477999999999994</v>
      </c>
      <c r="AD287" s="920">
        <v>89.918000000000006</v>
      </c>
      <c r="AE287" s="920">
        <v>0</v>
      </c>
      <c r="AF287" s="920">
        <v>1062</v>
      </c>
      <c r="AG287" s="920">
        <v>191.01499999999999</v>
      </c>
      <c r="AH287" s="920">
        <v>174.602</v>
      </c>
      <c r="AI287" s="920">
        <v>188.47399999999999</v>
      </c>
      <c r="AJ287" s="920">
        <v>0</v>
      </c>
      <c r="AK287" s="919">
        <f>Data[[#This Row],[Industry Cost ($m)]]/Data[[#This Row],[Industry Consumption]]</f>
        <v>2.1269777688764271</v>
      </c>
      <c r="AL287" s="919">
        <f>Data[[#This Row],[AAL Fuel Cost]]/Data[[#This Row],[AAL Consumption]]</f>
        <v>2.0606828847294891</v>
      </c>
      <c r="AM287" s="919">
        <f>Data[[#This Row],[DAL Fuel Cost]]/Data[[#This Row],[DAL Consumption]]</f>
        <v>2.2535687550014201</v>
      </c>
      <c r="AN287" s="919">
        <f>Data[[#This Row],[UAL Fuel Cost]]/Data[[#This Row],[UALConsumption]]</f>
        <v>2.0960653039435928</v>
      </c>
      <c r="AO287" s="919">
        <f>IFERROR(Data[[#This Row],[LUV Fuel Cost]]/Data[[#This Row],[LUV Consumption]],0)</f>
        <v>0</v>
      </c>
      <c r="AP287" s="783"/>
      <c r="AQ287" s="783"/>
      <c r="AR287" s="253"/>
      <c r="AS287" s="253"/>
      <c r="AT287" s="253"/>
      <c r="AU287" s="253"/>
    </row>
    <row r="288" spans="1:47" ht="10.5" customHeight="1">
      <c r="A288" s="263">
        <v>39325</v>
      </c>
      <c r="B288" s="263" t="s">
        <v>537</v>
      </c>
      <c r="C288" s="277">
        <v>16.629092</v>
      </c>
      <c r="D288" s="277">
        <v>5.6598920000000001</v>
      </c>
      <c r="E288" s="277">
        <v>4.8457340000000002</v>
      </c>
      <c r="F288" s="277">
        <v>5.0813480000000002</v>
      </c>
      <c r="G288" s="277">
        <v>0</v>
      </c>
      <c r="H288" s="284">
        <f t="shared" si="20"/>
        <v>1.0421180000000003</v>
      </c>
      <c r="I288" s="277">
        <v>13.682369</v>
      </c>
      <c r="J288" s="277">
        <v>4.644088</v>
      </c>
      <c r="K288" s="277">
        <v>3.9135460000000002</v>
      </c>
      <c r="L288" s="277">
        <v>4.3099990000000004</v>
      </c>
      <c r="M288" s="277">
        <v>0</v>
      </c>
      <c r="N288" s="284">
        <f t="shared" si="21"/>
        <v>0.81473599999999813</v>
      </c>
      <c r="O288" s="277">
        <v>15.131296000000001</v>
      </c>
      <c r="P288" s="277">
        <v>2.0184120000000001</v>
      </c>
      <c r="Q288" s="277">
        <v>1.1383779999999999</v>
      </c>
      <c r="R288" s="277">
        <v>1.0234989999999999</v>
      </c>
      <c r="S288" s="920">
        <v>0</v>
      </c>
      <c r="T288" s="874">
        <f t="shared" si="22"/>
        <v>10.951007000000001</v>
      </c>
      <c r="U288" s="920">
        <v>4554.5013333333327</v>
      </c>
      <c r="V288" s="920">
        <v>778.48633333333339</v>
      </c>
      <c r="W288" s="920">
        <v>553.64533333333327</v>
      </c>
      <c r="X288" s="920">
        <v>652.279</v>
      </c>
      <c r="Y288" s="920">
        <v>0</v>
      </c>
      <c r="Z288" s="874">
        <f t="shared" si="23"/>
        <v>2570.090666666666</v>
      </c>
      <c r="AA288" s="920">
        <v>496.1</v>
      </c>
      <c r="AB288" s="920">
        <v>88.891000000000005</v>
      </c>
      <c r="AC288" s="920">
        <v>76.834999999999994</v>
      </c>
      <c r="AD288" s="920">
        <v>90.486000000000004</v>
      </c>
      <c r="AE288" s="920">
        <v>0</v>
      </c>
      <c r="AF288" s="920">
        <v>1093.2</v>
      </c>
      <c r="AG288" s="920">
        <v>189.50700000000001</v>
      </c>
      <c r="AH288" s="920">
        <v>176.464</v>
      </c>
      <c r="AI288" s="920">
        <v>193.69300000000001</v>
      </c>
      <c r="AJ288" s="920">
        <v>0</v>
      </c>
      <c r="AK288" s="919">
        <f>Data[[#This Row],[Industry Cost ($m)]]/Data[[#This Row],[Industry Consumption]]</f>
        <v>2.2035879862930861</v>
      </c>
      <c r="AL288" s="919">
        <f>Data[[#This Row],[AAL Fuel Cost]]/Data[[#This Row],[AAL Consumption]]</f>
        <v>2.1319031173009639</v>
      </c>
      <c r="AM288" s="919">
        <f>Data[[#This Row],[DAL Fuel Cost]]/Data[[#This Row],[DAL Consumption]]</f>
        <v>2.2966616776208761</v>
      </c>
      <c r="AN288" s="919">
        <f>Data[[#This Row],[UAL Fuel Cost]]/Data[[#This Row],[UALConsumption]]</f>
        <v>2.1405852839113235</v>
      </c>
      <c r="AO288" s="919">
        <f>IFERROR(Data[[#This Row],[LUV Fuel Cost]]/Data[[#This Row],[LUV Consumption]],0)</f>
        <v>0</v>
      </c>
      <c r="AP288" s="783"/>
      <c r="AQ288" s="783"/>
      <c r="AR288" s="253"/>
      <c r="AS288" s="253"/>
      <c r="AT288" s="253"/>
      <c r="AU288" s="253"/>
    </row>
    <row r="289" spans="1:47" ht="10.5" customHeight="1">
      <c r="A289" s="263">
        <v>39355</v>
      </c>
      <c r="B289" s="263" t="s">
        <v>537</v>
      </c>
      <c r="C289" s="277">
        <v>15.128169</v>
      </c>
      <c r="D289" s="277">
        <v>5.2049149999999997</v>
      </c>
      <c r="E289" s="277">
        <v>4.2577759999999998</v>
      </c>
      <c r="F289" s="277">
        <v>4.8028570000000004</v>
      </c>
      <c r="G289" s="277">
        <v>0</v>
      </c>
      <c r="H289" s="284">
        <f t="shared" si="20"/>
        <v>0.86262100000000075</v>
      </c>
      <c r="I289" s="277">
        <v>11.973615000000001</v>
      </c>
      <c r="J289" s="277">
        <v>4.1063479999999997</v>
      </c>
      <c r="K289" s="277">
        <v>3.3377289999999999</v>
      </c>
      <c r="L289" s="277">
        <v>3.9274089999999999</v>
      </c>
      <c r="M289" s="277">
        <v>0</v>
      </c>
      <c r="N289" s="284">
        <f t="shared" si="21"/>
        <v>0.60212899999999969</v>
      </c>
      <c r="O289" s="277">
        <v>12.332433999999999</v>
      </c>
      <c r="P289" s="277">
        <v>1.653459</v>
      </c>
      <c r="Q289" s="277">
        <v>0.88665700000000003</v>
      </c>
      <c r="R289" s="277">
        <v>0.89671000000000001</v>
      </c>
      <c r="S289" s="920">
        <v>0</v>
      </c>
      <c r="T289" s="874">
        <f t="shared" si="22"/>
        <v>8.8956079999999993</v>
      </c>
      <c r="U289" s="920">
        <v>4554.5013333333327</v>
      </c>
      <c r="V289" s="920">
        <v>778.48633333333339</v>
      </c>
      <c r="W289" s="920">
        <v>553.64533333333327</v>
      </c>
      <c r="X289" s="920">
        <v>652.279</v>
      </c>
      <c r="Y289" s="920">
        <v>0</v>
      </c>
      <c r="Z289" s="874">
        <f t="shared" si="23"/>
        <v>2570.090666666666</v>
      </c>
      <c r="AA289" s="920">
        <v>455</v>
      </c>
      <c r="AB289" s="920">
        <v>81.757999999999996</v>
      </c>
      <c r="AC289" s="920">
        <v>66.95</v>
      </c>
      <c r="AD289" s="920">
        <v>86.203000000000003</v>
      </c>
      <c r="AE289" s="920">
        <v>0</v>
      </c>
      <c r="AF289" s="920">
        <v>977.7</v>
      </c>
      <c r="AG289" s="920">
        <v>179.62100000000001</v>
      </c>
      <c r="AH289" s="920">
        <v>149.988</v>
      </c>
      <c r="AI289" s="920">
        <v>182.71700000000001</v>
      </c>
      <c r="AJ289" s="920">
        <v>0</v>
      </c>
      <c r="AK289" s="919">
        <f>Data[[#This Row],[Industry Cost ($m)]]/Data[[#This Row],[Industry Consumption]]</f>
        <v>2.1487912087912089</v>
      </c>
      <c r="AL289" s="919">
        <f>Data[[#This Row],[AAL Fuel Cost]]/Data[[#This Row],[AAL Consumption]]</f>
        <v>2.196983781403655</v>
      </c>
      <c r="AM289" s="919">
        <f>Data[[#This Row],[DAL Fuel Cost]]/Data[[#This Row],[DAL Consumption]]</f>
        <v>2.2402987303958177</v>
      </c>
      <c r="AN289" s="919">
        <f>Data[[#This Row],[UAL Fuel Cost]]/Data[[#This Row],[UALConsumption]]</f>
        <v>2.1196130065078944</v>
      </c>
      <c r="AO289" s="919">
        <f>IFERROR(Data[[#This Row],[LUV Fuel Cost]]/Data[[#This Row],[LUV Consumption]],0)</f>
        <v>0</v>
      </c>
      <c r="AP289" s="783"/>
      <c r="AQ289" s="783"/>
      <c r="AR289" s="253"/>
      <c r="AS289" s="253"/>
      <c r="AT289" s="253"/>
      <c r="AU289" s="253"/>
    </row>
    <row r="290" spans="1:47" ht="10.5" customHeight="1">
      <c r="A290" s="263">
        <v>39386</v>
      </c>
      <c r="B290" s="263" t="s">
        <v>537</v>
      </c>
      <c r="C290" s="277">
        <v>15.087612</v>
      </c>
      <c r="D290" s="277">
        <v>5.2654589999999999</v>
      </c>
      <c r="E290" s="277">
        <v>4.0493170000000003</v>
      </c>
      <c r="F290" s="277">
        <v>4.8907969999999992</v>
      </c>
      <c r="G290" s="277">
        <v>0</v>
      </c>
      <c r="H290" s="284">
        <f t="shared" si="20"/>
        <v>0.88203900000000068</v>
      </c>
      <c r="I290" s="277">
        <v>11.907621000000001</v>
      </c>
      <c r="J290" s="277">
        <v>4.1443310000000002</v>
      </c>
      <c r="K290" s="277">
        <v>3.1962839999999999</v>
      </c>
      <c r="L290" s="277">
        <v>3.9272010000000002</v>
      </c>
      <c r="M290" s="277">
        <v>0</v>
      </c>
      <c r="N290" s="284">
        <f t="shared" si="21"/>
        <v>0.63980500000000085</v>
      </c>
      <c r="O290" s="277">
        <v>12.392937999999999</v>
      </c>
      <c r="P290" s="277">
        <v>1.697201</v>
      </c>
      <c r="Q290" s="277">
        <v>0.85153599999999996</v>
      </c>
      <c r="R290" s="277">
        <v>0.89567200000000002</v>
      </c>
      <c r="S290" s="920">
        <v>0</v>
      </c>
      <c r="T290" s="874">
        <f t="shared" si="22"/>
        <v>8.9485289999999988</v>
      </c>
      <c r="U290" s="920">
        <v>4242.6943333333329</v>
      </c>
      <c r="V290" s="920">
        <v>721.18700000000001</v>
      </c>
      <c r="W290" s="920">
        <v>455.85366666666664</v>
      </c>
      <c r="X290" s="920">
        <v>613.39</v>
      </c>
      <c r="Y290" s="920">
        <v>0</v>
      </c>
      <c r="Z290" s="874">
        <f t="shared" si="23"/>
        <v>2452.2636666666663</v>
      </c>
      <c r="AA290" s="920">
        <v>457.3</v>
      </c>
      <c r="AB290" s="920">
        <v>82.959000000000003</v>
      </c>
      <c r="AC290" s="920">
        <v>64.590999999999994</v>
      </c>
      <c r="AD290" s="920">
        <v>87.307000000000002</v>
      </c>
      <c r="AE290" s="920">
        <v>0</v>
      </c>
      <c r="AF290" s="920">
        <v>1044.0999999999999</v>
      </c>
      <c r="AG290" s="920">
        <v>193.006</v>
      </c>
      <c r="AH290" s="920">
        <v>157.00700000000001</v>
      </c>
      <c r="AI290" s="920">
        <v>200.05500000000001</v>
      </c>
      <c r="AJ290" s="920">
        <v>0</v>
      </c>
      <c r="AK290" s="919">
        <f>Data[[#This Row],[Industry Cost ($m)]]/Data[[#This Row],[Industry Consumption]]</f>
        <v>2.2831839055324727</v>
      </c>
      <c r="AL290" s="919">
        <f>Data[[#This Row],[AAL Fuel Cost]]/Data[[#This Row],[AAL Consumption]]</f>
        <v>2.3265227401487483</v>
      </c>
      <c r="AM290" s="919">
        <f>Data[[#This Row],[DAL Fuel Cost]]/Data[[#This Row],[DAL Consumption]]</f>
        <v>2.4307875710238274</v>
      </c>
      <c r="AN290" s="919">
        <f>Data[[#This Row],[UAL Fuel Cost]]/Data[[#This Row],[UALConsumption]]</f>
        <v>2.2913970242935848</v>
      </c>
      <c r="AO290" s="919">
        <f>IFERROR(Data[[#This Row],[LUV Fuel Cost]]/Data[[#This Row],[LUV Consumption]],0)</f>
        <v>0</v>
      </c>
      <c r="AP290" s="783"/>
      <c r="AQ290" s="783"/>
      <c r="AR290" s="253"/>
      <c r="AS290" s="253"/>
      <c r="AT290" s="253"/>
      <c r="AU290" s="253"/>
    </row>
    <row r="291" spans="1:47" ht="10.5" customHeight="1">
      <c r="A291" s="263">
        <v>39416</v>
      </c>
      <c r="B291" s="263" t="s">
        <v>537</v>
      </c>
      <c r="C291" s="277">
        <v>14.371471</v>
      </c>
      <c r="D291" s="277">
        <v>5.0053680000000007</v>
      </c>
      <c r="E291" s="277">
        <v>3.6609189999999998</v>
      </c>
      <c r="F291" s="277">
        <v>4.6670600000000002</v>
      </c>
      <c r="G291" s="277">
        <v>0</v>
      </c>
      <c r="H291" s="284">
        <f t="shared" si="20"/>
        <v>1.0381239999999998</v>
      </c>
      <c r="I291" s="277">
        <v>11.228</v>
      </c>
      <c r="J291" s="277">
        <v>3.9843999999999999</v>
      </c>
      <c r="K291" s="277">
        <v>2.8179080000000001</v>
      </c>
      <c r="L291" s="277">
        <v>3.6606909999999999</v>
      </c>
      <c r="M291" s="277">
        <v>0</v>
      </c>
      <c r="N291" s="284">
        <f t="shared" si="21"/>
        <v>0.76500099999999982</v>
      </c>
      <c r="O291" s="277">
        <v>12.023481</v>
      </c>
      <c r="P291" s="277">
        <v>1.700061</v>
      </c>
      <c r="Q291" s="277">
        <v>0.81376800000000005</v>
      </c>
      <c r="R291" s="277">
        <v>0.83565699999999998</v>
      </c>
      <c r="S291" s="920">
        <v>0</v>
      </c>
      <c r="T291" s="874">
        <f t="shared" si="22"/>
        <v>8.6739949999999997</v>
      </c>
      <c r="U291" s="920">
        <v>4242.6943333333329</v>
      </c>
      <c r="V291" s="920">
        <v>721.18700000000001</v>
      </c>
      <c r="W291" s="920">
        <v>455.85366666666664</v>
      </c>
      <c r="X291" s="920">
        <v>613.39</v>
      </c>
      <c r="Y291" s="920">
        <v>0</v>
      </c>
      <c r="Z291" s="874">
        <f t="shared" si="23"/>
        <v>2452.2636666666663</v>
      </c>
      <c r="AA291" s="920">
        <v>435.1</v>
      </c>
      <c r="AB291" s="920">
        <v>78.222999999999999</v>
      </c>
      <c r="AC291" s="920">
        <v>57.819000000000003</v>
      </c>
      <c r="AD291" s="920">
        <v>83.269000000000005</v>
      </c>
      <c r="AE291" s="920">
        <v>0</v>
      </c>
      <c r="AF291" s="920">
        <v>1114</v>
      </c>
      <c r="AG291" s="920">
        <v>201.05600000000001</v>
      </c>
      <c r="AH291" s="920">
        <v>159.416</v>
      </c>
      <c r="AI291" s="920">
        <v>210.78800000000001</v>
      </c>
      <c r="AJ291" s="920">
        <v>0</v>
      </c>
      <c r="AK291" s="919">
        <f>Data[[#This Row],[Industry Cost ($m)]]/Data[[#This Row],[Industry Consumption]]</f>
        <v>2.5603309584003675</v>
      </c>
      <c r="AL291" s="919">
        <f>Data[[#This Row],[AAL Fuel Cost]]/Data[[#This Row],[AAL Consumption]]</f>
        <v>2.5702926249312865</v>
      </c>
      <c r="AM291" s="919">
        <f>Data[[#This Row],[DAL Fuel Cost]]/Data[[#This Row],[DAL Consumption]]</f>
        <v>2.757155952195645</v>
      </c>
      <c r="AN291" s="919">
        <f>Data[[#This Row],[UAL Fuel Cost]]/Data[[#This Row],[UALConsumption]]</f>
        <v>2.5314102487120058</v>
      </c>
      <c r="AO291" s="919">
        <f>IFERROR(Data[[#This Row],[LUV Fuel Cost]]/Data[[#This Row],[LUV Consumption]],0)</f>
        <v>0</v>
      </c>
      <c r="AP291" s="783"/>
      <c r="AQ291" s="783"/>
      <c r="AR291" s="253"/>
      <c r="AS291" s="253"/>
      <c r="AT291" s="253"/>
      <c r="AU291" s="253"/>
    </row>
    <row r="292" spans="1:47" ht="10.5" customHeight="1">
      <c r="A292" s="263">
        <v>39447</v>
      </c>
      <c r="B292" s="263" t="s">
        <v>537</v>
      </c>
      <c r="C292" s="277">
        <v>15.743622999999999</v>
      </c>
      <c r="D292" s="277">
        <v>5.4793069999999995</v>
      </c>
      <c r="E292" s="277">
        <v>4.0216140000000005</v>
      </c>
      <c r="F292" s="277">
        <v>5.0207990000000002</v>
      </c>
      <c r="G292" s="277">
        <v>0</v>
      </c>
      <c r="H292" s="284">
        <f t="shared" si="20"/>
        <v>1.2219029999999993</v>
      </c>
      <c r="I292" s="277">
        <v>12.408402000000001</v>
      </c>
      <c r="J292" s="277">
        <v>4.2881289999999996</v>
      </c>
      <c r="K292" s="277">
        <v>3.2191390000000002</v>
      </c>
      <c r="L292" s="277">
        <v>4.0127940000000004</v>
      </c>
      <c r="M292" s="277">
        <v>0</v>
      </c>
      <c r="N292" s="284">
        <f t="shared" si="21"/>
        <v>0.88834000000000124</v>
      </c>
      <c r="O292" s="277">
        <v>13.123756</v>
      </c>
      <c r="P292" s="277">
        <v>1.840017</v>
      </c>
      <c r="Q292" s="277">
        <v>0.95755199999999996</v>
      </c>
      <c r="R292" s="277">
        <v>0.91573899999999997</v>
      </c>
      <c r="S292" s="920">
        <v>0</v>
      </c>
      <c r="T292" s="874">
        <f t="shared" si="22"/>
        <v>9.4104480000000006</v>
      </c>
      <c r="U292" s="920">
        <v>4242.6943333333329</v>
      </c>
      <c r="V292" s="920">
        <v>721.18700000000001</v>
      </c>
      <c r="W292" s="920">
        <v>455.85366666666664</v>
      </c>
      <c r="X292" s="920">
        <v>613.39</v>
      </c>
      <c r="Y292" s="920">
        <v>0</v>
      </c>
      <c r="Z292" s="874">
        <f t="shared" si="23"/>
        <v>2452.2636666666663</v>
      </c>
      <c r="AA292" s="920">
        <v>458.6</v>
      </c>
      <c r="AB292" s="920">
        <v>85.480999999999995</v>
      </c>
      <c r="AC292" s="920">
        <v>63.360999999999997</v>
      </c>
      <c r="AD292" s="920">
        <v>88.64</v>
      </c>
      <c r="AE292" s="920">
        <v>0</v>
      </c>
      <c r="AF292" s="920">
        <v>1234.0999999999999</v>
      </c>
      <c r="AG292" s="920">
        <v>230.065</v>
      </c>
      <c r="AH292" s="920">
        <v>181.24199999999999</v>
      </c>
      <c r="AI292" s="920">
        <v>231.983</v>
      </c>
      <c r="AJ292" s="920">
        <v>0</v>
      </c>
      <c r="AK292" s="919">
        <f>Data[[#This Row],[Industry Cost ($m)]]/Data[[#This Row],[Industry Consumption]]</f>
        <v>2.6910161360662883</v>
      </c>
      <c r="AL292" s="919">
        <f>Data[[#This Row],[AAL Fuel Cost]]/Data[[#This Row],[AAL Consumption]]</f>
        <v>2.6914168060738644</v>
      </c>
      <c r="AM292" s="919">
        <f>Data[[#This Row],[DAL Fuel Cost]]/Data[[#This Row],[DAL Consumption]]</f>
        <v>2.8604662173892459</v>
      </c>
      <c r="AN292" s="919">
        <f>Data[[#This Row],[UAL Fuel Cost]]/Data[[#This Row],[UALConsumption]]</f>
        <v>2.6171367328519857</v>
      </c>
      <c r="AO292" s="919">
        <f>IFERROR(Data[[#This Row],[LUV Fuel Cost]]/Data[[#This Row],[LUV Consumption]],0)</f>
        <v>0</v>
      </c>
      <c r="AP292" s="783"/>
      <c r="AQ292" s="783"/>
      <c r="AR292" s="253"/>
      <c r="AS292" s="253"/>
      <c r="AT292" s="253"/>
      <c r="AU292" s="253"/>
    </row>
    <row r="293" spans="1:47" ht="10.5" customHeight="1">
      <c r="A293" s="263">
        <v>39478</v>
      </c>
      <c r="B293" s="263" t="s">
        <v>537</v>
      </c>
      <c r="C293" s="277">
        <v>15.648885999999999</v>
      </c>
      <c r="D293" s="277">
        <v>5.5275179999999997</v>
      </c>
      <c r="E293" s="277">
        <v>3.8910680000000002</v>
      </c>
      <c r="F293" s="277">
        <v>5.0461139999999993</v>
      </c>
      <c r="G293" s="277">
        <v>0</v>
      </c>
      <c r="H293" s="284">
        <f t="shared" si="20"/>
        <v>1.1841860000000004</v>
      </c>
      <c r="I293" s="277">
        <v>11.975438</v>
      </c>
      <c r="J293" s="277">
        <v>4.2069910000000004</v>
      </c>
      <c r="K293" s="277">
        <v>2.9704769999999998</v>
      </c>
      <c r="L293" s="277">
        <v>3.92266</v>
      </c>
      <c r="M293" s="277">
        <v>0</v>
      </c>
      <c r="N293" s="284">
        <f t="shared" si="21"/>
        <v>0.8753100000000007</v>
      </c>
      <c r="O293" s="277">
        <v>12.794513999999999</v>
      </c>
      <c r="P293" s="277">
        <v>1.813264</v>
      </c>
      <c r="Q293" s="277">
        <v>0.89572600000000002</v>
      </c>
      <c r="R293" s="277">
        <v>0.88593</v>
      </c>
      <c r="S293" s="920">
        <v>0</v>
      </c>
      <c r="T293" s="874">
        <f t="shared" si="22"/>
        <v>9.1995939999999994</v>
      </c>
      <c r="U293" s="920">
        <v>4288.1306666666669</v>
      </c>
      <c r="V293" s="920">
        <v>736.34333333333325</v>
      </c>
      <c r="W293" s="920">
        <v>465.17266666666666</v>
      </c>
      <c r="X293" s="920">
        <v>582.11166666666668</v>
      </c>
      <c r="Y293" s="920">
        <v>0</v>
      </c>
      <c r="Z293" s="874">
        <f t="shared" si="23"/>
        <v>2504.5030000000006</v>
      </c>
      <c r="AA293" s="920">
        <v>451.1</v>
      </c>
      <c r="AB293" s="920">
        <v>84.802000000000007</v>
      </c>
      <c r="AC293" s="920">
        <v>60.302</v>
      </c>
      <c r="AD293" s="920">
        <v>88.691999999999993</v>
      </c>
      <c r="AE293" s="920">
        <v>0</v>
      </c>
      <c r="AF293" s="920">
        <v>1229.4000000000001</v>
      </c>
      <c r="AG293" s="920">
        <v>229.61799999999999</v>
      </c>
      <c r="AH293" s="920">
        <v>172.726</v>
      </c>
      <c r="AI293" s="920">
        <v>237.494</v>
      </c>
      <c r="AJ293" s="920">
        <v>0</v>
      </c>
      <c r="AK293" s="919">
        <f>Data[[#This Row],[Industry Cost ($m)]]/Data[[#This Row],[Industry Consumption]]</f>
        <v>2.7253380625138552</v>
      </c>
      <c r="AL293" s="919">
        <f>Data[[#This Row],[AAL Fuel Cost]]/Data[[#This Row],[AAL Consumption]]</f>
        <v>2.7076955732176127</v>
      </c>
      <c r="AM293" s="919">
        <f>Data[[#This Row],[DAL Fuel Cost]]/Data[[#This Row],[DAL Consumption]]</f>
        <v>2.8643494411462305</v>
      </c>
      <c r="AN293" s="919">
        <f>Data[[#This Row],[UAL Fuel Cost]]/Data[[#This Row],[UALConsumption]]</f>
        <v>2.6777386912010104</v>
      </c>
      <c r="AO293" s="919">
        <f>IFERROR(Data[[#This Row],[LUV Fuel Cost]]/Data[[#This Row],[LUV Consumption]],0)</f>
        <v>0</v>
      </c>
      <c r="AP293" s="783"/>
      <c r="AQ293" s="783"/>
      <c r="AR293" s="253"/>
      <c r="AS293" s="253"/>
      <c r="AT293" s="253"/>
      <c r="AU293" s="253"/>
    </row>
    <row r="294" spans="1:47" ht="10.5" customHeight="1">
      <c r="A294" s="263">
        <v>39507</v>
      </c>
      <c r="B294" s="263" t="s">
        <v>537</v>
      </c>
      <c r="C294" s="277">
        <v>14.431823</v>
      </c>
      <c r="D294" s="277">
        <v>5.0119759999999998</v>
      </c>
      <c r="E294" s="277">
        <v>3.561588</v>
      </c>
      <c r="F294" s="277">
        <v>4.7385839999999995</v>
      </c>
      <c r="G294" s="277">
        <v>0</v>
      </c>
      <c r="H294" s="284">
        <f t="shared" si="20"/>
        <v>1.1196750000000009</v>
      </c>
      <c r="I294" s="277">
        <v>10.421783</v>
      </c>
      <c r="J294" s="277">
        <v>3.6842990000000002</v>
      </c>
      <c r="K294" s="277">
        <v>2.5093049999999999</v>
      </c>
      <c r="L294" s="277">
        <v>3.3673860000000002</v>
      </c>
      <c r="M294" s="277">
        <v>0</v>
      </c>
      <c r="N294" s="284">
        <f t="shared" si="21"/>
        <v>0.86079299999999925</v>
      </c>
      <c r="O294" s="277">
        <v>11.6774</v>
      </c>
      <c r="P294" s="277">
        <v>1.6030990000000001</v>
      </c>
      <c r="Q294" s="277">
        <v>0.78592899999999999</v>
      </c>
      <c r="R294" s="277">
        <v>0.79166999999999998</v>
      </c>
      <c r="S294" s="920">
        <v>0</v>
      </c>
      <c r="T294" s="874">
        <f t="shared" si="22"/>
        <v>8.4967020000000009</v>
      </c>
      <c r="U294" s="920">
        <v>4288.1306666666669</v>
      </c>
      <c r="V294" s="920">
        <v>736.34333333333325</v>
      </c>
      <c r="W294" s="920">
        <v>465.17266666666666</v>
      </c>
      <c r="X294" s="920">
        <v>582.11166666666668</v>
      </c>
      <c r="Y294" s="920">
        <v>0</v>
      </c>
      <c r="Z294" s="874">
        <f t="shared" si="23"/>
        <v>2504.5030000000006</v>
      </c>
      <c r="AA294" s="920">
        <v>418.4</v>
      </c>
      <c r="AB294" s="920">
        <v>77.274000000000001</v>
      </c>
      <c r="AC294" s="920">
        <v>55.26</v>
      </c>
      <c r="AD294" s="920">
        <v>83.091999999999999</v>
      </c>
      <c r="AE294" s="920">
        <v>0</v>
      </c>
      <c r="AF294" s="920">
        <v>1119.0999999999999</v>
      </c>
      <c r="AG294" s="920">
        <v>206.90100000000001</v>
      </c>
      <c r="AH294" s="920">
        <v>155.709</v>
      </c>
      <c r="AI294" s="920">
        <v>219.434</v>
      </c>
      <c r="AJ294" s="920">
        <v>0</v>
      </c>
      <c r="AK294" s="919">
        <f>Data[[#This Row],[Industry Cost ($m)]]/Data[[#This Row],[Industry Consumption]]</f>
        <v>2.6747131931166348</v>
      </c>
      <c r="AL294" s="919">
        <f>Data[[#This Row],[AAL Fuel Cost]]/Data[[#This Row],[AAL Consumption]]</f>
        <v>2.6774982529699511</v>
      </c>
      <c r="AM294" s="919">
        <f>Data[[#This Row],[DAL Fuel Cost]]/Data[[#This Row],[DAL Consumption]]</f>
        <v>2.8177524429967429</v>
      </c>
      <c r="AN294" s="919">
        <f>Data[[#This Row],[UAL Fuel Cost]]/Data[[#This Row],[UALConsumption]]</f>
        <v>2.640855918740673</v>
      </c>
      <c r="AO294" s="919">
        <f>IFERROR(Data[[#This Row],[LUV Fuel Cost]]/Data[[#This Row],[LUV Consumption]],0)</f>
        <v>0</v>
      </c>
      <c r="AP294" s="783"/>
      <c r="AQ294" s="783"/>
      <c r="AR294" s="253"/>
      <c r="AS294" s="253"/>
      <c r="AT294" s="253"/>
      <c r="AU294" s="253"/>
    </row>
    <row r="295" spans="1:47" ht="10.5" customHeight="1">
      <c r="A295" s="263">
        <v>39538</v>
      </c>
      <c r="B295" s="263" t="s">
        <v>537</v>
      </c>
      <c r="C295" s="277">
        <v>15.853581999999999</v>
      </c>
      <c r="D295" s="277">
        <v>5.3124669999999998</v>
      </c>
      <c r="E295" s="277">
        <v>4.1596489999999999</v>
      </c>
      <c r="F295" s="277">
        <v>5.1079280000000002</v>
      </c>
      <c r="G295" s="277">
        <v>0</v>
      </c>
      <c r="H295" s="284">
        <f t="shared" si="20"/>
        <v>1.2735379999999985</v>
      </c>
      <c r="I295" s="277">
        <v>12.978961999999999</v>
      </c>
      <c r="J295" s="277">
        <v>4.3529080000000002</v>
      </c>
      <c r="K295" s="277">
        <v>3.4113910000000001</v>
      </c>
      <c r="L295" s="277">
        <v>4.1910550000000004</v>
      </c>
      <c r="M295" s="277">
        <v>0</v>
      </c>
      <c r="N295" s="284">
        <f t="shared" si="21"/>
        <v>1.0236079999999994</v>
      </c>
      <c r="O295" s="277">
        <v>14.221964</v>
      </c>
      <c r="P295" s="277">
        <v>1.899842</v>
      </c>
      <c r="Q295" s="277">
        <v>1.051782</v>
      </c>
      <c r="R295" s="277">
        <v>0.97860000000000003</v>
      </c>
      <c r="S295" s="920">
        <v>0</v>
      </c>
      <c r="T295" s="874">
        <f t="shared" si="22"/>
        <v>10.291740000000001</v>
      </c>
      <c r="U295" s="920">
        <v>4288.1306666666669</v>
      </c>
      <c r="V295" s="920">
        <v>736.34333333333325</v>
      </c>
      <c r="W295" s="920">
        <v>465.17266666666666</v>
      </c>
      <c r="X295" s="920">
        <v>582.11166666666668</v>
      </c>
      <c r="Y295" s="920">
        <v>0</v>
      </c>
      <c r="Z295" s="874">
        <f t="shared" si="23"/>
        <v>2504.5030000000006</v>
      </c>
      <c r="AA295" s="920">
        <v>461.7</v>
      </c>
      <c r="AB295" s="920">
        <v>82.415999999999997</v>
      </c>
      <c r="AC295" s="920">
        <v>63.963999999999999</v>
      </c>
      <c r="AD295" s="920">
        <v>89.853999999999999</v>
      </c>
      <c r="AE295" s="920">
        <v>0</v>
      </c>
      <c r="AF295" s="920">
        <v>1374.1</v>
      </c>
      <c r="AG295" s="920">
        <v>244.50899999999999</v>
      </c>
      <c r="AH295" s="920">
        <v>194.83500000000001</v>
      </c>
      <c r="AI295" s="920">
        <v>263.28199999999998</v>
      </c>
      <c r="AJ295" s="920">
        <v>0</v>
      </c>
      <c r="AK295" s="919">
        <f>Data[[#This Row],[Industry Cost ($m)]]/Data[[#This Row],[Industry Consumption]]</f>
        <v>2.9761750054147713</v>
      </c>
      <c r="AL295" s="919">
        <f>Data[[#This Row],[AAL Fuel Cost]]/Data[[#This Row],[AAL Consumption]]</f>
        <v>2.9667661619103085</v>
      </c>
      <c r="AM295" s="919">
        <f>Data[[#This Row],[DAL Fuel Cost]]/Data[[#This Row],[DAL Consumption]]</f>
        <v>3.04601025576887</v>
      </c>
      <c r="AN295" s="919">
        <f>Data[[#This Row],[UAL Fuel Cost]]/Data[[#This Row],[UALConsumption]]</f>
        <v>2.9301088432345805</v>
      </c>
      <c r="AO295" s="919">
        <f>IFERROR(Data[[#This Row],[LUV Fuel Cost]]/Data[[#This Row],[LUV Consumption]],0)</f>
        <v>0</v>
      </c>
      <c r="AP295" s="783"/>
      <c r="AQ295" s="783"/>
      <c r="AR295" s="253"/>
      <c r="AS295" s="253"/>
      <c r="AT295" s="253"/>
      <c r="AU295" s="253"/>
    </row>
    <row r="296" spans="1:47" ht="10.5" customHeight="1">
      <c r="A296" s="263">
        <v>39568</v>
      </c>
      <c r="B296" s="263" t="s">
        <v>537</v>
      </c>
      <c r="C296" s="277">
        <v>15.669619000000001</v>
      </c>
      <c r="D296" s="277">
        <v>5.2412409999999996</v>
      </c>
      <c r="E296" s="277">
        <v>4.3252759999999997</v>
      </c>
      <c r="F296" s="277">
        <v>4.9586989999999993</v>
      </c>
      <c r="G296" s="277">
        <v>0</v>
      </c>
      <c r="H296" s="284">
        <f t="shared" si="20"/>
        <v>1.1444030000000023</v>
      </c>
      <c r="I296" s="277">
        <v>12.056559</v>
      </c>
      <c r="J296" s="277">
        <v>4.0049460000000003</v>
      </c>
      <c r="K296" s="277">
        <v>3.3979300000000001</v>
      </c>
      <c r="L296" s="277">
        <v>3.795105</v>
      </c>
      <c r="M296" s="277">
        <v>0</v>
      </c>
      <c r="N296" s="284">
        <f t="shared" si="21"/>
        <v>0.85857799999999962</v>
      </c>
      <c r="O296" s="277">
        <v>12.983853999999999</v>
      </c>
      <c r="P296" s="277">
        <v>1.693703</v>
      </c>
      <c r="Q296" s="277">
        <v>0.97668900000000003</v>
      </c>
      <c r="R296" s="277">
        <v>0.89089200000000002</v>
      </c>
      <c r="S296" s="920">
        <v>0</v>
      </c>
      <c r="T296" s="874">
        <f t="shared" si="22"/>
        <v>9.4225699999999986</v>
      </c>
      <c r="U296" s="920">
        <v>4930.3836666666666</v>
      </c>
      <c r="V296" s="920">
        <v>799.35666666666668</v>
      </c>
      <c r="W296" s="920">
        <v>629.64633333333325</v>
      </c>
      <c r="X296" s="920">
        <v>652.38900000000001</v>
      </c>
      <c r="Y296" s="920">
        <v>0</v>
      </c>
      <c r="Z296" s="874">
        <f t="shared" si="23"/>
        <v>2848.9916666666668</v>
      </c>
      <c r="AA296" s="920">
        <v>465.3</v>
      </c>
      <c r="AB296" s="920">
        <v>83.525000000000006</v>
      </c>
      <c r="AC296" s="920">
        <v>66.837999999999994</v>
      </c>
      <c r="AD296" s="920">
        <v>85.936999999999998</v>
      </c>
      <c r="AE296" s="920">
        <v>0</v>
      </c>
      <c r="AF296" s="920">
        <v>1443.6</v>
      </c>
      <c r="AG296" s="920">
        <v>257.03899999999999</v>
      </c>
      <c r="AH296" s="920">
        <v>208.322</v>
      </c>
      <c r="AI296" s="920">
        <v>272.92500000000001</v>
      </c>
      <c r="AJ296" s="920">
        <v>0</v>
      </c>
      <c r="AK296" s="919">
        <f>Data[[#This Row],[Industry Cost ($m)]]/Data[[#This Row],[Industry Consumption]]</f>
        <v>3.1025145067698254</v>
      </c>
      <c r="AL296" s="919">
        <f>Data[[#This Row],[AAL Fuel Cost]]/Data[[#This Row],[AAL Consumption]]</f>
        <v>3.0773900029931154</v>
      </c>
      <c r="AM296" s="919">
        <f>Data[[#This Row],[DAL Fuel Cost]]/Data[[#This Row],[DAL Consumption]]</f>
        <v>3.1168197731829204</v>
      </c>
      <c r="AN296" s="919">
        <f>Data[[#This Row],[UAL Fuel Cost]]/Data[[#This Row],[UALConsumption]]</f>
        <v>3.1758730232612264</v>
      </c>
      <c r="AO296" s="919">
        <f>IFERROR(Data[[#This Row],[LUV Fuel Cost]]/Data[[#This Row],[LUV Consumption]],0)</f>
        <v>0</v>
      </c>
      <c r="AP296" s="783"/>
      <c r="AQ296" s="783"/>
      <c r="AR296" s="253"/>
      <c r="AS296" s="253"/>
      <c r="AT296" s="253"/>
      <c r="AU296" s="253"/>
    </row>
    <row r="297" spans="1:47" ht="10.5" customHeight="1">
      <c r="A297" s="263">
        <v>39599</v>
      </c>
      <c r="B297" s="263" t="s">
        <v>537</v>
      </c>
      <c r="C297" s="277">
        <v>16.503112999999999</v>
      </c>
      <c r="D297" s="277">
        <v>5.5343179999999998</v>
      </c>
      <c r="E297" s="277">
        <v>4.7805010000000001</v>
      </c>
      <c r="F297" s="277">
        <v>5.1287120000000002</v>
      </c>
      <c r="G297" s="277">
        <v>0</v>
      </c>
      <c r="H297" s="284">
        <f t="shared" si="20"/>
        <v>1.0595819999999989</v>
      </c>
      <c r="I297" s="277">
        <v>13.126707</v>
      </c>
      <c r="J297" s="277">
        <v>4.3422229999999997</v>
      </c>
      <c r="K297" s="277">
        <v>3.8690920000000002</v>
      </c>
      <c r="L297" s="277">
        <v>4.1106299999999996</v>
      </c>
      <c r="M297" s="277">
        <v>0</v>
      </c>
      <c r="N297" s="284">
        <f t="shared" si="21"/>
        <v>0.8047620000000002</v>
      </c>
      <c r="O297" s="277">
        <v>13.628619</v>
      </c>
      <c r="P297" s="277">
        <v>1.8267070000000001</v>
      </c>
      <c r="Q297" s="277">
        <v>1.0553520000000001</v>
      </c>
      <c r="R297" s="277">
        <v>0.94613899999999995</v>
      </c>
      <c r="S297" s="920">
        <v>0</v>
      </c>
      <c r="T297" s="874">
        <f t="shared" si="22"/>
        <v>9.800421</v>
      </c>
      <c r="U297" s="920">
        <v>4930.3836666666666</v>
      </c>
      <c r="V297" s="920">
        <v>799.35666666666668</v>
      </c>
      <c r="W297" s="920">
        <v>629.64633333333325</v>
      </c>
      <c r="X297" s="920">
        <v>652.38900000000001</v>
      </c>
      <c r="Y297" s="920">
        <v>0</v>
      </c>
      <c r="Z297" s="874">
        <f t="shared" si="23"/>
        <v>2848.9916666666668</v>
      </c>
      <c r="AA297" s="920">
        <v>481.7</v>
      </c>
      <c r="AB297" s="920">
        <v>85.159000000000006</v>
      </c>
      <c r="AC297" s="920">
        <v>73.703999999999994</v>
      </c>
      <c r="AD297" s="920">
        <v>89.028999999999996</v>
      </c>
      <c r="AE297" s="920">
        <v>0</v>
      </c>
      <c r="AF297" s="920">
        <v>1602.9</v>
      </c>
      <c r="AG297" s="920">
        <v>292.54199999999997</v>
      </c>
      <c r="AH297" s="920">
        <v>234.48</v>
      </c>
      <c r="AI297" s="920">
        <v>303.59199999999998</v>
      </c>
      <c r="AJ297" s="920">
        <v>0</v>
      </c>
      <c r="AK297" s="919">
        <f>Data[[#This Row],[Industry Cost ($m)]]/Data[[#This Row],[Industry Consumption]]</f>
        <v>3.3275897861739674</v>
      </c>
      <c r="AL297" s="919">
        <f>Data[[#This Row],[AAL Fuel Cost]]/Data[[#This Row],[AAL Consumption]]</f>
        <v>3.4352446599889612</v>
      </c>
      <c r="AM297" s="919">
        <f>Data[[#This Row],[DAL Fuel Cost]]/Data[[#This Row],[DAL Consumption]]</f>
        <v>3.181374145229567</v>
      </c>
      <c r="AN297" s="919">
        <f>Data[[#This Row],[UAL Fuel Cost]]/Data[[#This Row],[UALConsumption]]</f>
        <v>3.4100349324377448</v>
      </c>
      <c r="AO297" s="919">
        <f>IFERROR(Data[[#This Row],[LUV Fuel Cost]]/Data[[#This Row],[LUV Consumption]],0)</f>
        <v>0</v>
      </c>
      <c r="AP297" s="783"/>
      <c r="AQ297" s="783"/>
      <c r="AR297" s="253"/>
      <c r="AS297" s="253"/>
      <c r="AT297" s="253"/>
      <c r="AU297" s="253"/>
    </row>
    <row r="298" spans="1:47" ht="10.5" customHeight="1">
      <c r="A298" s="263">
        <v>39629</v>
      </c>
      <c r="B298" s="263" t="s">
        <v>537</v>
      </c>
      <c r="C298" s="277">
        <v>16.881314</v>
      </c>
      <c r="D298" s="277">
        <v>5.4403589999999999</v>
      </c>
      <c r="E298" s="277">
        <v>5.3434590000000002</v>
      </c>
      <c r="F298" s="277">
        <v>5.0232989999999997</v>
      </c>
      <c r="G298" s="277">
        <v>0</v>
      </c>
      <c r="H298" s="284">
        <f t="shared" si="20"/>
        <v>1.0741969999999998</v>
      </c>
      <c r="I298" s="277">
        <v>13.931922999999999</v>
      </c>
      <c r="J298" s="277">
        <v>4.4203700000000001</v>
      </c>
      <c r="K298" s="277">
        <v>4.4497479999999996</v>
      </c>
      <c r="L298" s="277">
        <v>4.2529430000000001</v>
      </c>
      <c r="M298" s="277">
        <v>0</v>
      </c>
      <c r="N298" s="284">
        <f t="shared" si="21"/>
        <v>0.80886199999999953</v>
      </c>
      <c r="O298" s="277">
        <v>14.447504</v>
      </c>
      <c r="P298" s="277">
        <v>1.868045</v>
      </c>
      <c r="Q298" s="277">
        <v>1.235465</v>
      </c>
      <c r="R298" s="277">
        <v>0.98419800000000002</v>
      </c>
      <c r="S298" s="920">
        <v>0</v>
      </c>
      <c r="T298" s="874">
        <f t="shared" si="22"/>
        <v>10.359795999999999</v>
      </c>
      <c r="U298" s="920">
        <v>4930.3836666666666</v>
      </c>
      <c r="V298" s="920">
        <v>799.35666666666668</v>
      </c>
      <c r="W298" s="920">
        <v>629.64633333333325</v>
      </c>
      <c r="X298" s="920">
        <v>652.38900000000001</v>
      </c>
      <c r="Y298" s="920">
        <v>0</v>
      </c>
      <c r="Z298" s="874">
        <f t="shared" si="23"/>
        <v>2848.9916666666668</v>
      </c>
      <c r="AA298" s="920">
        <v>486.4</v>
      </c>
      <c r="AB298" s="920">
        <v>84.212999999999994</v>
      </c>
      <c r="AC298" s="920">
        <v>82.784999999999997</v>
      </c>
      <c r="AD298" s="920">
        <v>86.897999999999996</v>
      </c>
      <c r="AE298" s="920">
        <v>0</v>
      </c>
      <c r="AF298" s="920">
        <v>1752.1</v>
      </c>
      <c r="AG298" s="920">
        <v>310.14499999999998</v>
      </c>
      <c r="AH298" s="920">
        <v>267.60700000000003</v>
      </c>
      <c r="AI298" s="920">
        <v>337.47300000000001</v>
      </c>
      <c r="AJ298" s="920">
        <v>0</v>
      </c>
      <c r="AK298" s="919">
        <f>Data[[#This Row],[Industry Cost ($m)]]/Data[[#This Row],[Industry Consumption]]</f>
        <v>3.6021792763157894</v>
      </c>
      <c r="AL298" s="919">
        <f>Data[[#This Row],[AAL Fuel Cost]]/Data[[#This Row],[AAL Consumption]]</f>
        <v>3.6828636908790804</v>
      </c>
      <c r="AM298" s="919">
        <f>Data[[#This Row],[DAL Fuel Cost]]/Data[[#This Row],[DAL Consumption]]</f>
        <v>3.2325542066799544</v>
      </c>
      <c r="AN298" s="919">
        <f>Data[[#This Row],[UAL Fuel Cost]]/Data[[#This Row],[UALConsumption]]</f>
        <v>3.8835531312573366</v>
      </c>
      <c r="AO298" s="919">
        <f>IFERROR(Data[[#This Row],[LUV Fuel Cost]]/Data[[#This Row],[LUV Consumption]],0)</f>
        <v>0</v>
      </c>
      <c r="AP298" s="783"/>
      <c r="AQ298" s="783"/>
      <c r="AR298" s="253"/>
      <c r="AS298" s="253"/>
      <c r="AT298" s="253"/>
      <c r="AU298" s="253"/>
    </row>
    <row r="299" spans="1:47" ht="10.5" customHeight="1">
      <c r="A299" s="263">
        <v>39660</v>
      </c>
      <c r="B299" s="263" t="s">
        <v>537</v>
      </c>
      <c r="C299" s="277">
        <v>17.74081</v>
      </c>
      <c r="D299" s="277">
        <v>5.7239170000000001</v>
      </c>
      <c r="E299" s="277">
        <v>5.7415349999999998</v>
      </c>
      <c r="F299" s="277">
        <v>5.1419410000000001</v>
      </c>
      <c r="G299" s="277">
        <v>0</v>
      </c>
      <c r="H299" s="284">
        <f t="shared" si="20"/>
        <v>1.1334170000000015</v>
      </c>
      <c r="I299" s="277">
        <v>14.769821</v>
      </c>
      <c r="J299" s="277">
        <v>4.7523049999999998</v>
      </c>
      <c r="K299" s="277">
        <v>4.8253529999999998</v>
      </c>
      <c r="L299" s="277">
        <v>4.2889949999999999</v>
      </c>
      <c r="M299" s="277">
        <v>0</v>
      </c>
      <c r="N299" s="284">
        <f t="shared" si="21"/>
        <v>0.90316800000000086</v>
      </c>
      <c r="O299" s="277">
        <v>15.488628</v>
      </c>
      <c r="P299" s="277">
        <v>2.0488919999999999</v>
      </c>
      <c r="Q299" s="277">
        <v>1.3698859999999999</v>
      </c>
      <c r="R299" s="277">
        <v>1.009938</v>
      </c>
      <c r="S299" s="920">
        <v>0</v>
      </c>
      <c r="T299" s="874">
        <f t="shared" si="22"/>
        <v>11.059912000000001</v>
      </c>
      <c r="U299" s="920">
        <v>5326.143</v>
      </c>
      <c r="V299" s="920">
        <v>901.58466666666664</v>
      </c>
      <c r="W299" s="920">
        <v>736.35666666666668</v>
      </c>
      <c r="X299" s="920">
        <v>677.52599999999995</v>
      </c>
      <c r="Y299" s="920">
        <v>0</v>
      </c>
      <c r="Z299" s="874">
        <f t="shared" si="23"/>
        <v>3010.675666666667</v>
      </c>
      <c r="AA299" s="920">
        <v>510.8</v>
      </c>
      <c r="AB299" s="920">
        <v>88.927000000000007</v>
      </c>
      <c r="AC299" s="920">
        <v>88.808999999999997</v>
      </c>
      <c r="AD299" s="920">
        <v>89.239000000000004</v>
      </c>
      <c r="AE299" s="920">
        <v>0</v>
      </c>
      <c r="AF299" s="920">
        <v>2093.8000000000002</v>
      </c>
      <c r="AG299" s="920">
        <v>373.00099999999998</v>
      </c>
      <c r="AH299" s="920">
        <v>316.74700000000001</v>
      </c>
      <c r="AI299" s="920">
        <v>358.25200000000001</v>
      </c>
      <c r="AJ299" s="920">
        <v>0</v>
      </c>
      <c r="AK299" s="919">
        <f>Data[[#This Row],[Industry Cost ($m)]]/Data[[#This Row],[Industry Consumption]]</f>
        <v>4.0990602975724357</v>
      </c>
      <c r="AL299" s="919">
        <f>Data[[#This Row],[AAL Fuel Cost]]/Data[[#This Row],[AAL Consumption]]</f>
        <v>4.1944628740427534</v>
      </c>
      <c r="AM299" s="919">
        <f>Data[[#This Row],[DAL Fuel Cost]]/Data[[#This Row],[DAL Consumption]]</f>
        <v>3.5666092400544991</v>
      </c>
      <c r="AN299" s="919">
        <f>Data[[#This Row],[UAL Fuel Cost]]/Data[[#This Row],[UALConsumption]]</f>
        <v>4.0145227983280849</v>
      </c>
      <c r="AO299" s="919">
        <f>IFERROR(Data[[#This Row],[LUV Fuel Cost]]/Data[[#This Row],[LUV Consumption]],0)</f>
        <v>0</v>
      </c>
      <c r="AP299" s="783"/>
      <c r="AQ299" s="783"/>
      <c r="AR299" s="253"/>
      <c r="AS299" s="253"/>
      <c r="AT299" s="253"/>
      <c r="AU299" s="253"/>
    </row>
    <row r="300" spans="1:47" ht="10.5" customHeight="1">
      <c r="A300" s="263">
        <v>39691</v>
      </c>
      <c r="B300" s="263" t="s">
        <v>537</v>
      </c>
      <c r="C300" s="277">
        <v>17.548946000000001</v>
      </c>
      <c r="D300" s="277">
        <v>5.7355850000000004</v>
      </c>
      <c r="E300" s="277">
        <v>5.5922190000000001</v>
      </c>
      <c r="F300" s="277">
        <v>5.1288179999999999</v>
      </c>
      <c r="G300" s="277">
        <v>0</v>
      </c>
      <c r="H300" s="284">
        <f t="shared" si="20"/>
        <v>1.0923240000000014</v>
      </c>
      <c r="I300" s="277">
        <v>14.423341000000001</v>
      </c>
      <c r="J300" s="277">
        <v>4.7016280000000004</v>
      </c>
      <c r="K300" s="277">
        <v>4.6084459999999998</v>
      </c>
      <c r="L300" s="277">
        <v>4.2319440000000004</v>
      </c>
      <c r="M300" s="277">
        <v>0</v>
      </c>
      <c r="N300" s="284">
        <f t="shared" si="21"/>
        <v>0.88132300000000008</v>
      </c>
      <c r="O300" s="277">
        <v>15.369491999999999</v>
      </c>
      <c r="P300" s="277">
        <v>2.0276559999999999</v>
      </c>
      <c r="Q300" s="277">
        <v>1.2671680000000001</v>
      </c>
      <c r="R300" s="277">
        <v>1.004594</v>
      </c>
      <c r="S300" s="920">
        <v>0</v>
      </c>
      <c r="T300" s="874">
        <f t="shared" si="22"/>
        <v>11.070073999999998</v>
      </c>
      <c r="U300" s="920">
        <v>5326.143</v>
      </c>
      <c r="V300" s="920">
        <v>901.58466666666664</v>
      </c>
      <c r="W300" s="920">
        <v>736.35666666666668</v>
      </c>
      <c r="X300" s="920">
        <v>677.52599999999995</v>
      </c>
      <c r="Y300" s="920">
        <v>0</v>
      </c>
      <c r="Z300" s="874">
        <f t="shared" si="23"/>
        <v>3010.675666666667</v>
      </c>
      <c r="AA300" s="920">
        <v>502.4</v>
      </c>
      <c r="AB300" s="920">
        <v>88.909000000000006</v>
      </c>
      <c r="AC300" s="920">
        <v>87.254999999999995</v>
      </c>
      <c r="AD300" s="920">
        <v>88.73</v>
      </c>
      <c r="AE300" s="920">
        <v>0</v>
      </c>
      <c r="AF300" s="920">
        <v>1919.3</v>
      </c>
      <c r="AG300" s="920">
        <v>322.95999999999998</v>
      </c>
      <c r="AH300" s="920">
        <v>306.596</v>
      </c>
      <c r="AI300" s="920">
        <v>338.81799999999998</v>
      </c>
      <c r="AJ300" s="920">
        <v>0</v>
      </c>
      <c r="AK300" s="919">
        <f>Data[[#This Row],[Industry Cost ($m)]]/Data[[#This Row],[Industry Consumption]]</f>
        <v>3.8202627388535033</v>
      </c>
      <c r="AL300" s="919">
        <f>Data[[#This Row],[AAL Fuel Cost]]/Data[[#This Row],[AAL Consumption]]</f>
        <v>3.6324781518181508</v>
      </c>
      <c r="AM300" s="919">
        <f>Data[[#This Row],[DAL Fuel Cost]]/Data[[#This Row],[DAL Consumption]]</f>
        <v>3.5137929058506678</v>
      </c>
      <c r="AN300" s="919">
        <f>Data[[#This Row],[UAL Fuel Cost]]/Data[[#This Row],[UALConsumption]]</f>
        <v>3.8185281190127349</v>
      </c>
      <c r="AO300" s="919">
        <f>IFERROR(Data[[#This Row],[LUV Fuel Cost]]/Data[[#This Row],[LUV Consumption]],0)</f>
        <v>0</v>
      </c>
      <c r="AP300" s="783"/>
      <c r="AQ300" s="783"/>
      <c r="AR300" s="253"/>
      <c r="AS300" s="253"/>
      <c r="AT300" s="253"/>
      <c r="AU300" s="253"/>
    </row>
    <row r="301" spans="1:47" ht="10.5" customHeight="1">
      <c r="A301" s="263">
        <v>39721</v>
      </c>
      <c r="B301" s="263" t="s">
        <v>537</v>
      </c>
      <c r="C301" s="277">
        <v>15.350773999999999</v>
      </c>
      <c r="D301" s="277">
        <v>5.0665429999999994</v>
      </c>
      <c r="E301" s="277">
        <v>4.8368909999999996</v>
      </c>
      <c r="F301" s="277">
        <v>4.5576970000000001</v>
      </c>
      <c r="G301" s="277">
        <v>0</v>
      </c>
      <c r="H301" s="284">
        <f t="shared" si="20"/>
        <v>0.88964300000000129</v>
      </c>
      <c r="I301" s="277">
        <v>11.865342</v>
      </c>
      <c r="J301" s="277">
        <v>3.8935369999999998</v>
      </c>
      <c r="K301" s="277">
        <v>3.7678090000000002</v>
      </c>
      <c r="L301" s="277">
        <v>3.5838109999999999</v>
      </c>
      <c r="M301" s="277">
        <v>0</v>
      </c>
      <c r="N301" s="284">
        <f t="shared" si="21"/>
        <v>0.6201850000000011</v>
      </c>
      <c r="O301" s="277">
        <v>11.759694</v>
      </c>
      <c r="P301" s="277">
        <v>1.518292</v>
      </c>
      <c r="Q301" s="277">
        <v>0.94604600000000005</v>
      </c>
      <c r="R301" s="277">
        <v>0.81496100000000005</v>
      </c>
      <c r="S301" s="920">
        <v>0</v>
      </c>
      <c r="T301" s="874">
        <f t="shared" si="22"/>
        <v>8.4803949999999997</v>
      </c>
      <c r="U301" s="920">
        <v>5326.143</v>
      </c>
      <c r="V301" s="920">
        <v>901.58466666666664</v>
      </c>
      <c r="W301" s="920">
        <v>736.35666666666668</v>
      </c>
      <c r="X301" s="920">
        <v>677.52599999999995</v>
      </c>
      <c r="Y301" s="920">
        <v>0</v>
      </c>
      <c r="Z301" s="874">
        <f t="shared" si="23"/>
        <v>3010.675666666667</v>
      </c>
      <c r="AA301" s="920">
        <v>448.8</v>
      </c>
      <c r="AB301" s="920">
        <v>79.650999999999996</v>
      </c>
      <c r="AC301" s="920">
        <v>75.528000000000006</v>
      </c>
      <c r="AD301" s="920">
        <v>79.36</v>
      </c>
      <c r="AE301" s="920">
        <v>0</v>
      </c>
      <c r="AF301" s="920">
        <v>1603.3</v>
      </c>
      <c r="AG301" s="920">
        <v>276.47699999999998</v>
      </c>
      <c r="AH301" s="920">
        <v>257.053</v>
      </c>
      <c r="AI301" s="920">
        <v>263.44499999999999</v>
      </c>
      <c r="AJ301" s="920">
        <v>0</v>
      </c>
      <c r="AK301" s="919">
        <f>Data[[#This Row],[Industry Cost ($m)]]/Data[[#This Row],[Industry Consumption]]</f>
        <v>3.5724153297682708</v>
      </c>
      <c r="AL301" s="919">
        <f>Data[[#This Row],[AAL Fuel Cost]]/Data[[#This Row],[AAL Consumption]]</f>
        <v>3.4711051964193795</v>
      </c>
      <c r="AM301" s="919">
        <f>Data[[#This Row],[DAL Fuel Cost]]/Data[[#This Row],[DAL Consumption]]</f>
        <v>3.4034133036754577</v>
      </c>
      <c r="AN301" s="919">
        <f>Data[[#This Row],[UAL Fuel Cost]]/Data[[#This Row],[UALConsumption]]</f>
        <v>3.319619455645161</v>
      </c>
      <c r="AO301" s="919">
        <f>IFERROR(Data[[#This Row],[LUV Fuel Cost]]/Data[[#This Row],[LUV Consumption]],0)</f>
        <v>0</v>
      </c>
      <c r="AP301" s="783"/>
      <c r="AQ301" s="783"/>
      <c r="AR301" s="253"/>
      <c r="AS301" s="253"/>
      <c r="AT301" s="253"/>
      <c r="AU301" s="253"/>
    </row>
    <row r="302" spans="1:47" ht="10.5" customHeight="1">
      <c r="A302" s="263">
        <v>39752</v>
      </c>
      <c r="B302" s="263" t="s">
        <v>537</v>
      </c>
      <c r="C302" s="277">
        <v>15.299576</v>
      </c>
      <c r="D302" s="277">
        <v>5.2098760000000004</v>
      </c>
      <c r="E302" s="277">
        <v>4.566014</v>
      </c>
      <c r="F302" s="277">
        <v>4.6107290000000001</v>
      </c>
      <c r="G302" s="277">
        <v>0</v>
      </c>
      <c r="H302" s="284">
        <f t="shared" si="20"/>
        <v>0.91295700000000046</v>
      </c>
      <c r="I302" s="277">
        <v>11.811384</v>
      </c>
      <c r="J302" s="277">
        <v>3.9826969999999999</v>
      </c>
      <c r="K302" s="277">
        <v>3.5790470000000001</v>
      </c>
      <c r="L302" s="277">
        <v>3.5878459999999999</v>
      </c>
      <c r="M302" s="277">
        <v>0</v>
      </c>
      <c r="N302" s="284">
        <f t="shared" si="21"/>
        <v>0.66179400000000044</v>
      </c>
      <c r="O302" s="277">
        <v>11.952515</v>
      </c>
      <c r="P302" s="277">
        <v>1.578522</v>
      </c>
      <c r="Q302" s="277">
        <v>0.91803000000000001</v>
      </c>
      <c r="R302" s="277">
        <v>0.80960600000000005</v>
      </c>
      <c r="S302" s="920">
        <v>0</v>
      </c>
      <c r="T302" s="874">
        <f t="shared" si="22"/>
        <v>8.6463570000000001</v>
      </c>
      <c r="U302" s="920">
        <v>4241.677333333334</v>
      </c>
      <c r="V302" s="920">
        <v>747.81966666666665</v>
      </c>
      <c r="W302" s="920">
        <v>534.21066666666673</v>
      </c>
      <c r="X302" s="920">
        <v>540.06599999999992</v>
      </c>
      <c r="Y302" s="920">
        <v>0</v>
      </c>
      <c r="Z302" s="874">
        <f t="shared" si="23"/>
        <v>2419.5810000000006</v>
      </c>
      <c r="AA302" s="920">
        <v>444</v>
      </c>
      <c r="AB302" s="920">
        <v>80.454999999999998</v>
      </c>
      <c r="AC302" s="920">
        <v>72.218999999999994</v>
      </c>
      <c r="AD302" s="920">
        <v>79.760999999999996</v>
      </c>
      <c r="AE302" s="920">
        <v>0</v>
      </c>
      <c r="AF302" s="920">
        <v>1620.9</v>
      </c>
      <c r="AG302" s="920">
        <v>266.459</v>
      </c>
      <c r="AH302" s="920">
        <v>275.476</v>
      </c>
      <c r="AI302" s="920">
        <v>238.31200000000001</v>
      </c>
      <c r="AJ302" s="920">
        <v>0</v>
      </c>
      <c r="AK302" s="919">
        <f>Data[[#This Row],[Industry Cost ($m)]]/Data[[#This Row],[Industry Consumption]]</f>
        <v>3.650675675675676</v>
      </c>
      <c r="AL302" s="919">
        <f>Data[[#This Row],[AAL Fuel Cost]]/Data[[#This Row],[AAL Consumption]]</f>
        <v>3.3119010627058607</v>
      </c>
      <c r="AM302" s="919">
        <f>Data[[#This Row],[DAL Fuel Cost]]/Data[[#This Row],[DAL Consumption]]</f>
        <v>3.8144532602223795</v>
      </c>
      <c r="AN302" s="919">
        <f>Data[[#This Row],[UAL Fuel Cost]]/Data[[#This Row],[UALConsumption]]</f>
        <v>2.9878261305650633</v>
      </c>
      <c r="AO302" s="919">
        <f>IFERROR(Data[[#This Row],[LUV Fuel Cost]]/Data[[#This Row],[LUV Consumption]],0)</f>
        <v>0</v>
      </c>
      <c r="AP302" s="783"/>
      <c r="AQ302" s="783"/>
      <c r="AR302" s="253"/>
      <c r="AS302" s="253"/>
      <c r="AT302" s="253"/>
      <c r="AU302" s="253"/>
    </row>
    <row r="303" spans="1:47" ht="10.5" customHeight="1">
      <c r="A303" s="263">
        <v>39782</v>
      </c>
      <c r="B303" s="263" t="s">
        <v>537</v>
      </c>
      <c r="C303" s="277">
        <v>14.435886</v>
      </c>
      <c r="D303" s="277">
        <v>5.0714930000000003</v>
      </c>
      <c r="E303" s="277">
        <v>4.1679040000000001</v>
      </c>
      <c r="F303" s="277">
        <v>4.1764790000000005</v>
      </c>
      <c r="G303" s="277">
        <v>0</v>
      </c>
      <c r="H303" s="284">
        <f t="shared" si="20"/>
        <v>1.0200099999999992</v>
      </c>
      <c r="I303" s="277">
        <v>10.655136000000001</v>
      </c>
      <c r="J303" s="277">
        <v>3.7632949999999998</v>
      </c>
      <c r="K303" s="277">
        <v>3.0520679999999998</v>
      </c>
      <c r="L303" s="277">
        <v>3.097728</v>
      </c>
      <c r="M303" s="277">
        <v>0</v>
      </c>
      <c r="N303" s="284">
        <f t="shared" si="21"/>
        <v>0.74204500000000095</v>
      </c>
      <c r="O303" s="277">
        <v>11.288311</v>
      </c>
      <c r="P303" s="277">
        <v>1.584992</v>
      </c>
      <c r="Q303" s="277">
        <v>0.82856099999999999</v>
      </c>
      <c r="R303" s="277">
        <v>0.70618400000000003</v>
      </c>
      <c r="S303" s="920">
        <v>0</v>
      </c>
      <c r="T303" s="874">
        <f t="shared" si="22"/>
        <v>8.1685739999999996</v>
      </c>
      <c r="U303" s="920">
        <v>4241.677333333334</v>
      </c>
      <c r="V303" s="920">
        <v>747.81966666666665</v>
      </c>
      <c r="W303" s="920">
        <v>534.21066666666673</v>
      </c>
      <c r="X303" s="920">
        <v>540.06599999999992</v>
      </c>
      <c r="Y303" s="920">
        <v>0</v>
      </c>
      <c r="Z303" s="874">
        <f t="shared" si="23"/>
        <v>2419.5810000000006</v>
      </c>
      <c r="AA303" s="920">
        <v>411.1</v>
      </c>
      <c r="AB303" s="920">
        <v>78.646000000000001</v>
      </c>
      <c r="AC303" s="920">
        <v>65.209000000000003</v>
      </c>
      <c r="AD303" s="920">
        <v>72.515000000000001</v>
      </c>
      <c r="AE303" s="920">
        <v>0</v>
      </c>
      <c r="AF303" s="920">
        <v>1088.5</v>
      </c>
      <c r="AG303" s="920">
        <v>178.57</v>
      </c>
      <c r="AH303" s="920">
        <v>209.745</v>
      </c>
      <c r="AI303" s="920">
        <v>177.01400000000001</v>
      </c>
      <c r="AJ303" s="920">
        <v>0</v>
      </c>
      <c r="AK303" s="919">
        <f>Data[[#This Row],[Industry Cost ($m)]]/Data[[#This Row],[Industry Consumption]]</f>
        <v>2.6477742641693016</v>
      </c>
      <c r="AL303" s="919">
        <f>Data[[#This Row],[AAL Fuel Cost]]/Data[[#This Row],[AAL Consumption]]</f>
        <v>2.2705541286270119</v>
      </c>
      <c r="AM303" s="919">
        <f>Data[[#This Row],[DAL Fuel Cost]]/Data[[#This Row],[DAL Consumption]]</f>
        <v>3.2165038568295787</v>
      </c>
      <c r="AN303" s="919">
        <f>Data[[#This Row],[UAL Fuel Cost]]/Data[[#This Row],[UALConsumption]]</f>
        <v>2.4410673653726818</v>
      </c>
      <c r="AO303" s="919">
        <f>IFERROR(Data[[#This Row],[LUV Fuel Cost]]/Data[[#This Row],[LUV Consumption]],0)</f>
        <v>0</v>
      </c>
      <c r="AP303" s="783"/>
      <c r="AQ303" s="783"/>
      <c r="AR303" s="253"/>
      <c r="AS303" s="253"/>
      <c r="AT303" s="253"/>
      <c r="AU303" s="253"/>
    </row>
    <row r="304" spans="1:47" ht="10.5" customHeight="1">
      <c r="A304" s="263">
        <v>39813</v>
      </c>
      <c r="B304" s="263" t="s">
        <v>537</v>
      </c>
      <c r="C304" s="277">
        <v>15.474909999999999</v>
      </c>
      <c r="D304" s="277">
        <v>5.3054959999999998</v>
      </c>
      <c r="E304" s="277">
        <v>4.5938590000000001</v>
      </c>
      <c r="F304" s="277">
        <v>4.435746</v>
      </c>
      <c r="G304" s="277">
        <v>0</v>
      </c>
      <c r="H304" s="284">
        <f t="shared" si="20"/>
        <v>1.1398089999999996</v>
      </c>
      <c r="I304" s="277">
        <v>11.865142000000001</v>
      </c>
      <c r="J304" s="277">
        <v>4.0416749999999997</v>
      </c>
      <c r="K304" s="277">
        <v>3.5306150000000001</v>
      </c>
      <c r="L304" s="277">
        <v>3.4415689999999999</v>
      </c>
      <c r="M304" s="277">
        <v>0</v>
      </c>
      <c r="N304" s="284">
        <f t="shared" si="21"/>
        <v>0.85128300000000046</v>
      </c>
      <c r="O304" s="277">
        <v>12.499216000000001</v>
      </c>
      <c r="P304" s="277">
        <v>1.717136</v>
      </c>
      <c r="Q304" s="277">
        <v>0.99071299999999995</v>
      </c>
      <c r="R304" s="277">
        <v>0.79858399999999996</v>
      </c>
      <c r="S304" s="920">
        <v>0</v>
      </c>
      <c r="T304" s="874">
        <f t="shared" si="22"/>
        <v>8.9927830000000011</v>
      </c>
      <c r="U304" s="920">
        <v>4241.677333333334</v>
      </c>
      <c r="V304" s="920">
        <v>747.81966666666665</v>
      </c>
      <c r="W304" s="920">
        <v>534.21066666666673</v>
      </c>
      <c r="X304" s="920">
        <v>540.06599999999992</v>
      </c>
      <c r="Y304" s="920">
        <v>0</v>
      </c>
      <c r="Z304" s="874">
        <f t="shared" si="23"/>
        <v>2419.5810000000006</v>
      </c>
      <c r="AA304" s="920">
        <v>427.2</v>
      </c>
      <c r="AB304" s="920">
        <v>81.745000000000005</v>
      </c>
      <c r="AC304" s="920">
        <v>71.924000000000007</v>
      </c>
      <c r="AD304" s="920">
        <v>76.971000000000004</v>
      </c>
      <c r="AE304" s="920">
        <v>0</v>
      </c>
      <c r="AF304" s="920">
        <v>926.3</v>
      </c>
      <c r="AG304" s="920">
        <v>169.90100000000001</v>
      </c>
      <c r="AH304" s="920">
        <v>193.011</v>
      </c>
      <c r="AI304" s="920">
        <v>142.392</v>
      </c>
      <c r="AJ304" s="920">
        <v>0</v>
      </c>
      <c r="AK304" s="919">
        <f>Data[[#This Row],[Industry Cost ($m)]]/Data[[#This Row],[Industry Consumption]]</f>
        <v>2.1683052434456926</v>
      </c>
      <c r="AL304" s="919">
        <f>Data[[#This Row],[AAL Fuel Cost]]/Data[[#This Row],[AAL Consumption]]</f>
        <v>2.0784268150957246</v>
      </c>
      <c r="AM304" s="919">
        <f>Data[[#This Row],[DAL Fuel Cost]]/Data[[#This Row],[DAL Consumption]]</f>
        <v>2.6835409599021185</v>
      </c>
      <c r="AN304" s="919">
        <f>Data[[#This Row],[UAL Fuel Cost]]/Data[[#This Row],[UALConsumption]]</f>
        <v>1.8499434852087149</v>
      </c>
      <c r="AO304" s="919">
        <f>IFERROR(Data[[#This Row],[LUV Fuel Cost]]/Data[[#This Row],[LUV Consumption]],0)</f>
        <v>0</v>
      </c>
      <c r="AP304" s="783"/>
      <c r="AQ304" s="783"/>
      <c r="AR304" s="253"/>
      <c r="AS304" s="253"/>
      <c r="AT304" s="253"/>
      <c r="AU304" s="253"/>
    </row>
    <row r="305" spans="1:47" ht="10.5" customHeight="1">
      <c r="A305" s="263">
        <v>39844</v>
      </c>
      <c r="B305" s="263" t="s">
        <v>537</v>
      </c>
      <c r="C305" s="277">
        <v>15.331415</v>
      </c>
      <c r="D305" s="277">
        <v>5.370298</v>
      </c>
      <c r="E305" s="277">
        <v>4.3529040000000006</v>
      </c>
      <c r="F305" s="277">
        <v>4.4190129999999996</v>
      </c>
      <c r="G305" s="277">
        <v>0</v>
      </c>
      <c r="H305" s="284">
        <f t="shared" si="20"/>
        <v>1.1891999999999996</v>
      </c>
      <c r="I305" s="277">
        <v>11.228071</v>
      </c>
      <c r="J305" s="277">
        <v>3.8751310000000001</v>
      </c>
      <c r="K305" s="277">
        <v>3.1894640000000001</v>
      </c>
      <c r="L305" s="277">
        <v>3.2889599999999999</v>
      </c>
      <c r="M305" s="277">
        <v>0</v>
      </c>
      <c r="N305" s="284">
        <f t="shared" si="21"/>
        <v>0.87451599999999985</v>
      </c>
      <c r="O305" s="277">
        <v>12.075267</v>
      </c>
      <c r="P305" s="277">
        <v>1.646798</v>
      </c>
      <c r="Q305" s="277">
        <v>0.90812599999999999</v>
      </c>
      <c r="R305" s="277">
        <v>0.75626099999999996</v>
      </c>
      <c r="S305" s="920">
        <v>0</v>
      </c>
      <c r="T305" s="874">
        <f t="shared" si="22"/>
        <v>8.7640820000000001</v>
      </c>
      <c r="U305" s="920">
        <v>3511.0889999999999</v>
      </c>
      <c r="V305" s="920">
        <v>647.91600000000005</v>
      </c>
      <c r="W305" s="920">
        <v>418.99299999999999</v>
      </c>
      <c r="X305" s="920">
        <v>418.88500000000005</v>
      </c>
      <c r="Y305" s="920">
        <v>0</v>
      </c>
      <c r="Z305" s="874">
        <f t="shared" si="23"/>
        <v>2025.2949999999998</v>
      </c>
      <c r="AA305" s="920">
        <v>416.7</v>
      </c>
      <c r="AB305" s="920">
        <v>81.483999999999995</v>
      </c>
      <c r="AC305" s="920">
        <v>66.396000000000001</v>
      </c>
      <c r="AD305" s="920">
        <v>75.956999999999994</v>
      </c>
      <c r="AE305" s="920">
        <v>0</v>
      </c>
      <c r="AF305" s="920">
        <v>713.6</v>
      </c>
      <c r="AG305" s="920">
        <v>155.352</v>
      </c>
      <c r="AH305" s="920">
        <v>188.673</v>
      </c>
      <c r="AI305" s="920">
        <v>120.572</v>
      </c>
      <c r="AJ305" s="920">
        <v>0</v>
      </c>
      <c r="AK305" s="919">
        <f>Data[[#This Row],[Industry Cost ($m)]]/Data[[#This Row],[Industry Consumption]]</f>
        <v>1.7125029997600194</v>
      </c>
      <c r="AL305" s="919">
        <f>Data[[#This Row],[AAL Fuel Cost]]/Data[[#This Row],[AAL Consumption]]</f>
        <v>1.9065337980462425</v>
      </c>
      <c r="AM305" s="919">
        <f>Data[[#This Row],[DAL Fuel Cost]]/Data[[#This Row],[DAL Consumption]]</f>
        <v>2.841632026025664</v>
      </c>
      <c r="AN305" s="919">
        <f>Data[[#This Row],[UAL Fuel Cost]]/Data[[#This Row],[UALConsumption]]</f>
        <v>1.5873718024671855</v>
      </c>
      <c r="AO305" s="919">
        <f>IFERROR(Data[[#This Row],[LUV Fuel Cost]]/Data[[#This Row],[LUV Consumption]],0)</f>
        <v>0</v>
      </c>
      <c r="AP305" s="783"/>
      <c r="AQ305" s="783"/>
      <c r="AR305" s="253"/>
      <c r="AS305" s="253"/>
      <c r="AT305" s="253"/>
      <c r="AU305" s="253"/>
    </row>
    <row r="306" spans="1:47" ht="10.5" customHeight="1">
      <c r="A306" s="263">
        <v>39872</v>
      </c>
      <c r="B306" s="263" t="s">
        <v>537</v>
      </c>
      <c r="C306" s="277">
        <v>13.435786</v>
      </c>
      <c r="D306" s="277">
        <v>4.6951859999999996</v>
      </c>
      <c r="E306" s="277">
        <v>3.7848629999999996</v>
      </c>
      <c r="F306" s="277">
        <v>3.8143690000000001</v>
      </c>
      <c r="G306" s="277">
        <v>0</v>
      </c>
      <c r="H306" s="284">
        <f t="shared" si="20"/>
        <v>1.1413679999999999</v>
      </c>
      <c r="I306" s="277">
        <v>9.0855460000000008</v>
      </c>
      <c r="J306" s="277">
        <v>3.201759</v>
      </c>
      <c r="K306" s="277">
        <v>2.4387099999999999</v>
      </c>
      <c r="L306" s="277">
        <v>2.6011630000000001</v>
      </c>
      <c r="M306" s="277">
        <v>0</v>
      </c>
      <c r="N306" s="284">
        <f t="shared" si="21"/>
        <v>0.84391400000000161</v>
      </c>
      <c r="O306" s="277">
        <v>10.412675999999999</v>
      </c>
      <c r="P306" s="277">
        <v>1.394746</v>
      </c>
      <c r="Q306" s="277">
        <v>0.72464499999999998</v>
      </c>
      <c r="R306" s="277">
        <v>0.63022299999999998</v>
      </c>
      <c r="S306" s="920">
        <v>0</v>
      </c>
      <c r="T306" s="874">
        <f t="shared" si="22"/>
        <v>7.6630619999999992</v>
      </c>
      <c r="U306" s="920">
        <v>3511.0889999999999</v>
      </c>
      <c r="V306" s="920">
        <v>647.91600000000005</v>
      </c>
      <c r="W306" s="920">
        <v>418.99299999999999</v>
      </c>
      <c r="X306" s="920">
        <v>418.88500000000005</v>
      </c>
      <c r="Y306" s="920">
        <v>0</v>
      </c>
      <c r="Z306" s="874">
        <f t="shared" si="23"/>
        <v>2025.2949999999998</v>
      </c>
      <c r="AA306" s="920">
        <v>369.6</v>
      </c>
      <c r="AB306" s="920">
        <v>71.123000000000005</v>
      </c>
      <c r="AC306" s="920">
        <v>57.96</v>
      </c>
      <c r="AD306" s="920">
        <v>64.900999999999996</v>
      </c>
      <c r="AE306" s="920">
        <v>0</v>
      </c>
      <c r="AF306" s="920">
        <v>677</v>
      </c>
      <c r="AG306" s="920">
        <v>102.965</v>
      </c>
      <c r="AH306" s="920">
        <v>179.13200000000001</v>
      </c>
      <c r="AI306" s="920">
        <v>96.697999999999993</v>
      </c>
      <c r="AJ306" s="920">
        <v>0</v>
      </c>
      <c r="AK306" s="919">
        <f>Data[[#This Row],[Industry Cost ($m)]]/Data[[#This Row],[Industry Consumption]]</f>
        <v>1.8317099567099566</v>
      </c>
      <c r="AL306" s="919">
        <f>Data[[#This Row],[AAL Fuel Cost]]/Data[[#This Row],[AAL Consumption]]</f>
        <v>1.4477032746087763</v>
      </c>
      <c r="AM306" s="919">
        <f>Data[[#This Row],[DAL Fuel Cost]]/Data[[#This Row],[DAL Consumption]]</f>
        <v>3.0906142167011734</v>
      </c>
      <c r="AN306" s="919">
        <f>Data[[#This Row],[UAL Fuel Cost]]/Data[[#This Row],[UALConsumption]]</f>
        <v>1.489930817706969</v>
      </c>
      <c r="AO306" s="919">
        <f>IFERROR(Data[[#This Row],[LUV Fuel Cost]]/Data[[#This Row],[LUV Consumption]],0)</f>
        <v>0</v>
      </c>
      <c r="AP306" s="783"/>
      <c r="AQ306" s="783"/>
      <c r="AR306" s="253"/>
      <c r="AS306" s="253"/>
      <c r="AT306" s="253"/>
      <c r="AU306" s="253"/>
    </row>
    <row r="307" spans="1:47" ht="10.5" customHeight="1">
      <c r="A307" s="263">
        <v>39903</v>
      </c>
      <c r="B307" s="263" t="s">
        <v>537</v>
      </c>
      <c r="C307" s="277">
        <v>15.250588</v>
      </c>
      <c r="D307" s="277">
        <v>5.2525870000000001</v>
      </c>
      <c r="E307" s="277">
        <v>4.2755179999999999</v>
      </c>
      <c r="F307" s="277">
        <v>4.429983</v>
      </c>
      <c r="G307" s="277">
        <v>0</v>
      </c>
      <c r="H307" s="284">
        <f t="shared" si="20"/>
        <v>1.2925000000000004</v>
      </c>
      <c r="I307" s="277">
        <v>11.299920999999999</v>
      </c>
      <c r="J307" s="277">
        <v>3.852017</v>
      </c>
      <c r="K307" s="277">
        <v>3.1746129999999999</v>
      </c>
      <c r="L307" s="277">
        <v>3.2976399999999999</v>
      </c>
      <c r="M307" s="277">
        <v>0</v>
      </c>
      <c r="N307" s="284">
        <f t="shared" si="21"/>
        <v>0.97565099999999916</v>
      </c>
      <c r="O307" s="277">
        <v>12.508793000000001</v>
      </c>
      <c r="P307" s="277">
        <v>1.634131</v>
      </c>
      <c r="Q307" s="277">
        <v>0.93946399999999997</v>
      </c>
      <c r="R307" s="277">
        <v>0.78911900000000001</v>
      </c>
      <c r="S307" s="920">
        <v>0</v>
      </c>
      <c r="T307" s="874">
        <f t="shared" si="22"/>
        <v>9.1460790000000003</v>
      </c>
      <c r="U307" s="920">
        <v>3511.0889999999999</v>
      </c>
      <c r="V307" s="920">
        <v>647.91600000000005</v>
      </c>
      <c r="W307" s="920">
        <v>418.99299999999999</v>
      </c>
      <c r="X307" s="920">
        <v>418.88500000000005</v>
      </c>
      <c r="Y307" s="920">
        <v>0</v>
      </c>
      <c r="Z307" s="874">
        <f t="shared" si="23"/>
        <v>2025.2949999999998</v>
      </c>
      <c r="AA307" s="920">
        <v>416.5</v>
      </c>
      <c r="AB307" s="920">
        <v>80.623000000000005</v>
      </c>
      <c r="AC307" s="920">
        <v>66.343000000000004</v>
      </c>
      <c r="AD307" s="920">
        <v>75.837999999999994</v>
      </c>
      <c r="AE307" s="920">
        <v>0</v>
      </c>
      <c r="AF307" s="920">
        <v>686.5</v>
      </c>
      <c r="AG307" s="920">
        <v>109.66200000000001</v>
      </c>
      <c r="AH307" s="920">
        <v>184.155</v>
      </c>
      <c r="AI307" s="920">
        <v>102.21599999999999</v>
      </c>
      <c r="AJ307" s="920">
        <v>0</v>
      </c>
      <c r="AK307" s="919">
        <f>Data[[#This Row],[Industry Cost ($m)]]/Data[[#This Row],[Industry Consumption]]</f>
        <v>1.6482593037214885</v>
      </c>
      <c r="AL307" s="919">
        <f>Data[[#This Row],[AAL Fuel Cost]]/Data[[#This Row],[AAL Consumption]]</f>
        <v>1.3601825781724819</v>
      </c>
      <c r="AM307" s="919">
        <f>Data[[#This Row],[DAL Fuel Cost]]/Data[[#This Row],[DAL Consumption]]</f>
        <v>2.7758015163619372</v>
      </c>
      <c r="AN307" s="919">
        <f>Data[[#This Row],[UAL Fuel Cost]]/Data[[#This Row],[UALConsumption]]</f>
        <v>1.3478203539122868</v>
      </c>
      <c r="AO307" s="919">
        <f>IFERROR(Data[[#This Row],[LUV Fuel Cost]]/Data[[#This Row],[LUV Consumption]],0)</f>
        <v>0</v>
      </c>
      <c r="AP307" s="783"/>
      <c r="AQ307" s="783"/>
      <c r="AR307" s="253"/>
      <c r="AS307" s="253"/>
      <c r="AT307" s="253"/>
      <c r="AU307" s="253"/>
    </row>
    <row r="308" spans="1:47" ht="10.5" customHeight="1">
      <c r="A308" s="263">
        <v>39933</v>
      </c>
      <c r="B308" s="263" t="s">
        <v>537</v>
      </c>
      <c r="C308" s="277">
        <v>15.059504</v>
      </c>
      <c r="D308" s="277">
        <v>5.1097580000000002</v>
      </c>
      <c r="E308" s="277">
        <v>4.2097809999999996</v>
      </c>
      <c r="F308" s="277">
        <v>4.533417</v>
      </c>
      <c r="G308" s="277">
        <v>0</v>
      </c>
      <c r="H308" s="284">
        <f t="shared" si="20"/>
        <v>1.2065480000000015</v>
      </c>
      <c r="I308" s="277">
        <v>11.483779999999999</v>
      </c>
      <c r="J308" s="277">
        <v>3.9154089999999999</v>
      </c>
      <c r="K308" s="277">
        <v>3.289145</v>
      </c>
      <c r="L308" s="277">
        <v>3.381999</v>
      </c>
      <c r="M308" s="277">
        <v>0</v>
      </c>
      <c r="N308" s="284">
        <f t="shared" si="21"/>
        <v>0.89722699999999911</v>
      </c>
      <c r="O308" s="277">
        <v>12.629804999999999</v>
      </c>
      <c r="P308" s="277">
        <v>1.6386799999999999</v>
      </c>
      <c r="Q308" s="277">
        <v>0.95823899999999995</v>
      </c>
      <c r="R308" s="277">
        <v>0.793987</v>
      </c>
      <c r="S308" s="920">
        <v>0</v>
      </c>
      <c r="T308" s="874">
        <f t="shared" si="22"/>
        <v>9.238899</v>
      </c>
      <c r="U308" s="920">
        <v>3613.6266666666666</v>
      </c>
      <c r="V308" s="920">
        <v>627.87966666666659</v>
      </c>
      <c r="W308" s="920">
        <v>493.077</v>
      </c>
      <c r="X308" s="920">
        <v>442.74366666666668</v>
      </c>
      <c r="Y308" s="920">
        <v>0</v>
      </c>
      <c r="Z308" s="874">
        <f t="shared" si="23"/>
        <v>2049.9263333333333</v>
      </c>
      <c r="AA308" s="920">
        <v>417.3</v>
      </c>
      <c r="AB308" s="920">
        <v>79.016999999999996</v>
      </c>
      <c r="AC308" s="920">
        <v>65.096000000000004</v>
      </c>
      <c r="AD308" s="920">
        <v>77.713999999999999</v>
      </c>
      <c r="AE308" s="920">
        <v>0</v>
      </c>
      <c r="AF308" s="920">
        <v>727.4</v>
      </c>
      <c r="AG308" s="920">
        <v>119.08</v>
      </c>
      <c r="AH308" s="920">
        <v>169.90100000000001</v>
      </c>
      <c r="AI308" s="920">
        <v>109.587</v>
      </c>
      <c r="AJ308" s="920">
        <v>0</v>
      </c>
      <c r="AK308" s="919">
        <f>Data[[#This Row],[Industry Cost ($m)]]/Data[[#This Row],[Industry Consumption]]</f>
        <v>1.7431104720824346</v>
      </c>
      <c r="AL308" s="919">
        <f>Data[[#This Row],[AAL Fuel Cost]]/Data[[#This Row],[AAL Consumption]]</f>
        <v>1.5070174772517306</v>
      </c>
      <c r="AM308" s="919">
        <f>Data[[#This Row],[DAL Fuel Cost]]/Data[[#This Row],[DAL Consumption]]</f>
        <v>2.6100067592478799</v>
      </c>
      <c r="AN308" s="919">
        <f>Data[[#This Row],[UAL Fuel Cost]]/Data[[#This Row],[UALConsumption]]</f>
        <v>1.4101320225442007</v>
      </c>
      <c r="AO308" s="919">
        <f>IFERROR(Data[[#This Row],[LUV Fuel Cost]]/Data[[#This Row],[LUV Consumption]],0)</f>
        <v>0</v>
      </c>
      <c r="AP308" s="783"/>
      <c r="AQ308" s="783"/>
      <c r="AR308" s="253"/>
      <c r="AS308" s="253"/>
      <c r="AT308" s="253"/>
      <c r="AU308" s="253"/>
    </row>
    <row r="309" spans="1:47" ht="10.5" customHeight="1">
      <c r="A309" s="263">
        <v>39964</v>
      </c>
      <c r="B309" s="263" t="s">
        <v>537</v>
      </c>
      <c r="C309" s="277">
        <v>15.461036999999999</v>
      </c>
      <c r="D309" s="277">
        <v>5.3750730000000004</v>
      </c>
      <c r="E309" s="277">
        <v>4.3990600000000004</v>
      </c>
      <c r="F309" s="277">
        <v>4.6061710000000007</v>
      </c>
      <c r="G309" s="277">
        <v>0</v>
      </c>
      <c r="H309" s="284">
        <f t="shared" si="20"/>
        <v>1.0807329999999968</v>
      </c>
      <c r="I309" s="277">
        <v>11.649032999999999</v>
      </c>
      <c r="J309" s="277">
        <v>3.952143</v>
      </c>
      <c r="K309" s="277">
        <v>3.5053019999999999</v>
      </c>
      <c r="L309" s="277">
        <v>3.4562390000000001</v>
      </c>
      <c r="M309" s="277">
        <v>0</v>
      </c>
      <c r="N309" s="284">
        <f t="shared" si="21"/>
        <v>0.73534899999999936</v>
      </c>
      <c r="O309" s="277">
        <v>11.806547999999999</v>
      </c>
      <c r="P309" s="277">
        <v>1.561968</v>
      </c>
      <c r="Q309" s="277">
        <v>0.96471600000000002</v>
      </c>
      <c r="R309" s="277">
        <v>0.77212000000000003</v>
      </c>
      <c r="S309" s="920">
        <v>0</v>
      </c>
      <c r="T309" s="874">
        <f t="shared" si="22"/>
        <v>8.5077439999999989</v>
      </c>
      <c r="U309" s="920">
        <v>3613.6266666666666</v>
      </c>
      <c r="V309" s="920">
        <v>627.87966666666659</v>
      </c>
      <c r="W309" s="920">
        <v>493.077</v>
      </c>
      <c r="X309" s="920">
        <v>442.74366666666668</v>
      </c>
      <c r="Y309" s="920">
        <v>0</v>
      </c>
      <c r="Z309" s="874">
        <f t="shared" si="23"/>
        <v>2049.9263333333333</v>
      </c>
      <c r="AA309" s="920">
        <v>428.2</v>
      </c>
      <c r="AB309" s="920">
        <v>82.974000000000004</v>
      </c>
      <c r="AC309" s="920">
        <v>68.594999999999999</v>
      </c>
      <c r="AD309" s="920">
        <v>79.88</v>
      </c>
      <c r="AE309" s="920">
        <v>0</v>
      </c>
      <c r="AF309" s="920">
        <v>734</v>
      </c>
      <c r="AG309" s="920">
        <v>119.629</v>
      </c>
      <c r="AH309" s="920">
        <v>172.459</v>
      </c>
      <c r="AI309" s="920">
        <v>113.68</v>
      </c>
      <c r="AJ309" s="920">
        <v>0</v>
      </c>
      <c r="AK309" s="919">
        <f>Data[[#This Row],[Industry Cost ($m)]]/Data[[#This Row],[Industry Consumption]]</f>
        <v>1.7141522652965904</v>
      </c>
      <c r="AL309" s="919">
        <f>Data[[#This Row],[AAL Fuel Cost]]/Data[[#This Row],[AAL Consumption]]</f>
        <v>1.4417648902065707</v>
      </c>
      <c r="AM309" s="919">
        <f>Data[[#This Row],[DAL Fuel Cost]]/Data[[#This Row],[DAL Consumption]]</f>
        <v>2.5141628398571325</v>
      </c>
      <c r="AN309" s="919">
        <f>Data[[#This Row],[UAL Fuel Cost]]/Data[[#This Row],[UALConsumption]]</f>
        <v>1.4231347020530798</v>
      </c>
      <c r="AO309" s="919">
        <f>IFERROR(Data[[#This Row],[LUV Fuel Cost]]/Data[[#This Row],[LUV Consumption]],0)</f>
        <v>0</v>
      </c>
      <c r="AP309" s="783"/>
      <c r="AQ309" s="783"/>
      <c r="AR309" s="253"/>
      <c r="AS309" s="253"/>
      <c r="AT309" s="253"/>
      <c r="AU309" s="253"/>
    </row>
    <row r="310" spans="1:47" ht="10.5" customHeight="1">
      <c r="A310" s="263">
        <v>39994</v>
      </c>
      <c r="B310" s="263" t="s">
        <v>537</v>
      </c>
      <c r="C310" s="277">
        <v>16.139559999999999</v>
      </c>
      <c r="D310" s="277">
        <v>5.2753170000000003</v>
      </c>
      <c r="E310" s="277">
        <v>5.1988430000000001</v>
      </c>
      <c r="F310" s="277">
        <v>4.5674350000000006</v>
      </c>
      <c r="G310" s="277">
        <v>0</v>
      </c>
      <c r="H310" s="284">
        <f t="shared" si="20"/>
        <v>1.0979649999999985</v>
      </c>
      <c r="I310" s="277">
        <v>13.229825999999999</v>
      </c>
      <c r="J310" s="277">
        <v>4.2332049999999999</v>
      </c>
      <c r="K310" s="277">
        <v>4.3410330000000004</v>
      </c>
      <c r="L310" s="277">
        <v>3.8618209999999999</v>
      </c>
      <c r="M310" s="277">
        <v>0</v>
      </c>
      <c r="N310" s="284">
        <f t="shared" si="21"/>
        <v>0.793766999999999</v>
      </c>
      <c r="O310" s="277">
        <v>13.199636</v>
      </c>
      <c r="P310" s="277">
        <v>1.723349</v>
      </c>
      <c r="Q310" s="277">
        <v>1.205824</v>
      </c>
      <c r="R310" s="277">
        <v>0.86892199999999997</v>
      </c>
      <c r="S310" s="920">
        <v>0</v>
      </c>
      <c r="T310" s="874">
        <f t="shared" si="22"/>
        <v>9.4015409999999999</v>
      </c>
      <c r="U310" s="920">
        <v>3613.6266666666666</v>
      </c>
      <c r="V310" s="920">
        <v>627.87966666666659</v>
      </c>
      <c r="W310" s="920">
        <v>493.077</v>
      </c>
      <c r="X310" s="920">
        <v>442.74366666666668</v>
      </c>
      <c r="Y310" s="920">
        <v>0</v>
      </c>
      <c r="Z310" s="874">
        <f t="shared" si="23"/>
        <v>2049.9263333333333</v>
      </c>
      <c r="AA310" s="920">
        <v>470</v>
      </c>
      <c r="AB310" s="920">
        <v>82.116</v>
      </c>
      <c r="AC310" s="920">
        <v>95.316000000000003</v>
      </c>
      <c r="AD310" s="920">
        <v>79.599999999999994</v>
      </c>
      <c r="AE310" s="920">
        <v>0</v>
      </c>
      <c r="AF310" s="920">
        <v>855.6</v>
      </c>
      <c r="AG310" s="920">
        <v>141.34800000000001</v>
      </c>
      <c r="AH310" s="920">
        <v>191.65199999999999</v>
      </c>
      <c r="AI310" s="920">
        <v>134.65899999999999</v>
      </c>
      <c r="AJ310" s="920">
        <v>0</v>
      </c>
      <c r="AK310" s="919">
        <f>Data[[#This Row],[Industry Cost ($m)]]/Data[[#This Row],[Industry Consumption]]</f>
        <v>1.8204255319148936</v>
      </c>
      <c r="AL310" s="919">
        <f>Data[[#This Row],[AAL Fuel Cost]]/Data[[#This Row],[AAL Consumption]]</f>
        <v>1.7213210580154905</v>
      </c>
      <c r="AM310" s="919">
        <f>Data[[#This Row],[DAL Fuel Cost]]/Data[[#This Row],[DAL Consumption]]</f>
        <v>2.0107012463804605</v>
      </c>
      <c r="AN310" s="919">
        <f>Data[[#This Row],[UAL Fuel Cost]]/Data[[#This Row],[UALConsumption]]</f>
        <v>1.6916959798994975</v>
      </c>
      <c r="AO310" s="919">
        <f>IFERROR(Data[[#This Row],[LUV Fuel Cost]]/Data[[#This Row],[LUV Consumption]],0)</f>
        <v>0</v>
      </c>
      <c r="AP310" s="783"/>
      <c r="AQ310" s="783"/>
      <c r="AR310" s="253"/>
      <c r="AS310" s="253"/>
      <c r="AT310" s="253"/>
      <c r="AU310" s="253"/>
    </row>
    <row r="311" spans="1:47" ht="10.5" customHeight="1">
      <c r="A311" s="263">
        <v>40025</v>
      </c>
      <c r="B311" s="263" t="s">
        <v>537</v>
      </c>
      <c r="C311" s="277">
        <v>17.021325000000001</v>
      </c>
      <c r="D311" s="277">
        <v>5.4921139999999999</v>
      </c>
      <c r="E311" s="277">
        <v>5.6152049999999996</v>
      </c>
      <c r="F311" s="277">
        <v>4.7539880000000005</v>
      </c>
      <c r="G311" s="277">
        <v>0</v>
      </c>
      <c r="H311" s="284">
        <f t="shared" si="20"/>
        <v>1.1600180000000009</v>
      </c>
      <c r="I311" s="277">
        <v>14.530554</v>
      </c>
      <c r="J311" s="277">
        <v>4.6052549999999997</v>
      </c>
      <c r="K311" s="277">
        <v>4.8796720000000002</v>
      </c>
      <c r="L311" s="277">
        <v>4.1041489999999996</v>
      </c>
      <c r="M311" s="277">
        <v>0</v>
      </c>
      <c r="N311" s="284">
        <f t="shared" si="21"/>
        <v>0.94147800000000181</v>
      </c>
      <c r="O311" s="277">
        <v>14.953614999999999</v>
      </c>
      <c r="P311" s="277">
        <v>1.9227209999999999</v>
      </c>
      <c r="Q311" s="277">
        <v>1.3502559999999999</v>
      </c>
      <c r="R311" s="277">
        <v>0.943272</v>
      </c>
      <c r="S311" s="920">
        <v>0</v>
      </c>
      <c r="T311" s="874">
        <f t="shared" si="22"/>
        <v>10.737365999999998</v>
      </c>
      <c r="U311" s="920">
        <v>4020.3289999999997</v>
      </c>
      <c r="V311" s="920">
        <v>691.649</v>
      </c>
      <c r="W311" s="920">
        <v>578.82366666666667</v>
      </c>
      <c r="X311" s="920">
        <v>495.91133333333329</v>
      </c>
      <c r="Y311" s="920">
        <v>0</v>
      </c>
      <c r="Z311" s="874">
        <f t="shared" si="23"/>
        <v>2253.9449999999997</v>
      </c>
      <c r="AA311" s="920">
        <v>494.7</v>
      </c>
      <c r="AB311" s="920">
        <v>85.185000000000002</v>
      </c>
      <c r="AC311" s="920">
        <v>107.29900000000001</v>
      </c>
      <c r="AD311" s="920">
        <v>82.382000000000005</v>
      </c>
      <c r="AE311" s="920">
        <v>0</v>
      </c>
      <c r="AF311" s="920">
        <v>930.9</v>
      </c>
      <c r="AG311" s="920">
        <v>155.89699999999999</v>
      </c>
      <c r="AH311" s="920">
        <v>212.297</v>
      </c>
      <c r="AI311" s="920">
        <v>150.09299999999999</v>
      </c>
      <c r="AJ311" s="920">
        <v>0</v>
      </c>
      <c r="AK311" s="919">
        <f>Data[[#This Row],[Industry Cost ($m)]]/Data[[#This Row],[Industry Consumption]]</f>
        <v>1.8817465130382049</v>
      </c>
      <c r="AL311" s="919">
        <f>Data[[#This Row],[AAL Fuel Cost]]/Data[[#This Row],[AAL Consumption]]</f>
        <v>1.830099195867817</v>
      </c>
      <c r="AM311" s="919">
        <f>Data[[#This Row],[DAL Fuel Cost]]/Data[[#This Row],[DAL Consumption]]</f>
        <v>1.9785552521458727</v>
      </c>
      <c r="AN311" s="919">
        <f>Data[[#This Row],[UAL Fuel Cost]]/Data[[#This Row],[UALConsumption]]</f>
        <v>1.8219149814279816</v>
      </c>
      <c r="AO311" s="919">
        <f>IFERROR(Data[[#This Row],[LUV Fuel Cost]]/Data[[#This Row],[LUV Consumption]],0)</f>
        <v>0</v>
      </c>
      <c r="AP311" s="783"/>
      <c r="AQ311" s="783"/>
      <c r="AR311" s="253"/>
      <c r="AS311" s="253"/>
      <c r="AT311" s="253"/>
      <c r="AU311" s="253"/>
    </row>
    <row r="312" spans="1:47" ht="10.5" customHeight="1">
      <c r="A312" s="263">
        <v>40056</v>
      </c>
      <c r="B312" s="263" t="s">
        <v>537</v>
      </c>
      <c r="C312" s="277">
        <v>16.629498000000002</v>
      </c>
      <c r="D312" s="277">
        <v>5.3526160000000003</v>
      </c>
      <c r="E312" s="277">
        <v>5.379321</v>
      </c>
      <c r="F312" s="277">
        <v>4.7406450000000007</v>
      </c>
      <c r="G312" s="277">
        <v>0</v>
      </c>
      <c r="H312" s="284">
        <f t="shared" si="20"/>
        <v>1.1569160000000007</v>
      </c>
      <c r="I312" s="277">
        <v>14.091275</v>
      </c>
      <c r="J312" s="277">
        <v>4.4222580000000002</v>
      </c>
      <c r="K312" s="277">
        <v>4.6173669999999998</v>
      </c>
      <c r="L312" s="277">
        <v>4.1041980000000002</v>
      </c>
      <c r="M312" s="277">
        <v>0</v>
      </c>
      <c r="N312" s="284">
        <f t="shared" si="21"/>
        <v>0.94745199999999841</v>
      </c>
      <c r="O312" s="277">
        <v>14.844821</v>
      </c>
      <c r="P312" s="277">
        <v>1.8451420000000001</v>
      </c>
      <c r="Q312" s="277">
        <v>1.2453399999999999</v>
      </c>
      <c r="R312" s="277">
        <v>0.95373699999999995</v>
      </c>
      <c r="S312" s="920">
        <v>0</v>
      </c>
      <c r="T312" s="874">
        <f t="shared" si="22"/>
        <v>10.800602</v>
      </c>
      <c r="U312" s="920">
        <v>4020.3289999999997</v>
      </c>
      <c r="V312" s="920">
        <v>691.649</v>
      </c>
      <c r="W312" s="920">
        <v>578.82366666666667</v>
      </c>
      <c r="X312" s="920">
        <v>495.91133333333329</v>
      </c>
      <c r="Y312" s="920">
        <v>0</v>
      </c>
      <c r="Z312" s="874">
        <f t="shared" si="23"/>
        <v>2253.9449999999997</v>
      </c>
      <c r="AA312" s="920">
        <v>458.6</v>
      </c>
      <c r="AB312" s="920">
        <v>83.126000000000005</v>
      </c>
      <c r="AC312" s="920">
        <v>84.584000000000003</v>
      </c>
      <c r="AD312" s="920">
        <v>76.819000000000003</v>
      </c>
      <c r="AE312" s="920">
        <v>0</v>
      </c>
      <c r="AF312" s="920">
        <v>914.9</v>
      </c>
      <c r="AG312" s="920">
        <v>155.30000000000001</v>
      </c>
      <c r="AH312" s="920">
        <v>195.64699999999999</v>
      </c>
      <c r="AI312" s="920">
        <v>153.755</v>
      </c>
      <c r="AJ312" s="920">
        <v>0</v>
      </c>
      <c r="AK312" s="919">
        <f>Data[[#This Row],[Industry Cost ($m)]]/Data[[#This Row],[Industry Consumption]]</f>
        <v>1.9949847361535105</v>
      </c>
      <c r="AL312" s="919">
        <f>Data[[#This Row],[AAL Fuel Cost]]/Data[[#This Row],[AAL Consumption]]</f>
        <v>1.8682482015253952</v>
      </c>
      <c r="AM312" s="919">
        <f>Data[[#This Row],[DAL Fuel Cost]]/Data[[#This Row],[DAL Consumption]]</f>
        <v>2.3130497493615811</v>
      </c>
      <c r="AN312" s="919">
        <f>Data[[#This Row],[UAL Fuel Cost]]/Data[[#This Row],[UALConsumption]]</f>
        <v>2.0015230607011283</v>
      </c>
      <c r="AO312" s="919">
        <f>IFERROR(Data[[#This Row],[LUV Fuel Cost]]/Data[[#This Row],[LUV Consumption]],0)</f>
        <v>0</v>
      </c>
      <c r="AP312" s="783"/>
      <c r="AQ312" s="783"/>
      <c r="AR312" s="253"/>
      <c r="AS312" s="253"/>
      <c r="AT312" s="253"/>
      <c r="AU312" s="253"/>
    </row>
    <row r="313" spans="1:47" ht="10.5" customHeight="1">
      <c r="A313" s="263">
        <v>40086</v>
      </c>
      <c r="B313" s="263" t="s">
        <v>537</v>
      </c>
      <c r="C313" s="277">
        <v>14.595348</v>
      </c>
      <c r="D313" s="277">
        <v>4.6946530000000006</v>
      </c>
      <c r="E313" s="277">
        <v>4.6138630000000003</v>
      </c>
      <c r="F313" s="277">
        <v>4.3428590000000007</v>
      </c>
      <c r="G313" s="277">
        <v>0</v>
      </c>
      <c r="H313" s="284">
        <f t="shared" si="20"/>
        <v>0.94397299999999795</v>
      </c>
      <c r="I313" s="277">
        <v>11.794848999999999</v>
      </c>
      <c r="J313" s="277">
        <v>3.7099630000000001</v>
      </c>
      <c r="K313" s="277">
        <v>3.83786</v>
      </c>
      <c r="L313" s="277">
        <v>3.5617529999999999</v>
      </c>
      <c r="M313" s="277">
        <v>0</v>
      </c>
      <c r="N313" s="284">
        <f t="shared" si="21"/>
        <v>0.68527299999999869</v>
      </c>
      <c r="O313" s="277">
        <v>11.659775</v>
      </c>
      <c r="P313" s="277">
        <v>1.4418690000000001</v>
      </c>
      <c r="Q313" s="277">
        <v>0.98063599999999995</v>
      </c>
      <c r="R313" s="277">
        <v>0.79082799999999998</v>
      </c>
      <c r="S313" s="920">
        <v>0</v>
      </c>
      <c r="T313" s="874">
        <f t="shared" si="22"/>
        <v>8.4464419999999993</v>
      </c>
      <c r="U313" s="920">
        <v>4020.3289999999997</v>
      </c>
      <c r="V313" s="920">
        <v>691.649</v>
      </c>
      <c r="W313" s="920">
        <v>578.82366666666667</v>
      </c>
      <c r="X313" s="920">
        <v>495.91133333333329</v>
      </c>
      <c r="Y313" s="920">
        <v>0</v>
      </c>
      <c r="Z313" s="874">
        <f t="shared" si="23"/>
        <v>2253.9449999999997</v>
      </c>
      <c r="AA313" s="920">
        <v>410.3</v>
      </c>
      <c r="AB313" s="920">
        <v>73.548000000000002</v>
      </c>
      <c r="AC313" s="920">
        <v>71.015000000000001</v>
      </c>
      <c r="AD313" s="920">
        <v>76.159000000000006</v>
      </c>
      <c r="AE313" s="920">
        <v>0</v>
      </c>
      <c r="AF313" s="920">
        <v>828.1</v>
      </c>
      <c r="AG313" s="920">
        <v>138.54900000000001</v>
      </c>
      <c r="AH313" s="920">
        <v>171.86500000000001</v>
      </c>
      <c r="AI313" s="920">
        <v>145.21299999999999</v>
      </c>
      <c r="AJ313" s="920">
        <v>0</v>
      </c>
      <c r="AK313" s="919">
        <f>Data[[#This Row],[Industry Cost ($m)]]/Data[[#This Row],[Industry Consumption]]</f>
        <v>2.0182793078235437</v>
      </c>
      <c r="AL313" s="919">
        <f>Data[[#This Row],[AAL Fuel Cost]]/Data[[#This Row],[AAL Consumption]]</f>
        <v>1.8837901778430413</v>
      </c>
      <c r="AM313" s="919">
        <f>Data[[#This Row],[DAL Fuel Cost]]/Data[[#This Row],[DAL Consumption]]</f>
        <v>2.4201225093290151</v>
      </c>
      <c r="AN313" s="919">
        <f>Data[[#This Row],[UAL Fuel Cost]]/Data[[#This Row],[UALConsumption]]</f>
        <v>1.906708333880434</v>
      </c>
      <c r="AO313" s="919">
        <f>IFERROR(Data[[#This Row],[LUV Fuel Cost]]/Data[[#This Row],[LUV Consumption]],0)</f>
        <v>0</v>
      </c>
      <c r="AP313" s="783"/>
      <c r="AQ313" s="783"/>
      <c r="AR313" s="253"/>
      <c r="AS313" s="253"/>
      <c r="AT313" s="253"/>
      <c r="AU313" s="253"/>
    </row>
    <row r="314" spans="1:47" ht="10.5" customHeight="1">
      <c r="A314" s="263">
        <v>40117</v>
      </c>
      <c r="B314" s="263" t="s">
        <v>537</v>
      </c>
      <c r="C314" s="277">
        <v>14.42567</v>
      </c>
      <c r="D314" s="277">
        <v>4.8110959999999992</v>
      </c>
      <c r="E314" s="277">
        <v>4.3547979999999997</v>
      </c>
      <c r="F314" s="277">
        <v>4.2830259999999996</v>
      </c>
      <c r="G314" s="277">
        <v>0</v>
      </c>
      <c r="H314" s="284">
        <f t="shared" si="20"/>
        <v>0.97675000000000267</v>
      </c>
      <c r="I314" s="277">
        <v>11.818554000000001</v>
      </c>
      <c r="J314" s="277">
        <v>3.9220000000000002</v>
      </c>
      <c r="K314" s="277">
        <v>3.6544819999999998</v>
      </c>
      <c r="L314" s="277">
        <v>3.5211489999999999</v>
      </c>
      <c r="M314" s="277">
        <v>0</v>
      </c>
      <c r="N314" s="284">
        <f t="shared" si="21"/>
        <v>0.72092300000000087</v>
      </c>
      <c r="O314" s="277">
        <v>11.905529</v>
      </c>
      <c r="P314" s="277">
        <v>1.5373699999999999</v>
      </c>
      <c r="Q314" s="277">
        <v>0.95088899999999998</v>
      </c>
      <c r="R314" s="277">
        <v>0.77379299999999995</v>
      </c>
      <c r="S314" s="920">
        <v>0</v>
      </c>
      <c r="T314" s="874">
        <f t="shared" si="22"/>
        <v>8.6434770000000007</v>
      </c>
      <c r="U314" s="920">
        <v>3978.3486666666663</v>
      </c>
      <c r="V314" s="920">
        <v>680.09366666666676</v>
      </c>
      <c r="W314" s="920">
        <v>500.57699999999994</v>
      </c>
      <c r="X314" s="920">
        <v>499.49700000000001</v>
      </c>
      <c r="Y314" s="920">
        <v>0</v>
      </c>
      <c r="Z314" s="874">
        <f t="shared" si="23"/>
        <v>2298.1809999999996</v>
      </c>
      <c r="AA314" s="920">
        <v>411.4</v>
      </c>
      <c r="AB314" s="920">
        <v>76.215999999999994</v>
      </c>
      <c r="AC314" s="920">
        <v>67.545000000000002</v>
      </c>
      <c r="AD314" s="920">
        <v>75.852999999999994</v>
      </c>
      <c r="AE314" s="920">
        <v>0</v>
      </c>
      <c r="AF314" s="920">
        <v>798</v>
      </c>
      <c r="AG314" s="920">
        <v>141.679</v>
      </c>
      <c r="AH314" s="920">
        <v>145.54</v>
      </c>
      <c r="AI314" s="920">
        <v>141.392</v>
      </c>
      <c r="AJ314" s="920">
        <v>0</v>
      </c>
      <c r="AK314" s="919">
        <f>Data[[#This Row],[Industry Cost ($m)]]/Data[[#This Row],[Industry Consumption]]</f>
        <v>1.9397180359747206</v>
      </c>
      <c r="AL314" s="919">
        <f>Data[[#This Row],[AAL Fuel Cost]]/Data[[#This Row],[AAL Consumption]]</f>
        <v>1.8589141387635144</v>
      </c>
      <c r="AM314" s="919">
        <f>Data[[#This Row],[DAL Fuel Cost]]/Data[[#This Row],[DAL Consumption]]</f>
        <v>2.1547116736990155</v>
      </c>
      <c r="AN314" s="919">
        <f>Data[[#This Row],[UAL Fuel Cost]]/Data[[#This Row],[UALConsumption]]</f>
        <v>1.8640264722555471</v>
      </c>
      <c r="AO314" s="919">
        <f>IFERROR(Data[[#This Row],[LUV Fuel Cost]]/Data[[#This Row],[LUV Consumption]],0)</f>
        <v>0</v>
      </c>
      <c r="AP314" s="783"/>
      <c r="AQ314" s="783"/>
      <c r="AR314" s="253"/>
      <c r="AS314" s="253"/>
      <c r="AT314" s="253"/>
      <c r="AU314" s="253"/>
    </row>
    <row r="315" spans="1:47" ht="10.5" customHeight="1">
      <c r="A315" s="263">
        <v>40147</v>
      </c>
      <c r="B315" s="263" t="s">
        <v>537</v>
      </c>
      <c r="C315" s="277">
        <v>13.502205</v>
      </c>
      <c r="D315" s="277">
        <v>4.6692830000000001</v>
      </c>
      <c r="E315" s="277">
        <v>3.8881260000000002</v>
      </c>
      <c r="F315" s="277">
        <v>3.820738</v>
      </c>
      <c r="G315" s="277">
        <v>0</v>
      </c>
      <c r="H315" s="284">
        <f t="shared" si="20"/>
        <v>1.1240579999999998</v>
      </c>
      <c r="I315" s="277">
        <v>10.511678</v>
      </c>
      <c r="J315" s="277">
        <v>3.6334919999999999</v>
      </c>
      <c r="K315" s="277">
        <v>2.9899749999999998</v>
      </c>
      <c r="L315" s="277">
        <v>3.068219</v>
      </c>
      <c r="M315" s="277">
        <v>0</v>
      </c>
      <c r="N315" s="284">
        <f t="shared" si="21"/>
        <v>0.81999199999999917</v>
      </c>
      <c r="O315" s="277">
        <v>11.093714</v>
      </c>
      <c r="P315" s="277">
        <v>1.505763</v>
      </c>
      <c r="Q315" s="277">
        <v>0.82557999999999998</v>
      </c>
      <c r="R315" s="277">
        <v>0.67079500000000003</v>
      </c>
      <c r="S315" s="920">
        <v>0</v>
      </c>
      <c r="T315" s="874">
        <f t="shared" si="22"/>
        <v>8.0915759999999999</v>
      </c>
      <c r="U315" s="920">
        <v>3978.3486666666663</v>
      </c>
      <c r="V315" s="920">
        <v>680.09366666666676</v>
      </c>
      <c r="W315" s="920">
        <v>500.57699999999994</v>
      </c>
      <c r="X315" s="920">
        <v>499.49700000000001</v>
      </c>
      <c r="Y315" s="920">
        <v>0</v>
      </c>
      <c r="Z315" s="874">
        <f t="shared" si="23"/>
        <v>2298.1809999999996</v>
      </c>
      <c r="AA315" s="920">
        <v>384.9</v>
      </c>
      <c r="AB315" s="920">
        <v>72.872</v>
      </c>
      <c r="AC315" s="920">
        <v>59.58</v>
      </c>
      <c r="AD315" s="920">
        <v>68.549000000000007</v>
      </c>
      <c r="AE315" s="920">
        <v>0</v>
      </c>
      <c r="AF315" s="920">
        <v>796.1</v>
      </c>
      <c r="AG315" s="920">
        <v>145.434</v>
      </c>
      <c r="AH315" s="920">
        <v>136.42699999999999</v>
      </c>
      <c r="AI315" s="920">
        <v>138.16800000000001</v>
      </c>
      <c r="AJ315" s="920">
        <v>0</v>
      </c>
      <c r="AK315" s="919">
        <f>Data[[#This Row],[Industry Cost ($m)]]/Data[[#This Row],[Industry Consumption]]</f>
        <v>2.0683294362171996</v>
      </c>
      <c r="AL315" s="919">
        <f>Data[[#This Row],[AAL Fuel Cost]]/Data[[#This Row],[AAL Consumption]]</f>
        <v>1.9957459655285981</v>
      </c>
      <c r="AM315" s="919">
        <f>Data[[#This Row],[DAL Fuel Cost]]/Data[[#This Row],[DAL Consumption]]</f>
        <v>2.2898120174555219</v>
      </c>
      <c r="AN315" s="919">
        <f>Data[[#This Row],[UAL Fuel Cost]]/Data[[#This Row],[UALConsumption]]</f>
        <v>2.0156092721994483</v>
      </c>
      <c r="AO315" s="919">
        <f>IFERROR(Data[[#This Row],[LUV Fuel Cost]]/Data[[#This Row],[LUV Consumption]],0)</f>
        <v>0</v>
      </c>
      <c r="AP315" s="783"/>
      <c r="AQ315" s="783"/>
      <c r="AR315" s="253"/>
      <c r="AS315" s="253"/>
      <c r="AT315" s="253"/>
      <c r="AU315" s="253"/>
    </row>
    <row r="316" spans="1:47" ht="10.5" customHeight="1">
      <c r="A316" s="263">
        <v>40178</v>
      </c>
      <c r="B316" s="263" t="s">
        <v>537</v>
      </c>
      <c r="C316" s="277">
        <v>14.542393000000001</v>
      </c>
      <c r="D316" s="277">
        <v>5.0086229999999992</v>
      </c>
      <c r="E316" s="277">
        <v>4.2744480000000005</v>
      </c>
      <c r="F316" s="277">
        <v>3.9840629999999999</v>
      </c>
      <c r="G316" s="277">
        <v>0</v>
      </c>
      <c r="H316" s="284">
        <f t="shared" si="20"/>
        <v>1.2752590000000019</v>
      </c>
      <c r="I316" s="277">
        <v>11.858226999999999</v>
      </c>
      <c r="J316" s="277">
        <v>4.0146189999999997</v>
      </c>
      <c r="K316" s="277">
        <v>3.488448</v>
      </c>
      <c r="L316" s="277">
        <v>3.3889670000000001</v>
      </c>
      <c r="M316" s="277">
        <v>0</v>
      </c>
      <c r="N316" s="284">
        <f t="shared" si="21"/>
        <v>0.96619300000000052</v>
      </c>
      <c r="O316" s="277">
        <v>12.659153999999999</v>
      </c>
      <c r="P316" s="277">
        <v>1.6788149999999999</v>
      </c>
      <c r="Q316" s="277">
        <v>1.0136780000000001</v>
      </c>
      <c r="R316" s="277">
        <v>0.75815399999999999</v>
      </c>
      <c r="S316" s="920">
        <v>0</v>
      </c>
      <c r="T316" s="874">
        <f t="shared" si="22"/>
        <v>9.2085069999999991</v>
      </c>
      <c r="U316" s="920">
        <v>3978.3486666666663</v>
      </c>
      <c r="V316" s="920">
        <v>680.09366666666676</v>
      </c>
      <c r="W316" s="920">
        <v>500.57699999999994</v>
      </c>
      <c r="X316" s="920">
        <v>499.49700000000001</v>
      </c>
      <c r="Y316" s="920">
        <v>0</v>
      </c>
      <c r="Z316" s="874">
        <f t="shared" si="23"/>
        <v>2298.1809999999996</v>
      </c>
      <c r="AA316" s="920">
        <v>408.3</v>
      </c>
      <c r="AB316" s="920">
        <v>77.986000000000004</v>
      </c>
      <c r="AC316" s="920">
        <v>65.766000000000005</v>
      </c>
      <c r="AD316" s="920">
        <v>71.186000000000007</v>
      </c>
      <c r="AE316" s="920">
        <v>0</v>
      </c>
      <c r="AF316" s="920">
        <v>852.4</v>
      </c>
      <c r="AG316" s="920">
        <v>157.44800000000001</v>
      </c>
      <c r="AH316" s="920">
        <v>152.72999999999999</v>
      </c>
      <c r="AI316" s="920">
        <v>137.804</v>
      </c>
      <c r="AJ316" s="920">
        <v>0</v>
      </c>
      <c r="AK316" s="919">
        <f>Data[[#This Row],[Industry Cost ($m)]]/Data[[#This Row],[Industry Consumption]]</f>
        <v>2.0876806269899584</v>
      </c>
      <c r="AL316" s="919">
        <f>Data[[#This Row],[AAL Fuel Cost]]/Data[[#This Row],[AAL Consumption]]</f>
        <v>2.0189264739825097</v>
      </c>
      <c r="AM316" s="919">
        <f>Data[[#This Row],[DAL Fuel Cost]]/Data[[#This Row],[DAL Consumption]]</f>
        <v>2.322324605419213</v>
      </c>
      <c r="AN316" s="919">
        <f>Data[[#This Row],[UAL Fuel Cost]]/Data[[#This Row],[UALConsumption]]</f>
        <v>1.9358300789481075</v>
      </c>
      <c r="AO316" s="919">
        <f>IFERROR(Data[[#This Row],[LUV Fuel Cost]]/Data[[#This Row],[LUV Consumption]],0)</f>
        <v>0</v>
      </c>
      <c r="AP316" s="783"/>
      <c r="AQ316" s="783"/>
      <c r="AR316" s="253"/>
      <c r="AS316" s="253"/>
      <c r="AT316" s="253"/>
      <c r="AU316" s="253"/>
    </row>
    <row r="317" spans="1:47" ht="10.5" customHeight="1">
      <c r="A317" s="263">
        <v>40209</v>
      </c>
      <c r="B317" s="263" t="s">
        <v>537</v>
      </c>
      <c r="C317" s="277">
        <v>16.958780999999998</v>
      </c>
      <c r="D317" s="277">
        <v>5.0462850000000001</v>
      </c>
      <c r="E317" s="277">
        <v>6.4652849999999997</v>
      </c>
      <c r="F317" s="277">
        <v>4.1448349999999996</v>
      </c>
      <c r="G317" s="277">
        <v>0</v>
      </c>
      <c r="H317" s="284">
        <f t="shared" si="20"/>
        <v>1.3023759999999989</v>
      </c>
      <c r="I317" s="277">
        <v>13.248237</v>
      </c>
      <c r="J317" s="277">
        <v>3.8798849999999998</v>
      </c>
      <c r="K317" s="277">
        <v>5.0225010000000001</v>
      </c>
      <c r="L317" s="277">
        <v>3.3616830000000002</v>
      </c>
      <c r="M317" s="277">
        <v>0</v>
      </c>
      <c r="N317" s="284">
        <f t="shared" si="21"/>
        <v>0.98416800000000038</v>
      </c>
      <c r="O317" s="277">
        <v>12.393439000000001</v>
      </c>
      <c r="P317" s="277">
        <v>1.623904</v>
      </c>
      <c r="Q317" s="277">
        <v>1.432868</v>
      </c>
      <c r="R317" s="277">
        <v>0.74634</v>
      </c>
      <c r="S317" s="920">
        <v>0</v>
      </c>
      <c r="T317" s="874">
        <f t="shared" si="22"/>
        <v>8.5903270000000003</v>
      </c>
      <c r="U317" s="920">
        <v>4038.7579999999998</v>
      </c>
      <c r="V317" s="920">
        <v>674.82633333333331</v>
      </c>
      <c r="W317" s="920">
        <v>745.67833333333328</v>
      </c>
      <c r="X317" s="920">
        <v>502.03999999999996</v>
      </c>
      <c r="Y317" s="920">
        <v>0</v>
      </c>
      <c r="Z317" s="874">
        <f t="shared" si="23"/>
        <v>2116.2133333333331</v>
      </c>
      <c r="AA317" s="920">
        <v>410</v>
      </c>
      <c r="AB317" s="920">
        <v>77.527000000000001</v>
      </c>
      <c r="AC317" s="920">
        <v>104.86199999999999</v>
      </c>
      <c r="AD317" s="920">
        <v>72.369</v>
      </c>
      <c r="AE317" s="920">
        <v>0</v>
      </c>
      <c r="AF317" s="920">
        <v>873.9</v>
      </c>
      <c r="AG317" s="920">
        <v>159.84800000000001</v>
      </c>
      <c r="AH317" s="920">
        <v>229.26499999999999</v>
      </c>
      <c r="AI317" s="920">
        <v>150.411</v>
      </c>
      <c r="AJ317" s="920">
        <v>0</v>
      </c>
      <c r="AK317" s="919">
        <f>Data[[#This Row],[Industry Cost ($m)]]/Data[[#This Row],[Industry Consumption]]</f>
        <v>2.1314634146341462</v>
      </c>
      <c r="AL317" s="919">
        <f>Data[[#This Row],[AAL Fuel Cost]]/Data[[#This Row],[AAL Consumption]]</f>
        <v>2.0618365214699397</v>
      </c>
      <c r="AM317" s="919">
        <f>Data[[#This Row],[DAL Fuel Cost]]/Data[[#This Row],[DAL Consumption]]</f>
        <v>2.1863496786252408</v>
      </c>
      <c r="AN317" s="919">
        <f>Data[[#This Row],[UAL Fuel Cost]]/Data[[#This Row],[UALConsumption]]</f>
        <v>2.0783899183351986</v>
      </c>
      <c r="AO317" s="919">
        <f>IFERROR(Data[[#This Row],[LUV Fuel Cost]]/Data[[#This Row],[LUV Consumption]],0)</f>
        <v>0</v>
      </c>
      <c r="AP317" s="783"/>
      <c r="AQ317" s="783"/>
      <c r="AR317" s="253"/>
      <c r="AS317" s="253"/>
      <c r="AT317" s="253"/>
      <c r="AU317" s="253"/>
    </row>
    <row r="318" spans="1:47" ht="10.5" customHeight="1">
      <c r="A318" s="263">
        <v>40237</v>
      </c>
      <c r="B318" s="263" t="s">
        <v>537</v>
      </c>
      <c r="C318" s="277">
        <v>14.899208</v>
      </c>
      <c r="D318" s="277">
        <v>4.4274129999999996</v>
      </c>
      <c r="E318" s="277">
        <v>5.7656859999999996</v>
      </c>
      <c r="F318" s="277">
        <v>3.4929870000000003</v>
      </c>
      <c r="G318" s="277">
        <v>0</v>
      </c>
      <c r="H318" s="284">
        <f t="shared" si="20"/>
        <v>1.2131220000000003</v>
      </c>
      <c r="I318" s="277">
        <v>11.101311000000001</v>
      </c>
      <c r="J318" s="277">
        <v>3.2266509999999999</v>
      </c>
      <c r="K318" s="277">
        <v>4.259061</v>
      </c>
      <c r="L318" s="277">
        <v>2.689848</v>
      </c>
      <c r="M318" s="277">
        <v>0</v>
      </c>
      <c r="N318" s="284">
        <f t="shared" si="21"/>
        <v>0.92575100000000177</v>
      </c>
      <c r="O318" s="277">
        <v>10.694165</v>
      </c>
      <c r="P318" s="277">
        <v>1.3684639999999999</v>
      </c>
      <c r="Q318" s="277">
        <v>1.270381</v>
      </c>
      <c r="R318" s="277">
        <v>0.62545200000000001</v>
      </c>
      <c r="S318" s="920">
        <v>0</v>
      </c>
      <c r="T318" s="874">
        <f t="shared" si="22"/>
        <v>7.4298679999999999</v>
      </c>
      <c r="U318" s="920">
        <v>4038.7579999999998</v>
      </c>
      <c r="V318" s="920">
        <v>674.82633333333331</v>
      </c>
      <c r="W318" s="920">
        <v>745.67833333333328</v>
      </c>
      <c r="X318" s="920">
        <v>502.03999999999996</v>
      </c>
      <c r="Y318" s="920">
        <v>0</v>
      </c>
      <c r="Z318" s="874">
        <f t="shared" si="23"/>
        <v>2116.2133333333331</v>
      </c>
      <c r="AA318" s="920">
        <v>361.5</v>
      </c>
      <c r="AB318" s="920">
        <v>68.087000000000003</v>
      </c>
      <c r="AC318" s="920">
        <v>94.363</v>
      </c>
      <c r="AD318" s="920">
        <v>62.012999999999998</v>
      </c>
      <c r="AE318" s="920">
        <v>0</v>
      </c>
      <c r="AF318" s="920">
        <v>771</v>
      </c>
      <c r="AG318" s="920">
        <v>140.54599999999999</v>
      </c>
      <c r="AH318" s="920">
        <v>213.21700000000001</v>
      </c>
      <c r="AI318" s="920">
        <v>127.07899999999999</v>
      </c>
      <c r="AJ318" s="920">
        <v>0</v>
      </c>
      <c r="AK318" s="919">
        <f>Data[[#This Row],[Industry Cost ($m)]]/Data[[#This Row],[Industry Consumption]]</f>
        <v>2.1327800829875518</v>
      </c>
      <c r="AL318" s="919">
        <f>Data[[#This Row],[AAL Fuel Cost]]/Data[[#This Row],[AAL Consumption]]</f>
        <v>2.0642119641047483</v>
      </c>
      <c r="AM318" s="919">
        <f>Data[[#This Row],[DAL Fuel Cost]]/Data[[#This Row],[DAL Consumption]]</f>
        <v>2.2595402859171498</v>
      </c>
      <c r="AN318" s="919">
        <f>Data[[#This Row],[UAL Fuel Cost]]/Data[[#This Row],[UALConsumption]]</f>
        <v>2.0492316127263637</v>
      </c>
      <c r="AO318" s="919">
        <f>IFERROR(Data[[#This Row],[LUV Fuel Cost]]/Data[[#This Row],[LUV Consumption]],0)</f>
        <v>0</v>
      </c>
      <c r="AP318" s="783"/>
      <c r="AQ318" s="783"/>
      <c r="AR318" s="253"/>
      <c r="AS318" s="253"/>
      <c r="AT318" s="253"/>
      <c r="AU318" s="253"/>
    </row>
    <row r="319" spans="1:47" ht="10.5" customHeight="1">
      <c r="A319" s="263">
        <v>40268</v>
      </c>
      <c r="B319" s="263" t="s">
        <v>537</v>
      </c>
      <c r="C319" s="277">
        <v>17.311498</v>
      </c>
      <c r="D319" s="277">
        <v>5.0740039999999995</v>
      </c>
      <c r="E319" s="277">
        <v>6.6698979999999999</v>
      </c>
      <c r="F319" s="277">
        <v>4.1730489999999998</v>
      </c>
      <c r="G319" s="277">
        <v>0</v>
      </c>
      <c r="H319" s="284">
        <f t="shared" si="20"/>
        <v>1.3945470000000029</v>
      </c>
      <c r="I319" s="277">
        <v>14.035062999999999</v>
      </c>
      <c r="J319" s="277">
        <v>3.9921890000000002</v>
      </c>
      <c r="K319" s="277">
        <v>5.4811350000000001</v>
      </c>
      <c r="L319" s="277">
        <v>3.4591560000000001</v>
      </c>
      <c r="M319" s="277">
        <v>0</v>
      </c>
      <c r="N319" s="284">
        <f t="shared" si="21"/>
        <v>1.1025829999999992</v>
      </c>
      <c r="O319" s="277">
        <v>13.27932</v>
      </c>
      <c r="P319" s="277">
        <v>1.6766220000000001</v>
      </c>
      <c r="Q319" s="277">
        <v>1.629281</v>
      </c>
      <c r="R319" s="277">
        <v>0.79535500000000003</v>
      </c>
      <c r="S319" s="920">
        <v>0</v>
      </c>
      <c r="T319" s="874">
        <f t="shared" si="22"/>
        <v>9.1780620000000006</v>
      </c>
      <c r="U319" s="920">
        <v>4038.7579999999998</v>
      </c>
      <c r="V319" s="920">
        <v>674.82633333333331</v>
      </c>
      <c r="W319" s="920">
        <v>745.67833333333328</v>
      </c>
      <c r="X319" s="920">
        <v>502.03999999999996</v>
      </c>
      <c r="Y319" s="920">
        <v>0</v>
      </c>
      <c r="Z319" s="874">
        <f t="shared" si="23"/>
        <v>2116.2133333333331</v>
      </c>
      <c r="AA319" s="920">
        <v>423.7</v>
      </c>
      <c r="AB319" s="920">
        <v>78.256</v>
      </c>
      <c r="AC319" s="920">
        <v>108.851</v>
      </c>
      <c r="AD319" s="920">
        <v>74.010000000000005</v>
      </c>
      <c r="AE319" s="920">
        <v>0</v>
      </c>
      <c r="AF319" s="920">
        <v>911.9</v>
      </c>
      <c r="AG319" s="920">
        <v>164.80600000000001</v>
      </c>
      <c r="AH319" s="920">
        <v>242.17699999999999</v>
      </c>
      <c r="AI319" s="920">
        <v>152.96700000000001</v>
      </c>
      <c r="AJ319" s="920">
        <v>0</v>
      </c>
      <c r="AK319" s="919">
        <f>Data[[#This Row],[Industry Cost ($m)]]/Data[[#This Row],[Industry Consumption]]</f>
        <v>2.152230351663913</v>
      </c>
      <c r="AL319" s="919">
        <f>Data[[#This Row],[AAL Fuel Cost]]/Data[[#This Row],[AAL Consumption]]</f>
        <v>2.1059854835411982</v>
      </c>
      <c r="AM319" s="919">
        <f>Data[[#This Row],[DAL Fuel Cost]]/Data[[#This Row],[DAL Consumption]]</f>
        <v>2.2248486463146868</v>
      </c>
      <c r="AN319" s="919">
        <f>Data[[#This Row],[UAL Fuel Cost]]/Data[[#This Row],[UALConsumption]]</f>
        <v>2.0668423186055938</v>
      </c>
      <c r="AO319" s="919">
        <f>IFERROR(Data[[#This Row],[LUV Fuel Cost]]/Data[[#This Row],[LUV Consumption]],0)</f>
        <v>0</v>
      </c>
      <c r="AP319" s="783"/>
      <c r="AQ319" s="783"/>
      <c r="AR319" s="253"/>
      <c r="AS319" s="253"/>
      <c r="AT319" s="253"/>
      <c r="AU319" s="253"/>
    </row>
    <row r="320" spans="1:47" ht="10.5" customHeight="1">
      <c r="A320" s="263">
        <v>40298</v>
      </c>
      <c r="B320" s="263" t="s">
        <v>537</v>
      </c>
      <c r="C320" s="277">
        <v>16.668046</v>
      </c>
      <c r="D320" s="277">
        <v>4.8239470000000004</v>
      </c>
      <c r="E320" s="277">
        <v>6.2981279999999993</v>
      </c>
      <c r="F320" s="277">
        <v>4.2044199999999998</v>
      </c>
      <c r="G320" s="277">
        <v>0</v>
      </c>
      <c r="H320" s="284">
        <f t="shared" si="20"/>
        <v>1.3415510000000026</v>
      </c>
      <c r="I320" s="277">
        <v>13.199923999999999</v>
      </c>
      <c r="J320" s="277">
        <v>3.7787890000000002</v>
      </c>
      <c r="K320" s="277">
        <v>5.0932599999999999</v>
      </c>
      <c r="L320" s="277">
        <v>3.2849710000000001</v>
      </c>
      <c r="M320" s="277">
        <v>0</v>
      </c>
      <c r="N320" s="284">
        <f t="shared" si="21"/>
        <v>1.0429039999999983</v>
      </c>
      <c r="O320" s="277">
        <v>12.3987</v>
      </c>
      <c r="P320" s="277">
        <v>1.589256</v>
      </c>
      <c r="Q320" s="277">
        <v>1.4162520000000001</v>
      </c>
      <c r="R320" s="277">
        <v>0.725217</v>
      </c>
      <c r="S320" s="920">
        <v>0</v>
      </c>
      <c r="T320" s="874">
        <f t="shared" si="22"/>
        <v>8.6679750000000002</v>
      </c>
      <c r="U320" s="920">
        <v>4741.1516666666666</v>
      </c>
      <c r="V320" s="920">
        <v>753.00333333333322</v>
      </c>
      <c r="W320" s="920">
        <v>931.35733333333337</v>
      </c>
      <c r="X320" s="920">
        <v>633.40166666666664</v>
      </c>
      <c r="Y320" s="920">
        <v>0</v>
      </c>
      <c r="Z320" s="874">
        <f t="shared" si="23"/>
        <v>2423.3893333333335</v>
      </c>
      <c r="AA320" s="920">
        <v>410.5</v>
      </c>
      <c r="AB320" s="920">
        <v>74.182000000000002</v>
      </c>
      <c r="AC320" s="920">
        <v>102.00700000000001</v>
      </c>
      <c r="AD320" s="920">
        <v>73.935000000000002</v>
      </c>
      <c r="AE320" s="920">
        <v>0</v>
      </c>
      <c r="AF320" s="920">
        <v>928.4</v>
      </c>
      <c r="AG320" s="920">
        <v>169.15799999999999</v>
      </c>
      <c r="AH320" s="920">
        <v>236.11099999999999</v>
      </c>
      <c r="AI320" s="920">
        <v>160.18100000000001</v>
      </c>
      <c r="AJ320" s="920">
        <v>0</v>
      </c>
      <c r="AK320" s="919">
        <f>Data[[#This Row],[Industry Cost ($m)]]/Data[[#This Row],[Industry Consumption]]</f>
        <v>2.2616321559074297</v>
      </c>
      <c r="AL320" s="919">
        <f>Data[[#This Row],[AAL Fuel Cost]]/Data[[#This Row],[AAL Consumption]]</f>
        <v>2.2803105874740499</v>
      </c>
      <c r="AM320" s="919">
        <f>Data[[#This Row],[DAL Fuel Cost]]/Data[[#This Row],[DAL Consumption]]</f>
        <v>2.3146548766261135</v>
      </c>
      <c r="AN320" s="919">
        <f>Data[[#This Row],[UAL Fuel Cost]]/Data[[#This Row],[UALConsumption]]</f>
        <v>2.166511124636505</v>
      </c>
      <c r="AO320" s="919">
        <f>IFERROR(Data[[#This Row],[LUV Fuel Cost]]/Data[[#This Row],[LUV Consumption]],0)</f>
        <v>0</v>
      </c>
      <c r="AP320" s="783"/>
      <c r="AQ320" s="783"/>
      <c r="AR320" s="253"/>
      <c r="AS320" s="253"/>
      <c r="AT320" s="253"/>
      <c r="AU320" s="253"/>
    </row>
    <row r="321" spans="1:47" ht="10.5" customHeight="1">
      <c r="A321" s="263">
        <v>40329</v>
      </c>
      <c r="B321" s="263" t="s">
        <v>537</v>
      </c>
      <c r="C321" s="277">
        <v>18.568307000000001</v>
      </c>
      <c r="D321" s="277">
        <v>5.3649170000000002</v>
      </c>
      <c r="E321" s="277">
        <v>7.1860879999999998</v>
      </c>
      <c r="F321" s="277">
        <v>4.7426789999999999</v>
      </c>
      <c r="G321" s="277">
        <v>0</v>
      </c>
      <c r="H321" s="284">
        <f t="shared" si="20"/>
        <v>1.2746230000000018</v>
      </c>
      <c r="I321" s="277">
        <v>15.242844</v>
      </c>
      <c r="J321" s="277">
        <v>4.298527</v>
      </c>
      <c r="K321" s="277">
        <v>6.0624289999999998</v>
      </c>
      <c r="L321" s="277">
        <v>3.9114900000000001</v>
      </c>
      <c r="M321" s="277">
        <v>0</v>
      </c>
      <c r="N321" s="284">
        <f t="shared" si="21"/>
        <v>0.97039799999999943</v>
      </c>
      <c r="O321" s="277">
        <v>13.380663999999999</v>
      </c>
      <c r="P321" s="277">
        <v>1.7067810000000001</v>
      </c>
      <c r="Q321" s="277">
        <v>1.5984700000000001</v>
      </c>
      <c r="R321" s="277">
        <v>0.859352</v>
      </c>
      <c r="S321" s="920">
        <v>0</v>
      </c>
      <c r="T321" s="874">
        <f t="shared" si="22"/>
        <v>9.2160609999999998</v>
      </c>
      <c r="U321" s="920">
        <v>4741.1516666666666</v>
      </c>
      <c r="V321" s="920">
        <v>753.00333333333322</v>
      </c>
      <c r="W321" s="920">
        <v>931.35733333333337</v>
      </c>
      <c r="X321" s="920">
        <v>633.40166666666664</v>
      </c>
      <c r="Y321" s="920">
        <v>0</v>
      </c>
      <c r="Z321" s="874">
        <f t="shared" si="23"/>
        <v>2423.3893333333335</v>
      </c>
      <c r="AA321" s="920">
        <v>453.7</v>
      </c>
      <c r="AB321" s="920">
        <v>87.319000000000003</v>
      </c>
      <c r="AC321" s="920">
        <v>118.098</v>
      </c>
      <c r="AD321" s="920">
        <v>85.245999999999995</v>
      </c>
      <c r="AE321" s="920">
        <v>0</v>
      </c>
      <c r="AF321" s="920">
        <v>1040.0999999999999</v>
      </c>
      <c r="AG321" s="920">
        <v>189.53100000000001</v>
      </c>
      <c r="AH321" s="920">
        <v>276.69499999999999</v>
      </c>
      <c r="AI321" s="920">
        <v>191.78200000000001</v>
      </c>
      <c r="AJ321" s="920">
        <v>0</v>
      </c>
      <c r="AK321" s="919">
        <f>Data[[#This Row],[Industry Cost ($m)]]/Data[[#This Row],[Industry Consumption]]</f>
        <v>2.2924840202777164</v>
      </c>
      <c r="AL321" s="919">
        <f>Data[[#This Row],[AAL Fuel Cost]]/Data[[#This Row],[AAL Consumption]]</f>
        <v>2.1705585267811127</v>
      </c>
      <c r="AM321" s="919">
        <f>Data[[#This Row],[DAL Fuel Cost]]/Data[[#This Row],[DAL Consumption]]</f>
        <v>2.3429270605768089</v>
      </c>
      <c r="AN321" s="919">
        <f>Data[[#This Row],[UAL Fuel Cost]]/Data[[#This Row],[UALConsumption]]</f>
        <v>2.2497477887525519</v>
      </c>
      <c r="AO321" s="919">
        <f>IFERROR(Data[[#This Row],[LUV Fuel Cost]]/Data[[#This Row],[LUV Consumption]],0)</f>
        <v>0</v>
      </c>
      <c r="AP321" s="783"/>
      <c r="AQ321" s="783"/>
      <c r="AR321" s="253"/>
      <c r="AS321" s="253"/>
      <c r="AT321" s="253"/>
      <c r="AU321" s="253"/>
    </row>
    <row r="322" spans="1:47" ht="10.5" customHeight="1">
      <c r="A322" s="263">
        <v>40359</v>
      </c>
      <c r="B322" s="263" t="s">
        <v>537</v>
      </c>
      <c r="C322" s="277">
        <v>19.658624</v>
      </c>
      <c r="D322" s="277">
        <v>5.4117120000000005</v>
      </c>
      <c r="E322" s="277">
        <v>8.2969050000000006</v>
      </c>
      <c r="F322" s="277">
        <v>4.7031000000000001</v>
      </c>
      <c r="G322" s="277">
        <v>0</v>
      </c>
      <c r="H322" s="284">
        <f t="shared" si="20"/>
        <v>1.2469070000000002</v>
      </c>
      <c r="I322" s="277">
        <v>16.945202999999999</v>
      </c>
      <c r="J322" s="277">
        <v>4.51797</v>
      </c>
      <c r="K322" s="277">
        <v>7.2948009999999996</v>
      </c>
      <c r="L322" s="277">
        <v>4.1560499999999996</v>
      </c>
      <c r="M322" s="277">
        <v>0</v>
      </c>
      <c r="N322" s="284">
        <f t="shared" si="21"/>
        <v>0.97638200000000097</v>
      </c>
      <c r="O322" s="277">
        <v>14.406776000000001</v>
      </c>
      <c r="P322" s="277">
        <v>1.8197410000000001</v>
      </c>
      <c r="Q322" s="277">
        <v>1.9261619999999999</v>
      </c>
      <c r="R322" s="277">
        <v>0.90809099999999998</v>
      </c>
      <c r="S322" s="920">
        <v>0</v>
      </c>
      <c r="T322" s="874">
        <f t="shared" si="22"/>
        <v>9.7527819999999998</v>
      </c>
      <c r="U322" s="920">
        <v>4741.1516666666666</v>
      </c>
      <c r="V322" s="920">
        <v>753.00333333333322</v>
      </c>
      <c r="W322" s="920">
        <v>931.35733333333337</v>
      </c>
      <c r="X322" s="920">
        <v>633.40166666666664</v>
      </c>
      <c r="Y322" s="920">
        <v>0</v>
      </c>
      <c r="Z322" s="874">
        <f t="shared" si="23"/>
        <v>2423.3893333333335</v>
      </c>
      <c r="AA322" s="920">
        <v>468</v>
      </c>
      <c r="AB322" s="920">
        <v>84.408000000000001</v>
      </c>
      <c r="AC322" s="920">
        <v>134.816</v>
      </c>
      <c r="AD322" s="920">
        <v>83.549000000000007</v>
      </c>
      <c r="AE322" s="920">
        <v>0</v>
      </c>
      <c r="AF322" s="920">
        <v>1059.7</v>
      </c>
      <c r="AG322" s="920">
        <v>205.21899999999999</v>
      </c>
      <c r="AH322" s="920">
        <v>308.399</v>
      </c>
      <c r="AI322" s="920">
        <v>180.023</v>
      </c>
      <c r="AJ322" s="920">
        <v>0</v>
      </c>
      <c r="AK322" s="919">
        <f>Data[[#This Row],[Industry Cost ($m)]]/Data[[#This Row],[Industry Consumption]]</f>
        <v>2.2643162393162393</v>
      </c>
      <c r="AL322" s="919">
        <f>Data[[#This Row],[AAL Fuel Cost]]/Data[[#This Row],[AAL Consumption]]</f>
        <v>2.4312742867974597</v>
      </c>
      <c r="AM322" s="919">
        <f>Data[[#This Row],[DAL Fuel Cost]]/Data[[#This Row],[DAL Consumption]]</f>
        <v>2.2875548896273439</v>
      </c>
      <c r="AN322" s="919">
        <f>Data[[#This Row],[UAL Fuel Cost]]/Data[[#This Row],[UALConsumption]]</f>
        <v>2.1546996373385676</v>
      </c>
      <c r="AO322" s="919">
        <f>IFERROR(Data[[#This Row],[LUV Fuel Cost]]/Data[[#This Row],[LUV Consumption]],0)</f>
        <v>0</v>
      </c>
      <c r="AP322" s="783"/>
      <c r="AQ322" s="783"/>
      <c r="AR322" s="253"/>
      <c r="AS322" s="253"/>
      <c r="AT322" s="253"/>
      <c r="AU322" s="253"/>
    </row>
    <row r="323" spans="1:47" ht="10.5" customHeight="1">
      <c r="A323" s="263">
        <v>40390</v>
      </c>
      <c r="B323" s="263" t="s">
        <v>537</v>
      </c>
      <c r="C323" s="277">
        <v>21.059004999999999</v>
      </c>
      <c r="D323" s="277">
        <v>5.8563590000000003</v>
      </c>
      <c r="E323" s="277">
        <v>8.7605210000000007</v>
      </c>
      <c r="F323" s="277">
        <v>4.9565919999999997</v>
      </c>
      <c r="G323" s="277">
        <v>0</v>
      </c>
      <c r="H323" s="284">
        <f t="shared" si="20"/>
        <v>1.4855329999999967</v>
      </c>
      <c r="I323" s="277">
        <v>18.274279</v>
      </c>
      <c r="J323" s="277">
        <v>4.9555699999999998</v>
      </c>
      <c r="K323" s="277">
        <v>7.7812590000000004</v>
      </c>
      <c r="L323" s="277">
        <v>4.3143440000000002</v>
      </c>
      <c r="M323" s="277">
        <v>0</v>
      </c>
      <c r="N323" s="284">
        <f t="shared" si="21"/>
        <v>1.2231060000000014</v>
      </c>
      <c r="O323" s="277">
        <v>16.026852000000002</v>
      </c>
      <c r="P323" s="277">
        <v>2.044146</v>
      </c>
      <c r="Q323" s="277">
        <v>2.1171769999999999</v>
      </c>
      <c r="R323" s="277">
        <v>0.95296199999999998</v>
      </c>
      <c r="S323" s="920">
        <v>0</v>
      </c>
      <c r="T323" s="874">
        <f t="shared" si="22"/>
        <v>10.912567000000003</v>
      </c>
      <c r="U323" s="920">
        <v>5115.1423333333332</v>
      </c>
      <c r="V323" s="920">
        <v>830.63633333333325</v>
      </c>
      <c r="W323" s="920">
        <v>1158.8100000000002</v>
      </c>
      <c r="X323" s="920">
        <v>684.02199999999993</v>
      </c>
      <c r="Y323" s="920">
        <v>0</v>
      </c>
      <c r="Z323" s="874">
        <f t="shared" si="23"/>
        <v>2441.674</v>
      </c>
      <c r="AA323" s="920">
        <v>495.9</v>
      </c>
      <c r="AB323" s="920">
        <v>91.201999999999998</v>
      </c>
      <c r="AC323" s="920">
        <v>143.131</v>
      </c>
      <c r="AD323" s="920">
        <v>88.08</v>
      </c>
      <c r="AE323" s="920">
        <v>0</v>
      </c>
      <c r="AF323" s="920">
        <v>1091.3</v>
      </c>
      <c r="AG323" s="920">
        <v>193.49600000000001</v>
      </c>
      <c r="AH323" s="920">
        <v>328.721</v>
      </c>
      <c r="AI323" s="920">
        <v>188.768</v>
      </c>
      <c r="AJ323" s="920">
        <v>0</v>
      </c>
      <c r="AK323" s="919">
        <f>Data[[#This Row],[Industry Cost ($m)]]/Data[[#This Row],[Industry Consumption]]</f>
        <v>2.2006452913893932</v>
      </c>
      <c r="AL323" s="919">
        <f>Data[[#This Row],[AAL Fuel Cost]]/Data[[#This Row],[AAL Consumption]]</f>
        <v>2.1216201399092127</v>
      </c>
      <c r="AM323" s="919">
        <f>Data[[#This Row],[DAL Fuel Cost]]/Data[[#This Row],[DAL Consumption]]</f>
        <v>2.2966443328139956</v>
      </c>
      <c r="AN323" s="919">
        <f>Data[[#This Row],[UAL Fuel Cost]]/Data[[#This Row],[UALConsumption]]</f>
        <v>2.1431425976385103</v>
      </c>
      <c r="AO323" s="919">
        <f>IFERROR(Data[[#This Row],[LUV Fuel Cost]]/Data[[#This Row],[LUV Consumption]],0)</f>
        <v>0</v>
      </c>
      <c r="AP323" s="783"/>
      <c r="AQ323" s="783"/>
      <c r="AR323" s="253"/>
      <c r="AS323" s="253"/>
      <c r="AT323" s="253"/>
      <c r="AU323" s="253"/>
    </row>
    <row r="324" spans="1:47" ht="10.5" customHeight="1">
      <c r="A324" s="263">
        <v>40421</v>
      </c>
      <c r="B324" s="263" t="s">
        <v>537</v>
      </c>
      <c r="C324" s="277">
        <v>20.716608999999998</v>
      </c>
      <c r="D324" s="277">
        <v>5.7293609999999999</v>
      </c>
      <c r="E324" s="277">
        <v>8.6243759999999998</v>
      </c>
      <c r="F324" s="277">
        <v>4.9201270000000008</v>
      </c>
      <c r="G324" s="277">
        <v>0</v>
      </c>
      <c r="H324" s="284">
        <f t="shared" ref="H324:H387" si="24">+C324-SUM(D324,E324,F324,G324)</f>
        <v>1.4427449999999986</v>
      </c>
      <c r="I324" s="277">
        <v>17.756837999999998</v>
      </c>
      <c r="J324" s="277">
        <v>4.7265470000000001</v>
      </c>
      <c r="K324" s="277">
        <v>7.5610780000000002</v>
      </c>
      <c r="L324" s="277">
        <v>4.2660710000000002</v>
      </c>
      <c r="M324" s="277">
        <v>0</v>
      </c>
      <c r="N324" s="284">
        <f t="shared" ref="N324:N387" si="25">+I324-SUM(J324,K324,L324,M324)</f>
        <v>1.2031419999999962</v>
      </c>
      <c r="O324" s="277">
        <v>15.317926</v>
      </c>
      <c r="P324" s="277">
        <v>1.954418</v>
      </c>
      <c r="Q324" s="277">
        <v>2.0036179999999999</v>
      </c>
      <c r="R324" s="277">
        <v>0.93622099999999997</v>
      </c>
      <c r="S324" s="920">
        <v>0</v>
      </c>
      <c r="T324" s="874">
        <f t="shared" ref="T324:T387" si="26">+O324-SUM(P324,Q324,R324,S324)</f>
        <v>10.423669</v>
      </c>
      <c r="U324" s="920">
        <v>5115.1423333333332</v>
      </c>
      <c r="V324" s="920">
        <v>830.63633333333325</v>
      </c>
      <c r="W324" s="920">
        <v>1158.8100000000002</v>
      </c>
      <c r="X324" s="920">
        <v>684.02199999999993</v>
      </c>
      <c r="Y324" s="920">
        <v>0</v>
      </c>
      <c r="Z324" s="874">
        <f t="shared" ref="Z324:Z387" si="27">+U324-SUM(V324,W324,X324,Y324)</f>
        <v>2441.674</v>
      </c>
      <c r="AA324" s="920">
        <v>484.2</v>
      </c>
      <c r="AB324" s="920">
        <v>88.126999999999995</v>
      </c>
      <c r="AC324" s="920">
        <v>141.34700000000001</v>
      </c>
      <c r="AD324" s="920">
        <v>87.016000000000005</v>
      </c>
      <c r="AE324" s="920">
        <v>0</v>
      </c>
      <c r="AF324" s="920">
        <v>1069</v>
      </c>
      <c r="AG324" s="920">
        <v>187.59899999999999</v>
      </c>
      <c r="AH324" s="920">
        <v>323.24799999999999</v>
      </c>
      <c r="AI324" s="920">
        <v>189.16900000000001</v>
      </c>
      <c r="AJ324" s="920">
        <v>0</v>
      </c>
      <c r="AK324" s="919">
        <f>Data[[#This Row],[Industry Cost ($m)]]/Data[[#This Row],[Industry Consumption]]</f>
        <v>2.2077653862040481</v>
      </c>
      <c r="AL324" s="919">
        <f>Data[[#This Row],[AAL Fuel Cost]]/Data[[#This Row],[AAL Consumption]]</f>
        <v>2.1287346670146494</v>
      </c>
      <c r="AM324" s="919">
        <f>Data[[#This Row],[DAL Fuel Cost]]/Data[[#This Row],[DAL Consumption]]</f>
        <v>2.2869109354991615</v>
      </c>
      <c r="AN324" s="919">
        <f>Data[[#This Row],[UAL Fuel Cost]]/Data[[#This Row],[UALConsumption]]</f>
        <v>2.1739565137445989</v>
      </c>
      <c r="AO324" s="919">
        <f>IFERROR(Data[[#This Row],[LUV Fuel Cost]]/Data[[#This Row],[LUV Consumption]],0)</f>
        <v>0</v>
      </c>
      <c r="AP324" s="783"/>
      <c r="AQ324" s="783"/>
      <c r="AR324" s="253"/>
      <c r="AS324" s="253"/>
      <c r="AT324" s="253"/>
      <c r="AU324" s="253"/>
    </row>
    <row r="325" spans="1:47" ht="10.5" customHeight="1">
      <c r="A325" s="263">
        <v>40451</v>
      </c>
      <c r="B325" s="263" t="s">
        <v>537</v>
      </c>
      <c r="C325" s="277">
        <v>18.413957</v>
      </c>
      <c r="D325" s="277">
        <v>5.1786750000000001</v>
      </c>
      <c r="E325" s="277">
        <v>7.4123469999999996</v>
      </c>
      <c r="F325" s="277">
        <v>4.6343890000000005</v>
      </c>
      <c r="G325" s="277">
        <v>0</v>
      </c>
      <c r="H325" s="284">
        <f t="shared" si="24"/>
        <v>1.1885459999999988</v>
      </c>
      <c r="I325" s="277">
        <v>15.455242</v>
      </c>
      <c r="J325" s="277">
        <v>4.1589039999999997</v>
      </c>
      <c r="K325" s="277">
        <v>6.4258379999999997</v>
      </c>
      <c r="L325" s="277">
        <v>3.9513720000000001</v>
      </c>
      <c r="M325" s="277">
        <v>0</v>
      </c>
      <c r="N325" s="284">
        <f t="shared" si="25"/>
        <v>0.91912800000000239</v>
      </c>
      <c r="O325" s="277">
        <v>12.599149000000001</v>
      </c>
      <c r="P325" s="277">
        <v>1.5709379999999999</v>
      </c>
      <c r="Q325" s="277">
        <v>1.590182</v>
      </c>
      <c r="R325" s="277">
        <v>0.83638800000000002</v>
      </c>
      <c r="S325" s="920">
        <v>0</v>
      </c>
      <c r="T325" s="874">
        <f t="shared" si="26"/>
        <v>8.6016410000000008</v>
      </c>
      <c r="U325" s="920">
        <v>5115.1423333333332</v>
      </c>
      <c r="V325" s="920">
        <v>830.63633333333325</v>
      </c>
      <c r="W325" s="920">
        <v>1158.8100000000002</v>
      </c>
      <c r="X325" s="920">
        <v>684.02199999999993</v>
      </c>
      <c r="Y325" s="920">
        <v>0</v>
      </c>
      <c r="Z325" s="874">
        <f t="shared" si="27"/>
        <v>2441.674</v>
      </c>
      <c r="AA325" s="920">
        <v>439.8</v>
      </c>
      <c r="AB325" s="920">
        <v>81.103999999999999</v>
      </c>
      <c r="AC325" s="920">
        <v>122.238</v>
      </c>
      <c r="AD325" s="920">
        <v>82.802000000000007</v>
      </c>
      <c r="AE325" s="920">
        <v>0</v>
      </c>
      <c r="AF325" s="920">
        <v>967.7</v>
      </c>
      <c r="AG325" s="920">
        <v>172.60300000000001</v>
      </c>
      <c r="AH325" s="920">
        <v>278.10300000000001</v>
      </c>
      <c r="AI325" s="920">
        <v>182.214</v>
      </c>
      <c r="AJ325" s="920">
        <v>0</v>
      </c>
      <c r="AK325" s="919">
        <f>Data[[#This Row],[Industry Cost ($m)]]/Data[[#This Row],[Industry Consumption]]</f>
        <v>2.2003183265120509</v>
      </c>
      <c r="AL325" s="919">
        <f>Data[[#This Row],[AAL Fuel Cost]]/Data[[#This Row],[AAL Consumption]]</f>
        <v>2.128168770960742</v>
      </c>
      <c r="AM325" s="919">
        <f>Data[[#This Row],[DAL Fuel Cost]]/Data[[#This Row],[DAL Consumption]]</f>
        <v>2.2750944878024839</v>
      </c>
      <c r="AN325" s="919">
        <f>Data[[#This Row],[UAL Fuel Cost]]/Data[[#This Row],[UALConsumption]]</f>
        <v>2.2005990193473584</v>
      </c>
      <c r="AO325" s="919">
        <f>IFERROR(Data[[#This Row],[LUV Fuel Cost]]/Data[[#This Row],[LUV Consumption]],0)</f>
        <v>0</v>
      </c>
      <c r="AP325" s="783"/>
      <c r="AQ325" s="783"/>
      <c r="AR325" s="253"/>
      <c r="AS325" s="253"/>
      <c r="AT325" s="253"/>
      <c r="AU325" s="253"/>
    </row>
    <row r="326" spans="1:47" ht="10.5" customHeight="1">
      <c r="A326" s="263">
        <v>40482</v>
      </c>
      <c r="B326" s="263" t="s">
        <v>537</v>
      </c>
      <c r="C326" s="277">
        <v>18.713714</v>
      </c>
      <c r="D326" s="277">
        <v>5.3379120000000002</v>
      </c>
      <c r="E326" s="277">
        <v>7.4517879999999996</v>
      </c>
      <c r="F326" s="277">
        <v>4.7284979999999992</v>
      </c>
      <c r="G326" s="277">
        <v>0</v>
      </c>
      <c r="H326" s="284">
        <f t="shared" si="24"/>
        <v>1.1955160000000014</v>
      </c>
      <c r="I326" s="277">
        <v>15.484246000000001</v>
      </c>
      <c r="J326" s="277">
        <v>4.3586739999999997</v>
      </c>
      <c r="K326" s="277">
        <v>6.2818180000000003</v>
      </c>
      <c r="L326" s="277">
        <v>3.8965239999999999</v>
      </c>
      <c r="M326" s="277">
        <v>0</v>
      </c>
      <c r="N326" s="284">
        <f t="shared" si="25"/>
        <v>0.94723000000000113</v>
      </c>
      <c r="O326" s="277">
        <v>12.874707000000001</v>
      </c>
      <c r="P326" s="277">
        <v>1.671953</v>
      </c>
      <c r="Q326" s="277">
        <v>1.5589999999999999</v>
      </c>
      <c r="R326" s="277">
        <v>0.83006899999999995</v>
      </c>
      <c r="S326" s="920">
        <v>0</v>
      </c>
      <c r="T326" s="874">
        <f t="shared" si="26"/>
        <v>8.8136850000000013</v>
      </c>
      <c r="U326" s="920">
        <v>4639.5793333333331</v>
      </c>
      <c r="V326" s="920">
        <v>771.30899999999986</v>
      </c>
      <c r="W326" s="920">
        <v>935.74699999999996</v>
      </c>
      <c r="X326" s="920">
        <v>623.16666666666663</v>
      </c>
      <c r="Y326" s="920">
        <v>0</v>
      </c>
      <c r="Z326" s="874">
        <f t="shared" si="27"/>
        <v>2309.3566666666666</v>
      </c>
      <c r="AA326" s="920">
        <v>446.3</v>
      </c>
      <c r="AB326" s="920">
        <v>83.468000000000004</v>
      </c>
      <c r="AC326" s="920">
        <v>121.76600000000001</v>
      </c>
      <c r="AD326" s="920">
        <v>83.820999999999998</v>
      </c>
      <c r="AE326" s="920">
        <v>0</v>
      </c>
      <c r="AF326" s="920">
        <v>1042.7</v>
      </c>
      <c r="AG326" s="920">
        <v>182.95099999999999</v>
      </c>
      <c r="AH326" s="920">
        <v>290.35199999999998</v>
      </c>
      <c r="AI326" s="920">
        <v>190.41499999999999</v>
      </c>
      <c r="AJ326" s="920">
        <v>0</v>
      </c>
      <c r="AK326" s="919">
        <f>Data[[#This Row],[Industry Cost ($m)]]/Data[[#This Row],[Industry Consumption]]</f>
        <v>2.3363208604077976</v>
      </c>
      <c r="AL326" s="919">
        <f>Data[[#This Row],[AAL Fuel Cost]]/Data[[#This Row],[AAL Consumption]]</f>
        <v>2.1918699381799009</v>
      </c>
      <c r="AM326" s="919">
        <f>Data[[#This Row],[DAL Fuel Cost]]/Data[[#This Row],[DAL Consumption]]</f>
        <v>2.38450799073633</v>
      </c>
      <c r="AN326" s="919">
        <f>Data[[#This Row],[UAL Fuel Cost]]/Data[[#This Row],[UALConsumption]]</f>
        <v>2.2716860929838583</v>
      </c>
      <c r="AO326" s="919">
        <f>IFERROR(Data[[#This Row],[LUV Fuel Cost]]/Data[[#This Row],[LUV Consumption]],0)</f>
        <v>0</v>
      </c>
      <c r="AP326" s="783"/>
      <c r="AQ326" s="783"/>
      <c r="AR326" s="253"/>
      <c r="AS326" s="253"/>
      <c r="AT326" s="253"/>
      <c r="AU326" s="253"/>
    </row>
    <row r="327" spans="1:47" ht="10.5" customHeight="1">
      <c r="A327" s="263">
        <v>40512</v>
      </c>
      <c r="B327" s="263" t="s">
        <v>537</v>
      </c>
      <c r="C327" s="277">
        <v>16.930493999999999</v>
      </c>
      <c r="D327" s="277">
        <v>4.9755690000000001</v>
      </c>
      <c r="E327" s="277">
        <v>6.6161830000000004</v>
      </c>
      <c r="F327" s="277">
        <v>4.1023280000000009</v>
      </c>
      <c r="G327" s="277">
        <v>0</v>
      </c>
      <c r="H327" s="284">
        <f t="shared" si="24"/>
        <v>1.2364139999999999</v>
      </c>
      <c r="I327" s="277">
        <v>13.319865</v>
      </c>
      <c r="J327" s="277">
        <v>3.900582</v>
      </c>
      <c r="K327" s="277">
        <v>5.1798229999999998</v>
      </c>
      <c r="L327" s="277">
        <v>3.289987</v>
      </c>
      <c r="M327" s="277">
        <v>0</v>
      </c>
      <c r="N327" s="284">
        <f t="shared" si="25"/>
        <v>0.94947300000000112</v>
      </c>
      <c r="O327" s="277">
        <v>11.651313999999999</v>
      </c>
      <c r="P327" s="277">
        <v>1.5978730000000001</v>
      </c>
      <c r="Q327" s="277">
        <v>1.3348789999999999</v>
      </c>
      <c r="R327" s="277">
        <v>0.709283</v>
      </c>
      <c r="S327" s="920">
        <v>0</v>
      </c>
      <c r="T327" s="874">
        <f t="shared" si="26"/>
        <v>8.0092789999999994</v>
      </c>
      <c r="U327" s="920">
        <v>4639.5793333333331</v>
      </c>
      <c r="V327" s="920">
        <v>771.30899999999986</v>
      </c>
      <c r="W327" s="920">
        <v>935.74699999999996</v>
      </c>
      <c r="X327" s="920">
        <v>623.16666666666663</v>
      </c>
      <c r="Y327" s="920">
        <v>0</v>
      </c>
      <c r="Z327" s="874">
        <f t="shared" si="27"/>
        <v>2309.3566666666666</v>
      </c>
      <c r="AA327" s="920">
        <v>411.9</v>
      </c>
      <c r="AB327" s="920">
        <v>77.507999999999996</v>
      </c>
      <c r="AC327" s="920">
        <v>108.2</v>
      </c>
      <c r="AD327" s="920">
        <v>74.129000000000005</v>
      </c>
      <c r="AE327" s="920">
        <v>0</v>
      </c>
      <c r="AF327" s="920">
        <v>981.6</v>
      </c>
      <c r="AG327" s="920">
        <v>179.84100000000001</v>
      </c>
      <c r="AH327" s="920">
        <v>267.226</v>
      </c>
      <c r="AI327" s="920">
        <v>175.82599999999999</v>
      </c>
      <c r="AJ327" s="920">
        <v>0</v>
      </c>
      <c r="AK327" s="919">
        <f>Data[[#This Row],[Industry Cost ($m)]]/Data[[#This Row],[Industry Consumption]]</f>
        <v>2.3831026948288421</v>
      </c>
      <c r="AL327" s="919">
        <f>Data[[#This Row],[AAL Fuel Cost]]/Data[[#This Row],[AAL Consumption]]</f>
        <v>2.3202895185013164</v>
      </c>
      <c r="AM327" s="919">
        <f>Data[[#This Row],[DAL Fuel Cost]]/Data[[#This Row],[DAL Consumption]]</f>
        <v>2.4697412199630313</v>
      </c>
      <c r="AN327" s="919">
        <f>Data[[#This Row],[UAL Fuel Cost]]/Data[[#This Row],[UALConsumption]]</f>
        <v>2.3718922419026289</v>
      </c>
      <c r="AO327" s="919">
        <f>IFERROR(Data[[#This Row],[LUV Fuel Cost]]/Data[[#This Row],[LUV Consumption]],0)</f>
        <v>0</v>
      </c>
      <c r="AP327" s="783"/>
      <c r="AQ327" s="783"/>
      <c r="AR327" s="253"/>
      <c r="AS327" s="253"/>
      <c r="AT327" s="253"/>
      <c r="AU327" s="253"/>
    </row>
    <row r="328" spans="1:47" ht="10.5" customHeight="1">
      <c r="A328" s="263">
        <v>40543</v>
      </c>
      <c r="B328" s="263" t="s">
        <v>537</v>
      </c>
      <c r="C328" s="277">
        <v>18.088449000000001</v>
      </c>
      <c r="D328" s="277">
        <v>5.2115809999999998</v>
      </c>
      <c r="E328" s="277">
        <v>7.0247359999999999</v>
      </c>
      <c r="F328" s="277">
        <v>4.4043260000000002</v>
      </c>
      <c r="G328" s="277">
        <v>0</v>
      </c>
      <c r="H328" s="284">
        <f t="shared" si="24"/>
        <v>1.4478059999999999</v>
      </c>
      <c r="I328" s="277">
        <v>14.617675</v>
      </c>
      <c r="J328" s="277">
        <v>4.1662520000000001</v>
      </c>
      <c r="K328" s="277">
        <v>5.6653880000000001</v>
      </c>
      <c r="L328" s="277">
        <v>3.6550250000000002</v>
      </c>
      <c r="M328" s="277">
        <v>0</v>
      </c>
      <c r="N328" s="284">
        <f t="shared" si="25"/>
        <v>1.1310099999999998</v>
      </c>
      <c r="O328" s="277">
        <v>12.917451</v>
      </c>
      <c r="P328" s="277">
        <v>1.7506429999999999</v>
      </c>
      <c r="Q328" s="277">
        <v>1.4998339999999999</v>
      </c>
      <c r="R328" s="277">
        <v>0.80061000000000004</v>
      </c>
      <c r="S328" s="920">
        <v>0</v>
      </c>
      <c r="T328" s="874">
        <f t="shared" si="26"/>
        <v>8.8663640000000008</v>
      </c>
      <c r="U328" s="920">
        <v>4639.5793333333331</v>
      </c>
      <c r="V328" s="920">
        <v>771.30899999999986</v>
      </c>
      <c r="W328" s="920">
        <v>935.74699999999996</v>
      </c>
      <c r="X328" s="920">
        <v>623.16666666666663</v>
      </c>
      <c r="Y328" s="920">
        <v>0</v>
      </c>
      <c r="Z328" s="874">
        <f t="shared" si="27"/>
        <v>2309.3566666666666</v>
      </c>
      <c r="AA328" s="920">
        <v>441.1</v>
      </c>
      <c r="AB328" s="920">
        <v>80.739000000000004</v>
      </c>
      <c r="AC328" s="920">
        <v>116.801</v>
      </c>
      <c r="AD328" s="920">
        <v>78.680000000000007</v>
      </c>
      <c r="AE328" s="920">
        <v>0</v>
      </c>
      <c r="AF328" s="920">
        <v>1090.7</v>
      </c>
      <c r="AG328" s="920">
        <v>196.68600000000001</v>
      </c>
      <c r="AH328" s="920">
        <v>293.959</v>
      </c>
      <c r="AI328" s="920">
        <v>195.36099999999999</v>
      </c>
      <c r="AJ328" s="920">
        <v>0</v>
      </c>
      <c r="AK328" s="919">
        <f>Data[[#This Row],[Industry Cost ($m)]]/Data[[#This Row],[Industry Consumption]]</f>
        <v>2.4726819315347992</v>
      </c>
      <c r="AL328" s="919">
        <f>Data[[#This Row],[AAL Fuel Cost]]/Data[[#This Row],[AAL Consumption]]</f>
        <v>2.4360717868687995</v>
      </c>
      <c r="AM328" s="919">
        <f>Data[[#This Row],[DAL Fuel Cost]]/Data[[#This Row],[DAL Consumption]]</f>
        <v>2.5167507127507469</v>
      </c>
      <c r="AN328" s="919">
        <f>Data[[#This Row],[UAL Fuel Cost]]/Data[[#This Row],[UALConsumption]]</f>
        <v>2.482981698017285</v>
      </c>
      <c r="AO328" s="919">
        <f>IFERROR(Data[[#This Row],[LUV Fuel Cost]]/Data[[#This Row],[LUV Consumption]],0)</f>
        <v>0</v>
      </c>
      <c r="AP328" s="783"/>
      <c r="AQ328" s="783"/>
      <c r="AR328" s="253"/>
      <c r="AS328" s="253"/>
      <c r="AT328" s="253"/>
      <c r="AU328" s="253"/>
    </row>
    <row r="329" spans="1:47" ht="10.5" customHeight="1">
      <c r="A329" s="263">
        <v>40574</v>
      </c>
      <c r="B329" s="263" t="s">
        <v>537</v>
      </c>
      <c r="C329" s="277">
        <v>18.608740999999998</v>
      </c>
      <c r="D329" s="277">
        <v>5.4134950000000002</v>
      </c>
      <c r="E329" s="277">
        <v>7.2044449999999998</v>
      </c>
      <c r="F329" s="277">
        <v>4.4257669999999996</v>
      </c>
      <c r="G329" s="277">
        <v>0</v>
      </c>
      <c r="H329" s="284">
        <f t="shared" si="24"/>
        <v>1.5650339999999971</v>
      </c>
      <c r="I329" s="277">
        <v>14.275600000000001</v>
      </c>
      <c r="J329" s="277">
        <v>4.1122649999999998</v>
      </c>
      <c r="K329" s="277">
        <v>5.438987</v>
      </c>
      <c r="L329" s="277">
        <v>3.5285060000000001</v>
      </c>
      <c r="M329" s="277">
        <v>0</v>
      </c>
      <c r="N329" s="284">
        <f t="shared" si="25"/>
        <v>1.1958420000000007</v>
      </c>
      <c r="O329" s="277">
        <v>12.668763</v>
      </c>
      <c r="P329" s="277">
        <v>1.7219450000000001</v>
      </c>
      <c r="Q329" s="277">
        <v>1.4659519999999999</v>
      </c>
      <c r="R329" s="277">
        <v>0.77094399999999996</v>
      </c>
      <c r="S329" s="920">
        <v>0</v>
      </c>
      <c r="T329" s="874">
        <f t="shared" si="26"/>
        <v>8.7099220000000006</v>
      </c>
      <c r="U329" s="920">
        <v>4451.4380000000001</v>
      </c>
      <c r="V329" s="920">
        <v>782.02333333333343</v>
      </c>
      <c r="W329" s="920">
        <v>891.41699999999992</v>
      </c>
      <c r="X329" s="920">
        <v>576.96799999999996</v>
      </c>
      <c r="Y329" s="920">
        <v>0</v>
      </c>
      <c r="Z329" s="874">
        <f t="shared" si="27"/>
        <v>2201.0296666666668</v>
      </c>
      <c r="AA329" s="920">
        <v>448.2</v>
      </c>
      <c r="AB329" s="920">
        <v>82.537000000000006</v>
      </c>
      <c r="AC329" s="920">
        <v>124.223</v>
      </c>
      <c r="AD329" s="920">
        <v>78.41</v>
      </c>
      <c r="AE329" s="920">
        <v>0</v>
      </c>
      <c r="AF329" s="920">
        <v>1169.8</v>
      </c>
      <c r="AG329" s="920">
        <v>210.88800000000001</v>
      </c>
      <c r="AH329" s="920">
        <v>330.44900000000001</v>
      </c>
      <c r="AI329" s="920">
        <v>205.26599999999999</v>
      </c>
      <c r="AJ329" s="920">
        <v>0</v>
      </c>
      <c r="AK329" s="919">
        <f>Data[[#This Row],[Industry Cost ($m)]]/Data[[#This Row],[Industry Consumption]]</f>
        <v>2.6099955377063813</v>
      </c>
      <c r="AL329" s="919">
        <f>Data[[#This Row],[AAL Fuel Cost]]/Data[[#This Row],[AAL Consumption]]</f>
        <v>2.5550722706180258</v>
      </c>
      <c r="AM329" s="919">
        <f>Data[[#This Row],[DAL Fuel Cost]]/Data[[#This Row],[DAL Consumption]]</f>
        <v>2.6601273516176556</v>
      </c>
      <c r="AN329" s="919">
        <f>Data[[#This Row],[UAL Fuel Cost]]/Data[[#This Row],[UALConsumption]]</f>
        <v>2.6178548654508353</v>
      </c>
      <c r="AO329" s="919">
        <f>IFERROR(Data[[#This Row],[LUV Fuel Cost]]/Data[[#This Row],[LUV Consumption]],0)</f>
        <v>0</v>
      </c>
      <c r="AP329" s="783"/>
      <c r="AQ329" s="783"/>
      <c r="AR329" s="253"/>
      <c r="AS329" s="253"/>
      <c r="AT329" s="253"/>
      <c r="AU329" s="253"/>
    </row>
    <row r="330" spans="1:47" ht="10.5" customHeight="1">
      <c r="A330" s="263">
        <v>40602</v>
      </c>
      <c r="B330" s="263" t="s">
        <v>537</v>
      </c>
      <c r="C330" s="277">
        <v>16.666217</v>
      </c>
      <c r="D330" s="277">
        <v>4.7919970000000003</v>
      </c>
      <c r="E330" s="277">
        <v>6.5272920000000001</v>
      </c>
      <c r="F330" s="277">
        <v>3.8699319999999999</v>
      </c>
      <c r="G330" s="277">
        <v>0</v>
      </c>
      <c r="H330" s="284">
        <f t="shared" si="24"/>
        <v>1.476995999999998</v>
      </c>
      <c r="I330" s="277">
        <v>11.800302</v>
      </c>
      <c r="J330" s="277">
        <v>3.4094959999999999</v>
      </c>
      <c r="K330" s="277">
        <v>4.4412279999999997</v>
      </c>
      <c r="L330" s="277">
        <v>2.8079999999999998</v>
      </c>
      <c r="M330" s="277">
        <v>0</v>
      </c>
      <c r="N330" s="284">
        <f t="shared" si="25"/>
        <v>1.1415780000000009</v>
      </c>
      <c r="O330" s="277">
        <v>10.944610000000001</v>
      </c>
      <c r="P330" s="277">
        <v>1.4507890000000001</v>
      </c>
      <c r="Q330" s="277">
        <v>1.2603500000000001</v>
      </c>
      <c r="R330" s="277">
        <v>0.63871900000000004</v>
      </c>
      <c r="S330" s="920">
        <v>0</v>
      </c>
      <c r="T330" s="874">
        <f t="shared" si="26"/>
        <v>7.5947520000000006</v>
      </c>
      <c r="U330" s="920">
        <v>4451.4380000000001</v>
      </c>
      <c r="V330" s="920">
        <v>782.02333333333343</v>
      </c>
      <c r="W330" s="920">
        <v>891.41699999999992</v>
      </c>
      <c r="X330" s="920">
        <v>576.96799999999996</v>
      </c>
      <c r="Y330" s="920">
        <v>0</v>
      </c>
      <c r="Z330" s="874">
        <f t="shared" si="27"/>
        <v>2201.0296666666668</v>
      </c>
      <c r="AA330" s="920">
        <v>395.1</v>
      </c>
      <c r="AB330" s="920">
        <v>72.769000000000005</v>
      </c>
      <c r="AC330" s="920">
        <v>111.369</v>
      </c>
      <c r="AD330" s="920">
        <v>68.221999999999994</v>
      </c>
      <c r="AE330" s="920">
        <v>0</v>
      </c>
      <c r="AF330" s="920">
        <v>1098.9000000000001</v>
      </c>
      <c r="AG330" s="920">
        <v>199.11600000000001</v>
      </c>
      <c r="AH330" s="920">
        <v>318.57600000000002</v>
      </c>
      <c r="AI330" s="920">
        <v>181.65600000000001</v>
      </c>
      <c r="AJ330" s="920">
        <v>0</v>
      </c>
      <c r="AK330" s="919">
        <f>Data[[#This Row],[Industry Cost ($m)]]/Data[[#This Row],[Industry Consumption]]</f>
        <v>2.7813211845102508</v>
      </c>
      <c r="AL330" s="919">
        <f>Data[[#This Row],[AAL Fuel Cost]]/Data[[#This Row],[AAL Consumption]]</f>
        <v>2.7362750621830725</v>
      </c>
      <c r="AM330" s="919">
        <f>Data[[#This Row],[DAL Fuel Cost]]/Data[[#This Row],[DAL Consumption]]</f>
        <v>2.8605446758074513</v>
      </c>
      <c r="AN330" s="919">
        <f>Data[[#This Row],[UAL Fuel Cost]]/Data[[#This Row],[UALConsumption]]</f>
        <v>2.6627187710709159</v>
      </c>
      <c r="AO330" s="919">
        <f>IFERROR(Data[[#This Row],[LUV Fuel Cost]]/Data[[#This Row],[LUV Consumption]],0)</f>
        <v>0</v>
      </c>
      <c r="AP330" s="783"/>
      <c r="AQ330" s="783"/>
      <c r="AR330" s="253"/>
      <c r="AS330" s="253"/>
      <c r="AT330" s="253"/>
      <c r="AU330" s="253"/>
    </row>
    <row r="331" spans="1:47" ht="10.5" customHeight="1">
      <c r="A331" s="263">
        <v>40633</v>
      </c>
      <c r="B331" s="263" t="s">
        <v>537</v>
      </c>
      <c r="C331" s="277">
        <v>19.128513999999999</v>
      </c>
      <c r="D331" s="277">
        <v>5.4279480000000007</v>
      </c>
      <c r="E331" s="277">
        <v>7.5235029999999998</v>
      </c>
      <c r="F331" s="277">
        <v>4.4643860000000002</v>
      </c>
      <c r="G331" s="277">
        <v>0</v>
      </c>
      <c r="H331" s="284">
        <f t="shared" si="24"/>
        <v>1.7126769999999993</v>
      </c>
      <c r="I331" s="277">
        <v>14.604870999999999</v>
      </c>
      <c r="J331" s="277">
        <v>4.18954</v>
      </c>
      <c r="K331" s="277">
        <v>5.6019810000000003</v>
      </c>
      <c r="L331" s="277">
        <v>3.4596429999999998</v>
      </c>
      <c r="M331" s="277">
        <v>0</v>
      </c>
      <c r="N331" s="284">
        <f t="shared" si="25"/>
        <v>1.353707</v>
      </c>
      <c r="O331" s="277">
        <v>13.473705000000001</v>
      </c>
      <c r="P331" s="277">
        <v>1.7493609999999999</v>
      </c>
      <c r="Q331" s="277">
        <v>1.6064050000000001</v>
      </c>
      <c r="R331" s="277">
        <v>0.81104600000000004</v>
      </c>
      <c r="S331" s="920">
        <v>0</v>
      </c>
      <c r="T331" s="874">
        <f t="shared" si="26"/>
        <v>9.3068930000000005</v>
      </c>
      <c r="U331" s="920">
        <v>4451.4380000000001</v>
      </c>
      <c r="V331" s="920">
        <v>782.02333333333343</v>
      </c>
      <c r="W331" s="920">
        <v>891.41699999999992</v>
      </c>
      <c r="X331" s="920">
        <v>576.96799999999996</v>
      </c>
      <c r="Y331" s="920">
        <v>0</v>
      </c>
      <c r="Z331" s="874">
        <f t="shared" si="27"/>
        <v>2201.0296666666668</v>
      </c>
      <c r="AA331" s="920">
        <v>466.6</v>
      </c>
      <c r="AB331" s="920">
        <v>82.715000000000003</v>
      </c>
      <c r="AC331" s="920">
        <v>129.804</v>
      </c>
      <c r="AD331" s="920">
        <v>77.778000000000006</v>
      </c>
      <c r="AE331" s="920">
        <v>0</v>
      </c>
      <c r="AF331" s="920">
        <v>1396</v>
      </c>
      <c r="AG331" s="920">
        <v>245.63</v>
      </c>
      <c r="AH331" s="920">
        <v>379.07499999999999</v>
      </c>
      <c r="AI331" s="920">
        <v>234.935</v>
      </c>
      <c r="AJ331" s="920">
        <v>0</v>
      </c>
      <c r="AK331" s="919">
        <f>Data[[#This Row],[Industry Cost ($m)]]/Data[[#This Row],[Industry Consumption]]</f>
        <v>2.9918559794256323</v>
      </c>
      <c r="AL331" s="919">
        <f>Data[[#This Row],[AAL Fuel Cost]]/Data[[#This Row],[AAL Consumption]]</f>
        <v>2.969594390376594</v>
      </c>
      <c r="AM331" s="919">
        <f>Data[[#This Row],[DAL Fuel Cost]]/Data[[#This Row],[DAL Consumption]]</f>
        <v>2.9203645496286708</v>
      </c>
      <c r="AN331" s="919">
        <f>Data[[#This Row],[UAL Fuel Cost]]/Data[[#This Row],[UALConsumption]]</f>
        <v>3.0205842269022085</v>
      </c>
      <c r="AO331" s="919">
        <f>IFERROR(Data[[#This Row],[LUV Fuel Cost]]/Data[[#This Row],[LUV Consumption]],0)</f>
        <v>0</v>
      </c>
      <c r="AP331" s="783"/>
      <c r="AQ331" s="783"/>
      <c r="AR331" s="253"/>
      <c r="AS331" s="253"/>
      <c r="AT331" s="253"/>
      <c r="AU331" s="253"/>
    </row>
    <row r="332" spans="1:47" ht="10.5" customHeight="1">
      <c r="A332" s="263">
        <v>40663</v>
      </c>
      <c r="B332" s="263" t="s">
        <v>537</v>
      </c>
      <c r="C332" s="277">
        <v>18.921548999999999</v>
      </c>
      <c r="D332" s="277">
        <v>5.3595860000000002</v>
      </c>
      <c r="E332" s="277">
        <v>7.2427280000000005</v>
      </c>
      <c r="F332" s="277">
        <v>4.6656679999999993</v>
      </c>
      <c r="G332" s="277">
        <v>0</v>
      </c>
      <c r="H332" s="284">
        <f t="shared" si="24"/>
        <v>1.6535669999999989</v>
      </c>
      <c r="I332" s="277">
        <v>14.694232</v>
      </c>
      <c r="J332" s="277">
        <v>4.1716100000000003</v>
      </c>
      <c r="K332" s="277">
        <v>5.6531440000000002</v>
      </c>
      <c r="L332" s="277">
        <v>3.6028509999999998</v>
      </c>
      <c r="M332" s="277">
        <v>0</v>
      </c>
      <c r="N332" s="284">
        <f t="shared" si="25"/>
        <v>1.2666269999999997</v>
      </c>
      <c r="O332" s="277">
        <v>13.537152000000001</v>
      </c>
      <c r="P332" s="277">
        <v>1.677494</v>
      </c>
      <c r="Q332" s="277">
        <v>1.5478209999999999</v>
      </c>
      <c r="R332" s="277">
        <v>0.828484</v>
      </c>
      <c r="S332" s="920">
        <v>0</v>
      </c>
      <c r="T332" s="874">
        <f t="shared" si="26"/>
        <v>9.483353000000001</v>
      </c>
      <c r="U332" s="920">
        <v>5156.9883333333337</v>
      </c>
      <c r="V332" s="920">
        <v>844.50633333333326</v>
      </c>
      <c r="W332" s="920">
        <v>1071.0153333333335</v>
      </c>
      <c r="X332" s="920">
        <v>710.83866666666665</v>
      </c>
      <c r="Y332" s="920">
        <v>0</v>
      </c>
      <c r="Z332" s="874">
        <f t="shared" si="27"/>
        <v>2530.6280000000002</v>
      </c>
      <c r="AA332" s="920">
        <v>460.6</v>
      </c>
      <c r="AB332" s="920">
        <v>82.201999999999998</v>
      </c>
      <c r="AC332" s="920">
        <v>126.194</v>
      </c>
      <c r="AD332" s="920">
        <v>81.393000000000001</v>
      </c>
      <c r="AE332" s="920">
        <v>0</v>
      </c>
      <c r="AF332" s="920">
        <v>1485.8</v>
      </c>
      <c r="AG332" s="920">
        <v>270.50599999999997</v>
      </c>
      <c r="AH332" s="920">
        <v>406.09100000000001</v>
      </c>
      <c r="AI332" s="920">
        <v>259.39100000000002</v>
      </c>
      <c r="AJ332" s="920">
        <v>0</v>
      </c>
      <c r="AK332" s="919">
        <f>Data[[#This Row],[Industry Cost ($m)]]/Data[[#This Row],[Industry Consumption]]</f>
        <v>3.2257924446374293</v>
      </c>
      <c r="AL332" s="919">
        <f>Data[[#This Row],[AAL Fuel Cost]]/Data[[#This Row],[AAL Consumption]]</f>
        <v>3.2907471837668179</v>
      </c>
      <c r="AM332" s="919">
        <f>Data[[#This Row],[DAL Fuel Cost]]/Data[[#This Row],[DAL Consumption]]</f>
        <v>3.217989761795331</v>
      </c>
      <c r="AN332" s="919">
        <f>Data[[#This Row],[UAL Fuel Cost]]/Data[[#This Row],[UALConsumption]]</f>
        <v>3.1868956789895937</v>
      </c>
      <c r="AO332" s="919">
        <f>IFERROR(Data[[#This Row],[LUV Fuel Cost]]/Data[[#This Row],[LUV Consumption]],0)</f>
        <v>0</v>
      </c>
      <c r="AP332" s="783"/>
      <c r="AQ332" s="783"/>
      <c r="AR332" s="253"/>
      <c r="AS332" s="253"/>
      <c r="AT332" s="253"/>
      <c r="AU332" s="253"/>
    </row>
    <row r="333" spans="1:47" ht="10.5" customHeight="1">
      <c r="A333" s="263">
        <v>40694</v>
      </c>
      <c r="B333" s="263" t="s">
        <v>537</v>
      </c>
      <c r="C333" s="277">
        <v>19.448442</v>
      </c>
      <c r="D333" s="277">
        <v>5.6735919999999993</v>
      </c>
      <c r="E333" s="277">
        <v>7.4782849999999996</v>
      </c>
      <c r="F333" s="277">
        <v>4.8415029999999994</v>
      </c>
      <c r="G333" s="277">
        <v>0</v>
      </c>
      <c r="H333" s="284">
        <f t="shared" si="24"/>
        <v>1.4550620000000016</v>
      </c>
      <c r="I333" s="277">
        <v>15.862444</v>
      </c>
      <c r="J333" s="277">
        <v>4.4991409999999998</v>
      </c>
      <c r="K333" s="277">
        <v>6.189622</v>
      </c>
      <c r="L333" s="277">
        <v>4.0171260000000002</v>
      </c>
      <c r="M333" s="277">
        <v>0</v>
      </c>
      <c r="N333" s="284">
        <f t="shared" si="25"/>
        <v>1.1565550000000009</v>
      </c>
      <c r="O333" s="277">
        <v>13.935131999999999</v>
      </c>
      <c r="P333" s="277">
        <v>1.7385189999999999</v>
      </c>
      <c r="Q333" s="277">
        <v>1.6250610000000001</v>
      </c>
      <c r="R333" s="277">
        <v>0.89494399999999996</v>
      </c>
      <c r="S333" s="920">
        <v>0</v>
      </c>
      <c r="T333" s="874">
        <f t="shared" si="26"/>
        <v>9.6766079999999999</v>
      </c>
      <c r="U333" s="920">
        <v>5156.9883333333337</v>
      </c>
      <c r="V333" s="920">
        <v>844.50633333333326</v>
      </c>
      <c r="W333" s="920">
        <v>1071.0153333333335</v>
      </c>
      <c r="X333" s="920">
        <v>710.83866666666665</v>
      </c>
      <c r="Y333" s="920">
        <v>0</v>
      </c>
      <c r="Z333" s="874">
        <f t="shared" si="27"/>
        <v>2530.6280000000002</v>
      </c>
      <c r="AA333" s="920">
        <v>476.1</v>
      </c>
      <c r="AB333" s="920">
        <v>87.084999999999994</v>
      </c>
      <c r="AC333" s="920">
        <v>130.453</v>
      </c>
      <c r="AD333" s="920">
        <v>84.814999999999998</v>
      </c>
      <c r="AE333" s="920">
        <v>0</v>
      </c>
      <c r="AF333" s="920">
        <v>1548.3</v>
      </c>
      <c r="AG333" s="920">
        <v>277.92399999999998</v>
      </c>
      <c r="AH333" s="920">
        <v>425.19499999999999</v>
      </c>
      <c r="AI333" s="920">
        <v>276.32499999999999</v>
      </c>
      <c r="AJ333" s="920">
        <v>0</v>
      </c>
      <c r="AK333" s="919">
        <f>Data[[#This Row],[Industry Cost ($m)]]/Data[[#This Row],[Industry Consumption]]</f>
        <v>3.2520478890989284</v>
      </c>
      <c r="AL333" s="919">
        <f>Data[[#This Row],[AAL Fuel Cost]]/Data[[#This Row],[AAL Consumption]]</f>
        <v>3.1914106907044841</v>
      </c>
      <c r="AM333" s="919">
        <f>Data[[#This Row],[DAL Fuel Cost]]/Data[[#This Row],[DAL Consumption]]</f>
        <v>3.259373107555978</v>
      </c>
      <c r="AN333" s="919">
        <f>Data[[#This Row],[UAL Fuel Cost]]/Data[[#This Row],[UALConsumption]]</f>
        <v>3.2579732358662974</v>
      </c>
      <c r="AO333" s="919">
        <f>IFERROR(Data[[#This Row],[LUV Fuel Cost]]/Data[[#This Row],[LUV Consumption]],0)</f>
        <v>0</v>
      </c>
      <c r="AP333" s="783"/>
      <c r="AQ333" s="783"/>
      <c r="AR333" s="253"/>
      <c r="AS333" s="253"/>
      <c r="AT333" s="253"/>
      <c r="AU333" s="253"/>
    </row>
    <row r="334" spans="1:47" ht="10.5" customHeight="1">
      <c r="A334" s="263">
        <v>40724</v>
      </c>
      <c r="B334" s="263" t="s">
        <v>537</v>
      </c>
      <c r="C334" s="277">
        <v>20.375259</v>
      </c>
      <c r="D334" s="277">
        <v>5.6012230000000001</v>
      </c>
      <c r="E334" s="277">
        <v>8.4484320000000004</v>
      </c>
      <c r="F334" s="277">
        <v>4.8083810000000007</v>
      </c>
      <c r="G334" s="277">
        <v>0</v>
      </c>
      <c r="H334" s="284">
        <f t="shared" si="24"/>
        <v>1.5172229999999978</v>
      </c>
      <c r="I334" s="277">
        <v>17.361657000000001</v>
      </c>
      <c r="J334" s="277">
        <v>4.713533</v>
      </c>
      <c r="K334" s="277">
        <v>7.286429</v>
      </c>
      <c r="L334" s="277">
        <v>4.1773699999999998</v>
      </c>
      <c r="M334" s="277">
        <v>0</v>
      </c>
      <c r="N334" s="284">
        <f t="shared" si="25"/>
        <v>1.1843250000000012</v>
      </c>
      <c r="O334" s="277">
        <v>14.814672</v>
      </c>
      <c r="P334" s="277">
        <v>1.8554889999999999</v>
      </c>
      <c r="Q334" s="277">
        <v>1.918498</v>
      </c>
      <c r="R334" s="277">
        <v>0.93207099999999998</v>
      </c>
      <c r="S334" s="920">
        <v>0</v>
      </c>
      <c r="T334" s="874">
        <f t="shared" si="26"/>
        <v>10.108613999999999</v>
      </c>
      <c r="U334" s="920">
        <v>5156.9883333333337</v>
      </c>
      <c r="V334" s="920">
        <v>844.50633333333326</v>
      </c>
      <c r="W334" s="920">
        <v>1071.0153333333335</v>
      </c>
      <c r="X334" s="920">
        <v>710.83866666666665</v>
      </c>
      <c r="Y334" s="920">
        <v>0</v>
      </c>
      <c r="Z334" s="874">
        <f t="shared" si="27"/>
        <v>2530.6280000000002</v>
      </c>
      <c r="AA334" s="920">
        <v>494.9</v>
      </c>
      <c r="AB334" s="920">
        <v>86.254999999999995</v>
      </c>
      <c r="AC334" s="920">
        <v>146.63200000000001</v>
      </c>
      <c r="AD334" s="920">
        <v>84.192999999999998</v>
      </c>
      <c r="AE334" s="920">
        <v>0</v>
      </c>
      <c r="AF334" s="920">
        <v>1524.7</v>
      </c>
      <c r="AG334" s="920">
        <v>263.65600000000001</v>
      </c>
      <c r="AH334" s="920">
        <v>450.99</v>
      </c>
      <c r="AI334" s="920">
        <v>250.35599999999999</v>
      </c>
      <c r="AJ334" s="920">
        <v>0</v>
      </c>
      <c r="AK334" s="919">
        <f>Data[[#This Row],[Industry Cost ($m)]]/Data[[#This Row],[Industry Consumption]]</f>
        <v>3.0808244089715098</v>
      </c>
      <c r="AL334" s="919">
        <f>Data[[#This Row],[AAL Fuel Cost]]/Data[[#This Row],[AAL Consumption]]</f>
        <v>3.0567039591907719</v>
      </c>
      <c r="AM334" s="919">
        <f>Data[[#This Row],[DAL Fuel Cost]]/Data[[#This Row],[DAL Consumption]]</f>
        <v>3.0756587920781273</v>
      </c>
      <c r="AN334" s="919">
        <f>Data[[#This Row],[UAL Fuel Cost]]/Data[[#This Row],[UALConsumption]]</f>
        <v>2.9735963797465348</v>
      </c>
      <c r="AO334" s="919">
        <f>IFERROR(Data[[#This Row],[LUV Fuel Cost]]/Data[[#This Row],[LUV Consumption]],0)</f>
        <v>0</v>
      </c>
      <c r="AP334" s="783"/>
      <c r="AQ334" s="783"/>
      <c r="AR334" s="253"/>
      <c r="AS334" s="253"/>
      <c r="AT334" s="253"/>
      <c r="AU334" s="253"/>
    </row>
    <row r="335" spans="1:47" ht="10.5" customHeight="1">
      <c r="A335" s="263">
        <v>40755</v>
      </c>
      <c r="B335" s="263" t="s">
        <v>537</v>
      </c>
      <c r="C335" s="277">
        <v>22.001640999999999</v>
      </c>
      <c r="D335" s="277">
        <v>6.0170950000000003</v>
      </c>
      <c r="E335" s="277">
        <v>9.0979939999999999</v>
      </c>
      <c r="F335" s="277">
        <v>5.0905469999999999</v>
      </c>
      <c r="G335" s="277">
        <v>0</v>
      </c>
      <c r="H335" s="284">
        <f t="shared" si="24"/>
        <v>1.7960049999999974</v>
      </c>
      <c r="I335" s="277">
        <v>19.048234000000001</v>
      </c>
      <c r="J335" s="277">
        <v>5.204726</v>
      </c>
      <c r="K335" s="277">
        <v>7.9374200000000004</v>
      </c>
      <c r="L335" s="277">
        <v>4.4131070000000001</v>
      </c>
      <c r="M335" s="277">
        <v>0</v>
      </c>
      <c r="N335" s="284">
        <f t="shared" si="25"/>
        <v>1.4929810000000003</v>
      </c>
      <c r="O335" s="277">
        <v>16.623674000000001</v>
      </c>
      <c r="P335" s="277">
        <v>2.108152</v>
      </c>
      <c r="Q335" s="277">
        <v>2.1390180000000001</v>
      </c>
      <c r="R335" s="277">
        <v>0.99991600000000003</v>
      </c>
      <c r="S335" s="920">
        <v>0</v>
      </c>
      <c r="T335" s="874">
        <f t="shared" si="26"/>
        <v>11.376588000000002</v>
      </c>
      <c r="U335" s="920">
        <v>5616.7743333333337</v>
      </c>
      <c r="V335" s="920">
        <v>928.84000000000015</v>
      </c>
      <c r="W335" s="920">
        <v>1295.329</v>
      </c>
      <c r="X335" s="920">
        <v>759.38366666666661</v>
      </c>
      <c r="Y335" s="920">
        <v>0</v>
      </c>
      <c r="Z335" s="874">
        <f t="shared" si="27"/>
        <v>2633.2216666666673</v>
      </c>
      <c r="AA335" s="920">
        <v>528.29999999999995</v>
      </c>
      <c r="AB335" s="920">
        <v>92.742000000000004</v>
      </c>
      <c r="AC335" s="920">
        <v>159.31200000000001</v>
      </c>
      <c r="AD335" s="920">
        <v>91.034000000000006</v>
      </c>
      <c r="AE335" s="920">
        <v>0</v>
      </c>
      <c r="AF335" s="920">
        <v>1642.5</v>
      </c>
      <c r="AG335" s="920">
        <v>283.596</v>
      </c>
      <c r="AH335" s="920">
        <v>489.34199999999998</v>
      </c>
      <c r="AI335" s="920">
        <v>286.09199999999998</v>
      </c>
      <c r="AJ335" s="920">
        <v>0</v>
      </c>
      <c r="AK335" s="919">
        <f>Data[[#This Row],[Industry Cost ($m)]]/Data[[#This Row],[Industry Consumption]]</f>
        <v>3.1090289608177173</v>
      </c>
      <c r="AL335" s="919">
        <f>Data[[#This Row],[AAL Fuel Cost]]/Data[[#This Row],[AAL Consumption]]</f>
        <v>3.0579025684156043</v>
      </c>
      <c r="AM335" s="919">
        <f>Data[[#This Row],[DAL Fuel Cost]]/Data[[#This Row],[DAL Consumption]]</f>
        <v>3.0715953600482071</v>
      </c>
      <c r="AN335" s="919">
        <f>Data[[#This Row],[UAL Fuel Cost]]/Data[[#This Row],[UALConsumption]]</f>
        <v>3.1426939385284616</v>
      </c>
      <c r="AO335" s="919">
        <f>IFERROR(Data[[#This Row],[LUV Fuel Cost]]/Data[[#This Row],[LUV Consumption]],0)</f>
        <v>0</v>
      </c>
      <c r="AP335" s="783"/>
      <c r="AQ335" s="783"/>
      <c r="AR335" s="253"/>
      <c r="AS335" s="253"/>
      <c r="AT335" s="253"/>
      <c r="AU335" s="253"/>
    </row>
    <row r="336" spans="1:47" ht="10.5" customHeight="1">
      <c r="A336" s="263">
        <v>40786</v>
      </c>
      <c r="B336" s="263" t="s">
        <v>537</v>
      </c>
      <c r="C336" s="277">
        <v>21.326174000000002</v>
      </c>
      <c r="D336" s="277">
        <v>5.7744309999999999</v>
      </c>
      <c r="E336" s="277">
        <v>8.7892329999999994</v>
      </c>
      <c r="F336" s="277">
        <v>5.0488100000000005</v>
      </c>
      <c r="G336" s="277">
        <v>0</v>
      </c>
      <c r="H336" s="284">
        <f t="shared" si="24"/>
        <v>1.7137000000000029</v>
      </c>
      <c r="I336" s="277">
        <v>18.320181000000002</v>
      </c>
      <c r="J336" s="277">
        <v>4.8508740000000001</v>
      </c>
      <c r="K336" s="277">
        <v>7.7197579999999997</v>
      </c>
      <c r="L336" s="277">
        <v>4.3076239999999997</v>
      </c>
      <c r="M336" s="277">
        <v>0</v>
      </c>
      <c r="N336" s="284">
        <f t="shared" si="25"/>
        <v>1.4419250000000012</v>
      </c>
      <c r="O336" s="277">
        <v>15.753437999999999</v>
      </c>
      <c r="P336" s="277">
        <v>1.9283110000000001</v>
      </c>
      <c r="Q336" s="277">
        <v>2.0195959999999999</v>
      </c>
      <c r="R336" s="277">
        <v>0.959619</v>
      </c>
      <c r="S336" s="920">
        <v>0</v>
      </c>
      <c r="T336" s="874">
        <f t="shared" si="26"/>
        <v>10.845911999999998</v>
      </c>
      <c r="U336" s="920">
        <v>5616.7743333333337</v>
      </c>
      <c r="V336" s="920">
        <v>928.84000000000015</v>
      </c>
      <c r="W336" s="920">
        <v>1295.329</v>
      </c>
      <c r="X336" s="920">
        <v>759.38366666666661</v>
      </c>
      <c r="Y336" s="920">
        <v>0</v>
      </c>
      <c r="Z336" s="874">
        <f t="shared" si="27"/>
        <v>2633.2216666666673</v>
      </c>
      <c r="AA336" s="920">
        <v>508.1</v>
      </c>
      <c r="AB336" s="920">
        <v>88.551000000000002</v>
      </c>
      <c r="AC336" s="920">
        <v>152.99199999999999</v>
      </c>
      <c r="AD336" s="920">
        <v>88.391000000000005</v>
      </c>
      <c r="AE336" s="920">
        <v>0</v>
      </c>
      <c r="AF336" s="920">
        <v>1574.4</v>
      </c>
      <c r="AG336" s="920">
        <v>267.45100000000002</v>
      </c>
      <c r="AH336" s="920">
        <v>465.47899999999998</v>
      </c>
      <c r="AI336" s="920">
        <v>277.35500000000002</v>
      </c>
      <c r="AJ336" s="920">
        <v>0</v>
      </c>
      <c r="AK336" s="919">
        <f>Data[[#This Row],[Industry Cost ($m)]]/Data[[#This Row],[Industry Consumption]]</f>
        <v>3.0986026372761266</v>
      </c>
      <c r="AL336" s="919">
        <f>Data[[#This Row],[AAL Fuel Cost]]/Data[[#This Row],[AAL Consumption]]</f>
        <v>3.0203046831769265</v>
      </c>
      <c r="AM336" s="919">
        <f>Data[[#This Row],[DAL Fuel Cost]]/Data[[#This Row],[DAL Consumption]]</f>
        <v>3.0425054904831628</v>
      </c>
      <c r="AN336" s="919">
        <f>Data[[#This Row],[UAL Fuel Cost]]/Data[[#This Row],[UALConsumption]]</f>
        <v>3.1378194612573678</v>
      </c>
      <c r="AO336" s="919">
        <f>IFERROR(Data[[#This Row],[LUV Fuel Cost]]/Data[[#This Row],[LUV Consumption]],0)</f>
        <v>0</v>
      </c>
      <c r="AP336" s="783"/>
      <c r="AQ336" s="783"/>
      <c r="AR336" s="253"/>
      <c r="AS336" s="253"/>
      <c r="AT336" s="253"/>
      <c r="AU336" s="253"/>
    </row>
    <row r="337" spans="1:47" ht="10.5" customHeight="1">
      <c r="A337" s="263">
        <v>40816</v>
      </c>
      <c r="B337" s="263" t="s">
        <v>537</v>
      </c>
      <c r="C337" s="277">
        <v>18.858971</v>
      </c>
      <c r="D337" s="277">
        <v>5.3085659999999999</v>
      </c>
      <c r="E337" s="277">
        <v>7.3352269999999997</v>
      </c>
      <c r="F337" s="277">
        <v>4.7409509999999999</v>
      </c>
      <c r="G337" s="277">
        <v>0</v>
      </c>
      <c r="H337" s="284">
        <f t="shared" si="24"/>
        <v>1.4742270000000026</v>
      </c>
      <c r="I337" s="277">
        <v>15.548764</v>
      </c>
      <c r="J337" s="277">
        <v>4.2580799999999996</v>
      </c>
      <c r="K337" s="277">
        <v>6.2368300000000003</v>
      </c>
      <c r="L337" s="277">
        <v>3.9355220000000002</v>
      </c>
      <c r="M337" s="277">
        <v>0</v>
      </c>
      <c r="N337" s="284">
        <f t="shared" si="25"/>
        <v>1.1183319999999988</v>
      </c>
      <c r="O337" s="277">
        <v>13.220884</v>
      </c>
      <c r="P337" s="277">
        <v>1.5730580000000001</v>
      </c>
      <c r="Q337" s="277">
        <v>1.5762670000000001</v>
      </c>
      <c r="R337" s="277">
        <v>0.85795500000000002</v>
      </c>
      <c r="S337" s="920">
        <v>0</v>
      </c>
      <c r="T337" s="874">
        <f t="shared" si="26"/>
        <v>9.2136040000000001</v>
      </c>
      <c r="U337" s="920">
        <v>5616.7743333333337</v>
      </c>
      <c r="V337" s="920">
        <v>928.84000000000015</v>
      </c>
      <c r="W337" s="920">
        <v>1295.329</v>
      </c>
      <c r="X337" s="920">
        <v>759.38366666666661</v>
      </c>
      <c r="Y337" s="920">
        <v>0</v>
      </c>
      <c r="Z337" s="874">
        <f t="shared" si="27"/>
        <v>2633.2216666666673</v>
      </c>
      <c r="AA337" s="920">
        <v>453.1</v>
      </c>
      <c r="AB337" s="920">
        <v>81.680000000000007</v>
      </c>
      <c r="AC337" s="920">
        <v>127.042</v>
      </c>
      <c r="AD337" s="920">
        <v>80.018000000000001</v>
      </c>
      <c r="AE337" s="920">
        <v>0</v>
      </c>
      <c r="AF337" s="920">
        <v>1394.3</v>
      </c>
      <c r="AG337" s="920">
        <v>246.38300000000001</v>
      </c>
      <c r="AH337" s="920">
        <v>385.12099999999998</v>
      </c>
      <c r="AI337" s="920">
        <v>250.303</v>
      </c>
      <c r="AJ337" s="920">
        <v>0</v>
      </c>
      <c r="AK337" s="919">
        <f>Data[[#This Row],[Industry Cost ($m)]]/Data[[#This Row],[Industry Consumption]]</f>
        <v>3.0772456411388212</v>
      </c>
      <c r="AL337" s="919">
        <f>Data[[#This Row],[AAL Fuel Cost]]/Data[[#This Row],[AAL Consumption]]</f>
        <v>3.0164422135161604</v>
      </c>
      <c r="AM337" s="919">
        <f>Data[[#This Row],[DAL Fuel Cost]]/Data[[#This Row],[DAL Consumption]]</f>
        <v>3.0314462933518049</v>
      </c>
      <c r="AN337" s="919">
        <f>Data[[#This Row],[UAL Fuel Cost]]/Data[[#This Row],[UALConsumption]]</f>
        <v>3.1280836811717365</v>
      </c>
      <c r="AO337" s="919">
        <f>IFERROR(Data[[#This Row],[LUV Fuel Cost]]/Data[[#This Row],[LUV Consumption]],0)</f>
        <v>0</v>
      </c>
      <c r="AP337" s="783"/>
      <c r="AQ337" s="783"/>
      <c r="AR337" s="253"/>
      <c r="AS337" s="253"/>
      <c r="AT337" s="253"/>
      <c r="AU337" s="253"/>
    </row>
    <row r="338" spans="1:47" ht="10.5" customHeight="1">
      <c r="A338" s="263">
        <v>40847</v>
      </c>
      <c r="B338" s="263" t="s">
        <v>537</v>
      </c>
      <c r="C338" s="277">
        <v>18.854600000000001</v>
      </c>
      <c r="D338" s="277">
        <v>5.4144069999999997</v>
      </c>
      <c r="E338" s="277">
        <v>7.1669790000000004</v>
      </c>
      <c r="F338" s="277">
        <v>4.799817</v>
      </c>
      <c r="G338" s="277">
        <v>0</v>
      </c>
      <c r="H338" s="284">
        <f t="shared" si="24"/>
        <v>1.4733970000000021</v>
      </c>
      <c r="I338" s="277">
        <v>15.173747000000001</v>
      </c>
      <c r="J338" s="277">
        <v>4.3546480000000001</v>
      </c>
      <c r="K338" s="277">
        <v>5.8072280000000003</v>
      </c>
      <c r="L338" s="277">
        <v>3.8589069999999999</v>
      </c>
      <c r="M338" s="277">
        <v>0</v>
      </c>
      <c r="N338" s="284">
        <f t="shared" si="25"/>
        <v>1.1529640000000008</v>
      </c>
      <c r="O338" s="277">
        <v>13.199913</v>
      </c>
      <c r="P338" s="277">
        <v>1.6362509999999999</v>
      </c>
      <c r="Q338" s="277">
        <v>1.4646809999999999</v>
      </c>
      <c r="R338" s="277">
        <v>0.83261399999999997</v>
      </c>
      <c r="S338" s="920">
        <v>0</v>
      </c>
      <c r="T338" s="874">
        <f t="shared" si="26"/>
        <v>9.2663670000000007</v>
      </c>
      <c r="U338" s="920">
        <v>4847.6676666666672</v>
      </c>
      <c r="V338" s="920">
        <v>836.19066666666674</v>
      </c>
      <c r="W338" s="920">
        <v>966.0723333333334</v>
      </c>
      <c r="X338" s="920">
        <v>655.14166666666665</v>
      </c>
      <c r="Y338" s="920">
        <v>0</v>
      </c>
      <c r="Z338" s="874">
        <f t="shared" si="27"/>
        <v>2390.2630000000004</v>
      </c>
      <c r="AA338" s="920">
        <v>443.7</v>
      </c>
      <c r="AB338" s="920">
        <v>83.426000000000002</v>
      </c>
      <c r="AC338" s="920">
        <v>113.923</v>
      </c>
      <c r="AD338" s="920">
        <v>83.965000000000003</v>
      </c>
      <c r="AE338" s="920">
        <v>0</v>
      </c>
      <c r="AF338" s="920">
        <v>1330.2</v>
      </c>
      <c r="AG338" s="920">
        <v>244.97800000000001</v>
      </c>
      <c r="AH338" s="920">
        <v>340.26</v>
      </c>
      <c r="AI338" s="920">
        <v>256.21699999999998</v>
      </c>
      <c r="AJ338" s="920">
        <v>0</v>
      </c>
      <c r="AK338" s="919">
        <f>Data[[#This Row],[Industry Cost ($m)]]/Data[[#This Row],[Industry Consumption]]</f>
        <v>2.9979716024340775</v>
      </c>
      <c r="AL338" s="919">
        <f>Data[[#This Row],[AAL Fuel Cost]]/Data[[#This Row],[AAL Consumption]]</f>
        <v>2.936470644643157</v>
      </c>
      <c r="AM338" s="919">
        <f>Data[[#This Row],[DAL Fuel Cost]]/Data[[#This Row],[DAL Consumption]]</f>
        <v>2.986754211177725</v>
      </c>
      <c r="AN338" s="919">
        <f>Data[[#This Row],[UAL Fuel Cost]]/Data[[#This Row],[UALConsumption]]</f>
        <v>3.0514738283808729</v>
      </c>
      <c r="AO338" s="919">
        <f>IFERROR(Data[[#This Row],[LUV Fuel Cost]]/Data[[#This Row],[LUV Consumption]],0)</f>
        <v>0</v>
      </c>
      <c r="AP338" s="783"/>
      <c r="AQ338" s="783"/>
      <c r="AR338" s="253"/>
      <c r="AS338" s="253"/>
      <c r="AT338" s="253"/>
      <c r="AU338" s="253"/>
    </row>
    <row r="339" spans="1:47" ht="10.5" customHeight="1">
      <c r="A339" s="263">
        <v>40877</v>
      </c>
      <c r="B339" s="263" t="s">
        <v>537</v>
      </c>
      <c r="C339" s="277">
        <v>16.631475999999999</v>
      </c>
      <c r="D339" s="277">
        <v>4.8683389999999997</v>
      </c>
      <c r="E339" s="277">
        <v>6.0562800000000001</v>
      </c>
      <c r="F339" s="277">
        <v>4.1675900000000006</v>
      </c>
      <c r="G339" s="277">
        <v>0</v>
      </c>
      <c r="H339" s="284">
        <f t="shared" si="24"/>
        <v>1.5392669999999988</v>
      </c>
      <c r="I339" s="277">
        <v>13.058064</v>
      </c>
      <c r="J339" s="277">
        <v>3.8338209999999999</v>
      </c>
      <c r="K339" s="277">
        <v>4.7358500000000001</v>
      </c>
      <c r="L339" s="277">
        <v>3.2904559999999998</v>
      </c>
      <c r="M339" s="277">
        <v>0</v>
      </c>
      <c r="N339" s="284">
        <f t="shared" si="25"/>
        <v>1.1979370000000014</v>
      </c>
      <c r="O339" s="277">
        <v>12.156133000000001</v>
      </c>
      <c r="P339" s="277">
        <v>1.571807</v>
      </c>
      <c r="Q339" s="277">
        <v>1.2312620000000001</v>
      </c>
      <c r="R339" s="277">
        <v>0.73746100000000003</v>
      </c>
      <c r="S339" s="920">
        <v>0</v>
      </c>
      <c r="T339" s="874">
        <f t="shared" si="26"/>
        <v>8.6156030000000001</v>
      </c>
      <c r="U339" s="920">
        <v>4847.6676666666672</v>
      </c>
      <c r="V339" s="920">
        <v>836.19066666666674</v>
      </c>
      <c r="W339" s="920">
        <v>966.0723333333334</v>
      </c>
      <c r="X339" s="920">
        <v>655.14166666666665</v>
      </c>
      <c r="Y339" s="920">
        <v>0</v>
      </c>
      <c r="Z339" s="874">
        <f t="shared" si="27"/>
        <v>2390.2630000000004</v>
      </c>
      <c r="AA339" s="920">
        <v>409.7</v>
      </c>
      <c r="AB339" s="920">
        <v>74.147999999999996</v>
      </c>
      <c r="AC339" s="920">
        <v>105.018</v>
      </c>
      <c r="AD339" s="920">
        <v>72.58</v>
      </c>
      <c r="AE339" s="920">
        <v>0</v>
      </c>
      <c r="AF339" s="920">
        <v>1233.0999999999999</v>
      </c>
      <c r="AG339" s="920">
        <v>222.45400000000001</v>
      </c>
      <c r="AH339" s="920">
        <v>297.80200000000002</v>
      </c>
      <c r="AI339" s="920">
        <v>223.70099999999999</v>
      </c>
      <c r="AJ339" s="920">
        <v>0</v>
      </c>
      <c r="AK339" s="919">
        <f>Data[[#This Row],[Industry Cost ($m)]]/Data[[#This Row],[Industry Consumption]]</f>
        <v>3.0097632413961435</v>
      </c>
      <c r="AL339" s="919">
        <f>Data[[#This Row],[AAL Fuel Cost]]/Data[[#This Row],[AAL Consumption]]</f>
        <v>3.0001348654043269</v>
      </c>
      <c r="AM339" s="919">
        <f>Data[[#This Row],[DAL Fuel Cost]]/Data[[#This Row],[DAL Consumption]]</f>
        <v>2.8357233997981299</v>
      </c>
      <c r="AN339" s="919">
        <f>Data[[#This Row],[UAL Fuel Cost]]/Data[[#This Row],[UALConsumption]]</f>
        <v>3.0821300633783411</v>
      </c>
      <c r="AO339" s="919">
        <f>IFERROR(Data[[#This Row],[LUV Fuel Cost]]/Data[[#This Row],[LUV Consumption]],0)</f>
        <v>0</v>
      </c>
      <c r="AP339" s="783"/>
      <c r="AQ339" s="783"/>
      <c r="AR339" s="253"/>
      <c r="AS339" s="253"/>
      <c r="AT339" s="253"/>
      <c r="AU339" s="253"/>
    </row>
    <row r="340" spans="1:47" ht="10.5" customHeight="1">
      <c r="A340" s="263">
        <v>40908</v>
      </c>
      <c r="B340" s="263" t="s">
        <v>537</v>
      </c>
      <c r="C340" s="277">
        <v>18.122706999999998</v>
      </c>
      <c r="D340" s="277">
        <v>5.3834099999999996</v>
      </c>
      <c r="E340" s="277">
        <v>6.5933580000000003</v>
      </c>
      <c r="F340" s="277">
        <v>4.4054530000000005</v>
      </c>
      <c r="G340" s="277">
        <v>0</v>
      </c>
      <c r="H340" s="284">
        <f t="shared" si="24"/>
        <v>1.7404859999999971</v>
      </c>
      <c r="I340" s="277">
        <v>14.603908000000001</v>
      </c>
      <c r="J340" s="277">
        <v>4.3053819999999998</v>
      </c>
      <c r="K340" s="277">
        <v>5.3749330000000004</v>
      </c>
      <c r="L340" s="277">
        <v>3.5928520000000002</v>
      </c>
      <c r="M340" s="277">
        <v>0</v>
      </c>
      <c r="N340" s="284">
        <f t="shared" si="25"/>
        <v>1.3307409999999997</v>
      </c>
      <c r="O340" s="277">
        <v>13.559049999999999</v>
      </c>
      <c r="P340" s="277">
        <v>1.791107</v>
      </c>
      <c r="Q340" s="277">
        <v>1.450399</v>
      </c>
      <c r="R340" s="277">
        <v>0.82677699999999998</v>
      </c>
      <c r="S340" s="920">
        <v>0</v>
      </c>
      <c r="T340" s="874">
        <f t="shared" si="26"/>
        <v>9.4907669999999982</v>
      </c>
      <c r="U340" s="920">
        <v>4847.6676666666672</v>
      </c>
      <c r="V340" s="920">
        <v>836.19066666666674</v>
      </c>
      <c r="W340" s="920">
        <v>966.0723333333334</v>
      </c>
      <c r="X340" s="920">
        <v>655.14166666666665</v>
      </c>
      <c r="Y340" s="920">
        <v>0</v>
      </c>
      <c r="Z340" s="874">
        <f t="shared" si="27"/>
        <v>2390.2630000000004</v>
      </c>
      <c r="AA340" s="920">
        <v>436.5</v>
      </c>
      <c r="AB340" s="920">
        <v>81.328000000000003</v>
      </c>
      <c r="AC340" s="920">
        <v>114.92</v>
      </c>
      <c r="AD340" s="920">
        <v>75.224999999999994</v>
      </c>
      <c r="AE340" s="920">
        <v>0</v>
      </c>
      <c r="AF340" s="920">
        <v>1318.8</v>
      </c>
      <c r="AG340" s="920">
        <v>239.62200000000001</v>
      </c>
      <c r="AH340" s="920">
        <v>335.56799999999998</v>
      </c>
      <c r="AI340" s="920">
        <v>234.61600000000001</v>
      </c>
      <c r="AJ340" s="920">
        <v>0</v>
      </c>
      <c r="AK340" s="919">
        <f>Data[[#This Row],[Industry Cost ($m)]]/Data[[#This Row],[Industry Consumption]]</f>
        <v>3.0213058419243985</v>
      </c>
      <c r="AL340" s="919">
        <f>Data[[#This Row],[AAL Fuel Cost]]/Data[[#This Row],[AAL Consumption]]</f>
        <v>2.9463653354318318</v>
      </c>
      <c r="AM340" s="919">
        <f>Data[[#This Row],[DAL Fuel Cost]]/Data[[#This Row],[DAL Consumption]]</f>
        <v>2.9200139227288546</v>
      </c>
      <c r="AN340" s="919">
        <f>Data[[#This Row],[UAL Fuel Cost]]/Data[[#This Row],[UALConsumption]]</f>
        <v>3.1188567630442012</v>
      </c>
      <c r="AO340" s="919">
        <f>IFERROR(Data[[#This Row],[LUV Fuel Cost]]/Data[[#This Row],[LUV Consumption]],0)</f>
        <v>0</v>
      </c>
      <c r="AP340" s="783"/>
      <c r="AQ340" s="783"/>
      <c r="AR340" s="253"/>
      <c r="AS340" s="253"/>
      <c r="AT340" s="253"/>
      <c r="AU340" s="253"/>
    </row>
    <row r="341" spans="1:47" ht="10.5" customHeight="1">
      <c r="A341" s="263">
        <v>40939</v>
      </c>
      <c r="B341" s="263" t="s">
        <v>537</v>
      </c>
      <c r="C341" s="277">
        <v>22.571224000000001</v>
      </c>
      <c r="D341" s="277">
        <v>5.4810249999999998</v>
      </c>
      <c r="E341" s="277">
        <v>6.6685169999999996</v>
      </c>
      <c r="F341" s="277">
        <v>8.69712</v>
      </c>
      <c r="G341" s="277">
        <v>0</v>
      </c>
      <c r="H341" s="284">
        <f t="shared" si="24"/>
        <v>1.7245619999999988</v>
      </c>
      <c r="I341" s="277">
        <v>17.463706999999999</v>
      </c>
      <c r="J341" s="277">
        <v>4.3170270000000004</v>
      </c>
      <c r="K341" s="277">
        <v>5.1891230000000004</v>
      </c>
      <c r="L341" s="277">
        <v>6.6215440000000001</v>
      </c>
      <c r="M341" s="277">
        <v>0</v>
      </c>
      <c r="N341" s="284">
        <f t="shared" si="25"/>
        <v>1.3360129999999977</v>
      </c>
      <c r="O341" s="277">
        <v>13.206801</v>
      </c>
      <c r="P341" s="277">
        <v>1.772562</v>
      </c>
      <c r="Q341" s="277">
        <v>1.408755</v>
      </c>
      <c r="R341" s="277">
        <v>1.901259</v>
      </c>
      <c r="S341" s="920">
        <v>0</v>
      </c>
      <c r="T341" s="874">
        <f t="shared" si="26"/>
        <v>8.1242250000000009</v>
      </c>
      <c r="U341" s="920">
        <v>4715.5650000000005</v>
      </c>
      <c r="V341" s="920">
        <v>847.44066666666674</v>
      </c>
      <c r="W341" s="920">
        <v>965.9</v>
      </c>
      <c r="X341" s="920">
        <v>1217.8113333333333</v>
      </c>
      <c r="Y341" s="920">
        <v>0</v>
      </c>
      <c r="Z341" s="874">
        <f t="shared" si="27"/>
        <v>1684.4130000000005</v>
      </c>
      <c r="AA341" s="920">
        <v>444.2</v>
      </c>
      <c r="AB341" s="920">
        <v>82.358999999999995</v>
      </c>
      <c r="AC341" s="920">
        <v>115.884</v>
      </c>
      <c r="AD341" s="920">
        <v>141.08500000000001</v>
      </c>
      <c r="AE341" s="920">
        <v>0</v>
      </c>
      <c r="AF341" s="920">
        <v>1371.9</v>
      </c>
      <c r="AG341" s="920">
        <v>248.73500000000001</v>
      </c>
      <c r="AH341" s="920">
        <v>368.35</v>
      </c>
      <c r="AI341" s="920">
        <v>434.43200000000002</v>
      </c>
      <c r="AJ341" s="920">
        <v>0</v>
      </c>
      <c r="AK341" s="919">
        <f>Data[[#This Row],[Industry Cost ($m)]]/Data[[#This Row],[Industry Consumption]]</f>
        <v>3.0884736605132828</v>
      </c>
      <c r="AL341" s="919">
        <f>Data[[#This Row],[AAL Fuel Cost]]/Data[[#This Row],[AAL Consumption]]</f>
        <v>3.0201313760487625</v>
      </c>
      <c r="AM341" s="919">
        <f>Data[[#This Row],[DAL Fuel Cost]]/Data[[#This Row],[DAL Consumption]]</f>
        <v>3.1786096441268858</v>
      </c>
      <c r="AN341" s="919">
        <f>Data[[#This Row],[UAL Fuel Cost]]/Data[[#This Row],[UALConsumption]]</f>
        <v>3.0792217457561044</v>
      </c>
      <c r="AO341" s="919">
        <f>IFERROR(Data[[#This Row],[LUV Fuel Cost]]/Data[[#This Row],[LUV Consumption]],0)</f>
        <v>0</v>
      </c>
      <c r="AP341" s="783"/>
      <c r="AQ341" s="783"/>
      <c r="AR341" s="253"/>
      <c r="AS341" s="253"/>
      <c r="AT341" s="253"/>
      <c r="AU341" s="253"/>
    </row>
    <row r="342" spans="1:47" ht="10.5" customHeight="1">
      <c r="A342" s="263">
        <v>40968</v>
      </c>
      <c r="B342" s="263" t="s">
        <v>537</v>
      </c>
      <c r="C342" s="277">
        <v>21.252616</v>
      </c>
      <c r="D342" s="277">
        <v>5.1310799999999999</v>
      </c>
      <c r="E342" s="277">
        <v>6.1871090000000004</v>
      </c>
      <c r="F342" s="277">
        <v>8.2275930000000006</v>
      </c>
      <c r="G342" s="277">
        <v>0</v>
      </c>
      <c r="H342" s="284">
        <f t="shared" si="24"/>
        <v>1.7068339999999971</v>
      </c>
      <c r="I342" s="277">
        <v>15.279888</v>
      </c>
      <c r="J342" s="277">
        <v>3.7073290000000001</v>
      </c>
      <c r="K342" s="277">
        <v>4.4916489999999998</v>
      </c>
      <c r="L342" s="277">
        <v>5.7450900000000003</v>
      </c>
      <c r="M342" s="277">
        <v>0</v>
      </c>
      <c r="N342" s="284">
        <f t="shared" si="25"/>
        <v>1.3358199999999982</v>
      </c>
      <c r="O342" s="277">
        <v>11.732944</v>
      </c>
      <c r="P342" s="277">
        <v>1.547404</v>
      </c>
      <c r="Q342" s="277">
        <v>1.2745070000000001</v>
      </c>
      <c r="R342" s="277">
        <v>1.6763030000000001</v>
      </c>
      <c r="S342" s="920">
        <v>0</v>
      </c>
      <c r="T342" s="874">
        <f t="shared" si="26"/>
        <v>7.2347299999999999</v>
      </c>
      <c r="U342" s="920">
        <v>4715.5650000000005</v>
      </c>
      <c r="V342" s="920">
        <v>847.44066666666674</v>
      </c>
      <c r="W342" s="920">
        <v>965.9</v>
      </c>
      <c r="X342" s="920">
        <v>1217.8113333333333</v>
      </c>
      <c r="Y342" s="920">
        <v>0</v>
      </c>
      <c r="Z342" s="874">
        <f t="shared" si="27"/>
        <v>1684.4130000000005</v>
      </c>
      <c r="AA342" s="920">
        <v>419.6</v>
      </c>
      <c r="AB342" s="920">
        <v>76.599999999999994</v>
      </c>
      <c r="AC342" s="920">
        <v>108.291</v>
      </c>
      <c r="AD342" s="920">
        <v>131.512</v>
      </c>
      <c r="AE342" s="920">
        <v>0</v>
      </c>
      <c r="AF342" s="920">
        <v>1323</v>
      </c>
      <c r="AG342" s="920">
        <v>232.506</v>
      </c>
      <c r="AH342" s="920">
        <v>351.66899999999998</v>
      </c>
      <c r="AI342" s="920">
        <v>414.87099999999998</v>
      </c>
      <c r="AJ342" s="920">
        <v>0</v>
      </c>
      <c r="AK342" s="919">
        <f>Data[[#This Row],[Industry Cost ($m)]]/Data[[#This Row],[Industry Consumption]]</f>
        <v>3.1530028598665396</v>
      </c>
      <c r="AL342" s="919">
        <f>Data[[#This Row],[AAL Fuel Cost]]/Data[[#This Row],[AAL Consumption]]</f>
        <v>3.0353263707571805</v>
      </c>
      <c r="AM342" s="919">
        <f>Data[[#This Row],[DAL Fuel Cost]]/Data[[#This Row],[DAL Consumption]]</f>
        <v>3.2474443859600521</v>
      </c>
      <c r="AN342" s="919">
        <f>Data[[#This Row],[UAL Fuel Cost]]/Data[[#This Row],[UALConsumption]]</f>
        <v>3.1546246730336396</v>
      </c>
      <c r="AO342" s="919">
        <f>IFERROR(Data[[#This Row],[LUV Fuel Cost]]/Data[[#This Row],[LUV Consumption]],0)</f>
        <v>0</v>
      </c>
      <c r="AP342" s="783"/>
      <c r="AQ342" s="783"/>
      <c r="AR342" s="253"/>
      <c r="AS342" s="253"/>
      <c r="AT342" s="253"/>
      <c r="AU342" s="253"/>
    </row>
    <row r="343" spans="1:47" ht="10.5" customHeight="1">
      <c r="A343" s="263">
        <v>40999</v>
      </c>
      <c r="B343" s="263" t="s">
        <v>537</v>
      </c>
      <c r="C343" s="277">
        <v>23.652363000000001</v>
      </c>
      <c r="D343" s="277">
        <v>5.4550150000000004</v>
      </c>
      <c r="E343" s="277">
        <v>7.1471689999999999</v>
      </c>
      <c r="F343" s="277">
        <v>9.1287380000000002</v>
      </c>
      <c r="G343" s="277">
        <v>0</v>
      </c>
      <c r="H343" s="284">
        <f t="shared" si="24"/>
        <v>1.9214410000000015</v>
      </c>
      <c r="I343" s="277">
        <v>18.921938999999998</v>
      </c>
      <c r="J343" s="277">
        <v>4.3425450000000003</v>
      </c>
      <c r="K343" s="277">
        <v>5.8067419999999998</v>
      </c>
      <c r="L343" s="277">
        <v>7.2128860000000001</v>
      </c>
      <c r="M343" s="277">
        <v>0</v>
      </c>
      <c r="N343" s="284">
        <f t="shared" si="25"/>
        <v>1.5597659999999962</v>
      </c>
      <c r="O343" s="277">
        <v>14.387677</v>
      </c>
      <c r="P343" s="277">
        <v>1.805382</v>
      </c>
      <c r="Q343" s="277">
        <v>1.681341</v>
      </c>
      <c r="R343" s="277">
        <v>2.1193209999999998</v>
      </c>
      <c r="S343" s="920">
        <v>0</v>
      </c>
      <c r="T343" s="874">
        <f t="shared" si="26"/>
        <v>8.7816329999999994</v>
      </c>
      <c r="U343" s="920">
        <v>4715.5650000000005</v>
      </c>
      <c r="V343" s="920">
        <v>847.44066666666674</v>
      </c>
      <c r="W343" s="920">
        <v>965.9</v>
      </c>
      <c r="X343" s="920">
        <v>1217.8113333333333</v>
      </c>
      <c r="Y343" s="920">
        <v>0</v>
      </c>
      <c r="Z343" s="874">
        <f t="shared" si="27"/>
        <v>1684.4130000000005</v>
      </c>
      <c r="AA343" s="920">
        <v>473.6</v>
      </c>
      <c r="AB343" s="920">
        <v>82.379000000000005</v>
      </c>
      <c r="AC343" s="920">
        <v>125.447</v>
      </c>
      <c r="AD343" s="920">
        <v>147.11000000000001</v>
      </c>
      <c r="AE343" s="920">
        <v>0</v>
      </c>
      <c r="AF343" s="920">
        <v>1563</v>
      </c>
      <c r="AG343" s="920">
        <v>266.53699999999998</v>
      </c>
      <c r="AH343" s="920">
        <v>418.024</v>
      </c>
      <c r="AI343" s="920">
        <v>490.28100000000001</v>
      </c>
      <c r="AJ343" s="920">
        <v>0</v>
      </c>
      <c r="AK343" s="919">
        <f>Data[[#This Row],[Industry Cost ($m)]]/Data[[#This Row],[Industry Consumption]]</f>
        <v>3.3002533783783781</v>
      </c>
      <c r="AL343" s="919">
        <f>Data[[#This Row],[AAL Fuel Cost]]/Data[[#This Row],[AAL Consumption]]</f>
        <v>3.2354969106204248</v>
      </c>
      <c r="AM343" s="919">
        <f>Data[[#This Row],[DAL Fuel Cost]]/Data[[#This Row],[DAL Consumption]]</f>
        <v>3.3322757818042681</v>
      </c>
      <c r="AN343" s="919">
        <f>Data[[#This Row],[UAL Fuel Cost]]/Data[[#This Row],[UALConsumption]]</f>
        <v>3.3327510026510772</v>
      </c>
      <c r="AO343" s="919">
        <f>IFERROR(Data[[#This Row],[LUV Fuel Cost]]/Data[[#This Row],[LUV Consumption]],0)</f>
        <v>0</v>
      </c>
      <c r="AP343" s="783"/>
      <c r="AQ343" s="783"/>
      <c r="AR343" s="253"/>
      <c r="AS343" s="253"/>
      <c r="AT343" s="253"/>
      <c r="AU343" s="253"/>
    </row>
    <row r="344" spans="1:47" ht="10.5" customHeight="1">
      <c r="A344" s="263">
        <v>41029</v>
      </c>
      <c r="B344" s="263" t="s">
        <v>537</v>
      </c>
      <c r="C344" s="277">
        <v>22.904824000000001</v>
      </c>
      <c r="D344" s="277">
        <v>5.22715</v>
      </c>
      <c r="E344" s="277">
        <v>7.0876640000000002</v>
      </c>
      <c r="F344" s="277">
        <v>8.7972180000000009</v>
      </c>
      <c r="G344" s="277">
        <v>0</v>
      </c>
      <c r="H344" s="284">
        <f t="shared" si="24"/>
        <v>1.7927920000000022</v>
      </c>
      <c r="I344" s="277">
        <v>18.390018000000001</v>
      </c>
      <c r="J344" s="277">
        <v>4.2540800000000001</v>
      </c>
      <c r="K344" s="277">
        <v>5.609877</v>
      </c>
      <c r="L344" s="277">
        <v>7.0992810000000004</v>
      </c>
      <c r="M344" s="277">
        <v>0</v>
      </c>
      <c r="N344" s="284">
        <f t="shared" si="25"/>
        <v>1.4267800000000008</v>
      </c>
      <c r="O344" s="277">
        <v>13.995377</v>
      </c>
      <c r="P344" s="277">
        <v>1.7206129999999999</v>
      </c>
      <c r="Q344" s="277">
        <v>1.5189079999999999</v>
      </c>
      <c r="R344" s="277">
        <v>2.034449</v>
      </c>
      <c r="S344" s="920">
        <v>0</v>
      </c>
      <c r="T344" s="874">
        <f t="shared" si="26"/>
        <v>8.7214069999999992</v>
      </c>
      <c r="U344" s="920">
        <v>5229.6559999999999</v>
      </c>
      <c r="V344" s="920">
        <v>883.7786666666666</v>
      </c>
      <c r="W344" s="920">
        <v>1140.0096666666666</v>
      </c>
      <c r="X344" s="920">
        <v>1399.3413333333331</v>
      </c>
      <c r="Y344" s="920">
        <v>13.424333333333335</v>
      </c>
      <c r="Z344" s="874">
        <f t="shared" si="27"/>
        <v>1793.1020000000003</v>
      </c>
      <c r="AA344" s="920">
        <v>456.5</v>
      </c>
      <c r="AB344" s="920">
        <v>79.197999999999993</v>
      </c>
      <c r="AC344" s="920">
        <v>124.11</v>
      </c>
      <c r="AD344" s="920">
        <v>142.101</v>
      </c>
      <c r="AE344" s="920">
        <v>0.75</v>
      </c>
      <c r="AF344" s="920">
        <v>1522.3</v>
      </c>
      <c r="AG344" s="920">
        <v>257.05399999999997</v>
      </c>
      <c r="AH344" s="920">
        <v>425.09199999999998</v>
      </c>
      <c r="AI344" s="920">
        <v>476.41800000000001</v>
      </c>
      <c r="AJ344" s="920">
        <v>2.5950000000000002</v>
      </c>
      <c r="AK344" s="919">
        <f>Data[[#This Row],[Industry Cost ($m)]]/Data[[#This Row],[Industry Consumption]]</f>
        <v>3.3347207009857613</v>
      </c>
      <c r="AL344" s="919">
        <f>Data[[#This Row],[AAL Fuel Cost]]/Data[[#This Row],[AAL Consumption]]</f>
        <v>3.2457132755877671</v>
      </c>
      <c r="AM344" s="919">
        <f>Data[[#This Row],[DAL Fuel Cost]]/Data[[#This Row],[DAL Consumption]]</f>
        <v>3.4251228748690679</v>
      </c>
      <c r="AN344" s="919">
        <f>Data[[#This Row],[UAL Fuel Cost]]/Data[[#This Row],[UALConsumption]]</f>
        <v>3.3526716912618491</v>
      </c>
      <c r="AO344" s="919">
        <f>IFERROR(Data[[#This Row],[LUV Fuel Cost]]/Data[[#This Row],[LUV Consumption]],0)</f>
        <v>3.4600000000000004</v>
      </c>
      <c r="AP344" s="783"/>
      <c r="AQ344" s="783"/>
      <c r="AR344" s="253"/>
      <c r="AS344" s="253"/>
      <c r="AT344" s="253"/>
      <c r="AU344" s="253"/>
    </row>
    <row r="345" spans="1:47" ht="10.5" customHeight="1">
      <c r="A345" s="263">
        <v>41060</v>
      </c>
      <c r="B345" s="263" t="s">
        <v>537</v>
      </c>
      <c r="C345" s="277">
        <v>24.119029000000001</v>
      </c>
      <c r="D345" s="277">
        <v>5.4620929999999994</v>
      </c>
      <c r="E345" s="277">
        <v>7.5974620000000002</v>
      </c>
      <c r="F345" s="277">
        <v>9.3946439999999996</v>
      </c>
      <c r="G345" s="277">
        <v>0</v>
      </c>
      <c r="H345" s="284">
        <f t="shared" si="24"/>
        <v>1.664830000000002</v>
      </c>
      <c r="I345" s="277">
        <v>19.724898</v>
      </c>
      <c r="J345" s="277">
        <v>4.4567779999999999</v>
      </c>
      <c r="K345" s="277">
        <v>6.2776059999999996</v>
      </c>
      <c r="L345" s="277">
        <v>7.6823880000000004</v>
      </c>
      <c r="M345" s="277">
        <v>0</v>
      </c>
      <c r="N345" s="284">
        <f t="shared" si="25"/>
        <v>1.3081260000000015</v>
      </c>
      <c r="O345" s="277">
        <v>14.291285</v>
      </c>
      <c r="P345" s="277">
        <v>1.752991</v>
      </c>
      <c r="Q345" s="277">
        <v>1.637348</v>
      </c>
      <c r="R345" s="277">
        <v>2.0878749999999999</v>
      </c>
      <c r="S345" s="920">
        <v>0</v>
      </c>
      <c r="T345" s="874">
        <f t="shared" si="26"/>
        <v>8.8130710000000008</v>
      </c>
      <c r="U345" s="920">
        <v>5229.6559999999999</v>
      </c>
      <c r="V345" s="920">
        <v>883.7786666666666</v>
      </c>
      <c r="W345" s="920">
        <v>1140.0096666666666</v>
      </c>
      <c r="X345" s="920">
        <v>1399.3413333333331</v>
      </c>
      <c r="Y345" s="920">
        <v>13.424333333333335</v>
      </c>
      <c r="Z345" s="874">
        <f t="shared" si="27"/>
        <v>1793.1020000000003</v>
      </c>
      <c r="AA345" s="920">
        <v>487.3</v>
      </c>
      <c r="AB345" s="920">
        <v>82.975999999999999</v>
      </c>
      <c r="AC345" s="920">
        <v>133.39099999999999</v>
      </c>
      <c r="AD345" s="920">
        <v>152.55699999999999</v>
      </c>
      <c r="AE345" s="920">
        <v>0.69499999999999995</v>
      </c>
      <c r="AF345" s="920">
        <v>1577</v>
      </c>
      <c r="AG345" s="920">
        <v>255.29400000000001</v>
      </c>
      <c r="AH345" s="920">
        <v>453.43599999999998</v>
      </c>
      <c r="AI345" s="920">
        <v>493.096</v>
      </c>
      <c r="AJ345" s="920">
        <v>2.4649999999999999</v>
      </c>
      <c r="AK345" s="919">
        <f>Data[[#This Row],[Industry Cost ($m)]]/Data[[#This Row],[Industry Consumption]]</f>
        <v>3.2361994664477733</v>
      </c>
      <c r="AL345" s="919">
        <f>Data[[#This Row],[AAL Fuel Cost]]/Data[[#This Row],[AAL Consumption]]</f>
        <v>3.076720979560355</v>
      </c>
      <c r="AM345" s="919">
        <f>Data[[#This Row],[DAL Fuel Cost]]/Data[[#This Row],[DAL Consumption]]</f>
        <v>3.3992998028352739</v>
      </c>
      <c r="AN345" s="919">
        <f>Data[[#This Row],[UAL Fuel Cost]]/Data[[#This Row],[UALConsumption]]</f>
        <v>3.232208289360698</v>
      </c>
      <c r="AO345" s="919">
        <f>IFERROR(Data[[#This Row],[LUV Fuel Cost]]/Data[[#This Row],[LUV Consumption]],0)</f>
        <v>3.5467625899280577</v>
      </c>
      <c r="AP345" s="783"/>
      <c r="AQ345" s="783"/>
      <c r="AR345" s="253"/>
      <c r="AS345" s="253"/>
      <c r="AT345" s="253"/>
      <c r="AU345" s="253"/>
    </row>
    <row r="346" spans="1:47" ht="10.5" customHeight="1">
      <c r="A346" s="263">
        <v>41090</v>
      </c>
      <c r="B346" s="263" t="s">
        <v>537</v>
      </c>
      <c r="C346" s="277">
        <v>24.696576</v>
      </c>
      <c r="D346" s="277">
        <v>5.4997359999999995</v>
      </c>
      <c r="E346" s="277">
        <v>8.1976449999999996</v>
      </c>
      <c r="F346" s="277">
        <v>9.2631049999999995</v>
      </c>
      <c r="G346" s="277">
        <v>0</v>
      </c>
      <c r="H346" s="284">
        <f t="shared" si="24"/>
        <v>1.7360900000000008</v>
      </c>
      <c r="I346" s="277">
        <v>21.433364000000001</v>
      </c>
      <c r="J346" s="277">
        <v>4.7191479999999997</v>
      </c>
      <c r="K346" s="277">
        <v>7.2718870000000004</v>
      </c>
      <c r="L346" s="277">
        <v>8.0261399999999998</v>
      </c>
      <c r="M346" s="277">
        <v>0</v>
      </c>
      <c r="N346" s="284">
        <f t="shared" si="25"/>
        <v>1.4161889999999993</v>
      </c>
      <c r="O346" s="277">
        <v>15.582335</v>
      </c>
      <c r="P346" s="277">
        <v>1.8773</v>
      </c>
      <c r="Q346" s="277">
        <v>1.9393339999999999</v>
      </c>
      <c r="R346" s="277">
        <v>2.25779</v>
      </c>
      <c r="S346" s="920">
        <v>0</v>
      </c>
      <c r="T346" s="874">
        <f t="shared" si="26"/>
        <v>9.507911</v>
      </c>
      <c r="U346" s="920">
        <v>5229.6559999999999</v>
      </c>
      <c r="V346" s="920">
        <v>883.7786666666666</v>
      </c>
      <c r="W346" s="920">
        <v>1140.0096666666666</v>
      </c>
      <c r="X346" s="920">
        <v>1399.3413333333331</v>
      </c>
      <c r="Y346" s="920">
        <v>13.424333333333335</v>
      </c>
      <c r="Z346" s="874">
        <f t="shared" si="27"/>
        <v>1793.1020000000003</v>
      </c>
      <c r="AA346" s="920">
        <v>498.2</v>
      </c>
      <c r="AB346" s="920">
        <v>84.325999999999993</v>
      </c>
      <c r="AC346" s="920">
        <v>143.16399999999999</v>
      </c>
      <c r="AD346" s="920">
        <v>150.74600000000001</v>
      </c>
      <c r="AE346" s="920">
        <v>0.93300000000000005</v>
      </c>
      <c r="AF346" s="920">
        <v>1525</v>
      </c>
      <c r="AG346" s="920">
        <v>240.637</v>
      </c>
      <c r="AH346" s="920">
        <v>485.05900000000003</v>
      </c>
      <c r="AI346" s="920">
        <v>450.84699999999998</v>
      </c>
      <c r="AJ346" s="920">
        <v>2.8730000000000002</v>
      </c>
      <c r="AK346" s="919">
        <f>Data[[#This Row],[Industry Cost ($m)]]/Data[[#This Row],[Industry Consumption]]</f>
        <v>3.0610196708149338</v>
      </c>
      <c r="AL346" s="919">
        <f>Data[[#This Row],[AAL Fuel Cost]]/Data[[#This Row],[AAL Consumption]]</f>
        <v>2.8536513056471318</v>
      </c>
      <c r="AM346" s="919">
        <f>Data[[#This Row],[DAL Fuel Cost]]/Data[[#This Row],[DAL Consumption]]</f>
        <v>3.3881352854069462</v>
      </c>
      <c r="AN346" s="919">
        <f>Data[[#This Row],[UAL Fuel Cost]]/Data[[#This Row],[UALConsumption]]</f>
        <v>2.9907725578124791</v>
      </c>
      <c r="AO346" s="919">
        <f>IFERROR(Data[[#This Row],[LUV Fuel Cost]]/Data[[#This Row],[LUV Consumption]],0)</f>
        <v>3.079314040728832</v>
      </c>
      <c r="AP346" s="783"/>
      <c r="AQ346" s="783"/>
      <c r="AR346" s="253"/>
      <c r="AS346" s="253"/>
      <c r="AT346" s="253"/>
      <c r="AU346" s="253"/>
    </row>
    <row r="347" spans="1:47" ht="10.5" customHeight="1">
      <c r="A347" s="263">
        <v>41121</v>
      </c>
      <c r="B347" s="263" t="s">
        <v>537</v>
      </c>
      <c r="C347" s="277">
        <v>26.186935999999999</v>
      </c>
      <c r="D347" s="277">
        <v>5.9248410000000007</v>
      </c>
      <c r="E347" s="277">
        <v>8.6048379999999991</v>
      </c>
      <c r="F347" s="277">
        <v>9.7366159999999997</v>
      </c>
      <c r="G347" s="277">
        <v>0</v>
      </c>
      <c r="H347" s="284">
        <f t="shared" si="24"/>
        <v>1.9206409999999998</v>
      </c>
      <c r="I347" s="277">
        <v>22.665103999999999</v>
      </c>
      <c r="J347" s="277">
        <v>5.134163</v>
      </c>
      <c r="K347" s="277">
        <v>7.5740819999999998</v>
      </c>
      <c r="L347" s="277">
        <v>8.3699659999999998</v>
      </c>
      <c r="M347" s="277">
        <v>0</v>
      </c>
      <c r="N347" s="284">
        <f t="shared" si="25"/>
        <v>1.5868929999999999</v>
      </c>
      <c r="O347" s="277">
        <v>16.96959</v>
      </c>
      <c r="P347" s="277">
        <v>2.1183540000000001</v>
      </c>
      <c r="Q347" s="277">
        <v>2.0648430000000002</v>
      </c>
      <c r="R347" s="277">
        <v>2.4396529999999998</v>
      </c>
      <c r="S347" s="920">
        <v>0</v>
      </c>
      <c r="T347" s="874">
        <f t="shared" si="26"/>
        <v>10.34674</v>
      </c>
      <c r="U347" s="920">
        <v>5461.8090000000002</v>
      </c>
      <c r="V347" s="920">
        <v>951.60199999999998</v>
      </c>
      <c r="W347" s="920">
        <v>1287.9666666666667</v>
      </c>
      <c r="X347" s="920">
        <v>1448.3516666666667</v>
      </c>
      <c r="Y347" s="920">
        <v>14.091333333333333</v>
      </c>
      <c r="Z347" s="874">
        <f t="shared" si="27"/>
        <v>1759.7973333333334</v>
      </c>
      <c r="AA347" s="920">
        <v>523.5</v>
      </c>
      <c r="AB347" s="920">
        <v>90.465000000000003</v>
      </c>
      <c r="AC347" s="920">
        <v>151.328</v>
      </c>
      <c r="AD347" s="920">
        <v>158.303</v>
      </c>
      <c r="AE347" s="920">
        <v>0.93300000000000005</v>
      </c>
      <c r="AF347" s="920">
        <v>1531</v>
      </c>
      <c r="AG347" s="920">
        <v>251.69399999999999</v>
      </c>
      <c r="AH347" s="920">
        <v>482.447</v>
      </c>
      <c r="AI347" s="920">
        <v>447.88600000000002</v>
      </c>
      <c r="AJ347" s="920">
        <v>2.9380000000000002</v>
      </c>
      <c r="AK347" s="919">
        <f>Data[[#This Row],[Industry Cost ($m)]]/Data[[#This Row],[Industry Consumption]]</f>
        <v>2.9245463228271249</v>
      </c>
      <c r="AL347" s="919">
        <f>Data[[#This Row],[AAL Fuel Cost]]/Data[[#This Row],[AAL Consumption]]</f>
        <v>2.7822251699552312</v>
      </c>
      <c r="AM347" s="919">
        <f>Data[[#This Row],[DAL Fuel Cost]]/Data[[#This Row],[DAL Consumption]]</f>
        <v>3.1880881264537955</v>
      </c>
      <c r="AN347" s="919">
        <f>Data[[#This Row],[UAL Fuel Cost]]/Data[[#This Row],[UALConsumption]]</f>
        <v>2.8292957177059188</v>
      </c>
      <c r="AO347" s="919">
        <f>IFERROR(Data[[#This Row],[LUV Fuel Cost]]/Data[[#This Row],[LUV Consumption]],0)</f>
        <v>3.1489817792068595</v>
      </c>
      <c r="AP347" s="783"/>
      <c r="AQ347" s="783"/>
      <c r="AR347" s="253"/>
      <c r="AS347" s="253"/>
      <c r="AT347" s="253"/>
      <c r="AU347" s="253"/>
    </row>
    <row r="348" spans="1:47" ht="10.5" customHeight="1">
      <c r="A348" s="263">
        <v>41152</v>
      </c>
      <c r="B348" s="263" t="s">
        <v>537</v>
      </c>
      <c r="C348" s="277">
        <v>25.584492999999998</v>
      </c>
      <c r="D348" s="277">
        <v>5.7132009999999998</v>
      </c>
      <c r="E348" s="277">
        <v>8.5155349999999999</v>
      </c>
      <c r="F348" s="277">
        <v>9.4719189999999998</v>
      </c>
      <c r="G348" s="277">
        <v>0</v>
      </c>
      <c r="H348" s="284">
        <f t="shared" si="24"/>
        <v>1.8838380000000008</v>
      </c>
      <c r="I348" s="277">
        <v>22.176124999999999</v>
      </c>
      <c r="J348" s="277">
        <v>4.8884100000000004</v>
      </c>
      <c r="K348" s="277">
        <v>7.5721930000000004</v>
      </c>
      <c r="L348" s="277">
        <v>8.1527840000000005</v>
      </c>
      <c r="M348" s="277">
        <v>0</v>
      </c>
      <c r="N348" s="284">
        <f t="shared" si="25"/>
        <v>1.562737999999996</v>
      </c>
      <c r="O348" s="277">
        <v>16.616643</v>
      </c>
      <c r="P348" s="277">
        <v>1.9628479999999999</v>
      </c>
      <c r="Q348" s="277">
        <v>2.014284</v>
      </c>
      <c r="R348" s="277">
        <v>2.276932</v>
      </c>
      <c r="S348" s="920">
        <v>0</v>
      </c>
      <c r="T348" s="874">
        <f t="shared" si="26"/>
        <v>10.362579</v>
      </c>
      <c r="U348" s="920">
        <v>5461.8090000000002</v>
      </c>
      <c r="V348" s="920">
        <v>951.60199999999998</v>
      </c>
      <c r="W348" s="920">
        <v>1287.9666666666667</v>
      </c>
      <c r="X348" s="920">
        <v>1448.3516666666667</v>
      </c>
      <c r="Y348" s="920">
        <v>14.091333333333333</v>
      </c>
      <c r="Z348" s="874">
        <f t="shared" si="27"/>
        <v>1759.7973333333334</v>
      </c>
      <c r="AA348" s="920">
        <v>516.20000000000005</v>
      </c>
      <c r="AB348" s="920">
        <v>87.927000000000007</v>
      </c>
      <c r="AC348" s="920">
        <v>149.17099999999999</v>
      </c>
      <c r="AD348" s="920">
        <v>155.114</v>
      </c>
      <c r="AE348" s="920">
        <v>0.98899999999999999</v>
      </c>
      <c r="AF348" s="920">
        <v>1574.1</v>
      </c>
      <c r="AG348" s="920">
        <v>259.46899999999999</v>
      </c>
      <c r="AH348" s="920">
        <v>471.28699999999998</v>
      </c>
      <c r="AI348" s="920">
        <v>472.22500000000002</v>
      </c>
      <c r="AJ348" s="920">
        <v>3.3519999999999999</v>
      </c>
      <c r="AK348" s="919">
        <f>Data[[#This Row],[Industry Cost ($m)]]/Data[[#This Row],[Industry Consumption]]</f>
        <v>3.0493994575745829</v>
      </c>
      <c r="AL348" s="919">
        <f>Data[[#This Row],[AAL Fuel Cost]]/Data[[#This Row],[AAL Consumption]]</f>
        <v>2.9509593185255949</v>
      </c>
      <c r="AM348" s="919">
        <f>Data[[#This Row],[DAL Fuel Cost]]/Data[[#This Row],[DAL Consumption]]</f>
        <v>3.159374141086404</v>
      </c>
      <c r="AN348" s="919">
        <f>Data[[#This Row],[UAL Fuel Cost]]/Data[[#This Row],[UALConsumption]]</f>
        <v>3.0443738153873925</v>
      </c>
      <c r="AO348" s="919">
        <f>IFERROR(Data[[#This Row],[LUV Fuel Cost]]/Data[[#This Row],[LUV Consumption]],0)</f>
        <v>3.3892821031344793</v>
      </c>
      <c r="AP348" s="783"/>
      <c r="AQ348" s="783"/>
      <c r="AR348" s="253"/>
      <c r="AS348" s="253"/>
      <c r="AT348" s="253"/>
      <c r="AU348" s="253"/>
    </row>
    <row r="349" spans="1:47" ht="10.5" customHeight="1">
      <c r="A349" s="263">
        <v>41182</v>
      </c>
      <c r="B349" s="263" t="s">
        <v>537</v>
      </c>
      <c r="C349" s="277">
        <v>22.782115000000001</v>
      </c>
      <c r="D349" s="277">
        <v>5.295312</v>
      </c>
      <c r="E349" s="277">
        <v>7.3074339999999998</v>
      </c>
      <c r="F349" s="277">
        <v>8.5826969999999996</v>
      </c>
      <c r="G349" s="277">
        <v>0</v>
      </c>
      <c r="H349" s="284">
        <f t="shared" si="24"/>
        <v>1.5966720000000016</v>
      </c>
      <c r="I349" s="277">
        <v>19.140235000000001</v>
      </c>
      <c r="J349" s="277">
        <v>4.3825979999999998</v>
      </c>
      <c r="K349" s="277">
        <v>6.4121360000000003</v>
      </c>
      <c r="L349" s="277">
        <v>7.1369809999999996</v>
      </c>
      <c r="M349" s="277">
        <v>0</v>
      </c>
      <c r="N349" s="284">
        <f t="shared" si="25"/>
        <v>1.20852</v>
      </c>
      <c r="O349" s="277">
        <v>13.791714000000001</v>
      </c>
      <c r="P349" s="277">
        <v>1.632458</v>
      </c>
      <c r="Q349" s="277">
        <v>1.6310150000000001</v>
      </c>
      <c r="R349" s="277">
        <v>1.8383590000000001</v>
      </c>
      <c r="S349" s="920">
        <v>0</v>
      </c>
      <c r="T349" s="874">
        <f t="shared" si="26"/>
        <v>8.6898820000000008</v>
      </c>
      <c r="U349" s="920">
        <v>5461.8090000000002</v>
      </c>
      <c r="V349" s="920">
        <v>951.60199999999998</v>
      </c>
      <c r="W349" s="920">
        <v>1287.9666666666667</v>
      </c>
      <c r="X349" s="920">
        <v>1448.3516666666667</v>
      </c>
      <c r="Y349" s="920">
        <v>14.091333333333333</v>
      </c>
      <c r="Z349" s="874">
        <f t="shared" si="27"/>
        <v>1759.7973333333334</v>
      </c>
      <c r="AA349" s="920">
        <v>462.3</v>
      </c>
      <c r="AB349" s="920">
        <v>81.787999999999997</v>
      </c>
      <c r="AC349" s="920">
        <v>127.337</v>
      </c>
      <c r="AD349" s="920">
        <v>141.685</v>
      </c>
      <c r="AE349" s="920">
        <v>0.78100000000000003</v>
      </c>
      <c r="AF349" s="920">
        <v>1450.2</v>
      </c>
      <c r="AG349" s="920">
        <v>255.90600000000001</v>
      </c>
      <c r="AH349" s="920">
        <v>377.20499999999998</v>
      </c>
      <c r="AI349" s="920">
        <v>462.26900000000001</v>
      </c>
      <c r="AJ349" s="920">
        <v>2.7930000000000001</v>
      </c>
      <c r="AK349" s="919">
        <f>Data[[#This Row],[Industry Cost ($m)]]/Data[[#This Row],[Industry Consumption]]</f>
        <v>3.136924075275795</v>
      </c>
      <c r="AL349" s="919">
        <f>Data[[#This Row],[AAL Fuel Cost]]/Data[[#This Row],[AAL Consumption]]</f>
        <v>3.1288942143101681</v>
      </c>
      <c r="AM349" s="919">
        <f>Data[[#This Row],[DAL Fuel Cost]]/Data[[#This Row],[DAL Consumption]]</f>
        <v>2.9622576313247522</v>
      </c>
      <c r="AN349" s="919">
        <f>Data[[#This Row],[UAL Fuel Cost]]/Data[[#This Row],[UALConsumption]]</f>
        <v>3.262653068426439</v>
      </c>
      <c r="AO349" s="919">
        <f>IFERROR(Data[[#This Row],[LUV Fuel Cost]]/Data[[#This Row],[LUV Consumption]],0)</f>
        <v>3.5761843790012806</v>
      </c>
      <c r="AP349" s="783"/>
      <c r="AQ349" s="783"/>
      <c r="AR349" s="253"/>
      <c r="AS349" s="253"/>
      <c r="AT349" s="253"/>
      <c r="AU349" s="253"/>
    </row>
    <row r="350" spans="1:47" ht="10.5" customHeight="1">
      <c r="A350" s="263">
        <v>41213</v>
      </c>
      <c r="B350" s="263" t="s">
        <v>537</v>
      </c>
      <c r="C350" s="277">
        <v>22.249113999999999</v>
      </c>
      <c r="D350" s="277">
        <v>5.3664550000000002</v>
      </c>
      <c r="E350" s="277">
        <v>6.9563810000000004</v>
      </c>
      <c r="F350" s="277">
        <v>8.3378610000000002</v>
      </c>
      <c r="G350" s="277">
        <v>0</v>
      </c>
      <c r="H350" s="284">
        <f t="shared" si="24"/>
        <v>1.5884169999999997</v>
      </c>
      <c r="I350" s="277">
        <v>18.204625</v>
      </c>
      <c r="J350" s="277">
        <v>4.3272069999999996</v>
      </c>
      <c r="K350" s="277">
        <v>5.9119140000000003</v>
      </c>
      <c r="L350" s="277">
        <v>6.7207489999999996</v>
      </c>
      <c r="M350" s="277">
        <v>0</v>
      </c>
      <c r="N350" s="284">
        <f t="shared" si="25"/>
        <v>1.2447549999999978</v>
      </c>
      <c r="O350" s="277">
        <v>13.397785000000001</v>
      </c>
      <c r="P350" s="277">
        <v>1.638952</v>
      </c>
      <c r="Q350" s="277">
        <v>1.510788</v>
      </c>
      <c r="R350" s="277">
        <v>1.7492239999999999</v>
      </c>
      <c r="S350" s="920">
        <v>0</v>
      </c>
      <c r="T350" s="874">
        <f t="shared" si="26"/>
        <v>8.4988210000000013</v>
      </c>
      <c r="U350" s="920">
        <v>4684.6493333333337</v>
      </c>
      <c r="V350" s="920">
        <v>840.03533333333337</v>
      </c>
      <c r="W350" s="920">
        <v>963.34266666666679</v>
      </c>
      <c r="X350" s="920">
        <v>1213.7593333333332</v>
      </c>
      <c r="Y350" s="920">
        <v>13.303666666666667</v>
      </c>
      <c r="Z350" s="874">
        <f t="shared" si="27"/>
        <v>1654.2083333333339</v>
      </c>
      <c r="AA350" s="920">
        <v>459.3</v>
      </c>
      <c r="AB350" s="920">
        <v>83.387</v>
      </c>
      <c r="AC350" s="920">
        <v>124.459</v>
      </c>
      <c r="AD350" s="920">
        <v>138.578</v>
      </c>
      <c r="AE350" s="920">
        <v>0.874</v>
      </c>
      <c r="AF350" s="920">
        <v>1490.3</v>
      </c>
      <c r="AG350" s="920">
        <v>262.077</v>
      </c>
      <c r="AH350" s="920">
        <v>417.65</v>
      </c>
      <c r="AI350" s="920">
        <v>451.46199999999999</v>
      </c>
      <c r="AJ350" s="920">
        <v>3.0840000000000001</v>
      </c>
      <c r="AK350" s="919">
        <f>Data[[#This Row],[Industry Cost ($m)]]/Data[[#This Row],[Industry Consumption]]</f>
        <v>3.244720226431526</v>
      </c>
      <c r="AL350" s="919">
        <f>Data[[#This Row],[AAL Fuel Cost]]/Data[[#This Row],[AAL Consumption]]</f>
        <v>3.1428999724177631</v>
      </c>
      <c r="AM350" s="919">
        <f>Data[[#This Row],[DAL Fuel Cost]]/Data[[#This Row],[DAL Consumption]]</f>
        <v>3.3557235716179621</v>
      </c>
      <c r="AN350" s="919">
        <f>Data[[#This Row],[UAL Fuel Cost]]/Data[[#This Row],[UALConsumption]]</f>
        <v>3.2578187013811712</v>
      </c>
      <c r="AO350" s="919">
        <f>IFERROR(Data[[#This Row],[LUV Fuel Cost]]/Data[[#This Row],[LUV Consumption]],0)</f>
        <v>3.528604118993135</v>
      </c>
      <c r="AP350" s="783"/>
      <c r="AQ350" s="783"/>
      <c r="AR350" s="253"/>
      <c r="AS350" s="253"/>
      <c r="AT350" s="253"/>
      <c r="AU350" s="253"/>
    </row>
    <row r="351" spans="1:47" ht="10.5" customHeight="1">
      <c r="A351" s="263">
        <v>41243</v>
      </c>
      <c r="B351" s="263" t="s">
        <v>537</v>
      </c>
      <c r="C351" s="277">
        <v>20.541215999999999</v>
      </c>
      <c r="D351" s="277">
        <v>5.1188029999999998</v>
      </c>
      <c r="E351" s="277">
        <v>6.0120259999999996</v>
      </c>
      <c r="F351" s="277">
        <v>7.6410919999999996</v>
      </c>
      <c r="G351" s="277">
        <v>0</v>
      </c>
      <c r="H351" s="284">
        <f t="shared" si="24"/>
        <v>1.7692949999999996</v>
      </c>
      <c r="I351" s="277">
        <v>16.396142000000001</v>
      </c>
      <c r="J351" s="277">
        <v>4.0138449999999999</v>
      </c>
      <c r="K351" s="277">
        <v>4.9336089999999997</v>
      </c>
      <c r="L351" s="277">
        <v>6.0882040000000002</v>
      </c>
      <c r="M351" s="277">
        <v>0</v>
      </c>
      <c r="N351" s="284">
        <f t="shared" si="25"/>
        <v>1.3604839999999996</v>
      </c>
      <c r="O351" s="277">
        <v>12.763847</v>
      </c>
      <c r="P351" s="277">
        <v>1.6633849999999999</v>
      </c>
      <c r="Q351" s="277">
        <v>1.315337</v>
      </c>
      <c r="R351" s="277">
        <v>1.676868</v>
      </c>
      <c r="S351" s="920">
        <v>0</v>
      </c>
      <c r="T351" s="874">
        <f t="shared" si="26"/>
        <v>8.108257</v>
      </c>
      <c r="U351" s="920">
        <v>4684.6493333333337</v>
      </c>
      <c r="V351" s="920">
        <v>840.03533333333337</v>
      </c>
      <c r="W351" s="920">
        <v>963.34266666666679</v>
      </c>
      <c r="X351" s="920">
        <v>1213.7593333333332</v>
      </c>
      <c r="Y351" s="920">
        <v>13.303666666666667</v>
      </c>
      <c r="Z351" s="874">
        <f t="shared" si="27"/>
        <v>1654.2083333333339</v>
      </c>
      <c r="AA351" s="920">
        <v>433.7</v>
      </c>
      <c r="AB351" s="920">
        <v>89.256</v>
      </c>
      <c r="AC351" s="920">
        <v>107.73399999999999</v>
      </c>
      <c r="AD351" s="920">
        <v>125.477</v>
      </c>
      <c r="AE351" s="920">
        <v>0.82499999999999996</v>
      </c>
      <c r="AF351" s="920">
        <v>1319.5</v>
      </c>
      <c r="AG351" s="920">
        <v>241.55</v>
      </c>
      <c r="AH351" s="920">
        <v>339.39800000000002</v>
      </c>
      <c r="AI351" s="920">
        <v>397.16</v>
      </c>
      <c r="AJ351" s="920">
        <v>2.7</v>
      </c>
      <c r="AK351" s="919">
        <f>Data[[#This Row],[Industry Cost ($m)]]/Data[[#This Row],[Industry Consumption]]</f>
        <v>3.0424256398432097</v>
      </c>
      <c r="AL351" s="919">
        <f>Data[[#This Row],[AAL Fuel Cost]]/Data[[#This Row],[AAL Consumption]]</f>
        <v>2.706260643542171</v>
      </c>
      <c r="AM351" s="919">
        <f>Data[[#This Row],[DAL Fuel Cost]]/Data[[#This Row],[DAL Consumption]]</f>
        <v>3.1503332281359651</v>
      </c>
      <c r="AN351" s="919">
        <f>Data[[#This Row],[UAL Fuel Cost]]/Data[[#This Row],[UALConsumption]]</f>
        <v>3.1652015907297755</v>
      </c>
      <c r="AO351" s="919">
        <f>IFERROR(Data[[#This Row],[LUV Fuel Cost]]/Data[[#This Row],[LUV Consumption]],0)</f>
        <v>3.2727272727272729</v>
      </c>
      <c r="AP351" s="783"/>
      <c r="AQ351" s="783"/>
      <c r="AR351" s="253"/>
      <c r="AS351" s="253"/>
      <c r="AT351" s="253"/>
      <c r="AU351" s="253"/>
    </row>
    <row r="352" spans="1:47" ht="10.5" customHeight="1">
      <c r="A352" s="263">
        <v>41274</v>
      </c>
      <c r="B352" s="263" t="s">
        <v>537</v>
      </c>
      <c r="C352" s="277">
        <v>22.176818000000001</v>
      </c>
      <c r="D352" s="277">
        <v>5.5662030000000007</v>
      </c>
      <c r="E352" s="277">
        <v>6.4628459999999999</v>
      </c>
      <c r="F352" s="277">
        <v>8.1488320000000005</v>
      </c>
      <c r="G352" s="277">
        <v>0</v>
      </c>
      <c r="H352" s="284">
        <f t="shared" si="24"/>
        <v>1.9989370000000015</v>
      </c>
      <c r="I352" s="277">
        <v>18.079613999999999</v>
      </c>
      <c r="J352" s="277">
        <v>4.4039010000000003</v>
      </c>
      <c r="K352" s="277">
        <v>5.4803430000000004</v>
      </c>
      <c r="L352" s="277">
        <v>6.6943250000000001</v>
      </c>
      <c r="M352" s="277">
        <v>0</v>
      </c>
      <c r="N352" s="284">
        <f t="shared" si="25"/>
        <v>1.5010449999999977</v>
      </c>
      <c r="O352" s="277">
        <v>14.097885</v>
      </c>
      <c r="P352" s="277">
        <v>1.8289839999999999</v>
      </c>
      <c r="Q352" s="277">
        <v>1.5227809999999999</v>
      </c>
      <c r="R352" s="277">
        <v>1.9021269999999999</v>
      </c>
      <c r="S352" s="920">
        <v>0</v>
      </c>
      <c r="T352" s="874">
        <f t="shared" si="26"/>
        <v>8.8439930000000011</v>
      </c>
      <c r="U352" s="920">
        <v>4684.6493333333337</v>
      </c>
      <c r="V352" s="920">
        <v>840.03533333333337</v>
      </c>
      <c r="W352" s="920">
        <v>963.34266666666679</v>
      </c>
      <c r="X352" s="920">
        <v>1213.7593333333332</v>
      </c>
      <c r="Y352" s="920">
        <v>13.303666666666667</v>
      </c>
      <c r="Z352" s="874">
        <f t="shared" si="27"/>
        <v>1654.2083333333339</v>
      </c>
      <c r="AA352" s="920">
        <v>446.9</v>
      </c>
      <c r="AB352" s="920">
        <v>85.263999999999996</v>
      </c>
      <c r="AC352" s="920">
        <v>116.34099999999999</v>
      </c>
      <c r="AD352" s="920">
        <v>132.905</v>
      </c>
      <c r="AE352" s="920">
        <v>1.1719999999999999</v>
      </c>
      <c r="AF352" s="920">
        <v>1383.6</v>
      </c>
      <c r="AG352" s="920">
        <v>255.059</v>
      </c>
      <c r="AH352" s="920">
        <v>374.28199999999998</v>
      </c>
      <c r="AI352" s="920">
        <v>412.39600000000002</v>
      </c>
      <c r="AJ352" s="920">
        <v>3.8540000000000001</v>
      </c>
      <c r="AK352" s="919">
        <f>Data[[#This Row],[Industry Cost ($m)]]/Data[[#This Row],[Industry Consumption]]</f>
        <v>3.0959946296710674</v>
      </c>
      <c r="AL352" s="919">
        <f>Data[[#This Row],[AAL Fuel Cost]]/Data[[#This Row],[AAL Consumption]]</f>
        <v>2.9914031713267031</v>
      </c>
      <c r="AM352" s="919">
        <f>Data[[#This Row],[DAL Fuel Cost]]/Data[[#This Row],[DAL Consumption]]</f>
        <v>3.2171117662732827</v>
      </c>
      <c r="AN352" s="919">
        <f>Data[[#This Row],[UAL Fuel Cost]]/Data[[#This Row],[UALConsumption]]</f>
        <v>3.1029381889319438</v>
      </c>
      <c r="AO352" s="919">
        <f>IFERROR(Data[[#This Row],[LUV Fuel Cost]]/Data[[#This Row],[LUV Consumption]],0)</f>
        <v>3.2883959044368605</v>
      </c>
      <c r="AP352" s="783"/>
      <c r="AQ352" s="783"/>
      <c r="AR352" s="253"/>
      <c r="AS352" s="253"/>
      <c r="AT352" s="253"/>
      <c r="AU352" s="253"/>
    </row>
    <row r="353" spans="1:47" ht="10.5" customHeight="1">
      <c r="A353" s="263">
        <v>41305</v>
      </c>
      <c r="B353" s="263" t="s">
        <v>537</v>
      </c>
      <c r="C353" s="277">
        <v>22.388133</v>
      </c>
      <c r="D353" s="277">
        <v>5.4709040000000009</v>
      </c>
      <c r="E353" s="277">
        <v>6.4178410000000001</v>
      </c>
      <c r="F353" s="277">
        <v>8.4889519999999994</v>
      </c>
      <c r="G353" s="277">
        <v>0</v>
      </c>
      <c r="H353" s="284">
        <f t="shared" si="24"/>
        <v>2.0104360000000021</v>
      </c>
      <c r="I353" s="277">
        <v>17.74015</v>
      </c>
      <c r="J353" s="277">
        <v>4.3312889999999999</v>
      </c>
      <c r="K353" s="277">
        <v>5.1993210000000003</v>
      </c>
      <c r="L353" s="277">
        <v>6.6724129999999997</v>
      </c>
      <c r="M353" s="277">
        <v>0</v>
      </c>
      <c r="N353" s="284">
        <f t="shared" si="25"/>
        <v>1.5371270000000017</v>
      </c>
      <c r="O353" s="277">
        <v>13.768819000000001</v>
      </c>
      <c r="P353" s="277">
        <v>1.7817799999999999</v>
      </c>
      <c r="Q353" s="277">
        <v>1.4360029999999999</v>
      </c>
      <c r="R353" s="277">
        <v>1.890855</v>
      </c>
      <c r="S353" s="920">
        <v>0</v>
      </c>
      <c r="T353" s="874">
        <f t="shared" si="26"/>
        <v>8.6601810000000015</v>
      </c>
      <c r="U353" s="920">
        <v>4696.9090000000006</v>
      </c>
      <c r="V353" s="920">
        <v>862.81966666666676</v>
      </c>
      <c r="W353" s="920">
        <v>946.40066666666678</v>
      </c>
      <c r="X353" s="920">
        <v>1233.6043333333334</v>
      </c>
      <c r="Y353" s="920">
        <v>16.756333333333334</v>
      </c>
      <c r="Z353" s="874">
        <f t="shared" si="27"/>
        <v>1637.328</v>
      </c>
      <c r="AA353" s="920">
        <v>450.1</v>
      </c>
      <c r="AB353" s="920">
        <v>83.055999999999997</v>
      </c>
      <c r="AC353" s="920">
        <v>115.532</v>
      </c>
      <c r="AD353" s="920">
        <v>136.846</v>
      </c>
      <c r="AE353" s="920">
        <v>1.246</v>
      </c>
      <c r="AF353" s="920">
        <v>1394</v>
      </c>
      <c r="AG353" s="920">
        <v>253.46100000000001</v>
      </c>
      <c r="AH353" s="920">
        <v>368.428</v>
      </c>
      <c r="AI353" s="920">
        <v>428.339</v>
      </c>
      <c r="AJ353" s="920">
        <v>4.2359999999999998</v>
      </c>
      <c r="AK353" s="919">
        <f>Data[[#This Row],[Industry Cost ($m)]]/Data[[#This Row],[Industry Consumption]]</f>
        <v>3.0970895356587422</v>
      </c>
      <c r="AL353" s="919">
        <f>Data[[#This Row],[AAL Fuel Cost]]/Data[[#This Row],[AAL Consumption]]</f>
        <v>3.0516880177229821</v>
      </c>
      <c r="AM353" s="919">
        <f>Data[[#This Row],[DAL Fuel Cost]]/Data[[#This Row],[DAL Consumption]]</f>
        <v>3.1889692898937092</v>
      </c>
      <c r="AN353" s="919">
        <f>Data[[#This Row],[UAL Fuel Cost]]/Data[[#This Row],[UALConsumption]]</f>
        <v>3.1300805284772664</v>
      </c>
      <c r="AO353" s="919">
        <f>IFERROR(Data[[#This Row],[LUV Fuel Cost]]/Data[[#This Row],[LUV Consumption]],0)</f>
        <v>3.3996789727126804</v>
      </c>
      <c r="AP353" s="783"/>
      <c r="AQ353" s="783"/>
      <c r="AR353" s="253"/>
      <c r="AS353" s="253"/>
      <c r="AT353" s="253"/>
      <c r="AU353" s="253"/>
    </row>
    <row r="354" spans="1:47" ht="10.5" customHeight="1">
      <c r="A354" s="263">
        <v>41333</v>
      </c>
      <c r="B354" s="263" t="s">
        <v>537</v>
      </c>
      <c r="C354" s="277">
        <v>20.178160999999999</v>
      </c>
      <c r="D354" s="277">
        <v>4.9272460000000002</v>
      </c>
      <c r="E354" s="277">
        <v>5.9207179999999999</v>
      </c>
      <c r="F354" s="277">
        <v>7.4779260000000001</v>
      </c>
      <c r="G354" s="277">
        <v>0</v>
      </c>
      <c r="H354" s="284">
        <f t="shared" si="24"/>
        <v>1.8522709999999982</v>
      </c>
      <c r="I354" s="277">
        <v>15.228350000000001</v>
      </c>
      <c r="J354" s="277">
        <v>3.678439</v>
      </c>
      <c r="K354" s="277">
        <v>4.5505769999999997</v>
      </c>
      <c r="L354" s="277">
        <v>5.5487979999999997</v>
      </c>
      <c r="M354" s="277">
        <v>0</v>
      </c>
      <c r="N354" s="284">
        <f t="shared" si="25"/>
        <v>1.4505360000000014</v>
      </c>
      <c r="O354" s="277">
        <v>12.037584000000001</v>
      </c>
      <c r="P354" s="277">
        <v>1.537307</v>
      </c>
      <c r="Q354" s="277">
        <v>1.297777</v>
      </c>
      <c r="R354" s="277">
        <v>1.604832</v>
      </c>
      <c r="S354" s="920">
        <v>0</v>
      </c>
      <c r="T354" s="874">
        <f t="shared" si="26"/>
        <v>7.5976680000000005</v>
      </c>
      <c r="U354" s="920">
        <v>4696.9090000000006</v>
      </c>
      <c r="V354" s="920">
        <v>862.81966666666676</v>
      </c>
      <c r="W354" s="920">
        <v>946.40066666666678</v>
      </c>
      <c r="X354" s="920">
        <v>1233.6043333333334</v>
      </c>
      <c r="Y354" s="920">
        <v>16.756333333333334</v>
      </c>
      <c r="Z354" s="874">
        <f t="shared" si="27"/>
        <v>1637.328</v>
      </c>
      <c r="AA354" s="920">
        <v>403.6</v>
      </c>
      <c r="AB354" s="920">
        <v>75.221000000000004</v>
      </c>
      <c r="AC354" s="920">
        <v>106.355</v>
      </c>
      <c r="AD354" s="920">
        <v>119.932</v>
      </c>
      <c r="AE354" s="920">
        <v>1.339</v>
      </c>
      <c r="AF354" s="920">
        <v>1298.5</v>
      </c>
      <c r="AG354" s="920">
        <v>241.96100000000001</v>
      </c>
      <c r="AH354" s="920">
        <v>340.47199999999998</v>
      </c>
      <c r="AI354" s="920">
        <v>389.84300000000002</v>
      </c>
      <c r="AJ354" s="920">
        <v>4.766</v>
      </c>
      <c r="AK354" s="919">
        <f>Data[[#This Row],[Industry Cost ($m)]]/Data[[#This Row],[Industry Consumption]]</f>
        <v>3.2172943508424181</v>
      </c>
      <c r="AL354" s="919">
        <f>Data[[#This Row],[AAL Fuel Cost]]/Data[[#This Row],[AAL Consumption]]</f>
        <v>3.2166682176519856</v>
      </c>
      <c r="AM354" s="919">
        <f>Data[[#This Row],[DAL Fuel Cost]]/Data[[#This Row],[DAL Consumption]]</f>
        <v>3.2012787363076485</v>
      </c>
      <c r="AN354" s="919">
        <f>Data[[#This Row],[UAL Fuel Cost]]/Data[[#This Row],[UALConsumption]]</f>
        <v>3.2505336357269119</v>
      </c>
      <c r="AO354" s="919">
        <f>IFERROR(Data[[#This Row],[LUV Fuel Cost]]/Data[[#This Row],[LUV Consumption]],0)</f>
        <v>3.5593726661687826</v>
      </c>
      <c r="AP354" s="783"/>
      <c r="AQ354" s="783"/>
      <c r="AR354" s="253"/>
      <c r="AS354" s="253"/>
      <c r="AT354" s="253"/>
      <c r="AU354" s="253"/>
    </row>
    <row r="355" spans="1:47" ht="10.5" customHeight="1">
      <c r="A355" s="263">
        <v>41364</v>
      </c>
      <c r="B355" s="263" t="s">
        <v>537</v>
      </c>
      <c r="C355" s="277">
        <v>23.345963999999999</v>
      </c>
      <c r="D355" s="277">
        <v>5.6246200000000002</v>
      </c>
      <c r="E355" s="277">
        <v>6.8937110000000006</v>
      </c>
      <c r="F355" s="277">
        <v>8.6557279999999999</v>
      </c>
      <c r="G355" s="277">
        <v>0</v>
      </c>
      <c r="H355" s="284">
        <f t="shared" si="24"/>
        <v>2.1719049999999989</v>
      </c>
      <c r="I355" s="277">
        <v>19.289781000000001</v>
      </c>
      <c r="J355" s="277">
        <v>4.5260420000000003</v>
      </c>
      <c r="K355" s="277">
        <v>5.8397410000000001</v>
      </c>
      <c r="L355" s="277">
        <v>7.1792559999999996</v>
      </c>
      <c r="M355" s="277">
        <v>0</v>
      </c>
      <c r="N355" s="284">
        <f t="shared" si="25"/>
        <v>1.7447420000000022</v>
      </c>
      <c r="O355" s="277">
        <v>15.188333</v>
      </c>
      <c r="P355" s="277">
        <v>1.872393</v>
      </c>
      <c r="Q355" s="277">
        <v>1.715641</v>
      </c>
      <c r="R355" s="277">
        <v>2.127732</v>
      </c>
      <c r="S355" s="920">
        <v>0</v>
      </c>
      <c r="T355" s="874">
        <f t="shared" si="26"/>
        <v>9.4725669999999997</v>
      </c>
      <c r="U355" s="920">
        <v>4696.9090000000006</v>
      </c>
      <c r="V355" s="920">
        <v>862.81966666666676</v>
      </c>
      <c r="W355" s="920">
        <v>946.40066666666678</v>
      </c>
      <c r="X355" s="920">
        <v>1233.6043333333334</v>
      </c>
      <c r="Y355" s="920">
        <v>16.756333333333334</v>
      </c>
      <c r="Z355" s="874">
        <f t="shared" si="27"/>
        <v>1637.328</v>
      </c>
      <c r="AA355" s="920">
        <v>469.1</v>
      </c>
      <c r="AB355" s="920">
        <v>86.435000000000002</v>
      </c>
      <c r="AC355" s="920">
        <v>122.684</v>
      </c>
      <c r="AD355" s="920">
        <v>140.46</v>
      </c>
      <c r="AE355" s="920">
        <v>1.58</v>
      </c>
      <c r="AF355" s="920">
        <v>1505.3</v>
      </c>
      <c r="AG355" s="920">
        <v>268.37700000000001</v>
      </c>
      <c r="AH355" s="920">
        <v>401.738</v>
      </c>
      <c r="AI355" s="920">
        <v>456.73500000000001</v>
      </c>
      <c r="AJ355" s="920">
        <v>5.3849999999999998</v>
      </c>
      <c r="AK355" s="919">
        <f>Data[[#This Row],[Industry Cost ($m)]]/Data[[#This Row],[Industry Consumption]]</f>
        <v>3.2089106800255807</v>
      </c>
      <c r="AL355" s="919">
        <f>Data[[#This Row],[AAL Fuel Cost]]/Data[[#This Row],[AAL Consumption]]</f>
        <v>3.1049574825013018</v>
      </c>
      <c r="AM355" s="919">
        <f>Data[[#This Row],[DAL Fuel Cost]]/Data[[#This Row],[DAL Consumption]]</f>
        <v>3.2745753317466009</v>
      </c>
      <c r="AN355" s="919">
        <f>Data[[#This Row],[UAL Fuel Cost]]/Data[[#This Row],[UALConsumption]]</f>
        <v>3.2517086715079024</v>
      </c>
      <c r="AO355" s="919">
        <f>IFERROR(Data[[#This Row],[LUV Fuel Cost]]/Data[[#This Row],[LUV Consumption]],0)</f>
        <v>3.4082278481012653</v>
      </c>
      <c r="AP355" s="783"/>
      <c r="AQ355" s="783"/>
      <c r="AR355" s="253"/>
      <c r="AS355" s="253"/>
      <c r="AT355" s="253"/>
      <c r="AU355" s="253"/>
    </row>
    <row r="356" spans="1:47" ht="10.5" customHeight="1">
      <c r="A356" s="263">
        <v>41394</v>
      </c>
      <c r="B356" s="263" t="s">
        <v>537</v>
      </c>
      <c r="C356" s="277">
        <v>23.231887</v>
      </c>
      <c r="D356" s="277">
        <v>5.401491</v>
      </c>
      <c r="E356" s="277">
        <v>7.044473</v>
      </c>
      <c r="F356" s="277">
        <v>8.7335210000000014</v>
      </c>
      <c r="G356" s="277">
        <v>0</v>
      </c>
      <c r="H356" s="284">
        <f t="shared" si="24"/>
        <v>2.0524020000000007</v>
      </c>
      <c r="I356" s="277">
        <v>18.320724999999999</v>
      </c>
      <c r="J356" s="277">
        <v>4.2285640000000004</v>
      </c>
      <c r="K356" s="277">
        <v>5.640924</v>
      </c>
      <c r="L356" s="277">
        <v>6.8811710000000001</v>
      </c>
      <c r="M356" s="277">
        <v>0</v>
      </c>
      <c r="N356" s="284">
        <f t="shared" si="25"/>
        <v>1.5700660000000006</v>
      </c>
      <c r="O356" s="277">
        <v>14.301619000000001</v>
      </c>
      <c r="P356" s="277">
        <v>1.686536</v>
      </c>
      <c r="Q356" s="277">
        <v>1.5249459999999999</v>
      </c>
      <c r="R356" s="277">
        <v>1.978337</v>
      </c>
      <c r="S356" s="920">
        <v>0</v>
      </c>
      <c r="T356" s="874">
        <f t="shared" si="26"/>
        <v>9.1118000000000006</v>
      </c>
      <c r="U356" s="920">
        <v>5200.1366666666663</v>
      </c>
      <c r="V356" s="920">
        <v>912.99099999999999</v>
      </c>
      <c r="W356" s="920">
        <v>1121.6126666666667</v>
      </c>
      <c r="X356" s="920">
        <v>1412.7003333333334</v>
      </c>
      <c r="Y356" s="920">
        <v>18.964000000000002</v>
      </c>
      <c r="Z356" s="874">
        <f t="shared" si="27"/>
        <v>1733.8686666666663</v>
      </c>
      <c r="AA356" s="920">
        <v>466</v>
      </c>
      <c r="AB356" s="920">
        <v>83.043000000000006</v>
      </c>
      <c r="AC356" s="920">
        <v>124.455</v>
      </c>
      <c r="AD356" s="920">
        <v>140.68199999999999</v>
      </c>
      <c r="AE356" s="920">
        <v>1.3049999999999999</v>
      </c>
      <c r="AF356" s="920">
        <v>1416.4</v>
      </c>
      <c r="AG356" s="920">
        <v>249.05</v>
      </c>
      <c r="AH356" s="920">
        <v>390.24599999999998</v>
      </c>
      <c r="AI356" s="920">
        <v>423.87700000000001</v>
      </c>
      <c r="AJ356" s="920">
        <v>4.2240000000000002</v>
      </c>
      <c r="AK356" s="919">
        <f>Data[[#This Row],[Industry Cost ($m)]]/Data[[#This Row],[Industry Consumption]]</f>
        <v>3.0394849785407727</v>
      </c>
      <c r="AL356" s="919">
        <f>Data[[#This Row],[AAL Fuel Cost]]/Data[[#This Row],[AAL Consumption]]</f>
        <v>2.9990486856207026</v>
      </c>
      <c r="AM356" s="919">
        <f>Data[[#This Row],[DAL Fuel Cost]]/Data[[#This Row],[DAL Consumption]]</f>
        <v>3.1356393877305049</v>
      </c>
      <c r="AN356" s="919">
        <f>Data[[#This Row],[UAL Fuel Cost]]/Data[[#This Row],[UALConsumption]]</f>
        <v>3.0130151689626254</v>
      </c>
      <c r="AO356" s="919">
        <f>IFERROR(Data[[#This Row],[LUV Fuel Cost]]/Data[[#This Row],[LUV Consumption]],0)</f>
        <v>3.2367816091954027</v>
      </c>
      <c r="AP356" s="783"/>
      <c r="AQ356" s="783"/>
      <c r="AR356" s="253"/>
      <c r="AS356" s="253"/>
      <c r="AT356" s="253"/>
      <c r="AU356" s="253"/>
    </row>
    <row r="357" spans="1:47" ht="10.5" customHeight="1">
      <c r="A357" s="263">
        <v>41425</v>
      </c>
      <c r="B357" s="263" t="s">
        <v>537</v>
      </c>
      <c r="C357" s="277">
        <v>24.471397</v>
      </c>
      <c r="D357" s="277">
        <v>5.6971999999999996</v>
      </c>
      <c r="E357" s="277">
        <v>7.5938370000000006</v>
      </c>
      <c r="F357" s="277">
        <v>9.2655460000000005</v>
      </c>
      <c r="G357" s="277">
        <v>0</v>
      </c>
      <c r="H357" s="284">
        <f t="shared" si="24"/>
        <v>1.9148139999999998</v>
      </c>
      <c r="I357" s="277">
        <v>20.322475000000001</v>
      </c>
      <c r="J357" s="277">
        <v>4.6834660000000001</v>
      </c>
      <c r="K357" s="277">
        <v>6.4700360000000003</v>
      </c>
      <c r="L357" s="277">
        <v>7.6741669999999997</v>
      </c>
      <c r="M357" s="277">
        <v>0</v>
      </c>
      <c r="N357" s="284">
        <f t="shared" si="25"/>
        <v>1.4948060000000005</v>
      </c>
      <c r="O357" s="277">
        <v>15.353664999999999</v>
      </c>
      <c r="P357" s="277">
        <v>1.7963439999999999</v>
      </c>
      <c r="Q357" s="277">
        <v>1.715015</v>
      </c>
      <c r="R357" s="277">
        <v>2.0916610000000002</v>
      </c>
      <c r="S357" s="920">
        <v>0</v>
      </c>
      <c r="T357" s="874">
        <f t="shared" si="26"/>
        <v>9.7506449999999987</v>
      </c>
      <c r="U357" s="920">
        <v>5200.1366666666663</v>
      </c>
      <c r="V357" s="920">
        <v>912.99099999999999</v>
      </c>
      <c r="W357" s="920">
        <v>1121.6126666666667</v>
      </c>
      <c r="X357" s="920">
        <v>1412.7003333333334</v>
      </c>
      <c r="Y357" s="920">
        <v>18.964000000000002</v>
      </c>
      <c r="Z357" s="874">
        <f t="shared" si="27"/>
        <v>1733.8686666666663</v>
      </c>
      <c r="AA357" s="920">
        <v>493.1</v>
      </c>
      <c r="AB357" s="920">
        <v>88.254999999999995</v>
      </c>
      <c r="AC357" s="920">
        <v>133.65600000000001</v>
      </c>
      <c r="AD357" s="920">
        <v>149.208</v>
      </c>
      <c r="AE357" s="920">
        <v>1.3260000000000001</v>
      </c>
      <c r="AF357" s="920">
        <v>1416.3</v>
      </c>
      <c r="AG357" s="920">
        <v>247.37799999999999</v>
      </c>
      <c r="AH357" s="920">
        <v>395.36599999999999</v>
      </c>
      <c r="AI357" s="920">
        <v>427.49599999999998</v>
      </c>
      <c r="AJ357" s="920">
        <v>4.1349999999999998</v>
      </c>
      <c r="AK357" s="919">
        <f>Data[[#This Row],[Industry Cost ($m)]]/Data[[#This Row],[Industry Consumption]]</f>
        <v>2.8722368687892921</v>
      </c>
      <c r="AL357" s="919">
        <f>Data[[#This Row],[AAL Fuel Cost]]/Data[[#This Row],[AAL Consumption]]</f>
        <v>2.8029913319358677</v>
      </c>
      <c r="AM357" s="919">
        <f>Data[[#This Row],[DAL Fuel Cost]]/Data[[#This Row],[DAL Consumption]]</f>
        <v>2.9580864308373731</v>
      </c>
      <c r="AN357" s="919">
        <f>Data[[#This Row],[UAL Fuel Cost]]/Data[[#This Row],[UALConsumption]]</f>
        <v>2.8651010669669184</v>
      </c>
      <c r="AO357" s="919">
        <f>IFERROR(Data[[#This Row],[LUV Fuel Cost]]/Data[[#This Row],[LUV Consumption]],0)</f>
        <v>3.1184012066365003</v>
      </c>
      <c r="AP357" s="783"/>
      <c r="AQ357" s="783"/>
      <c r="AR357" s="253"/>
      <c r="AS357" s="253"/>
      <c r="AT357" s="253"/>
      <c r="AU357" s="253"/>
    </row>
    <row r="358" spans="1:47" ht="10.5" customHeight="1">
      <c r="A358" s="263">
        <v>41455</v>
      </c>
      <c r="B358" s="263" t="s">
        <v>537</v>
      </c>
      <c r="C358" s="277">
        <v>25.530301999999999</v>
      </c>
      <c r="D358" s="277">
        <v>5.846368</v>
      </c>
      <c r="E358" s="277">
        <v>8.3810099999999998</v>
      </c>
      <c r="F358" s="277">
        <v>9.3137129999999999</v>
      </c>
      <c r="G358" s="277">
        <v>0</v>
      </c>
      <c r="H358" s="284">
        <f t="shared" si="24"/>
        <v>1.9892109999999974</v>
      </c>
      <c r="I358" s="277">
        <v>22.231164</v>
      </c>
      <c r="J358" s="277">
        <v>4.982259</v>
      </c>
      <c r="K358" s="277">
        <v>7.4822360000000003</v>
      </c>
      <c r="L358" s="277">
        <v>8.1679530000000007</v>
      </c>
      <c r="M358" s="277">
        <v>0</v>
      </c>
      <c r="N358" s="284">
        <f t="shared" si="25"/>
        <v>1.5987159999999996</v>
      </c>
      <c r="O358" s="277">
        <v>16.403199000000001</v>
      </c>
      <c r="P358" s="277">
        <v>1.9534800000000001</v>
      </c>
      <c r="Q358" s="277">
        <v>2.0295619999999999</v>
      </c>
      <c r="R358" s="277">
        <v>2.296608</v>
      </c>
      <c r="S358" s="920">
        <v>0</v>
      </c>
      <c r="T358" s="874">
        <f t="shared" si="26"/>
        <v>10.123549000000001</v>
      </c>
      <c r="U358" s="920">
        <v>5200.1366666666663</v>
      </c>
      <c r="V358" s="920">
        <v>912.99099999999999</v>
      </c>
      <c r="W358" s="920">
        <v>1121.6126666666667</v>
      </c>
      <c r="X358" s="920">
        <v>1412.7003333333334</v>
      </c>
      <c r="Y358" s="920">
        <v>18.964000000000002</v>
      </c>
      <c r="Z358" s="874">
        <f t="shared" si="27"/>
        <v>1733.8686666666663</v>
      </c>
      <c r="AA358" s="920">
        <v>508.8</v>
      </c>
      <c r="AB358" s="920">
        <v>91.228999999999999</v>
      </c>
      <c r="AC358" s="920">
        <v>145.541</v>
      </c>
      <c r="AD358" s="920">
        <v>150.041</v>
      </c>
      <c r="AE358" s="920">
        <v>1.466</v>
      </c>
      <c r="AF358" s="920">
        <v>1469.6</v>
      </c>
      <c r="AG358" s="920">
        <v>252.095</v>
      </c>
      <c r="AH358" s="920">
        <v>442.92200000000003</v>
      </c>
      <c r="AI358" s="920">
        <v>427.43900000000002</v>
      </c>
      <c r="AJ358" s="920">
        <v>4.6050000000000004</v>
      </c>
      <c r="AK358" s="919">
        <f>Data[[#This Row],[Industry Cost ($m)]]/Data[[#This Row],[Industry Consumption]]</f>
        <v>2.8883647798742138</v>
      </c>
      <c r="AL358" s="919">
        <f>Data[[#This Row],[AAL Fuel Cost]]/Data[[#This Row],[AAL Consumption]]</f>
        <v>2.7633208738449397</v>
      </c>
      <c r="AM358" s="919">
        <f>Data[[#This Row],[DAL Fuel Cost]]/Data[[#This Row],[DAL Consumption]]</f>
        <v>3.0432799005091353</v>
      </c>
      <c r="AN358" s="919">
        <f>Data[[#This Row],[UAL Fuel Cost]]/Data[[#This Row],[UALConsumption]]</f>
        <v>2.8488146573269977</v>
      </c>
      <c r="AO358" s="919">
        <f>IFERROR(Data[[#This Row],[LUV Fuel Cost]]/Data[[#This Row],[LUV Consumption]],0)</f>
        <v>3.1412005457025924</v>
      </c>
      <c r="AP358" s="783"/>
      <c r="AQ358" s="783"/>
      <c r="AR358" s="253"/>
      <c r="AS358" s="253"/>
      <c r="AT358" s="253"/>
      <c r="AU358" s="253"/>
    </row>
    <row r="359" spans="1:47" ht="10.5" customHeight="1">
      <c r="A359" s="263">
        <v>41486</v>
      </c>
      <c r="B359" s="263" t="s">
        <v>537</v>
      </c>
      <c r="C359" s="277">
        <v>27.090187</v>
      </c>
      <c r="D359" s="277">
        <v>6.2639719999999999</v>
      </c>
      <c r="E359" s="277">
        <v>8.9352800000000006</v>
      </c>
      <c r="F359" s="277">
        <v>9.6848860000000005</v>
      </c>
      <c r="G359" s="277">
        <v>0</v>
      </c>
      <c r="H359" s="284">
        <f t="shared" si="24"/>
        <v>2.2060490000000001</v>
      </c>
      <c r="I359" s="277">
        <v>23.608833000000001</v>
      </c>
      <c r="J359" s="277">
        <v>5.4050240000000001</v>
      </c>
      <c r="K359" s="277">
        <v>7.9154970000000002</v>
      </c>
      <c r="L359" s="277">
        <v>8.4595559999999992</v>
      </c>
      <c r="M359" s="277">
        <v>0</v>
      </c>
      <c r="N359" s="284">
        <f t="shared" si="25"/>
        <v>1.828756000000002</v>
      </c>
      <c r="O359" s="277">
        <v>17.748868999999999</v>
      </c>
      <c r="P359" s="277">
        <v>2.168377</v>
      </c>
      <c r="Q359" s="277">
        <v>2.2089479999999999</v>
      </c>
      <c r="R359" s="277">
        <v>2.4539300000000002</v>
      </c>
      <c r="S359" s="920">
        <v>0</v>
      </c>
      <c r="T359" s="874">
        <f t="shared" si="26"/>
        <v>10.917613999999999</v>
      </c>
      <c r="U359" s="920">
        <v>5593.6349999999993</v>
      </c>
      <c r="V359" s="920">
        <v>1027.2819999999999</v>
      </c>
      <c r="W359" s="920">
        <v>1313.3896666666667</v>
      </c>
      <c r="X359" s="920">
        <v>1479.0753333333334</v>
      </c>
      <c r="Y359" s="920">
        <v>18.795999999999999</v>
      </c>
      <c r="Z359" s="874">
        <f t="shared" si="27"/>
        <v>1755.0919999999992</v>
      </c>
      <c r="AA359" s="920">
        <v>539.29999999999995</v>
      </c>
      <c r="AB359" s="920">
        <v>97.430999999999997</v>
      </c>
      <c r="AC359" s="920">
        <v>156.71100000000001</v>
      </c>
      <c r="AD359" s="920">
        <v>156.077</v>
      </c>
      <c r="AE359" s="920">
        <v>1.496</v>
      </c>
      <c r="AF359" s="920">
        <v>1565</v>
      </c>
      <c r="AG359" s="920">
        <v>274.46800000000002</v>
      </c>
      <c r="AH359" s="920">
        <v>459.84399999999999</v>
      </c>
      <c r="AI359" s="920">
        <v>457.166</v>
      </c>
      <c r="AJ359" s="920">
        <v>4.8049999999999997</v>
      </c>
      <c r="AK359" s="919">
        <f>Data[[#This Row],[Industry Cost ($m)]]/Data[[#This Row],[Industry Consumption]]</f>
        <v>2.9019098831819026</v>
      </c>
      <c r="AL359" s="919">
        <f>Data[[#This Row],[AAL Fuel Cost]]/Data[[#This Row],[AAL Consumption]]</f>
        <v>2.8170500148823274</v>
      </c>
      <c r="AM359" s="919">
        <f>Data[[#This Row],[DAL Fuel Cost]]/Data[[#This Row],[DAL Consumption]]</f>
        <v>2.9343441111345085</v>
      </c>
      <c r="AN359" s="919">
        <f>Data[[#This Row],[UAL Fuel Cost]]/Data[[#This Row],[UALConsumption]]</f>
        <v>2.929105505615818</v>
      </c>
      <c r="AO359" s="919">
        <f>IFERROR(Data[[#This Row],[LUV Fuel Cost]]/Data[[#This Row],[LUV Consumption]],0)</f>
        <v>3.2118983957219251</v>
      </c>
      <c r="AP359" s="783"/>
      <c r="AQ359" s="783"/>
      <c r="AR359" s="253"/>
      <c r="AS359" s="253"/>
      <c r="AT359" s="253"/>
      <c r="AU359" s="253"/>
    </row>
    <row r="360" spans="1:47" ht="10.5" customHeight="1">
      <c r="A360" s="263">
        <v>41517</v>
      </c>
      <c r="B360" s="263" t="s">
        <v>537</v>
      </c>
      <c r="C360" s="277">
        <v>26.739162</v>
      </c>
      <c r="D360" s="277">
        <v>6.1501989999999997</v>
      </c>
      <c r="E360" s="277">
        <v>8.8761770000000002</v>
      </c>
      <c r="F360" s="277">
        <v>9.5789279999999994</v>
      </c>
      <c r="G360" s="277">
        <v>0</v>
      </c>
      <c r="H360" s="284">
        <f t="shared" si="24"/>
        <v>2.1338580000000036</v>
      </c>
      <c r="I360" s="277">
        <v>23.375399000000002</v>
      </c>
      <c r="J360" s="277">
        <v>5.2150679999999996</v>
      </c>
      <c r="K360" s="277">
        <v>8.0133159999999997</v>
      </c>
      <c r="L360" s="277">
        <v>8.3722580000000004</v>
      </c>
      <c r="M360" s="277">
        <v>0</v>
      </c>
      <c r="N360" s="284">
        <f t="shared" si="25"/>
        <v>1.774757000000001</v>
      </c>
      <c r="O360" s="277">
        <v>17.666442</v>
      </c>
      <c r="P360" s="277">
        <v>2.0689839999999999</v>
      </c>
      <c r="Q360" s="277">
        <v>2.2025579999999998</v>
      </c>
      <c r="R360" s="277">
        <v>2.332039</v>
      </c>
      <c r="S360" s="920">
        <v>0</v>
      </c>
      <c r="T360" s="874">
        <f t="shared" si="26"/>
        <v>11.062861</v>
      </c>
      <c r="U360" s="920">
        <v>5593.6349999999993</v>
      </c>
      <c r="V360" s="920">
        <v>1027.2819999999999</v>
      </c>
      <c r="W360" s="920">
        <v>1313.3896666666667</v>
      </c>
      <c r="X360" s="920">
        <v>1479.0753333333334</v>
      </c>
      <c r="Y360" s="920">
        <v>18.795999999999999</v>
      </c>
      <c r="Z360" s="874">
        <f t="shared" si="27"/>
        <v>1755.0919999999992</v>
      </c>
      <c r="AA360" s="920">
        <v>545.5</v>
      </c>
      <c r="AB360" s="920">
        <v>108.78400000000001</v>
      </c>
      <c r="AC360" s="920">
        <v>154.20699999999999</v>
      </c>
      <c r="AD360" s="920">
        <v>154.77099999999999</v>
      </c>
      <c r="AE360" s="920">
        <v>1.3360000000000001</v>
      </c>
      <c r="AF360" s="920">
        <v>1576.5</v>
      </c>
      <c r="AG360" s="920">
        <v>277.27300000000002</v>
      </c>
      <c r="AH360" s="920">
        <v>453.60700000000003</v>
      </c>
      <c r="AI360" s="920">
        <v>464.541</v>
      </c>
      <c r="AJ360" s="920">
        <v>4.391</v>
      </c>
      <c r="AK360" s="919">
        <f>Data[[#This Row],[Industry Cost ($m)]]/Data[[#This Row],[Industry Consumption]]</f>
        <v>2.8900091659028413</v>
      </c>
      <c r="AL360" s="919">
        <f>Data[[#This Row],[AAL Fuel Cost]]/Data[[#This Row],[AAL Consumption]]</f>
        <v>2.5488399029269009</v>
      </c>
      <c r="AM360" s="919">
        <f>Data[[#This Row],[DAL Fuel Cost]]/Data[[#This Row],[DAL Consumption]]</f>
        <v>2.9415461036139736</v>
      </c>
      <c r="AN360" s="919">
        <f>Data[[#This Row],[UAL Fuel Cost]]/Data[[#This Row],[UALConsumption]]</f>
        <v>3.0014731441936799</v>
      </c>
      <c r="AO360" s="919">
        <f>IFERROR(Data[[#This Row],[LUV Fuel Cost]]/Data[[#This Row],[LUV Consumption]],0)</f>
        <v>3.2866766467065864</v>
      </c>
      <c r="AP360" s="783"/>
      <c r="AQ360" s="783"/>
      <c r="AR360" s="253"/>
      <c r="AS360" s="253"/>
      <c r="AT360" s="253"/>
      <c r="AU360" s="253"/>
    </row>
    <row r="361" spans="1:47" ht="10.5" customHeight="1">
      <c r="A361" s="263">
        <v>41547</v>
      </c>
      <c r="B361" s="263" t="s">
        <v>537</v>
      </c>
      <c r="C361" s="277">
        <v>23.503679999999999</v>
      </c>
      <c r="D361" s="277">
        <v>5.4382700000000002</v>
      </c>
      <c r="E361" s="277">
        <v>7.5850469999999994</v>
      </c>
      <c r="F361" s="277">
        <v>8.7536330000000007</v>
      </c>
      <c r="G361" s="277">
        <v>0</v>
      </c>
      <c r="H361" s="284">
        <f t="shared" si="24"/>
        <v>1.7267299999999999</v>
      </c>
      <c r="I361" s="277">
        <v>19.637566</v>
      </c>
      <c r="J361" s="277">
        <v>4.4729239999999999</v>
      </c>
      <c r="K361" s="277">
        <v>6.6255090000000001</v>
      </c>
      <c r="L361" s="277">
        <v>7.2358770000000003</v>
      </c>
      <c r="M361" s="277">
        <v>0</v>
      </c>
      <c r="N361" s="284">
        <f t="shared" si="25"/>
        <v>1.3032559999999975</v>
      </c>
      <c r="O361" s="277">
        <v>14.368204</v>
      </c>
      <c r="P361" s="277">
        <v>1.634307</v>
      </c>
      <c r="Q361" s="277">
        <v>1.7501880000000001</v>
      </c>
      <c r="R361" s="277">
        <v>1.870468</v>
      </c>
      <c r="S361" s="920">
        <v>0</v>
      </c>
      <c r="T361" s="874">
        <f t="shared" si="26"/>
        <v>9.1132410000000004</v>
      </c>
      <c r="U361" s="920">
        <v>5593.6349999999993</v>
      </c>
      <c r="V361" s="920">
        <v>1027.2819999999999</v>
      </c>
      <c r="W361" s="920">
        <v>1313.3896666666667</v>
      </c>
      <c r="X361" s="920">
        <v>1479.0753333333334</v>
      </c>
      <c r="Y361" s="920">
        <v>18.795999999999999</v>
      </c>
      <c r="Z361" s="874">
        <f t="shared" si="27"/>
        <v>1755.0919999999992</v>
      </c>
      <c r="AA361" s="920">
        <v>471.9</v>
      </c>
      <c r="AB361" s="920">
        <v>84.914000000000001</v>
      </c>
      <c r="AC361" s="920">
        <v>132.733</v>
      </c>
      <c r="AD361" s="920">
        <v>141.648</v>
      </c>
      <c r="AE361" s="920">
        <v>0.91400000000000003</v>
      </c>
      <c r="AF361" s="920">
        <v>1410.3</v>
      </c>
      <c r="AG361" s="920">
        <v>239.84299999999999</v>
      </c>
      <c r="AH361" s="920">
        <v>389.67</v>
      </c>
      <c r="AI361" s="920">
        <v>437.803</v>
      </c>
      <c r="AJ361" s="920">
        <v>3.036</v>
      </c>
      <c r="AK361" s="919">
        <f>Data[[#This Row],[Industry Cost ($m)]]/Data[[#This Row],[Industry Consumption]]</f>
        <v>2.9885568976478067</v>
      </c>
      <c r="AL361" s="919">
        <f>Data[[#This Row],[AAL Fuel Cost]]/Data[[#This Row],[AAL Consumption]]</f>
        <v>2.8245401229479237</v>
      </c>
      <c r="AM361" s="919">
        <f>Data[[#This Row],[DAL Fuel Cost]]/Data[[#This Row],[DAL Consumption]]</f>
        <v>2.9357431836845396</v>
      </c>
      <c r="AN361" s="919">
        <f>Data[[#This Row],[UAL Fuel Cost]]/Data[[#This Row],[UALConsumption]]</f>
        <v>3.0907813735456906</v>
      </c>
      <c r="AO361" s="919">
        <f>IFERROR(Data[[#This Row],[LUV Fuel Cost]]/Data[[#This Row],[LUV Consumption]],0)</f>
        <v>3.3216630196936543</v>
      </c>
      <c r="AP361" s="783"/>
      <c r="AQ361" s="783"/>
      <c r="AR361" s="253"/>
      <c r="AS361" s="253"/>
      <c r="AT361" s="253"/>
      <c r="AU361" s="253"/>
    </row>
    <row r="362" spans="1:47" ht="10.5" customHeight="1">
      <c r="A362" s="263">
        <v>41578</v>
      </c>
      <c r="B362" s="263" t="s">
        <v>537</v>
      </c>
      <c r="C362" s="277">
        <v>23.389925000000002</v>
      </c>
      <c r="D362" s="277">
        <v>5.5695139999999999</v>
      </c>
      <c r="E362" s="277">
        <v>7.3174510000000001</v>
      </c>
      <c r="F362" s="277">
        <v>8.7146309999999989</v>
      </c>
      <c r="G362" s="277">
        <v>0</v>
      </c>
      <c r="H362" s="284">
        <f t="shared" si="24"/>
        <v>1.7883290000000009</v>
      </c>
      <c r="I362" s="277">
        <v>19.012799999999999</v>
      </c>
      <c r="J362" s="277">
        <v>4.5376479999999999</v>
      </c>
      <c r="K362" s="277">
        <v>6.1597400000000002</v>
      </c>
      <c r="L362" s="277">
        <v>6.9350769999999997</v>
      </c>
      <c r="M362" s="277">
        <v>0</v>
      </c>
      <c r="N362" s="284">
        <f t="shared" si="25"/>
        <v>1.3803349999999988</v>
      </c>
      <c r="O362" s="277">
        <v>14.341721</v>
      </c>
      <c r="P362" s="277">
        <v>1.687648</v>
      </c>
      <c r="Q362" s="277">
        <v>1.619129</v>
      </c>
      <c r="R362" s="277">
        <v>1.827429</v>
      </c>
      <c r="S362" s="920">
        <v>0</v>
      </c>
      <c r="T362" s="874">
        <f t="shared" si="26"/>
        <v>9.207514999999999</v>
      </c>
      <c r="U362" s="920">
        <v>4876.0150000000003</v>
      </c>
      <c r="V362" s="920">
        <v>948.37266666666653</v>
      </c>
      <c r="W362" s="920">
        <v>984.375</v>
      </c>
      <c r="X362" s="920">
        <v>1270.3403333333333</v>
      </c>
      <c r="Y362" s="920">
        <v>16.088666666666665</v>
      </c>
      <c r="Z362" s="874">
        <f t="shared" si="27"/>
        <v>1656.838333333334</v>
      </c>
      <c r="AA362" s="920">
        <v>486.2</v>
      </c>
      <c r="AB362" s="920">
        <v>99.438999999999993</v>
      </c>
      <c r="AC362" s="920">
        <v>129.40899999999999</v>
      </c>
      <c r="AD362" s="920">
        <v>141.27600000000001</v>
      </c>
      <c r="AE362" s="920">
        <v>0.90400000000000003</v>
      </c>
      <c r="AF362" s="920">
        <v>1410.8</v>
      </c>
      <c r="AG362" s="920">
        <v>252.608</v>
      </c>
      <c r="AH362" s="920">
        <v>386.30399999999997</v>
      </c>
      <c r="AI362" s="920">
        <v>427.428</v>
      </c>
      <c r="AJ362" s="920">
        <v>2.8919999999999999</v>
      </c>
      <c r="AK362" s="919">
        <f>Data[[#This Row],[Industry Cost ($m)]]/Data[[#This Row],[Industry Consumption]]</f>
        <v>2.9016865487453725</v>
      </c>
      <c r="AL362" s="919">
        <f>Data[[#This Row],[AAL Fuel Cost]]/Data[[#This Row],[AAL Consumption]]</f>
        <v>2.5403312583593962</v>
      </c>
      <c r="AM362" s="919">
        <f>Data[[#This Row],[DAL Fuel Cost]]/Data[[#This Row],[DAL Consumption]]</f>
        <v>2.985140137084747</v>
      </c>
      <c r="AN362" s="919">
        <f>Data[[#This Row],[UAL Fuel Cost]]/Data[[#This Row],[UALConsumption]]</f>
        <v>3.0254820351652083</v>
      </c>
      <c r="AO362" s="919">
        <f>IFERROR(Data[[#This Row],[LUV Fuel Cost]]/Data[[#This Row],[LUV Consumption]],0)</f>
        <v>3.1991150442477876</v>
      </c>
      <c r="AP362" s="783"/>
      <c r="AQ362" s="783"/>
      <c r="AR362" s="253"/>
      <c r="AS362" s="253"/>
      <c r="AT362" s="253"/>
      <c r="AU362" s="253"/>
    </row>
    <row r="363" spans="1:47" ht="10.5" customHeight="1">
      <c r="A363" s="263">
        <v>41608</v>
      </c>
      <c r="B363" s="263" t="s">
        <v>537</v>
      </c>
      <c r="C363" s="277">
        <v>21.443909000000001</v>
      </c>
      <c r="D363" s="277">
        <v>5.3390490000000002</v>
      </c>
      <c r="E363" s="277">
        <v>6.3137229999999995</v>
      </c>
      <c r="F363" s="277">
        <v>7.9084329999999996</v>
      </c>
      <c r="G363" s="277">
        <v>0</v>
      </c>
      <c r="H363" s="284">
        <f t="shared" si="24"/>
        <v>1.8827040000000039</v>
      </c>
      <c r="I363" s="277">
        <v>16.695636</v>
      </c>
      <c r="J363" s="277">
        <v>4.082535</v>
      </c>
      <c r="K363" s="277">
        <v>5.0746310000000001</v>
      </c>
      <c r="L363" s="277">
        <v>6.0860640000000004</v>
      </c>
      <c r="M363" s="277">
        <v>0</v>
      </c>
      <c r="N363" s="284">
        <f t="shared" si="25"/>
        <v>1.4524059999999999</v>
      </c>
      <c r="O363" s="277">
        <v>13.260465999999999</v>
      </c>
      <c r="P363" s="277">
        <v>1.63063</v>
      </c>
      <c r="Q363" s="277">
        <v>1.4069590000000001</v>
      </c>
      <c r="R363" s="277">
        <v>1.7188220000000001</v>
      </c>
      <c r="S363" s="920">
        <v>0</v>
      </c>
      <c r="T363" s="874">
        <f t="shared" si="26"/>
        <v>8.5040549999999993</v>
      </c>
      <c r="U363" s="920">
        <v>4876.0150000000003</v>
      </c>
      <c r="V363" s="920">
        <v>948.37266666666653</v>
      </c>
      <c r="W363" s="920">
        <v>984.375</v>
      </c>
      <c r="X363" s="920">
        <v>1270.3403333333333</v>
      </c>
      <c r="Y363" s="920">
        <v>16.088666666666665</v>
      </c>
      <c r="Z363" s="874">
        <f t="shared" si="27"/>
        <v>1656.838333333334</v>
      </c>
      <c r="AA363" s="920">
        <v>450.9</v>
      </c>
      <c r="AB363" s="920">
        <v>94.197999999999993</v>
      </c>
      <c r="AC363" s="920">
        <v>113.021</v>
      </c>
      <c r="AD363" s="920">
        <v>129.24199999999999</v>
      </c>
      <c r="AE363" s="920">
        <v>1.006</v>
      </c>
      <c r="AF363" s="920">
        <v>1309.5999999999999</v>
      </c>
      <c r="AG363" s="920">
        <v>237.215</v>
      </c>
      <c r="AH363" s="920">
        <v>346.94299999999998</v>
      </c>
      <c r="AI363" s="920">
        <v>387.53199999999998</v>
      </c>
      <c r="AJ363" s="920">
        <v>3.1659999999999999</v>
      </c>
      <c r="AK363" s="919">
        <f>Data[[#This Row],[Industry Cost ($m)]]/Data[[#This Row],[Industry Consumption]]</f>
        <v>2.9044133954313596</v>
      </c>
      <c r="AL363" s="919">
        <f>Data[[#This Row],[AAL Fuel Cost]]/Data[[#This Row],[AAL Consumption]]</f>
        <v>2.5182594110278353</v>
      </c>
      <c r="AM363" s="919">
        <f>Data[[#This Row],[DAL Fuel Cost]]/Data[[#This Row],[DAL Consumption]]</f>
        <v>3.0697215561709768</v>
      </c>
      <c r="AN363" s="919">
        <f>Data[[#This Row],[UAL Fuel Cost]]/Data[[#This Row],[UALConsumption]]</f>
        <v>2.9984989399730737</v>
      </c>
      <c r="AO363" s="919">
        <f>IFERROR(Data[[#This Row],[LUV Fuel Cost]]/Data[[#This Row],[LUV Consumption]],0)</f>
        <v>3.1471172962226639</v>
      </c>
      <c r="AP363" s="783"/>
      <c r="AQ363" s="783"/>
      <c r="AR363" s="253"/>
      <c r="AS363" s="253"/>
      <c r="AT363" s="253"/>
      <c r="AU363" s="253"/>
    </row>
    <row r="364" spans="1:47" ht="10.5" customHeight="1">
      <c r="A364" s="263">
        <v>41639</v>
      </c>
      <c r="B364" s="263" t="s">
        <v>537</v>
      </c>
      <c r="C364" s="277">
        <v>22.964821000000001</v>
      </c>
      <c r="D364" s="277">
        <v>5.8598810000000006</v>
      </c>
      <c r="E364" s="277">
        <v>6.7738839999999998</v>
      </c>
      <c r="F364" s="277">
        <v>8.1742629999999998</v>
      </c>
      <c r="G364" s="277">
        <v>0</v>
      </c>
      <c r="H364" s="284">
        <f t="shared" si="24"/>
        <v>2.1567930000000004</v>
      </c>
      <c r="I364" s="277">
        <v>19.104336</v>
      </c>
      <c r="J364" s="277">
        <v>4.8145210000000001</v>
      </c>
      <c r="K364" s="277">
        <v>5.8249060000000004</v>
      </c>
      <c r="L364" s="277">
        <v>6.7822480000000001</v>
      </c>
      <c r="M364" s="277">
        <v>0</v>
      </c>
      <c r="N364" s="284">
        <f t="shared" si="25"/>
        <v>1.6826609999999995</v>
      </c>
      <c r="O364" s="277">
        <v>15.205588000000001</v>
      </c>
      <c r="P364" s="277">
        <v>1.9505539999999999</v>
      </c>
      <c r="Q364" s="277">
        <v>1.654873</v>
      </c>
      <c r="R364" s="277">
        <v>1.971843</v>
      </c>
      <c r="S364" s="920">
        <v>0</v>
      </c>
      <c r="T364" s="874">
        <f t="shared" si="26"/>
        <v>9.6283180000000002</v>
      </c>
      <c r="U364" s="920">
        <v>4876.0150000000003</v>
      </c>
      <c r="V364" s="920">
        <v>948.37266666666653</v>
      </c>
      <c r="W364" s="920">
        <v>984.375</v>
      </c>
      <c r="X364" s="920">
        <v>1270.3403333333333</v>
      </c>
      <c r="Y364" s="920">
        <v>16.088666666666665</v>
      </c>
      <c r="Z364" s="874">
        <f t="shared" si="27"/>
        <v>1656.838333333334</v>
      </c>
      <c r="AA364" s="920">
        <v>464.1</v>
      </c>
      <c r="AB364" s="920">
        <v>90.234999999999999</v>
      </c>
      <c r="AC364" s="920">
        <v>122.85</v>
      </c>
      <c r="AD364" s="920">
        <v>132.982</v>
      </c>
      <c r="AE364" s="920">
        <v>1.3140000000000001</v>
      </c>
      <c r="AF364" s="920">
        <v>1391.5</v>
      </c>
      <c r="AG364" s="920">
        <v>263.02999999999997</v>
      </c>
      <c r="AH364" s="920">
        <v>374.79399999999998</v>
      </c>
      <c r="AI364" s="920">
        <v>401.87400000000002</v>
      </c>
      <c r="AJ364" s="920">
        <v>4.3</v>
      </c>
      <c r="AK364" s="919">
        <f>Data[[#This Row],[Industry Cost ($m)]]/Data[[#This Row],[Industry Consumption]]</f>
        <v>2.9982762335703512</v>
      </c>
      <c r="AL364" s="919">
        <f>Data[[#This Row],[AAL Fuel Cost]]/Data[[#This Row],[AAL Consumption]]</f>
        <v>2.9149443120740286</v>
      </c>
      <c r="AM364" s="919">
        <f>Data[[#This Row],[DAL Fuel Cost]]/Data[[#This Row],[DAL Consumption]]</f>
        <v>3.050826210826211</v>
      </c>
      <c r="AN364" s="919">
        <f>Data[[#This Row],[UAL Fuel Cost]]/Data[[#This Row],[UALConsumption]]</f>
        <v>3.0220180174760496</v>
      </c>
      <c r="AO364" s="919">
        <f>IFERROR(Data[[#This Row],[LUV Fuel Cost]]/Data[[#This Row],[LUV Consumption]],0)</f>
        <v>3.272450532724505</v>
      </c>
      <c r="AP364" s="783"/>
      <c r="AQ364" s="783"/>
      <c r="AR364" s="253"/>
      <c r="AS364" s="253"/>
      <c r="AT364" s="253"/>
      <c r="AU364" s="253"/>
    </row>
    <row r="365" spans="1:47" ht="10.5" customHeight="1">
      <c r="A365" s="263">
        <v>41670</v>
      </c>
      <c r="B365" s="263" t="s">
        <v>537</v>
      </c>
      <c r="C365" s="277">
        <v>23.090789999999998</v>
      </c>
      <c r="D365" s="277">
        <v>5.8720889999999999</v>
      </c>
      <c r="E365" s="277">
        <v>6.7341600000000001</v>
      </c>
      <c r="F365" s="277">
        <v>8.3445610000000006</v>
      </c>
      <c r="G365" s="277">
        <v>0</v>
      </c>
      <c r="H365" s="284">
        <f t="shared" si="24"/>
        <v>2.1399799999999978</v>
      </c>
      <c r="I365" s="277">
        <v>18.498297000000001</v>
      </c>
      <c r="J365" s="277">
        <v>4.6838170000000003</v>
      </c>
      <c r="K365" s="277">
        <v>5.5735710000000003</v>
      </c>
      <c r="L365" s="277">
        <v>6.5752090000000001</v>
      </c>
      <c r="M365" s="277">
        <v>0</v>
      </c>
      <c r="N365" s="284">
        <f t="shared" si="25"/>
        <v>1.6657000000000011</v>
      </c>
      <c r="O365" s="277">
        <v>14.692606</v>
      </c>
      <c r="P365" s="277">
        <v>1.881402</v>
      </c>
      <c r="Q365" s="277">
        <v>1.6154740000000001</v>
      </c>
      <c r="R365" s="277">
        <v>1.9060280000000001</v>
      </c>
      <c r="S365" s="920">
        <v>0</v>
      </c>
      <c r="T365" s="874">
        <f t="shared" si="26"/>
        <v>9.2897019999999983</v>
      </c>
      <c r="U365" s="920">
        <v>4710.415</v>
      </c>
      <c r="V365" s="920">
        <v>919.51400000000001</v>
      </c>
      <c r="W365" s="920">
        <v>966.62566666666669</v>
      </c>
      <c r="X365" s="920">
        <v>1230.2323333333334</v>
      </c>
      <c r="Y365" s="920">
        <v>19.858333333333334</v>
      </c>
      <c r="Z365" s="874">
        <f t="shared" si="27"/>
        <v>1574.1846666666665</v>
      </c>
      <c r="AA365" s="920">
        <v>470.3</v>
      </c>
      <c r="AB365" s="920">
        <v>101.277</v>
      </c>
      <c r="AC365" s="920">
        <v>120.739</v>
      </c>
      <c r="AD365" s="920">
        <v>132.88399999999999</v>
      </c>
      <c r="AE365" s="920">
        <v>1.2869999999999999</v>
      </c>
      <c r="AF365" s="920">
        <v>1386.3</v>
      </c>
      <c r="AG365" s="920">
        <v>265.565</v>
      </c>
      <c r="AH365" s="920">
        <v>361.27199999999999</v>
      </c>
      <c r="AI365" s="920">
        <v>408.27699999999999</v>
      </c>
      <c r="AJ365" s="920">
        <v>4.2569999999999997</v>
      </c>
      <c r="AK365" s="919">
        <f>Data[[#This Row],[Industry Cost ($m)]]/Data[[#This Row],[Industry Consumption]]</f>
        <v>2.9476929619391874</v>
      </c>
      <c r="AL365" s="919">
        <f>Data[[#This Row],[AAL Fuel Cost]]/Data[[#This Row],[AAL Consumption]]</f>
        <v>2.6221649535432525</v>
      </c>
      <c r="AM365" s="919">
        <f>Data[[#This Row],[DAL Fuel Cost]]/Data[[#This Row],[DAL Consumption]]</f>
        <v>2.9921732000430681</v>
      </c>
      <c r="AN365" s="919">
        <f>Data[[#This Row],[UAL Fuel Cost]]/Data[[#This Row],[UALConsumption]]</f>
        <v>3.0724315944733753</v>
      </c>
      <c r="AO365" s="919">
        <f>IFERROR(Data[[#This Row],[LUV Fuel Cost]]/Data[[#This Row],[LUV Consumption]],0)</f>
        <v>3.3076923076923075</v>
      </c>
      <c r="AP365" s="783"/>
      <c r="AQ365" s="783"/>
      <c r="AR365" s="253"/>
      <c r="AS365" s="253"/>
      <c r="AT365" s="253"/>
      <c r="AU365" s="253"/>
    </row>
    <row r="366" spans="1:47" ht="10.5" customHeight="1">
      <c r="A366" s="263">
        <v>41698</v>
      </c>
      <c r="B366" s="263" t="s">
        <v>537</v>
      </c>
      <c r="C366" s="277">
        <v>20.732931000000001</v>
      </c>
      <c r="D366" s="277">
        <v>5.2301169999999999</v>
      </c>
      <c r="E366" s="277">
        <v>5.9421580000000001</v>
      </c>
      <c r="F366" s="277">
        <v>7.5678090000000005</v>
      </c>
      <c r="G366" s="277">
        <v>0</v>
      </c>
      <c r="H366" s="284">
        <f t="shared" si="24"/>
        <v>1.9928470000000011</v>
      </c>
      <c r="I366" s="277">
        <v>15.595686000000001</v>
      </c>
      <c r="J366" s="277">
        <v>3.7826580000000001</v>
      </c>
      <c r="K366" s="277">
        <v>4.6779789999999997</v>
      </c>
      <c r="L366" s="277">
        <v>5.5918049999999999</v>
      </c>
      <c r="M366" s="277">
        <v>0</v>
      </c>
      <c r="N366" s="284">
        <f t="shared" si="25"/>
        <v>1.5432440000000014</v>
      </c>
      <c r="O366" s="277">
        <v>12.4826</v>
      </c>
      <c r="P366" s="277">
        <v>1.5583640000000001</v>
      </c>
      <c r="Q366" s="277">
        <v>1.4039759999999999</v>
      </c>
      <c r="R366" s="277">
        <v>1.6716150000000001</v>
      </c>
      <c r="S366" s="920">
        <v>0</v>
      </c>
      <c r="T366" s="874">
        <f t="shared" si="26"/>
        <v>7.8486449999999994</v>
      </c>
      <c r="U366" s="920">
        <v>4710.415</v>
      </c>
      <c r="V366" s="920">
        <v>919.51400000000001</v>
      </c>
      <c r="W366" s="920">
        <v>966.62566666666669</v>
      </c>
      <c r="X366" s="920">
        <v>1230.2323333333334</v>
      </c>
      <c r="Y366" s="920">
        <v>19.858333333333334</v>
      </c>
      <c r="Z366" s="874">
        <f t="shared" si="27"/>
        <v>1574.1846666666665</v>
      </c>
      <c r="AA366" s="920">
        <v>406.6</v>
      </c>
      <c r="AB366" s="920">
        <v>79.55</v>
      </c>
      <c r="AC366" s="920">
        <v>106.235</v>
      </c>
      <c r="AD366" s="920">
        <v>120.736</v>
      </c>
      <c r="AE366" s="920">
        <v>1.33</v>
      </c>
      <c r="AF366" s="920">
        <v>1210.2</v>
      </c>
      <c r="AG366" s="920">
        <v>227.13800000000001</v>
      </c>
      <c r="AH366" s="920">
        <v>316.04500000000002</v>
      </c>
      <c r="AI366" s="920">
        <v>365.47300000000001</v>
      </c>
      <c r="AJ366" s="920">
        <v>4.4000000000000004</v>
      </c>
      <c r="AK366" s="919">
        <f>Data[[#This Row],[Industry Cost ($m)]]/Data[[#This Row],[Industry Consumption]]</f>
        <v>2.9763895720609934</v>
      </c>
      <c r="AL366" s="919">
        <f>Data[[#This Row],[AAL Fuel Cost]]/Data[[#This Row],[AAL Consumption]]</f>
        <v>2.8552859836580771</v>
      </c>
      <c r="AM366" s="919">
        <f>Data[[#This Row],[DAL Fuel Cost]]/Data[[#This Row],[DAL Consumption]]</f>
        <v>2.9749611709888457</v>
      </c>
      <c r="AN366" s="919">
        <f>Data[[#This Row],[UAL Fuel Cost]]/Data[[#This Row],[UALConsumption]]</f>
        <v>3.0270424728332892</v>
      </c>
      <c r="AO366" s="919">
        <f>IFERROR(Data[[#This Row],[LUV Fuel Cost]]/Data[[#This Row],[LUV Consumption]],0)</f>
        <v>3.3082706766917296</v>
      </c>
      <c r="AP366" s="783"/>
      <c r="AQ366" s="783"/>
      <c r="AR366" s="253"/>
      <c r="AS366" s="253"/>
      <c r="AT366" s="253"/>
      <c r="AU366" s="253"/>
    </row>
    <row r="367" spans="1:47" ht="10.5" customHeight="1">
      <c r="A367" s="263">
        <v>41729</v>
      </c>
      <c r="B367" s="263" t="s">
        <v>537</v>
      </c>
      <c r="C367" s="277">
        <v>24.543655999999999</v>
      </c>
      <c r="D367" s="277">
        <v>5.9150600000000004</v>
      </c>
      <c r="E367" s="277">
        <v>7.2021610000000003</v>
      </c>
      <c r="F367" s="277">
        <v>9.172409</v>
      </c>
      <c r="G367" s="277">
        <v>0</v>
      </c>
      <c r="H367" s="284">
        <f t="shared" si="24"/>
        <v>2.2540259999999961</v>
      </c>
      <c r="I367" s="277">
        <v>19.496314999999999</v>
      </c>
      <c r="J367" s="277">
        <v>4.460242</v>
      </c>
      <c r="K367" s="277">
        <v>6.0397610000000004</v>
      </c>
      <c r="L367" s="277">
        <v>7.213514</v>
      </c>
      <c r="M367" s="277">
        <v>0</v>
      </c>
      <c r="N367" s="284">
        <f t="shared" si="25"/>
        <v>1.7827979999999997</v>
      </c>
      <c r="O367" s="277">
        <v>15.604456000000001</v>
      </c>
      <c r="P367" s="277">
        <v>1.8072550000000001</v>
      </c>
      <c r="Q367" s="277">
        <v>1.8230470000000001</v>
      </c>
      <c r="R367" s="277">
        <v>2.2222979999999999</v>
      </c>
      <c r="S367" s="920">
        <v>0</v>
      </c>
      <c r="T367" s="874">
        <f t="shared" si="26"/>
        <v>9.7518560000000001</v>
      </c>
      <c r="U367" s="920">
        <v>4710.415</v>
      </c>
      <c r="V367" s="920">
        <v>919.51400000000001</v>
      </c>
      <c r="W367" s="920">
        <v>966.62566666666669</v>
      </c>
      <c r="X367" s="920">
        <v>1230.2323333333334</v>
      </c>
      <c r="Y367" s="920">
        <v>19.858333333333334</v>
      </c>
      <c r="Z367" s="874">
        <f t="shared" si="27"/>
        <v>1574.1846666666665</v>
      </c>
      <c r="AA367" s="920">
        <v>486.5</v>
      </c>
      <c r="AB367" s="920">
        <v>90.503</v>
      </c>
      <c r="AC367" s="920">
        <v>128.45400000000001</v>
      </c>
      <c r="AD367" s="920">
        <v>146.29599999999999</v>
      </c>
      <c r="AE367" s="920">
        <v>1.756</v>
      </c>
      <c r="AF367" s="920">
        <v>1481.3</v>
      </c>
      <c r="AG367" s="920">
        <v>286.12200000000001</v>
      </c>
      <c r="AH367" s="920">
        <v>388.15699999999998</v>
      </c>
      <c r="AI367" s="920">
        <v>443.95400000000001</v>
      </c>
      <c r="AJ367" s="920">
        <v>5.8029999999999999</v>
      </c>
      <c r="AK367" s="919">
        <f>Data[[#This Row],[Industry Cost ($m)]]/Data[[#This Row],[Industry Consumption]]</f>
        <v>3.0448098663926002</v>
      </c>
      <c r="AL367" s="919">
        <f>Data[[#This Row],[AAL Fuel Cost]]/Data[[#This Row],[AAL Consumption]]</f>
        <v>3.1614642608532315</v>
      </c>
      <c r="AM367" s="919">
        <f>Data[[#This Row],[DAL Fuel Cost]]/Data[[#This Row],[DAL Consumption]]</f>
        <v>3.0217587618914159</v>
      </c>
      <c r="AN367" s="919">
        <f>Data[[#This Row],[UAL Fuel Cost]]/Data[[#This Row],[UALConsumption]]</f>
        <v>3.0346284245638979</v>
      </c>
      <c r="AO367" s="919">
        <f>IFERROR(Data[[#This Row],[LUV Fuel Cost]]/Data[[#This Row],[LUV Consumption]],0)</f>
        <v>3.3046697038724373</v>
      </c>
      <c r="AP367" s="783"/>
      <c r="AQ367" s="783"/>
      <c r="AR367" s="253"/>
      <c r="AS367" s="253"/>
      <c r="AT367" s="253"/>
      <c r="AU367" s="253"/>
    </row>
    <row r="368" spans="1:47" ht="10.5" customHeight="1">
      <c r="A368" s="263">
        <v>41759</v>
      </c>
      <c r="B368" s="263" t="s">
        <v>537</v>
      </c>
      <c r="C368" s="277">
        <v>23.872343999999998</v>
      </c>
      <c r="D368" s="277">
        <v>5.6974020000000003</v>
      </c>
      <c r="E368" s="277">
        <v>7.1766130000000006</v>
      </c>
      <c r="F368" s="277">
        <v>8.8514289999999995</v>
      </c>
      <c r="G368" s="277">
        <v>0</v>
      </c>
      <c r="H368" s="284">
        <f t="shared" si="24"/>
        <v>2.1468999999999987</v>
      </c>
      <c r="I368" s="277">
        <v>19.137153000000001</v>
      </c>
      <c r="J368" s="277">
        <v>4.4571670000000001</v>
      </c>
      <c r="K368" s="277">
        <v>5.9516359999999997</v>
      </c>
      <c r="L368" s="277">
        <v>7.077305</v>
      </c>
      <c r="M368" s="277">
        <v>0</v>
      </c>
      <c r="N368" s="284">
        <f t="shared" si="25"/>
        <v>1.6510450000000034</v>
      </c>
      <c r="O368" s="277">
        <v>15.471266999999999</v>
      </c>
      <c r="P368" s="277">
        <v>1.767296</v>
      </c>
      <c r="Q368" s="277">
        <v>1.688545</v>
      </c>
      <c r="R368" s="277">
        <v>2.0836679999999999</v>
      </c>
      <c r="S368" s="920">
        <v>0</v>
      </c>
      <c r="T368" s="874">
        <f t="shared" si="26"/>
        <v>9.9317579999999985</v>
      </c>
      <c r="U368" s="920">
        <v>5391.7393333333339</v>
      </c>
      <c r="V368" s="920">
        <v>1000.1163333333334</v>
      </c>
      <c r="W368" s="920">
        <v>1195.7036666666668</v>
      </c>
      <c r="X368" s="920">
        <v>1470.5493333333334</v>
      </c>
      <c r="Y368" s="920">
        <v>21.382333333333335</v>
      </c>
      <c r="Z368" s="874">
        <f t="shared" si="27"/>
        <v>1703.9876666666669</v>
      </c>
      <c r="AA368" s="920">
        <v>474.5</v>
      </c>
      <c r="AB368" s="920">
        <v>87.566000000000003</v>
      </c>
      <c r="AC368" s="920">
        <v>125.626</v>
      </c>
      <c r="AD368" s="920">
        <v>139.94900000000001</v>
      </c>
      <c r="AE368" s="920">
        <v>1.474</v>
      </c>
      <c r="AF368" s="920">
        <v>1391.7</v>
      </c>
      <c r="AG368" s="920">
        <v>252.84200000000001</v>
      </c>
      <c r="AH368" s="920">
        <v>363.52100000000002</v>
      </c>
      <c r="AI368" s="920">
        <v>419.62400000000002</v>
      </c>
      <c r="AJ368" s="920">
        <v>4.843</v>
      </c>
      <c r="AK368" s="919">
        <f>Data[[#This Row],[Industry Cost ($m)]]/Data[[#This Row],[Industry Consumption]]</f>
        <v>2.932982086406744</v>
      </c>
      <c r="AL368" s="919">
        <f>Data[[#This Row],[AAL Fuel Cost]]/Data[[#This Row],[AAL Consumption]]</f>
        <v>2.887444898704977</v>
      </c>
      <c r="AM368" s="919">
        <f>Data[[#This Row],[DAL Fuel Cost]]/Data[[#This Row],[DAL Consumption]]</f>
        <v>2.8936764682470191</v>
      </c>
      <c r="AN368" s="919">
        <f>Data[[#This Row],[UAL Fuel Cost]]/Data[[#This Row],[UALConsumption]]</f>
        <v>2.9984065623905849</v>
      </c>
      <c r="AO368" s="919">
        <f>IFERROR(Data[[#This Row],[LUV Fuel Cost]]/Data[[#This Row],[LUV Consumption]],0)</f>
        <v>3.2856173677069198</v>
      </c>
      <c r="AP368" s="783"/>
      <c r="AQ368" s="783"/>
      <c r="AR368" s="253"/>
      <c r="AS368" s="253"/>
      <c r="AT368" s="253"/>
      <c r="AU368" s="253"/>
    </row>
    <row r="369" spans="1:47" ht="10.5" customHeight="1">
      <c r="A369" s="263">
        <v>41790</v>
      </c>
      <c r="B369" s="263" t="s">
        <v>537</v>
      </c>
      <c r="C369" s="277">
        <v>25.509119999999999</v>
      </c>
      <c r="D369" s="277">
        <v>5.9859059999999999</v>
      </c>
      <c r="E369" s="277">
        <v>7.8287630000000004</v>
      </c>
      <c r="F369" s="277">
        <v>9.5524009999999997</v>
      </c>
      <c r="G369" s="277">
        <v>0</v>
      </c>
      <c r="H369" s="284">
        <f t="shared" si="24"/>
        <v>2.1420500000000011</v>
      </c>
      <c r="I369" s="277">
        <v>21.150126</v>
      </c>
      <c r="J369" s="277">
        <v>4.7927600000000004</v>
      </c>
      <c r="K369" s="277">
        <v>6.7382970000000002</v>
      </c>
      <c r="L369" s="277">
        <v>7.9700899999999999</v>
      </c>
      <c r="M369" s="277">
        <v>0</v>
      </c>
      <c r="N369" s="284">
        <f t="shared" si="25"/>
        <v>1.6489790000000006</v>
      </c>
      <c r="O369" s="277">
        <v>16.338377999999999</v>
      </c>
      <c r="P369" s="277">
        <v>1.8209599999999999</v>
      </c>
      <c r="Q369" s="277">
        <v>1.844025</v>
      </c>
      <c r="R369" s="277">
        <v>2.2197369999999998</v>
      </c>
      <c r="S369" s="920">
        <v>0</v>
      </c>
      <c r="T369" s="874">
        <f t="shared" si="26"/>
        <v>10.453655999999999</v>
      </c>
      <c r="U369" s="920">
        <v>5391.7393333333339</v>
      </c>
      <c r="V369" s="920">
        <v>1000.1163333333334</v>
      </c>
      <c r="W369" s="920">
        <v>1195.7036666666668</v>
      </c>
      <c r="X369" s="920">
        <v>1470.5493333333334</v>
      </c>
      <c r="Y369" s="920">
        <v>21.382333333333335</v>
      </c>
      <c r="Z369" s="874">
        <f t="shared" si="27"/>
        <v>1703.9876666666669</v>
      </c>
      <c r="AA369" s="920">
        <v>509.5</v>
      </c>
      <c r="AB369" s="920">
        <v>92.605000000000004</v>
      </c>
      <c r="AC369" s="920">
        <v>136.57900000000001</v>
      </c>
      <c r="AD369" s="920">
        <v>152.65</v>
      </c>
      <c r="AE369" s="920">
        <v>1.3839999999999999</v>
      </c>
      <c r="AF369" s="920">
        <v>1494.7</v>
      </c>
      <c r="AG369" s="920">
        <v>263.541</v>
      </c>
      <c r="AH369" s="920">
        <v>399.25299999999999</v>
      </c>
      <c r="AI369" s="920">
        <v>455.74700000000001</v>
      </c>
      <c r="AJ369" s="920">
        <v>4.5090000000000003</v>
      </c>
      <c r="AK369" s="919">
        <f>Data[[#This Row],[Industry Cost ($m)]]/Data[[#This Row],[Industry Consumption]]</f>
        <v>2.9336604514229636</v>
      </c>
      <c r="AL369" s="919">
        <f>Data[[#This Row],[AAL Fuel Cost]]/Data[[#This Row],[AAL Consumption]]</f>
        <v>2.845861454565088</v>
      </c>
      <c r="AM369" s="919">
        <f>Data[[#This Row],[DAL Fuel Cost]]/Data[[#This Row],[DAL Consumption]]</f>
        <v>2.923238565225986</v>
      </c>
      <c r="AN369" s="919">
        <f>Data[[#This Row],[UAL Fuel Cost]]/Data[[#This Row],[UALConsumption]]</f>
        <v>2.9855682934818213</v>
      </c>
      <c r="AO369" s="919">
        <f>IFERROR(Data[[#This Row],[LUV Fuel Cost]]/Data[[#This Row],[LUV Consumption]],0)</f>
        <v>3.2579479768786133</v>
      </c>
      <c r="AP369" s="783"/>
      <c r="AQ369" s="783"/>
      <c r="AR369" s="253"/>
      <c r="AS369" s="253"/>
      <c r="AT369" s="253"/>
      <c r="AU369" s="253"/>
    </row>
    <row r="370" spans="1:47" ht="10.5" customHeight="1">
      <c r="A370" s="263">
        <v>41820</v>
      </c>
      <c r="B370" s="263" t="s">
        <v>537</v>
      </c>
      <c r="C370" s="277">
        <v>26.814537999999999</v>
      </c>
      <c r="D370" s="277">
        <v>6.1577290000000007</v>
      </c>
      <c r="E370" s="277">
        <v>8.7881499999999999</v>
      </c>
      <c r="F370" s="277">
        <v>9.7035820000000008</v>
      </c>
      <c r="G370" s="277">
        <v>0</v>
      </c>
      <c r="H370" s="284">
        <f t="shared" si="24"/>
        <v>2.1650769999999966</v>
      </c>
      <c r="I370" s="277">
        <v>22.774706999999999</v>
      </c>
      <c r="J370" s="277">
        <v>5.0199780000000001</v>
      </c>
      <c r="K370" s="277">
        <v>7.6642099999999997</v>
      </c>
      <c r="L370" s="277">
        <v>8.3789859999999994</v>
      </c>
      <c r="M370" s="277">
        <v>0</v>
      </c>
      <c r="N370" s="284">
        <f t="shared" si="25"/>
        <v>1.7115330000000029</v>
      </c>
      <c r="O370" s="277">
        <v>17.361716999999999</v>
      </c>
      <c r="P370" s="277">
        <v>1.9185449999999999</v>
      </c>
      <c r="Q370" s="277">
        <v>2.1377549999999998</v>
      </c>
      <c r="R370" s="277">
        <v>2.4289809999999998</v>
      </c>
      <c r="S370" s="920">
        <v>0</v>
      </c>
      <c r="T370" s="874">
        <f t="shared" si="26"/>
        <v>10.876435999999998</v>
      </c>
      <c r="U370" s="920">
        <v>5391.7393333333339</v>
      </c>
      <c r="V370" s="920">
        <v>1000.1163333333334</v>
      </c>
      <c r="W370" s="920">
        <v>1195.7036666666668</v>
      </c>
      <c r="X370" s="920">
        <v>1470.5493333333334</v>
      </c>
      <c r="Y370" s="920">
        <v>21.382333333333335</v>
      </c>
      <c r="Z370" s="874">
        <f t="shared" si="27"/>
        <v>1703.9876666666669</v>
      </c>
      <c r="AA370" s="920">
        <v>529.6</v>
      </c>
      <c r="AB370" s="920">
        <v>95.614000000000004</v>
      </c>
      <c r="AC370" s="920">
        <v>151.744</v>
      </c>
      <c r="AD370" s="920">
        <v>153.559</v>
      </c>
      <c r="AE370" s="920">
        <v>1.3720000000000001</v>
      </c>
      <c r="AF370" s="920">
        <v>1543.1</v>
      </c>
      <c r="AG370" s="920">
        <v>269.50599999999997</v>
      </c>
      <c r="AH370" s="920">
        <v>437.22300000000001</v>
      </c>
      <c r="AI370" s="920">
        <v>456.54399999999998</v>
      </c>
      <c r="AJ370" s="920">
        <v>4.4400000000000004</v>
      </c>
      <c r="AK370" s="919">
        <f>Data[[#This Row],[Industry Cost ($m)]]/Data[[#This Row],[Industry Consumption]]</f>
        <v>2.9137084592145013</v>
      </c>
      <c r="AL370" s="919">
        <f>Data[[#This Row],[AAL Fuel Cost]]/Data[[#This Row],[AAL Consumption]]</f>
        <v>2.818687639885372</v>
      </c>
      <c r="AM370" s="919">
        <f>Data[[#This Row],[DAL Fuel Cost]]/Data[[#This Row],[DAL Consumption]]</f>
        <v>2.8813198544917755</v>
      </c>
      <c r="AN370" s="919">
        <f>Data[[#This Row],[UAL Fuel Cost]]/Data[[#This Row],[UALConsumption]]</f>
        <v>2.9730852636445926</v>
      </c>
      <c r="AO370" s="919">
        <f>IFERROR(Data[[#This Row],[LUV Fuel Cost]]/Data[[#This Row],[LUV Consumption]],0)</f>
        <v>3.2361516034985423</v>
      </c>
      <c r="AP370" s="783"/>
      <c r="AQ370" s="783"/>
      <c r="AR370" s="253"/>
      <c r="AS370" s="253"/>
      <c r="AT370" s="253"/>
      <c r="AU370" s="253"/>
    </row>
    <row r="371" spans="1:47" ht="10.5" customHeight="1">
      <c r="A371" s="263">
        <v>41851</v>
      </c>
      <c r="B371" s="263" t="s">
        <v>537</v>
      </c>
      <c r="C371" s="277">
        <v>28.276478999999998</v>
      </c>
      <c r="D371" s="277">
        <v>6.5133400000000004</v>
      </c>
      <c r="E371" s="277">
        <v>9.2458330000000011</v>
      </c>
      <c r="F371" s="277">
        <v>10.156395</v>
      </c>
      <c r="G371" s="277">
        <v>8.3468000000000001E-2</v>
      </c>
      <c r="H371" s="284">
        <f t="shared" si="24"/>
        <v>2.2774429999999981</v>
      </c>
      <c r="I371" s="277">
        <v>24.049589000000001</v>
      </c>
      <c r="J371" s="277">
        <v>5.3689929999999997</v>
      </c>
      <c r="K371" s="277">
        <v>7.9675269999999996</v>
      </c>
      <c r="L371" s="277">
        <v>8.7333099999999995</v>
      </c>
      <c r="M371" s="277">
        <v>6.2864000000000003E-2</v>
      </c>
      <c r="N371" s="284">
        <f t="shared" si="25"/>
        <v>1.9168950000000002</v>
      </c>
      <c r="O371" s="277">
        <v>18.784523</v>
      </c>
      <c r="P371" s="277">
        <v>2.106182</v>
      </c>
      <c r="Q371" s="277">
        <v>2.2731249999999998</v>
      </c>
      <c r="R371" s="277">
        <v>2.6009199999999999</v>
      </c>
      <c r="S371" s="277">
        <v>4.7718999999999998E-2</v>
      </c>
      <c r="T371" s="284">
        <f t="shared" si="26"/>
        <v>11.756577</v>
      </c>
      <c r="U371" s="920">
        <v>5663.9370000000008</v>
      </c>
      <c r="V371" s="920">
        <v>1017.119</v>
      </c>
      <c r="W371" s="920">
        <v>1376.0866666666668</v>
      </c>
      <c r="X371" s="920">
        <v>1532.1896666666664</v>
      </c>
      <c r="Y371" s="920">
        <v>16.764333333333333</v>
      </c>
      <c r="Z371" s="874">
        <f t="shared" si="27"/>
        <v>1721.7773333333344</v>
      </c>
      <c r="AA371" s="920">
        <v>570.1</v>
      </c>
      <c r="AB371" s="920">
        <v>114.273</v>
      </c>
      <c r="AC371" s="920">
        <v>158.47900000000001</v>
      </c>
      <c r="AD371" s="920">
        <v>160.952</v>
      </c>
      <c r="AE371" s="920">
        <v>1.4530000000000001</v>
      </c>
      <c r="AF371" s="920">
        <v>1617.1</v>
      </c>
      <c r="AG371" s="920">
        <v>281.24900000000002</v>
      </c>
      <c r="AH371" s="920">
        <v>456.03699999999998</v>
      </c>
      <c r="AI371" s="920">
        <v>479.30500000000001</v>
      </c>
      <c r="AJ371" s="920">
        <v>4.657</v>
      </c>
      <c r="AK371" s="919">
        <f>Data[[#This Row],[Industry Cost ($m)]]/Data[[#This Row],[Industry Consumption]]</f>
        <v>2.8365199087879316</v>
      </c>
      <c r="AL371" s="919">
        <f>Data[[#This Row],[AAL Fuel Cost]]/Data[[#This Row],[AAL Consumption]]</f>
        <v>2.4612025587846649</v>
      </c>
      <c r="AM371" s="919">
        <f>Data[[#This Row],[DAL Fuel Cost]]/Data[[#This Row],[DAL Consumption]]</f>
        <v>2.8775863048101007</v>
      </c>
      <c r="AN371" s="919">
        <f>Data[[#This Row],[UAL Fuel Cost]]/Data[[#This Row],[UALConsumption]]</f>
        <v>2.9779375217456137</v>
      </c>
      <c r="AO371" s="919">
        <f>IFERROR(Data[[#This Row],[LUV Fuel Cost]]/Data[[#This Row],[LUV Consumption]],0)</f>
        <v>3.205092911218169</v>
      </c>
      <c r="AP371" s="783"/>
      <c r="AQ371" s="783"/>
      <c r="AR371" s="253"/>
      <c r="AS371" s="253"/>
      <c r="AT371" s="253"/>
      <c r="AU371" s="253"/>
    </row>
    <row r="372" spans="1:47" ht="10.5" customHeight="1">
      <c r="A372" s="263">
        <v>41882</v>
      </c>
      <c r="B372" s="263" t="s">
        <v>537</v>
      </c>
      <c r="C372" s="277">
        <v>27.78464</v>
      </c>
      <c r="D372" s="277">
        <v>6.2332619999999999</v>
      </c>
      <c r="E372" s="277">
        <v>9.2831479999999988</v>
      </c>
      <c r="F372" s="277">
        <v>9.9210799999999999</v>
      </c>
      <c r="G372" s="277">
        <v>8.8661000000000004E-2</v>
      </c>
      <c r="H372" s="284">
        <f t="shared" si="24"/>
        <v>2.2584890000000044</v>
      </c>
      <c r="I372" s="277">
        <v>23.966346999999999</v>
      </c>
      <c r="J372" s="277">
        <v>5.1539469999999996</v>
      </c>
      <c r="K372" s="277">
        <v>8.2209959999999995</v>
      </c>
      <c r="L372" s="277">
        <v>8.6066409999999998</v>
      </c>
      <c r="M372" s="277">
        <v>6.9745000000000001E-2</v>
      </c>
      <c r="N372" s="284">
        <f t="shared" si="25"/>
        <v>1.9150179999999999</v>
      </c>
      <c r="O372" s="277">
        <v>18.784355000000001</v>
      </c>
      <c r="P372" s="277">
        <v>1.9697709999999999</v>
      </c>
      <c r="Q372" s="277">
        <v>2.3098610000000002</v>
      </c>
      <c r="R372" s="277">
        <v>2.4459360000000001</v>
      </c>
      <c r="S372" s="277">
        <v>5.8577999999999998E-2</v>
      </c>
      <c r="T372" s="284">
        <f t="shared" si="26"/>
        <v>12.000209000000002</v>
      </c>
      <c r="U372" s="920">
        <v>5663.9370000000008</v>
      </c>
      <c r="V372" s="920">
        <v>1017.119</v>
      </c>
      <c r="W372" s="920">
        <v>1376.0866666666668</v>
      </c>
      <c r="X372" s="920">
        <v>1532.1896666666664</v>
      </c>
      <c r="Y372" s="920">
        <v>16.764333333333333</v>
      </c>
      <c r="Z372" s="874">
        <f t="shared" si="27"/>
        <v>1721.7773333333344</v>
      </c>
      <c r="AA372" s="920">
        <v>559</v>
      </c>
      <c r="AB372" s="920">
        <v>110.123</v>
      </c>
      <c r="AC372" s="920">
        <v>159.52600000000001</v>
      </c>
      <c r="AD372" s="920">
        <v>157.74700000000001</v>
      </c>
      <c r="AE372" s="920">
        <v>0.91500000000000004</v>
      </c>
      <c r="AF372" s="920">
        <v>1587.9</v>
      </c>
      <c r="AG372" s="920">
        <v>275.01799999999997</v>
      </c>
      <c r="AH372" s="920">
        <v>465.59</v>
      </c>
      <c r="AI372" s="920">
        <v>464.245</v>
      </c>
      <c r="AJ372" s="920">
        <v>2.9140000000000001</v>
      </c>
      <c r="AK372" s="919">
        <f>Data[[#This Row],[Industry Cost ($m)]]/Data[[#This Row],[Industry Consumption]]</f>
        <v>2.8406082289803223</v>
      </c>
      <c r="AL372" s="919">
        <f>Data[[#This Row],[AAL Fuel Cost]]/Data[[#This Row],[AAL Consumption]]</f>
        <v>2.4973711213824537</v>
      </c>
      <c r="AM372" s="919">
        <f>Data[[#This Row],[DAL Fuel Cost]]/Data[[#This Row],[DAL Consumption]]</f>
        <v>2.9185838045208929</v>
      </c>
      <c r="AN372" s="919">
        <f>Data[[#This Row],[UAL Fuel Cost]]/Data[[#This Row],[UALConsumption]]</f>
        <v>2.9429719741104425</v>
      </c>
      <c r="AO372" s="919">
        <f>IFERROR(Data[[#This Row],[LUV Fuel Cost]]/Data[[#This Row],[LUV Consumption]],0)</f>
        <v>3.1846994535519126</v>
      </c>
      <c r="AP372" s="783"/>
      <c r="AQ372" s="783"/>
      <c r="AR372" s="253"/>
      <c r="AS372" s="253"/>
      <c r="AT372" s="253"/>
      <c r="AU372" s="253"/>
    </row>
    <row r="373" spans="1:47" ht="10.5" customHeight="1">
      <c r="A373" s="263">
        <v>41912</v>
      </c>
      <c r="B373" s="263" t="s">
        <v>537</v>
      </c>
      <c r="C373" s="277">
        <v>24.433327999999999</v>
      </c>
      <c r="D373" s="277">
        <v>5.5842130000000001</v>
      </c>
      <c r="E373" s="277">
        <v>8.1889590000000005</v>
      </c>
      <c r="F373" s="277">
        <v>8.8236620000000006</v>
      </c>
      <c r="G373" s="277">
        <v>8.2735000000000003E-2</v>
      </c>
      <c r="H373" s="284">
        <f t="shared" si="24"/>
        <v>1.7537589999999987</v>
      </c>
      <c r="I373" s="277">
        <v>20.087907000000001</v>
      </c>
      <c r="J373" s="277">
        <v>4.3505539999999998</v>
      </c>
      <c r="K373" s="277">
        <v>7.0021079999999998</v>
      </c>
      <c r="L373" s="277">
        <v>7.3039120000000004</v>
      </c>
      <c r="M373" s="277">
        <v>4.8423000000000001E-2</v>
      </c>
      <c r="N373" s="284">
        <f t="shared" si="25"/>
        <v>1.3829100000000025</v>
      </c>
      <c r="O373" s="277">
        <v>14.985203</v>
      </c>
      <c r="P373" s="277">
        <v>1.549901</v>
      </c>
      <c r="Q373" s="277">
        <v>1.853791</v>
      </c>
      <c r="R373" s="277">
        <v>1.899869</v>
      </c>
      <c r="S373" s="277">
        <v>4.0846E-2</v>
      </c>
      <c r="T373" s="284">
        <f t="shared" si="26"/>
        <v>9.6407959999999999</v>
      </c>
      <c r="U373" s="920">
        <v>5663.9370000000008</v>
      </c>
      <c r="V373" s="920">
        <v>1017.119</v>
      </c>
      <c r="W373" s="920">
        <v>1376.0866666666668</v>
      </c>
      <c r="X373" s="920">
        <v>1532.1896666666664</v>
      </c>
      <c r="Y373" s="920">
        <v>16.764333333333333</v>
      </c>
      <c r="Z373" s="874">
        <f t="shared" si="27"/>
        <v>1721.7773333333344</v>
      </c>
      <c r="AA373" s="920">
        <v>489.6</v>
      </c>
      <c r="AB373" s="920">
        <v>87.263999999999996</v>
      </c>
      <c r="AC373" s="920">
        <v>142.92699999999999</v>
      </c>
      <c r="AD373" s="920">
        <v>141.63200000000001</v>
      </c>
      <c r="AE373" s="920">
        <v>0.626</v>
      </c>
      <c r="AF373" s="920">
        <v>1376.8</v>
      </c>
      <c r="AG373" s="920">
        <v>235.31299999999999</v>
      </c>
      <c r="AH373" s="920">
        <v>403.113</v>
      </c>
      <c r="AI373" s="920">
        <v>402.58699999999999</v>
      </c>
      <c r="AJ373" s="920">
        <v>1.976</v>
      </c>
      <c r="AK373" s="919">
        <f>Data[[#This Row],[Industry Cost ($m)]]/Data[[#This Row],[Industry Consumption]]</f>
        <v>2.8120915032679736</v>
      </c>
      <c r="AL373" s="919">
        <f>Data[[#This Row],[AAL Fuel Cost]]/Data[[#This Row],[AAL Consumption]]</f>
        <v>2.6965644481114777</v>
      </c>
      <c r="AM373" s="919">
        <f>Data[[#This Row],[DAL Fuel Cost]]/Data[[#This Row],[DAL Consumption]]</f>
        <v>2.8204118186206948</v>
      </c>
      <c r="AN373" s="919">
        <f>Data[[#This Row],[UAL Fuel Cost]]/Data[[#This Row],[UALConsumption]]</f>
        <v>2.8424861613194756</v>
      </c>
      <c r="AO373" s="919">
        <f>IFERROR(Data[[#This Row],[LUV Fuel Cost]]/Data[[#This Row],[LUV Consumption]],0)</f>
        <v>3.1565495207667733</v>
      </c>
      <c r="AP373" s="783"/>
      <c r="AQ373" s="783"/>
      <c r="AR373" s="253"/>
      <c r="AS373" s="253"/>
      <c r="AT373" s="253"/>
      <c r="AU373" s="253"/>
    </row>
    <row r="374" spans="1:47" ht="10.5" customHeight="1">
      <c r="A374" s="263">
        <v>41943</v>
      </c>
      <c r="B374" s="263" t="s">
        <v>537</v>
      </c>
      <c r="C374" s="277">
        <v>24.195359</v>
      </c>
      <c r="D374" s="277">
        <v>5.714798</v>
      </c>
      <c r="E374" s="277">
        <v>7.6298699999999995</v>
      </c>
      <c r="F374" s="277">
        <v>8.9081929999999989</v>
      </c>
      <c r="G374" s="277">
        <v>9.8281000000000007E-2</v>
      </c>
      <c r="H374" s="284">
        <f t="shared" si="24"/>
        <v>1.844217000000004</v>
      </c>
      <c r="I374" s="277">
        <v>19.361256000000001</v>
      </c>
      <c r="J374" s="277">
        <v>4.4805039999999998</v>
      </c>
      <c r="K374" s="277">
        <v>6.2825670000000002</v>
      </c>
      <c r="L374" s="277">
        <v>7.0716109999999999</v>
      </c>
      <c r="M374" s="277">
        <v>7.1795999999999999E-2</v>
      </c>
      <c r="N374" s="284">
        <f t="shared" si="25"/>
        <v>1.454778000000001</v>
      </c>
      <c r="O374" s="277">
        <v>14.981228</v>
      </c>
      <c r="P374" s="277">
        <v>1.5993440000000001</v>
      </c>
      <c r="Q374" s="277">
        <v>1.6749940000000001</v>
      </c>
      <c r="R374" s="277">
        <v>1.865164</v>
      </c>
      <c r="S374" s="277">
        <v>5.8677E-2</v>
      </c>
      <c r="T374" s="284">
        <f t="shared" si="26"/>
        <v>9.7830489999999983</v>
      </c>
      <c r="U374" s="920">
        <v>4847.8986666666669</v>
      </c>
      <c r="V374" s="920">
        <v>931.66733333333332</v>
      </c>
      <c r="W374" s="920">
        <v>1012.6953333333332</v>
      </c>
      <c r="X374" s="920">
        <v>1293.8710000000001</v>
      </c>
      <c r="Y374" s="920">
        <v>17.355</v>
      </c>
      <c r="Z374" s="874">
        <f t="shared" si="27"/>
        <v>1592.3100000000004</v>
      </c>
      <c r="AA374" s="920">
        <v>483.9</v>
      </c>
      <c r="AB374" s="920">
        <v>89.941999999999993</v>
      </c>
      <c r="AC374" s="920">
        <v>134.136</v>
      </c>
      <c r="AD374" s="920">
        <v>143.37700000000001</v>
      </c>
      <c r="AE374" s="920">
        <v>0.64900000000000002</v>
      </c>
      <c r="AF374" s="920">
        <v>1291.5999999999999</v>
      </c>
      <c r="AG374" s="920">
        <v>228.81399999999999</v>
      </c>
      <c r="AH374" s="920">
        <v>360.71699999999998</v>
      </c>
      <c r="AI374" s="920">
        <v>388.47399999999999</v>
      </c>
      <c r="AJ374" s="920">
        <v>1.881</v>
      </c>
      <c r="AK374" s="919">
        <f>Data[[#This Row],[Industry Cost ($m)]]/Data[[#This Row],[Industry Consumption]]</f>
        <v>2.669146517875594</v>
      </c>
      <c r="AL374" s="919">
        <f>Data[[#This Row],[AAL Fuel Cost]]/Data[[#This Row],[AAL Consumption]]</f>
        <v>2.5440172555646972</v>
      </c>
      <c r="AM374" s="919">
        <f>Data[[#This Row],[DAL Fuel Cost]]/Data[[#This Row],[DAL Consumption]]</f>
        <v>2.6891885847199855</v>
      </c>
      <c r="AN374" s="919">
        <f>Data[[#This Row],[UAL Fuel Cost]]/Data[[#This Row],[UALConsumption]]</f>
        <v>2.7094582813142969</v>
      </c>
      <c r="AO374" s="919">
        <f>IFERROR(Data[[#This Row],[LUV Fuel Cost]]/Data[[#This Row],[LUV Consumption]],0)</f>
        <v>2.8983050847457625</v>
      </c>
      <c r="AP374" s="783"/>
      <c r="AQ374" s="783"/>
      <c r="AR374" s="253"/>
      <c r="AS374" s="253"/>
      <c r="AT374" s="253"/>
      <c r="AU374" s="253"/>
    </row>
    <row r="375" spans="1:47" ht="10.5" customHeight="1">
      <c r="A375" s="263">
        <v>41973</v>
      </c>
      <c r="B375" s="263" t="s">
        <v>537</v>
      </c>
      <c r="C375" s="277">
        <v>22.735935999999999</v>
      </c>
      <c r="D375" s="277">
        <v>5.5990379999999993</v>
      </c>
      <c r="E375" s="277">
        <v>6.6219160000000006</v>
      </c>
      <c r="F375" s="277">
        <v>8.1924130000000002</v>
      </c>
      <c r="G375" s="277">
        <v>0.25881400000000004</v>
      </c>
      <c r="H375" s="284">
        <f t="shared" si="24"/>
        <v>2.0637549999999969</v>
      </c>
      <c r="I375" s="277">
        <v>17.381021</v>
      </c>
      <c r="J375" s="277">
        <v>4.0954050000000004</v>
      </c>
      <c r="K375" s="277">
        <v>5.1868619999999996</v>
      </c>
      <c r="L375" s="277">
        <v>6.3317730000000001</v>
      </c>
      <c r="M375" s="277">
        <v>0.17647499999999999</v>
      </c>
      <c r="N375" s="284">
        <f t="shared" si="25"/>
        <v>1.5905059999999995</v>
      </c>
      <c r="O375" s="277">
        <v>13.730767999999999</v>
      </c>
      <c r="P375" s="277">
        <v>1.591197</v>
      </c>
      <c r="Q375" s="277">
        <v>1.452969</v>
      </c>
      <c r="R375" s="277">
        <v>1.80877</v>
      </c>
      <c r="S375" s="277">
        <v>0.13386799999999999</v>
      </c>
      <c r="T375" s="284">
        <f t="shared" si="26"/>
        <v>8.7439640000000001</v>
      </c>
      <c r="U375" s="920">
        <v>4847.8986666666669</v>
      </c>
      <c r="V375" s="920">
        <v>931.66733333333332</v>
      </c>
      <c r="W375" s="920">
        <v>1012.6953333333332</v>
      </c>
      <c r="X375" s="920">
        <v>1293.8710000000001</v>
      </c>
      <c r="Y375" s="920">
        <v>17.355</v>
      </c>
      <c r="Z375" s="874">
        <f t="shared" si="27"/>
        <v>1592.3100000000004</v>
      </c>
      <c r="AA375" s="920">
        <v>445.1</v>
      </c>
      <c r="AB375" s="920">
        <v>85.891999999999996</v>
      </c>
      <c r="AC375" s="920">
        <v>116.149</v>
      </c>
      <c r="AD375" s="920">
        <v>129.971</v>
      </c>
      <c r="AE375" s="920">
        <v>0.78900000000000003</v>
      </c>
      <c r="AF375" s="920">
        <v>1135.5999999999999</v>
      </c>
      <c r="AG375" s="920">
        <v>203.685</v>
      </c>
      <c r="AH375" s="920">
        <v>316.97699999999998</v>
      </c>
      <c r="AI375" s="920">
        <v>326.93099999999998</v>
      </c>
      <c r="AJ375" s="920">
        <v>2.1259999999999999</v>
      </c>
      <c r="AK375" s="919">
        <f>Data[[#This Row],[Industry Cost ($m)]]/Data[[#This Row],[Industry Consumption]]</f>
        <v>2.5513367782520779</v>
      </c>
      <c r="AL375" s="919">
        <f>Data[[#This Row],[AAL Fuel Cost]]/Data[[#This Row],[AAL Consumption]]</f>
        <v>2.3714082801657899</v>
      </c>
      <c r="AM375" s="919">
        <f>Data[[#This Row],[DAL Fuel Cost]]/Data[[#This Row],[DAL Consumption]]</f>
        <v>2.7290549208344452</v>
      </c>
      <c r="AN375" s="919">
        <f>Data[[#This Row],[UAL Fuel Cost]]/Data[[#This Row],[UALConsumption]]</f>
        <v>2.5154149771872185</v>
      </c>
      <c r="AO375" s="919">
        <f>IFERROR(Data[[#This Row],[LUV Fuel Cost]]/Data[[#This Row],[LUV Consumption]],0)</f>
        <v>2.6945500633713557</v>
      </c>
      <c r="AP375" s="783"/>
      <c r="AQ375" s="783"/>
      <c r="AR375" s="253"/>
      <c r="AS375" s="253"/>
      <c r="AT375" s="253"/>
      <c r="AU375" s="253"/>
    </row>
    <row r="376" spans="1:47" ht="10.5" customHeight="1">
      <c r="A376" s="263">
        <v>42004</v>
      </c>
      <c r="B376" s="263" t="s">
        <v>537</v>
      </c>
      <c r="C376" s="277">
        <v>24.452347</v>
      </c>
      <c r="D376" s="277">
        <v>6.0357790000000007</v>
      </c>
      <c r="E376" s="277">
        <v>7.0999920000000003</v>
      </c>
      <c r="F376" s="277">
        <v>8.6819199999999999</v>
      </c>
      <c r="G376" s="277">
        <v>0.27154899999999998</v>
      </c>
      <c r="H376" s="284">
        <f t="shared" si="24"/>
        <v>2.3631069999999958</v>
      </c>
      <c r="I376" s="277">
        <v>19.819351000000001</v>
      </c>
      <c r="J376" s="277">
        <v>4.736618</v>
      </c>
      <c r="K376" s="277">
        <v>5.938472</v>
      </c>
      <c r="L376" s="277">
        <v>7.06928</v>
      </c>
      <c r="M376" s="277">
        <v>0.210899</v>
      </c>
      <c r="N376" s="284">
        <f t="shared" si="25"/>
        <v>1.8640819999999998</v>
      </c>
      <c r="O376" s="277">
        <v>15.805756000000001</v>
      </c>
      <c r="P376" s="277">
        <v>1.8735999999999999</v>
      </c>
      <c r="Q376" s="277">
        <v>1.7206669999999999</v>
      </c>
      <c r="R376" s="277">
        <v>2.0502859999999998</v>
      </c>
      <c r="S376" s="277">
        <v>0.160079</v>
      </c>
      <c r="T376" s="284">
        <f t="shared" si="26"/>
        <v>10.001124000000001</v>
      </c>
      <c r="U376" s="920">
        <v>4847.8986666666669</v>
      </c>
      <c r="V376" s="920">
        <v>931.66733333333332</v>
      </c>
      <c r="W376" s="920">
        <v>1012.6953333333332</v>
      </c>
      <c r="X376" s="920">
        <v>1293.8710000000001</v>
      </c>
      <c r="Y376" s="920">
        <v>17.355</v>
      </c>
      <c r="Z376" s="874">
        <f t="shared" si="27"/>
        <v>1592.3100000000004</v>
      </c>
      <c r="AA376" s="920">
        <v>474.8</v>
      </c>
      <c r="AB376" s="920">
        <v>91.796000000000006</v>
      </c>
      <c r="AC376" s="920">
        <v>124.218</v>
      </c>
      <c r="AD376" s="920">
        <v>137.501</v>
      </c>
      <c r="AE376" s="920">
        <v>0.995</v>
      </c>
      <c r="AF376" s="920">
        <v>1104.4000000000001</v>
      </c>
      <c r="AG376" s="920">
        <v>196.41</v>
      </c>
      <c r="AH376" s="920">
        <v>311.44</v>
      </c>
      <c r="AI376" s="920">
        <v>315.88799999999998</v>
      </c>
      <c r="AJ376" s="920">
        <v>2.2799999999999998</v>
      </c>
      <c r="AK376" s="919">
        <f>Data[[#This Row],[Industry Cost ($m)]]/Data[[#This Row],[Industry Consumption]]</f>
        <v>2.32603201347936</v>
      </c>
      <c r="AL376" s="919">
        <f>Data[[#This Row],[AAL Fuel Cost]]/Data[[#This Row],[AAL Consumption]]</f>
        <v>2.1396357139744651</v>
      </c>
      <c r="AM376" s="919">
        <f>Data[[#This Row],[DAL Fuel Cost]]/Data[[#This Row],[DAL Consumption]]</f>
        <v>2.5072050749488799</v>
      </c>
      <c r="AN376" s="919">
        <f>Data[[#This Row],[UAL Fuel Cost]]/Data[[#This Row],[UALConsumption]]</f>
        <v>2.2973505647231653</v>
      </c>
      <c r="AO376" s="919">
        <f>IFERROR(Data[[#This Row],[LUV Fuel Cost]]/Data[[#This Row],[LUV Consumption]],0)</f>
        <v>2.2914572864321605</v>
      </c>
      <c r="AP376" s="783"/>
      <c r="AQ376" s="783"/>
      <c r="AR376" s="253"/>
      <c r="AS376" s="253"/>
      <c r="AT376" s="253"/>
      <c r="AU376" s="253"/>
    </row>
    <row r="377" spans="1:47" ht="10.5" customHeight="1">
      <c r="A377" s="263">
        <v>42035</v>
      </c>
      <c r="B377" s="263" t="s">
        <v>537</v>
      </c>
      <c r="C377" s="277">
        <v>24.417842</v>
      </c>
      <c r="D377" s="277">
        <v>5.8339750000000006</v>
      </c>
      <c r="E377" s="277">
        <v>7.2723329999999997</v>
      </c>
      <c r="F377" s="277">
        <v>8.6469719999999999</v>
      </c>
      <c r="G377" s="277">
        <v>0.26652999999999999</v>
      </c>
      <c r="H377" s="284">
        <f t="shared" si="24"/>
        <v>2.3980320000000006</v>
      </c>
      <c r="I377" s="277">
        <v>19.298190999999999</v>
      </c>
      <c r="J377" s="277">
        <v>4.5795950000000003</v>
      </c>
      <c r="K377" s="277">
        <v>5.7920550000000004</v>
      </c>
      <c r="L377" s="277">
        <v>6.8434730000000004</v>
      </c>
      <c r="M377" s="277">
        <v>0.19433900000000001</v>
      </c>
      <c r="N377" s="284">
        <f t="shared" si="25"/>
        <v>1.8887289999999979</v>
      </c>
      <c r="O377" s="277">
        <v>15.467162999999999</v>
      </c>
      <c r="P377" s="277">
        <v>1.807013</v>
      </c>
      <c r="Q377" s="277">
        <v>1.7570520000000001</v>
      </c>
      <c r="R377" s="277">
        <v>1.947047</v>
      </c>
      <c r="S377" s="277">
        <v>0.144812</v>
      </c>
      <c r="T377" s="284">
        <f t="shared" si="26"/>
        <v>9.8112389999999987</v>
      </c>
      <c r="U377" s="920">
        <v>4579.6786666666667</v>
      </c>
      <c r="V377" s="920">
        <v>898.48466666666673</v>
      </c>
      <c r="W377" s="920">
        <v>979.62166666666678</v>
      </c>
      <c r="X377" s="920">
        <v>1232.1526666666668</v>
      </c>
      <c r="Y377" s="920">
        <v>19.863666666666667</v>
      </c>
      <c r="Z377" s="874">
        <f t="shared" si="27"/>
        <v>1449.5559999999996</v>
      </c>
      <c r="AA377" s="920">
        <v>474.1</v>
      </c>
      <c r="AB377" s="920">
        <v>89.501000000000005</v>
      </c>
      <c r="AC377" s="920">
        <v>126.02800000000001</v>
      </c>
      <c r="AD377" s="920">
        <v>136.94200000000001</v>
      </c>
      <c r="AE377" s="920">
        <v>0.80800000000000005</v>
      </c>
      <c r="AF377" s="920">
        <v>964.6</v>
      </c>
      <c r="AG377" s="920">
        <v>155.03899999999999</v>
      </c>
      <c r="AH377" s="920">
        <v>315.041</v>
      </c>
      <c r="AI377" s="920">
        <v>257.84300000000002</v>
      </c>
      <c r="AJ377" s="920">
        <v>1.556</v>
      </c>
      <c r="AK377" s="919">
        <f>Data[[#This Row],[Industry Cost ($m)]]/Data[[#This Row],[Industry Consumption]]</f>
        <v>2.0345918582577514</v>
      </c>
      <c r="AL377" s="919">
        <f>Data[[#This Row],[AAL Fuel Cost]]/Data[[#This Row],[AAL Consumption]]</f>
        <v>1.7322599747488852</v>
      </c>
      <c r="AM377" s="919">
        <f>Data[[#This Row],[DAL Fuel Cost]]/Data[[#This Row],[DAL Consumption]]</f>
        <v>2.4997698924048621</v>
      </c>
      <c r="AN377" s="919">
        <f>Data[[#This Row],[UAL Fuel Cost]]/Data[[#This Row],[UALConsumption]]</f>
        <v>1.882862817835288</v>
      </c>
      <c r="AO377" s="919">
        <f>IFERROR(Data[[#This Row],[LUV Fuel Cost]]/Data[[#This Row],[LUV Consumption]],0)</f>
        <v>1.9257425742574257</v>
      </c>
      <c r="AP377" s="783"/>
      <c r="AQ377" s="783"/>
      <c r="AR377" s="253"/>
      <c r="AS377" s="253"/>
      <c r="AT377" s="253"/>
      <c r="AU377" s="253"/>
    </row>
    <row r="378" spans="1:47" ht="10.5" customHeight="1">
      <c r="A378" s="263">
        <v>42063</v>
      </c>
      <c r="B378" s="263" t="s">
        <v>537</v>
      </c>
      <c r="C378" s="277">
        <v>21.533712000000001</v>
      </c>
      <c r="D378" s="277">
        <v>5.1526450000000006</v>
      </c>
      <c r="E378" s="277">
        <v>6.3315400000000004</v>
      </c>
      <c r="F378" s="277">
        <v>7.6653729999999998</v>
      </c>
      <c r="G378" s="277">
        <v>0.23930699999999999</v>
      </c>
      <c r="H378" s="284">
        <f t="shared" si="24"/>
        <v>2.1448470000000022</v>
      </c>
      <c r="I378" s="277">
        <v>16.254615999999999</v>
      </c>
      <c r="J378" s="277">
        <v>3.820805</v>
      </c>
      <c r="K378" s="277">
        <v>4.8103999999999996</v>
      </c>
      <c r="L378" s="277">
        <v>5.7591760000000001</v>
      </c>
      <c r="M378" s="277">
        <v>0.18118899999999999</v>
      </c>
      <c r="N378" s="284">
        <f t="shared" si="25"/>
        <v>1.6830459999999992</v>
      </c>
      <c r="O378" s="277">
        <v>13.325293</v>
      </c>
      <c r="P378" s="277">
        <v>1.5322579999999999</v>
      </c>
      <c r="Q378" s="277">
        <v>1.491339</v>
      </c>
      <c r="R378" s="277">
        <v>1.686887</v>
      </c>
      <c r="S378" s="277">
        <v>0.13249900000000001</v>
      </c>
      <c r="T378" s="284">
        <f t="shared" si="26"/>
        <v>8.4823100000000018</v>
      </c>
      <c r="U378" s="920">
        <v>4579.6786666666667</v>
      </c>
      <c r="V378" s="920">
        <v>898.48466666666673</v>
      </c>
      <c r="W378" s="920">
        <v>979.62166666666678</v>
      </c>
      <c r="X378" s="920">
        <v>1232.1526666666668</v>
      </c>
      <c r="Y378" s="920">
        <v>19.863666666666667</v>
      </c>
      <c r="Z378" s="874">
        <f t="shared" si="27"/>
        <v>1449.5559999999996</v>
      </c>
      <c r="AA378" s="920">
        <v>419.8</v>
      </c>
      <c r="AB378" s="920">
        <v>79.376000000000005</v>
      </c>
      <c r="AC378" s="920">
        <v>110.34</v>
      </c>
      <c r="AD378" s="920">
        <v>121.182</v>
      </c>
      <c r="AE378" s="920">
        <v>0.77200000000000002</v>
      </c>
      <c r="AF378" s="920">
        <v>1031.2</v>
      </c>
      <c r="AG378" s="920">
        <v>137.185</v>
      </c>
      <c r="AH378" s="920">
        <v>488.38600000000002</v>
      </c>
      <c r="AI378" s="920">
        <v>207.86699999999999</v>
      </c>
      <c r="AJ378" s="920">
        <v>1.5640000000000001</v>
      </c>
      <c r="AK378" s="919">
        <f>Data[[#This Row],[Industry Cost ($m)]]/Data[[#This Row],[Industry Consumption]]</f>
        <v>2.456407813244402</v>
      </c>
      <c r="AL378" s="919">
        <f>Data[[#This Row],[AAL Fuel Cost]]/Data[[#This Row],[AAL Consumption]]</f>
        <v>1.7282931868574882</v>
      </c>
      <c r="AM378" s="919">
        <f>Data[[#This Row],[DAL Fuel Cost]]/Data[[#This Row],[DAL Consumption]]</f>
        <v>4.426191770889977</v>
      </c>
      <c r="AN378" s="919">
        <f>Data[[#This Row],[UAL Fuel Cost]]/Data[[#This Row],[UALConsumption]]</f>
        <v>1.7153290092588007</v>
      </c>
      <c r="AO378" s="919">
        <f>IFERROR(Data[[#This Row],[LUV Fuel Cost]]/Data[[#This Row],[LUV Consumption]],0)</f>
        <v>2.0259067357512954</v>
      </c>
      <c r="AP378" s="783"/>
      <c r="AQ378" s="783"/>
      <c r="AR378" s="253"/>
      <c r="AS378" s="253"/>
      <c r="AT378" s="253"/>
      <c r="AU378" s="253"/>
    </row>
    <row r="379" spans="1:47" ht="10.5" customHeight="1">
      <c r="A379" s="263">
        <v>42094</v>
      </c>
      <c r="B379" s="263" t="s">
        <v>537</v>
      </c>
      <c r="C379" s="277">
        <v>25.298161</v>
      </c>
      <c r="D379" s="277">
        <v>5.8480980000000002</v>
      </c>
      <c r="E379" s="277">
        <v>7.534605</v>
      </c>
      <c r="F379" s="277">
        <v>9.2486640000000016</v>
      </c>
      <c r="G379" s="277">
        <v>0.30347000000000002</v>
      </c>
      <c r="H379" s="284">
        <f t="shared" si="24"/>
        <v>2.3633239999999986</v>
      </c>
      <c r="I379" s="277">
        <v>20.150563999999999</v>
      </c>
      <c r="J379" s="277">
        <v>4.4599869999999999</v>
      </c>
      <c r="K379" s="277">
        <v>6.172123</v>
      </c>
      <c r="L379" s="277">
        <v>7.3726269999999996</v>
      </c>
      <c r="M379" s="277">
        <v>0.238064</v>
      </c>
      <c r="N379" s="284">
        <f t="shared" si="25"/>
        <v>1.9077629999999992</v>
      </c>
      <c r="O379" s="277">
        <v>16.342061000000001</v>
      </c>
      <c r="P379" s="277">
        <v>1.7767930000000001</v>
      </c>
      <c r="Q379" s="277">
        <v>1.893216</v>
      </c>
      <c r="R379" s="277">
        <v>2.2332070000000002</v>
      </c>
      <c r="S379" s="277">
        <v>0.172407</v>
      </c>
      <c r="T379" s="284">
        <f t="shared" si="26"/>
        <v>10.266438000000001</v>
      </c>
      <c r="U379" s="920">
        <v>4579.6786666666667</v>
      </c>
      <c r="V379" s="920">
        <v>898.48466666666673</v>
      </c>
      <c r="W379" s="920">
        <v>979.62166666666678</v>
      </c>
      <c r="X379" s="920">
        <v>1232.1526666666668</v>
      </c>
      <c r="Y379" s="920">
        <v>19.863666666666667</v>
      </c>
      <c r="Z379" s="874">
        <f t="shared" si="27"/>
        <v>1449.5559999999996</v>
      </c>
      <c r="AA379" s="920">
        <v>493</v>
      </c>
      <c r="AB379" s="920">
        <v>90.400999999999996</v>
      </c>
      <c r="AC379" s="920">
        <v>131.03700000000001</v>
      </c>
      <c r="AD379" s="920">
        <v>145.673</v>
      </c>
      <c r="AE379" s="920">
        <v>0.99299999999999999</v>
      </c>
      <c r="AF379" s="920">
        <v>1021.1</v>
      </c>
      <c r="AG379" s="920">
        <v>157.10300000000001</v>
      </c>
      <c r="AH379" s="920">
        <v>346.09699999999998</v>
      </c>
      <c r="AI379" s="920">
        <v>272.19900000000001</v>
      </c>
      <c r="AJ379" s="920">
        <v>2.0699999999999998</v>
      </c>
      <c r="AK379" s="919">
        <f>Data[[#This Row],[Industry Cost ($m)]]/Data[[#This Row],[Industry Consumption]]</f>
        <v>2.0711967545638945</v>
      </c>
      <c r="AL379" s="919">
        <f>Data[[#This Row],[AAL Fuel Cost]]/Data[[#This Row],[AAL Consumption]]</f>
        <v>1.7378458202895988</v>
      </c>
      <c r="AM379" s="919">
        <f>Data[[#This Row],[DAL Fuel Cost]]/Data[[#This Row],[DAL Consumption]]</f>
        <v>2.6412158398009722</v>
      </c>
      <c r="AN379" s="919">
        <f>Data[[#This Row],[UAL Fuel Cost]]/Data[[#This Row],[UALConsumption]]</f>
        <v>1.8685617787784972</v>
      </c>
      <c r="AO379" s="919">
        <f>IFERROR(Data[[#This Row],[LUV Fuel Cost]]/Data[[#This Row],[LUV Consumption]],0)</f>
        <v>2.0845921450151055</v>
      </c>
      <c r="AP379" s="783"/>
      <c r="AQ379" s="783"/>
      <c r="AR379" s="253"/>
      <c r="AS379" s="253"/>
      <c r="AT379" s="253"/>
      <c r="AU379" s="253"/>
    </row>
    <row r="380" spans="1:47" ht="10.5" customHeight="1">
      <c r="A380" s="263">
        <v>42124</v>
      </c>
      <c r="B380" s="263" t="s">
        <v>537</v>
      </c>
      <c r="C380" s="277">
        <v>25.128233999999999</v>
      </c>
      <c r="D380" s="277">
        <v>5.6560259999999998</v>
      </c>
      <c r="E380" s="277">
        <v>7.7479399999999998</v>
      </c>
      <c r="F380" s="277">
        <v>9.2025069999999989</v>
      </c>
      <c r="G380" s="277">
        <v>0.31504300000000002</v>
      </c>
      <c r="H380" s="284">
        <f t="shared" si="24"/>
        <v>2.2067179999999986</v>
      </c>
      <c r="I380" s="277">
        <v>19.438116000000001</v>
      </c>
      <c r="J380" s="277">
        <v>4.2835390000000002</v>
      </c>
      <c r="K380" s="277">
        <v>6.1170429999999998</v>
      </c>
      <c r="L380" s="277">
        <v>7.075882</v>
      </c>
      <c r="M380" s="277">
        <v>0.239785</v>
      </c>
      <c r="N380" s="284">
        <f t="shared" si="25"/>
        <v>1.7218669999999996</v>
      </c>
      <c r="O380" s="277">
        <v>16.025594999999999</v>
      </c>
      <c r="P380" s="277">
        <v>1.6710210000000001</v>
      </c>
      <c r="Q380" s="277">
        <v>1.787714</v>
      </c>
      <c r="R380" s="277">
        <v>2.1242169999999998</v>
      </c>
      <c r="S380" s="277">
        <v>0.17492099999999999</v>
      </c>
      <c r="T380" s="284">
        <f t="shared" si="26"/>
        <v>10.267721999999999</v>
      </c>
      <c r="U380" s="920">
        <v>5070.4186666666674</v>
      </c>
      <c r="V380" s="920">
        <v>956.95600000000002</v>
      </c>
      <c r="W380" s="920">
        <v>1138.0253333333333</v>
      </c>
      <c r="X380" s="920">
        <v>1384.9620000000002</v>
      </c>
      <c r="Y380" s="920">
        <v>25.130333333333336</v>
      </c>
      <c r="Z380" s="874">
        <f t="shared" si="27"/>
        <v>1565.3450000000003</v>
      </c>
      <c r="AA380" s="920">
        <v>490.4</v>
      </c>
      <c r="AB380" s="920">
        <v>87.061000000000007</v>
      </c>
      <c r="AC380" s="920">
        <v>132.08600000000001</v>
      </c>
      <c r="AD380" s="920">
        <v>143.702</v>
      </c>
      <c r="AE380" s="920">
        <v>0.98599999999999999</v>
      </c>
      <c r="AF380" s="920">
        <v>968.6</v>
      </c>
      <c r="AG380" s="920">
        <v>146.13499999999999</v>
      </c>
      <c r="AH380" s="920">
        <v>327.733</v>
      </c>
      <c r="AI380" s="920">
        <v>255.756</v>
      </c>
      <c r="AJ380" s="920">
        <v>1.992</v>
      </c>
      <c r="AK380" s="919">
        <f>Data[[#This Row],[Industry Cost ($m)]]/Data[[#This Row],[Industry Consumption]]</f>
        <v>1.9751223491027734</v>
      </c>
      <c r="AL380" s="919">
        <f>Data[[#This Row],[AAL Fuel Cost]]/Data[[#This Row],[AAL Consumption]]</f>
        <v>1.6785357393092197</v>
      </c>
      <c r="AM380" s="919">
        <f>Data[[#This Row],[DAL Fuel Cost]]/Data[[#This Row],[DAL Consumption]]</f>
        <v>2.4812092121799432</v>
      </c>
      <c r="AN380" s="919">
        <f>Data[[#This Row],[UAL Fuel Cost]]/Data[[#This Row],[UALConsumption]]</f>
        <v>1.7797664611487662</v>
      </c>
      <c r="AO380" s="919">
        <f>IFERROR(Data[[#This Row],[LUV Fuel Cost]]/Data[[#This Row],[LUV Consumption]],0)</f>
        <v>2.020283975659229</v>
      </c>
      <c r="AP380" s="783"/>
      <c r="AQ380" s="783"/>
      <c r="AR380" s="253"/>
      <c r="AS380" s="253"/>
      <c r="AT380" s="253"/>
      <c r="AU380" s="253"/>
    </row>
    <row r="381" spans="1:47" ht="10.5" customHeight="1">
      <c r="A381" s="263">
        <v>42155</v>
      </c>
      <c r="B381" s="263" t="s">
        <v>537</v>
      </c>
      <c r="C381" s="277">
        <v>26.707851999999999</v>
      </c>
      <c r="D381" s="277">
        <v>6.2127179999999997</v>
      </c>
      <c r="E381" s="277">
        <v>8.3861740000000005</v>
      </c>
      <c r="F381" s="277">
        <v>9.6994919999999993</v>
      </c>
      <c r="G381" s="277">
        <v>0.330125</v>
      </c>
      <c r="H381" s="284">
        <f t="shared" si="24"/>
        <v>2.0793430000000015</v>
      </c>
      <c r="I381" s="277">
        <v>21.669004999999999</v>
      </c>
      <c r="J381" s="277">
        <v>4.8559320000000001</v>
      </c>
      <c r="K381" s="277">
        <v>6.9839060000000002</v>
      </c>
      <c r="L381" s="277">
        <v>7.9106310000000004</v>
      </c>
      <c r="M381" s="277">
        <v>0.25134499999999999</v>
      </c>
      <c r="N381" s="284">
        <f t="shared" si="25"/>
        <v>1.6671909999999954</v>
      </c>
      <c r="O381" s="277">
        <v>17.115193999999999</v>
      </c>
      <c r="P381" s="277">
        <v>1.777277</v>
      </c>
      <c r="Q381" s="277">
        <v>1.971017</v>
      </c>
      <c r="R381" s="277">
        <v>2.2088480000000001</v>
      </c>
      <c r="S381" s="277">
        <v>0.18532000000000001</v>
      </c>
      <c r="T381" s="284">
        <f t="shared" si="26"/>
        <v>10.972731999999999</v>
      </c>
      <c r="U381" s="920">
        <v>5070.4186666666674</v>
      </c>
      <c r="V381" s="920">
        <v>956.95600000000002</v>
      </c>
      <c r="W381" s="920">
        <v>1138.0253333333333</v>
      </c>
      <c r="X381" s="920">
        <v>1384.9620000000002</v>
      </c>
      <c r="Y381" s="920">
        <v>25.130333333333336</v>
      </c>
      <c r="Z381" s="874">
        <f t="shared" si="27"/>
        <v>1565.3450000000003</v>
      </c>
      <c r="AA381" s="920">
        <v>522.70000000000005</v>
      </c>
      <c r="AB381" s="920">
        <v>96.748000000000005</v>
      </c>
      <c r="AC381" s="920">
        <v>142.85499999999999</v>
      </c>
      <c r="AD381" s="920">
        <v>153.08099999999999</v>
      </c>
      <c r="AE381" s="920">
        <v>1.099</v>
      </c>
      <c r="AF381" s="920">
        <v>1077.0999999999999</v>
      </c>
      <c r="AG381" s="920">
        <v>171.36199999999999</v>
      </c>
      <c r="AH381" s="920">
        <v>354.21199999999999</v>
      </c>
      <c r="AI381" s="920">
        <v>292.625</v>
      </c>
      <c r="AJ381" s="920">
        <v>2.4620000000000002</v>
      </c>
      <c r="AK381" s="919">
        <f>Data[[#This Row],[Industry Cost ($m)]]/Data[[#This Row],[Industry Consumption]]</f>
        <v>2.0606466424335181</v>
      </c>
      <c r="AL381" s="919">
        <f>Data[[#This Row],[AAL Fuel Cost]]/Data[[#This Row],[AAL Consumption]]</f>
        <v>1.7712200769008144</v>
      </c>
      <c r="AM381" s="919">
        <f>Data[[#This Row],[DAL Fuel Cost]]/Data[[#This Row],[DAL Consumption]]</f>
        <v>2.4795211928178924</v>
      </c>
      <c r="AN381" s="919">
        <f>Data[[#This Row],[UAL Fuel Cost]]/Data[[#This Row],[UALConsumption]]</f>
        <v>1.9115696918624783</v>
      </c>
      <c r="AO381" s="919">
        <f>IFERROR(Data[[#This Row],[LUV Fuel Cost]]/Data[[#This Row],[LUV Consumption]],0)</f>
        <v>2.2402183803457691</v>
      </c>
      <c r="AP381" s="783"/>
      <c r="AQ381" s="783"/>
      <c r="AR381" s="253"/>
      <c r="AS381" s="253"/>
      <c r="AT381" s="253"/>
      <c r="AU381" s="253"/>
    </row>
    <row r="382" spans="1:47" ht="10.5" customHeight="1">
      <c r="A382" s="263">
        <v>42185</v>
      </c>
      <c r="B382" s="263" t="s">
        <v>537</v>
      </c>
      <c r="C382" s="277">
        <v>27.736986000000002</v>
      </c>
      <c r="D382" s="277">
        <v>6.3440150000000006</v>
      </c>
      <c r="E382" s="277">
        <v>8.9877279999999988</v>
      </c>
      <c r="F382" s="277">
        <v>9.9282240000000002</v>
      </c>
      <c r="G382" s="277">
        <v>0.33814100000000002</v>
      </c>
      <c r="H382" s="284">
        <f t="shared" si="24"/>
        <v>2.1388780000000018</v>
      </c>
      <c r="I382" s="277">
        <v>23.441476000000002</v>
      </c>
      <c r="J382" s="277">
        <v>5.1482190000000001</v>
      </c>
      <c r="K382" s="277">
        <v>7.8075039999999998</v>
      </c>
      <c r="L382" s="277">
        <v>8.4609749999999995</v>
      </c>
      <c r="M382" s="277">
        <v>0.28642499999999999</v>
      </c>
      <c r="N382" s="284">
        <f t="shared" si="25"/>
        <v>1.7383530000000036</v>
      </c>
      <c r="O382" s="277">
        <v>18.203199000000001</v>
      </c>
      <c r="P382" s="277">
        <v>1.950817</v>
      </c>
      <c r="Q382" s="277">
        <v>2.2096070000000001</v>
      </c>
      <c r="R382" s="277">
        <v>2.4282149999999998</v>
      </c>
      <c r="S382" s="277">
        <v>0.21440500000000001</v>
      </c>
      <c r="T382" s="284">
        <f t="shared" si="26"/>
        <v>11.400155000000002</v>
      </c>
      <c r="U382" s="920">
        <v>5070.4186666666674</v>
      </c>
      <c r="V382" s="920">
        <v>956.95600000000002</v>
      </c>
      <c r="W382" s="920">
        <v>1138.0253333333333</v>
      </c>
      <c r="X382" s="920">
        <v>1384.9620000000002</v>
      </c>
      <c r="Y382" s="920">
        <v>25.130333333333336</v>
      </c>
      <c r="Z382" s="874">
        <f t="shared" si="27"/>
        <v>1565.3450000000003</v>
      </c>
      <c r="AA382" s="920">
        <v>538.79999999999995</v>
      </c>
      <c r="AB382" s="920">
        <v>97.394000000000005</v>
      </c>
      <c r="AC382" s="920">
        <v>152.196</v>
      </c>
      <c r="AD382" s="920">
        <v>156.47800000000001</v>
      </c>
      <c r="AE382" s="920">
        <v>1.288</v>
      </c>
      <c r="AF382" s="920">
        <v>1115.7</v>
      </c>
      <c r="AG382" s="920">
        <v>172.363</v>
      </c>
      <c r="AH382" s="920">
        <v>374.74599999999998</v>
      </c>
      <c r="AI382" s="920">
        <v>302.86500000000001</v>
      </c>
      <c r="AJ382" s="920">
        <v>2.84</v>
      </c>
      <c r="AK382" s="919">
        <f>Data[[#This Row],[Industry Cost ($m)]]/Data[[#This Row],[Industry Consumption]]</f>
        <v>2.0707126948775056</v>
      </c>
      <c r="AL382" s="919">
        <f>Data[[#This Row],[AAL Fuel Cost]]/Data[[#This Row],[AAL Consumption]]</f>
        <v>1.769749676571452</v>
      </c>
      <c r="AM382" s="919">
        <f>Data[[#This Row],[DAL Fuel Cost]]/Data[[#This Row],[DAL Consumption]]</f>
        <v>2.4622591920944044</v>
      </c>
      <c r="AN382" s="919">
        <f>Data[[#This Row],[UAL Fuel Cost]]/Data[[#This Row],[UALConsumption]]</f>
        <v>1.9355117013254259</v>
      </c>
      <c r="AO382" s="919">
        <f>IFERROR(Data[[#This Row],[LUV Fuel Cost]]/Data[[#This Row],[LUV Consumption]],0)</f>
        <v>2.2049689440993787</v>
      </c>
      <c r="AP382" s="783"/>
      <c r="AQ382" s="783"/>
      <c r="AR382" s="253"/>
      <c r="AS382" s="253"/>
      <c r="AT382" s="253"/>
      <c r="AU382" s="253"/>
    </row>
    <row r="383" spans="1:47" ht="10.5" customHeight="1">
      <c r="A383" s="263">
        <v>42216</v>
      </c>
      <c r="B383" s="263" t="s">
        <v>537</v>
      </c>
      <c r="C383" s="277">
        <v>31.870200000000001</v>
      </c>
      <c r="D383" s="277">
        <v>8.8461110000000005</v>
      </c>
      <c r="E383" s="277">
        <v>9.6522059999999996</v>
      </c>
      <c r="F383" s="277">
        <v>10.608403000000001</v>
      </c>
      <c r="G383" s="277">
        <v>0.355605</v>
      </c>
      <c r="H383" s="284">
        <f t="shared" si="24"/>
        <v>2.4078749999999971</v>
      </c>
      <c r="I383" s="277">
        <v>27.364089</v>
      </c>
      <c r="J383" s="277">
        <v>7.4913129999999999</v>
      </c>
      <c r="K383" s="277">
        <v>8.4015120000000003</v>
      </c>
      <c r="L383" s="277">
        <v>9.1023259999999997</v>
      </c>
      <c r="M383" s="277">
        <v>0.32022</v>
      </c>
      <c r="N383" s="284">
        <f t="shared" si="25"/>
        <v>2.0487180000000009</v>
      </c>
      <c r="O383" s="277">
        <v>20.215001999999998</v>
      </c>
      <c r="P383" s="277">
        <v>2.955422</v>
      </c>
      <c r="Q383" s="277">
        <v>2.4041009999999998</v>
      </c>
      <c r="R383" s="277">
        <v>2.7063649999999999</v>
      </c>
      <c r="S383" s="277">
        <v>0.240868</v>
      </c>
      <c r="T383" s="284">
        <f t="shared" si="26"/>
        <v>11.908245999999998</v>
      </c>
      <c r="U383" s="920">
        <v>5338.9053333333331</v>
      </c>
      <c r="V383" s="920">
        <v>1331.1863333333333</v>
      </c>
      <c r="W383" s="920">
        <v>1287.5989999999999</v>
      </c>
      <c r="X383" s="920">
        <v>1470.5863333333334</v>
      </c>
      <c r="Y383" s="920">
        <v>23.495000000000001</v>
      </c>
      <c r="Z383" s="874">
        <f t="shared" si="27"/>
        <v>1226.0386666666664</v>
      </c>
      <c r="AA383" s="920">
        <v>568.5</v>
      </c>
      <c r="AB383" s="920">
        <v>132.63399999999999</v>
      </c>
      <c r="AC383" s="920">
        <v>162.51300000000001</v>
      </c>
      <c r="AD383" s="920">
        <v>165.499</v>
      </c>
      <c r="AE383" s="920">
        <v>1.399</v>
      </c>
      <c r="AF383" s="920">
        <v>1047.8</v>
      </c>
      <c r="AG383" s="920">
        <v>226.28399999999999</v>
      </c>
      <c r="AH383" s="920">
        <v>315.73200000000003</v>
      </c>
      <c r="AI383" s="920">
        <v>301.16399999999999</v>
      </c>
      <c r="AJ383" s="920">
        <v>2.8879999999999999</v>
      </c>
      <c r="AK383" s="919">
        <f>Data[[#This Row],[Industry Cost ($m)]]/Data[[#This Row],[Industry Consumption]]</f>
        <v>1.8430958663148636</v>
      </c>
      <c r="AL383" s="919">
        <f>Data[[#This Row],[AAL Fuel Cost]]/Data[[#This Row],[AAL Consumption]]</f>
        <v>1.7060783811089164</v>
      </c>
      <c r="AM383" s="919">
        <f>Data[[#This Row],[DAL Fuel Cost]]/Data[[#This Row],[DAL Consumption]]</f>
        <v>1.9428107289878349</v>
      </c>
      <c r="AN383" s="919">
        <f>Data[[#This Row],[UAL Fuel Cost]]/Data[[#This Row],[UALConsumption]]</f>
        <v>1.8197330497465241</v>
      </c>
      <c r="AO383" s="919">
        <f>IFERROR(Data[[#This Row],[LUV Fuel Cost]]/Data[[#This Row],[LUV Consumption]],0)</f>
        <v>2.0643316654753394</v>
      </c>
      <c r="AP383" s="783"/>
      <c r="AQ383" s="783"/>
      <c r="AR383" s="253"/>
      <c r="AS383" s="253"/>
      <c r="AT383" s="253"/>
      <c r="AU383" s="253"/>
    </row>
    <row r="384" spans="1:47" ht="10.5" customHeight="1">
      <c r="A384" s="263">
        <v>42247</v>
      </c>
      <c r="B384" s="263" t="s">
        <v>537</v>
      </c>
      <c r="C384" s="277">
        <v>31.313952</v>
      </c>
      <c r="D384" s="277">
        <v>8.6411149999999992</v>
      </c>
      <c r="E384" s="277">
        <v>9.6776890000000009</v>
      </c>
      <c r="F384" s="277">
        <v>10.340656999999998</v>
      </c>
      <c r="G384" s="277">
        <v>0.25748799999999999</v>
      </c>
      <c r="H384" s="284">
        <f t="shared" si="24"/>
        <v>2.3970030000000015</v>
      </c>
      <c r="I384" s="277">
        <v>26.945999</v>
      </c>
      <c r="J384" s="277">
        <v>7.3323910000000003</v>
      </c>
      <c r="K384" s="277">
        <v>8.5116960000000006</v>
      </c>
      <c r="L384" s="277">
        <v>8.8663609999999995</v>
      </c>
      <c r="M384" s="277">
        <v>0.22323399999999999</v>
      </c>
      <c r="N384" s="284">
        <f t="shared" si="25"/>
        <v>2.0123169999999995</v>
      </c>
      <c r="O384" s="277">
        <v>19.914263999999999</v>
      </c>
      <c r="P384" s="277">
        <v>2.7789109999999999</v>
      </c>
      <c r="Q384" s="277">
        <v>2.413456</v>
      </c>
      <c r="R384" s="277">
        <v>2.5467089999999999</v>
      </c>
      <c r="S384" s="277">
        <v>0.16526199999999999</v>
      </c>
      <c r="T384" s="284">
        <f t="shared" si="26"/>
        <v>12.009926</v>
      </c>
      <c r="U384" s="920">
        <v>5338.9053333333331</v>
      </c>
      <c r="V384" s="920">
        <v>1331.1863333333333</v>
      </c>
      <c r="W384" s="920">
        <v>1287.5989999999999</v>
      </c>
      <c r="X384" s="920">
        <v>1470.5863333333334</v>
      </c>
      <c r="Y384" s="920">
        <v>23.495000000000001</v>
      </c>
      <c r="Z384" s="874">
        <f t="shared" si="27"/>
        <v>1226.0386666666664</v>
      </c>
      <c r="AA384" s="920">
        <v>557</v>
      </c>
      <c r="AB384" s="920">
        <v>130.251</v>
      </c>
      <c r="AC384" s="920">
        <v>160.655</v>
      </c>
      <c r="AD384" s="920">
        <v>162.941</v>
      </c>
      <c r="AE384" s="920">
        <v>0.92700000000000005</v>
      </c>
      <c r="AF384" s="920">
        <v>936.5</v>
      </c>
      <c r="AG384" s="920">
        <v>199.80699999999999</v>
      </c>
      <c r="AH384" s="920">
        <v>293.81700000000001</v>
      </c>
      <c r="AI384" s="920">
        <v>264.12200000000001</v>
      </c>
      <c r="AJ384" s="920">
        <v>1.7270000000000001</v>
      </c>
      <c r="AK384" s="919">
        <f>Data[[#This Row],[Industry Cost ($m)]]/Data[[#This Row],[Industry Consumption]]</f>
        <v>1.6813285457809695</v>
      </c>
      <c r="AL384" s="919">
        <f>Data[[#This Row],[AAL Fuel Cost]]/Data[[#This Row],[AAL Consumption]]</f>
        <v>1.5340150939340196</v>
      </c>
      <c r="AM384" s="919">
        <f>Data[[#This Row],[DAL Fuel Cost]]/Data[[#This Row],[DAL Consumption]]</f>
        <v>1.8288693162366563</v>
      </c>
      <c r="AN384" s="919">
        <f>Data[[#This Row],[UAL Fuel Cost]]/Data[[#This Row],[UALConsumption]]</f>
        <v>1.6209670985203233</v>
      </c>
      <c r="AO384" s="919">
        <f>IFERROR(Data[[#This Row],[LUV Fuel Cost]]/Data[[#This Row],[LUV Consumption]],0)</f>
        <v>1.8629989212513485</v>
      </c>
      <c r="AP384" s="783"/>
      <c r="AQ384" s="783"/>
      <c r="AR384" s="253"/>
      <c r="AS384" s="253"/>
      <c r="AT384" s="253"/>
      <c r="AU384" s="253"/>
    </row>
    <row r="385" spans="1:47" ht="10.5" customHeight="1">
      <c r="A385" s="263">
        <v>42277</v>
      </c>
      <c r="B385" s="263" t="s">
        <v>537</v>
      </c>
      <c r="C385" s="277">
        <v>27.281020999999999</v>
      </c>
      <c r="D385" s="277">
        <v>7.8308800000000005</v>
      </c>
      <c r="E385" s="277">
        <v>8.2914189999999994</v>
      </c>
      <c r="F385" s="277">
        <v>9.0227330000000006</v>
      </c>
      <c r="G385" s="277">
        <v>0.20991300000000002</v>
      </c>
      <c r="H385" s="284">
        <f t="shared" si="24"/>
        <v>1.9260759999999983</v>
      </c>
      <c r="I385" s="277">
        <v>22.223642999999999</v>
      </c>
      <c r="J385" s="277">
        <v>6.2045630000000003</v>
      </c>
      <c r="K385" s="277">
        <v>7.0671989999999996</v>
      </c>
      <c r="L385" s="277">
        <v>7.2970490000000003</v>
      </c>
      <c r="M385" s="277">
        <v>0.15068000000000001</v>
      </c>
      <c r="N385" s="284">
        <f t="shared" si="25"/>
        <v>1.5041519999999977</v>
      </c>
      <c r="O385" s="277">
        <v>16.111955999999999</v>
      </c>
      <c r="P385" s="277">
        <v>2.153178</v>
      </c>
      <c r="Q385" s="277">
        <v>1.89547</v>
      </c>
      <c r="R385" s="277">
        <v>1.9113279999999999</v>
      </c>
      <c r="S385" s="277">
        <v>0.111647</v>
      </c>
      <c r="T385" s="284">
        <f t="shared" si="26"/>
        <v>10.040333</v>
      </c>
      <c r="U385" s="920">
        <v>5338.9053333333331</v>
      </c>
      <c r="V385" s="920">
        <v>1331.1863333333333</v>
      </c>
      <c r="W385" s="920">
        <v>1287.5989999999999</v>
      </c>
      <c r="X385" s="920">
        <v>1470.5863333333334</v>
      </c>
      <c r="Y385" s="920">
        <v>23.495000000000001</v>
      </c>
      <c r="Z385" s="874">
        <f t="shared" si="27"/>
        <v>1226.0386666666664</v>
      </c>
      <c r="AA385" s="920">
        <v>502.3</v>
      </c>
      <c r="AB385" s="920">
        <v>118.56100000000001</v>
      </c>
      <c r="AC385" s="920">
        <v>141.29</v>
      </c>
      <c r="AD385" s="920">
        <v>143.58500000000001</v>
      </c>
      <c r="AE385" s="920">
        <v>0.60899999999999999</v>
      </c>
      <c r="AF385" s="920">
        <v>783.9</v>
      </c>
      <c r="AG385" s="920">
        <v>169.53899999999999</v>
      </c>
      <c r="AH385" s="920">
        <v>237.839</v>
      </c>
      <c r="AI385" s="920">
        <v>215.97</v>
      </c>
      <c r="AJ385" s="920">
        <v>1.105</v>
      </c>
      <c r="AK385" s="919">
        <f>Data[[#This Row],[Industry Cost ($m)]]/Data[[#This Row],[Industry Consumption]]</f>
        <v>1.5606211427433803</v>
      </c>
      <c r="AL385" s="919">
        <f>Data[[#This Row],[AAL Fuel Cost]]/Data[[#This Row],[AAL Consumption]]</f>
        <v>1.4299727566400418</v>
      </c>
      <c r="AM385" s="919">
        <f>Data[[#This Row],[DAL Fuel Cost]]/Data[[#This Row],[DAL Consumption]]</f>
        <v>1.6833392313681081</v>
      </c>
      <c r="AN385" s="919">
        <f>Data[[#This Row],[UAL Fuel Cost]]/Data[[#This Row],[UALConsumption]]</f>
        <v>1.5041264756067834</v>
      </c>
      <c r="AO385" s="919">
        <f>IFERROR(Data[[#This Row],[LUV Fuel Cost]]/Data[[#This Row],[LUV Consumption]],0)</f>
        <v>1.8144499178981939</v>
      </c>
      <c r="AP385" s="783"/>
      <c r="AQ385" s="783"/>
      <c r="AR385" s="253"/>
      <c r="AS385" s="253"/>
      <c r="AT385" s="253"/>
      <c r="AU385" s="253"/>
    </row>
    <row r="386" spans="1:47" ht="10.5" customHeight="1">
      <c r="A386" s="263">
        <v>42308</v>
      </c>
      <c r="B386" s="263" t="s">
        <v>537</v>
      </c>
      <c r="C386" s="277">
        <v>26.421581</v>
      </c>
      <c r="D386" s="277">
        <v>7.643942</v>
      </c>
      <c r="E386" s="277">
        <v>7.4579579999999996</v>
      </c>
      <c r="F386" s="277">
        <v>8.991734000000001</v>
      </c>
      <c r="G386" s="277">
        <v>0.25741900000000001</v>
      </c>
      <c r="H386" s="284">
        <f t="shared" si="24"/>
        <v>2.0705279999999995</v>
      </c>
      <c r="I386" s="277">
        <v>21.580694000000001</v>
      </c>
      <c r="J386" s="277">
        <v>6.1940189999999999</v>
      </c>
      <c r="K386" s="277">
        <v>6.3876489999999997</v>
      </c>
      <c r="L386" s="277">
        <v>7.1585789999999996</v>
      </c>
      <c r="M386" s="277">
        <v>0.200295</v>
      </c>
      <c r="N386" s="284">
        <f t="shared" si="25"/>
        <v>1.6401520000000005</v>
      </c>
      <c r="O386" s="277">
        <v>16.188842999999999</v>
      </c>
      <c r="P386" s="277">
        <v>2.2173799999999999</v>
      </c>
      <c r="Q386" s="277">
        <v>1.7547140000000001</v>
      </c>
      <c r="R386" s="277">
        <v>1.896879</v>
      </c>
      <c r="S386" s="277">
        <v>0.15432199999999999</v>
      </c>
      <c r="T386" s="284">
        <f t="shared" si="26"/>
        <v>10.165547999999998</v>
      </c>
      <c r="U386" s="920">
        <v>4487.16</v>
      </c>
      <c r="V386" s="920">
        <v>1111.8833333333334</v>
      </c>
      <c r="W386" s="920">
        <v>934.99066666666658</v>
      </c>
      <c r="X386" s="920">
        <v>1223.2790000000002</v>
      </c>
      <c r="Y386" s="920">
        <v>27.177666666666667</v>
      </c>
      <c r="Z386" s="874">
        <f t="shared" si="27"/>
        <v>1189.8293333333331</v>
      </c>
      <c r="AA386" s="920">
        <v>491.8</v>
      </c>
      <c r="AB386" s="920">
        <v>116.477</v>
      </c>
      <c r="AC386" s="920">
        <v>127.456</v>
      </c>
      <c r="AD386" s="920">
        <v>143.99799999999999</v>
      </c>
      <c r="AE386" s="920">
        <v>0.877</v>
      </c>
      <c r="AF386" s="920">
        <v>820.2</v>
      </c>
      <c r="AG386" s="920">
        <v>171.309</v>
      </c>
      <c r="AH386" s="920">
        <v>261.64999999999998</v>
      </c>
      <c r="AI386" s="920">
        <v>216.892</v>
      </c>
      <c r="AJ386" s="920">
        <v>1.5960000000000001</v>
      </c>
      <c r="AK386" s="919">
        <f>Data[[#This Row],[Industry Cost ($m)]]/Data[[#This Row],[Industry Consumption]]</f>
        <v>1.6677511183407889</v>
      </c>
      <c r="AL386" s="919">
        <f>Data[[#This Row],[AAL Fuel Cost]]/Data[[#This Row],[AAL Consumption]]</f>
        <v>1.4707538827407984</v>
      </c>
      <c r="AM386" s="919">
        <f>Data[[#This Row],[DAL Fuel Cost]]/Data[[#This Row],[DAL Consumption]]</f>
        <v>2.052865302535777</v>
      </c>
      <c r="AN386" s="919">
        <f>Data[[#This Row],[UAL Fuel Cost]]/Data[[#This Row],[UALConsumption]]</f>
        <v>1.5062153641022793</v>
      </c>
      <c r="AO386" s="919">
        <f>IFERROR(Data[[#This Row],[LUV Fuel Cost]]/Data[[#This Row],[LUV Consumption]],0)</f>
        <v>1.8198403648802737</v>
      </c>
      <c r="AP386" s="783"/>
      <c r="AQ386" s="783"/>
      <c r="AR386" s="253"/>
      <c r="AS386" s="253"/>
      <c r="AT386" s="253"/>
      <c r="AU386" s="253"/>
    </row>
    <row r="387" spans="1:47" ht="10.5" customHeight="1">
      <c r="A387" s="263">
        <v>42338</v>
      </c>
      <c r="B387" s="263" t="s">
        <v>537</v>
      </c>
      <c r="C387" s="277">
        <v>23.942945000000002</v>
      </c>
      <c r="D387" s="277">
        <v>6.7618400000000003</v>
      </c>
      <c r="E387" s="277">
        <v>6.3287650000000006</v>
      </c>
      <c r="F387" s="277">
        <v>8.2495069999999995</v>
      </c>
      <c r="G387" s="277">
        <v>0.381025</v>
      </c>
      <c r="H387" s="284">
        <f t="shared" si="24"/>
        <v>2.2218080000000029</v>
      </c>
      <c r="I387" s="277">
        <v>18.692326999999999</v>
      </c>
      <c r="J387" s="277">
        <v>5.083367</v>
      </c>
      <c r="K387" s="277">
        <v>5.1539669999999997</v>
      </c>
      <c r="L387" s="277">
        <v>6.4054330000000004</v>
      </c>
      <c r="M387" s="277">
        <v>0.287385</v>
      </c>
      <c r="N387" s="284">
        <f t="shared" si="25"/>
        <v>1.7621749999999992</v>
      </c>
      <c r="O387" s="277">
        <v>14.846610999999999</v>
      </c>
      <c r="P387" s="277">
        <v>2.020508</v>
      </c>
      <c r="Q387" s="277">
        <v>1.5040020000000001</v>
      </c>
      <c r="R387" s="277">
        <v>1.869335</v>
      </c>
      <c r="S387" s="277">
        <v>0.22342500000000001</v>
      </c>
      <c r="T387" s="284">
        <f t="shared" si="26"/>
        <v>9.229340999999998</v>
      </c>
      <c r="U387" s="920">
        <v>4487.16</v>
      </c>
      <c r="V387" s="920">
        <v>1111.8833333333334</v>
      </c>
      <c r="W387" s="920">
        <v>934.99066666666658</v>
      </c>
      <c r="X387" s="920">
        <v>1223.2790000000002</v>
      </c>
      <c r="Y387" s="920">
        <v>27.177666666666667</v>
      </c>
      <c r="Z387" s="874">
        <f t="shared" si="27"/>
        <v>1189.8293333333331</v>
      </c>
      <c r="AA387" s="920">
        <v>446.7</v>
      </c>
      <c r="AB387" s="920">
        <v>101.83499999999999</v>
      </c>
      <c r="AC387" s="920">
        <v>108.742</v>
      </c>
      <c r="AD387" s="920">
        <v>130.68299999999999</v>
      </c>
      <c r="AE387" s="920">
        <v>1.2150000000000001</v>
      </c>
      <c r="AF387" s="920">
        <v>704.4</v>
      </c>
      <c r="AG387" s="920">
        <v>143.006</v>
      </c>
      <c r="AH387" s="920">
        <v>199.47300000000001</v>
      </c>
      <c r="AI387" s="920">
        <v>186.16200000000001</v>
      </c>
      <c r="AJ387" s="920">
        <v>2.1309999999999998</v>
      </c>
      <c r="AK387" s="919">
        <f>Data[[#This Row],[Industry Cost ($m)]]/Data[[#This Row],[Industry Consumption]]</f>
        <v>1.5768972464741438</v>
      </c>
      <c r="AL387" s="919">
        <f>Data[[#This Row],[AAL Fuel Cost]]/Data[[#This Row],[AAL Consumption]]</f>
        <v>1.4042912554622675</v>
      </c>
      <c r="AM387" s="919">
        <f>Data[[#This Row],[DAL Fuel Cost]]/Data[[#This Row],[DAL Consumption]]</f>
        <v>1.8343694248772324</v>
      </c>
      <c r="AN387" s="919">
        <f>Data[[#This Row],[UAL Fuel Cost]]/Data[[#This Row],[UALConsumption]]</f>
        <v>1.4245311172838091</v>
      </c>
      <c r="AO387" s="919">
        <f>IFERROR(Data[[#This Row],[LUV Fuel Cost]]/Data[[#This Row],[LUV Consumption]],0)</f>
        <v>1.7539094650205758</v>
      </c>
      <c r="AP387" s="783"/>
      <c r="AQ387" s="783"/>
      <c r="AR387" s="253"/>
      <c r="AS387" s="253"/>
      <c r="AT387" s="253"/>
      <c r="AU387" s="253"/>
    </row>
    <row r="388" spans="1:47" ht="10.5" customHeight="1">
      <c r="A388" s="263">
        <v>42369</v>
      </c>
      <c r="B388" s="263" t="s">
        <v>537</v>
      </c>
      <c r="C388" s="277">
        <v>26.470606</v>
      </c>
      <c r="D388" s="277">
        <v>7.638776</v>
      </c>
      <c r="E388" s="277">
        <v>6.961068</v>
      </c>
      <c r="F388" s="277">
        <v>8.9271279999999997</v>
      </c>
      <c r="G388" s="277">
        <v>0.39506000000000002</v>
      </c>
      <c r="H388" s="284">
        <f t="shared" ref="H388:H451" si="28">+C388-SUM(D388,E388,F388,G388)</f>
        <v>2.5485739999999986</v>
      </c>
      <c r="I388" s="277">
        <v>21.242132999999999</v>
      </c>
      <c r="J388" s="277">
        <v>5.9418670000000002</v>
      </c>
      <c r="K388" s="277">
        <v>5.7987140000000004</v>
      </c>
      <c r="L388" s="277">
        <v>7.1634549999999999</v>
      </c>
      <c r="M388" s="277">
        <v>0.31809500000000002</v>
      </c>
      <c r="N388" s="284">
        <f t="shared" ref="N388:N451" si="29">+I388-SUM(J388,K388,L388,M388)</f>
        <v>2.0200019999999981</v>
      </c>
      <c r="O388" s="277">
        <v>16.859826999999999</v>
      </c>
      <c r="P388" s="277">
        <v>2.3700640000000002</v>
      </c>
      <c r="Q388" s="277">
        <v>1.7467539999999999</v>
      </c>
      <c r="R388" s="277">
        <v>2.1539489999999999</v>
      </c>
      <c r="S388" s="277">
        <v>0.24714</v>
      </c>
      <c r="T388" s="284">
        <f t="shared" ref="T388:T451" si="30">+O388-SUM(P388,Q388,R388,S388)</f>
        <v>10.341919999999998</v>
      </c>
      <c r="U388" s="920">
        <v>4487.16</v>
      </c>
      <c r="V388" s="920">
        <v>1111.8833333333334</v>
      </c>
      <c r="W388" s="920">
        <v>934.99066666666658</v>
      </c>
      <c r="X388" s="920">
        <v>1223.2790000000002</v>
      </c>
      <c r="Y388" s="920">
        <v>27.177666666666667</v>
      </c>
      <c r="Z388" s="874">
        <f t="shared" ref="Z388:Z451" si="31">+U388-SUM(V388,W388,X388,Y388)</f>
        <v>1189.8293333333331</v>
      </c>
      <c r="AA388" s="920">
        <v>483.2</v>
      </c>
      <c r="AB388" s="920">
        <v>113.733</v>
      </c>
      <c r="AC388" s="920">
        <v>118.59699999999999</v>
      </c>
      <c r="AD388" s="920">
        <v>140.02099999999999</v>
      </c>
      <c r="AE388" s="920">
        <v>1.5329999999999999</v>
      </c>
      <c r="AF388" s="920">
        <v>727.1</v>
      </c>
      <c r="AG388" s="920">
        <v>148.16200000000001</v>
      </c>
      <c r="AH388" s="920">
        <v>218.57400000000001</v>
      </c>
      <c r="AI388" s="920">
        <v>193.738</v>
      </c>
      <c r="AJ388" s="920">
        <v>2.4089999999999998</v>
      </c>
      <c r="AK388" s="919">
        <f>Data[[#This Row],[Industry Cost ($m)]]/Data[[#This Row],[Industry Consumption]]</f>
        <v>1.5047599337748345</v>
      </c>
      <c r="AL388" s="919">
        <f>Data[[#This Row],[AAL Fuel Cost]]/Data[[#This Row],[AAL Consumption]]</f>
        <v>1.3027177688094045</v>
      </c>
      <c r="AM388" s="919">
        <f>Data[[#This Row],[DAL Fuel Cost]]/Data[[#This Row],[DAL Consumption]]</f>
        <v>1.8429977149506314</v>
      </c>
      <c r="AN388" s="919">
        <f>Data[[#This Row],[UAL Fuel Cost]]/Data[[#This Row],[UALConsumption]]</f>
        <v>1.3836353118460805</v>
      </c>
      <c r="AO388" s="919">
        <f>IFERROR(Data[[#This Row],[LUV Fuel Cost]]/Data[[#This Row],[LUV Consumption]],0)</f>
        <v>1.5714285714285714</v>
      </c>
      <c r="AP388" s="783"/>
      <c r="AQ388" s="783"/>
      <c r="AR388" s="253"/>
      <c r="AS388" s="253"/>
      <c r="AT388" s="253"/>
      <c r="AU388" s="253"/>
    </row>
    <row r="389" spans="1:47" ht="10.5" customHeight="1">
      <c r="A389" s="263">
        <v>42400</v>
      </c>
      <c r="B389" s="263" t="s">
        <v>537</v>
      </c>
      <c r="C389" s="277">
        <v>26.087347999999999</v>
      </c>
      <c r="D389" s="277">
        <v>7.236974</v>
      </c>
      <c r="E389" s="277">
        <v>7.1851240000000001</v>
      </c>
      <c r="F389" s="277">
        <v>8.6487440000000007</v>
      </c>
      <c r="G389" s="277">
        <v>0.37397399999999997</v>
      </c>
      <c r="H389" s="284">
        <f t="shared" si="28"/>
        <v>2.6425319999999992</v>
      </c>
      <c r="I389" s="277">
        <v>20.744292999999999</v>
      </c>
      <c r="J389" s="277">
        <v>5.644933</v>
      </c>
      <c r="K389" s="277">
        <v>5.86524</v>
      </c>
      <c r="L389" s="277">
        <v>6.8298730000000001</v>
      </c>
      <c r="M389" s="277">
        <v>0.29635800000000001</v>
      </c>
      <c r="N389" s="284">
        <f t="shared" si="29"/>
        <v>2.1078889999999966</v>
      </c>
      <c r="O389" s="277">
        <v>16.492079</v>
      </c>
      <c r="P389" s="277">
        <v>2.237425</v>
      </c>
      <c r="Q389" s="277">
        <v>1.839237</v>
      </c>
      <c r="R389" s="277">
        <v>2.0195500000000002</v>
      </c>
      <c r="S389" s="277">
        <v>0.22895299999999999</v>
      </c>
      <c r="T389" s="284">
        <f t="shared" si="30"/>
        <v>10.166914000000002</v>
      </c>
      <c r="U389" s="920">
        <v>4387.7406666666666</v>
      </c>
      <c r="V389" s="920">
        <v>1271.7250000000001</v>
      </c>
      <c r="W389" s="920">
        <v>858.4319999999999</v>
      </c>
      <c r="X389" s="920">
        <v>1076.5663333333332</v>
      </c>
      <c r="Y389" s="920">
        <v>31.370666666666665</v>
      </c>
      <c r="Z389" s="874">
        <f t="shared" si="31"/>
        <v>1149.6466666666665</v>
      </c>
      <c r="AA389" s="920">
        <v>465.4</v>
      </c>
      <c r="AB389" s="920">
        <v>107.82899999999999</v>
      </c>
      <c r="AC389" s="920">
        <v>120.25700000000001</v>
      </c>
      <c r="AD389" s="920">
        <v>132.94</v>
      </c>
      <c r="AE389" s="920">
        <v>1.2470000000000001</v>
      </c>
      <c r="AF389" s="920">
        <v>570</v>
      </c>
      <c r="AG389" s="920">
        <v>121.34399999999999</v>
      </c>
      <c r="AH389" s="920">
        <v>163.559</v>
      </c>
      <c r="AI389" s="920">
        <v>158.76499999999999</v>
      </c>
      <c r="AJ389" s="920">
        <v>1.772</v>
      </c>
      <c r="AK389" s="919">
        <f>Data[[#This Row],[Industry Cost ($m)]]/Data[[#This Row],[Industry Consumption]]</f>
        <v>1.2247529007305544</v>
      </c>
      <c r="AL389" s="919">
        <f>Data[[#This Row],[AAL Fuel Cost]]/Data[[#This Row],[AAL Consumption]]</f>
        <v>1.1253373396767103</v>
      </c>
      <c r="AM389" s="919">
        <f>Data[[#This Row],[DAL Fuel Cost]]/Data[[#This Row],[DAL Consumption]]</f>
        <v>1.360078831169911</v>
      </c>
      <c r="AN389" s="919">
        <f>Data[[#This Row],[UAL Fuel Cost]]/Data[[#This Row],[UALConsumption]]</f>
        <v>1.1942605686775989</v>
      </c>
      <c r="AO389" s="919">
        <f>IFERROR(Data[[#This Row],[LUV Fuel Cost]]/Data[[#This Row],[LUV Consumption]],0)</f>
        <v>1.4210104250200479</v>
      </c>
      <c r="AP389" s="783"/>
      <c r="AQ389" s="783"/>
      <c r="AR389" s="253"/>
      <c r="AS389" s="253"/>
      <c r="AT389" s="253"/>
      <c r="AU389" s="253"/>
    </row>
    <row r="390" spans="1:47" ht="10.5" customHeight="1">
      <c r="A390" s="263">
        <v>42429</v>
      </c>
      <c r="B390" s="263" t="s">
        <v>537</v>
      </c>
      <c r="C390" s="277">
        <v>23.976338999999999</v>
      </c>
      <c r="D390" s="277">
        <v>6.7002360000000003</v>
      </c>
      <c r="E390" s="277">
        <v>6.3825539999999998</v>
      </c>
      <c r="F390" s="277">
        <v>8.0572689999999998</v>
      </c>
      <c r="G390" s="277">
        <v>0.34905200000000003</v>
      </c>
      <c r="H390" s="284">
        <f t="shared" si="28"/>
        <v>2.4872279999999982</v>
      </c>
      <c r="I390" s="277">
        <v>17.689281000000001</v>
      </c>
      <c r="J390" s="277">
        <v>4.738836</v>
      </c>
      <c r="K390" s="277">
        <v>4.954847</v>
      </c>
      <c r="L390" s="277">
        <v>5.8041410000000004</v>
      </c>
      <c r="M390" s="277">
        <v>0.27673599999999998</v>
      </c>
      <c r="N390" s="284">
        <f t="shared" si="29"/>
        <v>1.9147210000000001</v>
      </c>
      <c r="O390" s="277">
        <v>14.421545</v>
      </c>
      <c r="P390" s="277">
        <v>1.931654</v>
      </c>
      <c r="Q390" s="277">
        <v>1.605056</v>
      </c>
      <c r="R390" s="277">
        <v>1.7816399999999999</v>
      </c>
      <c r="S390" s="277">
        <v>0.21251600000000001</v>
      </c>
      <c r="T390" s="284">
        <f t="shared" si="30"/>
        <v>8.8906789999999987</v>
      </c>
      <c r="U390" s="920">
        <v>4387.7406666666666</v>
      </c>
      <c r="V390" s="920">
        <v>1271.7250000000001</v>
      </c>
      <c r="W390" s="920">
        <v>858.4319999999999</v>
      </c>
      <c r="X390" s="920">
        <v>1076.5663333333332</v>
      </c>
      <c r="Y390" s="920">
        <v>31.370666666666665</v>
      </c>
      <c r="Z390" s="874">
        <f t="shared" si="31"/>
        <v>1149.6466666666665</v>
      </c>
      <c r="AA390" s="920">
        <v>419.3</v>
      </c>
      <c r="AB390" s="920">
        <v>98.777000000000001</v>
      </c>
      <c r="AC390" s="920">
        <v>106.661</v>
      </c>
      <c r="AD390" s="920">
        <v>123.108</v>
      </c>
      <c r="AE390" s="920">
        <v>1.163</v>
      </c>
      <c r="AF390" s="920">
        <v>478.9</v>
      </c>
      <c r="AG390" s="920">
        <v>103.22499999999999</v>
      </c>
      <c r="AH390" s="920">
        <v>142.93600000000001</v>
      </c>
      <c r="AI390" s="920">
        <v>131.68299999999999</v>
      </c>
      <c r="AJ390" s="920">
        <v>1.6240000000000001</v>
      </c>
      <c r="AK390" s="919">
        <f>Data[[#This Row],[Industry Cost ($m)]]/Data[[#This Row],[Industry Consumption]]</f>
        <v>1.1421416646792273</v>
      </c>
      <c r="AL390" s="919">
        <f>Data[[#This Row],[AAL Fuel Cost]]/Data[[#This Row],[AAL Consumption]]</f>
        <v>1.0450307257762435</v>
      </c>
      <c r="AM390" s="919">
        <f>Data[[#This Row],[DAL Fuel Cost]]/Data[[#This Row],[DAL Consumption]]</f>
        <v>1.3400961926102324</v>
      </c>
      <c r="AN390" s="919">
        <f>Data[[#This Row],[UAL Fuel Cost]]/Data[[#This Row],[UALConsumption]]</f>
        <v>1.0696542872924586</v>
      </c>
      <c r="AO390" s="919">
        <f>IFERROR(Data[[#This Row],[LUV Fuel Cost]]/Data[[#This Row],[LUV Consumption]],0)</f>
        <v>1.3963886500429923</v>
      </c>
      <c r="AP390" s="783"/>
      <c r="AQ390" s="783"/>
      <c r="AR390" s="253"/>
      <c r="AS390" s="253"/>
      <c r="AT390" s="253"/>
      <c r="AU390" s="253"/>
    </row>
    <row r="391" spans="1:47" ht="10.5" customHeight="1">
      <c r="A391" s="263">
        <v>42460</v>
      </c>
      <c r="B391" s="263" t="s">
        <v>537</v>
      </c>
      <c r="C391" s="277">
        <v>27.133306000000001</v>
      </c>
      <c r="D391" s="277">
        <v>7.6347670000000001</v>
      </c>
      <c r="E391" s="277">
        <v>7.2847169999999997</v>
      </c>
      <c r="F391" s="277">
        <v>9.1231029999999986</v>
      </c>
      <c r="G391" s="277">
        <v>0.39705099999999999</v>
      </c>
      <c r="H391" s="284">
        <f t="shared" si="28"/>
        <v>2.6936680000000024</v>
      </c>
      <c r="I391" s="277">
        <v>21.529156</v>
      </c>
      <c r="J391" s="277">
        <v>5.8848900000000004</v>
      </c>
      <c r="K391" s="277">
        <v>6.0441950000000002</v>
      </c>
      <c r="L391" s="277">
        <v>7.1065630000000004</v>
      </c>
      <c r="M391" s="277">
        <v>0.32425500000000002</v>
      </c>
      <c r="N391" s="284">
        <f t="shared" si="29"/>
        <v>2.1692529999999977</v>
      </c>
      <c r="O391" s="277">
        <v>17.382691999999999</v>
      </c>
      <c r="P391" s="277">
        <v>2.4039280000000001</v>
      </c>
      <c r="Q391" s="277">
        <v>1.9131469999999999</v>
      </c>
      <c r="R391" s="277">
        <v>2.241984</v>
      </c>
      <c r="S391" s="277">
        <v>0.250946</v>
      </c>
      <c r="T391" s="284">
        <f t="shared" si="30"/>
        <v>10.572686999999998</v>
      </c>
      <c r="U391" s="920">
        <v>4387.7406666666666</v>
      </c>
      <c r="V391" s="920">
        <v>1271.7250000000001</v>
      </c>
      <c r="W391" s="920">
        <v>858.4319999999999</v>
      </c>
      <c r="X391" s="920">
        <v>1076.5663333333332</v>
      </c>
      <c r="Y391" s="920">
        <v>31.370666666666665</v>
      </c>
      <c r="Z391" s="874">
        <f t="shared" si="31"/>
        <v>1149.6466666666665</v>
      </c>
      <c r="AA391" s="920">
        <v>483.2</v>
      </c>
      <c r="AB391" s="920">
        <v>113.369</v>
      </c>
      <c r="AC391" s="920">
        <v>121.02500000000001</v>
      </c>
      <c r="AD391" s="920">
        <v>141.321</v>
      </c>
      <c r="AE391" s="920">
        <v>1.413</v>
      </c>
      <c r="AF391" s="920">
        <v>586.29999999999995</v>
      </c>
      <c r="AG391" s="920">
        <v>130.16399999999999</v>
      </c>
      <c r="AH391" s="920">
        <v>166.92099999999999</v>
      </c>
      <c r="AI391" s="920">
        <v>160.029</v>
      </c>
      <c r="AJ391" s="920">
        <v>2.069</v>
      </c>
      <c r="AK391" s="919">
        <f>Data[[#This Row],[Industry Cost ($m)]]/Data[[#This Row],[Industry Consumption]]</f>
        <v>1.2133692052980132</v>
      </c>
      <c r="AL391" s="919">
        <f>Data[[#This Row],[AAL Fuel Cost]]/Data[[#This Row],[AAL Consumption]]</f>
        <v>1.1481445545078459</v>
      </c>
      <c r="AM391" s="919">
        <f>Data[[#This Row],[DAL Fuel Cost]]/Data[[#This Row],[DAL Consumption]]</f>
        <v>1.3792274323486882</v>
      </c>
      <c r="AN391" s="919">
        <f>Data[[#This Row],[UAL Fuel Cost]]/Data[[#This Row],[UALConsumption]]</f>
        <v>1.1323794765109219</v>
      </c>
      <c r="AO391" s="919">
        <f>IFERROR(Data[[#This Row],[LUV Fuel Cost]]/Data[[#This Row],[LUV Consumption]],0)</f>
        <v>1.4642604387827316</v>
      </c>
      <c r="AP391" s="783"/>
      <c r="AQ391" s="783"/>
      <c r="AR391" s="253"/>
      <c r="AS391" s="253"/>
      <c r="AT391" s="253"/>
      <c r="AU391" s="253"/>
    </row>
    <row r="392" spans="1:47" ht="10.5" customHeight="1">
      <c r="A392" s="263">
        <v>42490</v>
      </c>
      <c r="B392" s="263" t="s">
        <v>537</v>
      </c>
      <c r="C392" s="277">
        <v>27.327961999999999</v>
      </c>
      <c r="D392" s="277">
        <v>7.6611360000000008</v>
      </c>
      <c r="E392" s="277">
        <v>7.7533440000000002</v>
      </c>
      <c r="F392" s="277">
        <v>8.9685949999999988</v>
      </c>
      <c r="G392" s="277">
        <v>0.40457700000000002</v>
      </c>
      <c r="H392" s="284">
        <f t="shared" si="28"/>
        <v>2.5403100000000016</v>
      </c>
      <c r="I392" s="277">
        <v>21.090358999999999</v>
      </c>
      <c r="J392" s="277">
        <v>5.7332090000000004</v>
      </c>
      <c r="K392" s="277">
        <v>6.2187890000000001</v>
      </c>
      <c r="L392" s="277">
        <v>6.8320889999999999</v>
      </c>
      <c r="M392" s="277">
        <v>0.31364500000000001</v>
      </c>
      <c r="N392" s="284">
        <f t="shared" si="29"/>
        <v>1.9926269999999988</v>
      </c>
      <c r="O392" s="277">
        <v>16.596730000000001</v>
      </c>
      <c r="P392" s="277">
        <v>2.2180279999999999</v>
      </c>
      <c r="Q392" s="277">
        <v>1.869972</v>
      </c>
      <c r="R392" s="277">
        <v>2.0224850000000001</v>
      </c>
      <c r="S392" s="277">
        <v>0.24015300000000001</v>
      </c>
      <c r="T392" s="284">
        <f t="shared" si="30"/>
        <v>10.246092000000001</v>
      </c>
      <c r="U392" s="920">
        <v>4858.82</v>
      </c>
      <c r="V392" s="920">
        <v>1174.7006666666666</v>
      </c>
      <c r="W392" s="920">
        <v>1039.2360000000001</v>
      </c>
      <c r="X392" s="920">
        <v>1225.5420000000001</v>
      </c>
      <c r="Y392" s="920">
        <v>34.637666666666668</v>
      </c>
      <c r="Z392" s="874">
        <f t="shared" si="31"/>
        <v>1384.7036666666663</v>
      </c>
      <c r="AA392" s="920">
        <v>483.3</v>
      </c>
      <c r="AB392" s="920">
        <v>113.694</v>
      </c>
      <c r="AC392" s="920">
        <v>128.30500000000001</v>
      </c>
      <c r="AD392" s="920">
        <v>138.39099999999999</v>
      </c>
      <c r="AE392" s="920">
        <v>1.3280000000000001</v>
      </c>
      <c r="AF392" s="920">
        <v>639</v>
      </c>
      <c r="AG392" s="920">
        <v>141.572</v>
      </c>
      <c r="AH392" s="920">
        <v>196.75</v>
      </c>
      <c r="AI392" s="920">
        <v>168.744</v>
      </c>
      <c r="AJ392" s="920">
        <v>2.04</v>
      </c>
      <c r="AK392" s="919">
        <f>Data[[#This Row],[Industry Cost ($m)]]/Data[[#This Row],[Industry Consumption]]</f>
        <v>1.3221601489757915</v>
      </c>
      <c r="AL392" s="919">
        <f>Data[[#This Row],[AAL Fuel Cost]]/Data[[#This Row],[AAL Consumption]]</f>
        <v>1.2452020335285943</v>
      </c>
      <c r="AM392" s="919">
        <f>Data[[#This Row],[DAL Fuel Cost]]/Data[[#This Row],[DAL Consumption]]</f>
        <v>1.5334554382136314</v>
      </c>
      <c r="AN392" s="919">
        <f>Data[[#This Row],[UAL Fuel Cost]]/Data[[#This Row],[UALConsumption]]</f>
        <v>1.2193278464640043</v>
      </c>
      <c r="AO392" s="919">
        <f>IFERROR(Data[[#This Row],[LUV Fuel Cost]]/Data[[#This Row],[LUV Consumption]],0)</f>
        <v>1.536144578313253</v>
      </c>
      <c r="AP392" s="783"/>
      <c r="AQ392" s="783"/>
      <c r="AR392" s="253"/>
      <c r="AS392" s="253"/>
      <c r="AT392" s="253"/>
      <c r="AU392" s="253"/>
    </row>
    <row r="393" spans="1:47" ht="10.5" customHeight="1">
      <c r="A393" s="263">
        <v>42521</v>
      </c>
      <c r="B393" s="263" t="s">
        <v>537</v>
      </c>
      <c r="C393" s="277">
        <v>29.307796</v>
      </c>
      <c r="D393" s="277">
        <v>8.2996630000000007</v>
      </c>
      <c r="E393" s="277">
        <v>8.4379439999999999</v>
      </c>
      <c r="F393" s="277">
        <v>9.7866619999999998</v>
      </c>
      <c r="G393" s="277">
        <v>0.413159</v>
      </c>
      <c r="H393" s="284">
        <f t="shared" si="28"/>
        <v>2.3703679999999991</v>
      </c>
      <c r="I393" s="277">
        <v>23.227163999999998</v>
      </c>
      <c r="J393" s="277">
        <v>6.3516370000000002</v>
      </c>
      <c r="K393" s="277">
        <v>7.0106929999999998</v>
      </c>
      <c r="L393" s="277">
        <v>7.6524029999999996</v>
      </c>
      <c r="M393" s="277">
        <v>0.32675199999999999</v>
      </c>
      <c r="N393" s="284">
        <f t="shared" si="29"/>
        <v>1.8856789999999997</v>
      </c>
      <c r="O393" s="277">
        <v>17.868001</v>
      </c>
      <c r="P393" s="277">
        <v>2.3305750000000001</v>
      </c>
      <c r="Q393" s="277">
        <v>2.0190999999999999</v>
      </c>
      <c r="R393" s="277">
        <v>2.1753149999999999</v>
      </c>
      <c r="S393" s="277">
        <v>0.25213400000000002</v>
      </c>
      <c r="T393" s="284">
        <f t="shared" si="30"/>
        <v>11.090877000000001</v>
      </c>
      <c r="U393" s="920">
        <v>4858.82</v>
      </c>
      <c r="V393" s="920">
        <v>1174.7006666666666</v>
      </c>
      <c r="W393" s="920">
        <v>1039.2360000000001</v>
      </c>
      <c r="X393" s="920">
        <v>1225.5420000000001</v>
      </c>
      <c r="Y393" s="920">
        <v>34.637666666666668</v>
      </c>
      <c r="Z393" s="874">
        <f t="shared" si="31"/>
        <v>1384.7036666666663</v>
      </c>
      <c r="AA393" s="920">
        <v>510.8</v>
      </c>
      <c r="AB393" s="920">
        <v>124.25</v>
      </c>
      <c r="AC393" s="920">
        <v>131.79599999999999</v>
      </c>
      <c r="AD393" s="920">
        <v>151.773</v>
      </c>
      <c r="AE393" s="920">
        <v>1.5589999999999999</v>
      </c>
      <c r="AF393" s="920">
        <v>708.1</v>
      </c>
      <c r="AG393" s="920">
        <v>166.03100000000001</v>
      </c>
      <c r="AH393" s="920">
        <v>198.548</v>
      </c>
      <c r="AI393" s="920">
        <v>201.72399999999999</v>
      </c>
      <c r="AJ393" s="920">
        <v>2.5230000000000001</v>
      </c>
      <c r="AK393" s="919">
        <f>Data[[#This Row],[Industry Cost ($m)]]/Data[[#This Row],[Industry Consumption]]</f>
        <v>1.3862568519968677</v>
      </c>
      <c r="AL393" s="919">
        <f>Data[[#This Row],[AAL Fuel Cost]]/Data[[#This Row],[AAL Consumption]]</f>
        <v>1.3362655935613683</v>
      </c>
      <c r="AM393" s="919">
        <f>Data[[#This Row],[DAL Fuel Cost]]/Data[[#This Row],[DAL Consumption]]</f>
        <v>1.5064797110686212</v>
      </c>
      <c r="AN393" s="919">
        <f>Data[[#This Row],[UAL Fuel Cost]]/Data[[#This Row],[UALConsumption]]</f>
        <v>1.3291165095240918</v>
      </c>
      <c r="AO393" s="919">
        <f>IFERROR(Data[[#This Row],[LUV Fuel Cost]]/Data[[#This Row],[LUV Consumption]],0)</f>
        <v>1.6183450930083387</v>
      </c>
      <c r="AP393" s="783"/>
      <c r="AQ393" s="783"/>
      <c r="AR393" s="253"/>
      <c r="AS393" s="253"/>
      <c r="AT393" s="253"/>
      <c r="AU393" s="253"/>
    </row>
    <row r="394" spans="1:47" ht="10.5" customHeight="1">
      <c r="A394" s="263">
        <v>42551</v>
      </c>
      <c r="B394" s="263" t="s">
        <v>537</v>
      </c>
      <c r="C394" s="277">
        <v>30.591224</v>
      </c>
      <c r="D394" s="277">
        <v>8.5045260000000003</v>
      </c>
      <c r="E394" s="277">
        <v>9.0590609999999998</v>
      </c>
      <c r="F394" s="277">
        <v>10.178927999999999</v>
      </c>
      <c r="G394" s="277">
        <v>0.43509399999999998</v>
      </c>
      <c r="H394" s="284">
        <f t="shared" si="28"/>
        <v>2.4136150000000036</v>
      </c>
      <c r="I394" s="277">
        <v>25.844954999999999</v>
      </c>
      <c r="J394" s="277">
        <v>6.8529730000000004</v>
      </c>
      <c r="K394" s="277">
        <v>7.9720899999999997</v>
      </c>
      <c r="L394" s="277">
        <v>8.6509610000000006</v>
      </c>
      <c r="M394" s="277">
        <v>0.38019999999999998</v>
      </c>
      <c r="N394" s="284">
        <f t="shared" si="29"/>
        <v>1.9887309999999978</v>
      </c>
      <c r="O394" s="277">
        <v>19.407250999999999</v>
      </c>
      <c r="P394" s="277">
        <v>2.5707399999999998</v>
      </c>
      <c r="Q394" s="277">
        <v>2.2954249999999998</v>
      </c>
      <c r="R394" s="277">
        <v>2.4953650000000001</v>
      </c>
      <c r="S394" s="277">
        <v>0.290244</v>
      </c>
      <c r="T394" s="284">
        <f t="shared" si="30"/>
        <v>11.755476999999999</v>
      </c>
      <c r="U394" s="920">
        <v>4858.82</v>
      </c>
      <c r="V394" s="920">
        <v>1174.7006666666666</v>
      </c>
      <c r="W394" s="920">
        <v>1039.2360000000001</v>
      </c>
      <c r="X394" s="920">
        <v>1225.5420000000001</v>
      </c>
      <c r="Y394" s="920">
        <v>34.637666666666668</v>
      </c>
      <c r="Z394" s="874">
        <f t="shared" si="31"/>
        <v>1384.7036666666663</v>
      </c>
      <c r="AA394" s="920">
        <v>530</v>
      </c>
      <c r="AB394" s="920">
        <v>126.479</v>
      </c>
      <c r="AC394" s="920">
        <v>139.67699999999999</v>
      </c>
      <c r="AD394" s="920">
        <v>158.72800000000001</v>
      </c>
      <c r="AE394" s="920">
        <v>1.8109999999999999</v>
      </c>
      <c r="AF394" s="920">
        <v>1000.8</v>
      </c>
      <c r="AG394" s="920">
        <v>183.821</v>
      </c>
      <c r="AH394" s="920">
        <v>428.87799999999999</v>
      </c>
      <c r="AI394" s="920">
        <v>230.358</v>
      </c>
      <c r="AJ394" s="920">
        <v>3.2280000000000002</v>
      </c>
      <c r="AK394" s="919">
        <f>Data[[#This Row],[Industry Cost ($m)]]/Data[[#This Row],[Industry Consumption]]</f>
        <v>1.8883018867924528</v>
      </c>
      <c r="AL394" s="919">
        <f>Data[[#This Row],[AAL Fuel Cost]]/Data[[#This Row],[AAL Consumption]]</f>
        <v>1.4533717059749049</v>
      </c>
      <c r="AM394" s="919">
        <f>Data[[#This Row],[DAL Fuel Cost]]/Data[[#This Row],[DAL Consumption]]</f>
        <v>3.0704983640828485</v>
      </c>
      <c r="AN394" s="919">
        <f>Data[[#This Row],[UAL Fuel Cost]]/Data[[#This Row],[UALConsumption]]</f>
        <v>1.4512751373418677</v>
      </c>
      <c r="AO394" s="919">
        <f>IFERROR(Data[[#This Row],[LUV Fuel Cost]]/Data[[#This Row],[LUV Consumption]],0)</f>
        <v>1.7824406405300941</v>
      </c>
      <c r="AP394" s="783"/>
      <c r="AQ394" s="783"/>
      <c r="AR394" s="253"/>
      <c r="AS394" s="253"/>
      <c r="AT394" s="253"/>
      <c r="AU394" s="253"/>
    </row>
    <row r="395" spans="1:47" ht="10.5" customHeight="1">
      <c r="A395" s="263">
        <v>42582</v>
      </c>
      <c r="B395" s="263" t="s">
        <v>537</v>
      </c>
      <c r="C395" s="277">
        <v>32.392150000000001</v>
      </c>
      <c r="D395" s="277">
        <v>8.9314099999999996</v>
      </c>
      <c r="E395" s="277">
        <v>9.5998929999999998</v>
      </c>
      <c r="F395" s="277">
        <v>10.812517</v>
      </c>
      <c r="G395" s="277">
        <v>0.46113099999999996</v>
      </c>
      <c r="H395" s="284">
        <f t="shared" si="28"/>
        <v>2.5871989999999983</v>
      </c>
      <c r="I395" s="277">
        <v>27.864954000000001</v>
      </c>
      <c r="J395" s="277">
        <v>7.4122630000000003</v>
      </c>
      <c r="K395" s="277">
        <v>8.4398909999999994</v>
      </c>
      <c r="L395" s="277">
        <v>9.3591320000000007</v>
      </c>
      <c r="M395" s="277">
        <v>0.42365900000000001</v>
      </c>
      <c r="N395" s="284">
        <f t="shared" si="29"/>
        <v>2.230008999999999</v>
      </c>
      <c r="O395" s="277">
        <v>21.435123000000001</v>
      </c>
      <c r="P395" s="277">
        <v>2.8558979999999998</v>
      </c>
      <c r="Q395" s="277">
        <v>2.4660340000000001</v>
      </c>
      <c r="R395" s="277">
        <v>2.7855470000000002</v>
      </c>
      <c r="S395" s="277">
        <v>0.32252900000000001</v>
      </c>
      <c r="T395" s="284">
        <f t="shared" si="30"/>
        <v>13.005115</v>
      </c>
      <c r="U395" s="920">
        <v>5343.8986666666669</v>
      </c>
      <c r="V395" s="920">
        <v>1078.22</v>
      </c>
      <c r="W395" s="920">
        <v>1134.3009999999999</v>
      </c>
      <c r="X395" s="920">
        <v>1331.4913333333334</v>
      </c>
      <c r="Y395" s="920">
        <v>31.005666666666666</v>
      </c>
      <c r="Z395" s="874">
        <f t="shared" si="31"/>
        <v>1768.8806666666674</v>
      </c>
      <c r="AA395" s="920">
        <v>559.4</v>
      </c>
      <c r="AB395" s="920">
        <v>133.053</v>
      </c>
      <c r="AC395" s="920">
        <v>149.334</v>
      </c>
      <c r="AD395" s="920">
        <v>168.983</v>
      </c>
      <c r="AE395" s="920">
        <v>1.9370000000000001</v>
      </c>
      <c r="AF395" s="920">
        <v>824.7</v>
      </c>
      <c r="AG395" s="920">
        <v>194.10400000000001</v>
      </c>
      <c r="AH395" s="920">
        <v>220.435</v>
      </c>
      <c r="AI395" s="920">
        <v>247.74799999999999</v>
      </c>
      <c r="AJ395" s="920">
        <v>3.65</v>
      </c>
      <c r="AK395" s="919">
        <f>Data[[#This Row],[Industry Cost ($m)]]/Data[[#This Row],[Industry Consumption]]</f>
        <v>1.4742581337146945</v>
      </c>
      <c r="AL395" s="919">
        <f>Data[[#This Row],[AAL Fuel Cost]]/Data[[#This Row],[AAL Consumption]]</f>
        <v>1.4588472262932817</v>
      </c>
      <c r="AM395" s="919">
        <f>Data[[#This Row],[DAL Fuel Cost]]/Data[[#This Row],[DAL Consumption]]</f>
        <v>1.4761206423185611</v>
      </c>
      <c r="AN395" s="919">
        <f>Data[[#This Row],[UAL Fuel Cost]]/Data[[#This Row],[UALConsumption]]</f>
        <v>1.4661119757608752</v>
      </c>
      <c r="AO395" s="919">
        <f>IFERROR(Data[[#This Row],[LUV Fuel Cost]]/Data[[#This Row],[LUV Consumption]],0)</f>
        <v>1.8843572534847701</v>
      </c>
      <c r="AP395" s="783"/>
      <c r="AQ395" s="783"/>
      <c r="AR395" s="253"/>
      <c r="AS395" s="253"/>
      <c r="AT395" s="253"/>
      <c r="AU395" s="253"/>
    </row>
    <row r="396" spans="1:47" ht="10.5" customHeight="1">
      <c r="A396" s="263">
        <v>42613</v>
      </c>
      <c r="B396" s="263" t="s">
        <v>537</v>
      </c>
      <c r="C396" s="277">
        <v>31.391559000000001</v>
      </c>
      <c r="D396" s="277">
        <v>8.6360480000000006</v>
      </c>
      <c r="E396" s="277">
        <v>9.4448080000000001</v>
      </c>
      <c r="F396" s="277">
        <v>10.373308999999999</v>
      </c>
      <c r="G396" s="277">
        <v>0.34134100000000001</v>
      </c>
      <c r="H396" s="284">
        <f t="shared" si="28"/>
        <v>2.5960530000000013</v>
      </c>
      <c r="I396" s="277">
        <v>26.456140000000001</v>
      </c>
      <c r="J396" s="277">
        <v>7.0501519999999998</v>
      </c>
      <c r="K396" s="277">
        <v>8.1240419999999993</v>
      </c>
      <c r="L396" s="277">
        <v>8.8099329999999991</v>
      </c>
      <c r="M396" s="277">
        <v>0.288192</v>
      </c>
      <c r="N396" s="284">
        <f t="shared" si="29"/>
        <v>2.1838210000000018</v>
      </c>
      <c r="O396" s="277">
        <v>20.654207</v>
      </c>
      <c r="P396" s="277">
        <v>2.6103339999999999</v>
      </c>
      <c r="Q396" s="277">
        <v>2.3490120000000001</v>
      </c>
      <c r="R396" s="277">
        <v>2.5016289999999999</v>
      </c>
      <c r="S396" s="277">
        <v>0.229768</v>
      </c>
      <c r="T396" s="284">
        <f t="shared" si="30"/>
        <v>12.963464</v>
      </c>
      <c r="U396" s="920">
        <v>5343.8986666666669</v>
      </c>
      <c r="V396" s="920">
        <v>1078.22</v>
      </c>
      <c r="W396" s="920">
        <v>1134.3009999999999</v>
      </c>
      <c r="X396" s="920">
        <v>1331.4913333333334</v>
      </c>
      <c r="Y396" s="920">
        <v>31.005666666666666</v>
      </c>
      <c r="Z396" s="874">
        <f t="shared" si="31"/>
        <v>1768.8806666666674</v>
      </c>
      <c r="AA396" s="920">
        <v>546.29999999999995</v>
      </c>
      <c r="AB396" s="920">
        <v>129.26900000000001</v>
      </c>
      <c r="AC396" s="920">
        <v>145.834</v>
      </c>
      <c r="AD396" s="920">
        <v>161.71</v>
      </c>
      <c r="AE396" s="920">
        <v>1.2569999999999999</v>
      </c>
      <c r="AF396" s="920">
        <v>789</v>
      </c>
      <c r="AG396" s="920">
        <v>187.22200000000001</v>
      </c>
      <c r="AH396" s="920">
        <v>224.49600000000001</v>
      </c>
      <c r="AI396" s="920">
        <v>223.09800000000001</v>
      </c>
      <c r="AJ396" s="920">
        <v>2.234</v>
      </c>
      <c r="AK396" s="919">
        <f>Data[[#This Row],[Industry Cost ($m)]]/Data[[#This Row],[Industry Consumption]]</f>
        <v>1.4442613948380012</v>
      </c>
      <c r="AL396" s="919">
        <f>Data[[#This Row],[AAL Fuel Cost]]/Data[[#This Row],[AAL Consumption]]</f>
        <v>1.4483132073428278</v>
      </c>
      <c r="AM396" s="919">
        <f>Data[[#This Row],[DAL Fuel Cost]]/Data[[#This Row],[DAL Consumption]]</f>
        <v>1.5393941056269458</v>
      </c>
      <c r="AN396" s="919">
        <f>Data[[#This Row],[UAL Fuel Cost]]/Data[[#This Row],[UALConsumption]]</f>
        <v>1.3796178343949044</v>
      </c>
      <c r="AO396" s="919">
        <f>IFERROR(Data[[#This Row],[LUV Fuel Cost]]/Data[[#This Row],[LUV Consumption]],0)</f>
        <v>1.7772474144789181</v>
      </c>
      <c r="AP396" s="783"/>
      <c r="AQ396" s="783"/>
      <c r="AR396" s="253"/>
      <c r="AS396" s="253"/>
      <c r="AT396" s="253"/>
      <c r="AU396" s="253"/>
    </row>
    <row r="397" spans="1:47" ht="10.5" customHeight="1">
      <c r="A397" s="263">
        <v>42643</v>
      </c>
      <c r="B397" s="263" t="s">
        <v>537</v>
      </c>
      <c r="C397" s="277">
        <v>27.499402</v>
      </c>
      <c r="D397" s="277">
        <v>7.6550370000000001</v>
      </c>
      <c r="E397" s="277">
        <v>8.1920570000000001</v>
      </c>
      <c r="F397" s="277">
        <v>9.2089119999999998</v>
      </c>
      <c r="G397" s="277">
        <v>0.28785700000000003</v>
      </c>
      <c r="H397" s="284">
        <f t="shared" si="28"/>
        <v>2.155539000000001</v>
      </c>
      <c r="I397" s="277">
        <v>22.312139999999999</v>
      </c>
      <c r="J397" s="277">
        <v>6.0054020000000001</v>
      </c>
      <c r="K397" s="277">
        <v>6.8757919999999997</v>
      </c>
      <c r="L397" s="277">
        <v>7.4991219999999998</v>
      </c>
      <c r="M397" s="277">
        <v>0.20568500000000001</v>
      </c>
      <c r="N397" s="284">
        <f t="shared" si="29"/>
        <v>1.7261389999999999</v>
      </c>
      <c r="O397" s="277">
        <v>17.161888999999999</v>
      </c>
      <c r="P397" s="277">
        <v>2.0077370000000001</v>
      </c>
      <c r="Q397" s="277">
        <v>1.8917029999999999</v>
      </c>
      <c r="R397" s="277">
        <v>1.981344</v>
      </c>
      <c r="S397" s="277">
        <v>0.170649</v>
      </c>
      <c r="T397" s="284">
        <f t="shared" si="30"/>
        <v>11.110455999999999</v>
      </c>
      <c r="U397" s="920">
        <v>5343.8986666666669</v>
      </c>
      <c r="V397" s="920">
        <v>1078.22</v>
      </c>
      <c r="W397" s="920">
        <v>1134.3009999999999</v>
      </c>
      <c r="X397" s="920">
        <v>1331.4913333333334</v>
      </c>
      <c r="Y397" s="920">
        <v>31.005666666666666</v>
      </c>
      <c r="Z397" s="874">
        <f t="shared" si="31"/>
        <v>1768.8806666666674</v>
      </c>
      <c r="AA397" s="920">
        <v>491.1</v>
      </c>
      <c r="AB397" s="920">
        <v>116.84399999999999</v>
      </c>
      <c r="AC397" s="920">
        <v>127.753</v>
      </c>
      <c r="AD397" s="920">
        <v>144.732</v>
      </c>
      <c r="AE397" s="920">
        <v>0.872</v>
      </c>
      <c r="AF397" s="920">
        <v>695.2</v>
      </c>
      <c r="AG397" s="920">
        <v>163.34100000000001</v>
      </c>
      <c r="AH397" s="920">
        <v>181.57900000000001</v>
      </c>
      <c r="AI397" s="920">
        <v>203.88200000000001</v>
      </c>
      <c r="AJ397" s="920">
        <v>1.603</v>
      </c>
      <c r="AK397" s="919">
        <f>Data[[#This Row],[Industry Cost ($m)]]/Data[[#This Row],[Industry Consumption]]</f>
        <v>1.4155976379556099</v>
      </c>
      <c r="AL397" s="919">
        <f>Data[[#This Row],[AAL Fuel Cost]]/Data[[#This Row],[AAL Consumption]]</f>
        <v>1.3979408442025265</v>
      </c>
      <c r="AM397" s="919">
        <f>Data[[#This Row],[DAL Fuel Cost]]/Data[[#This Row],[DAL Consumption]]</f>
        <v>1.4213286576440476</v>
      </c>
      <c r="AN397" s="919">
        <f>Data[[#This Row],[UAL Fuel Cost]]/Data[[#This Row],[UALConsumption]]</f>
        <v>1.4086863996904624</v>
      </c>
      <c r="AO397" s="919">
        <f>IFERROR(Data[[#This Row],[LUV Fuel Cost]]/Data[[#This Row],[LUV Consumption]],0)</f>
        <v>1.838302752293578</v>
      </c>
      <c r="AP397" s="783"/>
      <c r="AQ397" s="783"/>
      <c r="AR397" s="253"/>
      <c r="AS397" s="253"/>
      <c r="AT397" s="253"/>
      <c r="AU397" s="253"/>
    </row>
    <row r="398" spans="1:47" ht="10.5" customHeight="1">
      <c r="A398" s="263">
        <v>42674</v>
      </c>
      <c r="B398" s="263" t="s">
        <v>537</v>
      </c>
      <c r="C398" s="277">
        <v>26.951682999999999</v>
      </c>
      <c r="D398" s="277">
        <v>7.6554719999999996</v>
      </c>
      <c r="E398" s="277">
        <v>7.5423789999999995</v>
      </c>
      <c r="F398" s="277">
        <v>9.2188649999999992</v>
      </c>
      <c r="G398" s="277">
        <v>0.29606399999999999</v>
      </c>
      <c r="H398" s="284">
        <f t="shared" si="28"/>
        <v>2.238902999999997</v>
      </c>
      <c r="I398" s="277">
        <v>21.595807000000001</v>
      </c>
      <c r="J398" s="277">
        <v>6.0777729999999996</v>
      </c>
      <c r="K398" s="277">
        <v>6.2116530000000001</v>
      </c>
      <c r="L398" s="277">
        <v>7.2420080000000002</v>
      </c>
      <c r="M398" s="277">
        <v>0.232762</v>
      </c>
      <c r="N398" s="284">
        <f t="shared" si="29"/>
        <v>1.8316110000000023</v>
      </c>
      <c r="O398" s="277">
        <v>16.905446000000001</v>
      </c>
      <c r="P398" s="277">
        <v>2.0948340000000001</v>
      </c>
      <c r="Q398" s="277">
        <v>1.741881</v>
      </c>
      <c r="R398" s="277">
        <v>1.9360379999999999</v>
      </c>
      <c r="S398" s="277">
        <v>0.192548</v>
      </c>
      <c r="T398" s="284">
        <f t="shared" si="30"/>
        <v>10.940145000000001</v>
      </c>
      <c r="U398" s="920">
        <v>4805.5430000000006</v>
      </c>
      <c r="V398" s="920">
        <v>908.17433333333338</v>
      </c>
      <c r="W398" s="920">
        <v>849.13766666666663</v>
      </c>
      <c r="X398" s="920">
        <v>1151.1369999999999</v>
      </c>
      <c r="Y398" s="920">
        <v>30.623000000000001</v>
      </c>
      <c r="Z398" s="874">
        <f t="shared" si="31"/>
        <v>1866.4710000000009</v>
      </c>
      <c r="AA398" s="920">
        <v>482.5</v>
      </c>
      <c r="AB398" s="920">
        <v>117.218</v>
      </c>
      <c r="AC398" s="920">
        <v>115.682</v>
      </c>
      <c r="AD398" s="920">
        <v>144.48599999999999</v>
      </c>
      <c r="AE398" s="920">
        <v>0.94799999999999995</v>
      </c>
      <c r="AF398" s="920">
        <v>739.2</v>
      </c>
      <c r="AG398" s="920">
        <v>172.286</v>
      </c>
      <c r="AH398" s="920">
        <v>197.476</v>
      </c>
      <c r="AI398" s="920">
        <v>213.041</v>
      </c>
      <c r="AJ398" s="920">
        <v>1.802</v>
      </c>
      <c r="AK398" s="919">
        <f>Data[[#This Row],[Industry Cost ($m)]]/Data[[#This Row],[Industry Consumption]]</f>
        <v>1.5320207253886011</v>
      </c>
      <c r="AL398" s="919">
        <f>Data[[#This Row],[AAL Fuel Cost]]/Data[[#This Row],[AAL Consumption]]</f>
        <v>1.4697913289767783</v>
      </c>
      <c r="AM398" s="919">
        <f>Data[[#This Row],[DAL Fuel Cost]]/Data[[#This Row],[DAL Consumption]]</f>
        <v>1.707059006587023</v>
      </c>
      <c r="AN398" s="919">
        <f>Data[[#This Row],[UAL Fuel Cost]]/Data[[#This Row],[UALConsumption]]</f>
        <v>1.4744750356435918</v>
      </c>
      <c r="AO398" s="919">
        <f>IFERROR(Data[[#This Row],[LUV Fuel Cost]]/Data[[#This Row],[LUV Consumption]],0)</f>
        <v>1.9008438818565403</v>
      </c>
      <c r="AP398" s="783"/>
      <c r="AQ398" s="783"/>
      <c r="AR398" s="253"/>
      <c r="AS398" s="253"/>
      <c r="AT398" s="253"/>
      <c r="AU398" s="253"/>
    </row>
    <row r="399" spans="1:47" ht="10.5" customHeight="1">
      <c r="A399" s="263">
        <v>42704</v>
      </c>
      <c r="B399" s="263" t="s">
        <v>537</v>
      </c>
      <c r="C399" s="277">
        <v>23.659154999999998</v>
      </c>
      <c r="D399" s="277">
        <v>6.5421710000000006</v>
      </c>
      <c r="E399" s="277">
        <v>6.0469559999999998</v>
      </c>
      <c r="F399" s="277">
        <v>8.3513150000000014</v>
      </c>
      <c r="G399" s="277">
        <v>0.35470200000000002</v>
      </c>
      <c r="H399" s="284">
        <f t="shared" si="28"/>
        <v>2.3640109999999943</v>
      </c>
      <c r="I399" s="277">
        <v>18.653535000000002</v>
      </c>
      <c r="J399" s="277">
        <v>5.0662779999999996</v>
      </c>
      <c r="K399" s="277">
        <v>4.907438</v>
      </c>
      <c r="L399" s="277">
        <v>6.4757910000000001</v>
      </c>
      <c r="M399" s="277">
        <v>0.285862</v>
      </c>
      <c r="N399" s="284">
        <f t="shared" si="29"/>
        <v>1.9181659999999994</v>
      </c>
      <c r="O399" s="277">
        <v>15.653034999999999</v>
      </c>
      <c r="P399" s="277">
        <v>1.941246</v>
      </c>
      <c r="Q399" s="277">
        <v>1.4591909999999999</v>
      </c>
      <c r="R399" s="277">
        <v>1.8367709999999999</v>
      </c>
      <c r="S399" s="277">
        <v>0.231216</v>
      </c>
      <c r="T399" s="284">
        <f t="shared" si="30"/>
        <v>10.184611</v>
      </c>
      <c r="U399" s="920">
        <v>4805.5430000000006</v>
      </c>
      <c r="V399" s="920">
        <v>908.17433333333338</v>
      </c>
      <c r="W399" s="920">
        <v>849.13766666666663</v>
      </c>
      <c r="X399" s="920">
        <v>1151.1369999999999</v>
      </c>
      <c r="Y399" s="920">
        <v>30.623000000000001</v>
      </c>
      <c r="Z399" s="874">
        <f t="shared" si="31"/>
        <v>1866.4710000000009</v>
      </c>
      <c r="AA399" s="920">
        <v>432.3</v>
      </c>
      <c r="AB399" s="920">
        <v>99.100999999999999</v>
      </c>
      <c r="AC399" s="920">
        <v>92.108999999999995</v>
      </c>
      <c r="AD399" s="920">
        <v>130.16900000000001</v>
      </c>
      <c r="AE399" s="920">
        <v>1.1639999999999999</v>
      </c>
      <c r="AF399" s="920">
        <v>607</v>
      </c>
      <c r="AG399" s="920">
        <v>149.88499999999999</v>
      </c>
      <c r="AH399" s="920">
        <v>143.83199999999999</v>
      </c>
      <c r="AI399" s="920">
        <v>195.37200000000001</v>
      </c>
      <c r="AJ399" s="920">
        <v>2.177</v>
      </c>
      <c r="AK399" s="919">
        <f>Data[[#This Row],[Industry Cost ($m)]]/Data[[#This Row],[Industry Consumption]]</f>
        <v>1.40411751098774</v>
      </c>
      <c r="AL399" s="919">
        <f>Data[[#This Row],[AAL Fuel Cost]]/Data[[#This Row],[AAL Consumption]]</f>
        <v>1.5124468976095093</v>
      </c>
      <c r="AM399" s="919">
        <f>Data[[#This Row],[DAL Fuel Cost]]/Data[[#This Row],[DAL Consumption]]</f>
        <v>1.5615412174706056</v>
      </c>
      <c r="AN399" s="919">
        <f>Data[[#This Row],[UAL Fuel Cost]]/Data[[#This Row],[UALConsumption]]</f>
        <v>1.5009103550000384</v>
      </c>
      <c r="AO399" s="919">
        <f>IFERROR(Data[[#This Row],[LUV Fuel Cost]]/Data[[#This Row],[LUV Consumption]],0)</f>
        <v>1.8702749140893473</v>
      </c>
      <c r="AP399" s="783"/>
      <c r="AQ399" s="783"/>
      <c r="AR399" s="253"/>
      <c r="AS399" s="253"/>
      <c r="AT399" s="253"/>
      <c r="AU399" s="253"/>
    </row>
    <row r="400" spans="1:47" ht="10.5" customHeight="1">
      <c r="A400" s="263">
        <v>42735</v>
      </c>
      <c r="B400" s="263" t="s">
        <v>537</v>
      </c>
      <c r="C400" s="277">
        <v>26.927716</v>
      </c>
      <c r="D400" s="277">
        <v>7.5502910000000005</v>
      </c>
      <c r="E400" s="277">
        <v>6.9454459999999996</v>
      </c>
      <c r="F400" s="277">
        <v>9.1835339999999999</v>
      </c>
      <c r="G400" s="277">
        <v>0.45464599999999999</v>
      </c>
      <c r="H400" s="284">
        <f t="shared" si="28"/>
        <v>2.7937989999999999</v>
      </c>
      <c r="I400" s="277">
        <v>21.849474000000001</v>
      </c>
      <c r="J400" s="277">
        <v>5.9813099999999997</v>
      </c>
      <c r="K400" s="277">
        <v>5.8534569999999997</v>
      </c>
      <c r="L400" s="277">
        <v>7.4290440000000002</v>
      </c>
      <c r="M400" s="277">
        <v>0.36182999999999998</v>
      </c>
      <c r="N400" s="284">
        <f t="shared" si="29"/>
        <v>2.2238329999999991</v>
      </c>
      <c r="O400" s="277">
        <v>18.014472999999999</v>
      </c>
      <c r="P400" s="277">
        <v>2.360973</v>
      </c>
      <c r="Q400" s="277">
        <v>1.8387150000000001</v>
      </c>
      <c r="R400" s="277">
        <v>2.21217</v>
      </c>
      <c r="S400" s="277">
        <v>0.29802299999999998</v>
      </c>
      <c r="T400" s="284">
        <f t="shared" si="30"/>
        <v>11.304592</v>
      </c>
      <c r="U400" s="920">
        <v>4805.5430000000006</v>
      </c>
      <c r="V400" s="920">
        <v>908.17433333333338</v>
      </c>
      <c r="W400" s="920">
        <v>849.13766666666663</v>
      </c>
      <c r="X400" s="920">
        <v>1151.1369999999999</v>
      </c>
      <c r="Y400" s="920">
        <v>30.623000000000001</v>
      </c>
      <c r="Z400" s="874">
        <f t="shared" si="31"/>
        <v>1866.4710000000009</v>
      </c>
      <c r="AA400" s="920">
        <v>473.7</v>
      </c>
      <c r="AB400" s="920">
        <v>113.27</v>
      </c>
      <c r="AC400" s="920">
        <v>105.583</v>
      </c>
      <c r="AD400" s="920">
        <v>143.078</v>
      </c>
      <c r="AE400" s="920">
        <v>1.5820000000000001</v>
      </c>
      <c r="AF400" s="920">
        <v>736</v>
      </c>
      <c r="AG400" s="920">
        <v>173.83600000000001</v>
      </c>
      <c r="AH400" s="920">
        <v>171.89</v>
      </c>
      <c r="AI400" s="920">
        <v>218.95699999999999</v>
      </c>
      <c r="AJ400" s="920">
        <v>3.0169999999999999</v>
      </c>
      <c r="AK400" s="919">
        <f>Data[[#This Row],[Industry Cost ($m)]]/Data[[#This Row],[Industry Consumption]]</f>
        <v>1.5537259869115474</v>
      </c>
      <c r="AL400" s="919">
        <f>Data[[#This Row],[AAL Fuel Cost]]/Data[[#This Row],[AAL Consumption]]</f>
        <v>1.5347046879138344</v>
      </c>
      <c r="AM400" s="919">
        <f>Data[[#This Row],[DAL Fuel Cost]]/Data[[#This Row],[DAL Consumption]]</f>
        <v>1.6280082967902028</v>
      </c>
      <c r="AN400" s="919">
        <f>Data[[#This Row],[UAL Fuel Cost]]/Data[[#This Row],[UALConsumption]]</f>
        <v>1.5303331050196396</v>
      </c>
      <c r="AO400" s="919">
        <f>IFERROR(Data[[#This Row],[LUV Fuel Cost]]/Data[[#This Row],[LUV Consumption]],0)</f>
        <v>1.9070796460176989</v>
      </c>
      <c r="AP400" s="783"/>
      <c r="AQ400" s="783"/>
      <c r="AR400" s="253"/>
      <c r="AS400" s="253"/>
      <c r="AT400" s="253"/>
      <c r="AU400" s="253"/>
    </row>
    <row r="401" spans="1:47" ht="10.5" customHeight="1">
      <c r="A401" s="263">
        <v>42766</v>
      </c>
      <c r="B401" s="263" t="s">
        <v>537</v>
      </c>
      <c r="C401" s="277">
        <v>26.517102000000001</v>
      </c>
      <c r="D401" s="277">
        <v>7.1371199999999995</v>
      </c>
      <c r="E401" s="277">
        <v>7.0400320000000001</v>
      </c>
      <c r="F401" s="277">
        <v>9.0149599999999985</v>
      </c>
      <c r="G401" s="277">
        <v>0.46656200000000003</v>
      </c>
      <c r="H401" s="284">
        <f t="shared" si="28"/>
        <v>2.8584280000000035</v>
      </c>
      <c r="I401" s="277">
        <v>21.015592999999999</v>
      </c>
      <c r="J401" s="277">
        <v>5.5997159999999999</v>
      </c>
      <c r="K401" s="277">
        <v>5.7527699999999999</v>
      </c>
      <c r="L401" s="277">
        <v>7.0698460000000001</v>
      </c>
      <c r="M401" s="277">
        <v>0.34573300000000001</v>
      </c>
      <c r="N401" s="284">
        <f t="shared" si="29"/>
        <v>2.2475280000000026</v>
      </c>
      <c r="O401" s="277">
        <v>17.488782</v>
      </c>
      <c r="P401" s="277">
        <v>2.2005710000000001</v>
      </c>
      <c r="Q401" s="277">
        <v>1.870711</v>
      </c>
      <c r="R401" s="277">
        <v>2.1064340000000001</v>
      </c>
      <c r="S401" s="277">
        <v>0.28706799999999999</v>
      </c>
      <c r="T401" s="284">
        <f t="shared" si="30"/>
        <v>11.023998000000001</v>
      </c>
      <c r="U401" s="920">
        <v>4640.0643333333337</v>
      </c>
      <c r="V401" s="920">
        <v>893.94233333333329</v>
      </c>
      <c r="W401" s="920">
        <v>831.38166666666666</v>
      </c>
      <c r="X401" s="920">
        <v>1099.1270000000002</v>
      </c>
      <c r="Y401" s="920">
        <v>34.341000000000001</v>
      </c>
      <c r="Z401" s="874">
        <f t="shared" si="31"/>
        <v>1781.2723333333338</v>
      </c>
      <c r="AA401" s="920">
        <v>460.9</v>
      </c>
      <c r="AB401" s="920">
        <v>107.13800000000001</v>
      </c>
      <c r="AC401" s="920">
        <v>105.761</v>
      </c>
      <c r="AD401" s="920">
        <v>139.13800000000001</v>
      </c>
      <c r="AE401" s="920">
        <v>1.3280000000000001</v>
      </c>
      <c r="AF401" s="920">
        <v>753.1</v>
      </c>
      <c r="AG401" s="920">
        <v>173.327</v>
      </c>
      <c r="AH401" s="920">
        <v>176.00800000000001</v>
      </c>
      <c r="AI401" s="920">
        <v>228.64</v>
      </c>
      <c r="AJ401" s="920">
        <v>2.6970000000000001</v>
      </c>
      <c r="AK401" s="919">
        <f>Data[[#This Row],[Industry Cost ($m)]]/Data[[#This Row],[Industry Consumption]]</f>
        <v>1.6339770015187678</v>
      </c>
      <c r="AL401" s="919">
        <f>Data[[#This Row],[AAL Fuel Cost]]/Data[[#This Row],[AAL Consumption]]</f>
        <v>1.6177920065709646</v>
      </c>
      <c r="AM401" s="919">
        <f>Data[[#This Row],[DAL Fuel Cost]]/Data[[#This Row],[DAL Consumption]]</f>
        <v>1.6642051417819426</v>
      </c>
      <c r="AN401" s="919">
        <f>Data[[#This Row],[UAL Fuel Cost]]/Data[[#This Row],[UALConsumption]]</f>
        <v>1.6432606477022811</v>
      </c>
      <c r="AO401" s="919">
        <f>IFERROR(Data[[#This Row],[LUV Fuel Cost]]/Data[[#This Row],[LUV Consumption]],0)</f>
        <v>2.0308734939759034</v>
      </c>
      <c r="AP401" s="783"/>
      <c r="AQ401" s="783"/>
      <c r="AR401" s="253"/>
      <c r="AS401" s="253"/>
      <c r="AT401" s="253"/>
      <c r="AU401" s="253"/>
    </row>
    <row r="402" spans="1:47" ht="10.5" customHeight="1">
      <c r="A402" s="263">
        <v>42794</v>
      </c>
      <c r="B402" s="263" t="s">
        <v>537</v>
      </c>
      <c r="C402" s="277">
        <v>23.613443</v>
      </c>
      <c r="D402" s="277">
        <v>6.369415</v>
      </c>
      <c r="E402" s="277">
        <v>6.1112910000000005</v>
      </c>
      <c r="F402" s="277">
        <v>8.0872840000000004</v>
      </c>
      <c r="G402" s="277">
        <v>0.43588600000000005</v>
      </c>
      <c r="H402" s="284">
        <f t="shared" si="28"/>
        <v>2.6095669999999984</v>
      </c>
      <c r="I402" s="277">
        <v>17.528721999999998</v>
      </c>
      <c r="J402" s="277">
        <v>4.5956200000000003</v>
      </c>
      <c r="K402" s="277">
        <v>4.8380450000000002</v>
      </c>
      <c r="L402" s="277">
        <v>5.7405200000000001</v>
      </c>
      <c r="M402" s="277">
        <v>0.31457099999999999</v>
      </c>
      <c r="N402" s="284">
        <f t="shared" si="29"/>
        <v>2.0399659999999962</v>
      </c>
      <c r="O402" s="277">
        <v>14.709987999999999</v>
      </c>
      <c r="P402" s="277">
        <v>1.853828</v>
      </c>
      <c r="Q402" s="277">
        <v>1.6113999999999999</v>
      </c>
      <c r="R402" s="277">
        <v>1.7432259999999999</v>
      </c>
      <c r="S402" s="277">
        <v>0.25649499999999997</v>
      </c>
      <c r="T402" s="284">
        <f t="shared" si="30"/>
        <v>9.2450389999999985</v>
      </c>
      <c r="U402" s="920">
        <v>4640.0643333333337</v>
      </c>
      <c r="V402" s="920">
        <v>893.94233333333329</v>
      </c>
      <c r="W402" s="920">
        <v>831.38166666666666</v>
      </c>
      <c r="X402" s="920">
        <v>1099.1270000000002</v>
      </c>
      <c r="Y402" s="920">
        <v>34.341000000000001</v>
      </c>
      <c r="Z402" s="874">
        <f t="shared" si="31"/>
        <v>1781.2723333333338</v>
      </c>
      <c r="AA402" s="920">
        <v>404</v>
      </c>
      <c r="AB402" s="920">
        <v>94.4</v>
      </c>
      <c r="AC402" s="920">
        <v>91.049000000000007</v>
      </c>
      <c r="AD402" s="920">
        <v>123.88500000000001</v>
      </c>
      <c r="AE402" s="920">
        <v>1.357</v>
      </c>
      <c r="AF402" s="920">
        <v>683.5</v>
      </c>
      <c r="AG402" s="920">
        <v>157.24600000000001</v>
      </c>
      <c r="AH402" s="920">
        <v>163.52199999999999</v>
      </c>
      <c r="AI402" s="920">
        <v>204.334</v>
      </c>
      <c r="AJ402" s="920">
        <v>2.7559999999999998</v>
      </c>
      <c r="AK402" s="919">
        <f>Data[[#This Row],[Industry Cost ($m)]]/Data[[#This Row],[Industry Consumption]]</f>
        <v>1.6918316831683169</v>
      </c>
      <c r="AL402" s="919">
        <f>Data[[#This Row],[AAL Fuel Cost]]/Data[[#This Row],[AAL Consumption]]</f>
        <v>1.6657415254237289</v>
      </c>
      <c r="AM402" s="919">
        <f>Data[[#This Row],[DAL Fuel Cost]]/Data[[#This Row],[DAL Consumption]]</f>
        <v>1.7959779898735844</v>
      </c>
      <c r="AN402" s="919">
        <f>Data[[#This Row],[UAL Fuel Cost]]/Data[[#This Row],[UALConsumption]]</f>
        <v>1.6493845098276627</v>
      </c>
      <c r="AO402" s="919">
        <f>IFERROR(Data[[#This Row],[LUV Fuel Cost]]/Data[[#This Row],[LUV Consumption]],0)</f>
        <v>2.0309506263817241</v>
      </c>
      <c r="AP402" s="783"/>
      <c r="AQ402" s="783"/>
      <c r="AR402" s="253"/>
      <c r="AS402" s="253"/>
      <c r="AT402" s="253"/>
      <c r="AU402" s="253"/>
    </row>
    <row r="403" spans="1:47" ht="10.5" customHeight="1">
      <c r="A403" s="263">
        <v>42825</v>
      </c>
      <c r="B403" s="263" t="s">
        <v>537</v>
      </c>
      <c r="C403" s="277">
        <v>27.680741000000001</v>
      </c>
      <c r="D403" s="277">
        <v>7.6044030000000005</v>
      </c>
      <c r="E403" s="277">
        <v>7.2964060000000002</v>
      </c>
      <c r="F403" s="277">
        <v>9.3555109999999999</v>
      </c>
      <c r="G403" s="277">
        <v>0.51886699999999997</v>
      </c>
      <c r="H403" s="284">
        <f t="shared" si="28"/>
        <v>2.9055539999999986</v>
      </c>
      <c r="I403" s="277">
        <v>21.767662999999999</v>
      </c>
      <c r="J403" s="277">
        <v>5.7792849999999998</v>
      </c>
      <c r="K403" s="277">
        <v>6.1738920000000004</v>
      </c>
      <c r="L403" s="277">
        <v>7.0998549999999998</v>
      </c>
      <c r="M403" s="277">
        <v>0.39552500000000002</v>
      </c>
      <c r="N403" s="284">
        <f t="shared" si="29"/>
        <v>2.3191059999999979</v>
      </c>
      <c r="O403" s="277">
        <v>17.910122000000001</v>
      </c>
      <c r="P403" s="277">
        <v>2.2984499999999999</v>
      </c>
      <c r="Q403" s="277">
        <v>2.0401750000000001</v>
      </c>
      <c r="R403" s="277">
        <v>2.2091379999999998</v>
      </c>
      <c r="S403" s="277">
        <v>0.32284000000000002</v>
      </c>
      <c r="T403" s="284">
        <f t="shared" si="30"/>
        <v>11.039519000000002</v>
      </c>
      <c r="U403" s="920">
        <v>4640.0643333333337</v>
      </c>
      <c r="V403" s="920">
        <v>893.94233333333329</v>
      </c>
      <c r="W403" s="920">
        <v>831.38166666666666</v>
      </c>
      <c r="X403" s="920">
        <v>1099.1270000000002</v>
      </c>
      <c r="Y403" s="920">
        <v>34.341000000000001</v>
      </c>
      <c r="Z403" s="874">
        <f t="shared" si="31"/>
        <v>1781.2723333333338</v>
      </c>
      <c r="AA403" s="920">
        <v>481</v>
      </c>
      <c r="AB403" s="920">
        <v>112.634</v>
      </c>
      <c r="AC403" s="920">
        <v>108.81699999999999</v>
      </c>
      <c r="AD403" s="920">
        <v>142.63900000000001</v>
      </c>
      <c r="AE403" s="920">
        <v>1.556</v>
      </c>
      <c r="AF403" s="920">
        <v>792.7</v>
      </c>
      <c r="AG403" s="920">
        <v>183.572</v>
      </c>
      <c r="AH403" s="920">
        <v>182.142</v>
      </c>
      <c r="AI403" s="920">
        <v>233.78</v>
      </c>
      <c r="AJ403" s="920">
        <v>3.1619999999999999</v>
      </c>
      <c r="AK403" s="919">
        <f>Data[[#This Row],[Industry Cost ($m)]]/Data[[#This Row],[Industry Consumption]]</f>
        <v>1.648024948024948</v>
      </c>
      <c r="AL403" s="919">
        <f>Data[[#This Row],[AAL Fuel Cost]]/Data[[#This Row],[AAL Consumption]]</f>
        <v>1.6298098265177479</v>
      </c>
      <c r="AM403" s="919">
        <f>Data[[#This Row],[DAL Fuel Cost]]/Data[[#This Row],[DAL Consumption]]</f>
        <v>1.6738377275609511</v>
      </c>
      <c r="AN403" s="919">
        <f>Data[[#This Row],[UAL Fuel Cost]]/Data[[#This Row],[UALConsumption]]</f>
        <v>1.6389626960368482</v>
      </c>
      <c r="AO403" s="919">
        <f>IFERROR(Data[[#This Row],[LUV Fuel Cost]]/Data[[#This Row],[LUV Consumption]],0)</f>
        <v>2.032133676092545</v>
      </c>
      <c r="AP403" s="783"/>
      <c r="AQ403" s="783"/>
      <c r="AR403" s="253"/>
      <c r="AS403" s="253"/>
      <c r="AT403" s="253"/>
      <c r="AU403" s="253"/>
    </row>
    <row r="404" spans="1:47" ht="10.5" customHeight="1">
      <c r="A404" s="263">
        <v>42855</v>
      </c>
      <c r="B404" s="263" t="s">
        <v>537</v>
      </c>
      <c r="C404" s="277">
        <v>28.363465999999999</v>
      </c>
      <c r="D404" s="277">
        <v>7.9957020000000005</v>
      </c>
      <c r="E404" s="277">
        <v>7.7858689999999999</v>
      </c>
      <c r="F404" s="277">
        <v>9.3406800000000008</v>
      </c>
      <c r="G404" s="277">
        <v>0.51462199999999991</v>
      </c>
      <c r="H404" s="284">
        <f t="shared" si="28"/>
        <v>2.7265930000000012</v>
      </c>
      <c r="I404" s="277">
        <v>22.910550000000001</v>
      </c>
      <c r="J404" s="277">
        <v>6.3563340000000004</v>
      </c>
      <c r="K404" s="277">
        <v>6.5977370000000004</v>
      </c>
      <c r="L404" s="277">
        <v>7.3244990000000003</v>
      </c>
      <c r="M404" s="277">
        <v>0.41452600000000001</v>
      </c>
      <c r="N404" s="284">
        <f t="shared" si="29"/>
        <v>2.217454</v>
      </c>
      <c r="O404" s="277">
        <v>18.686523000000001</v>
      </c>
      <c r="P404" s="277">
        <v>2.4533809999999998</v>
      </c>
      <c r="Q404" s="277">
        <v>2.0614490000000001</v>
      </c>
      <c r="R404" s="277">
        <v>2.2218659999999999</v>
      </c>
      <c r="S404" s="277">
        <v>0.33868900000000002</v>
      </c>
      <c r="T404" s="284">
        <f t="shared" si="30"/>
        <v>11.611138</v>
      </c>
      <c r="U404" s="920">
        <v>5298.2183333333332</v>
      </c>
      <c r="V404" s="920">
        <v>1110.6463333333334</v>
      </c>
      <c r="W404" s="920">
        <v>1044.1393333333333</v>
      </c>
      <c r="X404" s="920">
        <v>1276.1536666666666</v>
      </c>
      <c r="Y404" s="920">
        <v>46.334666666666664</v>
      </c>
      <c r="Z404" s="874">
        <f t="shared" si="31"/>
        <v>1820.9443333333334</v>
      </c>
      <c r="AA404" s="920">
        <v>488.7</v>
      </c>
      <c r="AB404" s="920">
        <v>118.44799999999999</v>
      </c>
      <c r="AC404" s="920">
        <v>116.616</v>
      </c>
      <c r="AD404" s="920">
        <v>142.72999999999999</v>
      </c>
      <c r="AE404" s="920">
        <v>1.8480000000000001</v>
      </c>
      <c r="AF404" s="920">
        <v>798.2</v>
      </c>
      <c r="AG404" s="920">
        <v>191.53100000000001</v>
      </c>
      <c r="AH404" s="920">
        <v>197.05199999999999</v>
      </c>
      <c r="AI404" s="920">
        <v>229.22399999999999</v>
      </c>
      <c r="AJ404" s="920">
        <v>3.698</v>
      </c>
      <c r="AK404" s="919">
        <f>Data[[#This Row],[Industry Cost ($m)]]/Data[[#This Row],[Industry Consumption]]</f>
        <v>1.6333128708819318</v>
      </c>
      <c r="AL404" s="919">
        <f>Data[[#This Row],[AAL Fuel Cost]]/Data[[#This Row],[AAL Consumption]]</f>
        <v>1.617004930433608</v>
      </c>
      <c r="AM404" s="919">
        <f>Data[[#This Row],[DAL Fuel Cost]]/Data[[#This Row],[DAL Consumption]]</f>
        <v>1.6897509775674007</v>
      </c>
      <c r="AN404" s="919">
        <f>Data[[#This Row],[UAL Fuel Cost]]/Data[[#This Row],[UALConsumption]]</f>
        <v>1.6059973376304912</v>
      </c>
      <c r="AO404" s="919">
        <f>IFERROR(Data[[#This Row],[LUV Fuel Cost]]/Data[[#This Row],[LUV Consumption]],0)</f>
        <v>2.0010822510822508</v>
      </c>
      <c r="AP404" s="783"/>
      <c r="AQ404" s="783"/>
      <c r="AR404" s="253"/>
      <c r="AS404" s="253"/>
      <c r="AT404" s="253"/>
      <c r="AU404" s="253"/>
    </row>
    <row r="405" spans="1:47" ht="10.5" customHeight="1">
      <c r="A405" s="263">
        <v>42886</v>
      </c>
      <c r="B405" s="263" t="s">
        <v>537</v>
      </c>
      <c r="C405" s="277">
        <v>30.283626999999999</v>
      </c>
      <c r="D405" s="277">
        <v>8.8675599999999992</v>
      </c>
      <c r="E405" s="277">
        <v>8.3309580000000008</v>
      </c>
      <c r="F405" s="277">
        <v>10.113192</v>
      </c>
      <c r="G405" s="277">
        <v>0.46774300000000002</v>
      </c>
      <c r="H405" s="284">
        <f t="shared" si="28"/>
        <v>2.5041740000000026</v>
      </c>
      <c r="I405" s="277">
        <v>24.261558000000001</v>
      </c>
      <c r="J405" s="277">
        <v>6.992896</v>
      </c>
      <c r="K405" s="277">
        <v>7.1359159999999999</v>
      </c>
      <c r="L405" s="277">
        <v>7.7245419999999996</v>
      </c>
      <c r="M405" s="277">
        <v>0.37836900000000001</v>
      </c>
      <c r="N405" s="284">
        <f t="shared" si="29"/>
        <v>2.0298350000000021</v>
      </c>
      <c r="O405" s="277">
        <v>18.865393000000001</v>
      </c>
      <c r="P405" s="277">
        <v>2.5458460000000001</v>
      </c>
      <c r="Q405" s="277">
        <v>2.1562519999999998</v>
      </c>
      <c r="R405" s="277">
        <v>2.224936</v>
      </c>
      <c r="S405" s="277">
        <v>0.32451099999999999</v>
      </c>
      <c r="T405" s="284">
        <f t="shared" si="30"/>
        <v>11.613848000000001</v>
      </c>
      <c r="U405" s="920">
        <v>5298.2183333333332</v>
      </c>
      <c r="V405" s="920">
        <v>1110.6463333333334</v>
      </c>
      <c r="W405" s="920">
        <v>1044.1393333333333</v>
      </c>
      <c r="X405" s="920">
        <v>1276.1536666666666</v>
      </c>
      <c r="Y405" s="920">
        <v>46.334666666666664</v>
      </c>
      <c r="Z405" s="874">
        <f t="shared" si="31"/>
        <v>1820.9443333333334</v>
      </c>
      <c r="AA405" s="920">
        <v>523.20000000000005</v>
      </c>
      <c r="AB405" s="920">
        <v>131.63</v>
      </c>
      <c r="AC405" s="920">
        <v>125.023</v>
      </c>
      <c r="AD405" s="920">
        <v>153.86600000000001</v>
      </c>
      <c r="AE405" s="920">
        <v>1.762</v>
      </c>
      <c r="AF405" s="920">
        <v>839.9</v>
      </c>
      <c r="AG405" s="920">
        <v>207.55199999999999</v>
      </c>
      <c r="AH405" s="920">
        <v>211.82599999999999</v>
      </c>
      <c r="AI405" s="920">
        <v>241.15899999999999</v>
      </c>
      <c r="AJ405" s="920">
        <v>3.2709999999999999</v>
      </c>
      <c r="AK405" s="919">
        <f>Data[[#This Row],[Industry Cost ($m)]]/Data[[#This Row],[Industry Consumption]]</f>
        <v>1.6053134556574922</v>
      </c>
      <c r="AL405" s="919">
        <f>Data[[#This Row],[AAL Fuel Cost]]/Data[[#This Row],[AAL Consumption]]</f>
        <v>1.5767834080376815</v>
      </c>
      <c r="AM405" s="919">
        <f>Data[[#This Row],[DAL Fuel Cost]]/Data[[#This Row],[DAL Consumption]]</f>
        <v>1.6942962494900937</v>
      </c>
      <c r="AN405" s="919">
        <f>Data[[#This Row],[UAL Fuel Cost]]/Data[[#This Row],[UALConsumption]]</f>
        <v>1.5673313142604601</v>
      </c>
      <c r="AO405" s="919">
        <f>IFERROR(Data[[#This Row],[LUV Fuel Cost]]/Data[[#This Row],[LUV Consumption]],0)</f>
        <v>1.8564131668558457</v>
      </c>
      <c r="AP405" s="783"/>
      <c r="AQ405" s="783"/>
      <c r="AR405" s="253"/>
      <c r="AS405" s="253"/>
      <c r="AT405" s="253"/>
      <c r="AU405" s="253"/>
    </row>
    <row r="406" spans="1:47" ht="10.5" customHeight="1">
      <c r="A406" s="263">
        <v>42916</v>
      </c>
      <c r="B406" s="263" t="s">
        <v>537</v>
      </c>
      <c r="C406" s="277">
        <v>31.721119999999999</v>
      </c>
      <c r="D406" s="277">
        <v>8.9676569999999991</v>
      </c>
      <c r="E406" s="277">
        <v>9.2205830000000013</v>
      </c>
      <c r="F406" s="277">
        <v>10.408204</v>
      </c>
      <c r="G406" s="277">
        <v>0.53519300000000003</v>
      </c>
      <c r="H406" s="284">
        <f t="shared" si="28"/>
        <v>2.5894830000000013</v>
      </c>
      <c r="I406" s="277">
        <v>26.926041000000001</v>
      </c>
      <c r="J406" s="277">
        <v>7.4055309999999999</v>
      </c>
      <c r="K406" s="277">
        <v>8.2032310000000006</v>
      </c>
      <c r="L406" s="277">
        <v>8.7001139999999992</v>
      </c>
      <c r="M406" s="277">
        <v>0.45373400000000003</v>
      </c>
      <c r="N406" s="284">
        <f t="shared" si="29"/>
        <v>2.1634310000000028</v>
      </c>
      <c r="O406" s="277">
        <v>20.676407000000001</v>
      </c>
      <c r="P406" s="277">
        <v>2.7541530000000001</v>
      </c>
      <c r="Q406" s="277">
        <v>2.415035</v>
      </c>
      <c r="R406" s="277">
        <v>2.586805</v>
      </c>
      <c r="S406" s="277">
        <v>0.39682000000000001</v>
      </c>
      <c r="T406" s="284">
        <f t="shared" si="30"/>
        <v>12.523594000000001</v>
      </c>
      <c r="U406" s="920">
        <v>5298.2183333333332</v>
      </c>
      <c r="V406" s="920">
        <v>1110.6463333333334</v>
      </c>
      <c r="W406" s="920">
        <v>1044.1393333333333</v>
      </c>
      <c r="X406" s="920">
        <v>1276.1536666666666</v>
      </c>
      <c r="Y406" s="920">
        <v>46.334666666666664</v>
      </c>
      <c r="Z406" s="874">
        <f t="shared" si="31"/>
        <v>1820.9443333333334</v>
      </c>
      <c r="AA406" s="920">
        <v>544.9</v>
      </c>
      <c r="AB406" s="920">
        <v>132.82499999999999</v>
      </c>
      <c r="AC406" s="920">
        <v>139.09899999999999</v>
      </c>
      <c r="AD406" s="920">
        <v>158.309</v>
      </c>
      <c r="AE406" s="920">
        <v>2.1869999999999998</v>
      </c>
      <c r="AF406" s="920">
        <v>843.1</v>
      </c>
      <c r="AG406" s="920">
        <v>199.99600000000001</v>
      </c>
      <c r="AH406" s="920">
        <v>227.46100000000001</v>
      </c>
      <c r="AI406" s="920">
        <v>238.715</v>
      </c>
      <c r="AJ406" s="920">
        <v>3.992</v>
      </c>
      <c r="AK406" s="919">
        <f>Data[[#This Row],[Industry Cost ($m)]]/Data[[#This Row],[Industry Consumption]]</f>
        <v>1.547256377316939</v>
      </c>
      <c r="AL406" s="919">
        <f>Data[[#This Row],[AAL Fuel Cost]]/Data[[#This Row],[AAL Consumption]]</f>
        <v>1.5057105213626956</v>
      </c>
      <c r="AM406" s="919">
        <f>Data[[#This Row],[DAL Fuel Cost]]/Data[[#This Row],[DAL Consumption]]</f>
        <v>1.6352454007577339</v>
      </c>
      <c r="AN406" s="919">
        <f>Data[[#This Row],[UAL Fuel Cost]]/Data[[#This Row],[UALConsumption]]</f>
        <v>1.5079054254653874</v>
      </c>
      <c r="AO406" s="919">
        <f>IFERROR(Data[[#This Row],[LUV Fuel Cost]]/Data[[#This Row],[LUV Consumption]],0)</f>
        <v>1.8253315043438501</v>
      </c>
      <c r="AP406" s="783"/>
      <c r="AQ406" s="783"/>
      <c r="AR406" s="253"/>
      <c r="AS406" s="253"/>
      <c r="AT406" s="253"/>
      <c r="AU406" s="253"/>
    </row>
    <row r="407" spans="1:47" ht="10.5" customHeight="1">
      <c r="A407" s="263">
        <v>42947</v>
      </c>
      <c r="B407" s="263" t="s">
        <v>537</v>
      </c>
      <c r="C407" s="277">
        <v>33.485132999999998</v>
      </c>
      <c r="D407" s="277">
        <v>9.4271429999999992</v>
      </c>
      <c r="E407" s="277">
        <v>9.6472759999999997</v>
      </c>
      <c r="F407" s="277">
        <v>10.99427</v>
      </c>
      <c r="G407" s="277">
        <v>0.57338300000000009</v>
      </c>
      <c r="H407" s="284">
        <f t="shared" si="28"/>
        <v>2.8430609999999987</v>
      </c>
      <c r="I407" s="277">
        <v>28.789439000000002</v>
      </c>
      <c r="J407" s="277">
        <v>7.8371979999999999</v>
      </c>
      <c r="K407" s="277">
        <v>8.5527180000000005</v>
      </c>
      <c r="L407" s="277">
        <v>9.4078579999999992</v>
      </c>
      <c r="M407" s="277">
        <v>0.51712599999999997</v>
      </c>
      <c r="N407" s="284">
        <f t="shared" si="29"/>
        <v>2.4745390000000036</v>
      </c>
      <c r="O407" s="277">
        <v>22.690242999999999</v>
      </c>
      <c r="P407" s="277">
        <v>2.9717180000000001</v>
      </c>
      <c r="Q407" s="277">
        <v>2.5592000000000001</v>
      </c>
      <c r="R407" s="277">
        <v>2.8693960000000001</v>
      </c>
      <c r="S407" s="277">
        <v>0.45592300000000002</v>
      </c>
      <c r="T407" s="284">
        <f t="shared" si="30"/>
        <v>13.834005999999999</v>
      </c>
      <c r="U407" s="920">
        <v>5516.702666666667</v>
      </c>
      <c r="V407" s="920">
        <v>1171.6789999999999</v>
      </c>
      <c r="W407" s="920">
        <v>1156.4623333333334</v>
      </c>
      <c r="X407" s="920">
        <v>1314.6683333333333</v>
      </c>
      <c r="Y407" s="920">
        <v>43.043666666666667</v>
      </c>
      <c r="Z407" s="874">
        <f t="shared" si="31"/>
        <v>1830.8493333333345</v>
      </c>
      <c r="AA407" s="920">
        <v>573.6</v>
      </c>
      <c r="AB407" s="920">
        <v>140.066</v>
      </c>
      <c r="AC407" s="920">
        <v>144.93700000000001</v>
      </c>
      <c r="AD407" s="920">
        <v>167.39099999999999</v>
      </c>
      <c r="AE407" s="920">
        <v>3.0539999999999998</v>
      </c>
      <c r="AF407" s="920">
        <v>883.8</v>
      </c>
      <c r="AG407" s="920">
        <v>210.68199999999999</v>
      </c>
      <c r="AH407" s="920">
        <v>240.601</v>
      </c>
      <c r="AI407" s="920">
        <v>247.876</v>
      </c>
      <c r="AJ407" s="920">
        <v>5.3840000000000003</v>
      </c>
      <c r="AK407" s="919">
        <f>Data[[#This Row],[Industry Cost ($m)]]/Data[[#This Row],[Industry Consumption]]</f>
        <v>1.5407949790794977</v>
      </c>
      <c r="AL407" s="919">
        <f>Data[[#This Row],[AAL Fuel Cost]]/Data[[#This Row],[AAL Consumption]]</f>
        <v>1.5041623234760755</v>
      </c>
      <c r="AM407" s="919">
        <f>Data[[#This Row],[DAL Fuel Cost]]/Data[[#This Row],[DAL Consumption]]</f>
        <v>1.6600384994859834</v>
      </c>
      <c r="AN407" s="919">
        <f>Data[[#This Row],[UAL Fuel Cost]]/Data[[#This Row],[UALConsumption]]</f>
        <v>1.4808203547383074</v>
      </c>
      <c r="AO407" s="919">
        <f>IFERROR(Data[[#This Row],[LUV Fuel Cost]]/Data[[#This Row],[LUV Consumption]],0)</f>
        <v>1.7629338572364115</v>
      </c>
      <c r="AP407" s="783"/>
      <c r="AQ407" s="783"/>
      <c r="AR407" s="253"/>
      <c r="AS407" s="253"/>
      <c r="AT407" s="253"/>
      <c r="AU407" s="253"/>
    </row>
    <row r="408" spans="1:47" ht="10.5" customHeight="1">
      <c r="A408" s="263">
        <v>42978</v>
      </c>
      <c r="B408" s="263" t="s">
        <v>537</v>
      </c>
      <c r="C408" s="277">
        <v>32.229125000000003</v>
      </c>
      <c r="D408" s="277">
        <v>9.0967310000000001</v>
      </c>
      <c r="E408" s="277">
        <v>9.5439179999999997</v>
      </c>
      <c r="F408" s="277">
        <v>10.385325999999999</v>
      </c>
      <c r="G408" s="277">
        <v>0.432363</v>
      </c>
      <c r="H408" s="284">
        <f t="shared" si="28"/>
        <v>2.7707870000000057</v>
      </c>
      <c r="I408" s="277">
        <v>27.647997</v>
      </c>
      <c r="J408" s="277">
        <v>7.500267</v>
      </c>
      <c r="K408" s="277">
        <v>8.5204219999999999</v>
      </c>
      <c r="L408" s="277">
        <v>8.8720409999999994</v>
      </c>
      <c r="M408" s="277">
        <v>0.369114</v>
      </c>
      <c r="N408" s="284">
        <f t="shared" si="29"/>
        <v>2.3861530000000002</v>
      </c>
      <c r="O408" s="277">
        <v>22.013119</v>
      </c>
      <c r="P408" s="277">
        <v>2.7463440000000001</v>
      </c>
      <c r="Q408" s="277">
        <v>2.501763</v>
      </c>
      <c r="R408" s="277">
        <v>2.5554100000000002</v>
      </c>
      <c r="S408" s="277">
        <v>0.33998800000000001</v>
      </c>
      <c r="T408" s="284">
        <f t="shared" si="30"/>
        <v>13.869613999999999</v>
      </c>
      <c r="U408" s="920">
        <v>5516.702666666667</v>
      </c>
      <c r="V408" s="920">
        <v>1171.6789999999999</v>
      </c>
      <c r="W408" s="920">
        <v>1156.4623333333334</v>
      </c>
      <c r="X408" s="920">
        <v>1314.6683333333333</v>
      </c>
      <c r="Y408" s="920">
        <v>43.043666666666667</v>
      </c>
      <c r="Z408" s="874">
        <f t="shared" si="31"/>
        <v>1830.8493333333345</v>
      </c>
      <c r="AA408" s="920">
        <v>559.1</v>
      </c>
      <c r="AB408" s="920">
        <v>135.136</v>
      </c>
      <c r="AC408" s="920">
        <v>143.88900000000001</v>
      </c>
      <c r="AD408" s="920">
        <v>159.005</v>
      </c>
      <c r="AE408" s="920">
        <v>2.0259999999999998</v>
      </c>
      <c r="AF408" s="920">
        <v>898.6</v>
      </c>
      <c r="AG408" s="920">
        <v>217.18100000000001</v>
      </c>
      <c r="AH408" s="920">
        <v>229.43899999999999</v>
      </c>
      <c r="AI408" s="920">
        <v>253.61</v>
      </c>
      <c r="AJ408" s="920">
        <v>3.919</v>
      </c>
      <c r="AK408" s="919">
        <f>Data[[#This Row],[Industry Cost ($m)]]/Data[[#This Row],[Industry Consumption]]</f>
        <v>1.6072258987658736</v>
      </c>
      <c r="AL408" s="919">
        <f>Data[[#This Row],[AAL Fuel Cost]]/Data[[#This Row],[AAL Consumption]]</f>
        <v>1.6071291143736681</v>
      </c>
      <c r="AM408" s="919">
        <f>Data[[#This Row],[DAL Fuel Cost]]/Data[[#This Row],[DAL Consumption]]</f>
        <v>1.5945555254397485</v>
      </c>
      <c r="AN408" s="919">
        <f>Data[[#This Row],[UAL Fuel Cost]]/Data[[#This Row],[UALConsumption]]</f>
        <v>1.5949812898965443</v>
      </c>
      <c r="AO408" s="919">
        <f>IFERROR(Data[[#This Row],[LUV Fuel Cost]]/Data[[#This Row],[LUV Consumption]],0)</f>
        <v>1.9343534057255678</v>
      </c>
      <c r="AP408" s="783"/>
      <c r="AQ408" s="783"/>
      <c r="AR408" s="253"/>
      <c r="AS408" s="253"/>
      <c r="AT408" s="253"/>
      <c r="AU408" s="253"/>
    </row>
    <row r="409" spans="1:47" ht="10.5" customHeight="1">
      <c r="A409" s="263">
        <v>43008</v>
      </c>
      <c r="B409" s="263" t="s">
        <v>537</v>
      </c>
      <c r="C409" s="277">
        <v>28.005837</v>
      </c>
      <c r="D409" s="277">
        <v>7.7494309999999995</v>
      </c>
      <c r="E409" s="277">
        <v>8.2236010000000004</v>
      </c>
      <c r="F409" s="277">
        <v>9.4898690000000006</v>
      </c>
      <c r="G409" s="277">
        <v>0.30377300000000002</v>
      </c>
      <c r="H409" s="284">
        <f t="shared" si="28"/>
        <v>2.2391629999999978</v>
      </c>
      <c r="I409" s="277">
        <v>22.552257000000001</v>
      </c>
      <c r="J409" s="277">
        <v>6.0308760000000001</v>
      </c>
      <c r="K409" s="277">
        <v>7.061515</v>
      </c>
      <c r="L409" s="277">
        <v>7.4668900000000002</v>
      </c>
      <c r="M409" s="277">
        <v>0.21027100000000001</v>
      </c>
      <c r="N409" s="284">
        <f t="shared" si="29"/>
        <v>1.7827050000000035</v>
      </c>
      <c r="O409" s="277">
        <v>17.438756000000001</v>
      </c>
      <c r="P409" s="277">
        <v>1.9416850000000001</v>
      </c>
      <c r="Q409" s="277">
        <v>1.966369</v>
      </c>
      <c r="R409" s="277">
        <v>2.0073449999999999</v>
      </c>
      <c r="S409" s="277">
        <v>0.19452700000000001</v>
      </c>
      <c r="T409" s="284">
        <f t="shared" si="30"/>
        <v>11.328830000000002</v>
      </c>
      <c r="U409" s="920">
        <v>5516.702666666667</v>
      </c>
      <c r="V409" s="920">
        <v>1171.6789999999999</v>
      </c>
      <c r="W409" s="920">
        <v>1156.4623333333334</v>
      </c>
      <c r="X409" s="920">
        <v>1314.6683333333333</v>
      </c>
      <c r="Y409" s="920">
        <v>43.043666666666667</v>
      </c>
      <c r="Z409" s="874">
        <f t="shared" si="31"/>
        <v>1830.8493333333345</v>
      </c>
      <c r="AA409" s="920">
        <v>494.3</v>
      </c>
      <c r="AB409" s="920">
        <v>114.652</v>
      </c>
      <c r="AC409" s="920">
        <v>123.923</v>
      </c>
      <c r="AD409" s="920">
        <v>144.721</v>
      </c>
      <c r="AE409" s="920">
        <v>1.127</v>
      </c>
      <c r="AF409" s="920">
        <v>857.1</v>
      </c>
      <c r="AG409" s="920">
        <v>199.185</v>
      </c>
      <c r="AH409" s="920">
        <v>217.22900000000001</v>
      </c>
      <c r="AI409" s="920">
        <v>249.101</v>
      </c>
      <c r="AJ409" s="920">
        <v>2.3650000000000002</v>
      </c>
      <c r="AK409" s="919">
        <f>Data[[#This Row],[Industry Cost ($m)]]/Data[[#This Row],[Industry Consumption]]</f>
        <v>1.7339672263807404</v>
      </c>
      <c r="AL409" s="919">
        <f>Data[[#This Row],[AAL Fuel Cost]]/Data[[#This Row],[AAL Consumption]]</f>
        <v>1.7373007012524857</v>
      </c>
      <c r="AM409" s="919">
        <f>Data[[#This Row],[DAL Fuel Cost]]/Data[[#This Row],[DAL Consumption]]</f>
        <v>1.7529352904626261</v>
      </c>
      <c r="AN409" s="919">
        <f>Data[[#This Row],[UAL Fuel Cost]]/Data[[#This Row],[UALConsumption]]</f>
        <v>1.7212498531657465</v>
      </c>
      <c r="AO409" s="919">
        <f>IFERROR(Data[[#This Row],[LUV Fuel Cost]]/Data[[#This Row],[LUV Consumption]],0)</f>
        <v>2.0984915705412601</v>
      </c>
      <c r="AP409" s="783"/>
      <c r="AQ409" s="783"/>
      <c r="AR409" s="253"/>
      <c r="AS409" s="253"/>
      <c r="AT409" s="253"/>
      <c r="AU409" s="253"/>
    </row>
    <row r="410" spans="1:47" ht="10.5" customHeight="1">
      <c r="A410" s="263">
        <v>43039</v>
      </c>
      <c r="B410" s="263" t="s">
        <v>537</v>
      </c>
      <c r="C410" s="277">
        <v>28.148178000000001</v>
      </c>
      <c r="D410" s="277">
        <v>8.2005390000000009</v>
      </c>
      <c r="E410" s="277">
        <v>7.7650410000000001</v>
      </c>
      <c r="F410" s="277">
        <v>9.4151609999999994</v>
      </c>
      <c r="G410" s="277">
        <v>0.34808300000000003</v>
      </c>
      <c r="H410" s="284">
        <f t="shared" si="28"/>
        <v>2.419354000000002</v>
      </c>
      <c r="I410" s="277">
        <v>22.139119000000001</v>
      </c>
      <c r="J410" s="277">
        <v>6.2719620000000003</v>
      </c>
      <c r="K410" s="277">
        <v>6.5404869999999997</v>
      </c>
      <c r="L410" s="277">
        <v>7.1272789999999997</v>
      </c>
      <c r="M410" s="277">
        <v>0.26657999999999998</v>
      </c>
      <c r="N410" s="284">
        <f t="shared" si="29"/>
        <v>1.9328109999999974</v>
      </c>
      <c r="O410" s="277">
        <v>17.604236</v>
      </c>
      <c r="P410" s="277">
        <v>2.2018369999999998</v>
      </c>
      <c r="Q410" s="277">
        <v>1.86321</v>
      </c>
      <c r="R410" s="277">
        <v>1.9389719999999999</v>
      </c>
      <c r="S410" s="277">
        <v>0.25168000000000001</v>
      </c>
      <c r="T410" s="284">
        <f t="shared" si="30"/>
        <v>11.348537</v>
      </c>
      <c r="U410" s="920">
        <v>5112.9236666666666</v>
      </c>
      <c r="V410" s="920">
        <v>1019.6923333333333</v>
      </c>
      <c r="W410" s="920">
        <v>895.69799999999998</v>
      </c>
      <c r="X410" s="920">
        <v>1178.0703333333333</v>
      </c>
      <c r="Y410" s="920">
        <v>39.374666666666663</v>
      </c>
      <c r="Z410" s="874">
        <f t="shared" si="31"/>
        <v>1980.0883333333331</v>
      </c>
      <c r="AA410" s="920">
        <v>495.4</v>
      </c>
      <c r="AB410" s="920">
        <v>121.79600000000001</v>
      </c>
      <c r="AC410" s="920">
        <v>118.10899999999999</v>
      </c>
      <c r="AD410" s="920">
        <v>141.91499999999999</v>
      </c>
      <c r="AE410" s="920">
        <v>1.3560000000000001</v>
      </c>
      <c r="AF410" s="920">
        <v>896.6</v>
      </c>
      <c r="AG410" s="920">
        <v>217.86600000000001</v>
      </c>
      <c r="AH410" s="920">
        <v>223.934</v>
      </c>
      <c r="AI410" s="920">
        <v>251.84899999999999</v>
      </c>
      <c r="AJ410" s="920">
        <v>2.8140000000000001</v>
      </c>
      <c r="AK410" s="919">
        <f>Data[[#This Row],[Industry Cost ($m)]]/Data[[#This Row],[Industry Consumption]]</f>
        <v>1.8098506257569642</v>
      </c>
      <c r="AL410" s="919">
        <f>Data[[#This Row],[AAL Fuel Cost]]/Data[[#This Row],[AAL Consumption]]</f>
        <v>1.788777956583139</v>
      </c>
      <c r="AM410" s="919">
        <f>Data[[#This Row],[DAL Fuel Cost]]/Data[[#This Row],[DAL Consumption]]</f>
        <v>1.8959943780744906</v>
      </c>
      <c r="AN410" s="919">
        <f>Data[[#This Row],[UAL Fuel Cost]]/Data[[#This Row],[UALConsumption]]</f>
        <v>1.7746467956170948</v>
      </c>
      <c r="AO410" s="919">
        <f>IFERROR(Data[[#This Row],[LUV Fuel Cost]]/Data[[#This Row],[LUV Consumption]],0)</f>
        <v>2.0752212389380529</v>
      </c>
      <c r="AP410" s="783"/>
      <c r="AQ410" s="783"/>
      <c r="AR410" s="253"/>
      <c r="AS410" s="253"/>
      <c r="AT410" s="253"/>
      <c r="AU410" s="253"/>
    </row>
    <row r="411" spans="1:47" ht="10.5" customHeight="1">
      <c r="A411" s="263">
        <v>43069</v>
      </c>
      <c r="B411" s="263" t="s">
        <v>537</v>
      </c>
      <c r="C411" s="277">
        <v>24.885753999999999</v>
      </c>
      <c r="D411" s="277">
        <v>6.8983970000000001</v>
      </c>
      <c r="E411" s="277">
        <v>6.2188410000000003</v>
      </c>
      <c r="F411" s="277">
        <v>8.7735339999999997</v>
      </c>
      <c r="G411" s="277">
        <v>0.45561699999999999</v>
      </c>
      <c r="H411" s="284">
        <f t="shared" si="28"/>
        <v>2.5393650000000001</v>
      </c>
      <c r="I411" s="277">
        <v>19.560655000000001</v>
      </c>
      <c r="J411" s="277">
        <v>5.2743279999999997</v>
      </c>
      <c r="K411" s="277">
        <v>5.2085030000000003</v>
      </c>
      <c r="L411" s="277">
        <v>6.6830350000000003</v>
      </c>
      <c r="M411" s="277">
        <v>0.352099</v>
      </c>
      <c r="N411" s="284">
        <f t="shared" si="29"/>
        <v>2.0426900000000003</v>
      </c>
      <c r="O411" s="277">
        <v>16.476641999999998</v>
      </c>
      <c r="P411" s="277">
        <v>2.0186099999999998</v>
      </c>
      <c r="Q411" s="277">
        <v>1.5774239999999999</v>
      </c>
      <c r="R411" s="277">
        <v>1.927316</v>
      </c>
      <c r="S411" s="277">
        <v>0.32937699999999998</v>
      </c>
      <c r="T411" s="284">
        <f t="shared" si="30"/>
        <v>10.623914999999998</v>
      </c>
      <c r="U411" s="920">
        <v>5112.9236666666666</v>
      </c>
      <c r="V411" s="920">
        <v>1019.6923333333333</v>
      </c>
      <c r="W411" s="920">
        <v>895.69799999999998</v>
      </c>
      <c r="X411" s="920">
        <v>1178.0703333333333</v>
      </c>
      <c r="Y411" s="920">
        <v>39.374666666666663</v>
      </c>
      <c r="Z411" s="874">
        <f t="shared" si="31"/>
        <v>1980.0883333333331</v>
      </c>
      <c r="AA411" s="920">
        <v>448.8</v>
      </c>
      <c r="AB411" s="920">
        <v>103.125</v>
      </c>
      <c r="AC411" s="920">
        <v>93.241</v>
      </c>
      <c r="AD411" s="920">
        <v>130.11600000000001</v>
      </c>
      <c r="AE411" s="920">
        <v>1.7090000000000001</v>
      </c>
      <c r="AF411" s="920">
        <v>831.6</v>
      </c>
      <c r="AG411" s="920">
        <v>190.18199999999999</v>
      </c>
      <c r="AH411" s="920">
        <v>180.09899999999999</v>
      </c>
      <c r="AI411" s="920">
        <v>237.36</v>
      </c>
      <c r="AJ411" s="920">
        <v>3.6720000000000002</v>
      </c>
      <c r="AK411" s="919">
        <f>Data[[#This Row],[Industry Cost ($m)]]/Data[[#This Row],[Industry Consumption]]</f>
        <v>1.8529411764705883</v>
      </c>
      <c r="AL411" s="919">
        <f>Data[[#This Row],[AAL Fuel Cost]]/Data[[#This Row],[AAL Consumption]]</f>
        <v>1.8441890909090908</v>
      </c>
      <c r="AM411" s="919">
        <f>Data[[#This Row],[DAL Fuel Cost]]/Data[[#This Row],[DAL Consumption]]</f>
        <v>1.9315429907444148</v>
      </c>
      <c r="AN411" s="919">
        <f>Data[[#This Row],[UAL Fuel Cost]]/Data[[#This Row],[UALConsumption]]</f>
        <v>1.8242183897445357</v>
      </c>
      <c r="AO411" s="919">
        <f>IFERROR(Data[[#This Row],[LUV Fuel Cost]]/Data[[#This Row],[LUV Consumption]],0)</f>
        <v>2.1486249268578117</v>
      </c>
      <c r="AP411" s="783"/>
      <c r="AQ411" s="783"/>
      <c r="AR411" s="253"/>
      <c r="AS411" s="253"/>
      <c r="AT411" s="253"/>
      <c r="AU411" s="253"/>
    </row>
    <row r="412" spans="1:47" ht="10.5" customHeight="1">
      <c r="A412" s="263">
        <v>43100</v>
      </c>
      <c r="B412" s="263" t="s">
        <v>537</v>
      </c>
      <c r="C412" s="277">
        <v>27.770624000000002</v>
      </c>
      <c r="D412" s="277">
        <v>7.8716330000000001</v>
      </c>
      <c r="E412" s="277">
        <v>7.0683729999999994</v>
      </c>
      <c r="F412" s="277">
        <v>9.3646569999999993</v>
      </c>
      <c r="G412" s="277">
        <v>0.50334400000000001</v>
      </c>
      <c r="H412" s="284">
        <f t="shared" si="28"/>
        <v>2.9626170000000052</v>
      </c>
      <c r="I412" s="277">
        <v>22.416975999999998</v>
      </c>
      <c r="J412" s="277">
        <v>6.1904539999999999</v>
      </c>
      <c r="K412" s="277">
        <v>5.9540689999999996</v>
      </c>
      <c r="L412" s="277">
        <v>7.5024940000000004</v>
      </c>
      <c r="M412" s="277">
        <v>0.39939400000000003</v>
      </c>
      <c r="N412" s="284">
        <f t="shared" si="29"/>
        <v>2.3705649999999991</v>
      </c>
      <c r="O412" s="277">
        <v>18.469636000000001</v>
      </c>
      <c r="P412" s="277">
        <v>2.4036119999999999</v>
      </c>
      <c r="Q412" s="277">
        <v>1.869793</v>
      </c>
      <c r="R412" s="277">
        <v>2.2126070000000002</v>
      </c>
      <c r="S412" s="277">
        <v>0.37000699999999997</v>
      </c>
      <c r="T412" s="284">
        <f t="shared" si="30"/>
        <v>11.613617000000001</v>
      </c>
      <c r="U412" s="920">
        <v>5112.9236666666666</v>
      </c>
      <c r="V412" s="920">
        <v>1019.6923333333333</v>
      </c>
      <c r="W412" s="920">
        <v>895.69799999999998</v>
      </c>
      <c r="X412" s="920">
        <v>1178.0703333333333</v>
      </c>
      <c r="Y412" s="920">
        <v>39.374666666666663</v>
      </c>
      <c r="Z412" s="874">
        <f t="shared" si="31"/>
        <v>1980.0883333333331</v>
      </c>
      <c r="AA412" s="920">
        <v>480.8</v>
      </c>
      <c r="AB412" s="920">
        <v>115.913</v>
      </c>
      <c r="AC412" s="920">
        <v>105.66500000000001</v>
      </c>
      <c r="AD412" s="920">
        <v>137.68299999999999</v>
      </c>
      <c r="AE412" s="920">
        <v>2.2269999999999999</v>
      </c>
      <c r="AF412" s="920">
        <v>923.4</v>
      </c>
      <c r="AG412" s="920">
        <v>222.833</v>
      </c>
      <c r="AH412" s="920">
        <v>207.33699999999999</v>
      </c>
      <c r="AI412" s="920">
        <v>261.72800000000001</v>
      </c>
      <c r="AJ412" s="920">
        <v>4.9119999999999999</v>
      </c>
      <c r="AK412" s="919">
        <f>Data[[#This Row],[Industry Cost ($m)]]/Data[[#This Row],[Industry Consumption]]</f>
        <v>1.9205490848585689</v>
      </c>
      <c r="AL412" s="919">
        <f>Data[[#This Row],[AAL Fuel Cost]]/Data[[#This Row],[AAL Consumption]]</f>
        <v>1.9224159498934545</v>
      </c>
      <c r="AM412" s="919">
        <f>Data[[#This Row],[DAL Fuel Cost]]/Data[[#This Row],[DAL Consumption]]</f>
        <v>1.9622107604220884</v>
      </c>
      <c r="AN412" s="919">
        <f>Data[[#This Row],[UAL Fuel Cost]]/Data[[#This Row],[UALConsumption]]</f>
        <v>1.9009463768221206</v>
      </c>
      <c r="AO412" s="919">
        <f>IFERROR(Data[[#This Row],[LUV Fuel Cost]]/Data[[#This Row],[LUV Consumption]],0)</f>
        <v>2.2056578356533456</v>
      </c>
      <c r="AP412" s="783"/>
      <c r="AQ412" s="783"/>
      <c r="AR412" s="253"/>
      <c r="AS412" s="253"/>
      <c r="AT412" s="253"/>
      <c r="AU412" s="253"/>
    </row>
    <row r="413" spans="1:47" ht="10.5" customHeight="1">
      <c r="A413" s="263">
        <v>43131</v>
      </c>
      <c r="B413" s="263" t="s">
        <v>537</v>
      </c>
      <c r="C413" s="277">
        <v>27.247257999999999</v>
      </c>
      <c r="D413" s="277">
        <v>7.4715789999999993</v>
      </c>
      <c r="E413" s="277">
        <v>7.202871</v>
      </c>
      <c r="F413" s="277">
        <v>9.234903000000001</v>
      </c>
      <c r="G413" s="277">
        <v>0.47482100000000005</v>
      </c>
      <c r="H413" s="284">
        <f t="shared" si="28"/>
        <v>2.8630839999999971</v>
      </c>
      <c r="I413" s="277">
        <v>21.442733</v>
      </c>
      <c r="J413" s="277">
        <v>5.7575149999999997</v>
      </c>
      <c r="K413" s="277">
        <v>5.8270869999999997</v>
      </c>
      <c r="L413" s="277">
        <v>7.1700080000000002</v>
      </c>
      <c r="M413" s="277">
        <v>0.367678</v>
      </c>
      <c r="N413" s="284">
        <f t="shared" si="29"/>
        <v>2.3204449999999994</v>
      </c>
      <c r="O413" s="277">
        <v>17.897787000000001</v>
      </c>
      <c r="P413" s="277">
        <v>2.2331599999999998</v>
      </c>
      <c r="Q413" s="277">
        <v>1.9054800000000001</v>
      </c>
      <c r="R413" s="277">
        <v>2.0996540000000001</v>
      </c>
      <c r="S413" s="277">
        <v>0.341918</v>
      </c>
      <c r="T413" s="284">
        <f t="shared" si="30"/>
        <v>11.317575000000001</v>
      </c>
      <c r="U413" s="920">
        <v>5292.6839999999993</v>
      </c>
      <c r="V413" s="920">
        <v>1069.3023333333333</v>
      </c>
      <c r="W413" s="920">
        <v>948.32733333333329</v>
      </c>
      <c r="X413" s="920">
        <v>1185.5039999999999</v>
      </c>
      <c r="Y413" s="920">
        <v>43.669333333333334</v>
      </c>
      <c r="Z413" s="874">
        <f t="shared" si="31"/>
        <v>2045.8809999999994</v>
      </c>
      <c r="AA413" s="920">
        <v>468.6</v>
      </c>
      <c r="AB413" s="920">
        <v>109.532</v>
      </c>
      <c r="AC413" s="920">
        <v>106.82</v>
      </c>
      <c r="AD413" s="920">
        <v>134.65299999999999</v>
      </c>
      <c r="AE413" s="920">
        <v>1.835</v>
      </c>
      <c r="AF413" s="920">
        <v>946.5</v>
      </c>
      <c r="AG413" s="920">
        <v>221.679</v>
      </c>
      <c r="AH413" s="920">
        <v>220.179</v>
      </c>
      <c r="AI413" s="920">
        <v>267.964</v>
      </c>
      <c r="AJ413" s="920">
        <v>4.2960000000000003</v>
      </c>
      <c r="AK413" s="919">
        <f>Data[[#This Row],[Industry Cost ($m)]]/Data[[#This Row],[Industry Consumption]]</f>
        <v>2.0198463508322662</v>
      </c>
      <c r="AL413" s="919">
        <f>Data[[#This Row],[AAL Fuel Cost]]/Data[[#This Row],[AAL Consumption]]</f>
        <v>2.0238743015739695</v>
      </c>
      <c r="AM413" s="919">
        <f>Data[[#This Row],[DAL Fuel Cost]]/Data[[#This Row],[DAL Consumption]]</f>
        <v>2.0612151282531364</v>
      </c>
      <c r="AN413" s="919">
        <f>Data[[#This Row],[UAL Fuel Cost]]/Data[[#This Row],[UALConsumption]]</f>
        <v>1.9900336420280278</v>
      </c>
      <c r="AO413" s="919">
        <f>IFERROR(Data[[#This Row],[LUV Fuel Cost]]/Data[[#This Row],[LUV Consumption]],0)</f>
        <v>2.3411444141689377</v>
      </c>
      <c r="AP413" s="783"/>
      <c r="AQ413" s="783"/>
      <c r="AR413" s="253"/>
      <c r="AS413" s="253"/>
      <c r="AT413" s="253"/>
      <c r="AU413" s="253"/>
    </row>
    <row r="414" spans="1:47" ht="10.5" customHeight="1">
      <c r="A414" s="263">
        <v>43159</v>
      </c>
      <c r="B414" s="263" t="s">
        <v>537</v>
      </c>
      <c r="C414" s="277">
        <v>24.467673999999999</v>
      </c>
      <c r="D414" s="277">
        <v>6.701867</v>
      </c>
      <c r="E414" s="277">
        <v>6.313771</v>
      </c>
      <c r="F414" s="277">
        <v>8.3713189999999997</v>
      </c>
      <c r="G414" s="277">
        <v>0.42929099999999998</v>
      </c>
      <c r="H414" s="284">
        <f t="shared" si="28"/>
        <v>2.6514260000000007</v>
      </c>
      <c r="I414" s="277">
        <v>18.578878</v>
      </c>
      <c r="J414" s="277">
        <v>4.8748149999999999</v>
      </c>
      <c r="K414" s="277">
        <v>5.0488540000000004</v>
      </c>
      <c r="L414" s="277">
        <v>6.1776359999999997</v>
      </c>
      <c r="M414" s="277">
        <v>0.33325300000000002</v>
      </c>
      <c r="N414" s="284">
        <f t="shared" si="29"/>
        <v>2.1443200000000004</v>
      </c>
      <c r="O414" s="277">
        <v>15.720901</v>
      </c>
      <c r="P414" s="277">
        <v>1.9573290000000001</v>
      </c>
      <c r="Q414" s="277">
        <v>1.690663</v>
      </c>
      <c r="R414" s="277">
        <v>1.8187390000000001</v>
      </c>
      <c r="S414" s="277">
        <v>0.30679899999999999</v>
      </c>
      <c r="T414" s="284">
        <f t="shared" si="30"/>
        <v>9.9473710000000004</v>
      </c>
      <c r="U414" s="920">
        <v>5292.6839999999993</v>
      </c>
      <c r="V414" s="920">
        <v>1069.3023333333333</v>
      </c>
      <c r="W414" s="920">
        <v>948.32733333333329</v>
      </c>
      <c r="X414" s="920">
        <v>1185.5039999999999</v>
      </c>
      <c r="Y414" s="920">
        <v>43.669333333333334</v>
      </c>
      <c r="Z414" s="874">
        <f t="shared" si="31"/>
        <v>2045.8809999999994</v>
      </c>
      <c r="AA414" s="920">
        <v>416.4</v>
      </c>
      <c r="AB414" s="920">
        <v>98.084999999999994</v>
      </c>
      <c r="AC414" s="920">
        <v>93.372</v>
      </c>
      <c r="AD414" s="920">
        <v>122.054</v>
      </c>
      <c r="AE414" s="920">
        <v>1.8420000000000001</v>
      </c>
      <c r="AF414" s="920">
        <v>852.6</v>
      </c>
      <c r="AG414" s="920">
        <v>200.22399999999999</v>
      </c>
      <c r="AH414" s="920">
        <v>191.11099999999999</v>
      </c>
      <c r="AI414" s="920">
        <v>249.511</v>
      </c>
      <c r="AJ414" s="920">
        <v>4.3630000000000004</v>
      </c>
      <c r="AK414" s="919">
        <f>Data[[#This Row],[Industry Cost ($m)]]/Data[[#This Row],[Industry Consumption]]</f>
        <v>2.0475504322766573</v>
      </c>
      <c r="AL414" s="919">
        <f>Data[[#This Row],[AAL Fuel Cost]]/Data[[#This Row],[AAL Consumption]]</f>
        <v>2.041331498190345</v>
      </c>
      <c r="AM414" s="919">
        <f>Data[[#This Row],[DAL Fuel Cost]]/Data[[#This Row],[DAL Consumption]]</f>
        <v>2.0467699096088761</v>
      </c>
      <c r="AN414" s="919">
        <f>Data[[#This Row],[UAL Fuel Cost]]/Data[[#This Row],[UALConsumption]]</f>
        <v>2.0442672915267011</v>
      </c>
      <c r="AO414" s="919">
        <f>IFERROR(Data[[#This Row],[LUV Fuel Cost]]/Data[[#This Row],[LUV Consumption]],0)</f>
        <v>2.3686210640608034</v>
      </c>
      <c r="AP414" s="783"/>
      <c r="AQ414" s="783"/>
      <c r="AR414" s="253"/>
      <c r="AS414" s="253"/>
      <c r="AT414" s="253"/>
      <c r="AU414" s="253"/>
    </row>
    <row r="415" spans="1:47" ht="10.5" customHeight="1">
      <c r="A415" s="263">
        <v>43190</v>
      </c>
      <c r="B415" s="263" t="s">
        <v>537</v>
      </c>
      <c r="C415" s="277">
        <v>28.771000999999998</v>
      </c>
      <c r="D415" s="277">
        <v>7.8437229999999998</v>
      </c>
      <c r="E415" s="277">
        <v>7.5455709999999998</v>
      </c>
      <c r="F415" s="277">
        <v>9.7454799999999988</v>
      </c>
      <c r="G415" s="277">
        <v>0.53670099999999998</v>
      </c>
      <c r="H415" s="284">
        <f t="shared" si="28"/>
        <v>3.0995259999999973</v>
      </c>
      <c r="I415" s="277">
        <v>23.694039</v>
      </c>
      <c r="J415" s="277">
        <v>6.17361</v>
      </c>
      <c r="K415" s="277">
        <v>6.6068660000000001</v>
      </c>
      <c r="L415" s="277">
        <v>7.9079569999999997</v>
      </c>
      <c r="M415" s="277">
        <v>0.45153199999999999</v>
      </c>
      <c r="N415" s="284">
        <f t="shared" si="29"/>
        <v>2.554074</v>
      </c>
      <c r="O415" s="277">
        <v>19.716774000000001</v>
      </c>
      <c r="P415" s="277">
        <v>2.4420329999999999</v>
      </c>
      <c r="Q415" s="277">
        <v>2.1805080000000001</v>
      </c>
      <c r="R415" s="277">
        <v>2.3737400000000002</v>
      </c>
      <c r="S415" s="277">
        <v>0.41818300000000003</v>
      </c>
      <c r="T415" s="284">
        <f t="shared" si="30"/>
        <v>12.302310000000002</v>
      </c>
      <c r="U415" s="920">
        <v>5292.6839999999993</v>
      </c>
      <c r="V415" s="920">
        <v>1069.3023333333333</v>
      </c>
      <c r="W415" s="920">
        <v>948.32733333333329</v>
      </c>
      <c r="X415" s="920">
        <v>1185.5039999999999</v>
      </c>
      <c r="Y415" s="920">
        <v>43.669333333333334</v>
      </c>
      <c r="Z415" s="874">
        <f t="shared" si="31"/>
        <v>2045.8809999999994</v>
      </c>
      <c r="AA415" s="920">
        <v>492.7</v>
      </c>
      <c r="AB415" s="920">
        <v>115.48699999999999</v>
      </c>
      <c r="AC415" s="920">
        <v>110.46899999999999</v>
      </c>
      <c r="AD415" s="920">
        <v>143.56</v>
      </c>
      <c r="AE415" s="920">
        <v>2.5059999999999998</v>
      </c>
      <c r="AF415" s="920">
        <v>977.1</v>
      </c>
      <c r="AG415" s="920">
        <v>231.113</v>
      </c>
      <c r="AH415" s="920">
        <v>209.40100000000001</v>
      </c>
      <c r="AI415" s="920">
        <v>287.44400000000002</v>
      </c>
      <c r="AJ415" s="920">
        <v>5.806</v>
      </c>
      <c r="AK415" s="919">
        <f>Data[[#This Row],[Industry Cost ($m)]]/Data[[#This Row],[Industry Consumption]]</f>
        <v>1.9831540491171098</v>
      </c>
      <c r="AL415" s="919">
        <f>Data[[#This Row],[AAL Fuel Cost]]/Data[[#This Row],[AAL Consumption]]</f>
        <v>2.001203598673444</v>
      </c>
      <c r="AM415" s="919">
        <f>Data[[#This Row],[DAL Fuel Cost]]/Data[[#This Row],[DAL Consumption]]</f>
        <v>1.8955634612425207</v>
      </c>
      <c r="AN415" s="919">
        <f>Data[[#This Row],[UAL Fuel Cost]]/Data[[#This Row],[UALConsumption]]</f>
        <v>2.0022568960713292</v>
      </c>
      <c r="AO415" s="919">
        <f>IFERROR(Data[[#This Row],[LUV Fuel Cost]]/Data[[#This Row],[LUV Consumption]],0)</f>
        <v>2.3168395849960097</v>
      </c>
      <c r="AP415" s="783"/>
      <c r="AQ415" s="783"/>
      <c r="AR415" s="253"/>
      <c r="AS415" s="253"/>
      <c r="AT415" s="253"/>
      <c r="AU415" s="253"/>
    </row>
    <row r="416" spans="1:47" ht="10.5" customHeight="1">
      <c r="A416" s="263">
        <v>43220</v>
      </c>
      <c r="B416" s="263" t="s">
        <v>537</v>
      </c>
      <c r="C416" s="277">
        <v>28.940196</v>
      </c>
      <c r="D416" s="277">
        <v>8.2170360000000002</v>
      </c>
      <c r="E416" s="277">
        <v>7.7865679999999999</v>
      </c>
      <c r="F416" s="277">
        <v>9.5709879999999998</v>
      </c>
      <c r="G416" s="277">
        <v>0.49823800000000001</v>
      </c>
      <c r="H416" s="284">
        <f t="shared" si="28"/>
        <v>2.8673660000000005</v>
      </c>
      <c r="I416" s="277">
        <v>23.014268000000001</v>
      </c>
      <c r="J416" s="277">
        <v>6.1627099999999997</v>
      </c>
      <c r="K416" s="277">
        <v>6.6272529999999996</v>
      </c>
      <c r="L416" s="277">
        <v>7.4789770000000004</v>
      </c>
      <c r="M416" s="277">
        <v>0.40755599999999997</v>
      </c>
      <c r="N416" s="284">
        <f t="shared" si="29"/>
        <v>2.3377720000000011</v>
      </c>
      <c r="O416" s="277">
        <v>19.111954999999998</v>
      </c>
      <c r="P416" s="277">
        <v>2.3622540000000001</v>
      </c>
      <c r="Q416" s="277">
        <v>2.0654430000000001</v>
      </c>
      <c r="R416" s="277">
        <v>2.174385</v>
      </c>
      <c r="S416" s="277">
        <v>0.38445400000000002</v>
      </c>
      <c r="T416" s="284">
        <f t="shared" si="30"/>
        <v>12.125418999999997</v>
      </c>
      <c r="U416" s="920">
        <v>5943.0873333333329</v>
      </c>
      <c r="V416" s="920">
        <v>1256.1463333333334</v>
      </c>
      <c r="W416" s="920">
        <v>1155.7223333333334</v>
      </c>
      <c r="X416" s="920">
        <v>1362.4296666666667</v>
      </c>
      <c r="Y416" s="920">
        <v>50.725333333333332</v>
      </c>
      <c r="Z416" s="874">
        <f t="shared" si="31"/>
        <v>2118.0636666666664</v>
      </c>
      <c r="AA416" s="920">
        <v>489.7</v>
      </c>
      <c r="AB416" s="920">
        <v>120.58499999999999</v>
      </c>
      <c r="AC416" s="920">
        <v>112.928</v>
      </c>
      <c r="AD416" s="920">
        <v>140.02000000000001</v>
      </c>
      <c r="AE416" s="920">
        <v>1.929</v>
      </c>
      <c r="AF416" s="920">
        <v>1024.9000000000001</v>
      </c>
      <c r="AG416" s="920">
        <v>249.51599999999999</v>
      </c>
      <c r="AH416" s="920">
        <v>245.52199999999999</v>
      </c>
      <c r="AI416" s="920">
        <v>287.94200000000001</v>
      </c>
      <c r="AJ416" s="920">
        <v>4.7130000000000001</v>
      </c>
      <c r="AK416" s="919">
        <f>Data[[#This Row],[Industry Cost ($m)]]/Data[[#This Row],[Industry Consumption]]</f>
        <v>2.0929140289973454</v>
      </c>
      <c r="AL416" s="919">
        <f>Data[[#This Row],[AAL Fuel Cost]]/Data[[#This Row],[AAL Consumption]]</f>
        <v>2.0692125886304269</v>
      </c>
      <c r="AM416" s="919">
        <f>Data[[#This Row],[DAL Fuel Cost]]/Data[[#This Row],[DAL Consumption]]</f>
        <v>2.174146358741853</v>
      </c>
      <c r="AN416" s="919">
        <f>Data[[#This Row],[UAL Fuel Cost]]/Data[[#This Row],[UALConsumption]]</f>
        <v>2.0564347950292814</v>
      </c>
      <c r="AO416" s="919">
        <f>IFERROR(Data[[#This Row],[LUV Fuel Cost]]/Data[[#This Row],[LUV Consumption]],0)</f>
        <v>2.4432348367029548</v>
      </c>
      <c r="AP416" s="783"/>
      <c r="AQ416" s="783"/>
      <c r="AR416" s="253"/>
      <c r="AS416" s="253"/>
      <c r="AT416" s="253"/>
      <c r="AU416" s="253"/>
    </row>
    <row r="417" spans="1:47" ht="10.5" customHeight="1">
      <c r="A417" s="263">
        <v>43251</v>
      </c>
      <c r="B417" s="263" t="s">
        <v>537</v>
      </c>
      <c r="C417" s="277">
        <v>31.004923999999999</v>
      </c>
      <c r="D417" s="277">
        <v>8.923273</v>
      </c>
      <c r="E417" s="277">
        <v>8.6412589999999998</v>
      </c>
      <c r="F417" s="277">
        <v>10.235513999999998</v>
      </c>
      <c r="G417" s="277">
        <v>0.49636000000000002</v>
      </c>
      <c r="H417" s="284">
        <f t="shared" si="28"/>
        <v>2.7085180000000015</v>
      </c>
      <c r="I417" s="277">
        <v>25.253717000000002</v>
      </c>
      <c r="J417" s="277">
        <v>7.0581990000000001</v>
      </c>
      <c r="K417" s="277">
        <v>7.3993120000000001</v>
      </c>
      <c r="L417" s="277">
        <v>8.1741250000000001</v>
      </c>
      <c r="M417" s="277">
        <v>0.40568500000000002</v>
      </c>
      <c r="N417" s="284">
        <f t="shared" si="29"/>
        <v>2.2163960000000031</v>
      </c>
      <c r="O417" s="277">
        <v>20.126584999999999</v>
      </c>
      <c r="P417" s="277">
        <v>2.5497570000000001</v>
      </c>
      <c r="Q417" s="277">
        <v>2.2134369999999999</v>
      </c>
      <c r="R417" s="277">
        <v>2.2229030000000001</v>
      </c>
      <c r="S417" s="277">
        <v>0.39180900000000002</v>
      </c>
      <c r="T417" s="284">
        <f t="shared" si="30"/>
        <v>12.748678999999997</v>
      </c>
      <c r="U417" s="920">
        <v>5943.0873333333329</v>
      </c>
      <c r="V417" s="920">
        <v>1256.1463333333334</v>
      </c>
      <c r="W417" s="920">
        <v>1155.7223333333334</v>
      </c>
      <c r="X417" s="920">
        <v>1362.4296666666667</v>
      </c>
      <c r="Y417" s="920">
        <v>50.725333333333332</v>
      </c>
      <c r="Z417" s="874">
        <f t="shared" si="31"/>
        <v>2118.0636666666664</v>
      </c>
      <c r="AA417" s="920">
        <v>531.29999999999995</v>
      </c>
      <c r="AB417" s="920">
        <v>131.965</v>
      </c>
      <c r="AC417" s="920">
        <v>126.745</v>
      </c>
      <c r="AD417" s="920">
        <v>150.71100000000001</v>
      </c>
      <c r="AE417" s="920">
        <v>2.39</v>
      </c>
      <c r="AF417" s="920">
        <v>1163</v>
      </c>
      <c r="AG417" s="920">
        <v>292.21100000000001</v>
      </c>
      <c r="AH417" s="920">
        <v>267.637</v>
      </c>
      <c r="AI417" s="920">
        <v>330.57100000000003</v>
      </c>
      <c r="AJ417" s="920">
        <v>6.2210000000000001</v>
      </c>
      <c r="AK417" s="919">
        <f>Data[[#This Row],[Industry Cost ($m)]]/Data[[#This Row],[Industry Consumption]]</f>
        <v>2.1889704498400153</v>
      </c>
      <c r="AL417" s="919">
        <f>Data[[#This Row],[AAL Fuel Cost]]/Data[[#This Row],[AAL Consumption]]</f>
        <v>2.2143068237790322</v>
      </c>
      <c r="AM417" s="919">
        <f>Data[[#This Row],[DAL Fuel Cost]]/Data[[#This Row],[DAL Consumption]]</f>
        <v>2.111617815298434</v>
      </c>
      <c r="AN417" s="919">
        <f>Data[[#This Row],[UAL Fuel Cost]]/Data[[#This Row],[UALConsumption]]</f>
        <v>2.1934099037230195</v>
      </c>
      <c r="AO417" s="919">
        <f>IFERROR(Data[[#This Row],[LUV Fuel Cost]]/Data[[#This Row],[LUV Consumption]],0)</f>
        <v>2.602928870292887</v>
      </c>
      <c r="AP417" s="783"/>
      <c r="AQ417" s="783"/>
      <c r="AR417" s="253"/>
      <c r="AS417" s="253"/>
      <c r="AT417" s="253"/>
      <c r="AU417" s="253"/>
    </row>
    <row r="418" spans="1:47" ht="10.5" customHeight="1">
      <c r="A418" s="263">
        <v>43281</v>
      </c>
      <c r="B418" s="263" t="s">
        <v>537</v>
      </c>
      <c r="C418" s="277">
        <v>32.355638999999996</v>
      </c>
      <c r="D418" s="277">
        <v>9.0507170000000006</v>
      </c>
      <c r="E418" s="277">
        <v>9.2735679999999991</v>
      </c>
      <c r="F418" s="277">
        <v>10.650293</v>
      </c>
      <c r="G418" s="277">
        <v>0.568527</v>
      </c>
      <c r="H418" s="284">
        <f t="shared" si="28"/>
        <v>2.8125339999999959</v>
      </c>
      <c r="I418" s="277">
        <v>28.085049000000001</v>
      </c>
      <c r="J418" s="277">
        <v>7.6269989999999996</v>
      </c>
      <c r="K418" s="277">
        <v>8.29115</v>
      </c>
      <c r="L418" s="277">
        <v>9.2781000000000002</v>
      </c>
      <c r="M418" s="277">
        <v>0.49552200000000002</v>
      </c>
      <c r="N418" s="284">
        <f t="shared" si="29"/>
        <v>2.3932779999999987</v>
      </c>
      <c r="O418" s="277">
        <v>22.046731999999999</v>
      </c>
      <c r="P418" s="277">
        <v>2.7759930000000002</v>
      </c>
      <c r="Q418" s="277">
        <v>2.4747129999999999</v>
      </c>
      <c r="R418" s="277">
        <v>2.6408719999999999</v>
      </c>
      <c r="S418" s="277">
        <v>0.46470400000000001</v>
      </c>
      <c r="T418" s="284">
        <f t="shared" si="30"/>
        <v>13.690449999999998</v>
      </c>
      <c r="U418" s="920">
        <v>5943.0873333333329</v>
      </c>
      <c r="V418" s="920">
        <v>1256.1463333333334</v>
      </c>
      <c r="W418" s="920">
        <v>1155.7223333333334</v>
      </c>
      <c r="X418" s="920">
        <v>1362.4296666666667</v>
      </c>
      <c r="Y418" s="920">
        <v>50.725333333333332</v>
      </c>
      <c r="Z418" s="874">
        <f t="shared" si="31"/>
        <v>2118.0636666666664</v>
      </c>
      <c r="AA418" s="920">
        <v>548.5</v>
      </c>
      <c r="AB418" s="920">
        <v>134.72200000000001</v>
      </c>
      <c r="AC418" s="920">
        <v>134.727</v>
      </c>
      <c r="AD418" s="920">
        <v>156.089</v>
      </c>
      <c r="AE418" s="920">
        <v>2.9660000000000002</v>
      </c>
      <c r="AF418" s="920">
        <v>1222.2</v>
      </c>
      <c r="AG418" s="920">
        <v>301.178</v>
      </c>
      <c r="AH418" s="920">
        <v>291.64299999999997</v>
      </c>
      <c r="AI418" s="920">
        <v>349.05500000000001</v>
      </c>
      <c r="AJ418" s="920">
        <v>7.726</v>
      </c>
      <c r="AK418" s="919">
        <f>Data[[#This Row],[Industry Cost ($m)]]/Data[[#This Row],[Industry Consumption]]</f>
        <v>2.2282588878760254</v>
      </c>
      <c r="AL418" s="919">
        <f>Data[[#This Row],[AAL Fuel Cost]]/Data[[#This Row],[AAL Consumption]]</f>
        <v>2.2355517287451194</v>
      </c>
      <c r="AM418" s="919">
        <f>Data[[#This Row],[DAL Fuel Cost]]/Data[[#This Row],[DAL Consumption]]</f>
        <v>2.1646960149042136</v>
      </c>
      <c r="AN418" s="919">
        <f>Data[[#This Row],[UAL Fuel Cost]]/Data[[#This Row],[UALConsumption]]</f>
        <v>2.2362562384280764</v>
      </c>
      <c r="AO418" s="919">
        <f>IFERROR(Data[[#This Row],[LUV Fuel Cost]]/Data[[#This Row],[LUV Consumption]],0)</f>
        <v>2.604855023600809</v>
      </c>
      <c r="AP418" s="783"/>
      <c r="AQ418" s="783"/>
      <c r="AR418" s="253"/>
      <c r="AS418" s="253"/>
      <c r="AT418" s="253"/>
      <c r="AU418" s="253"/>
    </row>
    <row r="419" spans="1:47" ht="10.5" customHeight="1">
      <c r="A419" s="263">
        <v>43312</v>
      </c>
      <c r="B419" s="263" t="s">
        <v>537</v>
      </c>
      <c r="C419" s="277">
        <v>34.019962999999997</v>
      </c>
      <c r="D419" s="277">
        <v>9.4068619999999985</v>
      </c>
      <c r="E419" s="277">
        <v>9.7967829999999996</v>
      </c>
      <c r="F419" s="277">
        <v>11.189572</v>
      </c>
      <c r="G419" s="277">
        <v>0.59796099999999996</v>
      </c>
      <c r="H419" s="284">
        <f t="shared" si="28"/>
        <v>3.0287849999999956</v>
      </c>
      <c r="I419" s="277">
        <v>29.584361000000001</v>
      </c>
      <c r="J419" s="277">
        <v>7.8468429999999998</v>
      </c>
      <c r="K419" s="277">
        <v>8.720402</v>
      </c>
      <c r="L419" s="277">
        <v>9.8240700000000007</v>
      </c>
      <c r="M419" s="277">
        <v>0.53712199999999999</v>
      </c>
      <c r="N419" s="284">
        <f t="shared" si="29"/>
        <v>2.6559240000000024</v>
      </c>
      <c r="O419" s="277">
        <v>23.754573000000001</v>
      </c>
      <c r="P419" s="277">
        <v>2.9383210000000002</v>
      </c>
      <c r="Q419" s="277">
        <v>2.622703</v>
      </c>
      <c r="R419" s="277">
        <v>2.8729330000000002</v>
      </c>
      <c r="S419" s="277">
        <v>0.50524899999999995</v>
      </c>
      <c r="T419" s="284">
        <f t="shared" si="30"/>
        <v>14.815367000000002</v>
      </c>
      <c r="U419" s="920">
        <v>6087.7653333333328</v>
      </c>
      <c r="V419" s="920">
        <v>1310.32</v>
      </c>
      <c r="W419" s="920">
        <v>1249.3143333333335</v>
      </c>
      <c r="X419" s="920">
        <v>1413.5889999999999</v>
      </c>
      <c r="Y419" s="920">
        <v>46.643000000000001</v>
      </c>
      <c r="Z419" s="874">
        <f t="shared" si="31"/>
        <v>2067.8989999999994</v>
      </c>
      <c r="AA419" s="920">
        <v>575.79999999999995</v>
      </c>
      <c r="AB419" s="920">
        <v>140.136</v>
      </c>
      <c r="AC419" s="920">
        <v>142.36799999999999</v>
      </c>
      <c r="AD419" s="920">
        <v>165.14099999999999</v>
      </c>
      <c r="AE419" s="920">
        <v>3.0110000000000001</v>
      </c>
      <c r="AF419" s="920">
        <v>1277.8</v>
      </c>
      <c r="AG419" s="920">
        <v>309.79000000000002</v>
      </c>
      <c r="AH419" s="920">
        <v>320.80099999999999</v>
      </c>
      <c r="AI419" s="920">
        <v>361.61399999999998</v>
      </c>
      <c r="AJ419" s="920">
        <v>7.7859999999999996</v>
      </c>
      <c r="AK419" s="919">
        <f>Data[[#This Row],[Industry Cost ($m)]]/Data[[#This Row],[Industry Consumption]]</f>
        <v>2.2191733240708582</v>
      </c>
      <c r="AL419" s="919">
        <f>Data[[#This Row],[AAL Fuel Cost]]/Data[[#This Row],[AAL Consumption]]</f>
        <v>2.2106382371410631</v>
      </c>
      <c r="AM419" s="919">
        <f>Data[[#This Row],[DAL Fuel Cost]]/Data[[#This Row],[DAL Consumption]]</f>
        <v>2.2533223758147898</v>
      </c>
      <c r="AN419" s="919">
        <f>Data[[#This Row],[UAL Fuel Cost]]/Data[[#This Row],[UALConsumption]]</f>
        <v>2.1897287772267333</v>
      </c>
      <c r="AO419" s="919">
        <f>IFERROR(Data[[#This Row],[LUV Fuel Cost]]/Data[[#This Row],[LUV Consumption]],0)</f>
        <v>2.5858518764530056</v>
      </c>
      <c r="AP419" s="783"/>
      <c r="AQ419" s="783"/>
      <c r="AR419" s="253"/>
      <c r="AS419" s="253"/>
      <c r="AT419" s="253"/>
      <c r="AU419" s="253"/>
    </row>
    <row r="420" spans="1:47" ht="10.5" customHeight="1">
      <c r="A420" s="263">
        <v>43343</v>
      </c>
      <c r="B420" s="263" t="s">
        <v>537</v>
      </c>
      <c r="C420" s="277">
        <v>33.112727999999997</v>
      </c>
      <c r="D420" s="277">
        <v>9.1869490000000003</v>
      </c>
      <c r="E420" s="277">
        <v>9.7752599999999994</v>
      </c>
      <c r="F420" s="277">
        <v>10.704594999999999</v>
      </c>
      <c r="G420" s="277">
        <v>0.42361700000000002</v>
      </c>
      <c r="H420" s="284">
        <f t="shared" si="28"/>
        <v>3.0223069999999979</v>
      </c>
      <c r="I420" s="277">
        <v>28.529249</v>
      </c>
      <c r="J420" s="277">
        <v>7.5349950000000003</v>
      </c>
      <c r="K420" s="277">
        <v>8.6879170000000006</v>
      </c>
      <c r="L420" s="277">
        <v>9.3274059999999999</v>
      </c>
      <c r="M420" s="277">
        <v>0.36523299999999997</v>
      </c>
      <c r="N420" s="284">
        <f t="shared" si="29"/>
        <v>2.6136979999999994</v>
      </c>
      <c r="O420" s="277">
        <v>22.909627</v>
      </c>
      <c r="P420" s="277">
        <v>2.7192750000000001</v>
      </c>
      <c r="Q420" s="277">
        <v>2.553639</v>
      </c>
      <c r="R420" s="277">
        <v>2.6054430000000002</v>
      </c>
      <c r="S420" s="277">
        <v>0.37342399999999998</v>
      </c>
      <c r="T420" s="284">
        <f t="shared" si="30"/>
        <v>14.657845999999999</v>
      </c>
      <c r="U420" s="920">
        <v>6087.7653333333328</v>
      </c>
      <c r="V420" s="920">
        <v>1310.32</v>
      </c>
      <c r="W420" s="920">
        <v>1249.3143333333335</v>
      </c>
      <c r="X420" s="920">
        <v>1413.5889999999999</v>
      </c>
      <c r="Y420" s="920">
        <v>46.643000000000001</v>
      </c>
      <c r="Z420" s="874">
        <f t="shared" si="31"/>
        <v>2067.8989999999994</v>
      </c>
      <c r="AA420" s="920">
        <v>559.5</v>
      </c>
      <c r="AB420" s="920">
        <v>134.34100000000001</v>
      </c>
      <c r="AC420" s="920">
        <v>142.54599999999999</v>
      </c>
      <c r="AD420" s="920">
        <v>158.25200000000001</v>
      </c>
      <c r="AE420" s="920">
        <v>1.93</v>
      </c>
      <c r="AF420" s="920">
        <v>1231.5</v>
      </c>
      <c r="AG420" s="920">
        <v>297.56799999999998</v>
      </c>
      <c r="AH420" s="920">
        <v>310.53300000000002</v>
      </c>
      <c r="AI420" s="920">
        <v>346.73700000000002</v>
      </c>
      <c r="AJ420" s="920">
        <v>4.9720000000000004</v>
      </c>
      <c r="AK420" s="919">
        <f>Data[[#This Row],[Industry Cost ($m)]]/Data[[#This Row],[Industry Consumption]]</f>
        <v>2.2010723860589811</v>
      </c>
      <c r="AL420" s="919">
        <f>Data[[#This Row],[AAL Fuel Cost]]/Data[[#This Row],[AAL Consumption]]</f>
        <v>2.2150199864523858</v>
      </c>
      <c r="AM420" s="919">
        <f>Data[[#This Row],[DAL Fuel Cost]]/Data[[#This Row],[DAL Consumption]]</f>
        <v>2.1784757201184179</v>
      </c>
      <c r="AN420" s="919">
        <f>Data[[#This Row],[UAL Fuel Cost]]/Data[[#This Row],[UALConsumption]]</f>
        <v>2.1910433991355558</v>
      </c>
      <c r="AO420" s="919">
        <f>IFERROR(Data[[#This Row],[LUV Fuel Cost]]/Data[[#This Row],[LUV Consumption]],0)</f>
        <v>2.5761658031088084</v>
      </c>
      <c r="AP420" s="783"/>
      <c r="AQ420" s="783"/>
      <c r="AR420" s="253"/>
      <c r="AS420" s="253"/>
      <c r="AT420" s="253"/>
      <c r="AU420" s="253"/>
    </row>
    <row r="421" spans="1:47" ht="10.5" customHeight="1">
      <c r="A421" s="263">
        <v>43373</v>
      </c>
      <c r="B421" s="263" t="s">
        <v>537</v>
      </c>
      <c r="C421" s="277">
        <v>29.361727999999999</v>
      </c>
      <c r="D421" s="277">
        <v>8.3305689999999988</v>
      </c>
      <c r="E421" s="277">
        <v>8.4426950000000005</v>
      </c>
      <c r="F421" s="277">
        <v>9.6406190000000009</v>
      </c>
      <c r="G421" s="277">
        <v>0.34537899999999999</v>
      </c>
      <c r="H421" s="284">
        <f t="shared" si="28"/>
        <v>2.6024659999999997</v>
      </c>
      <c r="I421" s="277">
        <v>23.507864999999999</v>
      </c>
      <c r="J421" s="277">
        <v>6.3105669999999998</v>
      </c>
      <c r="K421" s="277">
        <v>7.1690740000000002</v>
      </c>
      <c r="L421" s="277">
        <v>7.740558</v>
      </c>
      <c r="M421" s="277">
        <v>0.25695800000000002</v>
      </c>
      <c r="N421" s="284">
        <f t="shared" si="29"/>
        <v>2.0307079999999971</v>
      </c>
      <c r="O421" s="277">
        <v>18.051373999999999</v>
      </c>
      <c r="P421" s="277">
        <v>2.0889009999999999</v>
      </c>
      <c r="Q421" s="277">
        <v>2.0184329999999999</v>
      </c>
      <c r="R421" s="277">
        <v>2.0004309999999998</v>
      </c>
      <c r="S421" s="277">
        <v>0.26538499999999998</v>
      </c>
      <c r="T421" s="284">
        <f t="shared" si="30"/>
        <v>11.678224</v>
      </c>
      <c r="U421" s="920">
        <v>6087.7653333333328</v>
      </c>
      <c r="V421" s="920">
        <v>1310.32</v>
      </c>
      <c r="W421" s="920">
        <v>1249.3143333333335</v>
      </c>
      <c r="X421" s="920">
        <v>1413.5889999999999</v>
      </c>
      <c r="Y421" s="920">
        <v>46.643000000000001</v>
      </c>
      <c r="Z421" s="874">
        <f t="shared" si="31"/>
        <v>2067.8989999999994</v>
      </c>
      <c r="AA421" s="920">
        <v>503</v>
      </c>
      <c r="AB421" s="920">
        <v>120.66500000000001</v>
      </c>
      <c r="AC421" s="920">
        <v>123.23</v>
      </c>
      <c r="AD421" s="920">
        <v>142.48400000000001</v>
      </c>
      <c r="AE421" s="920">
        <v>1.3420000000000001</v>
      </c>
      <c r="AF421" s="920">
        <v>1127.3</v>
      </c>
      <c r="AG421" s="920">
        <v>271.00599999999997</v>
      </c>
      <c r="AH421" s="920">
        <v>275.07299999999998</v>
      </c>
      <c r="AI421" s="920">
        <v>317.51</v>
      </c>
      <c r="AJ421" s="920">
        <v>3.5910000000000002</v>
      </c>
      <c r="AK421" s="919">
        <f>Data[[#This Row],[Industry Cost ($m)]]/Data[[#This Row],[Industry Consumption]]</f>
        <v>2.2411530815109342</v>
      </c>
      <c r="AL421" s="919">
        <f>Data[[#This Row],[AAL Fuel Cost]]/Data[[#This Row],[AAL Consumption]]</f>
        <v>2.2459370985787093</v>
      </c>
      <c r="AM421" s="919">
        <f>Data[[#This Row],[DAL Fuel Cost]]/Data[[#This Row],[DAL Consumption]]</f>
        <v>2.232191836403473</v>
      </c>
      <c r="AN421" s="919">
        <f>Data[[#This Row],[UAL Fuel Cost]]/Data[[#This Row],[UALConsumption]]</f>
        <v>2.2283905561326183</v>
      </c>
      <c r="AO421" s="919">
        <f>IFERROR(Data[[#This Row],[LUV Fuel Cost]]/Data[[#This Row],[LUV Consumption]],0)</f>
        <v>2.6758569299552906</v>
      </c>
      <c r="AP421" s="783"/>
      <c r="AQ421" s="783"/>
      <c r="AR421" s="253"/>
      <c r="AS421" s="253"/>
      <c r="AT421" s="253"/>
      <c r="AU421" s="253"/>
    </row>
    <row r="422" spans="1:47" ht="10.5" customHeight="1">
      <c r="A422" s="263">
        <v>43404</v>
      </c>
      <c r="B422" s="263" t="s">
        <v>537</v>
      </c>
      <c r="C422" s="277">
        <v>28.966038999999999</v>
      </c>
      <c r="D422" s="277">
        <v>8.2183849999999996</v>
      </c>
      <c r="E422" s="277">
        <v>7.9217589999999998</v>
      </c>
      <c r="F422" s="277">
        <v>9.8813770000000005</v>
      </c>
      <c r="G422" s="277">
        <v>0.37875999999999999</v>
      </c>
      <c r="H422" s="284">
        <f t="shared" si="28"/>
        <v>2.5657579999999989</v>
      </c>
      <c r="I422" s="277">
        <v>23.199311000000002</v>
      </c>
      <c r="J422" s="277">
        <v>6.35121</v>
      </c>
      <c r="K422" s="277">
        <v>6.7222189999999999</v>
      </c>
      <c r="L422" s="277">
        <v>7.8111119999999996</v>
      </c>
      <c r="M422" s="277">
        <v>0.30852400000000002</v>
      </c>
      <c r="N422" s="284">
        <f t="shared" si="29"/>
        <v>2.0062460000000044</v>
      </c>
      <c r="O422" s="277">
        <v>18.830853999999999</v>
      </c>
      <c r="P422" s="277">
        <v>2.219703</v>
      </c>
      <c r="Q422" s="277">
        <v>1.943902</v>
      </c>
      <c r="R422" s="277">
        <v>2.0577480000000001</v>
      </c>
      <c r="S422" s="277">
        <v>0.308342</v>
      </c>
      <c r="T422" s="284">
        <f t="shared" si="30"/>
        <v>12.301158999999998</v>
      </c>
      <c r="U422" s="920">
        <v>5448.1533333333327</v>
      </c>
      <c r="V422" s="920">
        <v>1062.3376666666666</v>
      </c>
      <c r="W422" s="920">
        <v>955.60399999999993</v>
      </c>
      <c r="X422" s="920">
        <v>1288.7296666666666</v>
      </c>
      <c r="Y422" s="920">
        <v>47.533666666666669</v>
      </c>
      <c r="Z422" s="874">
        <f t="shared" si="31"/>
        <v>2093.9483333333328</v>
      </c>
      <c r="AA422" s="920">
        <v>501.4</v>
      </c>
      <c r="AB422" s="920">
        <v>118.895</v>
      </c>
      <c r="AC422" s="920">
        <v>114.58799999999999</v>
      </c>
      <c r="AD422" s="920">
        <v>145.952</v>
      </c>
      <c r="AE422" s="920">
        <v>1.5249999999999999</v>
      </c>
      <c r="AF422" s="920">
        <v>1184.8</v>
      </c>
      <c r="AG422" s="920">
        <v>277.62</v>
      </c>
      <c r="AH422" s="920">
        <v>279.39600000000002</v>
      </c>
      <c r="AI422" s="920">
        <v>340.27499999999998</v>
      </c>
      <c r="AJ422" s="920">
        <v>4.2910000000000004</v>
      </c>
      <c r="AK422" s="919">
        <f>Data[[#This Row],[Industry Cost ($m)]]/Data[[#This Row],[Industry Consumption]]</f>
        <v>2.362983645791783</v>
      </c>
      <c r="AL422" s="919">
        <f>Data[[#This Row],[AAL Fuel Cost]]/Data[[#This Row],[AAL Consumption]]</f>
        <v>2.3350014718869594</v>
      </c>
      <c r="AM422" s="919">
        <f>Data[[#This Row],[DAL Fuel Cost]]/Data[[#This Row],[DAL Consumption]]</f>
        <v>2.4382657869934028</v>
      </c>
      <c r="AN422" s="919">
        <f>Data[[#This Row],[UAL Fuel Cost]]/Data[[#This Row],[UALConsumption]]</f>
        <v>2.3314171782503834</v>
      </c>
      <c r="AO422" s="919">
        <f>IFERROR(Data[[#This Row],[LUV Fuel Cost]]/Data[[#This Row],[LUV Consumption]],0)</f>
        <v>2.8137704918032789</v>
      </c>
      <c r="AP422" s="783"/>
      <c r="AQ422" s="783"/>
      <c r="AR422" s="253"/>
      <c r="AS422" s="253"/>
      <c r="AT422" s="253"/>
      <c r="AU422" s="253"/>
    </row>
    <row r="423" spans="1:47" ht="10.5" customHeight="1">
      <c r="A423" s="263">
        <v>43434</v>
      </c>
      <c r="B423" s="263" t="s">
        <v>537</v>
      </c>
      <c r="C423" s="277">
        <v>25.600657000000002</v>
      </c>
      <c r="D423" s="277">
        <v>6.6976400000000007</v>
      </c>
      <c r="E423" s="277">
        <v>6.5024809999999995</v>
      </c>
      <c r="F423" s="277">
        <v>9.1624549999999996</v>
      </c>
      <c r="G423" s="277">
        <v>0.49228300000000003</v>
      </c>
      <c r="H423" s="284">
        <f t="shared" si="28"/>
        <v>2.7457980000000042</v>
      </c>
      <c r="I423" s="277">
        <v>20.540298</v>
      </c>
      <c r="J423" s="277">
        <v>5.2413749999999997</v>
      </c>
      <c r="K423" s="277">
        <v>5.4284140000000001</v>
      </c>
      <c r="L423" s="277">
        <v>7.2943090000000002</v>
      </c>
      <c r="M423" s="277">
        <v>0.40215699999999999</v>
      </c>
      <c r="N423" s="284">
        <f t="shared" si="29"/>
        <v>2.1740430000000011</v>
      </c>
      <c r="O423" s="277">
        <v>17.552375999999999</v>
      </c>
      <c r="P423" s="277">
        <v>2.0425049999999998</v>
      </c>
      <c r="Q423" s="277">
        <v>1.6436759999999999</v>
      </c>
      <c r="R423" s="277">
        <v>2.0513150000000002</v>
      </c>
      <c r="S423" s="277">
        <v>0.38605299999999998</v>
      </c>
      <c r="T423" s="284">
        <f t="shared" si="30"/>
        <v>11.428826999999998</v>
      </c>
      <c r="U423" s="920">
        <v>5448.1533333333327</v>
      </c>
      <c r="V423" s="920">
        <v>1062.3376666666666</v>
      </c>
      <c r="W423" s="920">
        <v>955.60399999999993</v>
      </c>
      <c r="X423" s="920">
        <v>1288.7296666666666</v>
      </c>
      <c r="Y423" s="920">
        <v>47.533666666666669</v>
      </c>
      <c r="Z423" s="874">
        <f t="shared" si="31"/>
        <v>2093.9483333333328</v>
      </c>
      <c r="AA423" s="920">
        <v>450.6</v>
      </c>
      <c r="AB423" s="920">
        <v>96.316000000000003</v>
      </c>
      <c r="AC423" s="920">
        <v>94.105000000000004</v>
      </c>
      <c r="AD423" s="920">
        <v>134.666</v>
      </c>
      <c r="AE423" s="920">
        <v>2.0760000000000001</v>
      </c>
      <c r="AF423" s="920">
        <v>1037.7</v>
      </c>
      <c r="AG423" s="920">
        <v>216.12</v>
      </c>
      <c r="AH423" s="920">
        <v>231.51</v>
      </c>
      <c r="AI423" s="920">
        <v>309.77100000000002</v>
      </c>
      <c r="AJ423" s="920">
        <v>5.5430000000000001</v>
      </c>
      <c r="AK423" s="919">
        <f>Data[[#This Row],[Industry Cost ($m)]]/Data[[#This Row],[Industry Consumption]]</f>
        <v>2.3029294274300933</v>
      </c>
      <c r="AL423" s="919">
        <f>Data[[#This Row],[AAL Fuel Cost]]/Data[[#This Row],[AAL Consumption]]</f>
        <v>2.2438639478383653</v>
      </c>
      <c r="AM423" s="919">
        <f>Data[[#This Row],[DAL Fuel Cost]]/Data[[#This Row],[DAL Consumption]]</f>
        <v>2.460124329206737</v>
      </c>
      <c r="AN423" s="919">
        <f>Data[[#This Row],[UAL Fuel Cost]]/Data[[#This Row],[UALConsumption]]</f>
        <v>2.3002910905499534</v>
      </c>
      <c r="AO423" s="919">
        <f>IFERROR(Data[[#This Row],[LUV Fuel Cost]]/Data[[#This Row],[LUV Consumption]],0)</f>
        <v>2.6700385356454719</v>
      </c>
      <c r="AP423" s="783"/>
      <c r="AQ423" s="783"/>
      <c r="AR423" s="253"/>
      <c r="AS423" s="253"/>
      <c r="AT423" s="253"/>
      <c r="AU423" s="253"/>
    </row>
    <row r="424" spans="1:47" ht="10.5" customHeight="1">
      <c r="A424" s="263">
        <v>43465</v>
      </c>
      <c r="B424" s="263" t="s">
        <v>537</v>
      </c>
      <c r="C424" s="277">
        <v>28.388705000000002</v>
      </c>
      <c r="D424" s="277">
        <v>7.5232209999999995</v>
      </c>
      <c r="E424" s="277">
        <v>7.2800529999999997</v>
      </c>
      <c r="F424" s="277">
        <v>9.870654</v>
      </c>
      <c r="G424" s="277">
        <v>0.53714899999999999</v>
      </c>
      <c r="H424" s="284">
        <f t="shared" si="28"/>
        <v>3.1776280000000057</v>
      </c>
      <c r="I424" s="277">
        <v>23.138026</v>
      </c>
      <c r="J424" s="277">
        <v>5.9734109999999996</v>
      </c>
      <c r="K424" s="277">
        <v>6.0984100000000003</v>
      </c>
      <c r="L424" s="277">
        <v>8.1079699999999999</v>
      </c>
      <c r="M424" s="277">
        <v>0.43883699999999998</v>
      </c>
      <c r="N424" s="284">
        <f t="shared" si="29"/>
        <v>2.5193979999999989</v>
      </c>
      <c r="O424" s="277">
        <v>19.520178999999999</v>
      </c>
      <c r="P424" s="277">
        <v>2.3789530000000001</v>
      </c>
      <c r="Q424" s="277">
        <v>1.9048339999999999</v>
      </c>
      <c r="R424" s="277">
        <v>2.3403580000000002</v>
      </c>
      <c r="S424" s="277">
        <v>0.41431000000000001</v>
      </c>
      <c r="T424" s="284">
        <f t="shared" si="30"/>
        <v>12.481723999999998</v>
      </c>
      <c r="U424" s="920">
        <v>5448.1533333333327</v>
      </c>
      <c r="V424" s="920">
        <v>1062.3376666666666</v>
      </c>
      <c r="W424" s="920">
        <v>955.60399999999993</v>
      </c>
      <c r="X424" s="920">
        <v>1288.7296666666666</v>
      </c>
      <c r="Y424" s="920">
        <v>47.533666666666669</v>
      </c>
      <c r="Z424" s="874">
        <f t="shared" si="31"/>
        <v>2093.9483333333328</v>
      </c>
      <c r="AA424" s="920">
        <v>482.6</v>
      </c>
      <c r="AB424" s="920">
        <v>107.797</v>
      </c>
      <c r="AC424" s="920">
        <v>104.149</v>
      </c>
      <c r="AD424" s="920">
        <v>144.58699999999999</v>
      </c>
      <c r="AE424" s="920">
        <v>2.4409999999999998</v>
      </c>
      <c r="AF424" s="920">
        <v>1014.7</v>
      </c>
      <c r="AG424" s="920">
        <v>213.80799999999999</v>
      </c>
      <c r="AH424" s="920">
        <v>254.941</v>
      </c>
      <c r="AI424" s="920">
        <v>291.47800000000001</v>
      </c>
      <c r="AJ424" s="920">
        <v>5.73</v>
      </c>
      <c r="AK424" s="919">
        <f>Data[[#This Row],[Industry Cost ($m)]]/Data[[#This Row],[Industry Consumption]]</f>
        <v>2.1025694156651471</v>
      </c>
      <c r="AL424" s="919">
        <f>Data[[#This Row],[AAL Fuel Cost]]/Data[[#This Row],[AAL Consumption]]</f>
        <v>1.9834318209226602</v>
      </c>
      <c r="AM424" s="919">
        <f>Data[[#This Row],[DAL Fuel Cost]]/Data[[#This Row],[DAL Consumption]]</f>
        <v>2.4478487551488732</v>
      </c>
      <c r="AN424" s="919">
        <f>Data[[#This Row],[UAL Fuel Cost]]/Data[[#This Row],[UALConsumption]]</f>
        <v>2.0159350425695259</v>
      </c>
      <c r="AO424" s="919">
        <f>IFERROR(Data[[#This Row],[LUV Fuel Cost]]/Data[[#This Row],[LUV Consumption]],0)</f>
        <v>2.3473986071282265</v>
      </c>
      <c r="AP424" s="783"/>
      <c r="AQ424" s="783"/>
      <c r="AR424" s="253"/>
      <c r="AS424" s="253"/>
      <c r="AT424" s="253"/>
      <c r="AU424" s="253"/>
    </row>
    <row r="425" spans="1:47" ht="10.5" customHeight="1">
      <c r="A425" s="263">
        <v>43496</v>
      </c>
      <c r="B425" s="263" t="s">
        <v>537</v>
      </c>
      <c r="C425" s="277">
        <v>28.064717000000002</v>
      </c>
      <c r="D425" s="277">
        <v>7.2950759999999999</v>
      </c>
      <c r="E425" s="277">
        <v>7.4052199999999999</v>
      </c>
      <c r="F425" s="277">
        <v>9.645290000000001</v>
      </c>
      <c r="G425" s="277">
        <v>0.48252400000000001</v>
      </c>
      <c r="H425" s="284">
        <f t="shared" si="28"/>
        <v>3.2366069999999993</v>
      </c>
      <c r="I425" s="277">
        <v>22.437975999999999</v>
      </c>
      <c r="J425" s="277">
        <v>5.8686090000000002</v>
      </c>
      <c r="K425" s="277">
        <v>5.9767029999999997</v>
      </c>
      <c r="L425" s="277">
        <v>7.6406210000000003</v>
      </c>
      <c r="M425" s="277">
        <v>0.39143499999999998</v>
      </c>
      <c r="N425" s="284">
        <f t="shared" si="29"/>
        <v>2.5606079999999984</v>
      </c>
      <c r="O425" s="277">
        <v>18.690816999999999</v>
      </c>
      <c r="P425" s="277">
        <v>2.3222909999999999</v>
      </c>
      <c r="Q425" s="277">
        <v>1.931311</v>
      </c>
      <c r="R425" s="277">
        <v>2.1826569999999998</v>
      </c>
      <c r="S425" s="277">
        <v>0.379326</v>
      </c>
      <c r="T425" s="284">
        <f t="shared" si="30"/>
        <v>11.875232</v>
      </c>
      <c r="U425" s="920">
        <v>5280.9203333333335</v>
      </c>
      <c r="V425" s="920">
        <v>1038.1066666666666</v>
      </c>
      <c r="W425" s="920">
        <v>933.16300000000001</v>
      </c>
      <c r="X425" s="920">
        <v>1238.060666666667</v>
      </c>
      <c r="Y425" s="920">
        <v>53.723333333333329</v>
      </c>
      <c r="Z425" s="874">
        <f t="shared" si="31"/>
        <v>2017.8666666666668</v>
      </c>
      <c r="AA425" s="920">
        <v>475.8</v>
      </c>
      <c r="AB425" s="920">
        <v>104.10299999999999</v>
      </c>
      <c r="AC425" s="920">
        <v>105.642</v>
      </c>
      <c r="AD425" s="920">
        <v>141.249</v>
      </c>
      <c r="AE425" s="920">
        <v>1.79</v>
      </c>
      <c r="AF425" s="920">
        <v>908.2</v>
      </c>
      <c r="AG425" s="920">
        <v>195.76499999999999</v>
      </c>
      <c r="AH425" s="920">
        <v>216.596</v>
      </c>
      <c r="AI425" s="920">
        <v>263.63099999999997</v>
      </c>
      <c r="AJ425" s="920">
        <v>4.0709999999999997</v>
      </c>
      <c r="AK425" s="919">
        <f>Data[[#This Row],[Industry Cost ($m)]]/Data[[#This Row],[Industry Consumption]]</f>
        <v>1.9087852038671711</v>
      </c>
      <c r="AL425" s="919">
        <f>Data[[#This Row],[AAL Fuel Cost]]/Data[[#This Row],[AAL Consumption]]</f>
        <v>1.8804933575401286</v>
      </c>
      <c r="AM425" s="919">
        <f>Data[[#This Row],[DAL Fuel Cost]]/Data[[#This Row],[DAL Consumption]]</f>
        <v>2.0502830313700993</v>
      </c>
      <c r="AN425" s="919">
        <f>Data[[#This Row],[UAL Fuel Cost]]/Data[[#This Row],[UALConsumption]]</f>
        <v>1.8664273729371534</v>
      </c>
      <c r="AO425" s="919">
        <f>IFERROR(Data[[#This Row],[LUV Fuel Cost]]/Data[[#This Row],[LUV Consumption]],0)</f>
        <v>2.2743016759776533</v>
      </c>
      <c r="AP425" s="783"/>
      <c r="AQ425" s="783"/>
      <c r="AR425" s="253"/>
      <c r="AS425" s="253"/>
      <c r="AT425" s="253"/>
      <c r="AU425" s="253"/>
    </row>
    <row r="426" spans="1:47" ht="10.5" customHeight="1">
      <c r="A426" s="263">
        <v>43524</v>
      </c>
      <c r="B426" s="263" t="s">
        <v>537</v>
      </c>
      <c r="C426" s="277">
        <v>24.95805</v>
      </c>
      <c r="D426" s="277">
        <v>6.514132</v>
      </c>
      <c r="E426" s="277">
        <v>6.5255860000000006</v>
      </c>
      <c r="F426" s="277">
        <v>8.5318839999999998</v>
      </c>
      <c r="G426" s="277">
        <v>0.42397500000000005</v>
      </c>
      <c r="H426" s="284">
        <f t="shared" si="28"/>
        <v>2.9624730000000028</v>
      </c>
      <c r="I426" s="277">
        <v>19.228764000000002</v>
      </c>
      <c r="J426" s="277">
        <v>4.9923109999999999</v>
      </c>
      <c r="K426" s="277">
        <v>5.1628470000000002</v>
      </c>
      <c r="L426" s="277">
        <v>6.447387</v>
      </c>
      <c r="M426" s="277">
        <v>0.34500399999999998</v>
      </c>
      <c r="N426" s="284">
        <f t="shared" si="29"/>
        <v>2.2812150000000031</v>
      </c>
      <c r="O426" s="277">
        <v>16.280536000000001</v>
      </c>
      <c r="P426" s="277">
        <v>2.0335459999999999</v>
      </c>
      <c r="Q426" s="277">
        <v>1.711387</v>
      </c>
      <c r="R426" s="277">
        <v>1.89331</v>
      </c>
      <c r="S426" s="277">
        <v>0.33093</v>
      </c>
      <c r="T426" s="284">
        <f t="shared" si="30"/>
        <v>10.311363000000002</v>
      </c>
      <c r="U426" s="920">
        <v>5280.9203333333335</v>
      </c>
      <c r="V426" s="920">
        <v>1038.1066666666666</v>
      </c>
      <c r="W426" s="920">
        <v>933.16300000000001</v>
      </c>
      <c r="X426" s="920">
        <v>1238.060666666667</v>
      </c>
      <c r="Y426" s="920">
        <v>53.723333333333329</v>
      </c>
      <c r="Z426" s="874">
        <f t="shared" si="31"/>
        <v>2017.8666666666668</v>
      </c>
      <c r="AA426" s="920">
        <v>415.9</v>
      </c>
      <c r="AB426" s="920">
        <v>92.316000000000003</v>
      </c>
      <c r="AC426" s="920">
        <v>93.274000000000001</v>
      </c>
      <c r="AD426" s="920">
        <v>124.309</v>
      </c>
      <c r="AE426" s="920">
        <v>1.76</v>
      </c>
      <c r="AF426" s="920">
        <v>819.8</v>
      </c>
      <c r="AG426" s="920">
        <v>178.852</v>
      </c>
      <c r="AH426" s="920">
        <v>192.25299999999999</v>
      </c>
      <c r="AI426" s="920">
        <v>240.94300000000001</v>
      </c>
      <c r="AJ426" s="920">
        <v>4.2229999999999999</v>
      </c>
      <c r="AK426" s="919">
        <f>Data[[#This Row],[Industry Cost ($m)]]/Data[[#This Row],[Industry Consumption]]</f>
        <v>1.9711469103149795</v>
      </c>
      <c r="AL426" s="919">
        <f>Data[[#This Row],[AAL Fuel Cost]]/Data[[#This Row],[AAL Consumption]]</f>
        <v>1.937388968326184</v>
      </c>
      <c r="AM426" s="919">
        <f>Data[[#This Row],[DAL Fuel Cost]]/Data[[#This Row],[DAL Consumption]]</f>
        <v>2.0611638827540362</v>
      </c>
      <c r="AN426" s="919">
        <f>Data[[#This Row],[UAL Fuel Cost]]/Data[[#This Row],[UALConsumption]]</f>
        <v>1.938258694060768</v>
      </c>
      <c r="AO426" s="919">
        <f>IFERROR(Data[[#This Row],[LUV Fuel Cost]]/Data[[#This Row],[LUV Consumption]],0)</f>
        <v>2.3994318181818182</v>
      </c>
      <c r="AP426" s="783"/>
      <c r="AQ426" s="783"/>
      <c r="AR426" s="253"/>
      <c r="AS426" s="253"/>
      <c r="AT426" s="253"/>
      <c r="AU426" s="253"/>
    </row>
    <row r="427" spans="1:47" ht="10.5" customHeight="1">
      <c r="A427" s="263">
        <v>43555</v>
      </c>
      <c r="B427" s="263" t="s">
        <v>537</v>
      </c>
      <c r="C427" s="277">
        <v>29.419851000000001</v>
      </c>
      <c r="D427" s="277">
        <v>7.5802960000000006</v>
      </c>
      <c r="E427" s="277">
        <v>7.7596660000000002</v>
      </c>
      <c r="F427" s="277">
        <v>10.045768000000001</v>
      </c>
      <c r="G427" s="277">
        <v>0.56162400000000001</v>
      </c>
      <c r="H427" s="284">
        <f t="shared" si="28"/>
        <v>3.4724970000000006</v>
      </c>
      <c r="I427" s="277">
        <v>24.420168</v>
      </c>
      <c r="J427" s="277">
        <v>6.2718740000000004</v>
      </c>
      <c r="K427" s="277">
        <v>6.7087649999999996</v>
      </c>
      <c r="L427" s="277">
        <v>8.1440490000000008</v>
      </c>
      <c r="M427" s="277">
        <v>0.48341699999999999</v>
      </c>
      <c r="N427" s="284">
        <f t="shared" si="29"/>
        <v>2.812063000000002</v>
      </c>
      <c r="O427" s="277">
        <v>20.295947000000002</v>
      </c>
      <c r="P427" s="277">
        <v>2.5031659999999998</v>
      </c>
      <c r="Q427" s="277">
        <v>2.2022599999999999</v>
      </c>
      <c r="R427" s="277">
        <v>2.4214340000000001</v>
      </c>
      <c r="S427" s="277">
        <v>0.44848500000000002</v>
      </c>
      <c r="T427" s="284">
        <f t="shared" si="30"/>
        <v>12.720602000000003</v>
      </c>
      <c r="U427" s="920">
        <v>5280.9203333333335</v>
      </c>
      <c r="V427" s="920">
        <v>1038.1066666666666</v>
      </c>
      <c r="W427" s="920">
        <v>933.16300000000001</v>
      </c>
      <c r="X427" s="920">
        <v>1238.060666666667</v>
      </c>
      <c r="Y427" s="920">
        <v>53.723333333333329</v>
      </c>
      <c r="Z427" s="874">
        <f t="shared" si="31"/>
        <v>2017.8666666666668</v>
      </c>
      <c r="AA427" s="920">
        <v>494.4</v>
      </c>
      <c r="AB427" s="920">
        <v>107.873</v>
      </c>
      <c r="AC427" s="920">
        <v>109.874</v>
      </c>
      <c r="AD427" s="920">
        <v>149.12200000000001</v>
      </c>
      <c r="AE427" s="920">
        <v>2.488</v>
      </c>
      <c r="AF427" s="920">
        <v>1003.5</v>
      </c>
      <c r="AG427" s="920">
        <v>216.86</v>
      </c>
      <c r="AH427" s="920">
        <v>222.67400000000001</v>
      </c>
      <c r="AI427" s="920">
        <v>302.02699999999999</v>
      </c>
      <c r="AJ427" s="920">
        <v>6.0739999999999998</v>
      </c>
      <c r="AK427" s="919">
        <f>Data[[#This Row],[Industry Cost ($m)]]/Data[[#This Row],[Industry Consumption]]</f>
        <v>2.029733009708738</v>
      </c>
      <c r="AL427" s="919">
        <f>Data[[#This Row],[AAL Fuel Cost]]/Data[[#This Row],[AAL Consumption]]</f>
        <v>2.0103269585531134</v>
      </c>
      <c r="AM427" s="919">
        <f>Data[[#This Row],[DAL Fuel Cost]]/Data[[#This Row],[DAL Consumption]]</f>
        <v>2.0266305040318913</v>
      </c>
      <c r="AN427" s="919">
        <f>Data[[#This Row],[UAL Fuel Cost]]/Data[[#This Row],[UALConsumption]]</f>
        <v>2.0253684902294764</v>
      </c>
      <c r="AO427" s="919">
        <f>IFERROR(Data[[#This Row],[LUV Fuel Cost]]/Data[[#This Row],[LUV Consumption]],0)</f>
        <v>2.4413183279742765</v>
      </c>
      <c r="AP427" s="783"/>
      <c r="AQ427" s="783"/>
      <c r="AR427" s="253"/>
      <c r="AS427" s="253"/>
      <c r="AT427" s="253"/>
      <c r="AU427" s="253"/>
    </row>
    <row r="428" spans="1:47" ht="10.5" customHeight="1">
      <c r="A428" s="263">
        <v>43585</v>
      </c>
      <c r="B428" s="263" t="s">
        <v>537</v>
      </c>
      <c r="C428" s="277">
        <v>29.353960000000001</v>
      </c>
      <c r="D428" s="277">
        <v>7.6897650000000004</v>
      </c>
      <c r="E428" s="277">
        <v>8.1454319999999996</v>
      </c>
      <c r="F428" s="277">
        <v>9.8525010000000002</v>
      </c>
      <c r="G428" s="277">
        <v>0.47647</v>
      </c>
      <c r="H428" s="284">
        <f t="shared" si="28"/>
        <v>3.1897920000000006</v>
      </c>
      <c r="I428" s="277">
        <v>24.1144</v>
      </c>
      <c r="J428" s="277">
        <v>6.280278</v>
      </c>
      <c r="K428" s="277">
        <v>6.8574989999999998</v>
      </c>
      <c r="L428" s="277">
        <v>7.9989160000000004</v>
      </c>
      <c r="M428" s="277">
        <v>0.39887400000000001</v>
      </c>
      <c r="N428" s="284">
        <f t="shared" si="29"/>
        <v>2.5788329999999995</v>
      </c>
      <c r="O428" s="277">
        <v>20.019304000000002</v>
      </c>
      <c r="P428" s="277">
        <v>2.3858679999999999</v>
      </c>
      <c r="Q428" s="277">
        <v>2.1412589999999998</v>
      </c>
      <c r="R428" s="277">
        <v>2.3220149999999999</v>
      </c>
      <c r="S428" s="277">
        <v>0.37873299999999999</v>
      </c>
      <c r="T428" s="284">
        <f t="shared" si="30"/>
        <v>12.791429000000001</v>
      </c>
      <c r="U428" s="920">
        <v>5978.7216666666673</v>
      </c>
      <c r="V428" s="920">
        <v>1254.9133333333332</v>
      </c>
      <c r="W428" s="920">
        <v>1198.4073333333333</v>
      </c>
      <c r="X428" s="920">
        <v>1438.0780000000002</v>
      </c>
      <c r="Y428" s="920">
        <v>56.731333333333332</v>
      </c>
      <c r="Z428" s="874">
        <f t="shared" si="31"/>
        <v>2030.5916666666672</v>
      </c>
      <c r="AA428" s="920">
        <v>493.8</v>
      </c>
      <c r="AB428" s="920">
        <v>110.327</v>
      </c>
      <c r="AC428" s="920">
        <v>115.758</v>
      </c>
      <c r="AD428" s="920">
        <v>143.56100000000001</v>
      </c>
      <c r="AE428" s="920">
        <v>1.9319999999999999</v>
      </c>
      <c r="AF428" s="920">
        <v>1013</v>
      </c>
      <c r="AG428" s="920">
        <v>226.40700000000001</v>
      </c>
      <c r="AH428" s="920">
        <v>233.55699999999999</v>
      </c>
      <c r="AI428" s="920">
        <v>295.37200000000001</v>
      </c>
      <c r="AJ428" s="920">
        <v>4.7869999999999999</v>
      </c>
      <c r="AK428" s="919">
        <f>Data[[#This Row],[Industry Cost ($m)]]/Data[[#This Row],[Industry Consumption]]</f>
        <v>2.0514378290805992</v>
      </c>
      <c r="AL428" s="919">
        <f>Data[[#This Row],[AAL Fuel Cost]]/Data[[#This Row],[AAL Consumption]]</f>
        <v>2.0521449871744903</v>
      </c>
      <c r="AM428" s="919">
        <f>Data[[#This Row],[DAL Fuel Cost]]/Data[[#This Row],[DAL Consumption]]</f>
        <v>2.0176316107742012</v>
      </c>
      <c r="AN428" s="919">
        <f>Data[[#This Row],[UAL Fuel Cost]]/Data[[#This Row],[UALConsumption]]</f>
        <v>2.0574668607769517</v>
      </c>
      <c r="AO428" s="919">
        <f>IFERROR(Data[[#This Row],[LUV Fuel Cost]]/Data[[#This Row],[LUV Consumption]],0)</f>
        <v>2.4777432712215322</v>
      </c>
      <c r="AP428" s="783"/>
      <c r="AQ428" s="783"/>
      <c r="AR428" s="253"/>
      <c r="AS428" s="253"/>
      <c r="AT428" s="253"/>
      <c r="AU428" s="253"/>
    </row>
    <row r="429" spans="1:47" ht="10.5" customHeight="1">
      <c r="A429" s="263">
        <v>43616</v>
      </c>
      <c r="B429" s="263" t="s">
        <v>537</v>
      </c>
      <c r="C429" s="277">
        <v>31.865680000000001</v>
      </c>
      <c r="D429" s="277">
        <v>8.6102410000000003</v>
      </c>
      <c r="E429" s="277">
        <v>9.0820589999999992</v>
      </c>
      <c r="F429" s="277">
        <v>10.711234000000001</v>
      </c>
      <c r="G429" s="277">
        <v>0.47139600000000004</v>
      </c>
      <c r="H429" s="284">
        <f t="shared" si="28"/>
        <v>2.990750000000002</v>
      </c>
      <c r="I429" s="277">
        <v>26.590751999999998</v>
      </c>
      <c r="J429" s="277">
        <v>7.1095959999999998</v>
      </c>
      <c r="K429" s="277">
        <v>7.7556310000000002</v>
      </c>
      <c r="L429" s="277">
        <v>8.8886029999999998</v>
      </c>
      <c r="M429" s="277">
        <v>0.41086400000000001</v>
      </c>
      <c r="N429" s="284">
        <f t="shared" si="29"/>
        <v>2.4260579999999976</v>
      </c>
      <c r="O429" s="277">
        <v>20.995113</v>
      </c>
      <c r="P429" s="277">
        <v>2.5988720000000001</v>
      </c>
      <c r="Q429" s="277">
        <v>2.3267370000000001</v>
      </c>
      <c r="R429" s="277">
        <v>2.438428</v>
      </c>
      <c r="S429" s="277">
        <v>0.39463100000000001</v>
      </c>
      <c r="T429" s="284">
        <f t="shared" si="30"/>
        <v>13.236445</v>
      </c>
      <c r="U429" s="920">
        <v>5978.7216666666673</v>
      </c>
      <c r="V429" s="920">
        <v>1254.9133333333332</v>
      </c>
      <c r="W429" s="920">
        <v>1198.4073333333333</v>
      </c>
      <c r="X429" s="920">
        <v>1438.0780000000002</v>
      </c>
      <c r="Y429" s="920">
        <v>56.731333333333332</v>
      </c>
      <c r="Z429" s="874">
        <f t="shared" si="31"/>
        <v>2030.5916666666672</v>
      </c>
      <c r="AA429" s="920">
        <v>536.5</v>
      </c>
      <c r="AB429" s="920">
        <v>123.95399999999999</v>
      </c>
      <c r="AC429" s="920">
        <v>129.75299999999999</v>
      </c>
      <c r="AD429" s="920">
        <v>155.25299999999999</v>
      </c>
      <c r="AE429" s="920">
        <v>2.4729999999999999</v>
      </c>
      <c r="AF429" s="920">
        <v>1127.8</v>
      </c>
      <c r="AG429" s="920">
        <v>259.03199999999998</v>
      </c>
      <c r="AH429" s="920">
        <v>266.548</v>
      </c>
      <c r="AI429" s="920">
        <v>329.053</v>
      </c>
      <c r="AJ429" s="920">
        <v>6.31</v>
      </c>
      <c r="AK429" s="919">
        <f>Data[[#This Row],[Industry Cost ($m)]]/Data[[#This Row],[Industry Consumption]]</f>
        <v>2.102143522833178</v>
      </c>
      <c r="AL429" s="919">
        <f>Data[[#This Row],[AAL Fuel Cost]]/Data[[#This Row],[AAL Consumption]]</f>
        <v>2.089742969165981</v>
      </c>
      <c r="AM429" s="919">
        <f>Data[[#This Row],[DAL Fuel Cost]]/Data[[#This Row],[DAL Consumption]]</f>
        <v>2.0542723482308696</v>
      </c>
      <c r="AN429" s="919">
        <f>Data[[#This Row],[UAL Fuel Cost]]/Data[[#This Row],[UALConsumption]]</f>
        <v>2.1194630699567805</v>
      </c>
      <c r="AO429" s="919">
        <f>IFERROR(Data[[#This Row],[LUV Fuel Cost]]/Data[[#This Row],[LUV Consumption]],0)</f>
        <v>2.5515568135867368</v>
      </c>
      <c r="AP429" s="783"/>
      <c r="AQ429" s="783"/>
      <c r="AR429" s="253"/>
      <c r="AS429" s="253"/>
      <c r="AT429" s="253"/>
      <c r="AU429" s="253"/>
    </row>
    <row r="430" spans="1:47" ht="10.5" customHeight="1">
      <c r="A430" s="263">
        <v>43646</v>
      </c>
      <c r="B430" s="263" t="s">
        <v>537</v>
      </c>
      <c r="C430" s="277">
        <v>33.299917999999998</v>
      </c>
      <c r="D430" s="277">
        <v>9.0805620000000005</v>
      </c>
      <c r="E430" s="277">
        <v>9.5847770000000008</v>
      </c>
      <c r="F430" s="277">
        <v>11.019971</v>
      </c>
      <c r="G430" s="277">
        <v>0.477215</v>
      </c>
      <c r="H430" s="284">
        <f t="shared" si="28"/>
        <v>3.1373929999999959</v>
      </c>
      <c r="I430" s="277">
        <v>29.242902999999998</v>
      </c>
      <c r="J430" s="277">
        <v>7.9421220000000003</v>
      </c>
      <c r="K430" s="277">
        <v>8.5747040000000005</v>
      </c>
      <c r="L430" s="277">
        <v>9.691058</v>
      </c>
      <c r="M430" s="277">
        <v>0.426593</v>
      </c>
      <c r="N430" s="284">
        <f t="shared" si="29"/>
        <v>2.6084259999999979</v>
      </c>
      <c r="O430" s="277">
        <v>22.747453</v>
      </c>
      <c r="P430" s="277">
        <v>2.9111950000000002</v>
      </c>
      <c r="Q430" s="277">
        <v>2.5427040000000001</v>
      </c>
      <c r="R430" s="277">
        <v>2.800297</v>
      </c>
      <c r="S430" s="277">
        <v>0.408771</v>
      </c>
      <c r="T430" s="284">
        <f t="shared" si="30"/>
        <v>14.084486</v>
      </c>
      <c r="U430" s="920">
        <v>5978.7216666666673</v>
      </c>
      <c r="V430" s="920">
        <v>1254.9133333333332</v>
      </c>
      <c r="W430" s="920">
        <v>1198.4073333333333</v>
      </c>
      <c r="X430" s="920">
        <v>1438.0780000000002</v>
      </c>
      <c r="Y430" s="920">
        <v>56.731333333333332</v>
      </c>
      <c r="Z430" s="874">
        <f t="shared" si="31"/>
        <v>2030.5916666666672</v>
      </c>
      <c r="AA430" s="920">
        <v>555.20000000000005</v>
      </c>
      <c r="AB430" s="920">
        <v>131.352</v>
      </c>
      <c r="AC430" s="920">
        <v>138.10900000000001</v>
      </c>
      <c r="AD430" s="920">
        <v>160.602</v>
      </c>
      <c r="AE430" s="920">
        <v>2.714</v>
      </c>
      <c r="AF430" s="920">
        <v>1129.4000000000001</v>
      </c>
      <c r="AG430" s="920">
        <v>262.00200000000001</v>
      </c>
      <c r="AH430" s="920">
        <v>292.42</v>
      </c>
      <c r="AI430" s="920">
        <v>320.17399999999998</v>
      </c>
      <c r="AJ430" s="920">
        <v>6.3760000000000003</v>
      </c>
      <c r="AK430" s="919">
        <f>Data[[#This Row],[Industry Cost ($m)]]/Data[[#This Row],[Industry Consumption]]</f>
        <v>2.0342219020172911</v>
      </c>
      <c r="AL430" s="919">
        <f>Data[[#This Row],[AAL Fuel Cost]]/Data[[#This Row],[AAL Consumption]]</f>
        <v>1.9946555819477434</v>
      </c>
      <c r="AM430" s="919">
        <f>Data[[#This Row],[DAL Fuel Cost]]/Data[[#This Row],[DAL Consumption]]</f>
        <v>2.1173131367253402</v>
      </c>
      <c r="AN430" s="919">
        <f>Data[[#This Row],[UAL Fuel Cost]]/Data[[#This Row],[UALConsumption]]</f>
        <v>1.993586630303483</v>
      </c>
      <c r="AO430" s="919">
        <f>IFERROR(Data[[#This Row],[LUV Fuel Cost]]/Data[[#This Row],[LUV Consumption]],0)</f>
        <v>2.3492999263080327</v>
      </c>
      <c r="AP430" s="783"/>
      <c r="AQ430" s="783"/>
      <c r="AR430" s="253"/>
      <c r="AS430" s="253"/>
      <c r="AT430" s="253"/>
      <c r="AU430" s="253"/>
    </row>
    <row r="431" spans="1:47" ht="10.5" customHeight="1">
      <c r="A431" s="263">
        <v>43677</v>
      </c>
      <c r="B431" s="263" t="s">
        <v>537</v>
      </c>
      <c r="C431" s="277">
        <v>34.654581</v>
      </c>
      <c r="D431" s="277">
        <v>9.4952659999999991</v>
      </c>
      <c r="E431" s="277">
        <v>10.016281000000001</v>
      </c>
      <c r="F431" s="277">
        <v>11.306718999999999</v>
      </c>
      <c r="G431" s="277">
        <v>0.47979700000000003</v>
      </c>
      <c r="H431" s="284">
        <f t="shared" si="28"/>
        <v>3.3565179999999977</v>
      </c>
      <c r="I431" s="277">
        <v>30.361650999999998</v>
      </c>
      <c r="J431" s="277">
        <v>8.2328790000000005</v>
      </c>
      <c r="K431" s="277">
        <v>8.9011700000000005</v>
      </c>
      <c r="L431" s="277">
        <v>9.9102960000000007</v>
      </c>
      <c r="M431" s="277">
        <v>0.42165799999999998</v>
      </c>
      <c r="N431" s="284">
        <f t="shared" si="29"/>
        <v>2.8956479999999978</v>
      </c>
      <c r="O431" s="277">
        <v>23.907858999999998</v>
      </c>
      <c r="P431" s="277">
        <v>3.084972</v>
      </c>
      <c r="Q431" s="277">
        <v>2.634252</v>
      </c>
      <c r="R431" s="277">
        <v>2.920064</v>
      </c>
      <c r="S431" s="277">
        <v>0.41214200000000001</v>
      </c>
      <c r="T431" s="284">
        <f t="shared" si="30"/>
        <v>14.856428999999999</v>
      </c>
      <c r="U431" s="920">
        <v>6071.6586666666672</v>
      </c>
      <c r="V431" s="920">
        <v>1313.7296666666668</v>
      </c>
      <c r="W431" s="920">
        <v>1251.6270000000002</v>
      </c>
      <c r="X431" s="920">
        <v>1428.8036666666667</v>
      </c>
      <c r="Y431" s="920">
        <v>44.554333333333339</v>
      </c>
      <c r="Z431" s="874">
        <f t="shared" si="31"/>
        <v>2032.944</v>
      </c>
      <c r="AA431" s="920">
        <v>576.1</v>
      </c>
      <c r="AB431" s="920">
        <v>137.59100000000001</v>
      </c>
      <c r="AC431" s="920">
        <v>143.71899999999999</v>
      </c>
      <c r="AD431" s="920">
        <v>164.50399999999999</v>
      </c>
      <c r="AE431" s="920">
        <v>2.4590000000000001</v>
      </c>
      <c r="AF431" s="920">
        <v>1138.3</v>
      </c>
      <c r="AG431" s="920">
        <v>271.87099999999998</v>
      </c>
      <c r="AH431" s="920">
        <v>281.27999999999997</v>
      </c>
      <c r="AI431" s="920">
        <v>324.46300000000002</v>
      </c>
      <c r="AJ431" s="920">
        <v>5.7969999999999997</v>
      </c>
      <c r="AK431" s="919">
        <f>Data[[#This Row],[Industry Cost ($m)]]/Data[[#This Row],[Industry Consumption]]</f>
        <v>1.9758722444020134</v>
      </c>
      <c r="AL431" s="919">
        <f>Data[[#This Row],[AAL Fuel Cost]]/Data[[#This Row],[AAL Consumption]]</f>
        <v>1.975935926041674</v>
      </c>
      <c r="AM431" s="919">
        <f>Data[[#This Row],[DAL Fuel Cost]]/Data[[#This Row],[DAL Consumption]]</f>
        <v>1.9571524989736917</v>
      </c>
      <c r="AN431" s="919">
        <f>Data[[#This Row],[UAL Fuel Cost]]/Data[[#This Row],[UALConsumption]]</f>
        <v>1.9723714924865052</v>
      </c>
      <c r="AO431" s="919">
        <f>IFERROR(Data[[#This Row],[LUV Fuel Cost]]/Data[[#This Row],[LUV Consumption]],0)</f>
        <v>2.3574623830825536</v>
      </c>
      <c r="AP431" s="783"/>
      <c r="AQ431" s="783"/>
      <c r="AR431" s="253"/>
      <c r="AS431" s="253"/>
      <c r="AT431" s="253"/>
      <c r="AU431" s="253"/>
    </row>
    <row r="432" spans="1:47" ht="10.5" customHeight="1">
      <c r="A432" s="263">
        <v>43708</v>
      </c>
      <c r="B432" s="263" t="s">
        <v>537</v>
      </c>
      <c r="C432" s="277">
        <v>33.960096</v>
      </c>
      <c r="D432" s="277">
        <v>9.2989660000000001</v>
      </c>
      <c r="E432" s="277">
        <v>10.020192</v>
      </c>
      <c r="F432" s="277">
        <v>10.994061</v>
      </c>
      <c r="G432" s="277">
        <v>0.33507700000000001</v>
      </c>
      <c r="H432" s="284">
        <f t="shared" si="28"/>
        <v>3.3117999999999981</v>
      </c>
      <c r="I432" s="277">
        <v>29.719196</v>
      </c>
      <c r="J432" s="277">
        <v>7.9828140000000003</v>
      </c>
      <c r="K432" s="277">
        <v>8.9811250000000005</v>
      </c>
      <c r="L432" s="277">
        <v>9.6530819999999995</v>
      </c>
      <c r="M432" s="277">
        <v>0.28623199999999999</v>
      </c>
      <c r="N432" s="284">
        <f t="shared" si="29"/>
        <v>2.8159430000000008</v>
      </c>
      <c r="O432" s="277">
        <v>23.239180000000001</v>
      </c>
      <c r="P432" s="277">
        <v>2.8820790000000001</v>
      </c>
      <c r="Q432" s="277">
        <v>2.6273879999999998</v>
      </c>
      <c r="R432" s="277">
        <v>2.7446009999999998</v>
      </c>
      <c r="S432" s="277">
        <v>0.29638300000000001</v>
      </c>
      <c r="T432" s="284">
        <f t="shared" si="30"/>
        <v>14.688729</v>
      </c>
      <c r="U432" s="920">
        <v>6071.6586666666672</v>
      </c>
      <c r="V432" s="920">
        <v>1313.7296666666668</v>
      </c>
      <c r="W432" s="920">
        <v>1251.6270000000002</v>
      </c>
      <c r="X432" s="920">
        <v>1428.8036666666667</v>
      </c>
      <c r="Y432" s="920">
        <v>44.554333333333339</v>
      </c>
      <c r="Z432" s="874">
        <f t="shared" si="31"/>
        <v>2032.944</v>
      </c>
      <c r="AA432" s="920">
        <v>563.9</v>
      </c>
      <c r="AB432" s="920">
        <v>134.78100000000001</v>
      </c>
      <c r="AC432" s="920">
        <v>144.20699999999999</v>
      </c>
      <c r="AD432" s="920">
        <v>160.93100000000001</v>
      </c>
      <c r="AE432" s="920">
        <v>1.702</v>
      </c>
      <c r="AF432" s="920">
        <v>1101.5999999999999</v>
      </c>
      <c r="AG432" s="920">
        <v>264.34699999999998</v>
      </c>
      <c r="AH432" s="920">
        <v>274.34199999999998</v>
      </c>
      <c r="AI432" s="920">
        <v>315.34800000000001</v>
      </c>
      <c r="AJ432" s="920">
        <v>3.9119999999999999</v>
      </c>
      <c r="AK432" s="919">
        <f>Data[[#This Row],[Industry Cost ($m)]]/Data[[#This Row],[Industry Consumption]]</f>
        <v>1.9535378613229295</v>
      </c>
      <c r="AL432" s="919">
        <f>Data[[#This Row],[AAL Fuel Cost]]/Data[[#This Row],[AAL Consumption]]</f>
        <v>1.9613076027036449</v>
      </c>
      <c r="AM432" s="919">
        <f>Data[[#This Row],[DAL Fuel Cost]]/Data[[#This Row],[DAL Consumption]]</f>
        <v>1.9024180518282745</v>
      </c>
      <c r="AN432" s="919">
        <f>Data[[#This Row],[UAL Fuel Cost]]/Data[[#This Row],[UALConsumption]]</f>
        <v>1.959523025395977</v>
      </c>
      <c r="AO432" s="919">
        <f>IFERROR(Data[[#This Row],[LUV Fuel Cost]]/Data[[#This Row],[LUV Consumption]],0)</f>
        <v>2.2984723854289073</v>
      </c>
      <c r="AP432" s="783"/>
      <c r="AQ432" s="783"/>
      <c r="AR432" s="253"/>
      <c r="AS432" s="253"/>
      <c r="AT432" s="253"/>
      <c r="AU432" s="253"/>
    </row>
    <row r="433" spans="1:47" ht="10.5" customHeight="1">
      <c r="A433" s="263">
        <v>43738</v>
      </c>
      <c r="B433" s="263" t="s">
        <v>537</v>
      </c>
      <c r="C433" s="277">
        <v>30.281534000000001</v>
      </c>
      <c r="D433" s="277">
        <v>8.3194169999999996</v>
      </c>
      <c r="E433" s="277">
        <v>8.8499029999999994</v>
      </c>
      <c r="F433" s="277">
        <v>10.209027000000001</v>
      </c>
      <c r="G433" s="277">
        <v>0.24757799999999999</v>
      </c>
      <c r="H433" s="284">
        <f t="shared" si="28"/>
        <v>2.6556090000000019</v>
      </c>
      <c r="I433" s="277">
        <v>25.00713</v>
      </c>
      <c r="J433" s="277">
        <v>6.8636939999999997</v>
      </c>
      <c r="K433" s="277">
        <v>7.5338419999999999</v>
      </c>
      <c r="L433" s="277">
        <v>8.3251080000000002</v>
      </c>
      <c r="M433" s="277">
        <v>0.19536500000000001</v>
      </c>
      <c r="N433" s="284">
        <f t="shared" si="29"/>
        <v>2.0891210000000022</v>
      </c>
      <c r="O433" s="277">
        <v>18.842310000000001</v>
      </c>
      <c r="P433" s="277">
        <v>2.2390249999999998</v>
      </c>
      <c r="Q433" s="277">
        <v>2.1379239999999999</v>
      </c>
      <c r="R433" s="277">
        <v>2.1896680000000002</v>
      </c>
      <c r="S433" s="277">
        <v>0.20353199999999999</v>
      </c>
      <c r="T433" s="284">
        <f t="shared" si="30"/>
        <v>12.072161000000001</v>
      </c>
      <c r="U433" s="920">
        <v>6071.6586666666672</v>
      </c>
      <c r="V433" s="920">
        <v>1313.7296666666668</v>
      </c>
      <c r="W433" s="920">
        <v>1251.6270000000002</v>
      </c>
      <c r="X433" s="920">
        <v>1428.8036666666667</v>
      </c>
      <c r="Y433" s="920">
        <v>44.554333333333339</v>
      </c>
      <c r="Z433" s="874">
        <f t="shared" si="31"/>
        <v>2032.944</v>
      </c>
      <c r="AA433" s="920">
        <v>514</v>
      </c>
      <c r="AB433" s="920">
        <v>121.423</v>
      </c>
      <c r="AC433" s="920">
        <v>127.479</v>
      </c>
      <c r="AD433" s="920">
        <v>149.61199999999999</v>
      </c>
      <c r="AE433" s="920">
        <v>1.036</v>
      </c>
      <c r="AF433" s="920">
        <v>1002.1</v>
      </c>
      <c r="AG433" s="920">
        <v>235.119</v>
      </c>
      <c r="AH433" s="920">
        <v>252.256</v>
      </c>
      <c r="AI433" s="920">
        <v>288.49900000000002</v>
      </c>
      <c r="AJ433" s="920">
        <v>2.343</v>
      </c>
      <c r="AK433" s="919">
        <f>Data[[#This Row],[Industry Cost ($m)]]/Data[[#This Row],[Industry Consumption]]</f>
        <v>1.9496108949416342</v>
      </c>
      <c r="AL433" s="919">
        <f>Data[[#This Row],[AAL Fuel Cost]]/Data[[#This Row],[AAL Consumption]]</f>
        <v>1.936362962535928</v>
      </c>
      <c r="AM433" s="919">
        <f>Data[[#This Row],[DAL Fuel Cost]]/Data[[#This Row],[DAL Consumption]]</f>
        <v>1.9788043520893637</v>
      </c>
      <c r="AN433" s="919">
        <f>Data[[#This Row],[UAL Fuel Cost]]/Data[[#This Row],[UALConsumption]]</f>
        <v>1.9283145736972973</v>
      </c>
      <c r="AO433" s="919">
        <f>IFERROR(Data[[#This Row],[LUV Fuel Cost]]/Data[[#This Row],[LUV Consumption]],0)</f>
        <v>2.2615830115830113</v>
      </c>
      <c r="AP433" s="783"/>
      <c r="AQ433" s="783"/>
      <c r="AR433" s="253"/>
      <c r="AS433" s="253"/>
      <c r="AT433" s="253"/>
      <c r="AU433" s="253"/>
    </row>
    <row r="434" spans="1:47" ht="10.5" customHeight="1">
      <c r="A434" s="263">
        <v>43769</v>
      </c>
      <c r="B434" s="263" t="s">
        <v>537</v>
      </c>
      <c r="C434" s="277">
        <v>29.379342999999999</v>
      </c>
      <c r="D434" s="277">
        <v>7.9779070000000001</v>
      </c>
      <c r="E434" s="277">
        <v>8.2811599999999999</v>
      </c>
      <c r="F434" s="277">
        <v>10.139085999999999</v>
      </c>
      <c r="G434" s="277">
        <v>0.30757999999999996</v>
      </c>
      <c r="H434" s="284">
        <f t="shared" si="28"/>
        <v>2.6736099999999965</v>
      </c>
      <c r="I434" s="277">
        <v>24.206432</v>
      </c>
      <c r="J434" s="277">
        <v>6.6750150000000001</v>
      </c>
      <c r="K434" s="277">
        <v>7.0180069999999999</v>
      </c>
      <c r="L434" s="277">
        <v>8.1401059999999994</v>
      </c>
      <c r="M434" s="277">
        <v>0.25137999999999999</v>
      </c>
      <c r="N434" s="284">
        <f t="shared" si="29"/>
        <v>2.1219239999999999</v>
      </c>
      <c r="O434" s="277">
        <v>18.982654</v>
      </c>
      <c r="P434" s="277">
        <v>2.2924660000000001</v>
      </c>
      <c r="Q434" s="277">
        <v>2.0550519999999999</v>
      </c>
      <c r="R434" s="277">
        <v>2.1851950000000002</v>
      </c>
      <c r="S434" s="277">
        <v>0.25568999999999997</v>
      </c>
      <c r="T434" s="284">
        <f t="shared" si="30"/>
        <v>12.194251</v>
      </c>
      <c r="U434" s="920">
        <v>5555.277000000001</v>
      </c>
      <c r="V434" s="920">
        <v>1075.1980000000001</v>
      </c>
      <c r="W434" s="920">
        <v>977.97299999999996</v>
      </c>
      <c r="X434" s="920">
        <v>1327.8026666666667</v>
      </c>
      <c r="Y434" s="920">
        <v>49.844666666666662</v>
      </c>
      <c r="Z434" s="874">
        <f t="shared" si="31"/>
        <v>2124.4586666666673</v>
      </c>
      <c r="AA434" s="920">
        <v>508.8</v>
      </c>
      <c r="AB434" s="920">
        <v>116.66200000000001</v>
      </c>
      <c r="AC434" s="920">
        <v>118.492</v>
      </c>
      <c r="AD434" s="920">
        <v>149.16800000000001</v>
      </c>
      <c r="AE434" s="920">
        <v>1.9610000000000001</v>
      </c>
      <c r="AF434" s="920">
        <v>1001.2</v>
      </c>
      <c r="AG434" s="920">
        <v>230.316</v>
      </c>
      <c r="AH434" s="920">
        <v>225.95599999999999</v>
      </c>
      <c r="AI434" s="920">
        <v>296.76400000000001</v>
      </c>
      <c r="AJ434" s="920">
        <v>4.359</v>
      </c>
      <c r="AK434" s="919">
        <f>Data[[#This Row],[Industry Cost ($m)]]/Data[[#This Row],[Industry Consumption]]</f>
        <v>1.9677672955974843</v>
      </c>
      <c r="AL434" s="919">
        <f>Data[[#This Row],[AAL Fuel Cost]]/Data[[#This Row],[AAL Consumption]]</f>
        <v>1.9742161115016028</v>
      </c>
      <c r="AM434" s="919">
        <f>Data[[#This Row],[DAL Fuel Cost]]/Data[[#This Row],[DAL Consumption]]</f>
        <v>1.9069304256827464</v>
      </c>
      <c r="AN434" s="919">
        <f>Data[[#This Row],[UAL Fuel Cost]]/Data[[#This Row],[UALConsumption]]</f>
        <v>1.9894615467124317</v>
      </c>
      <c r="AO434" s="919">
        <f>IFERROR(Data[[#This Row],[LUV Fuel Cost]]/Data[[#This Row],[LUV Consumption]],0)</f>
        <v>2.2228454869964303</v>
      </c>
      <c r="AP434" s="783"/>
      <c r="AQ434" s="783"/>
      <c r="AR434" s="253"/>
      <c r="AS434" s="253"/>
      <c r="AT434" s="253"/>
      <c r="AU434" s="253"/>
    </row>
    <row r="435" spans="1:47" ht="10.5" customHeight="1">
      <c r="A435" s="263">
        <v>43799</v>
      </c>
      <c r="B435" s="263" t="s">
        <v>537</v>
      </c>
      <c r="C435" s="277">
        <v>26.26718</v>
      </c>
      <c r="D435" s="277">
        <v>6.6415690000000005</v>
      </c>
      <c r="E435" s="277">
        <v>6.7471319999999997</v>
      </c>
      <c r="F435" s="277">
        <v>9.6095889999999997</v>
      </c>
      <c r="G435" s="277">
        <v>0.46425900000000003</v>
      </c>
      <c r="H435" s="284">
        <f t="shared" si="28"/>
        <v>2.8046310000000005</v>
      </c>
      <c r="I435" s="277">
        <v>21.263321999999999</v>
      </c>
      <c r="J435" s="277">
        <v>5.4232659999999999</v>
      </c>
      <c r="K435" s="277">
        <v>5.6274600000000001</v>
      </c>
      <c r="L435" s="277">
        <v>7.5676480000000002</v>
      </c>
      <c r="M435" s="277">
        <v>0.36844300000000002</v>
      </c>
      <c r="N435" s="284">
        <f t="shared" si="29"/>
        <v>2.2765049999999967</v>
      </c>
      <c r="O435" s="277">
        <v>17.575113000000002</v>
      </c>
      <c r="P435" s="277">
        <v>2.0573739999999998</v>
      </c>
      <c r="Q435" s="277">
        <v>1.7241439999999999</v>
      </c>
      <c r="R435" s="277">
        <v>2.15787</v>
      </c>
      <c r="S435" s="277">
        <v>0.35518899999999998</v>
      </c>
      <c r="T435" s="284">
        <f t="shared" si="30"/>
        <v>11.280536000000001</v>
      </c>
      <c r="U435" s="920">
        <v>5555.277000000001</v>
      </c>
      <c r="V435" s="920">
        <v>1075.1980000000001</v>
      </c>
      <c r="W435" s="920">
        <v>977.97299999999996</v>
      </c>
      <c r="X435" s="920">
        <v>1327.8026666666667</v>
      </c>
      <c r="Y435" s="920">
        <v>49.844666666666662</v>
      </c>
      <c r="Z435" s="874">
        <f t="shared" si="31"/>
        <v>2124.4586666666673</v>
      </c>
      <c r="AA435" s="920">
        <v>457.7</v>
      </c>
      <c r="AB435" s="920">
        <v>96.834000000000003</v>
      </c>
      <c r="AC435" s="920">
        <v>95.114000000000004</v>
      </c>
      <c r="AD435" s="920">
        <v>141.38499999999999</v>
      </c>
      <c r="AE435" s="920">
        <v>1.92</v>
      </c>
      <c r="AF435" s="920">
        <v>904.1</v>
      </c>
      <c r="AG435" s="920">
        <v>189.68600000000001</v>
      </c>
      <c r="AH435" s="920">
        <v>189.565</v>
      </c>
      <c r="AI435" s="920">
        <v>280.48399999999998</v>
      </c>
      <c r="AJ435" s="920">
        <v>4.4160000000000004</v>
      </c>
      <c r="AK435" s="919">
        <f>Data[[#This Row],[Industry Cost ($m)]]/Data[[#This Row],[Industry Consumption]]</f>
        <v>1.975311339305222</v>
      </c>
      <c r="AL435" s="919">
        <f>Data[[#This Row],[AAL Fuel Cost]]/Data[[#This Row],[AAL Consumption]]</f>
        <v>1.9588780800132186</v>
      </c>
      <c r="AM435" s="919">
        <f>Data[[#This Row],[DAL Fuel Cost]]/Data[[#This Row],[DAL Consumption]]</f>
        <v>1.9930294173307819</v>
      </c>
      <c r="AN435" s="919">
        <f>Data[[#This Row],[UAL Fuel Cost]]/Data[[#This Row],[UALConsumption]]</f>
        <v>1.9838313823955864</v>
      </c>
      <c r="AO435" s="919">
        <f>IFERROR(Data[[#This Row],[LUV Fuel Cost]]/Data[[#This Row],[LUV Consumption]],0)</f>
        <v>2.3000000000000003</v>
      </c>
      <c r="AP435" s="783"/>
      <c r="AQ435" s="783"/>
      <c r="AR435" s="253"/>
      <c r="AS435" s="253"/>
      <c r="AT435" s="253"/>
      <c r="AU435" s="253"/>
    </row>
    <row r="436" spans="1:47" ht="10.5" customHeight="1">
      <c r="A436" s="263">
        <v>43830</v>
      </c>
      <c r="B436" s="263" t="s">
        <v>537</v>
      </c>
      <c r="C436" s="277">
        <v>29.068822000000001</v>
      </c>
      <c r="D436" s="277">
        <v>7.5328119999999998</v>
      </c>
      <c r="E436" s="277">
        <v>7.4043049999999999</v>
      </c>
      <c r="F436" s="277">
        <v>10.341766</v>
      </c>
      <c r="G436" s="277">
        <v>0.49370299999999995</v>
      </c>
      <c r="H436" s="284">
        <f t="shared" si="28"/>
        <v>3.2962360000000004</v>
      </c>
      <c r="I436" s="277">
        <v>24.576301999999998</v>
      </c>
      <c r="J436" s="277">
        <v>6.3862519999999998</v>
      </c>
      <c r="K436" s="277">
        <v>6.3976699999999997</v>
      </c>
      <c r="L436" s="277">
        <v>8.6674009999999999</v>
      </c>
      <c r="M436" s="277">
        <v>0.41773900000000003</v>
      </c>
      <c r="N436" s="284">
        <f t="shared" si="29"/>
        <v>2.7072399999999952</v>
      </c>
      <c r="O436" s="277">
        <v>19.859635000000001</v>
      </c>
      <c r="P436" s="277">
        <v>2.4408470000000002</v>
      </c>
      <c r="Q436" s="277">
        <v>2.0121030000000002</v>
      </c>
      <c r="R436" s="277">
        <v>2.4844689999999998</v>
      </c>
      <c r="S436" s="277">
        <v>0.39867000000000002</v>
      </c>
      <c r="T436" s="284">
        <f t="shared" si="30"/>
        <v>12.523546</v>
      </c>
      <c r="U436" s="920">
        <v>5555.277000000001</v>
      </c>
      <c r="V436" s="920">
        <v>1075.1980000000001</v>
      </c>
      <c r="W436" s="920">
        <v>977.97299999999996</v>
      </c>
      <c r="X436" s="920">
        <v>1327.8026666666667</v>
      </c>
      <c r="Y436" s="920">
        <v>49.844666666666662</v>
      </c>
      <c r="Z436" s="874">
        <f t="shared" si="31"/>
        <v>2124.4586666666673</v>
      </c>
      <c r="AA436" s="920">
        <v>493</v>
      </c>
      <c r="AB436" s="920">
        <v>109.501</v>
      </c>
      <c r="AC436" s="920">
        <v>103.779</v>
      </c>
      <c r="AD436" s="920">
        <v>152.99299999999999</v>
      </c>
      <c r="AE436" s="920">
        <v>2.4279999999999999</v>
      </c>
      <c r="AF436" s="920">
        <v>979.5</v>
      </c>
      <c r="AG436" s="920">
        <v>217.369</v>
      </c>
      <c r="AH436" s="920">
        <v>211.143</v>
      </c>
      <c r="AI436" s="920">
        <v>303.17</v>
      </c>
      <c r="AJ436" s="920">
        <v>5.6849999999999996</v>
      </c>
      <c r="AK436" s="919">
        <f>Data[[#This Row],[Industry Cost ($m)]]/Data[[#This Row],[Industry Consumption]]</f>
        <v>1.986815415821501</v>
      </c>
      <c r="AL436" s="919">
        <f>Data[[#This Row],[AAL Fuel Cost]]/Data[[#This Row],[AAL Consumption]]</f>
        <v>1.9850868941836146</v>
      </c>
      <c r="AM436" s="919">
        <f>Data[[#This Row],[DAL Fuel Cost]]/Data[[#This Row],[DAL Consumption]]</f>
        <v>2.0345445610383606</v>
      </c>
      <c r="AN436" s="919">
        <f>Data[[#This Row],[UAL Fuel Cost]]/Data[[#This Row],[UALConsumption]]</f>
        <v>1.9815939291340128</v>
      </c>
      <c r="AO436" s="919">
        <f>IFERROR(Data[[#This Row],[LUV Fuel Cost]]/Data[[#This Row],[LUV Consumption]],0)</f>
        <v>2.3414332784184513</v>
      </c>
      <c r="AP436" s="783"/>
      <c r="AQ436" s="783"/>
      <c r="AR436" s="253"/>
      <c r="AS436" s="253"/>
      <c r="AT436" s="253"/>
      <c r="AU436" s="253"/>
    </row>
    <row r="437" spans="1:47" ht="10.5" customHeight="1">
      <c r="A437" s="263">
        <v>43861</v>
      </c>
      <c r="B437" s="263" t="s">
        <v>537</v>
      </c>
      <c r="C437" s="277">
        <v>28.654852999999999</v>
      </c>
      <c r="D437" s="277">
        <v>7.3059019999999997</v>
      </c>
      <c r="E437" s="277">
        <v>7.7625760000000001</v>
      </c>
      <c r="F437" s="277">
        <v>9.9751550000000009</v>
      </c>
      <c r="G437" s="277">
        <v>0.35597699999999999</v>
      </c>
      <c r="H437" s="284">
        <f t="shared" si="28"/>
        <v>3.2552430000000001</v>
      </c>
      <c r="I437" s="277">
        <v>23.322355999999999</v>
      </c>
      <c r="J437" s="277">
        <v>5.9317330000000004</v>
      </c>
      <c r="K437" s="277">
        <v>6.3658029999999997</v>
      </c>
      <c r="L437" s="277">
        <v>8.0523019999999992</v>
      </c>
      <c r="M437" s="277">
        <v>0.30025499999999999</v>
      </c>
      <c r="N437" s="284">
        <f t="shared" si="29"/>
        <v>2.6722630000000009</v>
      </c>
      <c r="O437" s="277">
        <v>18.955397999999999</v>
      </c>
      <c r="P437" s="277">
        <v>2.3525689999999999</v>
      </c>
      <c r="Q437" s="277">
        <v>2.0598960000000002</v>
      </c>
      <c r="R437" s="277">
        <v>2.2843339999999999</v>
      </c>
      <c r="S437" s="277">
        <v>0.30151600000000001</v>
      </c>
      <c r="T437" s="284">
        <f t="shared" si="30"/>
        <v>11.957082999999997</v>
      </c>
      <c r="U437" s="920">
        <v>4540.407666666667</v>
      </c>
      <c r="V437" s="920">
        <v>822.13733333333323</v>
      </c>
      <c r="W437" s="920">
        <v>740.94433333333336</v>
      </c>
      <c r="X437" s="920">
        <v>967.04100000000005</v>
      </c>
      <c r="Y437" s="920">
        <v>40.504666666666665</v>
      </c>
      <c r="Z437" s="874">
        <f t="shared" si="31"/>
        <v>1969.7803333333336</v>
      </c>
      <c r="AA437" s="920">
        <v>478.5</v>
      </c>
      <c r="AB437" s="920">
        <v>104.812</v>
      </c>
      <c r="AC437" s="920">
        <v>108.35</v>
      </c>
      <c r="AD437" s="920">
        <v>147.27600000000001</v>
      </c>
      <c r="AE437" s="920">
        <v>1.401</v>
      </c>
      <c r="AF437" s="920">
        <v>944.9</v>
      </c>
      <c r="AG437" s="920">
        <v>206.41300000000001</v>
      </c>
      <c r="AH437" s="920">
        <v>207.43600000000001</v>
      </c>
      <c r="AI437" s="920">
        <v>295.45299999999997</v>
      </c>
      <c r="AJ437" s="920">
        <v>3.3090000000000002</v>
      </c>
      <c r="AK437" s="919">
        <f>Data[[#This Row],[Industry Cost ($m)]]/Data[[#This Row],[Industry Consumption]]</f>
        <v>1.9747126436781608</v>
      </c>
      <c r="AL437" s="919">
        <f>Data[[#This Row],[AAL Fuel Cost]]/Data[[#This Row],[AAL Consumption]]</f>
        <v>1.9693641949395109</v>
      </c>
      <c r="AM437" s="919">
        <f>Data[[#This Row],[DAL Fuel Cost]]/Data[[#This Row],[DAL Consumption]]</f>
        <v>1.9144993077988004</v>
      </c>
      <c r="AN437" s="919">
        <f>Data[[#This Row],[UAL Fuel Cost]]/Data[[#This Row],[UALConsumption]]</f>
        <v>2.0061177652842281</v>
      </c>
      <c r="AO437" s="919">
        <f>IFERROR(Data[[#This Row],[LUV Fuel Cost]]/Data[[#This Row],[LUV Consumption]],0)</f>
        <v>2.3618843683083512</v>
      </c>
      <c r="AP437" s="783"/>
      <c r="AQ437" s="783"/>
      <c r="AR437" s="253"/>
      <c r="AS437" s="253"/>
      <c r="AT437" s="253"/>
      <c r="AU437" s="253"/>
    </row>
    <row r="438" spans="1:47" ht="10.5" customHeight="1">
      <c r="A438" s="263">
        <v>43890</v>
      </c>
      <c r="B438" s="263" t="s">
        <v>537</v>
      </c>
      <c r="C438" s="277">
        <v>24.250243999999999</v>
      </c>
      <c r="D438" s="277">
        <v>6.1996919999999998</v>
      </c>
      <c r="E438" s="277">
        <v>6.4634960000000001</v>
      </c>
      <c r="F438" s="277">
        <v>8.2468269999999997</v>
      </c>
      <c r="G438" s="277">
        <v>0.32685399999999998</v>
      </c>
      <c r="H438" s="284">
        <f t="shared" si="28"/>
        <v>3.0133749999999964</v>
      </c>
      <c r="I438" s="277">
        <v>18.473969</v>
      </c>
      <c r="J438" s="277">
        <v>4.773015</v>
      </c>
      <c r="K438" s="277">
        <v>5.0463789999999999</v>
      </c>
      <c r="L438" s="277">
        <v>5.9616249999999997</v>
      </c>
      <c r="M438" s="277">
        <v>0.27946700000000002</v>
      </c>
      <c r="N438" s="284">
        <f t="shared" si="29"/>
        <v>2.4134830000000029</v>
      </c>
      <c r="O438" s="277">
        <v>15.829198</v>
      </c>
      <c r="P438" s="277">
        <v>2.099377</v>
      </c>
      <c r="Q438" s="277">
        <v>1.7543169999999999</v>
      </c>
      <c r="R438" s="277">
        <v>1.8631759999999999</v>
      </c>
      <c r="S438" s="277">
        <v>0.27762500000000001</v>
      </c>
      <c r="T438" s="284">
        <f t="shared" si="30"/>
        <v>9.8347029999999993</v>
      </c>
      <c r="U438" s="920">
        <v>4540.407666666667</v>
      </c>
      <c r="V438" s="920">
        <v>822.13733333333323</v>
      </c>
      <c r="W438" s="920">
        <v>740.94433333333336</v>
      </c>
      <c r="X438" s="920">
        <v>967.04100000000005</v>
      </c>
      <c r="Y438" s="920">
        <v>40.504666666666665</v>
      </c>
      <c r="Z438" s="874">
        <f t="shared" si="31"/>
        <v>1969.7803333333336</v>
      </c>
      <c r="AA438" s="920">
        <v>402.1</v>
      </c>
      <c r="AB438" s="920">
        <v>89.180999999999997</v>
      </c>
      <c r="AC438" s="920">
        <v>89.97</v>
      </c>
      <c r="AD438" s="920">
        <v>119.68</v>
      </c>
      <c r="AE438" s="920">
        <v>1.4450000000000001</v>
      </c>
      <c r="AF438" s="920">
        <v>739.5</v>
      </c>
      <c r="AG438" s="920">
        <v>159.327</v>
      </c>
      <c r="AH438" s="920">
        <v>172.85900000000001</v>
      </c>
      <c r="AI438" s="920">
        <v>218.40700000000001</v>
      </c>
      <c r="AJ438" s="920">
        <v>3.0379999999999998</v>
      </c>
      <c r="AK438" s="919">
        <f>Data[[#This Row],[Industry Cost ($m)]]/Data[[#This Row],[Industry Consumption]]</f>
        <v>1.839094752549117</v>
      </c>
      <c r="AL438" s="919">
        <f>Data[[#This Row],[AAL Fuel Cost]]/Data[[#This Row],[AAL Consumption]]</f>
        <v>1.7865576748410537</v>
      </c>
      <c r="AM438" s="919">
        <f>Data[[#This Row],[DAL Fuel Cost]]/Data[[#This Row],[DAL Consumption]]</f>
        <v>1.9212959875514062</v>
      </c>
      <c r="AN438" s="919">
        <f>Data[[#This Row],[UAL Fuel Cost]]/Data[[#This Row],[UALConsumption]]</f>
        <v>1.8249247994652407</v>
      </c>
      <c r="AO438" s="919">
        <f>IFERROR(Data[[#This Row],[LUV Fuel Cost]]/Data[[#This Row],[LUV Consumption]],0)</f>
        <v>2.1024221453287195</v>
      </c>
      <c r="AP438" s="783"/>
      <c r="AQ438" s="783"/>
      <c r="AR438" s="253"/>
      <c r="AS438" s="253"/>
      <c r="AT438" s="253"/>
      <c r="AU438" s="253"/>
    </row>
    <row r="439" spans="1:47" ht="10.5" customHeight="1">
      <c r="A439" s="263">
        <v>43921</v>
      </c>
      <c r="B439" s="263" t="s">
        <v>537</v>
      </c>
      <c r="C439" s="277">
        <v>17.473772</v>
      </c>
      <c r="D439" s="277">
        <v>4.2111080000000003</v>
      </c>
      <c r="E439" s="277">
        <v>4.362762</v>
      </c>
      <c r="F439" s="277">
        <v>6.0912700000000006</v>
      </c>
      <c r="G439" s="277">
        <v>0.31363099999999999</v>
      </c>
      <c r="H439" s="284">
        <f t="shared" si="28"/>
        <v>2.4950009999999985</v>
      </c>
      <c r="I439" s="277">
        <v>10.199191000000001</v>
      </c>
      <c r="J439" s="277">
        <v>2.5433379999999999</v>
      </c>
      <c r="K439" s="277">
        <v>2.633775</v>
      </c>
      <c r="L439" s="277">
        <v>3.3107989999999998</v>
      </c>
      <c r="M439" s="277">
        <v>0.20825199999999999</v>
      </c>
      <c r="N439" s="284">
        <f t="shared" si="29"/>
        <v>1.5030270000000012</v>
      </c>
      <c r="O439" s="277">
        <v>8.9569449999999993</v>
      </c>
      <c r="P439" s="277">
        <v>1.1844129999999999</v>
      </c>
      <c r="Q439" s="277">
        <v>0.97720899999999999</v>
      </c>
      <c r="R439" s="277">
        <v>1.063399</v>
      </c>
      <c r="S439" s="277">
        <v>0.20067199999999999</v>
      </c>
      <c r="T439" s="284">
        <f t="shared" si="30"/>
        <v>5.5312519999999994</v>
      </c>
      <c r="U439" s="920">
        <v>4540.407666666667</v>
      </c>
      <c r="V439" s="920">
        <v>822.13733333333323</v>
      </c>
      <c r="W439" s="920">
        <v>740.94433333333336</v>
      </c>
      <c r="X439" s="920">
        <v>967.04100000000005</v>
      </c>
      <c r="Y439" s="920">
        <v>40.504666666666665</v>
      </c>
      <c r="Z439" s="874">
        <f t="shared" si="31"/>
        <v>1969.7803333333336</v>
      </c>
      <c r="AA439" s="920">
        <v>320.2</v>
      </c>
      <c r="AB439" s="920">
        <v>58.826999999999998</v>
      </c>
      <c r="AC439" s="920">
        <v>57.412999999999997</v>
      </c>
      <c r="AD439" s="920">
        <v>89.432000000000002</v>
      </c>
      <c r="AE439" s="920">
        <v>1.0109999999999999</v>
      </c>
      <c r="AF439" s="920">
        <v>485.3</v>
      </c>
      <c r="AG439" s="920">
        <v>82.103999999999999</v>
      </c>
      <c r="AH439" s="920">
        <v>92.617999999999995</v>
      </c>
      <c r="AI439" s="920">
        <v>139.416</v>
      </c>
      <c r="AJ439" s="920">
        <v>1.8620000000000001</v>
      </c>
      <c r="AK439" s="919">
        <f>Data[[#This Row],[Industry Cost ($m)]]/Data[[#This Row],[Industry Consumption]]</f>
        <v>1.5156152404747034</v>
      </c>
      <c r="AL439" s="919">
        <f>Data[[#This Row],[AAL Fuel Cost]]/Data[[#This Row],[AAL Consumption]]</f>
        <v>1.3956856545463818</v>
      </c>
      <c r="AM439" s="919">
        <f>Data[[#This Row],[DAL Fuel Cost]]/Data[[#This Row],[DAL Consumption]]</f>
        <v>1.6131886506540332</v>
      </c>
      <c r="AN439" s="919">
        <f>Data[[#This Row],[UAL Fuel Cost]]/Data[[#This Row],[UALConsumption]]</f>
        <v>1.5589050899007066</v>
      </c>
      <c r="AO439" s="919">
        <f>IFERROR(Data[[#This Row],[LUV Fuel Cost]]/Data[[#This Row],[LUV Consumption]],0)</f>
        <v>1.841740850642928</v>
      </c>
      <c r="AP439" s="783"/>
      <c r="AQ439" s="783"/>
      <c r="AR439" s="253"/>
      <c r="AS439" s="253"/>
      <c r="AT439" s="253"/>
      <c r="AU439" s="253"/>
    </row>
    <row r="440" spans="1:47" ht="10.5" customHeight="1">
      <c r="A440" s="263">
        <v>43951</v>
      </c>
      <c r="B440" s="263" t="s">
        <v>537</v>
      </c>
      <c r="C440" s="277">
        <v>1.538478</v>
      </c>
      <c r="D440" s="277">
        <v>0.41785300000000003</v>
      </c>
      <c r="E440" s="277">
        <v>0.38176399999999999</v>
      </c>
      <c r="F440" s="277">
        <v>0.56690700000000005</v>
      </c>
      <c r="G440" s="277">
        <v>0</v>
      </c>
      <c r="H440" s="284">
        <f t="shared" si="28"/>
        <v>0.17195399999999994</v>
      </c>
      <c r="I440" s="277">
        <v>0.356402</v>
      </c>
      <c r="J440" s="277">
        <v>5.2682E-2</v>
      </c>
      <c r="K440" s="277">
        <v>0.138493</v>
      </c>
      <c r="L440" s="277">
        <v>0.12149600000000001</v>
      </c>
      <c r="M440" s="277">
        <v>0</v>
      </c>
      <c r="N440" s="284">
        <f t="shared" si="29"/>
        <v>4.3730999999999964E-2</v>
      </c>
      <c r="O440" s="277">
        <v>0.40132899999999999</v>
      </c>
      <c r="P440" s="277">
        <v>2.5465999999999999E-2</v>
      </c>
      <c r="Q440" s="277">
        <v>3.4556999999999997E-2</v>
      </c>
      <c r="R440" s="277">
        <v>3.5528999999999998E-2</v>
      </c>
      <c r="S440" s="783"/>
      <c r="T440" s="874">
        <f t="shared" si="30"/>
        <v>0.30577699999999997</v>
      </c>
      <c r="U440" s="920">
        <v>2213.5920000000001</v>
      </c>
      <c r="V440" s="920">
        <v>69.200333333333333</v>
      </c>
      <c r="W440" s="920">
        <v>88.080666666666673</v>
      </c>
      <c r="X440" s="920">
        <v>183.21100000000001</v>
      </c>
      <c r="Y440" s="920">
        <v>0.13433333333333333</v>
      </c>
      <c r="Z440" s="874">
        <f t="shared" si="31"/>
        <v>1872.9656666666667</v>
      </c>
      <c r="AA440" s="920">
        <v>133.80000000000001</v>
      </c>
      <c r="AB440" s="920">
        <v>4.7960000000000003</v>
      </c>
      <c r="AC440" s="920">
        <v>4.266</v>
      </c>
      <c r="AD440" s="920">
        <v>25.407</v>
      </c>
      <c r="AE440" s="920">
        <v>1.2999999999999999E-2</v>
      </c>
      <c r="AF440" s="920">
        <v>162.4</v>
      </c>
      <c r="AG440" s="920">
        <v>4.6619999999999999</v>
      </c>
      <c r="AH440" s="920">
        <v>19.681000000000001</v>
      </c>
      <c r="AI440" s="920">
        <v>28.503</v>
      </c>
      <c r="AJ440" s="920">
        <v>2.8000000000000001E-2</v>
      </c>
      <c r="AK440" s="919">
        <f>Data[[#This Row],[Industry Cost ($m)]]/Data[[#This Row],[Industry Consumption]]</f>
        <v>1.2137518684603885</v>
      </c>
      <c r="AL440" s="919">
        <f>Data[[#This Row],[AAL Fuel Cost]]/Data[[#This Row],[AAL Consumption]]</f>
        <v>0.97206005004170137</v>
      </c>
      <c r="AM440" s="919">
        <f>Data[[#This Row],[DAL Fuel Cost]]/Data[[#This Row],[DAL Consumption]]</f>
        <v>4.6134552273792782</v>
      </c>
      <c r="AN440" s="919">
        <f>Data[[#This Row],[UAL Fuel Cost]]/Data[[#This Row],[UALConsumption]]</f>
        <v>1.1218561813673398</v>
      </c>
      <c r="AO440" s="919">
        <f>IFERROR(Data[[#This Row],[LUV Fuel Cost]]/Data[[#This Row],[LUV Consumption]],0)</f>
        <v>2.1538461538461542</v>
      </c>
      <c r="AP440" s="783"/>
      <c r="AQ440" s="783"/>
      <c r="AR440" s="253"/>
      <c r="AS440" s="253"/>
      <c r="AT440" s="253"/>
      <c r="AU440" s="253"/>
    </row>
    <row r="441" spans="1:47" ht="10.5" customHeight="1">
      <c r="A441" s="263">
        <v>43982</v>
      </c>
      <c r="B441" s="263" t="s">
        <v>537</v>
      </c>
      <c r="C441" s="277">
        <v>1.7446159999999999</v>
      </c>
      <c r="D441" s="277">
        <v>0.42919600000000002</v>
      </c>
      <c r="E441" s="277">
        <v>0.382772</v>
      </c>
      <c r="F441" s="277">
        <v>0.765795</v>
      </c>
      <c r="G441" s="277">
        <v>0</v>
      </c>
      <c r="H441" s="284">
        <f t="shared" si="28"/>
        <v>0.16685299999999992</v>
      </c>
      <c r="I441" s="277">
        <v>0.47853699999999999</v>
      </c>
      <c r="J441" s="277">
        <v>0.104035</v>
      </c>
      <c r="K441" s="277">
        <v>0.118574</v>
      </c>
      <c r="L441" s="277">
        <v>0.19356000000000001</v>
      </c>
      <c r="M441" s="277">
        <v>0</v>
      </c>
      <c r="N441" s="284">
        <f t="shared" si="29"/>
        <v>6.2367999999999979E-2</v>
      </c>
      <c r="O441" s="277">
        <v>0.372915</v>
      </c>
      <c r="P441" s="277">
        <v>4.5678999999999997E-2</v>
      </c>
      <c r="Q441" s="277">
        <v>2.8310999999999999E-2</v>
      </c>
      <c r="R441" s="277">
        <v>5.4538000000000003E-2</v>
      </c>
      <c r="S441" s="783"/>
      <c r="T441" s="874">
        <f t="shared" si="30"/>
        <v>0.24438699999999999</v>
      </c>
      <c r="U441" s="920">
        <v>2213.5920000000001</v>
      </c>
      <c r="V441" s="920">
        <v>69.200333333333333</v>
      </c>
      <c r="W441" s="920">
        <v>88.080666666666673</v>
      </c>
      <c r="X441" s="920">
        <v>183.21100000000001</v>
      </c>
      <c r="Y441" s="920">
        <v>0.13433333333333333</v>
      </c>
      <c r="Z441" s="874">
        <f t="shared" si="31"/>
        <v>1872.9656666666667</v>
      </c>
      <c r="AA441" s="920">
        <v>156.4</v>
      </c>
      <c r="AB441" s="920">
        <v>5.1239999999999997</v>
      </c>
      <c r="AC441" s="920">
        <v>4.7839999999999998</v>
      </c>
      <c r="AD441" s="920">
        <v>38.877000000000002</v>
      </c>
      <c r="AE441" s="920">
        <v>0</v>
      </c>
      <c r="AF441" s="920">
        <v>149.69999999999999</v>
      </c>
      <c r="AG441" s="920">
        <v>4.4969999999999999</v>
      </c>
      <c r="AH441" s="920">
        <v>7.1970000000000001</v>
      </c>
      <c r="AI441" s="920">
        <v>34.414999999999999</v>
      </c>
      <c r="AJ441" s="920">
        <v>0</v>
      </c>
      <c r="AK441" s="919">
        <f>Data[[#This Row],[Industry Cost ($m)]]/Data[[#This Row],[Industry Consumption]]</f>
        <v>0.957161125319693</v>
      </c>
      <c r="AL441" s="919">
        <f>Data[[#This Row],[AAL Fuel Cost]]/Data[[#This Row],[AAL Consumption]]</f>
        <v>0.8776346604215457</v>
      </c>
      <c r="AM441" s="919">
        <f>Data[[#This Row],[DAL Fuel Cost]]/Data[[#This Row],[DAL Consumption]]</f>
        <v>1.5043896321070236</v>
      </c>
      <c r="AN441" s="919">
        <f>Data[[#This Row],[UAL Fuel Cost]]/Data[[#This Row],[UALConsumption]]</f>
        <v>0.88522776963243044</v>
      </c>
      <c r="AO441" s="919">
        <f>IFERROR(Data[[#This Row],[LUV Fuel Cost]]/Data[[#This Row],[LUV Consumption]],0)</f>
        <v>0</v>
      </c>
      <c r="AP441" s="783"/>
      <c r="AQ441" s="783"/>
      <c r="AR441" s="253"/>
      <c r="AS441" s="253"/>
      <c r="AT441" s="253"/>
      <c r="AU441" s="253"/>
    </row>
    <row r="442" spans="1:47" ht="10.5" customHeight="1">
      <c r="A442" s="263">
        <v>44012</v>
      </c>
      <c r="B442" s="263" t="s">
        <v>537</v>
      </c>
      <c r="C442" s="277">
        <v>2.5718510000000001</v>
      </c>
      <c r="D442" s="277">
        <v>0.77815599999999996</v>
      </c>
      <c r="E442" s="277">
        <v>0.63922999999999996</v>
      </c>
      <c r="F442" s="277">
        <v>0.912165</v>
      </c>
      <c r="G442" s="277">
        <v>0</v>
      </c>
      <c r="H442" s="284">
        <f t="shared" si="28"/>
        <v>0.24230000000000018</v>
      </c>
      <c r="I442" s="277">
        <v>0.893571</v>
      </c>
      <c r="J442" s="277">
        <v>0.24936800000000001</v>
      </c>
      <c r="K442" s="277">
        <v>0.21871499999999999</v>
      </c>
      <c r="L442" s="277">
        <v>0.31091099999999999</v>
      </c>
      <c r="M442" s="277">
        <v>0</v>
      </c>
      <c r="N442" s="284">
        <f t="shared" si="29"/>
        <v>0.11457700000000004</v>
      </c>
      <c r="O442" s="277">
        <v>0.803948</v>
      </c>
      <c r="P442" s="277">
        <v>0.13594000000000001</v>
      </c>
      <c r="Q442" s="277">
        <v>5.9655E-2</v>
      </c>
      <c r="R442" s="277">
        <v>9.6671000000000007E-2</v>
      </c>
      <c r="S442" s="783"/>
      <c r="T442" s="874">
        <f t="shared" si="30"/>
        <v>0.51168199999999997</v>
      </c>
      <c r="U442" s="920">
        <v>2213.5920000000001</v>
      </c>
      <c r="V442" s="920">
        <v>69.200333333333333</v>
      </c>
      <c r="W442" s="920">
        <v>88.080666666666673</v>
      </c>
      <c r="X442" s="920">
        <v>183.21100000000001</v>
      </c>
      <c r="Y442" s="920">
        <v>0.13433333333333333</v>
      </c>
      <c r="Z442" s="874">
        <f t="shared" si="31"/>
        <v>1872.9656666666667</v>
      </c>
      <c r="AA442" s="920">
        <v>164.4</v>
      </c>
      <c r="AB442" s="920">
        <v>9.7070000000000007</v>
      </c>
      <c r="AC442" s="920">
        <v>8.3160000000000007</v>
      </c>
      <c r="AD442" s="920">
        <v>37.409999999999997</v>
      </c>
      <c r="AE442" s="920">
        <v>0</v>
      </c>
      <c r="AF442" s="920">
        <v>161</v>
      </c>
      <c r="AG442" s="920">
        <v>9.4410000000000007</v>
      </c>
      <c r="AH442" s="920">
        <v>11.298999999999999</v>
      </c>
      <c r="AI442" s="920">
        <v>37.569000000000003</v>
      </c>
      <c r="AJ442" s="920">
        <v>0</v>
      </c>
      <c r="AK442" s="919">
        <f>Data[[#This Row],[Industry Cost ($m)]]/Data[[#This Row],[Industry Consumption]]</f>
        <v>0.97931873479318732</v>
      </c>
      <c r="AL442" s="919">
        <f>Data[[#This Row],[AAL Fuel Cost]]/Data[[#This Row],[AAL Consumption]]</f>
        <v>0.97259709487998347</v>
      </c>
      <c r="AM442" s="919">
        <f>Data[[#This Row],[DAL Fuel Cost]]/Data[[#This Row],[DAL Consumption]]</f>
        <v>1.3587061087061085</v>
      </c>
      <c r="AN442" s="919">
        <f>Data[[#This Row],[UAL Fuel Cost]]/Data[[#This Row],[UALConsumption]]</f>
        <v>1.0042502004811549</v>
      </c>
      <c r="AO442" s="919">
        <f>IFERROR(Data[[#This Row],[LUV Fuel Cost]]/Data[[#This Row],[LUV Consumption]],0)</f>
        <v>0</v>
      </c>
      <c r="AP442" s="783"/>
      <c r="AQ442" s="783"/>
      <c r="AR442" s="253"/>
      <c r="AS442" s="253"/>
      <c r="AT442" s="253"/>
      <c r="AU442" s="253"/>
    </row>
    <row r="443" spans="1:47" ht="10.5" customHeight="1">
      <c r="A443" s="263">
        <v>44043</v>
      </c>
      <c r="B443" s="263" t="s">
        <v>537</v>
      </c>
      <c r="C443" s="277">
        <v>5.4744739999999998</v>
      </c>
      <c r="D443" s="277">
        <v>1.347955</v>
      </c>
      <c r="E443" s="277">
        <v>1.3289230000000001</v>
      </c>
      <c r="F443" s="277">
        <v>1.6595869999999999</v>
      </c>
      <c r="G443" s="277">
        <v>0.105256</v>
      </c>
      <c r="H443" s="284">
        <f t="shared" si="28"/>
        <v>1.0327529999999996</v>
      </c>
      <c r="I443" s="277">
        <v>1.980785</v>
      </c>
      <c r="J443" s="277">
        <v>0.47891499999999998</v>
      </c>
      <c r="K443" s="277">
        <v>0.424508</v>
      </c>
      <c r="L443" s="277">
        <v>0.55842400000000003</v>
      </c>
      <c r="M443" s="277">
        <v>4.5768999999999997E-2</v>
      </c>
      <c r="N443" s="284">
        <f t="shared" si="29"/>
        <v>0.47316899999999995</v>
      </c>
      <c r="O443" s="277">
        <v>1.8621220000000001</v>
      </c>
      <c r="P443" s="277">
        <v>0.330341</v>
      </c>
      <c r="Q443" s="277">
        <v>0.151924</v>
      </c>
      <c r="R443" s="277">
        <v>0.186585</v>
      </c>
      <c r="S443" s="277">
        <v>4.1048000000000001E-2</v>
      </c>
      <c r="T443" s="284">
        <f t="shared" si="30"/>
        <v>1.1522240000000001</v>
      </c>
      <c r="U443" s="920">
        <v>2668.2870000000003</v>
      </c>
      <c r="V443" s="920">
        <v>155.33566666666667</v>
      </c>
      <c r="W443" s="920">
        <v>155.071</v>
      </c>
      <c r="X443" s="920">
        <v>272.38333333333333</v>
      </c>
      <c r="Y443" s="920">
        <v>6.6020000000000003</v>
      </c>
      <c r="Z443" s="874">
        <f t="shared" si="31"/>
        <v>2078.8950000000004</v>
      </c>
      <c r="AA443" s="920">
        <v>197.4</v>
      </c>
      <c r="AB443" s="920">
        <v>16.940999999999999</v>
      </c>
      <c r="AC443" s="920">
        <v>15.817</v>
      </c>
      <c r="AD443" s="920">
        <v>44.323999999999998</v>
      </c>
      <c r="AE443" s="920">
        <v>0.112</v>
      </c>
      <c r="AF443" s="920">
        <v>228.8</v>
      </c>
      <c r="AG443" s="920">
        <v>19.135999999999999</v>
      </c>
      <c r="AH443" s="920">
        <v>18.759</v>
      </c>
      <c r="AI443" s="920">
        <v>51.359000000000002</v>
      </c>
      <c r="AJ443" s="920">
        <v>0.158</v>
      </c>
      <c r="AK443" s="919">
        <f>Data[[#This Row],[Industry Cost ($m)]]/Data[[#This Row],[Industry Consumption]]</f>
        <v>1.1590678824721379</v>
      </c>
      <c r="AL443" s="919">
        <f>Data[[#This Row],[AAL Fuel Cost]]/Data[[#This Row],[AAL Consumption]]</f>
        <v>1.1295673218818252</v>
      </c>
      <c r="AM443" s="919">
        <f>Data[[#This Row],[DAL Fuel Cost]]/Data[[#This Row],[DAL Consumption]]</f>
        <v>1.186002402478346</v>
      </c>
      <c r="AN443" s="919">
        <f>Data[[#This Row],[UAL Fuel Cost]]/Data[[#This Row],[UALConsumption]]</f>
        <v>1.1587176247631081</v>
      </c>
      <c r="AO443" s="919">
        <f>IFERROR(Data[[#This Row],[LUV Fuel Cost]]/Data[[#This Row],[LUV Consumption]],0)</f>
        <v>1.4107142857142858</v>
      </c>
      <c r="AP443" s="783"/>
      <c r="AQ443" s="783"/>
      <c r="AR443" s="253"/>
      <c r="AS443" s="253"/>
      <c r="AT443" s="253"/>
      <c r="AU443" s="253"/>
    </row>
    <row r="444" spans="1:47" ht="10.5" customHeight="1">
      <c r="A444" s="263">
        <v>44074</v>
      </c>
      <c r="B444" s="263" t="s">
        <v>537</v>
      </c>
      <c r="C444" s="277">
        <v>7.0970890000000004</v>
      </c>
      <c r="D444" s="277">
        <v>1.5404680000000002</v>
      </c>
      <c r="E444" s="277">
        <v>1.90862</v>
      </c>
      <c r="F444" s="277">
        <v>2.4871329999999996</v>
      </c>
      <c r="G444" s="277">
        <v>9.7581000000000001E-2</v>
      </c>
      <c r="H444" s="284">
        <f t="shared" si="28"/>
        <v>1.0632870000000008</v>
      </c>
      <c r="I444" s="277">
        <v>2.6252279999999999</v>
      </c>
      <c r="J444" s="277">
        <v>0.52322900000000006</v>
      </c>
      <c r="K444" s="277">
        <v>0.608433</v>
      </c>
      <c r="L444" s="277">
        <v>0.91367100000000001</v>
      </c>
      <c r="M444" s="277">
        <v>5.1833999999999998E-2</v>
      </c>
      <c r="N444" s="284">
        <f t="shared" si="29"/>
        <v>0.52806100000000011</v>
      </c>
      <c r="O444" s="277">
        <v>2.2980930000000002</v>
      </c>
      <c r="P444" s="277">
        <v>0.34985100000000002</v>
      </c>
      <c r="Q444" s="277">
        <v>0.225165</v>
      </c>
      <c r="R444" s="277">
        <v>0.30599599999999999</v>
      </c>
      <c r="S444" s="277">
        <v>4.6434000000000003E-2</v>
      </c>
      <c r="T444" s="284">
        <f t="shared" si="30"/>
        <v>1.3706470000000004</v>
      </c>
      <c r="U444" s="920">
        <v>2668.2870000000003</v>
      </c>
      <c r="V444" s="920">
        <v>155.33566666666667</v>
      </c>
      <c r="W444" s="920">
        <v>155.071</v>
      </c>
      <c r="X444" s="920">
        <v>272.38333333333333</v>
      </c>
      <c r="Y444" s="920">
        <v>6.6020000000000003</v>
      </c>
      <c r="Z444" s="874">
        <f t="shared" si="31"/>
        <v>2078.8950000000004</v>
      </c>
      <c r="AA444" s="920">
        <v>212.5</v>
      </c>
      <c r="AB444" s="920">
        <v>19.523</v>
      </c>
      <c r="AC444" s="920">
        <v>19.93</v>
      </c>
      <c r="AD444" s="920">
        <v>53.78</v>
      </c>
      <c r="AE444" s="920">
        <v>0.17899999999999999</v>
      </c>
      <c r="AF444" s="920">
        <v>254.6</v>
      </c>
      <c r="AG444" s="920">
        <v>22.481000000000002</v>
      </c>
      <c r="AH444" s="920">
        <v>25.914999999999999</v>
      </c>
      <c r="AI444" s="920">
        <v>63.353000000000002</v>
      </c>
      <c r="AJ444" s="920">
        <v>0.25800000000000001</v>
      </c>
      <c r="AK444" s="919">
        <f>Data[[#This Row],[Industry Cost ($m)]]/Data[[#This Row],[Industry Consumption]]</f>
        <v>1.1981176470588235</v>
      </c>
      <c r="AL444" s="919">
        <f>Data[[#This Row],[AAL Fuel Cost]]/Data[[#This Row],[AAL Consumption]]</f>
        <v>1.1515135993443633</v>
      </c>
      <c r="AM444" s="919">
        <f>Data[[#This Row],[DAL Fuel Cost]]/Data[[#This Row],[DAL Consumption]]</f>
        <v>1.3003010536879076</v>
      </c>
      <c r="AN444" s="919">
        <f>Data[[#This Row],[UAL Fuel Cost]]/Data[[#This Row],[UALConsumption]]</f>
        <v>1.1780029750836742</v>
      </c>
      <c r="AO444" s="919">
        <f>IFERROR(Data[[#This Row],[LUV Fuel Cost]]/Data[[#This Row],[LUV Consumption]],0)</f>
        <v>1.4413407821229052</v>
      </c>
      <c r="AP444" s="783"/>
      <c r="AQ444" s="783"/>
      <c r="AR444" s="253"/>
      <c r="AS444" s="253"/>
      <c r="AT444" s="253"/>
      <c r="AU444" s="253"/>
    </row>
    <row r="445" spans="1:47" ht="10.5" customHeight="1">
      <c r="A445" s="263">
        <v>44104</v>
      </c>
      <c r="B445" s="263" t="s">
        <v>537</v>
      </c>
      <c r="C445" s="277">
        <v>7.2798189999999998</v>
      </c>
      <c r="D445" s="277">
        <v>1.4864649999999999</v>
      </c>
      <c r="E445" s="277">
        <v>2.0139549999999997</v>
      </c>
      <c r="F445" s="277">
        <v>2.727023</v>
      </c>
      <c r="G445" s="277">
        <v>9.6321000000000004E-2</v>
      </c>
      <c r="H445" s="284">
        <f t="shared" si="28"/>
        <v>0.95605500000000099</v>
      </c>
      <c r="I445" s="277">
        <v>2.5870609999999998</v>
      </c>
      <c r="J445" s="277">
        <v>0.52315299999999998</v>
      </c>
      <c r="K445" s="277">
        <v>0.60372199999999998</v>
      </c>
      <c r="L445" s="277">
        <v>0.88884600000000002</v>
      </c>
      <c r="M445" s="277">
        <v>5.0313999999999998E-2</v>
      </c>
      <c r="N445" s="284">
        <f t="shared" si="29"/>
        <v>0.52102599999999955</v>
      </c>
      <c r="O445" s="277">
        <v>2.2805979999999999</v>
      </c>
      <c r="P445" s="277">
        <v>0.35659999999999997</v>
      </c>
      <c r="Q445" s="277">
        <v>0.23863899999999999</v>
      </c>
      <c r="R445" s="277">
        <v>0.31044300000000002</v>
      </c>
      <c r="S445" s="277">
        <v>4.5171000000000003E-2</v>
      </c>
      <c r="T445" s="284">
        <f t="shared" si="30"/>
        <v>1.329745</v>
      </c>
      <c r="U445" s="920">
        <v>2668.2870000000003</v>
      </c>
      <c r="V445" s="920">
        <v>155.33566666666667</v>
      </c>
      <c r="W445" s="920">
        <v>155.071</v>
      </c>
      <c r="X445" s="920">
        <v>272.38333333333333</v>
      </c>
      <c r="Y445" s="920">
        <v>6.6020000000000003</v>
      </c>
      <c r="Z445" s="874">
        <f t="shared" si="31"/>
        <v>2078.8950000000004</v>
      </c>
      <c r="AA445" s="920">
        <v>219.4</v>
      </c>
      <c r="AB445" s="920">
        <v>19.965</v>
      </c>
      <c r="AC445" s="920">
        <v>24.533999999999999</v>
      </c>
      <c r="AD445" s="920">
        <v>58.81</v>
      </c>
      <c r="AE445" s="920">
        <v>0.12</v>
      </c>
      <c r="AF445" s="920">
        <v>253.3</v>
      </c>
      <c r="AG445" s="920">
        <v>22.193000000000001</v>
      </c>
      <c r="AH445" s="920">
        <v>31.492000000000001</v>
      </c>
      <c r="AI445" s="920">
        <v>66.933000000000007</v>
      </c>
      <c r="AJ445" s="920">
        <v>0.16200000000000001</v>
      </c>
      <c r="AK445" s="919">
        <f>Data[[#This Row],[Industry Cost ($m)]]/Data[[#This Row],[Industry Consumption]]</f>
        <v>1.1545123062898814</v>
      </c>
      <c r="AL445" s="919">
        <f>Data[[#This Row],[AAL Fuel Cost]]/Data[[#This Row],[AAL Consumption]]</f>
        <v>1.1115952917605811</v>
      </c>
      <c r="AM445" s="919">
        <f>Data[[#This Row],[DAL Fuel Cost]]/Data[[#This Row],[DAL Consumption]]</f>
        <v>1.2836064237384854</v>
      </c>
      <c r="AN445" s="919">
        <f>Data[[#This Row],[UAL Fuel Cost]]/Data[[#This Row],[UALConsumption]]</f>
        <v>1.1381227682366946</v>
      </c>
      <c r="AO445" s="919">
        <f>IFERROR(Data[[#This Row],[LUV Fuel Cost]]/Data[[#This Row],[LUV Consumption]],0)</f>
        <v>1.35</v>
      </c>
      <c r="AP445" s="783"/>
      <c r="AQ445" s="783"/>
      <c r="AR445" s="253"/>
      <c r="AS445" s="253"/>
      <c r="AT445" s="253"/>
      <c r="AU445" s="253"/>
    </row>
    <row r="446" spans="1:47" ht="10.5" customHeight="1">
      <c r="A446" s="263">
        <v>44135</v>
      </c>
      <c r="B446" s="263" t="s">
        <v>537</v>
      </c>
      <c r="C446" s="277">
        <v>8.8809070000000006</v>
      </c>
      <c r="D446" s="277">
        <v>1.834678</v>
      </c>
      <c r="E446" s="277">
        <v>2.5024160000000002</v>
      </c>
      <c r="F446" s="277">
        <v>3.0797109999999996</v>
      </c>
      <c r="G446" s="277">
        <v>0.14227799999999999</v>
      </c>
      <c r="H446" s="284">
        <f t="shared" si="28"/>
        <v>1.3218240000000003</v>
      </c>
      <c r="I446" s="277">
        <v>3.432572</v>
      </c>
      <c r="J446" s="277">
        <v>0.77366100000000004</v>
      </c>
      <c r="K446" s="277">
        <v>0.76460600000000001</v>
      </c>
      <c r="L446" s="277">
        <v>1.075326</v>
      </c>
      <c r="M446" s="277">
        <v>6.9098000000000007E-2</v>
      </c>
      <c r="N446" s="284">
        <f t="shared" si="29"/>
        <v>0.74988100000000024</v>
      </c>
      <c r="O446" s="277">
        <v>2.9696509999999998</v>
      </c>
      <c r="P446" s="277">
        <v>0.53626200000000002</v>
      </c>
      <c r="Q446" s="277">
        <v>0.33131899999999997</v>
      </c>
      <c r="R446" s="277">
        <v>0.40484100000000001</v>
      </c>
      <c r="S446" s="277">
        <v>6.4498E-2</v>
      </c>
      <c r="T446" s="284">
        <f t="shared" si="30"/>
        <v>1.6327309999999999</v>
      </c>
      <c r="U446" s="920">
        <v>3271.7959999999998</v>
      </c>
      <c r="V446" s="920">
        <v>293.96266666666662</v>
      </c>
      <c r="W446" s="920">
        <v>233.54333333333329</v>
      </c>
      <c r="X446" s="920">
        <v>392.19733333333335</v>
      </c>
      <c r="Y446" s="920">
        <v>14.097999999999999</v>
      </c>
      <c r="Z446" s="874">
        <f t="shared" si="31"/>
        <v>2337.9946666666665</v>
      </c>
      <c r="AA446" s="920">
        <v>238.5</v>
      </c>
      <c r="AB446" s="920">
        <v>24.533000000000001</v>
      </c>
      <c r="AC446" s="920">
        <v>30.259</v>
      </c>
      <c r="AD446" s="920">
        <v>62.573</v>
      </c>
      <c r="AE446" s="920">
        <v>0.11</v>
      </c>
      <c r="AF446" s="920">
        <v>267</v>
      </c>
      <c r="AG446" s="920">
        <v>27.547000000000001</v>
      </c>
      <c r="AH446" s="920">
        <v>36.777999999999999</v>
      </c>
      <c r="AI446" s="920">
        <v>68.534999999999997</v>
      </c>
      <c r="AJ446" s="920">
        <v>0.14699999999999999</v>
      </c>
      <c r="AK446" s="919">
        <f>Data[[#This Row],[Industry Cost ($m)]]/Data[[#This Row],[Industry Consumption]]</f>
        <v>1.1194968553459119</v>
      </c>
      <c r="AL446" s="919">
        <f>Data[[#This Row],[AAL Fuel Cost]]/Data[[#This Row],[AAL Consumption]]</f>
        <v>1.1228549300941588</v>
      </c>
      <c r="AM446" s="919">
        <f>Data[[#This Row],[DAL Fuel Cost]]/Data[[#This Row],[DAL Consumption]]</f>
        <v>1.2154400343699394</v>
      </c>
      <c r="AN446" s="919">
        <f>Data[[#This Row],[UAL Fuel Cost]]/Data[[#This Row],[UALConsumption]]</f>
        <v>1.0952807121282342</v>
      </c>
      <c r="AO446" s="919">
        <f>IFERROR(Data[[#This Row],[LUV Fuel Cost]]/Data[[#This Row],[LUV Consumption]],0)</f>
        <v>1.3363636363636362</v>
      </c>
      <c r="AP446" s="783"/>
      <c r="AQ446" s="783"/>
      <c r="AR446" s="253"/>
      <c r="AS446" s="253"/>
      <c r="AT446" s="253"/>
      <c r="AU446" s="253"/>
    </row>
    <row r="447" spans="1:47" ht="10.5" customHeight="1">
      <c r="A447" s="263">
        <v>44165</v>
      </c>
      <c r="B447" s="263" t="s">
        <v>537</v>
      </c>
      <c r="C447" s="277">
        <v>10.197569</v>
      </c>
      <c r="D447" s="277">
        <v>2.2460500000000003</v>
      </c>
      <c r="E447" s="277">
        <v>2.6735900000000004</v>
      </c>
      <c r="F447" s="277">
        <v>3.5327169999999999</v>
      </c>
      <c r="G447" s="277">
        <v>0.22295599999999999</v>
      </c>
      <c r="H447" s="284">
        <f t="shared" si="28"/>
        <v>1.5222559999999987</v>
      </c>
      <c r="I447" s="277">
        <v>4.2370559999999999</v>
      </c>
      <c r="J447" s="277">
        <v>1.066163</v>
      </c>
      <c r="K447" s="277">
        <v>0.86044299999999996</v>
      </c>
      <c r="L447" s="277">
        <v>1.3646480000000001</v>
      </c>
      <c r="M447" s="277">
        <v>9.9085999999999994E-2</v>
      </c>
      <c r="N447" s="284">
        <f t="shared" si="29"/>
        <v>0.8467159999999998</v>
      </c>
      <c r="O447" s="277">
        <v>3.5531389999999998</v>
      </c>
      <c r="P447" s="277">
        <v>0.73647799999999997</v>
      </c>
      <c r="Q447" s="277">
        <v>0.38035000000000002</v>
      </c>
      <c r="R447" s="277">
        <v>0.54148700000000005</v>
      </c>
      <c r="S447" s="277">
        <v>8.8231000000000004E-2</v>
      </c>
      <c r="T447" s="284">
        <f t="shared" si="30"/>
        <v>1.8065929999999999</v>
      </c>
      <c r="U447" s="920">
        <v>3271.7959999999998</v>
      </c>
      <c r="V447" s="920">
        <v>293.96266666666662</v>
      </c>
      <c r="W447" s="920">
        <v>233.54333333333329</v>
      </c>
      <c r="X447" s="920">
        <v>392.19733333333335</v>
      </c>
      <c r="Y447" s="920">
        <v>14.097999999999999</v>
      </c>
      <c r="Z447" s="874">
        <f t="shared" si="31"/>
        <v>2337.9946666666665</v>
      </c>
      <c r="AA447" s="920">
        <v>251.6</v>
      </c>
      <c r="AB447" s="920">
        <v>29.216999999999999</v>
      </c>
      <c r="AC447" s="920">
        <v>31.507000000000001</v>
      </c>
      <c r="AD447" s="920">
        <v>69.956999999999994</v>
      </c>
      <c r="AE447" s="920">
        <v>0.23499999999999999</v>
      </c>
      <c r="AF447" s="920">
        <v>295</v>
      </c>
      <c r="AG447" s="920">
        <v>34.435000000000002</v>
      </c>
      <c r="AH447" s="920">
        <v>38.402000000000001</v>
      </c>
      <c r="AI447" s="920">
        <v>81.484999999999999</v>
      </c>
      <c r="AJ447" s="920">
        <v>0.33500000000000002</v>
      </c>
      <c r="AK447" s="919">
        <f>Data[[#This Row],[Industry Cost ($m)]]/Data[[#This Row],[Industry Consumption]]</f>
        <v>1.1724960254372019</v>
      </c>
      <c r="AL447" s="919">
        <f>Data[[#This Row],[AAL Fuel Cost]]/Data[[#This Row],[AAL Consumption]]</f>
        <v>1.1785946537974468</v>
      </c>
      <c r="AM447" s="919">
        <f>Data[[#This Row],[DAL Fuel Cost]]/Data[[#This Row],[DAL Consumption]]</f>
        <v>1.2188402577205066</v>
      </c>
      <c r="AN447" s="919">
        <f>Data[[#This Row],[UAL Fuel Cost]]/Data[[#This Row],[UALConsumption]]</f>
        <v>1.1647869405491946</v>
      </c>
      <c r="AO447" s="919">
        <f>IFERROR(Data[[#This Row],[LUV Fuel Cost]]/Data[[#This Row],[LUV Consumption]],0)</f>
        <v>1.4255319148936172</v>
      </c>
      <c r="AP447" s="783"/>
      <c r="AQ447" s="783"/>
      <c r="AR447" s="253"/>
      <c r="AS447" s="253"/>
      <c r="AT447" s="253"/>
      <c r="AU447" s="253"/>
    </row>
    <row r="448" spans="1:47" ht="10.5" customHeight="1">
      <c r="A448" s="263">
        <v>44196</v>
      </c>
      <c r="B448" s="263" t="s">
        <v>537</v>
      </c>
      <c r="C448" s="277">
        <v>12.306346</v>
      </c>
      <c r="D448" s="277">
        <v>2.4635289999999999</v>
      </c>
      <c r="E448" s="277">
        <v>3.2571309999999998</v>
      </c>
      <c r="F448" s="277">
        <v>4.1452169999999997</v>
      </c>
      <c r="G448" s="277">
        <v>0.209285</v>
      </c>
      <c r="H448" s="284">
        <f t="shared" si="28"/>
        <v>2.2311840000000007</v>
      </c>
      <c r="I448" s="277">
        <v>5.7486769999999998</v>
      </c>
      <c r="J448" s="277">
        <v>1.366395</v>
      </c>
      <c r="K448" s="277">
        <v>1.2087129999999999</v>
      </c>
      <c r="L448" s="277">
        <v>1.85277</v>
      </c>
      <c r="M448" s="277">
        <v>0.131941</v>
      </c>
      <c r="N448" s="284">
        <f t="shared" si="29"/>
        <v>1.1888579999999997</v>
      </c>
      <c r="O448" s="277">
        <v>4.7638150000000001</v>
      </c>
      <c r="P448" s="277">
        <v>0.92306200000000005</v>
      </c>
      <c r="Q448" s="277">
        <v>0.52250799999999997</v>
      </c>
      <c r="R448" s="277">
        <v>0.71689999999999998</v>
      </c>
      <c r="S448" s="277">
        <v>0.12015099999999999</v>
      </c>
      <c r="T448" s="284">
        <f t="shared" si="30"/>
        <v>2.4811940000000003</v>
      </c>
      <c r="U448" s="920">
        <v>3271.7959999999998</v>
      </c>
      <c r="V448" s="920">
        <v>293.96266666666662</v>
      </c>
      <c r="W448" s="920">
        <v>233.54333333333329</v>
      </c>
      <c r="X448" s="920">
        <v>392.19733333333335</v>
      </c>
      <c r="Y448" s="920">
        <v>14.097999999999999</v>
      </c>
      <c r="Z448" s="874">
        <f t="shared" si="31"/>
        <v>2337.9946666666665</v>
      </c>
      <c r="AA448" s="920">
        <v>271.8</v>
      </c>
      <c r="AB448" s="920">
        <v>31.184000000000001</v>
      </c>
      <c r="AC448" s="920">
        <v>37.484999999999999</v>
      </c>
      <c r="AD448" s="920">
        <v>77.802999999999997</v>
      </c>
      <c r="AE448" s="920">
        <v>0.54500000000000004</v>
      </c>
      <c r="AF448" s="920">
        <v>379.3</v>
      </c>
      <c r="AG448" s="920">
        <v>42.103999999999999</v>
      </c>
      <c r="AH448" s="920">
        <v>71.778999999999996</v>
      </c>
      <c r="AI448" s="920">
        <v>101.376</v>
      </c>
      <c r="AJ448" s="920">
        <v>0.90600000000000003</v>
      </c>
      <c r="AK448" s="919">
        <f>Data[[#This Row],[Industry Cost ($m)]]/Data[[#This Row],[Industry Consumption]]</f>
        <v>1.3955114054451803</v>
      </c>
      <c r="AL448" s="919">
        <f>Data[[#This Row],[AAL Fuel Cost]]/Data[[#This Row],[AAL Consumption]]</f>
        <v>1.3501795792714211</v>
      </c>
      <c r="AM448" s="919">
        <f>Data[[#This Row],[DAL Fuel Cost]]/Data[[#This Row],[DAL Consumption]]</f>
        <v>1.9148726157129519</v>
      </c>
      <c r="AN448" s="919">
        <f>Data[[#This Row],[UAL Fuel Cost]]/Data[[#This Row],[UALConsumption]]</f>
        <v>1.3029831754559593</v>
      </c>
      <c r="AO448" s="919">
        <f>IFERROR(Data[[#This Row],[LUV Fuel Cost]]/Data[[#This Row],[LUV Consumption]],0)</f>
        <v>1.6623853211009174</v>
      </c>
      <c r="AP448" s="783"/>
      <c r="AQ448" s="783"/>
      <c r="AR448" s="253"/>
      <c r="AS448" s="253"/>
      <c r="AT448" s="253"/>
      <c r="AU448" s="253"/>
    </row>
    <row r="449" spans="1:47" ht="10.5" customHeight="1">
      <c r="A449" s="263">
        <v>44227</v>
      </c>
      <c r="B449" s="263" t="s">
        <v>537</v>
      </c>
      <c r="C449" s="277">
        <v>12.92005</v>
      </c>
      <c r="D449" s="277">
        <v>2.997814</v>
      </c>
      <c r="E449" s="277">
        <v>3.5866700000000002</v>
      </c>
      <c r="F449" s="277">
        <v>3.867213</v>
      </c>
      <c r="G449" s="277">
        <v>0.20283099999999998</v>
      </c>
      <c r="H449" s="284">
        <f t="shared" si="28"/>
        <v>2.2655220000000007</v>
      </c>
      <c r="I449" s="277">
        <v>5.4326350000000003</v>
      </c>
      <c r="J449" s="277">
        <v>1.282727</v>
      </c>
      <c r="K449" s="277">
        <v>1.227352</v>
      </c>
      <c r="L449" s="277">
        <v>1.685171</v>
      </c>
      <c r="M449" s="277">
        <v>0.112678</v>
      </c>
      <c r="N449" s="284">
        <f t="shared" si="29"/>
        <v>1.1247070000000008</v>
      </c>
      <c r="O449" s="277">
        <v>4.5057960000000001</v>
      </c>
      <c r="P449" s="277">
        <v>0.82516199999999995</v>
      </c>
      <c r="Q449" s="277">
        <v>0.53015900000000005</v>
      </c>
      <c r="R449" s="277">
        <v>0.62844299999999997</v>
      </c>
      <c r="S449" s="277">
        <v>0.100464</v>
      </c>
      <c r="T449" s="284">
        <f t="shared" si="30"/>
        <v>2.4215680000000002</v>
      </c>
      <c r="U449" s="920">
        <v>3215.8666666666663</v>
      </c>
      <c r="V449" s="920">
        <v>302.25266666666664</v>
      </c>
      <c r="W449" s="920">
        <v>234.76199999999997</v>
      </c>
      <c r="X449" s="920">
        <v>369.7526666666667</v>
      </c>
      <c r="Y449" s="920">
        <v>16.228666666666665</v>
      </c>
      <c r="Z449" s="874">
        <f t="shared" si="31"/>
        <v>2292.8706666666667</v>
      </c>
      <c r="AA449" s="920">
        <v>265.2</v>
      </c>
      <c r="AB449" s="920">
        <v>36.823999999999998</v>
      </c>
      <c r="AC449" s="920">
        <v>40.485999999999997</v>
      </c>
      <c r="AD449" s="920">
        <v>67.403999999999996</v>
      </c>
      <c r="AE449" s="920">
        <v>0.34699999999999998</v>
      </c>
      <c r="AF449" s="920">
        <v>394.4</v>
      </c>
      <c r="AG449" s="920">
        <v>53.53</v>
      </c>
      <c r="AH449" s="920">
        <v>66.251999999999995</v>
      </c>
      <c r="AI449" s="920">
        <v>96.852999999999994</v>
      </c>
      <c r="AJ449" s="920">
        <v>0.59399999999999997</v>
      </c>
      <c r="AK449" s="919">
        <f>Data[[#This Row],[Industry Cost ($m)]]/Data[[#This Row],[Industry Consumption]]</f>
        <v>1.4871794871794872</v>
      </c>
      <c r="AL449" s="919">
        <f>Data[[#This Row],[AAL Fuel Cost]]/Data[[#This Row],[AAL Consumption]]</f>
        <v>1.4536715185748426</v>
      </c>
      <c r="AM449" s="919">
        <f>Data[[#This Row],[DAL Fuel Cost]]/Data[[#This Row],[DAL Consumption]]</f>
        <v>1.6364175270463863</v>
      </c>
      <c r="AN449" s="919">
        <f>Data[[#This Row],[UAL Fuel Cost]]/Data[[#This Row],[UALConsumption]]</f>
        <v>1.4369028544300042</v>
      </c>
      <c r="AO449" s="919">
        <f>IFERROR(Data[[#This Row],[LUV Fuel Cost]]/Data[[#This Row],[LUV Consumption]],0)</f>
        <v>1.7118155619596542</v>
      </c>
      <c r="AP449" s="783"/>
      <c r="AQ449" s="783"/>
      <c r="AR449" s="253"/>
      <c r="AS449" s="253"/>
      <c r="AT449" s="253"/>
      <c r="AU449" s="253"/>
    </row>
    <row r="450" spans="1:47" ht="10.5" customHeight="1">
      <c r="A450" s="263">
        <v>44255</v>
      </c>
      <c r="B450" s="263" t="s">
        <v>537</v>
      </c>
      <c r="C450" s="277">
        <v>10.963317</v>
      </c>
      <c r="D450" s="277">
        <v>2.8354470000000003</v>
      </c>
      <c r="E450" s="277">
        <v>3.0319729999999998</v>
      </c>
      <c r="F450" s="277">
        <v>3.0379549999999997</v>
      </c>
      <c r="G450" s="277">
        <v>0.173762</v>
      </c>
      <c r="H450" s="284">
        <f t="shared" si="28"/>
        <v>1.8841800000000006</v>
      </c>
      <c r="I450" s="277">
        <v>3.8397060000000001</v>
      </c>
      <c r="J450" s="277">
        <v>0.93059999999999998</v>
      </c>
      <c r="K450" s="277">
        <v>0.87230200000000002</v>
      </c>
      <c r="L450" s="277">
        <v>1.1431640000000001</v>
      </c>
      <c r="M450" s="277">
        <v>8.3126000000000005E-2</v>
      </c>
      <c r="N450" s="284">
        <f t="shared" si="29"/>
        <v>0.81051399999999996</v>
      </c>
      <c r="O450" s="277">
        <v>2.9944510000000002</v>
      </c>
      <c r="P450" s="277">
        <v>0.60012600000000005</v>
      </c>
      <c r="Q450" s="277">
        <v>0.39402500000000001</v>
      </c>
      <c r="R450" s="277">
        <v>0.42255199999999998</v>
      </c>
      <c r="S450" s="277">
        <v>7.2249999999999995E-2</v>
      </c>
      <c r="T450" s="284">
        <f t="shared" si="30"/>
        <v>1.5054980000000002</v>
      </c>
      <c r="U450" s="920">
        <v>3215.8666666666663</v>
      </c>
      <c r="V450" s="920">
        <v>302.25266666666664</v>
      </c>
      <c r="W450" s="920">
        <v>234.76199999999997</v>
      </c>
      <c r="X450" s="920">
        <v>369.7526666666667</v>
      </c>
      <c r="Y450" s="920">
        <v>16.228666666666665</v>
      </c>
      <c r="Z450" s="874">
        <f t="shared" si="31"/>
        <v>2292.8706666666667</v>
      </c>
      <c r="AA450" s="920">
        <v>230.7</v>
      </c>
      <c r="AB450" s="920">
        <v>34.067</v>
      </c>
      <c r="AC450" s="920">
        <v>34.753999999999998</v>
      </c>
      <c r="AD450" s="920">
        <v>59.124000000000002</v>
      </c>
      <c r="AE450" s="920">
        <v>0.32300000000000001</v>
      </c>
      <c r="AF450" s="920">
        <v>359.5</v>
      </c>
      <c r="AG450" s="920">
        <v>54.62</v>
      </c>
      <c r="AH450" s="920">
        <v>55.9</v>
      </c>
      <c r="AI450" s="920">
        <v>91.081999999999994</v>
      </c>
      <c r="AJ450" s="920">
        <v>0.60699999999999998</v>
      </c>
      <c r="AK450" s="919">
        <f>Data[[#This Row],[Industry Cost ($m)]]/Data[[#This Row],[Industry Consumption]]</f>
        <v>1.5583008235804074</v>
      </c>
      <c r="AL450" s="919">
        <f>Data[[#This Row],[AAL Fuel Cost]]/Data[[#This Row],[AAL Consumption]]</f>
        <v>1.6033111222003698</v>
      </c>
      <c r="AM450" s="919">
        <f>Data[[#This Row],[DAL Fuel Cost]]/Data[[#This Row],[DAL Consumption]]</f>
        <v>1.60844794843759</v>
      </c>
      <c r="AN450" s="919">
        <f>Data[[#This Row],[UAL Fuel Cost]]/Data[[#This Row],[UALConsumption]]</f>
        <v>1.5405249983086393</v>
      </c>
      <c r="AO450" s="919">
        <f>IFERROR(Data[[#This Row],[LUV Fuel Cost]]/Data[[#This Row],[LUV Consumption]],0)</f>
        <v>1.8792569659442724</v>
      </c>
      <c r="AP450" s="783"/>
      <c r="AQ450" s="783"/>
      <c r="AR450" s="253"/>
      <c r="AS450" s="253"/>
      <c r="AT450" s="253"/>
      <c r="AU450" s="253"/>
    </row>
    <row r="451" spans="1:47" ht="10.5" customHeight="1">
      <c r="A451" s="263">
        <v>44286</v>
      </c>
      <c r="B451" s="263" t="s">
        <v>537</v>
      </c>
      <c r="C451" s="277">
        <v>13.508817000000001</v>
      </c>
      <c r="D451" s="277">
        <v>3.7272430000000001</v>
      </c>
      <c r="E451" s="277">
        <v>3.541077</v>
      </c>
      <c r="F451" s="277">
        <v>3.8852829999999998</v>
      </c>
      <c r="G451" s="277">
        <v>0.28495600000000004</v>
      </c>
      <c r="H451" s="284">
        <f t="shared" si="28"/>
        <v>2.0702580000000008</v>
      </c>
      <c r="I451" s="277">
        <v>5.8664050000000003</v>
      </c>
      <c r="J451" s="277">
        <v>1.552786</v>
      </c>
      <c r="K451" s="277">
        <v>1.217098</v>
      </c>
      <c r="L451" s="277">
        <v>1.7241420000000001</v>
      </c>
      <c r="M451" s="277">
        <v>0.19192500000000001</v>
      </c>
      <c r="N451" s="284">
        <f t="shared" si="29"/>
        <v>1.1804540000000001</v>
      </c>
      <c r="O451" s="277">
        <v>4.613016</v>
      </c>
      <c r="P451" s="277">
        <v>1.085844</v>
      </c>
      <c r="Q451" s="277">
        <v>0.55370299999999995</v>
      </c>
      <c r="R451" s="277">
        <v>0.71412600000000004</v>
      </c>
      <c r="S451" s="277">
        <v>0.16258400000000001</v>
      </c>
      <c r="T451" s="284">
        <f t="shared" si="30"/>
        <v>2.0967590000000005</v>
      </c>
      <c r="U451" s="920">
        <v>3215.8666666666663</v>
      </c>
      <c r="V451" s="920">
        <v>302.25266666666664</v>
      </c>
      <c r="W451" s="920">
        <v>234.76199999999997</v>
      </c>
      <c r="X451" s="920">
        <v>369.7526666666667</v>
      </c>
      <c r="Y451" s="920">
        <v>16.228666666666665</v>
      </c>
      <c r="Z451" s="874">
        <f t="shared" si="31"/>
        <v>2292.8706666666667</v>
      </c>
      <c r="AA451" s="920">
        <v>289.7</v>
      </c>
      <c r="AB451" s="920">
        <v>45.738999999999997</v>
      </c>
      <c r="AC451" s="920">
        <v>43.106999999999999</v>
      </c>
      <c r="AD451" s="920">
        <v>74.12</v>
      </c>
      <c r="AE451" s="920">
        <v>1.0569999999999999</v>
      </c>
      <c r="AF451" s="920">
        <v>520.4</v>
      </c>
      <c r="AG451" s="920">
        <v>78.558999999999997</v>
      </c>
      <c r="AH451" s="920">
        <v>107.02</v>
      </c>
      <c r="AI451" s="920">
        <v>125.92</v>
      </c>
      <c r="AJ451" s="920">
        <v>2.1429999999999998</v>
      </c>
      <c r="AK451" s="919">
        <f>Data[[#This Row],[Industry Cost ($m)]]/Data[[#This Row],[Industry Consumption]]</f>
        <v>1.7963410424577149</v>
      </c>
      <c r="AL451" s="919">
        <f>Data[[#This Row],[AAL Fuel Cost]]/Data[[#This Row],[AAL Consumption]]</f>
        <v>1.7175495747611449</v>
      </c>
      <c r="AM451" s="919">
        <f>Data[[#This Row],[DAL Fuel Cost]]/Data[[#This Row],[DAL Consumption]]</f>
        <v>2.4826594288630615</v>
      </c>
      <c r="AN451" s="919">
        <f>Data[[#This Row],[UAL Fuel Cost]]/Data[[#This Row],[UALConsumption]]</f>
        <v>1.6988667026443605</v>
      </c>
      <c r="AO451" s="919">
        <f>IFERROR(Data[[#This Row],[LUV Fuel Cost]]/Data[[#This Row],[LUV Consumption]],0)</f>
        <v>2.0274361400189216</v>
      </c>
      <c r="AP451" s="783"/>
      <c r="AQ451" s="783"/>
      <c r="AR451" s="253"/>
      <c r="AS451" s="253"/>
      <c r="AT451" s="253"/>
      <c r="AU451" s="253"/>
    </row>
    <row r="452" spans="1:47" ht="10.5" customHeight="1">
      <c r="A452" s="263">
        <v>44316</v>
      </c>
      <c r="B452" s="263" t="s">
        <v>537</v>
      </c>
      <c r="C452" s="277">
        <v>14.128079</v>
      </c>
      <c r="D452" s="277">
        <v>4.291417</v>
      </c>
      <c r="E452" s="277">
        <v>3.5773069999999998</v>
      </c>
      <c r="F452" s="277">
        <v>4.0057070000000001</v>
      </c>
      <c r="G452" s="277">
        <v>0.32023399999999996</v>
      </c>
      <c r="H452" s="284">
        <f t="shared" ref="H452:H461" si="32">+C452-SUM(D452,E452,F452,G452)</f>
        <v>1.9334139999999991</v>
      </c>
      <c r="I452" s="277">
        <v>6.6664870000000001</v>
      </c>
      <c r="J452" s="277">
        <v>1.8539159999999999</v>
      </c>
      <c r="K452" s="277">
        <v>1.3270770000000001</v>
      </c>
      <c r="L452" s="277">
        <v>1.917632</v>
      </c>
      <c r="M452" s="277">
        <v>0.24088999999999999</v>
      </c>
      <c r="N452" s="284">
        <f t="shared" ref="N452:N461" si="33">+I452-SUM(J452,K452,L452,M452)</f>
        <v>1.3269719999999996</v>
      </c>
      <c r="O452" s="277">
        <v>5.4907550000000001</v>
      </c>
      <c r="P452" s="277">
        <v>1.3041450000000001</v>
      </c>
      <c r="Q452" s="277">
        <v>0.59937200000000002</v>
      </c>
      <c r="R452" s="277">
        <v>0.83995799999999998</v>
      </c>
      <c r="S452" s="277">
        <v>0.202039</v>
      </c>
      <c r="T452" s="284">
        <f t="shared" ref="T452:T461" si="34">+O452-SUM(P452,Q452,R452,S452)</f>
        <v>2.5452409999999999</v>
      </c>
      <c r="U452" s="920">
        <v>4042.1039999999998</v>
      </c>
      <c r="V452" s="920">
        <v>502.03199999999998</v>
      </c>
      <c r="W452" s="920">
        <v>377.8296666666667</v>
      </c>
      <c r="X452" s="920">
        <v>568.31533333333334</v>
      </c>
      <c r="Y452" s="920">
        <v>42.20066666666667</v>
      </c>
      <c r="Z452" s="874">
        <f t="shared" ref="Z452:Z461" si="35">+U452-SUM(V452,W452,X452,Y452)</f>
        <v>2551.7263333333331</v>
      </c>
      <c r="AA452" s="920">
        <v>300.2</v>
      </c>
      <c r="AB452" s="920">
        <v>53.494999999999997</v>
      </c>
      <c r="AC452" s="920">
        <v>44.872</v>
      </c>
      <c r="AD452" s="920">
        <v>72.89</v>
      </c>
      <c r="AE452" s="920">
        <v>1.246</v>
      </c>
      <c r="AF452" s="920">
        <v>519.79999999999995</v>
      </c>
      <c r="AG452" s="920">
        <v>92.99</v>
      </c>
      <c r="AH452" s="920">
        <v>79.159000000000006</v>
      </c>
      <c r="AI452" s="920">
        <v>126.66800000000001</v>
      </c>
      <c r="AJ452" s="920">
        <v>2.4609999999999999</v>
      </c>
      <c r="AK452" s="919">
        <f>Data[[#This Row],[Industry Cost ($m)]]/Data[[#This Row],[Industry Consumption]]</f>
        <v>1.7315123251165889</v>
      </c>
      <c r="AL452" s="919">
        <f>Data[[#This Row],[AAL Fuel Cost]]/Data[[#This Row],[AAL Consumption]]</f>
        <v>1.7382932984391064</v>
      </c>
      <c r="AM452" s="919">
        <f>Data[[#This Row],[DAL Fuel Cost]]/Data[[#This Row],[DAL Consumption]]</f>
        <v>1.7641067926546623</v>
      </c>
      <c r="AN452" s="919">
        <f>Data[[#This Row],[UAL Fuel Cost]]/Data[[#This Row],[UALConsumption]]</f>
        <v>1.7377966799286597</v>
      </c>
      <c r="AO452" s="919">
        <f>IFERROR(Data[[#This Row],[LUV Fuel Cost]]/Data[[#This Row],[LUV Consumption]],0)</f>
        <v>1.9751203852327446</v>
      </c>
      <c r="AP452" s="783"/>
      <c r="AQ452" s="783"/>
      <c r="AR452" s="253"/>
      <c r="AS452" s="253"/>
      <c r="AT452" s="253"/>
      <c r="AU452" s="253"/>
    </row>
    <row r="453" spans="1:47" ht="10.5" customHeight="1">
      <c r="A453" s="263">
        <v>44347</v>
      </c>
      <c r="B453" s="263" t="s">
        <v>537</v>
      </c>
      <c r="C453" s="277">
        <v>15.384570999999999</v>
      </c>
      <c r="D453" s="277">
        <v>4.3238120000000002</v>
      </c>
      <c r="E453" s="277">
        <v>3.8380909999999999</v>
      </c>
      <c r="F453" s="277">
        <v>4.4900789999999997</v>
      </c>
      <c r="G453" s="277">
        <v>0.34292500000000004</v>
      </c>
      <c r="H453" s="284">
        <f t="shared" si="32"/>
        <v>2.3896639999999998</v>
      </c>
      <c r="I453" s="277">
        <v>8.1652170000000002</v>
      </c>
      <c r="J453" s="277">
        <v>2.2355200000000002</v>
      </c>
      <c r="K453" s="277">
        <v>1.8827449999999999</v>
      </c>
      <c r="L453" s="277">
        <v>2.061957</v>
      </c>
      <c r="M453" s="277">
        <v>0.29092899999999999</v>
      </c>
      <c r="N453" s="284">
        <f t="shared" si="33"/>
        <v>1.6940659999999994</v>
      </c>
      <c r="O453" s="277">
        <v>7.0057499999999999</v>
      </c>
      <c r="P453" s="277">
        <v>1.5073129999999999</v>
      </c>
      <c r="Q453" s="277">
        <v>0.86452700000000005</v>
      </c>
      <c r="R453" s="277">
        <v>0.96409500000000004</v>
      </c>
      <c r="S453" s="277">
        <v>0.24637400000000001</v>
      </c>
      <c r="T453" s="284">
        <f t="shared" si="34"/>
        <v>3.4234410000000004</v>
      </c>
      <c r="U453" s="920">
        <v>4042.1039999999998</v>
      </c>
      <c r="V453" s="920">
        <v>502.03199999999998</v>
      </c>
      <c r="W453" s="920">
        <v>377.8296666666667</v>
      </c>
      <c r="X453" s="920">
        <v>568.31533333333334</v>
      </c>
      <c r="Y453" s="920">
        <v>42.20066666666667</v>
      </c>
      <c r="Z453" s="874">
        <f t="shared" si="35"/>
        <v>2551.7263333333331</v>
      </c>
      <c r="AA453" s="920">
        <v>318.60000000000002</v>
      </c>
      <c r="AB453" s="920">
        <v>55.265000000000001</v>
      </c>
      <c r="AC453" s="920">
        <v>49.325000000000003</v>
      </c>
      <c r="AD453" s="920">
        <v>77.852999999999994</v>
      </c>
      <c r="AE453" s="920">
        <v>1.7749999999999999</v>
      </c>
      <c r="AF453" s="920">
        <v>618.29999999999995</v>
      </c>
      <c r="AG453" s="920">
        <v>98.998999999999995</v>
      </c>
      <c r="AH453" s="920">
        <v>137.34200000000001</v>
      </c>
      <c r="AI453" s="920">
        <v>139.571</v>
      </c>
      <c r="AJ453" s="920">
        <v>3.6970000000000001</v>
      </c>
      <c r="AK453" s="919">
        <f>Data[[#This Row],[Industry Cost ($m)]]/Data[[#This Row],[Industry Consumption]]</f>
        <v>1.9406779661016946</v>
      </c>
      <c r="AL453" s="919">
        <f>Data[[#This Row],[AAL Fuel Cost]]/Data[[#This Row],[AAL Consumption]]</f>
        <v>1.7913507644983262</v>
      </c>
      <c r="AM453" s="919">
        <f>Data[[#This Row],[DAL Fuel Cost]]/Data[[#This Row],[DAL Consumption]]</f>
        <v>2.7844298023314749</v>
      </c>
      <c r="AN453" s="919">
        <f>Data[[#This Row],[UAL Fuel Cost]]/Data[[#This Row],[UALConsumption]]</f>
        <v>1.7927504399316663</v>
      </c>
      <c r="AO453" s="919">
        <f>IFERROR(Data[[#This Row],[LUV Fuel Cost]]/Data[[#This Row],[LUV Consumption]],0)</f>
        <v>2.0828169014084508</v>
      </c>
      <c r="AP453" s="783"/>
      <c r="AQ453" s="783"/>
      <c r="AR453" s="253"/>
      <c r="AS453" s="253"/>
      <c r="AT453" s="253"/>
      <c r="AU453" s="253"/>
    </row>
    <row r="454" spans="1:47" ht="10.5" customHeight="1">
      <c r="A454" s="263">
        <v>44377</v>
      </c>
      <c r="B454" s="263" t="s">
        <v>537</v>
      </c>
      <c r="C454" s="277">
        <v>17.096551000000002</v>
      </c>
      <c r="D454" s="277">
        <v>4.720256</v>
      </c>
      <c r="E454" s="277">
        <v>3.9917539999999998</v>
      </c>
      <c r="F454" s="277">
        <v>5.2403639999999996</v>
      </c>
      <c r="G454" s="277">
        <v>0.37222899999999998</v>
      </c>
      <c r="H454" s="284">
        <f t="shared" si="32"/>
        <v>2.7719480000000019</v>
      </c>
      <c r="I454" s="277">
        <v>10.814518</v>
      </c>
      <c r="J454" s="277">
        <v>2.8811599999999999</v>
      </c>
      <c r="K454" s="277">
        <v>2.3578730000000001</v>
      </c>
      <c r="L454" s="277">
        <v>3.148555</v>
      </c>
      <c r="M454" s="277">
        <v>0.33368999999999999</v>
      </c>
      <c r="N454" s="284">
        <f t="shared" si="33"/>
        <v>2.093239999999998</v>
      </c>
      <c r="O454" s="277">
        <v>8.9668089999999996</v>
      </c>
      <c r="P454" s="277">
        <v>1.729887</v>
      </c>
      <c r="Q454" s="277">
        <v>0.99502699999999999</v>
      </c>
      <c r="R454" s="277">
        <v>1.3488720000000001</v>
      </c>
      <c r="S454" s="277">
        <v>0.27666099999999999</v>
      </c>
      <c r="T454" s="284">
        <f t="shared" si="34"/>
        <v>4.6163619999999996</v>
      </c>
      <c r="U454" s="920">
        <v>4042.1039999999998</v>
      </c>
      <c r="V454" s="920">
        <v>502.03199999999998</v>
      </c>
      <c r="W454" s="920">
        <v>377.8296666666667</v>
      </c>
      <c r="X454" s="920">
        <v>568.31533333333334</v>
      </c>
      <c r="Y454" s="920">
        <v>42.20066666666667</v>
      </c>
      <c r="Z454" s="874">
        <f t="shared" si="35"/>
        <v>2551.7263333333331</v>
      </c>
      <c r="AA454" s="920">
        <v>332</v>
      </c>
      <c r="AB454" s="920">
        <v>61.811</v>
      </c>
      <c r="AC454" s="920">
        <v>49.325000000000003</v>
      </c>
      <c r="AD454" s="920">
        <v>84.926000000000002</v>
      </c>
      <c r="AE454" s="920">
        <v>2.2410000000000001</v>
      </c>
      <c r="AF454" s="920">
        <v>655.8</v>
      </c>
      <c r="AG454" s="920">
        <v>116.333</v>
      </c>
      <c r="AH454" s="920">
        <v>137.34200000000001</v>
      </c>
      <c r="AI454" s="920">
        <v>160.22900000000001</v>
      </c>
      <c r="AJ454" s="920">
        <v>4.84</v>
      </c>
      <c r="AK454" s="919">
        <f>Data[[#This Row],[Industry Cost ($m)]]/Data[[#This Row],[Industry Consumption]]</f>
        <v>1.9753012048192771</v>
      </c>
      <c r="AL454" s="919">
        <f>Data[[#This Row],[AAL Fuel Cost]]/Data[[#This Row],[AAL Consumption]]</f>
        <v>1.8820760058889194</v>
      </c>
      <c r="AM454" s="919">
        <f>Data[[#This Row],[DAL Fuel Cost]]/Data[[#This Row],[DAL Consumption]]</f>
        <v>2.7844298023314749</v>
      </c>
      <c r="AN454" s="919">
        <f>Data[[#This Row],[UAL Fuel Cost]]/Data[[#This Row],[UALConsumption]]</f>
        <v>1.8866895885830017</v>
      </c>
      <c r="AO454" s="919">
        <f>IFERROR(Data[[#This Row],[LUV Fuel Cost]]/Data[[#This Row],[LUV Consumption]],0)</f>
        <v>2.1597501115573401</v>
      </c>
      <c r="AP454" s="783"/>
      <c r="AQ454" s="783"/>
      <c r="AR454" s="253"/>
      <c r="AS454" s="253"/>
      <c r="AT454" s="253"/>
      <c r="AU454" s="253"/>
    </row>
    <row r="455" spans="1:47" ht="10.5" customHeight="1">
      <c r="A455" s="263">
        <v>44408</v>
      </c>
      <c r="B455" s="263" t="s">
        <v>537</v>
      </c>
      <c r="C455" s="277">
        <v>19.143062</v>
      </c>
      <c r="D455" s="277">
        <v>5.1156819999999996</v>
      </c>
      <c r="E455" s="277">
        <v>4.4863169999999997</v>
      </c>
      <c r="F455" s="277">
        <v>6.1187230000000001</v>
      </c>
      <c r="G455" s="277">
        <v>0.41306799999999999</v>
      </c>
      <c r="H455" s="284">
        <f t="shared" si="32"/>
        <v>3.0092720000000028</v>
      </c>
      <c r="I455" s="277">
        <v>13.494018000000001</v>
      </c>
      <c r="J455" s="277">
        <v>3.4187949999999998</v>
      </c>
      <c r="K455" s="277">
        <v>3.0512320000000002</v>
      </c>
      <c r="L455" s="277">
        <v>4.1943339999999996</v>
      </c>
      <c r="M455" s="277">
        <v>0.366261</v>
      </c>
      <c r="N455" s="284">
        <f t="shared" si="33"/>
        <v>2.4633960000000013</v>
      </c>
      <c r="O455" s="277">
        <v>10.807669000000001</v>
      </c>
      <c r="P455" s="277">
        <v>1.9210780000000001</v>
      </c>
      <c r="Q455" s="277">
        <v>1.1915359999999999</v>
      </c>
      <c r="R455" s="277">
        <v>1.6551880000000001</v>
      </c>
      <c r="S455" s="277">
        <v>0.29984499999999997</v>
      </c>
      <c r="T455" s="284">
        <f t="shared" si="34"/>
        <v>5.7400220000000006</v>
      </c>
      <c r="U455" s="920">
        <v>4669.958333333333</v>
      </c>
      <c r="V455" s="920">
        <v>616.55533333333335</v>
      </c>
      <c r="W455" s="920">
        <v>584.3696666666666</v>
      </c>
      <c r="X455" s="920">
        <v>779.41733333333332</v>
      </c>
      <c r="Y455" s="920">
        <v>50.925333333333334</v>
      </c>
      <c r="Z455" s="874">
        <f t="shared" si="35"/>
        <v>2638.6906666666664</v>
      </c>
      <c r="AA455" s="920">
        <v>354.5</v>
      </c>
      <c r="AB455" s="920">
        <v>68.465999999999994</v>
      </c>
      <c r="AC455" s="920">
        <v>57.13</v>
      </c>
      <c r="AD455" s="920">
        <v>88.087999999999994</v>
      </c>
      <c r="AE455" s="920">
        <v>2.476</v>
      </c>
      <c r="AF455" s="920">
        <v>704.1</v>
      </c>
      <c r="AG455" s="920">
        <v>134.666</v>
      </c>
      <c r="AH455" s="920">
        <v>114.706</v>
      </c>
      <c r="AI455" s="920">
        <v>173.435</v>
      </c>
      <c r="AJ455" s="920">
        <v>5.5990000000000002</v>
      </c>
      <c r="AK455" s="919">
        <f>Data[[#This Row],[Industry Cost ($m)]]/Data[[#This Row],[Industry Consumption]]</f>
        <v>1.9861777150916784</v>
      </c>
      <c r="AL455" s="919">
        <f>Data[[#This Row],[AAL Fuel Cost]]/Data[[#This Row],[AAL Consumption]]</f>
        <v>1.9669032804603745</v>
      </c>
      <c r="AM455" s="919">
        <f>Data[[#This Row],[DAL Fuel Cost]]/Data[[#This Row],[DAL Consumption]]</f>
        <v>2.0078067565202171</v>
      </c>
      <c r="AN455" s="919">
        <f>Data[[#This Row],[UAL Fuel Cost]]/Data[[#This Row],[UALConsumption]]</f>
        <v>1.9688833893379349</v>
      </c>
      <c r="AO455" s="919">
        <f>IFERROR(Data[[#This Row],[LUV Fuel Cost]]/Data[[#This Row],[LUV Consumption]],0)</f>
        <v>2.2613085621970921</v>
      </c>
      <c r="AP455" s="783"/>
      <c r="AQ455" s="783"/>
      <c r="AR455" s="253"/>
      <c r="AS455" s="253"/>
      <c r="AT455" s="253"/>
      <c r="AU455" s="253"/>
    </row>
    <row r="456" spans="1:47" ht="10.5" customHeight="1">
      <c r="A456" s="263">
        <v>44439</v>
      </c>
      <c r="B456" s="263" t="s">
        <v>537</v>
      </c>
      <c r="C456" s="277">
        <v>19.299779999999998</v>
      </c>
      <c r="D456" s="277">
        <v>4.7830630000000003</v>
      </c>
      <c r="E456" s="277">
        <v>4.8381499999999997</v>
      </c>
      <c r="F456" s="277">
        <v>6.4072619999999993</v>
      </c>
      <c r="G456" s="277">
        <v>0.405831</v>
      </c>
      <c r="H456" s="284">
        <f t="shared" si="32"/>
        <v>2.865473999999999</v>
      </c>
      <c r="I456" s="277">
        <v>13.311741</v>
      </c>
      <c r="J456" s="277">
        <v>3.1332110000000002</v>
      </c>
      <c r="K456" s="277">
        <v>3.4053629999999999</v>
      </c>
      <c r="L456" s="277">
        <v>4.300084</v>
      </c>
      <c r="M456" s="277">
        <v>0.32388099999999997</v>
      </c>
      <c r="N456" s="284">
        <f t="shared" si="33"/>
        <v>2.1492019999999989</v>
      </c>
      <c r="O456" s="277">
        <v>10.508190000000001</v>
      </c>
      <c r="P456" s="277">
        <v>1.586292</v>
      </c>
      <c r="Q456" s="277">
        <v>1.236062</v>
      </c>
      <c r="R456" s="277">
        <v>1.5690519999999999</v>
      </c>
      <c r="S456" s="277">
        <v>0.262795</v>
      </c>
      <c r="T456" s="284">
        <f t="shared" si="34"/>
        <v>5.8539890000000012</v>
      </c>
      <c r="U456" s="920">
        <v>4669.958333333333</v>
      </c>
      <c r="V456" s="920">
        <v>616.55533333333335</v>
      </c>
      <c r="W456" s="920">
        <v>584.3696666666666</v>
      </c>
      <c r="X456" s="920">
        <v>779.41733333333332</v>
      </c>
      <c r="Y456" s="920">
        <v>50.925333333333334</v>
      </c>
      <c r="Z456" s="874">
        <f t="shared" si="35"/>
        <v>2638.6906666666664</v>
      </c>
      <c r="AA456" s="920">
        <v>357.7</v>
      </c>
      <c r="AB456" s="920">
        <v>64.516999999999996</v>
      </c>
      <c r="AC456" s="920">
        <v>62.225999999999999</v>
      </c>
      <c r="AD456" s="920">
        <v>91.986000000000004</v>
      </c>
      <c r="AE456" s="920">
        <v>1.9019999999999999</v>
      </c>
      <c r="AF456" s="920">
        <v>701.9</v>
      </c>
      <c r="AG456" s="920">
        <v>125.637</v>
      </c>
      <c r="AH456" s="920">
        <v>121.434</v>
      </c>
      <c r="AI456" s="920">
        <v>181.60499999999999</v>
      </c>
      <c r="AJ456" s="920">
        <v>4.2089999999999996</v>
      </c>
      <c r="AK456" s="919">
        <f>Data[[#This Row],[Industry Cost ($m)]]/Data[[#This Row],[Industry Consumption]]</f>
        <v>1.9622588761532009</v>
      </c>
      <c r="AL456" s="919">
        <f>Data[[#This Row],[AAL Fuel Cost]]/Data[[#This Row],[AAL Consumption]]</f>
        <v>1.9473472108126542</v>
      </c>
      <c r="AM456" s="919">
        <f>Data[[#This Row],[DAL Fuel Cost]]/Data[[#This Row],[DAL Consumption]]</f>
        <v>1.9514993732523382</v>
      </c>
      <c r="AN456" s="919">
        <f>Data[[#This Row],[UAL Fuel Cost]]/Data[[#This Row],[UALConsumption]]</f>
        <v>1.9742678233644249</v>
      </c>
      <c r="AO456" s="919">
        <f>IFERROR(Data[[#This Row],[LUV Fuel Cost]]/Data[[#This Row],[LUV Consumption]],0)</f>
        <v>2.2129337539432177</v>
      </c>
      <c r="AP456" s="783"/>
      <c r="AQ456" s="783"/>
      <c r="AR456" s="253"/>
      <c r="AS456" s="253"/>
      <c r="AT456" s="253"/>
      <c r="AU456" s="253"/>
    </row>
    <row r="457" spans="1:47" ht="10.5" customHeight="1">
      <c r="A457" s="263">
        <v>44469</v>
      </c>
      <c r="B457" s="263" t="s">
        <v>537</v>
      </c>
      <c r="C457" s="277">
        <v>17.668275999999999</v>
      </c>
      <c r="D457" s="277">
        <v>4.3688860000000007</v>
      </c>
      <c r="E457" s="277">
        <v>4.5707619999999993</v>
      </c>
      <c r="F457" s="277">
        <v>5.8954139999999997</v>
      </c>
      <c r="G457" s="277">
        <v>0.29113799999999995</v>
      </c>
      <c r="H457" s="284">
        <f t="shared" si="32"/>
        <v>2.542075999999998</v>
      </c>
      <c r="I457" s="277">
        <v>10.421032</v>
      </c>
      <c r="J457" s="277">
        <v>2.452572</v>
      </c>
      <c r="K457" s="277">
        <v>2.7809149999999998</v>
      </c>
      <c r="L457" s="277">
        <v>3.3553000000000002</v>
      </c>
      <c r="M457" s="277">
        <v>0.21226900000000001</v>
      </c>
      <c r="N457" s="284">
        <f t="shared" si="33"/>
        <v>1.6199760000000012</v>
      </c>
      <c r="O457" s="277">
        <v>8.2474880000000006</v>
      </c>
      <c r="P457" s="277">
        <v>1.185759</v>
      </c>
      <c r="Q457" s="277">
        <v>0.97902500000000003</v>
      </c>
      <c r="R457" s="277">
        <v>1.1651670000000001</v>
      </c>
      <c r="S457" s="277">
        <v>0.17799599999999999</v>
      </c>
      <c r="T457" s="284">
        <f t="shared" si="34"/>
        <v>4.7395410000000009</v>
      </c>
      <c r="U457" s="920">
        <v>4669.958333333333</v>
      </c>
      <c r="V457" s="920">
        <v>616.55533333333335</v>
      </c>
      <c r="W457" s="920">
        <v>584.3696666666666</v>
      </c>
      <c r="X457" s="920">
        <v>779.41733333333332</v>
      </c>
      <c r="Y457" s="920">
        <v>50.925333333333334</v>
      </c>
      <c r="Z457" s="874">
        <f t="shared" si="35"/>
        <v>2638.6906666666664</v>
      </c>
      <c r="AA457" s="920">
        <v>338.8</v>
      </c>
      <c r="AB457" s="920">
        <v>58.290999999999997</v>
      </c>
      <c r="AC457" s="920">
        <v>61.015999999999998</v>
      </c>
      <c r="AD457" s="920">
        <v>83.597999999999999</v>
      </c>
      <c r="AE457" s="920">
        <v>1.2350000000000001</v>
      </c>
      <c r="AF457" s="920">
        <v>659.3</v>
      </c>
      <c r="AG457" s="920">
        <v>115.681</v>
      </c>
      <c r="AH457" s="920">
        <v>109.178</v>
      </c>
      <c r="AI457" s="920">
        <v>166.14699999999999</v>
      </c>
      <c r="AJ457" s="920">
        <v>2.8279999999999998</v>
      </c>
      <c r="AK457" s="919">
        <f>Data[[#This Row],[Industry Cost ($m)]]/Data[[#This Row],[Industry Consumption]]</f>
        <v>1.9459858323494685</v>
      </c>
      <c r="AL457" s="919">
        <f>Data[[#This Row],[AAL Fuel Cost]]/Data[[#This Row],[AAL Consumption]]</f>
        <v>1.984543068398209</v>
      </c>
      <c r="AM457" s="919">
        <f>Data[[#This Row],[DAL Fuel Cost]]/Data[[#This Row],[DAL Consumption]]</f>
        <v>1.789333945194703</v>
      </c>
      <c r="AN457" s="919">
        <f>Data[[#This Row],[UAL Fuel Cost]]/Data[[#This Row],[UALConsumption]]</f>
        <v>1.9874518529151415</v>
      </c>
      <c r="AO457" s="919">
        <f>IFERROR(Data[[#This Row],[LUV Fuel Cost]]/Data[[#This Row],[LUV Consumption]],0)</f>
        <v>2.2898785425101211</v>
      </c>
      <c r="AP457" s="783"/>
      <c r="AQ457" s="783"/>
      <c r="AR457" s="253"/>
      <c r="AS457" s="253"/>
      <c r="AT457" s="253"/>
      <c r="AU457" s="253"/>
    </row>
    <row r="458" spans="1:47" ht="10.5" customHeight="1">
      <c r="A458" s="263">
        <v>44500</v>
      </c>
      <c r="B458" s="263" t="s">
        <v>537</v>
      </c>
      <c r="C458" s="277">
        <v>18.105231</v>
      </c>
      <c r="D458" s="277">
        <v>4.6846969999999999</v>
      </c>
      <c r="E458" s="277">
        <v>4.507403</v>
      </c>
      <c r="F458" s="277">
        <v>5.9478970000000002</v>
      </c>
      <c r="G458" s="277">
        <v>0.31515399999999999</v>
      </c>
      <c r="H458" s="284">
        <f t="shared" si="32"/>
        <v>2.6500799999999991</v>
      </c>
      <c r="I458" s="277">
        <v>10.983903</v>
      </c>
      <c r="J458" s="277">
        <v>2.835556</v>
      </c>
      <c r="K458" s="277">
        <v>2.7178179999999998</v>
      </c>
      <c r="L458" s="277">
        <v>3.4346559999999999</v>
      </c>
      <c r="M458" s="277">
        <v>0.25015799999999999</v>
      </c>
      <c r="N458" s="284">
        <f t="shared" si="33"/>
        <v>1.7457149999999988</v>
      </c>
      <c r="O458" s="277">
        <v>8.7575050000000001</v>
      </c>
      <c r="P458" s="277">
        <v>1.4321630000000001</v>
      </c>
      <c r="Q458" s="277">
        <v>0.987236</v>
      </c>
      <c r="R458" s="277">
        <v>1.248675</v>
      </c>
      <c r="S458" s="277">
        <v>0.21833900000000001</v>
      </c>
      <c r="T458" s="284">
        <f t="shared" si="34"/>
        <v>4.871092</v>
      </c>
      <c r="U458" s="920">
        <v>4166.4577500000005</v>
      </c>
      <c r="V458" s="920">
        <v>340.99376178234797</v>
      </c>
      <c r="W458" s="920">
        <v>402.34326870642644</v>
      </c>
      <c r="X458" s="920">
        <v>470.22495367298751</v>
      </c>
      <c r="Y458" s="920">
        <v>49.844666666666662</v>
      </c>
      <c r="Z458" s="874">
        <f t="shared" si="35"/>
        <v>2903.0510991715719</v>
      </c>
      <c r="AA458" s="920">
        <v>348.9</v>
      </c>
      <c r="AB458" s="783"/>
      <c r="AC458" s="783"/>
      <c r="AD458" s="783"/>
      <c r="AE458" s="783"/>
      <c r="AF458" s="920">
        <v>771.8</v>
      </c>
      <c r="AG458" s="783"/>
      <c r="AH458" s="783"/>
      <c r="AI458" s="783"/>
      <c r="AJ458" s="783"/>
      <c r="AK458" s="919">
        <f>Data[[#This Row],[Industry Cost ($m)]]/Data[[#This Row],[Industry Consumption]]</f>
        <v>2.2120951562052165</v>
      </c>
      <c r="AL458" s="783"/>
      <c r="AM458" s="783"/>
      <c r="AN458" s="783"/>
      <c r="AO458" s="783"/>
      <c r="AP458" s="783"/>
      <c r="AQ458" s="783"/>
      <c r="AR458" s="253"/>
      <c r="AS458" s="253"/>
      <c r="AT458" s="253"/>
      <c r="AU458" s="253"/>
    </row>
    <row r="459" spans="1:47" ht="10.5" customHeight="1">
      <c r="A459" s="263">
        <v>44530</v>
      </c>
      <c r="B459" s="263" t="s">
        <v>537</v>
      </c>
      <c r="C459" s="277">
        <v>0</v>
      </c>
      <c r="D459" s="277">
        <v>0</v>
      </c>
      <c r="E459" s="277">
        <v>0</v>
      </c>
      <c r="F459" s="277">
        <v>0</v>
      </c>
      <c r="G459" s="277">
        <v>0</v>
      </c>
      <c r="H459" s="284">
        <f t="shared" si="32"/>
        <v>0</v>
      </c>
      <c r="I459" s="277">
        <v>0</v>
      </c>
      <c r="J459" s="277">
        <v>0</v>
      </c>
      <c r="K459" s="277">
        <v>0</v>
      </c>
      <c r="L459" s="277">
        <v>0</v>
      </c>
      <c r="M459" s="277">
        <v>0</v>
      </c>
      <c r="N459" s="284">
        <f t="shared" si="33"/>
        <v>0</v>
      </c>
      <c r="O459" s="277">
        <v>10.161681</v>
      </c>
      <c r="P459" s="783"/>
      <c r="Q459" s="783"/>
      <c r="R459" s="783"/>
      <c r="S459" s="783"/>
      <c r="T459" s="874">
        <f t="shared" si="34"/>
        <v>10.161681</v>
      </c>
      <c r="U459" s="920">
        <v>4166.4577500000005</v>
      </c>
      <c r="V459" s="920">
        <v>340.99376178234797</v>
      </c>
      <c r="W459" s="920">
        <v>402.34326870642644</v>
      </c>
      <c r="X459" s="920">
        <v>470.22495367298751</v>
      </c>
      <c r="Y459" s="920">
        <v>49.844666666666662</v>
      </c>
      <c r="Z459" s="874">
        <f t="shared" si="35"/>
        <v>2903.0510991715719</v>
      </c>
      <c r="AA459" s="920">
        <v>339.6</v>
      </c>
      <c r="AB459" s="783"/>
      <c r="AC459" s="783"/>
      <c r="AD459" s="783"/>
      <c r="AE459" s="783"/>
      <c r="AF459" s="920">
        <v>789.7</v>
      </c>
      <c r="AG459" s="783"/>
      <c r="AH459" s="783"/>
      <c r="AI459" s="783"/>
      <c r="AJ459" s="783"/>
      <c r="AK459" s="919">
        <f>Data[[#This Row],[Industry Cost ($m)]]/Data[[#This Row],[Industry Consumption]]</f>
        <v>2.3253828032979977</v>
      </c>
      <c r="AL459" s="783"/>
      <c r="AM459" s="783"/>
      <c r="AN459" s="783"/>
      <c r="AO459" s="783"/>
      <c r="AP459" s="783"/>
      <c r="AQ459" s="783"/>
      <c r="AR459" s="253"/>
      <c r="AS459" s="253"/>
      <c r="AT459" s="253"/>
      <c r="AU459" s="253"/>
    </row>
    <row r="460" spans="1:47" ht="10.5" customHeight="1">
      <c r="A460" s="263">
        <v>44561</v>
      </c>
      <c r="B460" s="263" t="s">
        <v>537</v>
      </c>
      <c r="C460" s="277">
        <v>0</v>
      </c>
      <c r="D460" s="277">
        <v>0</v>
      </c>
      <c r="E460" s="277">
        <v>0</v>
      </c>
      <c r="F460" s="277">
        <v>0</v>
      </c>
      <c r="G460" s="277">
        <v>0</v>
      </c>
      <c r="H460" s="284">
        <f t="shared" si="32"/>
        <v>0</v>
      </c>
      <c r="I460" s="277">
        <v>0</v>
      </c>
      <c r="J460" s="277">
        <v>0</v>
      </c>
      <c r="K460" s="277">
        <v>0</v>
      </c>
      <c r="L460" s="277">
        <v>0</v>
      </c>
      <c r="M460" s="277">
        <v>0</v>
      </c>
      <c r="N460" s="284">
        <f t="shared" si="33"/>
        <v>0</v>
      </c>
      <c r="O460" s="277">
        <v>12.117732999999999</v>
      </c>
      <c r="P460" s="783"/>
      <c r="Q460" s="783"/>
      <c r="R460" s="783"/>
      <c r="S460" s="783"/>
      <c r="T460" s="874">
        <f t="shared" si="34"/>
        <v>12.117732999999999</v>
      </c>
      <c r="U460" s="920">
        <v>4166.4577500000005</v>
      </c>
      <c r="V460" s="920">
        <v>340.99376178234797</v>
      </c>
      <c r="W460" s="920">
        <v>402.34326870642644</v>
      </c>
      <c r="X460" s="920">
        <v>470.22495367298751</v>
      </c>
      <c r="Y460" s="920">
        <v>49.844666666666662</v>
      </c>
      <c r="Z460" s="874">
        <f t="shared" si="35"/>
        <v>2903.0510991715719</v>
      </c>
      <c r="AA460" s="920">
        <v>371.6</v>
      </c>
      <c r="AB460" s="783"/>
      <c r="AC460" s="783"/>
      <c r="AD460" s="783"/>
      <c r="AE460" s="783"/>
      <c r="AF460" s="920">
        <v>793.2</v>
      </c>
      <c r="AG460" s="783"/>
      <c r="AH460" s="783"/>
      <c r="AI460" s="783"/>
      <c r="AJ460" s="783"/>
      <c r="AK460" s="919">
        <f>Data[[#This Row],[Industry Cost ($m)]]/Data[[#This Row],[Industry Consumption]]</f>
        <v>2.1345532831001077</v>
      </c>
      <c r="AL460" s="783"/>
      <c r="AM460" s="783"/>
      <c r="AN460" s="783"/>
      <c r="AO460" s="783"/>
      <c r="AP460" s="783"/>
      <c r="AQ460" s="783"/>
      <c r="AR460" s="253"/>
      <c r="AS460" s="253"/>
      <c r="AT460" s="253"/>
      <c r="AU460" s="253"/>
    </row>
    <row r="461" spans="1:47" ht="10.5" customHeight="1">
      <c r="A461" s="263">
        <v>44592</v>
      </c>
      <c r="B461" s="263" t="s">
        <v>537</v>
      </c>
      <c r="C461" s="277">
        <v>0</v>
      </c>
      <c r="D461" s="277">
        <v>0</v>
      </c>
      <c r="E461" s="277">
        <v>0</v>
      </c>
      <c r="F461" s="277">
        <v>0</v>
      </c>
      <c r="G461" s="277">
        <v>0</v>
      </c>
      <c r="H461" s="284">
        <f t="shared" si="32"/>
        <v>0</v>
      </c>
      <c r="I461" s="277">
        <v>0</v>
      </c>
      <c r="J461" s="277">
        <v>0</v>
      </c>
      <c r="K461" s="277">
        <v>0</v>
      </c>
      <c r="L461" s="277">
        <v>0</v>
      </c>
      <c r="M461" s="277">
        <v>0</v>
      </c>
      <c r="N461" s="284">
        <f t="shared" si="33"/>
        <v>0</v>
      </c>
      <c r="O461" s="277">
        <v>9.8731390000000001</v>
      </c>
      <c r="P461" s="783"/>
      <c r="Q461" s="783"/>
      <c r="R461" s="783"/>
      <c r="S461" s="783"/>
      <c r="T461" s="874">
        <f t="shared" si="34"/>
        <v>9.8731390000000001</v>
      </c>
      <c r="U461" s="920">
        <v>0</v>
      </c>
      <c r="V461" s="920">
        <v>0</v>
      </c>
      <c r="W461" s="920">
        <v>0</v>
      </c>
      <c r="X461" s="920">
        <v>0</v>
      </c>
      <c r="Y461" s="920">
        <v>0</v>
      </c>
      <c r="Z461" s="874">
        <f t="shared" si="35"/>
        <v>0</v>
      </c>
      <c r="AA461" s="920">
        <v>359.6</v>
      </c>
      <c r="AB461" s="783"/>
      <c r="AC461" s="783"/>
      <c r="AD461" s="783"/>
      <c r="AE461" s="783"/>
      <c r="AF461" s="920">
        <v>844.4</v>
      </c>
      <c r="AG461" s="783"/>
      <c r="AH461" s="783"/>
      <c r="AI461" s="783"/>
      <c r="AJ461" s="783"/>
      <c r="AK461" s="919">
        <f>Data[[#This Row],[Industry Cost ($m)]]/Data[[#This Row],[Industry Consumption]]</f>
        <v>2.3481646273637371</v>
      </c>
      <c r="AL461" s="783"/>
      <c r="AM461" s="783"/>
      <c r="AN461" s="783"/>
      <c r="AO461" s="783"/>
      <c r="AP461" s="783"/>
      <c r="AQ461" s="783"/>
    </row>
    <row r="462" spans="1:47" ht="10.5" customHeight="1">
      <c r="A462" s="263"/>
      <c r="B462" s="263"/>
      <c r="C462" s="277"/>
      <c r="D462" s="277"/>
      <c r="E462" s="277"/>
      <c r="F462" s="277"/>
      <c r="G462" s="277"/>
      <c r="H462" s="284"/>
      <c r="I462" s="277"/>
      <c r="J462" s="277"/>
      <c r="K462" s="277"/>
      <c r="L462" s="277"/>
      <c r="M462" s="277"/>
      <c r="N462" s="284"/>
      <c r="O462" s="277"/>
      <c r="P462" s="277"/>
      <c r="Q462" s="277"/>
      <c r="R462" s="277"/>
      <c r="S462" s="277"/>
      <c r="T462" s="874"/>
      <c r="U462" s="783"/>
      <c r="V462" s="783"/>
      <c r="W462" s="783"/>
      <c r="X462" s="783"/>
      <c r="Y462" s="783"/>
      <c r="Z462" s="874"/>
      <c r="AA462" s="897"/>
      <c r="AB462" s="897"/>
      <c r="AC462" s="897"/>
      <c r="AD462" s="897"/>
      <c r="AE462" s="897"/>
      <c r="AF462" s="897"/>
      <c r="AG462" s="897"/>
      <c r="AH462" s="897"/>
      <c r="AI462" s="897"/>
      <c r="AJ462" s="897"/>
      <c r="AK462" s="897"/>
      <c r="AL462" s="897"/>
      <c r="AM462" s="897"/>
      <c r="AN462" s="897"/>
      <c r="AO462" s="897"/>
      <c r="AP462" s="897"/>
      <c r="AQ462" s="897"/>
    </row>
    <row r="464" spans="1:47" ht="10.5" customHeight="1">
      <c r="AA464" s="876" t="e">
        <f t="shared" ref="AA464:AF464" si="36">+SUM(U2:U462)</f>
        <v>#REF!</v>
      </c>
      <c r="AB464" s="876" t="e">
        <f t="shared" si="36"/>
        <v>#REF!</v>
      </c>
      <c r="AC464" s="876">
        <f t="shared" si="36"/>
        <v>563692.39487629395</v>
      </c>
      <c r="AD464" s="876">
        <f t="shared" si="36"/>
        <v>514275.39499999955</v>
      </c>
      <c r="AE464" s="876">
        <f t="shared" si="36"/>
        <v>269968.7539999999</v>
      </c>
      <c r="AF464" s="876" t="e">
        <f t="shared" si="36"/>
        <v>#REF!</v>
      </c>
    </row>
    <row r="465" spans="27:32" ht="10.5" customHeight="1">
      <c r="AA465" s="875">
        <f>+SUM('Rev and Net Income'!I3:I77)</f>
        <v>3447670.2150000008</v>
      </c>
      <c r="AB465" s="875">
        <f>+SUM('Rev and Net Income'!P3:P77)</f>
        <v>513700.07900000003</v>
      </c>
      <c r="AC465" s="875">
        <f>+SUM('Rev and Net Income'!W3:W77)</f>
        <v>554806.74600000004</v>
      </c>
      <c r="AD465" s="875">
        <f>+SUM('Rev and Net Income'!AD3:AD77)</f>
        <v>506083.63700000005</v>
      </c>
      <c r="AE465" s="875">
        <f>+SUM('Rev and Net Income'!AK3:AK77)</f>
        <v>264440.10700000002</v>
      </c>
      <c r="AF465" s="253">
        <f>+SUM('Rev and Net Income'!AR3:AR77)</f>
        <v>1608639.6460000002</v>
      </c>
    </row>
    <row r="466" spans="27:32" ht="10.5" customHeight="1">
      <c r="AA466" s="876" t="e">
        <f t="shared" ref="AA466:AF466" si="37">+AA464-AA465</f>
        <v>#REF!</v>
      </c>
      <c r="AB466" s="876" t="e">
        <f t="shared" si="37"/>
        <v>#REF!</v>
      </c>
      <c r="AC466" s="877">
        <f t="shared" si="37"/>
        <v>8885.6488762939116</v>
      </c>
      <c r="AD466" s="877">
        <f t="shared" si="37"/>
        <v>8191.7579999995069</v>
      </c>
      <c r="AE466" s="877">
        <f t="shared" si="37"/>
        <v>5528.6469999998808</v>
      </c>
      <c r="AF466" s="877" t="e">
        <f t="shared" si="37"/>
        <v>#REF!</v>
      </c>
    </row>
    <row r="468" spans="27:32" ht="10.5" customHeight="1">
      <c r="AA468" s="922" t="s">
        <v>1464</v>
      </c>
      <c r="AB468" s="922" t="s">
        <v>1314</v>
      </c>
      <c r="AC468" s="922" t="s">
        <v>1315</v>
      </c>
      <c r="AD468" s="922" t="s">
        <v>1316</v>
      </c>
    </row>
    <row r="469" spans="27:32" ht="10.5" customHeight="1">
      <c r="AA469" s="922" t="s">
        <v>357</v>
      </c>
      <c r="AB469" s="284">
        <f>Summary!Z26*Summary!Z46</f>
        <v>24596.498714652957</v>
      </c>
      <c r="AC469" s="284">
        <f>Summary!Z27*Summary!Z52</f>
        <v>21873.086193880721</v>
      </c>
      <c r="AD469" s="284">
        <f>Summary!Z28*Summary!Z58</f>
        <v>18070.869138981037</v>
      </c>
    </row>
    <row r="470" spans="27:32" ht="10.5" customHeight="1">
      <c r="AA470" s="922" t="s">
        <v>537</v>
      </c>
      <c r="AB470" s="255">
        <f>'AAL KPI'!Z13-AB469</f>
        <v>5285.5012853470434</v>
      </c>
      <c r="AC470" s="255">
        <f>'DAL KPI'!Z13-AC469</f>
        <v>4797.9138061192789</v>
      </c>
      <c r="AD470" s="255">
        <f>'UAL KPI'!Z13-AD469</f>
        <v>6563.1308610189626</v>
      </c>
    </row>
    <row r="472" spans="27:32" ht="10.5" customHeight="1">
      <c r="AB472" s="257"/>
      <c r="AC472" s="257"/>
      <c r="AD472" s="257"/>
    </row>
    <row r="473" spans="27:32" ht="10.5" customHeight="1">
      <c r="AA473" s="257">
        <f>U449/U425</f>
        <v>0.60895951153968675</v>
      </c>
      <c r="AB473" s="257">
        <f>V449/V425</f>
        <v>0.29115762028307945</v>
      </c>
      <c r="AC473" s="257">
        <f>W449/W425</f>
        <v>0.25157662702014544</v>
      </c>
      <c r="AD473" s="257">
        <f>X449/X425</f>
        <v>0.29865472397421555</v>
      </c>
      <c r="AE473" s="257">
        <f>Y449/Y425</f>
        <v>0.30207855059874666</v>
      </c>
    </row>
    <row r="474" spans="27:32" ht="10.5" customHeight="1">
      <c r="AA474" s="257">
        <f t="shared" ref="AA474:AA484" si="38">U450/U426</f>
        <v>0.60895951153968675</v>
      </c>
      <c r="AB474" s="257">
        <f t="shared" ref="AB474:AD484" si="39">V450/V426</f>
        <v>0.29115762028307945</v>
      </c>
      <c r="AC474" s="257">
        <f t="shared" si="39"/>
        <v>0.25157662702014544</v>
      </c>
      <c r="AD474" s="257">
        <f t="shared" si="39"/>
        <v>0.29865472397421555</v>
      </c>
      <c r="AE474" s="257">
        <f t="shared" ref="AE474:AE481" si="40">Y450/Y426</f>
        <v>0.30207855059874666</v>
      </c>
    </row>
    <row r="475" spans="27:32" ht="10.5" customHeight="1">
      <c r="AA475" s="257">
        <f t="shared" si="38"/>
        <v>0.60895951153968675</v>
      </c>
      <c r="AB475" s="257">
        <f t="shared" si="39"/>
        <v>0.29115762028307945</v>
      </c>
      <c r="AC475" s="257">
        <f t="shared" si="39"/>
        <v>0.25157662702014544</v>
      </c>
      <c r="AD475" s="257">
        <f t="shared" si="39"/>
        <v>0.29865472397421555</v>
      </c>
      <c r="AE475" s="257">
        <f t="shared" si="40"/>
        <v>0.30207855059874666</v>
      </c>
    </row>
    <row r="476" spans="27:32" ht="10.5" customHeight="1">
      <c r="AA476" s="257">
        <f t="shared" si="38"/>
        <v>0.67608164844603058</v>
      </c>
      <c r="AB476" s="257">
        <f t="shared" si="39"/>
        <v>0.40005312451855907</v>
      </c>
      <c r="AC476" s="257">
        <f t="shared" si="39"/>
        <v>0.31527649752922077</v>
      </c>
      <c r="AD476" s="257">
        <f t="shared" si="39"/>
        <v>0.39519089599683277</v>
      </c>
      <c r="AE476" s="257">
        <f t="shared" si="40"/>
        <v>0.74386876153095882</v>
      </c>
    </row>
    <row r="477" spans="27:32" ht="10.5" customHeight="1">
      <c r="AA477" s="257">
        <f t="shared" si="38"/>
        <v>0.67608164844603058</v>
      </c>
      <c r="AB477" s="257">
        <f t="shared" si="39"/>
        <v>0.40005312451855907</v>
      </c>
      <c r="AC477" s="257">
        <f t="shared" si="39"/>
        <v>0.31527649752922077</v>
      </c>
      <c r="AD477" s="257">
        <f t="shared" si="39"/>
        <v>0.39519089599683277</v>
      </c>
      <c r="AE477" s="257">
        <f t="shared" si="40"/>
        <v>0.74386876153095882</v>
      </c>
    </row>
    <row r="478" spans="27:32" ht="10.5" customHeight="1">
      <c r="AA478" s="257">
        <f t="shared" si="38"/>
        <v>0.67608164844603058</v>
      </c>
      <c r="AB478" s="257">
        <f t="shared" si="39"/>
        <v>0.40005312451855907</v>
      </c>
      <c r="AC478" s="257">
        <f t="shared" si="39"/>
        <v>0.31527649752922077</v>
      </c>
      <c r="AD478" s="257">
        <f t="shared" si="39"/>
        <v>0.39519089599683277</v>
      </c>
      <c r="AE478" s="257">
        <f t="shared" si="40"/>
        <v>0.74386876153095882</v>
      </c>
    </row>
    <row r="479" spans="27:32" ht="10.5" customHeight="1">
      <c r="AA479" s="257">
        <f t="shared" si="38"/>
        <v>0.76914045892786231</v>
      </c>
      <c r="AB479" s="257">
        <f t="shared" si="39"/>
        <v>0.46931674679899893</v>
      </c>
      <c r="AC479" s="257">
        <f t="shared" si="39"/>
        <v>0.46688803187104988</v>
      </c>
      <c r="AD479" s="257">
        <f t="shared" si="39"/>
        <v>0.54550345265537992</v>
      </c>
      <c r="AE479" s="257">
        <f t="shared" si="40"/>
        <v>1.1429939474648929</v>
      </c>
    </row>
    <row r="480" spans="27:32" ht="10.5" customHeight="1">
      <c r="AA480" s="257">
        <f t="shared" si="38"/>
        <v>0.76914045892786231</v>
      </c>
      <c r="AB480" s="257">
        <f t="shared" si="39"/>
        <v>0.46931674679899893</v>
      </c>
      <c r="AC480" s="257">
        <f t="shared" si="39"/>
        <v>0.46688803187104988</v>
      </c>
      <c r="AD480" s="257">
        <f t="shared" si="39"/>
        <v>0.54550345265537992</v>
      </c>
      <c r="AE480" s="257">
        <f t="shared" si="40"/>
        <v>1.1429939474648929</v>
      </c>
    </row>
    <row r="481" spans="27:31" ht="10.5" customHeight="1">
      <c r="AA481" s="257">
        <f t="shared" si="38"/>
        <v>0.76914045892786231</v>
      </c>
      <c r="AB481" s="257">
        <f t="shared" si="39"/>
        <v>0.46931674679899893</v>
      </c>
      <c r="AC481" s="257">
        <f t="shared" si="39"/>
        <v>0.46688803187104988</v>
      </c>
      <c r="AD481" s="257">
        <f t="shared" si="39"/>
        <v>0.54550345265537992</v>
      </c>
      <c r="AE481" s="257">
        <f t="shared" si="40"/>
        <v>1.1429939474648929</v>
      </c>
    </row>
    <row r="482" spans="27:31" ht="10.5" customHeight="1">
      <c r="AA482" s="257">
        <f t="shared" si="38"/>
        <v>0.75</v>
      </c>
      <c r="AB482" s="257">
        <f t="shared" si="39"/>
        <v>0.31714508563292337</v>
      </c>
      <c r="AC482" s="257">
        <f t="shared" si="39"/>
        <v>0.41140529309748475</v>
      </c>
      <c r="AD482" s="257">
        <f t="shared" si="39"/>
        <v>0.35413767834451365</v>
      </c>
      <c r="AE482" s="699">
        <v>0.75</v>
      </c>
    </row>
    <row r="483" spans="27:31" ht="10.5" customHeight="1">
      <c r="AA483" s="257">
        <f t="shared" si="38"/>
        <v>0.75</v>
      </c>
      <c r="AB483" s="257">
        <f t="shared" si="39"/>
        <v>0.31714508563292337</v>
      </c>
      <c r="AC483" s="257">
        <f t="shared" si="39"/>
        <v>0.41140529309748475</v>
      </c>
      <c r="AD483" s="257">
        <f t="shared" si="39"/>
        <v>0.35413767834451365</v>
      </c>
      <c r="AE483" s="257"/>
    </row>
    <row r="484" spans="27:31" ht="10.5" customHeight="1">
      <c r="AA484" s="257">
        <f t="shared" si="38"/>
        <v>0.75</v>
      </c>
      <c r="AB484" s="257">
        <f t="shared" si="39"/>
        <v>0.31714508563292337</v>
      </c>
      <c r="AC484" s="257">
        <f t="shared" si="39"/>
        <v>0.41140529309748475</v>
      </c>
      <c r="AD484" s="257">
        <f t="shared" si="39"/>
        <v>0.35413767834451365</v>
      </c>
      <c r="AE484" s="257"/>
    </row>
  </sheetData>
  <phoneticPr fontId="107" type="noConversion"/>
  <pageMargins left="0.75" right="0.75" top="1" bottom="1" header="0.5" footer="0.5"/>
  <pageSetup orientation="portrait" horizontalDpi="90" verticalDpi="90" r:id="rId1"/>
  <ignoredErrors>
    <ignoredError sqref="U2:Z214 U233:Z457 Z215:Z229 U461:Z461 Z458:Z460 U230:Z230"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6AA7-8D95-4F51-B02D-188591585C38}">
  <dimension ref="A2:BI81"/>
  <sheetViews>
    <sheetView showGridLines="0" workbookViewId="0"/>
  </sheetViews>
  <sheetFormatPr defaultRowHeight="14.25"/>
  <cols>
    <col min="1" max="1" width="12.53125" bestFit="1" customWidth="1"/>
    <col min="2" max="3" width="18.265625" bestFit="1" customWidth="1"/>
    <col min="4" max="5" width="18.46484375" bestFit="1" customWidth="1"/>
    <col min="6" max="6" width="19.796875" bestFit="1" customWidth="1"/>
    <col min="9" max="9" width="12.53125" bestFit="1" customWidth="1"/>
    <col min="10" max="13" width="12.796875" bestFit="1" customWidth="1"/>
    <col min="14" max="14" width="16.53125" bestFit="1" customWidth="1"/>
    <col min="17" max="17" width="12.53125" bestFit="1" customWidth="1"/>
    <col min="18" max="19" width="13.19921875" bestFit="1" customWidth="1"/>
    <col min="20" max="21" width="13.46484375" bestFit="1" customWidth="1"/>
    <col min="22" max="22" width="17" bestFit="1" customWidth="1"/>
    <col min="25" max="25" width="12.53125" bestFit="1" customWidth="1"/>
    <col min="26" max="29" width="16.19921875" bestFit="1" customWidth="1"/>
    <col min="30" max="30" width="19.796875" bestFit="1" customWidth="1"/>
    <col min="32" max="32" width="12.53125" bestFit="1" customWidth="1"/>
    <col min="33" max="34" width="13.46484375" bestFit="1" customWidth="1"/>
    <col min="35" max="36" width="13.53125" bestFit="1" customWidth="1"/>
    <col min="37" max="37" width="17.265625" bestFit="1" customWidth="1"/>
    <col min="40" max="40" width="12.53125" bestFit="1" customWidth="1"/>
    <col min="41" max="42" width="14.19921875" bestFit="1" customWidth="1"/>
    <col min="43" max="44" width="14.265625" bestFit="1" customWidth="1"/>
    <col min="45" max="45" width="18" bestFit="1" customWidth="1"/>
    <col min="46" max="46" width="13.796875" bestFit="1" customWidth="1"/>
    <col min="48" max="48" width="12.53125" bestFit="1" customWidth="1"/>
    <col min="49" max="50" width="11.796875" bestFit="1" customWidth="1"/>
    <col min="51" max="52" width="12" bestFit="1" customWidth="1"/>
    <col min="53" max="53" width="15.53125" bestFit="1" customWidth="1"/>
    <col min="56" max="56" width="12.53125" bestFit="1" customWidth="1"/>
    <col min="57" max="58" width="13.19921875" bestFit="1" customWidth="1"/>
    <col min="59" max="60" width="13.46484375" bestFit="1" customWidth="1"/>
    <col min="61" max="61" width="17" bestFit="1" customWidth="1"/>
  </cols>
  <sheetData>
    <row r="2" spans="1:61">
      <c r="A2" t="s">
        <v>1537</v>
      </c>
    </row>
    <row r="3" spans="1:61">
      <c r="A3" t="s">
        <v>1536</v>
      </c>
    </row>
    <row r="4" spans="1:61">
      <c r="A4" t="s">
        <v>1538</v>
      </c>
    </row>
    <row r="5" spans="1:61">
      <c r="A5" t="s">
        <v>1539</v>
      </c>
    </row>
    <row r="6" spans="1:61">
      <c r="A6" t="s">
        <v>1540</v>
      </c>
    </row>
    <row r="7" spans="1:61">
      <c r="A7" t="s">
        <v>1541</v>
      </c>
    </row>
    <row r="8" spans="1:61">
      <c r="A8" t="s">
        <v>1542</v>
      </c>
    </row>
    <row r="9" spans="1:61">
      <c r="A9" t="s">
        <v>1543</v>
      </c>
    </row>
    <row r="12" spans="1:61">
      <c r="A12" t="s">
        <v>1615</v>
      </c>
      <c r="I12" t="s">
        <v>1542</v>
      </c>
      <c r="Q12" t="s">
        <v>1561</v>
      </c>
      <c r="Y12" s="793" t="s">
        <v>567</v>
      </c>
      <c r="AF12" t="s">
        <v>1559</v>
      </c>
      <c r="AN12" t="s">
        <v>1562</v>
      </c>
      <c r="AO12" s="925"/>
      <c r="AP12" s="925"/>
      <c r="AQ12" s="925"/>
      <c r="AR12" s="925"/>
      <c r="AS12" s="925"/>
      <c r="AV12" t="s">
        <v>1614</v>
      </c>
      <c r="AW12" s="925"/>
      <c r="AX12" s="925"/>
      <c r="AY12" s="925"/>
      <c r="AZ12" s="925"/>
      <c r="BA12" s="925"/>
      <c r="BB12" s="925"/>
      <c r="BD12" t="s">
        <v>1560</v>
      </c>
    </row>
    <row r="13" spans="1:61">
      <c r="A13" s="792" t="s">
        <v>1329</v>
      </c>
      <c r="B13" t="s">
        <v>1512</v>
      </c>
      <c r="C13" t="s">
        <v>1511</v>
      </c>
      <c r="D13" t="s">
        <v>1513</v>
      </c>
      <c r="E13" t="s">
        <v>1514</v>
      </c>
      <c r="F13" t="s">
        <v>1515</v>
      </c>
      <c r="I13" s="792" t="s">
        <v>1329</v>
      </c>
      <c r="J13" t="s">
        <v>1549</v>
      </c>
      <c r="K13" t="s">
        <v>1550</v>
      </c>
      <c r="L13" t="s">
        <v>1551</v>
      </c>
      <c r="M13" t="s">
        <v>1552</v>
      </c>
      <c r="N13" t="s">
        <v>1553</v>
      </c>
      <c r="Q13" s="792" t="s">
        <v>1329</v>
      </c>
      <c r="R13" t="s">
        <v>1516</v>
      </c>
      <c r="S13" t="s">
        <v>1517</v>
      </c>
      <c r="T13" t="s">
        <v>1518</v>
      </c>
      <c r="U13" t="s">
        <v>1519</v>
      </c>
      <c r="V13" t="s">
        <v>1520</v>
      </c>
      <c r="Y13" s="792" t="s">
        <v>1329</v>
      </c>
      <c r="Z13" t="s">
        <v>1544</v>
      </c>
      <c r="AA13" t="s">
        <v>1545</v>
      </c>
      <c r="AB13" t="s">
        <v>1546</v>
      </c>
      <c r="AC13" t="s">
        <v>1547</v>
      </c>
      <c r="AD13" t="s">
        <v>1548</v>
      </c>
      <c r="AF13" s="792" t="s">
        <v>1329</v>
      </c>
      <c r="AG13" t="s">
        <v>1521</v>
      </c>
      <c r="AH13" t="s">
        <v>1522</v>
      </c>
      <c r="AI13" t="s">
        <v>1523</v>
      </c>
      <c r="AJ13" t="s">
        <v>1524</v>
      </c>
      <c r="AK13" t="s">
        <v>1525</v>
      </c>
      <c r="AN13" s="792" t="s">
        <v>1329</v>
      </c>
      <c r="AO13" t="s">
        <v>1526</v>
      </c>
      <c r="AP13" t="s">
        <v>1527</v>
      </c>
      <c r="AQ13" t="s">
        <v>1528</v>
      </c>
      <c r="AR13" t="s">
        <v>1529</v>
      </c>
      <c r="AS13" t="s">
        <v>1530</v>
      </c>
      <c r="AV13" s="792" t="s">
        <v>1329</v>
      </c>
      <c r="AW13" t="s">
        <v>1531</v>
      </c>
      <c r="AX13" t="s">
        <v>1532</v>
      </c>
      <c r="AY13" t="s">
        <v>1533</v>
      </c>
      <c r="AZ13" t="s">
        <v>1534</v>
      </c>
      <c r="BA13" t="s">
        <v>1535</v>
      </c>
      <c r="BD13" s="792" t="s">
        <v>1329</v>
      </c>
      <c r="BE13" t="s">
        <v>1554</v>
      </c>
      <c r="BF13" t="s">
        <v>1555</v>
      </c>
      <c r="BG13" t="s">
        <v>1556</v>
      </c>
      <c r="BH13" t="s">
        <v>1557</v>
      </c>
      <c r="BI13" t="s">
        <v>1558</v>
      </c>
    </row>
    <row r="14" spans="1:61">
      <c r="A14" s="793" t="s">
        <v>1805</v>
      </c>
      <c r="B14" s="879">
        <v>0.2576770147230118</v>
      </c>
      <c r="C14" s="879">
        <v>0.20931468365047301</v>
      </c>
      <c r="D14" s="879">
        <v>0.19730107375334383</v>
      </c>
      <c r="E14" s="879">
        <v>0.16290475575343594</v>
      </c>
      <c r="F14" s="879">
        <v>0.17280247211973523</v>
      </c>
      <c r="I14" s="793" t="s">
        <v>1805</v>
      </c>
      <c r="J14" s="879">
        <v>0.73066933467494466</v>
      </c>
      <c r="K14" s="879">
        <v>0.73707240841703503</v>
      </c>
      <c r="L14" s="879">
        <v>0.75521199237981551</v>
      </c>
      <c r="M14" s="879">
        <v>0.66776656538523727</v>
      </c>
      <c r="N14" s="879">
        <v>0.7268279464771481</v>
      </c>
      <c r="Q14" s="793" t="s">
        <v>1805</v>
      </c>
      <c r="R14" s="924">
        <v>14.537603952265949</v>
      </c>
      <c r="S14" s="924">
        <v>17.089005403135534</v>
      </c>
      <c r="T14" s="924">
        <v>13.828574494664618</v>
      </c>
      <c r="U14" s="924">
        <v>12.381469823924487</v>
      </c>
      <c r="V14" s="924">
        <v>27.740217263132138</v>
      </c>
      <c r="Y14" s="793" t="s">
        <v>1805</v>
      </c>
      <c r="Z14" s="924">
        <v>10.622181407570006</v>
      </c>
      <c r="AA14" s="924">
        <v>17.089005403135534</v>
      </c>
      <c r="AB14" s="924">
        <v>10.443505295888368</v>
      </c>
      <c r="AC14" s="924">
        <v>8.2679315787430134</v>
      </c>
      <c r="AD14" s="924">
        <v>20.162365148192261</v>
      </c>
      <c r="AF14" s="793" t="s">
        <v>1805</v>
      </c>
      <c r="AG14" s="923">
        <v>0.79089089623842979</v>
      </c>
      <c r="AH14" s="923">
        <v>0.79358417761479649</v>
      </c>
      <c r="AI14" s="923">
        <v>0.85075770650876759</v>
      </c>
      <c r="AJ14" s="923">
        <v>0.72494250217914102</v>
      </c>
      <c r="AK14" s="923">
        <v>0.83074816783442051</v>
      </c>
      <c r="AN14" s="793" t="s">
        <v>1805</v>
      </c>
      <c r="AO14" s="879">
        <v>0.13743951181747202</v>
      </c>
      <c r="AP14" s="879">
        <v>0.1048060017237866</v>
      </c>
      <c r="AQ14" s="879">
        <v>0.12700249367552446</v>
      </c>
      <c r="AR14" s="879">
        <v>0.13953165194916495</v>
      </c>
      <c r="AS14" s="879">
        <v>0.11607279010928494</v>
      </c>
      <c r="AV14" s="793" t="s">
        <v>1805</v>
      </c>
      <c r="AW14" s="560">
        <v>54.174044296304629</v>
      </c>
      <c r="AX14" s="560">
        <v>60.114592272161282</v>
      </c>
      <c r="AY14" s="560">
        <v>64.142717004400353</v>
      </c>
      <c r="AZ14" s="560">
        <v>62.839678222240892</v>
      </c>
      <c r="BA14" s="560">
        <v>35.497477490537172</v>
      </c>
      <c r="BD14" s="793" t="s">
        <v>1805</v>
      </c>
      <c r="BE14" s="924">
        <v>1.4599074270930494</v>
      </c>
      <c r="BF14" s="924">
        <v>1.3201190386885493</v>
      </c>
      <c r="BG14" s="924">
        <v>1.3263512152913688</v>
      </c>
      <c r="BH14" s="924">
        <v>1.1536381513846798</v>
      </c>
      <c r="BI14" s="924">
        <v>2.3403019779528824</v>
      </c>
    </row>
    <row r="15" spans="1:61">
      <c r="A15" s="793" t="s">
        <v>1806</v>
      </c>
      <c r="B15" s="879">
        <v>0.24118574957854338</v>
      </c>
      <c r="C15" s="879">
        <v>0.20536518632865011</v>
      </c>
      <c r="D15" s="879">
        <v>0.19239227638855444</v>
      </c>
      <c r="E15" s="879">
        <v>0.16148011801117784</v>
      </c>
      <c r="F15" s="879">
        <v>0.19957666969307419</v>
      </c>
      <c r="I15" s="793" t="s">
        <v>1806</v>
      </c>
      <c r="J15" s="879">
        <v>0.75340203962523544</v>
      </c>
      <c r="K15" s="879">
        <v>0.74687046499975507</v>
      </c>
      <c r="L15" s="879">
        <v>0.77825903452914613</v>
      </c>
      <c r="M15" s="879">
        <v>0.69492066082460724</v>
      </c>
      <c r="N15" s="879">
        <v>0.74770184981931243</v>
      </c>
      <c r="Q15" s="793" t="s">
        <v>1806</v>
      </c>
      <c r="R15" s="924">
        <v>14.050196320484563</v>
      </c>
      <c r="S15" s="924">
        <v>16.61192990371125</v>
      </c>
      <c r="T15" s="924">
        <v>14.710291156576805</v>
      </c>
      <c r="U15" s="924">
        <v>12.222338816435133</v>
      </c>
      <c r="V15" s="924">
        <v>28.346158269660947</v>
      </c>
      <c r="Y15" s="793" t="s">
        <v>1806</v>
      </c>
      <c r="Z15" s="924">
        <v>10.585446564988047</v>
      </c>
      <c r="AA15" s="924">
        <v>16.61192990371125</v>
      </c>
      <c r="AB15" s="924">
        <v>11.4484169931601</v>
      </c>
      <c r="AC15" s="924">
        <v>8.4935557671393518</v>
      </c>
      <c r="AD15" s="924">
        <v>21.19447497349649</v>
      </c>
      <c r="AF15" s="793" t="s">
        <v>1806</v>
      </c>
      <c r="AG15" s="923">
        <v>1.1303121423429299</v>
      </c>
      <c r="AH15" s="923">
        <v>1.1322522718411663</v>
      </c>
      <c r="AI15" s="923">
        <v>1.187202545507728</v>
      </c>
      <c r="AJ15" s="923">
        <v>0.83076662943425894</v>
      </c>
      <c r="AK15" s="923">
        <v>1.1316302812427601</v>
      </c>
      <c r="AN15" s="793" t="s">
        <v>1806</v>
      </c>
      <c r="AO15" s="879">
        <v>0.1927330303749572</v>
      </c>
      <c r="AP15" s="879">
        <v>0.14938865068371354</v>
      </c>
      <c r="AQ15" s="879">
        <v>0.15869486168352434</v>
      </c>
      <c r="AR15" s="879">
        <v>0.15274870513138589</v>
      </c>
      <c r="AS15" s="879">
        <v>0.15005672306863327</v>
      </c>
      <c r="AV15" s="793" t="s">
        <v>1806</v>
      </c>
      <c r="AW15" s="560">
        <v>55.402971557276267</v>
      </c>
      <c r="AX15" s="560">
        <v>61.088606804026838</v>
      </c>
      <c r="AY15" s="560">
        <v>65.345624730235386</v>
      </c>
      <c r="AZ15" s="560">
        <v>64.034196342228299</v>
      </c>
      <c r="BA15" s="560">
        <v>35.581679160531849</v>
      </c>
      <c r="BD15" s="793" t="s">
        <v>1806</v>
      </c>
      <c r="BE15" s="924">
        <v>2.040165194342328</v>
      </c>
      <c r="BF15" s="924">
        <v>1.8534589853611301</v>
      </c>
      <c r="BG15" s="924">
        <v>1.8168049512248519</v>
      </c>
      <c r="BH15" s="924">
        <v>1.2973796453917505</v>
      </c>
      <c r="BI15" s="924">
        <v>3.180373461683041</v>
      </c>
    </row>
    <row r="16" spans="1:61">
      <c r="A16" s="793" t="s">
        <v>1807</v>
      </c>
      <c r="B16" s="879">
        <v>0.23019140470783758</v>
      </c>
      <c r="C16" s="879">
        <v>0.20099447057636213</v>
      </c>
      <c r="D16" s="879">
        <v>0.16888160002295038</v>
      </c>
      <c r="E16" s="879">
        <v>0.17520813960608356</v>
      </c>
      <c r="F16" s="879">
        <v>0.22472438508676651</v>
      </c>
      <c r="I16" s="793" t="s">
        <v>1807</v>
      </c>
      <c r="J16" s="879">
        <v>0.80258415033543928</v>
      </c>
      <c r="K16" s="879">
        <v>0.77133663484202031</v>
      </c>
      <c r="L16" s="879">
        <v>0.81640878478234535</v>
      </c>
      <c r="M16" s="879">
        <v>0.70693044219154832</v>
      </c>
      <c r="N16" s="879">
        <v>0.77593589650454753</v>
      </c>
      <c r="Q16" s="793" t="s">
        <v>1807</v>
      </c>
      <c r="R16" s="924">
        <v>14.682794637801056</v>
      </c>
      <c r="S16" s="924">
        <v>16.809983095868066</v>
      </c>
      <c r="T16" s="924">
        <v>16.951404214169099</v>
      </c>
      <c r="U16" s="924">
        <v>12.591672843509723</v>
      </c>
      <c r="V16" s="924">
        <v>29.646050922026966</v>
      </c>
      <c r="Y16" s="793" t="s">
        <v>1807</v>
      </c>
      <c r="Z16" s="924">
        <v>11.784178258929304</v>
      </c>
      <c r="AA16" s="924">
        <v>16.809983095868066</v>
      </c>
      <c r="AB16" s="924">
        <v>13.839275314844125</v>
      </c>
      <c r="AC16" s="924">
        <v>8.9014368511936386</v>
      </c>
      <c r="AD16" s="924">
        <v>23.003435100002463</v>
      </c>
      <c r="AF16" s="793" t="s">
        <v>1807</v>
      </c>
      <c r="AG16" s="923">
        <v>1.6715513173306167</v>
      </c>
      <c r="AH16" s="923">
        <v>1.7076297006415657</v>
      </c>
      <c r="AI16" s="923">
        <v>1.7491573152864475</v>
      </c>
      <c r="AJ16" s="923">
        <v>1.0354922076539999</v>
      </c>
      <c r="AK16" s="923">
        <v>1.6322322759368275</v>
      </c>
      <c r="AN16" s="793" t="s">
        <v>1807</v>
      </c>
      <c r="AO16" s="879">
        <v>0.24678881924055793</v>
      </c>
      <c r="AP16" s="879">
        <v>0.20830842747845116</v>
      </c>
      <c r="AQ16" s="879">
        <v>0.1886660668144769</v>
      </c>
      <c r="AR16" s="879">
        <v>0.17577434747081191</v>
      </c>
      <c r="AS16" s="879">
        <v>0.19384297932857092</v>
      </c>
      <c r="AV16" s="793" t="s">
        <v>1807</v>
      </c>
      <c r="AW16" s="560">
        <v>57.477110966535392</v>
      </c>
      <c r="AX16" s="560">
        <v>63.223076306062595</v>
      </c>
      <c r="AY16" s="560">
        <v>66.99181217185874</v>
      </c>
      <c r="AZ16" s="560">
        <v>66.1806800465762</v>
      </c>
      <c r="BA16" s="560">
        <v>36.604897171075407</v>
      </c>
      <c r="BD16" s="793" t="s">
        <v>1807</v>
      </c>
      <c r="BE16" s="924">
        <v>2.9082034382414164</v>
      </c>
      <c r="BF16" s="924">
        <v>2.7009595236633834</v>
      </c>
      <c r="BG16" s="924">
        <v>2.611001641214322</v>
      </c>
      <c r="BH16" s="924">
        <v>1.5646442540712004</v>
      </c>
      <c r="BI16" s="924">
        <v>4.4590543945759</v>
      </c>
    </row>
    <row r="17" spans="1:61">
      <c r="A17" s="793" t="s">
        <v>1808</v>
      </c>
      <c r="B17" s="879">
        <v>0.22180108153275097</v>
      </c>
      <c r="C17" s="879">
        <v>0.16773327443744643</v>
      </c>
      <c r="D17" s="879">
        <v>0.1736291369674115</v>
      </c>
      <c r="E17" s="879">
        <v>0.18969204812718846</v>
      </c>
      <c r="F17" s="879">
        <v>0.24714445893520276</v>
      </c>
      <c r="I17" s="793" t="s">
        <v>1808</v>
      </c>
      <c r="J17" s="879">
        <v>0.82072304609647506</v>
      </c>
      <c r="K17" s="879">
        <v>0.79342508103170262</v>
      </c>
      <c r="L17" s="879">
        <v>0.81923176191737435</v>
      </c>
      <c r="M17" s="879">
        <v>0.73051105668710303</v>
      </c>
      <c r="N17" s="879">
        <v>0.7903324786707614</v>
      </c>
      <c r="Q17" s="793" t="s">
        <v>1808</v>
      </c>
      <c r="R17" s="924">
        <v>15.841538256108961</v>
      </c>
      <c r="S17" s="924">
        <v>20.172563164113171</v>
      </c>
      <c r="T17" s="924">
        <v>18.587626961993383</v>
      </c>
      <c r="U17" s="924">
        <v>13.421898304473851</v>
      </c>
      <c r="V17" s="924">
        <v>31.314406810738348</v>
      </c>
      <c r="Y17" s="793" t="s">
        <v>1808</v>
      </c>
      <c r="Z17" s="924">
        <v>13.001515532407586</v>
      </c>
      <c r="AA17" s="924">
        <v>20.172563164113171</v>
      </c>
      <c r="AB17" s="924">
        <v>15.22757438593673</v>
      </c>
      <c r="AC17" s="924">
        <v>9.8048451131480299</v>
      </c>
      <c r="AD17" s="924">
        <v>24.748792752835413</v>
      </c>
      <c r="AF17" s="793" t="s">
        <v>1808</v>
      </c>
      <c r="AG17" s="923">
        <v>1.9262004506563557</v>
      </c>
      <c r="AH17" s="923">
        <v>2.087823023576608</v>
      </c>
      <c r="AI17" s="923">
        <v>2.0659469569632729</v>
      </c>
      <c r="AJ17" s="923">
        <v>1.5346109461155044</v>
      </c>
      <c r="AK17" s="923">
        <v>1.9283217991750705</v>
      </c>
      <c r="AN17" s="793" t="s">
        <v>1808</v>
      </c>
      <c r="AO17" s="879">
        <v>0.25424077224469854</v>
      </c>
      <c r="AP17" s="879">
        <v>0.20126200720737428</v>
      </c>
      <c r="AQ17" s="879">
        <v>0.20506310141284112</v>
      </c>
      <c r="AR17" s="879">
        <v>0.2347502542014081</v>
      </c>
      <c r="AS17" s="879">
        <v>0.2076423645077205</v>
      </c>
      <c r="AV17" s="793" t="s">
        <v>1808</v>
      </c>
      <c r="AW17" s="560">
        <v>58.272319051793204</v>
      </c>
      <c r="AX17" s="560">
        <v>64.813410382313108</v>
      </c>
      <c r="AY17" s="560">
        <v>66.160825557624236</v>
      </c>
      <c r="AZ17" s="560">
        <v>66.673228119855878</v>
      </c>
      <c r="BA17" s="560">
        <v>37.524034471899405</v>
      </c>
      <c r="BD17" s="793" t="s">
        <v>1808</v>
      </c>
      <c r="BE17" s="924">
        <v>3.3055153493107481</v>
      </c>
      <c r="BF17" s="924">
        <v>3.2212824649423979</v>
      </c>
      <c r="BG17" s="924">
        <v>3.1226136305749259</v>
      </c>
      <c r="BH17" s="924">
        <v>2.3016898827169339</v>
      </c>
      <c r="BI17" s="924">
        <v>5.1388978459102832</v>
      </c>
    </row>
    <row r="18" spans="1:61">
      <c r="A18" s="793" t="s">
        <v>1809</v>
      </c>
      <c r="B18" s="879">
        <v>0.21157374930018738</v>
      </c>
      <c r="C18" s="879">
        <v>0.15581806289619793</v>
      </c>
      <c r="D18" s="879">
        <v>0.16358295783715243</v>
      </c>
      <c r="E18" s="879">
        <v>0.19946042527690472</v>
      </c>
      <c r="F18" s="879">
        <v>0.26956480468955762</v>
      </c>
      <c r="I18" s="793" t="s">
        <v>1809</v>
      </c>
      <c r="J18" s="879">
        <v>0.83114516322755549</v>
      </c>
      <c r="K18" s="879">
        <v>0.82229106289994103</v>
      </c>
      <c r="L18" s="879">
        <v>0.83426278255824415</v>
      </c>
      <c r="M18" s="879">
        <v>0.72583258754177227</v>
      </c>
      <c r="N18" s="879">
        <v>0.79650004654491546</v>
      </c>
      <c r="Q18" s="793" t="s">
        <v>1809</v>
      </c>
      <c r="R18" s="924">
        <v>16.023368912020338</v>
      </c>
      <c r="S18" s="924">
        <v>21.433359932213239</v>
      </c>
      <c r="T18" s="924">
        <v>18.940451679721647</v>
      </c>
      <c r="U18" s="924">
        <v>13.633921578352025</v>
      </c>
      <c r="V18" s="924">
        <v>31.28934899645872</v>
      </c>
      <c r="Y18" s="793" t="s">
        <v>1809</v>
      </c>
      <c r="Z18" s="924">
        <v>13.317745569836481</v>
      </c>
      <c r="AA18" s="924">
        <v>21.433359932213239</v>
      </c>
      <c r="AB18" s="924">
        <v>15.801313921234552</v>
      </c>
      <c r="AC18" s="924">
        <v>9.895944577556854</v>
      </c>
      <c r="AD18" s="924">
        <v>24.921967932039475</v>
      </c>
      <c r="AF18" s="793" t="s">
        <v>1809</v>
      </c>
      <c r="AG18" s="923">
        <v>2.0060248575283923</v>
      </c>
      <c r="AH18" s="923">
        <v>2.2623853472747246</v>
      </c>
      <c r="AI18" s="923">
        <v>2.1557684006213624</v>
      </c>
      <c r="AJ18" s="923">
        <v>1.6969482116289396</v>
      </c>
      <c r="AK18" s="923">
        <v>2.0693822601738598</v>
      </c>
      <c r="AN18" s="793" t="s">
        <v>1809</v>
      </c>
      <c r="AO18" s="879">
        <v>0.26054583061156855</v>
      </c>
      <c r="AP18" s="879">
        <v>0.19652647724503733</v>
      </c>
      <c r="AQ18" s="879">
        <v>0.21193134539529596</v>
      </c>
      <c r="AR18" s="879">
        <v>0.25655234477830008</v>
      </c>
      <c r="AS18" s="879">
        <v>0.21605828577048175</v>
      </c>
      <c r="AV18" s="793" t="s">
        <v>1809</v>
      </c>
      <c r="AW18" s="560">
        <v>57.812462566846392</v>
      </c>
      <c r="AX18" s="560">
        <v>65.317519347581836</v>
      </c>
      <c r="AY18" s="560">
        <v>64.374475764651024</v>
      </c>
      <c r="AZ18" s="560">
        <v>66.83983141914598</v>
      </c>
      <c r="BA18" s="560">
        <v>38.431511270097701</v>
      </c>
      <c r="BD18" s="793" t="s">
        <v>1809</v>
      </c>
      <c r="BE18" s="924">
        <v>3.4698830813665835</v>
      </c>
      <c r="BF18" s="924">
        <v>3.4636731000692564</v>
      </c>
      <c r="BG18" s="924">
        <v>3.3487937183406578</v>
      </c>
      <c r="BH18" s="924">
        <v>2.5388277851683148</v>
      </c>
      <c r="BI18" s="924">
        <v>5.3845976694233677</v>
      </c>
    </row>
    <row r="19" spans="1:61">
      <c r="A19" s="793" t="s">
        <v>1810</v>
      </c>
      <c r="B19" s="879">
        <v>0.2054284836862105</v>
      </c>
      <c r="C19" s="879">
        <v>0.14927406881264449</v>
      </c>
      <c r="D19" s="879">
        <v>0.15565437426459858</v>
      </c>
      <c r="E19" s="879">
        <v>0.21387187295393667</v>
      </c>
      <c r="F19" s="879">
        <v>0.27577120028260965</v>
      </c>
      <c r="I19" s="793" t="s">
        <v>1810</v>
      </c>
      <c r="J19" s="879">
        <v>0.82170740638937378</v>
      </c>
      <c r="K19" s="879">
        <v>0.8441775130705983</v>
      </c>
      <c r="L19" s="879">
        <v>0.82846373676243423</v>
      </c>
      <c r="M19" s="879">
        <v>0.71162955544868411</v>
      </c>
      <c r="N19" s="879">
        <v>0.79172526058908299</v>
      </c>
      <c r="Q19" s="793" t="s">
        <v>1810</v>
      </c>
      <c r="R19" s="924">
        <v>17.347184563268392</v>
      </c>
      <c r="S19" s="924">
        <v>22.803048500015684</v>
      </c>
      <c r="T19" s="924">
        <v>20.684594716771905</v>
      </c>
      <c r="U19" s="924">
        <v>14.998057424980242</v>
      </c>
      <c r="V19" s="924">
        <v>33.930761743448315</v>
      </c>
      <c r="Y19" s="793" t="s">
        <v>1810</v>
      </c>
      <c r="Z19" s="924">
        <v>14.254310035641051</v>
      </c>
      <c r="AA19" s="924">
        <v>22.803048500015684</v>
      </c>
      <c r="AB19" s="924">
        <v>17.136436632473355</v>
      </c>
      <c r="AC19" s="924">
        <v>10.673060937932526</v>
      </c>
      <c r="AD19" s="924">
        <v>26.86384118331771</v>
      </c>
      <c r="AF19" s="793" t="s">
        <v>1810</v>
      </c>
      <c r="AG19" s="923">
        <v>2.8440756314418394</v>
      </c>
      <c r="AH19" s="923">
        <v>3.2059914272772265</v>
      </c>
      <c r="AI19" s="923">
        <v>3.2071361900867643</v>
      </c>
      <c r="AJ19" s="923">
        <v>2.3238699770321882</v>
      </c>
      <c r="AK19" s="923">
        <v>2.9828782228637873</v>
      </c>
      <c r="AN19" s="793" t="s">
        <v>1810</v>
      </c>
      <c r="AO19" s="879">
        <v>0.34094184432592051</v>
      </c>
      <c r="AP19" s="879">
        <v>0.25349580162218949</v>
      </c>
      <c r="AQ19" s="879">
        <v>0.28862500262014429</v>
      </c>
      <c r="AR19" s="879">
        <v>0.31850209598028462</v>
      </c>
      <c r="AS19" s="879">
        <v>0.2867145496537683</v>
      </c>
      <c r="AV19" s="793" t="s">
        <v>1810</v>
      </c>
      <c r="AW19" s="560">
        <v>58.521390210291827</v>
      </c>
      <c r="AX19" s="560">
        <v>65.699928272030377</v>
      </c>
      <c r="AY19" s="560">
        <v>64.842975178094193</v>
      </c>
      <c r="AZ19" s="560">
        <v>68.361335972094452</v>
      </c>
      <c r="BA19" s="560">
        <v>38.727341032118382</v>
      </c>
      <c r="BD19" s="793" t="s">
        <v>1810</v>
      </c>
      <c r="BE19" s="924">
        <v>4.8598907531449385</v>
      </c>
      <c r="BF19" s="924">
        <v>4.8797487479785788</v>
      </c>
      <c r="BG19" s="924">
        <v>4.9460040679475581</v>
      </c>
      <c r="BH19" s="924">
        <v>3.3993922792568121</v>
      </c>
      <c r="BI19" s="924">
        <v>7.7022541268452898</v>
      </c>
    </row>
    <row r="20" spans="1:61">
      <c r="A20" s="793" t="s">
        <v>1811</v>
      </c>
      <c r="B20" s="879">
        <v>0.19958134727631582</v>
      </c>
      <c r="C20" s="879">
        <v>0.14792539392446774</v>
      </c>
      <c r="D20" s="879">
        <v>0.14890195999810185</v>
      </c>
      <c r="E20" s="879">
        <v>0.21618905188410681</v>
      </c>
      <c r="F20" s="879">
        <v>0.28740224691700783</v>
      </c>
      <c r="I20" s="793" t="s">
        <v>1811</v>
      </c>
      <c r="J20" s="879">
        <v>0.82853909178712781</v>
      </c>
      <c r="K20" s="879">
        <v>0.84506101086723739</v>
      </c>
      <c r="L20" s="879">
        <v>0.84021592671347656</v>
      </c>
      <c r="M20" s="879">
        <v>0.75974352392084399</v>
      </c>
      <c r="N20" s="879">
        <v>0.80735740714025805</v>
      </c>
      <c r="Q20" s="793" t="s">
        <v>1811</v>
      </c>
      <c r="R20" s="924">
        <v>15.947887903260716</v>
      </c>
      <c r="S20" s="924">
        <v>21.301889791181399</v>
      </c>
      <c r="T20" s="924">
        <v>19.020344935571899</v>
      </c>
      <c r="U20" s="924">
        <v>13.900086113257533</v>
      </c>
      <c r="V20" s="924">
        <v>29.966035993372564</v>
      </c>
      <c r="Y20" s="793" t="s">
        <v>1811</v>
      </c>
      <c r="Z20" s="924">
        <v>13.213448559290558</v>
      </c>
      <c r="AA20" s="924">
        <v>21.301889791181399</v>
      </c>
      <c r="AB20" s="924">
        <v>15.981196746451525</v>
      </c>
      <c r="AC20" s="924">
        <v>10.560500406489465</v>
      </c>
      <c r="AD20" s="924">
        <v>24.193301121880921</v>
      </c>
      <c r="AF20" s="793" t="s">
        <v>1811</v>
      </c>
      <c r="AG20" s="923">
        <v>2.059002262161846</v>
      </c>
      <c r="AH20" s="923">
        <v>2.4194743719010443</v>
      </c>
      <c r="AI20" s="923">
        <v>1.7769427525739554</v>
      </c>
      <c r="AJ20" s="923">
        <v>2.0253748768269362</v>
      </c>
      <c r="AK20" s="923">
        <v>1.8989199468943989</v>
      </c>
      <c r="AN20" s="793" t="s">
        <v>1811</v>
      </c>
      <c r="AO20" s="879">
        <v>0.26843738054790917</v>
      </c>
      <c r="AP20" s="879">
        <v>0.21228788399896351</v>
      </c>
      <c r="AQ20" s="879">
        <v>0.16858718848971652</v>
      </c>
      <c r="AR20" s="879">
        <v>0.27940826666723345</v>
      </c>
      <c r="AS20" s="879">
        <v>0.19299966921349759</v>
      </c>
      <c r="AV20" s="793" t="s">
        <v>1811</v>
      </c>
      <c r="AW20" s="560">
        <v>58.049389036662923</v>
      </c>
      <c r="AX20" s="560">
        <v>63.312522894032263</v>
      </c>
      <c r="AY20" s="560">
        <v>65.953761619193315</v>
      </c>
      <c r="AZ20" s="560">
        <v>68.640694629549358</v>
      </c>
      <c r="BA20" s="560">
        <v>40.668200958053752</v>
      </c>
      <c r="BD20" s="793" t="s">
        <v>1811</v>
      </c>
      <c r="BE20" s="924">
        <v>3.5469835192605013</v>
      </c>
      <c r="BF20" s="924">
        <v>3.8214783763246629</v>
      </c>
      <c r="BG20" s="924">
        <v>2.6942250281852673</v>
      </c>
      <c r="BH20" s="924">
        <v>2.9506911137158363</v>
      </c>
      <c r="BI20" s="924">
        <v>4.6692991137055575</v>
      </c>
    </row>
    <row r="21" spans="1:61">
      <c r="A21" s="793" t="s">
        <v>1812</v>
      </c>
      <c r="B21" s="879">
        <v>0.18070532789800547</v>
      </c>
      <c r="C21" s="879">
        <v>0.21730508077999697</v>
      </c>
      <c r="D21" s="879">
        <v>0.13154619379577412</v>
      </c>
      <c r="E21" s="879">
        <v>0.19631947561637567</v>
      </c>
      <c r="F21" s="879">
        <v>0.27412392190984786</v>
      </c>
      <c r="I21" s="793" t="s">
        <v>1812</v>
      </c>
      <c r="J21" s="879">
        <v>0.83219557694417212</v>
      </c>
      <c r="K21" s="879">
        <v>0.844691029474959</v>
      </c>
      <c r="L21" s="879">
        <v>0.85122891966336034</v>
      </c>
      <c r="M21" s="879">
        <v>0.79285603077789568</v>
      </c>
      <c r="N21" s="879">
        <v>0.82386655866845138</v>
      </c>
      <c r="Q21" s="793" t="s">
        <v>1812</v>
      </c>
      <c r="R21" s="924">
        <v>17.320902529695442</v>
      </c>
      <c r="S21" s="924">
        <v>22.357585516559421</v>
      </c>
      <c r="T21" s="924">
        <v>22.002296928691798</v>
      </c>
      <c r="U21" s="924">
        <v>15.507107239981128</v>
      </c>
      <c r="V21" s="924">
        <v>28.822274850514106</v>
      </c>
      <c r="Y21" s="793" t="s">
        <v>1812</v>
      </c>
      <c r="Z21" s="924">
        <v>14.414378473893668</v>
      </c>
      <c r="AA21" s="924">
        <v>22.357585516559421</v>
      </c>
      <c r="AB21" s="924">
        <v>18.728991444722787</v>
      </c>
      <c r="AC21" s="924">
        <v>12.294903495138605</v>
      </c>
      <c r="AD21" s="924">
        <v>23.745708394089309</v>
      </c>
      <c r="AF21" s="793" t="s">
        <v>1812</v>
      </c>
      <c r="AG21" s="923">
        <v>2.2570749915618</v>
      </c>
      <c r="AH21" s="923">
        <v>2.3202558013907799</v>
      </c>
      <c r="AI21" s="923">
        <v>2.2375346183306908</v>
      </c>
      <c r="AJ21" s="923">
        <v>2.4044698173526471</v>
      </c>
      <c r="AK21" s="923">
        <v>2.270421821865277</v>
      </c>
      <c r="AN21" s="793" t="s">
        <v>1812</v>
      </c>
      <c r="AO21" s="879">
        <v>0.26058959784069585</v>
      </c>
      <c r="AP21" s="879">
        <v>0.18722072154987307</v>
      </c>
      <c r="AQ21" s="879">
        <v>0.17898876589116341</v>
      </c>
      <c r="AR21" s="879">
        <v>0.2854091018373705</v>
      </c>
      <c r="AS21" s="879">
        <v>0.21082440146234716</v>
      </c>
      <c r="AV21" s="793" t="s">
        <v>1812</v>
      </c>
      <c r="AW21" s="560">
        <v>60.088725437211501</v>
      </c>
      <c r="AX21" s="560">
        <v>65.623466808631335</v>
      </c>
      <c r="AY21" s="560">
        <v>66.746669203067555</v>
      </c>
      <c r="AZ21" s="560">
        <v>68.521425096209882</v>
      </c>
      <c r="BA21" s="560">
        <v>45.352428369871923</v>
      </c>
      <c r="BD21" s="793" t="s">
        <v>1812</v>
      </c>
      <c r="BE21" s="924">
        <v>3.7562370896355342</v>
      </c>
      <c r="BF21" s="924">
        <v>3.535710492341134</v>
      </c>
      <c r="BG21" s="924">
        <v>3.3522790650770893</v>
      </c>
      <c r="BH21" s="924">
        <v>3.5090773637246571</v>
      </c>
      <c r="BI21" s="924">
        <v>5.0061747594833115</v>
      </c>
    </row>
    <row r="22" spans="1:61">
      <c r="A22" s="793" t="s">
        <v>1813</v>
      </c>
      <c r="B22" s="879">
        <v>0.17637681354074511</v>
      </c>
      <c r="C22" s="879">
        <v>0.21397090853580972</v>
      </c>
      <c r="D22" s="879">
        <v>0.12061928370443044</v>
      </c>
      <c r="E22" s="879">
        <v>0.2054360228066123</v>
      </c>
      <c r="F22" s="879">
        <v>0.28359697141240253</v>
      </c>
      <c r="I22" s="793" t="s">
        <v>1813</v>
      </c>
      <c r="J22" s="879">
        <v>0.83553885238867254</v>
      </c>
      <c r="K22" s="879">
        <v>0.84871440215268112</v>
      </c>
      <c r="L22" s="879">
        <v>0.86621859832005055</v>
      </c>
      <c r="M22" s="879">
        <v>0.80774232224296183</v>
      </c>
      <c r="N22" s="879">
        <v>0.83336760513878894</v>
      </c>
      <c r="Q22" s="793" t="s">
        <v>1813</v>
      </c>
      <c r="R22" s="924">
        <v>18.508321227556639</v>
      </c>
      <c r="S22" s="924">
        <v>24.676073503572361</v>
      </c>
      <c r="T22" s="924">
        <v>24.713951506934333</v>
      </c>
      <c r="U22" s="924">
        <v>16.28418089346798</v>
      </c>
      <c r="V22" s="924">
        <v>31.54051526001961</v>
      </c>
      <c r="Y22" s="793" t="s">
        <v>1813</v>
      </c>
      <c r="Z22" s="924">
        <v>15.464421478113582</v>
      </c>
      <c r="AA22" s="924">
        <v>24.676073503572361</v>
      </c>
      <c r="AB22" s="924">
        <v>21.407684433286356</v>
      </c>
      <c r="AC22" s="924">
        <v>13.153422090714296</v>
      </c>
      <c r="AD22" s="924">
        <v>26.284843667085973</v>
      </c>
      <c r="AF22" s="793" t="s">
        <v>1813</v>
      </c>
      <c r="AG22" s="923">
        <v>2.8838689247286551</v>
      </c>
      <c r="AH22" s="923">
        <v>2.9955562627291239</v>
      </c>
      <c r="AI22" s="923">
        <v>3.0860517625407886</v>
      </c>
      <c r="AJ22" s="923">
        <v>3.0904257331192944</v>
      </c>
      <c r="AK22" s="923">
        <v>3.0567689622371423</v>
      </c>
      <c r="AN22" s="793" t="s">
        <v>1813</v>
      </c>
      <c r="AO22" s="879">
        <v>0.30262026438008183</v>
      </c>
      <c r="AP22" s="879">
        <v>0.20785078185087083</v>
      </c>
      <c r="AQ22" s="879">
        <v>0.21693452050903794</v>
      </c>
      <c r="AR22" s="879">
        <v>0.34104961089786262</v>
      </c>
      <c r="AS22" s="879">
        <v>0.2491979948878385</v>
      </c>
      <c r="AV22" s="793" t="s">
        <v>1813</v>
      </c>
      <c r="AW22" s="560">
        <v>61.623141309563479</v>
      </c>
      <c r="AX22" s="560">
        <v>68.815804480651721</v>
      </c>
      <c r="AY22" s="560">
        <v>66.451508732298535</v>
      </c>
      <c r="AZ22" s="560">
        <v>68.890921856574153</v>
      </c>
      <c r="BA22" s="560">
        <v>46.66729980328958</v>
      </c>
      <c r="BD22" s="793" t="s">
        <v>1813</v>
      </c>
      <c r="BE22" s="924">
        <v>4.679847316191748</v>
      </c>
      <c r="BF22" s="924">
        <v>4.3530062393898996</v>
      </c>
      <c r="BG22" s="924">
        <v>4.6440657577437721</v>
      </c>
      <c r="BH22" s="924">
        <v>4.4859694860134605</v>
      </c>
      <c r="BI22" s="924">
        <v>6.5501303377781239</v>
      </c>
    </row>
    <row r="23" spans="1:61">
      <c r="A23" s="793" t="s">
        <v>1331</v>
      </c>
      <c r="B23" s="879">
        <v>0.15480576462524961</v>
      </c>
      <c r="C23" s="879">
        <v>0.19167663749189509</v>
      </c>
      <c r="D23" s="879">
        <v>0.19125170530652869</v>
      </c>
      <c r="E23" s="879">
        <v>0.18878079834479908</v>
      </c>
      <c r="F23" s="879">
        <v>0.27348509423152739</v>
      </c>
      <c r="I23" s="793" t="s">
        <v>1331</v>
      </c>
      <c r="J23" s="879">
        <v>0.84079899878126052</v>
      </c>
      <c r="K23" s="879">
        <v>0.85716888647112921</v>
      </c>
      <c r="L23" s="879">
        <v>0.85045737152494483</v>
      </c>
      <c r="M23" s="879">
        <v>0.80435452906343852</v>
      </c>
      <c r="N23" s="879">
        <v>0.83775915542826729</v>
      </c>
      <c r="Q23" s="793" t="s">
        <v>1331</v>
      </c>
      <c r="R23" s="924">
        <v>19.436431573753193</v>
      </c>
      <c r="S23" s="924">
        <v>25.754339328347879</v>
      </c>
      <c r="T23" s="924">
        <v>23.262737166846886</v>
      </c>
      <c r="U23" s="924">
        <v>19.034835662850803</v>
      </c>
      <c r="V23" s="924">
        <v>28.771348265416076</v>
      </c>
      <c r="Y23" s="793" t="s">
        <v>1331</v>
      </c>
      <c r="Z23" s="924">
        <v>16.342132207092163</v>
      </c>
      <c r="AA23" s="924">
        <v>25.754339328347879</v>
      </c>
      <c r="AB23" s="924">
        <v>19.783966305392244</v>
      </c>
      <c r="AC23" s="924">
        <v>15.310756275392302</v>
      </c>
      <c r="AD23" s="924">
        <v>24.103460423367515</v>
      </c>
      <c r="AF23" s="793" t="s">
        <v>1331</v>
      </c>
      <c r="AG23" s="923">
        <v>3.1933454361775016</v>
      </c>
      <c r="AH23" s="923">
        <v>3.2502278826419095</v>
      </c>
      <c r="AI23" s="923">
        <v>3.0845176398920784</v>
      </c>
      <c r="AJ23" s="923">
        <v>3.1776132015813867</v>
      </c>
      <c r="AK23" s="923">
        <v>3.1798673582012285</v>
      </c>
      <c r="AN23" s="793" t="s">
        <v>1331</v>
      </c>
      <c r="AO23" s="879">
        <v>0.31351551506656922</v>
      </c>
      <c r="AP23" s="879">
        <v>0.20859976238513989</v>
      </c>
      <c r="AQ23" s="879">
        <v>0.22417268729722886</v>
      </c>
      <c r="AR23" s="879">
        <v>0.34305290144275541</v>
      </c>
      <c r="AS23" s="879">
        <v>0.2396801106345921</v>
      </c>
      <c r="AV23" s="793" t="s">
        <v>1331</v>
      </c>
      <c r="AW23" s="560">
        <v>62.327275481166652</v>
      </c>
      <c r="AX23" s="560">
        <v>70.580249648292963</v>
      </c>
      <c r="AY23" s="560">
        <v>69.54904910234049</v>
      </c>
      <c r="AZ23" s="560">
        <v>60.49831670510946</v>
      </c>
      <c r="BA23" s="560">
        <v>55.042431603520185</v>
      </c>
      <c r="BD23" s="793" t="s">
        <v>1331</v>
      </c>
      <c r="BE23" s="924">
        <v>5.1235119961924696</v>
      </c>
      <c r="BF23" s="924">
        <v>4.6050104651627839</v>
      </c>
      <c r="BG23" s="924">
        <v>4.4350248920776076</v>
      </c>
      <c r="BH23" s="924">
        <v>5.2523993635562052</v>
      </c>
      <c r="BI23" s="924">
        <v>5.7771200609492386</v>
      </c>
    </row>
    <row r="24" spans="1:61">
      <c r="A24" s="793" t="s">
        <v>1332</v>
      </c>
      <c r="B24" s="879">
        <v>0.15040831447576583</v>
      </c>
      <c r="C24" s="879">
        <v>0.19191377655525238</v>
      </c>
      <c r="D24" s="879">
        <v>0.18246524104247636</v>
      </c>
      <c r="E24" s="879">
        <v>0.19513592354507975</v>
      </c>
      <c r="F24" s="879">
        <v>0.28007674438142566</v>
      </c>
      <c r="I24" s="793" t="s">
        <v>1332</v>
      </c>
      <c r="J24" s="879">
        <v>0.8453180034853488</v>
      </c>
      <c r="K24" s="879">
        <v>0.84841061123237294</v>
      </c>
      <c r="L24" s="879">
        <v>0.85879920714280988</v>
      </c>
      <c r="M24" s="879">
        <v>0.80112683969181353</v>
      </c>
      <c r="N24" s="879">
        <v>0.83719004299218713</v>
      </c>
      <c r="Q24" s="793" t="s">
        <v>1332</v>
      </c>
      <c r="R24" s="924">
        <v>19.778232251302605</v>
      </c>
      <c r="S24" s="924">
        <v>26.320104838955416</v>
      </c>
      <c r="T24" s="924">
        <v>24.448725619625243</v>
      </c>
      <c r="U24" s="924">
        <v>19.392261365473388</v>
      </c>
      <c r="V24" s="924">
        <v>28.812384395690952</v>
      </c>
      <c r="Y24" s="793" t="s">
        <v>1332</v>
      </c>
      <c r="Z24" s="924">
        <v>16.718895799140654</v>
      </c>
      <c r="AA24" s="924">
        <v>26.320104838955416</v>
      </c>
      <c r="AB24" s="924">
        <v>20.996546177786264</v>
      </c>
      <c r="AC24" s="924">
        <v>15.535661062199347</v>
      </c>
      <c r="AD24" s="924">
        <v>24.12144133093593</v>
      </c>
      <c r="AF24" s="793" t="s">
        <v>1332</v>
      </c>
      <c r="AG24" s="923">
        <v>3.1541495691870742</v>
      </c>
      <c r="AH24" s="923">
        <v>3.054555782676696</v>
      </c>
      <c r="AI24" s="923">
        <v>2.9610669778097671</v>
      </c>
      <c r="AJ24" s="923">
        <v>3.0322582434036138</v>
      </c>
      <c r="AK24" s="923">
        <v>3.0476157655839229</v>
      </c>
      <c r="AN24" s="793" t="s">
        <v>1332</v>
      </c>
      <c r="AO24" s="879">
        <v>0.29950077379131684</v>
      </c>
      <c r="AP24" s="879">
        <v>0.19663846646111827</v>
      </c>
      <c r="AQ24" s="879">
        <v>0.20141631853651223</v>
      </c>
      <c r="AR24" s="879">
        <v>0.31267549916315079</v>
      </c>
      <c r="AS24" s="879">
        <v>0.22244813077703507</v>
      </c>
      <c r="AV24" s="793" t="s">
        <v>1332</v>
      </c>
      <c r="AW24" s="560">
        <v>62.990744854783941</v>
      </c>
      <c r="AX24" s="560">
        <v>69.56421289957315</v>
      </c>
      <c r="AY24" s="560">
        <v>70.017357447810568</v>
      </c>
      <c r="AZ24" s="560">
        <v>62.422706653505315</v>
      </c>
      <c r="BA24" s="560">
        <v>56.797366068351657</v>
      </c>
      <c r="BD24" s="793" t="s">
        <v>1332</v>
      </c>
      <c r="BE24" s="924">
        <v>5.0073222287790227</v>
      </c>
      <c r="BF24" s="924">
        <v>4.3909873415608489</v>
      </c>
      <c r="BG24" s="924">
        <v>4.2290470331115859</v>
      </c>
      <c r="BH24" s="924">
        <v>4.8576205774527059</v>
      </c>
      <c r="BI24" s="924">
        <v>5.3657695357146142</v>
      </c>
    </row>
    <row r="25" spans="1:61">
      <c r="A25" s="793" t="s">
        <v>1333</v>
      </c>
      <c r="B25" s="879">
        <v>0.14512420058942557</v>
      </c>
      <c r="C25" s="879">
        <v>0.19287692057421429</v>
      </c>
      <c r="D25" s="879">
        <v>0.17383190829941869</v>
      </c>
      <c r="E25" s="879">
        <v>0.20330048352518165</v>
      </c>
      <c r="F25" s="879">
        <v>0.28486648701175982</v>
      </c>
      <c r="I25" s="793" t="s">
        <v>1333</v>
      </c>
      <c r="J25" s="879">
        <v>0.84975463220679714</v>
      </c>
      <c r="K25" s="879">
        <v>0.86787951515479422</v>
      </c>
      <c r="L25" s="879">
        <v>0.86117515662313993</v>
      </c>
      <c r="M25" s="879">
        <v>0.82588562040484315</v>
      </c>
      <c r="N25" s="879">
        <v>0.84775596752689719</v>
      </c>
      <c r="Q25" s="793" t="s">
        <v>1333</v>
      </c>
      <c r="R25" s="924">
        <v>21.040254890453724</v>
      </c>
      <c r="S25" s="924">
        <v>26.713356611455289</v>
      </c>
      <c r="T25" s="924">
        <v>24.902459479016507</v>
      </c>
      <c r="U25" s="924">
        <v>18.282416172888709</v>
      </c>
      <c r="V25" s="924">
        <v>28.738891735453755</v>
      </c>
      <c r="Y25" s="793" t="s">
        <v>1333</v>
      </c>
      <c r="Z25" s="924">
        <v>17.87905405597477</v>
      </c>
      <c r="AA25" s="924">
        <v>26.713356611455289</v>
      </c>
      <c r="AB25" s="924">
        <v>21.445379442143437</v>
      </c>
      <c r="AC25" s="924">
        <v>15.099184623445728</v>
      </c>
      <c r="AD25" s="924">
        <v>24.363566968840349</v>
      </c>
      <c r="AF25" s="793" t="s">
        <v>1333</v>
      </c>
      <c r="AG25" s="923">
        <v>2.9746452729251374</v>
      </c>
      <c r="AH25" s="923">
        <v>2.8506971964824235</v>
      </c>
      <c r="AI25" s="923">
        <v>2.7996696551733624</v>
      </c>
      <c r="AJ25" s="923">
        <v>2.8146810464825367</v>
      </c>
      <c r="AK25" s="923">
        <v>2.8748736981190737</v>
      </c>
      <c r="AN25" s="793" t="s">
        <v>1333</v>
      </c>
      <c r="AO25" s="879">
        <v>0.25706197323860785</v>
      </c>
      <c r="AP25" s="879">
        <v>0.17491061930772353</v>
      </c>
      <c r="AQ25" s="879">
        <v>0.18240982423247176</v>
      </c>
      <c r="AR25" s="879">
        <v>0.27362202239551631</v>
      </c>
      <c r="AS25" s="879">
        <v>0.20285261485353198</v>
      </c>
      <c r="AV25" s="793" t="s">
        <v>1333</v>
      </c>
      <c r="AW25" s="560">
        <v>64.722131140824942</v>
      </c>
      <c r="AX25" s="560">
        <v>70.298654306693408</v>
      </c>
      <c r="AY25" s="560">
        <v>71.568980455743841</v>
      </c>
      <c r="AZ25" s="560">
        <v>68.127843906348744</v>
      </c>
      <c r="BA25" s="560">
        <v>58.169762066687397</v>
      </c>
      <c r="BD25" s="793" t="s">
        <v>1333</v>
      </c>
      <c r="BE25" s="924">
        <v>4.5960249152686092</v>
      </c>
      <c r="BF25" s="924">
        <v>4.0551234224849129</v>
      </c>
      <c r="BG25" s="924">
        <v>3.9118478946400481</v>
      </c>
      <c r="BH25" s="924">
        <v>4.1314694331905031</v>
      </c>
      <c r="BI25" s="924">
        <v>4.9422132667884053</v>
      </c>
    </row>
    <row r="26" spans="1:61">
      <c r="A26" s="793" t="s">
        <v>1334</v>
      </c>
      <c r="B26" s="879">
        <v>0.17456836678186116</v>
      </c>
      <c r="C26" s="879">
        <v>0.18154877523300036</v>
      </c>
      <c r="D26" s="879">
        <v>0.15954339935392478</v>
      </c>
      <c r="E26" s="879">
        <v>0.20291999310294473</v>
      </c>
      <c r="F26" s="879">
        <v>0.28141946552826902</v>
      </c>
      <c r="I26" s="793" t="s">
        <v>1334</v>
      </c>
      <c r="J26" s="879">
        <v>0.86209734494611745</v>
      </c>
      <c r="K26" s="879">
        <v>0.87250518294354629</v>
      </c>
      <c r="L26" s="879">
        <v>0.86324397055555357</v>
      </c>
      <c r="M26" s="879">
        <v>0.83741966078168217</v>
      </c>
      <c r="N26" s="879">
        <v>0.85261312022316538</v>
      </c>
      <c r="Q26" s="793" t="s">
        <v>1334</v>
      </c>
      <c r="R26" s="924">
        <v>20.3788278414088</v>
      </c>
      <c r="S26" s="924">
        <v>26.016278266284388</v>
      </c>
      <c r="T26" s="924">
        <v>23.609609335401316</v>
      </c>
      <c r="U26" s="924">
        <v>17.042854759904763</v>
      </c>
      <c r="V26" s="924">
        <v>25.55080089711144</v>
      </c>
      <c r="Y26" s="793" t="s">
        <v>1334</v>
      </c>
      <c r="Z26" s="924">
        <v>17.568533375192544</v>
      </c>
      <c r="AA26" s="924">
        <v>26.016278266284388</v>
      </c>
      <c r="AB26" s="924">
        <v>20.380852905957294</v>
      </c>
      <c r="AC26" s="924">
        <v>14.272021651790926</v>
      </c>
      <c r="AD26" s="924">
        <v>21.784948077087041</v>
      </c>
      <c r="AF26" s="793" t="s">
        <v>1334</v>
      </c>
      <c r="AG26" s="923">
        <v>1.6528707802328364</v>
      </c>
      <c r="AH26" s="923">
        <v>2.3095964152137993</v>
      </c>
      <c r="AI26" s="923">
        <v>1.6364575202393652</v>
      </c>
      <c r="AJ26" s="923">
        <v>1.8027369547142034</v>
      </c>
      <c r="AK26" s="923">
        <v>1.824687657102426</v>
      </c>
      <c r="AN26" s="793" t="s">
        <v>1334</v>
      </c>
      <c r="AO26" s="879">
        <v>0.14237269978111042</v>
      </c>
      <c r="AP26" s="879">
        <v>0.14580873138702322</v>
      </c>
      <c r="AQ26" s="879">
        <v>0.10830797029600717</v>
      </c>
      <c r="AR26" s="879">
        <v>0.1742672825781455</v>
      </c>
      <c r="AS26" s="879">
        <v>0.13339262953333789</v>
      </c>
      <c r="AV26" s="793" t="s">
        <v>1334</v>
      </c>
      <c r="AW26" s="560">
        <v>66.081010212918329</v>
      </c>
      <c r="AX26" s="560">
        <v>69.781352204788249</v>
      </c>
      <c r="AY26" s="560">
        <v>74.134773403844136</v>
      </c>
      <c r="AZ26" s="560">
        <v>72.482139887619638</v>
      </c>
      <c r="BA26" s="560">
        <v>62.791400748505779</v>
      </c>
      <c r="BD26" s="793" t="s">
        <v>1334</v>
      </c>
      <c r="BE26" s="924">
        <v>2.5012795278207065</v>
      </c>
      <c r="BF26" s="924">
        <v>3.3097616228986171</v>
      </c>
      <c r="BG26" s="924">
        <v>2.2074088111457142</v>
      </c>
      <c r="BH26" s="924">
        <v>2.48714643015406</v>
      </c>
      <c r="BI26" s="924">
        <v>2.9059515082498732</v>
      </c>
    </row>
    <row r="27" spans="1:61">
      <c r="A27" s="793" t="s">
        <v>1335</v>
      </c>
      <c r="B27" s="879">
        <v>0.19994961913426892</v>
      </c>
      <c r="C27" s="879">
        <v>0.17335674635426754</v>
      </c>
      <c r="D27" s="879">
        <v>0.14999683614498729</v>
      </c>
      <c r="E27" s="879">
        <v>0.19388608177660266</v>
      </c>
      <c r="F27" s="879">
        <v>0.2828107165898735</v>
      </c>
      <c r="I27" s="793" t="s">
        <v>1335</v>
      </c>
      <c r="J27" s="879">
        <v>0.84894191279602893</v>
      </c>
      <c r="K27" s="879">
        <v>0.86415376457044657</v>
      </c>
      <c r="L27" s="879">
        <v>0.85746382801892373</v>
      </c>
      <c r="M27" s="879">
        <v>0.84112387487353402</v>
      </c>
      <c r="N27" s="879">
        <v>0.84835684137362433</v>
      </c>
      <c r="Q27" s="793" t="s">
        <v>1335</v>
      </c>
      <c r="R27" s="924">
        <v>21.520652580743043</v>
      </c>
      <c r="S27" s="924">
        <v>25.35883557349338</v>
      </c>
      <c r="T27" s="924">
        <v>23.248923234433544</v>
      </c>
      <c r="U27" s="924">
        <v>16.552210879321308</v>
      </c>
      <c r="V27" s="924">
        <v>23.989545942258964</v>
      </c>
      <c r="Y27" s="793" t="s">
        <v>1335</v>
      </c>
      <c r="Z27" s="924">
        <v>18.269783966514794</v>
      </c>
      <c r="AA27" s="924">
        <v>25.35883557349338</v>
      </c>
      <c r="AB27" s="924">
        <v>19.935110713915485</v>
      </c>
      <c r="AC27" s="924">
        <v>13.922459752538604</v>
      </c>
      <c r="AD27" s="924">
        <v>20.351695421562258</v>
      </c>
      <c r="AF27" s="793" t="s">
        <v>1335</v>
      </c>
      <c r="AG27" s="923">
        <v>1.2927721435164656</v>
      </c>
      <c r="AH27" s="923">
        <v>1.6415544104998498</v>
      </c>
      <c r="AI27" s="923">
        <v>1.3132668841955306</v>
      </c>
      <c r="AJ27" s="923">
        <v>1.743509348851189</v>
      </c>
      <c r="AK27" s="923">
        <v>1.4578188102764318</v>
      </c>
      <c r="AN27" s="793" t="s">
        <v>1335</v>
      </c>
      <c r="AO27" s="879">
        <v>0.10415087522340295</v>
      </c>
      <c r="AP27" s="879">
        <v>0.11103702992803771</v>
      </c>
      <c r="AQ27" s="879">
        <v>8.8774710301098014E-2</v>
      </c>
      <c r="AR27" s="879">
        <v>0.17221312784526369</v>
      </c>
      <c r="AS27" s="879">
        <v>0.10773732958867485</v>
      </c>
      <c r="AV27" s="793" t="s">
        <v>1335</v>
      </c>
      <c r="AW27" s="560">
        <v>67.940016740323188</v>
      </c>
      <c r="AX27" s="560">
        <v>67.463227096833009</v>
      </c>
      <c r="AY27" s="560">
        <v>74.20703466224947</v>
      </c>
      <c r="AZ27" s="560">
        <v>72.718021574466263</v>
      </c>
      <c r="BA27" s="560">
        <v>66.487001692441325</v>
      </c>
      <c r="BD27" s="793" t="s">
        <v>1335</v>
      </c>
      <c r="BE27" s="924">
        <v>1.9028139902550105</v>
      </c>
      <c r="BF27" s="924">
        <v>2.4332580594516364</v>
      </c>
      <c r="BG27" s="924">
        <v>1.7697336784481628</v>
      </c>
      <c r="BH27" s="924">
        <v>2.3976303412844691</v>
      </c>
      <c r="BI27" s="924">
        <v>2.1926373173211782</v>
      </c>
    </row>
    <row r="28" spans="1:61">
      <c r="A28" s="793" t="s">
        <v>1336</v>
      </c>
      <c r="B28" s="879">
        <v>0.19005706470715319</v>
      </c>
      <c r="C28" s="879">
        <v>0.170490520440509</v>
      </c>
      <c r="D28" s="879">
        <v>0.15321306094714218</v>
      </c>
      <c r="E28" s="879">
        <v>0.1910048283099394</v>
      </c>
      <c r="F28" s="879">
        <v>0.29523452559525626</v>
      </c>
      <c r="I28" s="793" t="s">
        <v>1336</v>
      </c>
      <c r="J28" s="879">
        <v>0.85027976708240238</v>
      </c>
      <c r="K28" s="879">
        <v>0.86938550445163443</v>
      </c>
      <c r="L28" s="879">
        <v>0.85865560186379275</v>
      </c>
      <c r="M28" s="879">
        <v>0.84060988057013752</v>
      </c>
      <c r="N28" s="879">
        <v>0.84760706354727799</v>
      </c>
      <c r="Q28" s="793" t="s">
        <v>1336</v>
      </c>
      <c r="R28" s="924">
        <v>23.603640218267689</v>
      </c>
      <c r="S28" s="924">
        <v>25.808503334383158</v>
      </c>
      <c r="T28" s="924">
        <v>22.653076992982836</v>
      </c>
      <c r="U28" s="924">
        <v>16.594520217426684</v>
      </c>
      <c r="V28" s="924">
        <v>24.401137036803519</v>
      </c>
      <c r="Y28" s="793" t="s">
        <v>1336</v>
      </c>
      <c r="Z28" s="924">
        <v>20.069697707085474</v>
      </c>
      <c r="AA28" s="924">
        <v>25.808503334383158</v>
      </c>
      <c r="AB28" s="924">
        <v>19.451191459476512</v>
      </c>
      <c r="AC28" s="924">
        <v>13.949517658089775</v>
      </c>
      <c r="AD28" s="924">
        <v>20.68257611097976</v>
      </c>
      <c r="AF28" s="793" t="s">
        <v>1336</v>
      </c>
      <c r="AG28" s="923">
        <v>1.5805244880718308</v>
      </c>
      <c r="AH28" s="923">
        <v>1.7409641115737313</v>
      </c>
      <c r="AI28" s="923">
        <v>1.6152038816926708</v>
      </c>
      <c r="AJ28" s="923">
        <v>1.8311319952625096</v>
      </c>
      <c r="AK28" s="923">
        <v>1.697470988677648</v>
      </c>
      <c r="AN28" s="793" t="s">
        <v>1336</v>
      </c>
      <c r="AO28" s="879">
        <v>0.11424664108863196</v>
      </c>
      <c r="AP28" s="879">
        <v>0.11720643134689551</v>
      </c>
      <c r="AQ28" s="879">
        <v>0.11132551593655834</v>
      </c>
      <c r="AR28" s="879">
        <v>0.17911775511283634</v>
      </c>
      <c r="AS28" s="879">
        <v>0.11990855431052409</v>
      </c>
      <c r="AV28" s="793" t="s">
        <v>1336</v>
      </c>
      <c r="AW28" s="560">
        <v>68.931377514784032</v>
      </c>
      <c r="AX28" s="560">
        <v>66.200788293752737</v>
      </c>
      <c r="AY28" s="560">
        <v>74.590999124411354</v>
      </c>
      <c r="AZ28" s="560">
        <v>73.286135722378319</v>
      </c>
      <c r="BA28" s="560">
        <v>68.445919544284152</v>
      </c>
      <c r="BD28" s="793" t="s">
        <v>1336</v>
      </c>
      <c r="BE28" s="924">
        <v>2.2928955506987343</v>
      </c>
      <c r="BF28" s="924">
        <v>2.6298238381219141</v>
      </c>
      <c r="BG28" s="924">
        <v>2.1654139248069999</v>
      </c>
      <c r="BH28" s="924">
        <v>2.4986062878239106</v>
      </c>
      <c r="BI28" s="924">
        <v>2.4800178008849647</v>
      </c>
    </row>
    <row r="29" spans="1:61">
      <c r="A29" s="793" t="s">
        <v>1461</v>
      </c>
      <c r="B29" s="879">
        <v>0.18042825138341242</v>
      </c>
      <c r="C29" s="879">
        <v>0.16807910621639158</v>
      </c>
      <c r="D29" s="879">
        <v>0.15083835198733433</v>
      </c>
      <c r="E29" s="879">
        <v>0.18414822208107104</v>
      </c>
      <c r="F29" s="879">
        <v>0.31650606833179051</v>
      </c>
      <c r="I29" s="793" t="s">
        <v>1461</v>
      </c>
      <c r="J29" s="879">
        <v>0.85132935611497773</v>
      </c>
      <c r="K29" s="879">
        <v>0.86540635222499218</v>
      </c>
      <c r="L29" s="879">
        <v>0.8591815067409232</v>
      </c>
      <c r="M29" s="879">
        <v>0.83467137866423924</v>
      </c>
      <c r="N29" s="879">
        <v>0.84601770917092955</v>
      </c>
      <c r="Q29" s="793" t="s">
        <v>1461</v>
      </c>
      <c r="R29" s="924">
        <v>23.690299198592044</v>
      </c>
      <c r="S29" s="924">
        <v>25.983522676193523</v>
      </c>
      <c r="T29" s="924">
        <v>23.573744999747824</v>
      </c>
      <c r="U29" s="924">
        <v>16.645987015151015</v>
      </c>
      <c r="V29" s="924">
        <v>24.263175401979797</v>
      </c>
      <c r="Y29" s="793" t="s">
        <v>1461</v>
      </c>
      <c r="Z29" s="924">
        <v>20.168247162908536</v>
      </c>
      <c r="AA29" s="924">
        <v>25.983522676193523</v>
      </c>
      <c r="AB29" s="924">
        <v>20.254125748409642</v>
      </c>
      <c r="AC29" s="924">
        <v>13.893928931163122</v>
      </c>
      <c r="AD29" s="924">
        <v>20.527076070795395</v>
      </c>
      <c r="AF29" s="793" t="s">
        <v>1461</v>
      </c>
      <c r="AG29" s="923">
        <v>2.0682519358852045</v>
      </c>
      <c r="AH29" s="923">
        <v>2.2061970345274893</v>
      </c>
      <c r="AI29" s="923">
        <v>2.1139069975484626</v>
      </c>
      <c r="AJ29" s="923">
        <v>2.0935128748559357</v>
      </c>
      <c r="AK29" s="923">
        <v>2.1439688059147226</v>
      </c>
      <c r="AN29" s="793" t="s">
        <v>1461</v>
      </c>
      <c r="AO29" s="879">
        <v>0.14993342477262159</v>
      </c>
      <c r="AP29" s="879">
        <v>0.14688081174542117</v>
      </c>
      <c r="AQ29" s="879">
        <v>0.140009574024026</v>
      </c>
      <c r="AR29" s="879">
        <v>0.20236563425919543</v>
      </c>
      <c r="AS29" s="879">
        <v>0.14795968690601211</v>
      </c>
      <c r="AV29" s="793" t="s">
        <v>1461</v>
      </c>
      <c r="AW29" s="560">
        <v>68.396963770562763</v>
      </c>
      <c r="AX29" s="560">
        <v>66.797640831434677</v>
      </c>
      <c r="AY29" s="560">
        <v>74.54433419384344</v>
      </c>
      <c r="AZ29" s="560">
        <v>74.458417289976239</v>
      </c>
      <c r="BA29" s="560">
        <v>70.590777742142407</v>
      </c>
      <c r="BD29" s="793" t="s">
        <v>1461</v>
      </c>
      <c r="BE29" s="924">
        <v>3.0238943687955864</v>
      </c>
      <c r="BF29" s="924">
        <v>3.3028068163288524</v>
      </c>
      <c r="BG29" s="924">
        <v>2.8357715182638903</v>
      </c>
      <c r="BH29" s="924">
        <v>2.811653740507011</v>
      </c>
      <c r="BI29" s="924">
        <v>3.0371797485307801</v>
      </c>
    </row>
    <row r="30" spans="1:61">
      <c r="A30" s="793" t="s">
        <v>1462</v>
      </c>
      <c r="B30" s="879">
        <v>0.17489259781081165</v>
      </c>
      <c r="C30" s="879">
        <v>0.17160565182075491</v>
      </c>
      <c r="D30" s="879">
        <v>0.14931949754600612</v>
      </c>
      <c r="E30" s="879">
        <v>0.17408314751026949</v>
      </c>
      <c r="F30" s="879">
        <v>0.33009910531215764</v>
      </c>
      <c r="I30" s="793" t="s">
        <v>1462</v>
      </c>
      <c r="J30" s="879">
        <v>0.86930544748793603</v>
      </c>
      <c r="K30" s="879">
        <v>0.87744824222765783</v>
      </c>
      <c r="L30" s="879">
        <v>0.85781036162601065</v>
      </c>
      <c r="M30" s="879">
        <v>0.83500474082178944</v>
      </c>
      <c r="N30" s="879">
        <v>0.85180572356016859</v>
      </c>
      <c r="Q30" s="793" t="s">
        <v>1462</v>
      </c>
      <c r="R30" s="924">
        <v>23.885392406809771</v>
      </c>
      <c r="S30" s="924">
        <v>25.886904235403215</v>
      </c>
      <c r="T30" s="924">
        <v>24.100420847944044</v>
      </c>
      <c r="U30" s="924">
        <v>17.182295492724119</v>
      </c>
      <c r="V30" s="924">
        <v>24.107302396851335</v>
      </c>
      <c r="Y30" s="793" t="s">
        <v>1462</v>
      </c>
      <c r="Z30" s="924">
        <v>20.763701734626714</v>
      </c>
      <c r="AA30" s="924">
        <v>25.886904235403215</v>
      </c>
      <c r="AB30" s="924">
        <v>20.673590722913929</v>
      </c>
      <c r="AC30" s="924">
        <v>14.347298194625504</v>
      </c>
      <c r="AD30" s="924">
        <v>20.53473816123374</v>
      </c>
      <c r="AF30" s="793" t="s">
        <v>1462</v>
      </c>
      <c r="AG30" s="923">
        <v>1.9234619832823843</v>
      </c>
      <c r="AH30" s="923">
        <v>2.0065128892274497</v>
      </c>
      <c r="AI30" s="923">
        <v>1.9565209714834753</v>
      </c>
      <c r="AJ30" s="923">
        <v>1.9895597063734427</v>
      </c>
      <c r="AK30" s="923">
        <v>1.9967826921972074</v>
      </c>
      <c r="AN30" s="793" t="s">
        <v>1462</v>
      </c>
      <c r="AO30" s="879">
        <v>0.1378628132645959</v>
      </c>
      <c r="AP30" s="879">
        <v>0.12906029770033181</v>
      </c>
      <c r="AQ30" s="879">
        <v>0.12741836563050754</v>
      </c>
      <c r="AR30" s="879">
        <v>0.18714794240109378</v>
      </c>
      <c r="AS30" s="879">
        <v>0.13565716035923692</v>
      </c>
      <c r="AV30" s="793" t="s">
        <v>1462</v>
      </c>
      <c r="AW30" s="560">
        <v>67.194184687381622</v>
      </c>
      <c r="AX30" s="560">
        <v>68.445935849342646</v>
      </c>
      <c r="AY30" s="560">
        <v>74.273957178225857</v>
      </c>
      <c r="AZ30" s="560">
        <v>74.097199708751759</v>
      </c>
      <c r="BA30" s="560">
        <v>71.680151098562888</v>
      </c>
      <c r="BD30" s="793" t="s">
        <v>1462</v>
      </c>
      <c r="BE30" s="924">
        <v>2.8625423349226087</v>
      </c>
      <c r="BF30" s="924">
        <v>2.9315296289381076</v>
      </c>
      <c r="BG30" s="924">
        <v>2.634195141627715</v>
      </c>
      <c r="BH30" s="924">
        <v>2.6850673361390904</v>
      </c>
      <c r="BI30" s="924">
        <v>2.7856842676734273</v>
      </c>
    </row>
    <row r="31" spans="1:61">
      <c r="A31" s="793" t="s">
        <v>1814</v>
      </c>
      <c r="B31" s="879">
        <v>0.17443434301312069</v>
      </c>
      <c r="C31" s="879">
        <v>0.16794793328110971</v>
      </c>
      <c r="D31" s="879">
        <v>0.11748476154493855</v>
      </c>
      <c r="E31" s="879">
        <v>0.19851268897934252</v>
      </c>
      <c r="F31" s="879">
        <v>0.34162027318148852</v>
      </c>
      <c r="I31" s="793" t="s">
        <v>1814</v>
      </c>
      <c r="J31" s="879">
        <v>0.65713378918644527</v>
      </c>
      <c r="K31" s="879">
        <v>0.54795322517858713</v>
      </c>
      <c r="L31" s="879">
        <v>0.62767487966575852</v>
      </c>
      <c r="M31" s="879">
        <v>0.52158134501211517</v>
      </c>
      <c r="N31" s="879">
        <v>0.58898024115283076</v>
      </c>
      <c r="Q31" s="793" t="s">
        <v>1814</v>
      </c>
      <c r="R31" s="924">
        <v>22.694770411298684</v>
      </c>
      <c r="S31" s="924">
        <v>28.589540737103118</v>
      </c>
      <c r="T31" s="924">
        <v>26.262199427904427</v>
      </c>
      <c r="U31" s="924">
        <v>16.728377099380616</v>
      </c>
      <c r="V31" s="924">
        <v>30.778807773561329</v>
      </c>
      <c r="Y31" s="793" t="s">
        <v>1814</v>
      </c>
      <c r="Z31" s="924">
        <v>14.913500475093127</v>
      </c>
      <c r="AA31" s="924">
        <v>28.589540737103118</v>
      </c>
      <c r="AB31" s="924">
        <v>16.484122865668063</v>
      </c>
      <c r="AC31" s="924">
        <v>8.7252094273648062</v>
      </c>
      <c r="AD31" s="924">
        <v>18.128109624868774</v>
      </c>
      <c r="AF31" s="793" t="s">
        <v>1814</v>
      </c>
      <c r="AG31" s="923">
        <v>1.3460803541432633</v>
      </c>
      <c r="AH31" s="923">
        <v>1.5751005339722861</v>
      </c>
      <c r="AI31" s="923">
        <v>1.4562142021919653</v>
      </c>
      <c r="AJ31" s="923">
        <v>1.4151514960321905</v>
      </c>
      <c r="AK31" s="923">
        <v>1.4332900121667957</v>
      </c>
      <c r="AN31" s="793" t="s">
        <v>1814</v>
      </c>
      <c r="AO31" s="879">
        <v>0.12429714931265098</v>
      </c>
      <c r="AP31" s="879">
        <v>0.13416265435209343</v>
      </c>
      <c r="AQ31" s="879">
        <v>0.11120461041714783</v>
      </c>
      <c r="AR31" s="879">
        <v>0.2024298390215572</v>
      </c>
      <c r="AS31" s="879">
        <v>0.11174297789263912</v>
      </c>
      <c r="AV31" s="793" t="s">
        <v>1814</v>
      </c>
      <c r="AW31" s="560">
        <v>72.615649299254159</v>
      </c>
      <c r="AX31" s="560">
        <v>74.942119287525415</v>
      </c>
      <c r="AY31" s="560">
        <v>79.439522761955729</v>
      </c>
      <c r="AZ31" s="560">
        <v>80.122140866309053</v>
      </c>
      <c r="BA31" s="560">
        <v>70.755680925782542</v>
      </c>
      <c r="BD31" s="793" t="s">
        <v>1814</v>
      </c>
      <c r="BE31" s="924">
        <v>1.8537055953269417</v>
      </c>
      <c r="BF31" s="924">
        <v>2.1017560604727539</v>
      </c>
      <c r="BG31" s="924">
        <v>1.8331104613450155</v>
      </c>
      <c r="BH31" s="924">
        <v>1.7662427398108309</v>
      </c>
      <c r="BI31" s="924">
        <v>2.0256889530470499</v>
      </c>
    </row>
    <row r="32" spans="1:61">
      <c r="A32" s="793" t="s">
        <v>1821</v>
      </c>
      <c r="B32" s="879">
        <v>0.1774363436137141</v>
      </c>
      <c r="C32" s="879">
        <v>0.17263155993904925</v>
      </c>
      <c r="D32" s="879">
        <v>0.12796675858842171</v>
      </c>
      <c r="E32" s="879">
        <v>0.17470116856589296</v>
      </c>
      <c r="F32" s="879">
        <v>0.34726416929292203</v>
      </c>
      <c r="I32" s="793" t="s">
        <v>1821</v>
      </c>
      <c r="J32" s="879">
        <v>0.81811317214754586</v>
      </c>
      <c r="K32" s="879">
        <v>0.74601809337848102</v>
      </c>
      <c r="L32" s="879">
        <v>0.79711210304396518</v>
      </c>
      <c r="M32" s="879">
        <v>0.7848516518071772</v>
      </c>
      <c r="N32" s="879">
        <v>0.77727604692582752</v>
      </c>
      <c r="Q32" s="793" t="s">
        <v>1821</v>
      </c>
      <c r="R32" s="924">
        <v>23.106334900005784</v>
      </c>
      <c r="S32" s="924">
        <v>25.978451040483918</v>
      </c>
      <c r="T32" s="924">
        <v>24.158847166626437</v>
      </c>
      <c r="U32" s="924">
        <v>15.70407936982941</v>
      </c>
      <c r="V32" s="924">
        <v>25.201175741606541</v>
      </c>
      <c r="Y32" s="793" t="s">
        <v>1821</v>
      </c>
      <c r="Z32" s="924">
        <v>18.903596941747278</v>
      </c>
      <c r="AA32" s="924">
        <v>25.978451040483918</v>
      </c>
      <c r="AB32" s="924">
        <v>19.257309472107337</v>
      </c>
      <c r="AC32" s="924">
        <v>12.325372633521628</v>
      </c>
      <c r="AD32" s="924">
        <v>19.588270258318992</v>
      </c>
      <c r="AF32" s="793" t="s">
        <v>1821</v>
      </c>
      <c r="AG32" s="923">
        <v>1.7764288840607714</v>
      </c>
      <c r="AH32" s="923">
        <v>2.1155912361775067</v>
      </c>
      <c r="AI32" s="923">
        <v>1.8294515695138354</v>
      </c>
      <c r="AJ32" s="923">
        <v>1.8100849190890647</v>
      </c>
      <c r="AK32" s="923">
        <v>1.9873715774962517</v>
      </c>
      <c r="AN32" s="793" t="s">
        <v>1821</v>
      </c>
      <c r="AO32" s="879">
        <v>9.1581083394526669E-2</v>
      </c>
      <c r="AP32" s="879">
        <v>0.10610034028453501</v>
      </c>
      <c r="AQ32" s="879">
        <v>8.3017977080243083E-2</v>
      </c>
      <c r="AR32" s="879">
        <v>0.13642400253324885</v>
      </c>
      <c r="AS32" s="879">
        <v>0.13749640639946545</v>
      </c>
      <c r="AV32" s="793" t="s">
        <v>1821</v>
      </c>
      <c r="AW32" s="560">
        <v>102.61186954618762</v>
      </c>
      <c r="AX32" s="560">
        <v>102.88507276365345</v>
      </c>
      <c r="AY32" s="560">
        <v>114.43349458739976</v>
      </c>
      <c r="AZ32" s="560">
        <v>107.64853025946285</v>
      </c>
      <c r="BA32" s="560">
        <v>73.789002505559537</v>
      </c>
      <c r="BD32" s="793" t="s">
        <v>1821</v>
      </c>
      <c r="BE32" s="924">
        <v>1.7312118879786766</v>
      </c>
      <c r="BF32" s="924">
        <v>2.0562664527996413</v>
      </c>
      <c r="BG32" s="924">
        <v>1.598702876382555</v>
      </c>
      <c r="BH32" s="924">
        <v>1.6814766673787904</v>
      </c>
      <c r="BI32" s="924">
        <v>2.6933167681003902</v>
      </c>
    </row>
    <row r="33" spans="1:61">
      <c r="A33" s="793" t="s">
        <v>1330</v>
      </c>
      <c r="B33" s="879">
        <v>0.18905627828259863</v>
      </c>
      <c r="C33" s="879">
        <v>0.18041409560625152</v>
      </c>
      <c r="D33" s="879">
        <v>0.15705401057593874</v>
      </c>
      <c r="E33" s="879">
        <v>0.19028453862132938</v>
      </c>
      <c r="F33" s="879">
        <v>0.2831910769138819</v>
      </c>
      <c r="I33" s="793" t="s">
        <v>1330</v>
      </c>
      <c r="J33" s="879">
        <v>0.82129030545309767</v>
      </c>
      <c r="K33" s="879">
        <v>0.82061491901442452</v>
      </c>
      <c r="L33" s="879">
        <v>0.8310439217835035</v>
      </c>
      <c r="M33" s="879">
        <v>0.77608480196519092</v>
      </c>
      <c r="N33" s="879">
        <v>0.80816219034650516</v>
      </c>
      <c r="Q33" s="793" t="s">
        <v>1330</v>
      </c>
      <c r="R33" s="924">
        <v>19.530571275074177</v>
      </c>
      <c r="S33" s="924">
        <v>23.903599634869408</v>
      </c>
      <c r="T33" s="924">
        <v>21.803753733918946</v>
      </c>
      <c r="U33" s="924">
        <v>16.076400152989059</v>
      </c>
      <c r="V33" s="924">
        <v>27.62495840518493</v>
      </c>
      <c r="Y33" s="793" t="s">
        <v>1330</v>
      </c>
      <c r="Z33" s="924">
        <v>16.040268848179167</v>
      </c>
      <c r="AA33" s="924">
        <v>23.903599634869408</v>
      </c>
      <c r="AB33" s="924">
        <v>18.119877012637708</v>
      </c>
      <c r="AC33" s="924">
        <v>12.47664982904568</v>
      </c>
      <c r="AD33" s="924">
        <v>22.325446892965349</v>
      </c>
      <c r="AF33" s="793" t="s">
        <v>1330</v>
      </c>
      <c r="AG33" s="923">
        <v>1.954290009292817</v>
      </c>
      <c r="AH33" s="923">
        <v>2.1697566863914268</v>
      </c>
      <c r="AI33" s="923">
        <v>2.0550868602877728</v>
      </c>
      <c r="AJ33" s="923">
        <v>2.030423614446649</v>
      </c>
      <c r="AK33" s="923">
        <v>2.0570401810690493</v>
      </c>
      <c r="AV33" s="793" t="s">
        <v>1330</v>
      </c>
      <c r="AW33" s="560">
        <v>63.868796934679963</v>
      </c>
      <c r="AX33" s="560">
        <v>68.34173985190705</v>
      </c>
      <c r="AY33" s="560">
        <v>71.344604824908131</v>
      </c>
      <c r="AZ33" s="560">
        <v>70.677177281100001</v>
      </c>
      <c r="BA33" s="560">
        <v>52.013032660937228</v>
      </c>
      <c r="BD33" s="793" t="s">
        <v>1330</v>
      </c>
      <c r="BE33" s="924">
        <v>3.0598509805836995</v>
      </c>
      <c r="BF33" s="924">
        <v>3.1748631086846428</v>
      </c>
      <c r="BG33" s="924">
        <v>2.8805077347212276</v>
      </c>
      <c r="BH33" s="924">
        <v>2.8728136755818214</v>
      </c>
      <c r="BI33" s="924">
        <v>3.9548553042051813</v>
      </c>
    </row>
    <row r="35" spans="1:61">
      <c r="A35" t="s">
        <v>1565</v>
      </c>
    </row>
    <row r="36" spans="1:61">
      <c r="A36" s="792" t="s">
        <v>1329</v>
      </c>
      <c r="B36" t="s">
        <v>1566</v>
      </c>
      <c r="C36" t="s">
        <v>1567</v>
      </c>
      <c r="D36" t="s">
        <v>1572</v>
      </c>
      <c r="E36" t="s">
        <v>1573</v>
      </c>
      <c r="F36" t="s">
        <v>1574</v>
      </c>
    </row>
    <row r="37" spans="1:61">
      <c r="A37" s="793" t="s">
        <v>1805</v>
      </c>
      <c r="B37" s="879">
        <v>-4.1715077149411472E-2</v>
      </c>
      <c r="C37" s="879">
        <v>-4.0802219011974894E-2</v>
      </c>
      <c r="D37" s="879">
        <v>3.1946830309389718E-2</v>
      </c>
      <c r="E37" s="879">
        <v>-0.12301973973525215</v>
      </c>
      <c r="F37" s="879">
        <v>6.3501539825872033E-3</v>
      </c>
    </row>
    <row r="38" spans="1:61">
      <c r="A38" s="793" t="s">
        <v>1806</v>
      </c>
      <c r="B38" s="879">
        <v>-1.3018819867336884E-2</v>
      </c>
      <c r="C38" s="879">
        <v>-1.5284665687769983E-2</v>
      </c>
      <c r="D38" s="879">
        <v>3.3004412949873219E-2</v>
      </c>
      <c r="E38" s="879">
        <v>-0.27834295898055261</v>
      </c>
      <c r="F38" s="879">
        <v>-1.7092692106387086E-2</v>
      </c>
    </row>
    <row r="39" spans="1:61">
      <c r="A39" s="793" t="s">
        <v>1807</v>
      </c>
      <c r="B39" s="879">
        <v>-1.9425346057731607E-2</v>
      </c>
      <c r="C39" s="879">
        <v>4.4243459018007414E-3</v>
      </c>
      <c r="D39" s="879">
        <v>2.1639653762384414E-2</v>
      </c>
      <c r="E39" s="879">
        <v>-0.39564981819829004</v>
      </c>
      <c r="F39" s="879">
        <v>-4.4797510157863818E-2</v>
      </c>
    </row>
    <row r="40" spans="1:61">
      <c r="A40" s="793" t="s">
        <v>1808</v>
      </c>
      <c r="B40" s="879">
        <v>1.4796594692065845E-3</v>
      </c>
      <c r="C40" s="879">
        <v>8.7384887521193555E-2</v>
      </c>
      <c r="D40" s="879">
        <v>7.2850016552254537E-2</v>
      </c>
      <c r="E40" s="879">
        <v>-0.20168284927805114</v>
      </c>
      <c r="F40" s="879">
        <v>2.3036731325662974E-3</v>
      </c>
    </row>
    <row r="41" spans="1:61">
      <c r="A41" s="793" t="s">
        <v>1809</v>
      </c>
      <c r="B41" s="879">
        <v>-5.8983007731856718E-2</v>
      </c>
      <c r="C41" s="879">
        <v>6.0976701967656144E-2</v>
      </c>
      <c r="D41" s="879">
        <v>1.3507375502293195E-2</v>
      </c>
      <c r="E41" s="879">
        <v>-0.20407125020382055</v>
      </c>
      <c r="F41" s="879">
        <v>-2.9352678499882101E-2</v>
      </c>
    </row>
    <row r="42" spans="1:61">
      <c r="A42" s="793" t="s">
        <v>1810</v>
      </c>
      <c r="B42" s="879">
        <v>-4.2799615724546602E-2</v>
      </c>
      <c r="C42" s="879">
        <v>8.2078735833186256E-2</v>
      </c>
      <c r="D42" s="879">
        <v>6.8840141348461836E-2</v>
      </c>
      <c r="E42" s="879">
        <v>-0.21654653356363518</v>
      </c>
      <c r="F42" s="879">
        <v>2.2886538063950912E-3</v>
      </c>
    </row>
    <row r="43" spans="1:61">
      <c r="A43" s="793" t="s">
        <v>1811</v>
      </c>
      <c r="B43" s="879">
        <v>0.2423986699817573</v>
      </c>
      <c r="C43" s="879">
        <v>0.47262866271530624</v>
      </c>
      <c r="D43" s="879">
        <v>7.239751311025322E-2</v>
      </c>
      <c r="E43" s="879">
        <v>0.22306250754263734</v>
      </c>
      <c r="F43" s="879">
        <v>0.14608034728555563</v>
      </c>
    </row>
    <row r="44" spans="1:61">
      <c r="A44" s="793" t="s">
        <v>1812</v>
      </c>
      <c r="B44" s="879">
        <v>5.183040500169267E-2</v>
      </c>
      <c r="C44" s="879">
        <v>8.1254004473906294E-2</v>
      </c>
      <c r="D44" s="879">
        <v>4.3098740770891819E-2</v>
      </c>
      <c r="E44" s="879">
        <v>0.12041785536583971</v>
      </c>
      <c r="F44" s="879">
        <v>5.7726549865158239E-2</v>
      </c>
    </row>
    <row r="45" spans="1:61">
      <c r="A45" s="793" t="s">
        <v>1813</v>
      </c>
      <c r="B45" s="879">
        <v>-3.764909070686695E-2</v>
      </c>
      <c r="C45" s="879">
        <v>-1.9710094222616936E-3</v>
      </c>
      <c r="D45" s="879">
        <v>2.8111738324910318E-2</v>
      </c>
      <c r="E45" s="879">
        <v>2.9309363969276525E-2</v>
      </c>
      <c r="F45" s="879">
        <v>1.8524273564566318E-2</v>
      </c>
    </row>
    <row r="46" spans="1:61">
      <c r="A46" s="793" t="s">
        <v>1331</v>
      </c>
      <c r="B46" s="879">
        <v>4.6753484967293479E-2</v>
      </c>
      <c r="C46" s="879">
        <v>6.3410486420540479E-2</v>
      </c>
      <c r="D46" s="879">
        <v>1.0998538499068289E-2</v>
      </c>
      <c r="E46" s="879">
        <v>4.3229898677663581E-2</v>
      </c>
      <c r="F46" s="879">
        <v>4.1354689696380342E-2</v>
      </c>
    </row>
    <row r="47" spans="1:61">
      <c r="A47" s="793" t="s">
        <v>1332</v>
      </c>
      <c r="B47" s="879">
        <v>8.2485706688235183E-2</v>
      </c>
      <c r="C47" s="879">
        <v>4.6697003221183975E-2</v>
      </c>
      <c r="D47" s="879">
        <v>1.4870550217291001E-2</v>
      </c>
      <c r="E47" s="879">
        <v>3.9215289736852954E-2</v>
      </c>
      <c r="F47" s="879">
        <v>4.4020454862888858E-2</v>
      </c>
    </row>
    <row r="48" spans="1:61">
      <c r="A48" s="793" t="s">
        <v>1333</v>
      </c>
      <c r="B48" s="879">
        <v>0.105781535555032</v>
      </c>
      <c r="C48" s="879">
        <v>5.7827070157761895E-2</v>
      </c>
      <c r="D48" s="879">
        <v>3.7150095840347674E-2</v>
      </c>
      <c r="E48" s="879">
        <v>4.3769705308215556E-2</v>
      </c>
      <c r="F48" s="879">
        <v>6.7245405911015022E-2</v>
      </c>
    </row>
    <row r="49" spans="1:6">
      <c r="A49" s="793" t="s">
        <v>1334</v>
      </c>
      <c r="B49" s="879">
        <v>0.10568730941716376</v>
      </c>
      <c r="C49" s="879">
        <v>0.53913455936684818</v>
      </c>
      <c r="D49" s="879">
        <v>7.1968032720189257E-2</v>
      </c>
      <c r="E49" s="879">
        <v>0.18258771027447818</v>
      </c>
      <c r="F49" s="879">
        <v>0.20008130484579234</v>
      </c>
    </row>
    <row r="50" spans="1:6">
      <c r="A50" s="793" t="s">
        <v>1335</v>
      </c>
      <c r="B50" s="879">
        <v>3.3360394580339348E-2</v>
      </c>
      <c r="C50" s="879">
        <v>0.30242148152840742</v>
      </c>
      <c r="D50" s="879">
        <v>4.3311530227660988E-2</v>
      </c>
      <c r="E50" s="879">
        <v>0.39629879495797216</v>
      </c>
      <c r="F50" s="879">
        <v>0.16256426997304696</v>
      </c>
    </row>
    <row r="51" spans="1:6">
      <c r="A51" s="793" t="s">
        <v>1336</v>
      </c>
      <c r="B51" s="879">
        <v>1.5264186657392154E-2</v>
      </c>
      <c r="C51" s="879">
        <v>0.11814114432084444</v>
      </c>
      <c r="D51" s="879">
        <v>3.6610545710490605E-2</v>
      </c>
      <c r="E51" s="879">
        <v>0.17524555049358193</v>
      </c>
      <c r="F51" s="879">
        <v>8.8910547873283896E-2</v>
      </c>
    </row>
    <row r="52" spans="1:6">
      <c r="A52" s="793" t="s">
        <v>1461</v>
      </c>
      <c r="B52" s="879">
        <v>2.3276218002192817E-2</v>
      </c>
      <c r="C52" s="879">
        <v>9.2931458761370767E-2</v>
      </c>
      <c r="D52" s="879">
        <v>4.4256121545695359E-2</v>
      </c>
      <c r="E52" s="879">
        <v>3.6384999887890013E-2</v>
      </c>
      <c r="F52" s="879">
        <v>6.0989166748129486E-2</v>
      </c>
    </row>
    <row r="53" spans="1:6">
      <c r="A53" s="793" t="s">
        <v>1462</v>
      </c>
      <c r="B53" s="879">
        <v>2.4302793904525721E-2</v>
      </c>
      <c r="C53" s="879">
        <v>6.9644906040630561E-2</v>
      </c>
      <c r="D53" s="879">
        <v>4.1213655744290811E-2</v>
      </c>
      <c r="E53" s="879">
        <v>5.9121160398179162E-2</v>
      </c>
      <c r="F53" s="879">
        <v>6.3195424108589249E-2</v>
      </c>
    </row>
    <row r="54" spans="1:6">
      <c r="A54" s="793" t="s">
        <v>1814</v>
      </c>
      <c r="B54" s="879">
        <v>0.12728738339802392</v>
      </c>
      <c r="C54" s="879">
        <v>0.36362152049552954</v>
      </c>
      <c r="D54" s="879">
        <v>0.18828627179263191</v>
      </c>
      <c r="E54" s="879">
        <v>0.23133122717586918</v>
      </c>
      <c r="F54" s="879">
        <v>0.23208723881497062</v>
      </c>
    </row>
    <row r="55" spans="1:6">
      <c r="A55" s="793" t="s">
        <v>1821</v>
      </c>
      <c r="B55" s="879">
        <v>2.1072358073372044E-2</v>
      </c>
      <c r="C55" s="879">
        <v>0.15693103197355152</v>
      </c>
      <c r="D55" s="879">
        <v>4.5093676214068124E-2</v>
      </c>
      <c r="E55" s="879">
        <v>3.5867157101484137E-2</v>
      </c>
      <c r="F55" s="879">
        <v>5.3213918954617689E-2</v>
      </c>
    </row>
    <row r="56" spans="1:6">
      <c r="A56" s="793" t="s">
        <v>1330</v>
      </c>
      <c r="B56" s="879">
        <v>3.3088934393708636E-2</v>
      </c>
      <c r="C56" s="879">
        <v>0.11590141663038267</v>
      </c>
      <c r="D56" s="879">
        <v>4.3537921511501709E-2</v>
      </c>
      <c r="E56" s="879">
        <v>1.936862016603369E-3</v>
      </c>
      <c r="F56" s="879">
        <v>5.2429472834480517E-2</v>
      </c>
    </row>
    <row r="81" spans="1:6">
      <c r="A81" s="793"/>
      <c r="B81" s="924"/>
      <c r="C81" s="560"/>
      <c r="D81" s="560"/>
      <c r="E81" s="560"/>
      <c r="F81" s="560"/>
    </row>
  </sheetData>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610A-67A7-47C0-AF5D-BEB6A7A8D513}">
  <sheetPr>
    <tabColor theme="3"/>
  </sheetPr>
  <dimension ref="A1:T1"/>
  <sheetViews>
    <sheetView showGridLines="0" view="pageBreakPreview" zoomScaleNormal="100" zoomScaleSheetLayoutView="100" workbookViewId="0">
      <pane ySplit="1" topLeftCell="A2" activePane="bottomLeft" state="frozen"/>
      <selection pane="bottomLeft" activeCell="A2" sqref="A2"/>
    </sheetView>
  </sheetViews>
  <sheetFormatPr defaultColWidth="8.796875" defaultRowHeight="10.5"/>
  <cols>
    <col min="1" max="18" width="8.796875" style="253" customWidth="1"/>
    <col min="19" max="19" width="6.19921875" style="253" customWidth="1"/>
    <col min="20" max="20" width="8.796875" style="253" customWidth="1"/>
    <col min="21" max="16384" width="8.796875" style="253"/>
  </cols>
  <sheetData>
    <row r="1" spans="1:20" ht="36.75">
      <c r="A1" s="947" t="s">
        <v>1563</v>
      </c>
      <c r="B1" s="948"/>
      <c r="C1" s="948"/>
      <c r="D1" s="948"/>
      <c r="E1" s="948"/>
      <c r="F1" s="948"/>
      <c r="G1" s="948"/>
      <c r="H1" s="948"/>
      <c r="I1" s="948"/>
      <c r="J1" s="948"/>
      <c r="K1" s="948"/>
      <c r="L1" s="948"/>
      <c r="M1" s="948"/>
      <c r="N1" s="948"/>
      <c r="O1" s="948"/>
      <c r="P1" s="948"/>
      <c r="Q1" s="948"/>
      <c r="R1" s="948"/>
      <c r="S1" s="948"/>
      <c r="T1" s="948"/>
    </row>
  </sheetData>
  <pageMargins left="0.7" right="0.7" top="0.75" bottom="0.75" header="0.3" footer="0.3"/>
  <pageSetup scale="54" orientation="portrait" horizontalDpi="90" verticalDpi="90" r:id="rId1"/>
  <rowBreaks count="1" manualBreakCount="1">
    <brk id="97" max="18" man="1"/>
  </rowBreaks>
  <colBreaks count="1" manualBreakCount="1">
    <brk id="19" max="1048575" man="1"/>
  </colBreaks>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A6DF-692B-429E-A579-331AF0F0F0E8}">
  <sheetPr>
    <tabColor theme="3"/>
  </sheetPr>
  <dimension ref="B1:O1139"/>
  <sheetViews>
    <sheetView showGridLines="0" workbookViewId="0">
      <selection activeCell="H18" sqref="H18"/>
    </sheetView>
  </sheetViews>
  <sheetFormatPr defaultRowHeight="14.25"/>
  <cols>
    <col min="2" max="2" width="31.796875" customWidth="1"/>
    <col min="3" max="3" width="19.46484375" customWidth="1"/>
    <col min="4" max="10" width="10.46484375" customWidth="1"/>
    <col min="11" max="12" width="11.46484375" customWidth="1"/>
  </cols>
  <sheetData>
    <row r="1" spans="2:15">
      <c r="B1" s="559" t="s">
        <v>856</v>
      </c>
      <c r="C1" s="548"/>
      <c r="D1" s="548"/>
      <c r="E1" s="548"/>
      <c r="F1" s="548"/>
      <c r="G1" s="548"/>
      <c r="H1" s="548"/>
      <c r="I1" s="548"/>
      <c r="J1" s="548"/>
      <c r="K1" s="548"/>
      <c r="L1" s="548"/>
    </row>
    <row r="2" spans="2:15">
      <c r="B2" s="547" t="s">
        <v>623</v>
      </c>
      <c r="C2" s="548"/>
      <c r="D2" s="548"/>
      <c r="E2" s="548"/>
      <c r="F2" s="548"/>
      <c r="G2" s="548"/>
      <c r="H2" s="548"/>
      <c r="I2" s="548"/>
      <c r="J2" s="548"/>
      <c r="K2" s="548"/>
      <c r="L2" s="548"/>
    </row>
    <row r="3" spans="2:15">
      <c r="B3" s="547" t="s">
        <v>624</v>
      </c>
      <c r="C3" s="548"/>
      <c r="D3" s="548"/>
      <c r="E3" s="548"/>
      <c r="F3" s="548"/>
      <c r="G3" s="548"/>
      <c r="H3" s="548"/>
      <c r="I3" s="548"/>
      <c r="J3" s="548"/>
      <c r="K3" s="548"/>
      <c r="L3" s="548"/>
    </row>
    <row r="4" spans="2:15">
      <c r="B4" s="547" t="s">
        <v>625</v>
      </c>
      <c r="C4" s="548"/>
      <c r="D4" s="548"/>
      <c r="E4" s="548"/>
      <c r="F4" s="548"/>
      <c r="G4" s="548"/>
      <c r="H4" s="548"/>
      <c r="I4" s="548"/>
      <c r="J4" s="548"/>
      <c r="K4" s="548"/>
      <c r="L4" s="548"/>
    </row>
    <row r="5" spans="2:15">
      <c r="B5" s="547" t="s">
        <v>624</v>
      </c>
      <c r="C5" s="548"/>
      <c r="D5" s="548"/>
      <c r="E5" s="548"/>
      <c r="F5" s="548"/>
      <c r="G5" s="548"/>
      <c r="H5" s="548"/>
      <c r="I5" s="548"/>
      <c r="J5" s="548"/>
      <c r="K5" s="548"/>
      <c r="L5" s="548"/>
    </row>
    <row r="6" spans="2:15">
      <c r="B6" s="549"/>
      <c r="C6" s="549"/>
      <c r="D6" s="549" t="s">
        <v>626</v>
      </c>
      <c r="E6" s="549"/>
      <c r="F6" s="549"/>
      <c r="G6" s="549" t="s">
        <v>627</v>
      </c>
      <c r="H6" s="549"/>
      <c r="I6" s="549"/>
      <c r="J6" s="549" t="s">
        <v>628</v>
      </c>
      <c r="K6" s="549"/>
      <c r="L6" s="549"/>
    </row>
    <row r="7" spans="2:15" ht="42.75">
      <c r="B7" s="550" t="s">
        <v>1455</v>
      </c>
      <c r="C7" s="550" t="s">
        <v>1456</v>
      </c>
      <c r="D7" s="551" t="s">
        <v>629</v>
      </c>
      <c r="E7" s="551" t="s">
        <v>630</v>
      </c>
      <c r="F7" s="551" t="s">
        <v>631</v>
      </c>
      <c r="G7" s="550" t="s">
        <v>632</v>
      </c>
      <c r="H7" s="551" t="s">
        <v>633</v>
      </c>
      <c r="I7" s="551" t="s">
        <v>634</v>
      </c>
      <c r="J7" s="550" t="s">
        <v>1457</v>
      </c>
      <c r="K7" s="551" t="s">
        <v>635</v>
      </c>
      <c r="L7" s="551" t="s">
        <v>636</v>
      </c>
    </row>
    <row r="8" spans="2:15">
      <c r="B8" s="552" t="s">
        <v>637</v>
      </c>
      <c r="N8" s="560" t="s">
        <v>638</v>
      </c>
      <c r="O8" s="560" t="s">
        <v>639</v>
      </c>
    </row>
    <row r="9" spans="2:15">
      <c r="B9" t="s">
        <v>640</v>
      </c>
      <c r="C9" t="s">
        <v>641</v>
      </c>
      <c r="D9">
        <v>129</v>
      </c>
      <c r="E9">
        <v>288</v>
      </c>
      <c r="F9" s="553">
        <v>142</v>
      </c>
      <c r="G9" t="s">
        <v>639</v>
      </c>
      <c r="H9" s="554">
        <v>0.79</v>
      </c>
      <c r="I9" s="553">
        <v>139</v>
      </c>
      <c r="J9" t="s">
        <v>638</v>
      </c>
      <c r="K9" s="554">
        <v>0.79</v>
      </c>
      <c r="L9" s="553">
        <v>139</v>
      </c>
      <c r="N9" s="560" t="s">
        <v>642</v>
      </c>
      <c r="O9" s="560" t="s">
        <v>643</v>
      </c>
    </row>
    <row r="10" spans="2:15">
      <c r="N10" s="560" t="s">
        <v>644</v>
      </c>
      <c r="O10" s="560" t="s">
        <v>645</v>
      </c>
    </row>
    <row r="11" spans="2:15">
      <c r="B11" s="552" t="s">
        <v>646</v>
      </c>
      <c r="N11" s="560" t="s">
        <v>647</v>
      </c>
      <c r="O11" s="560" t="s">
        <v>648</v>
      </c>
    </row>
    <row r="12" spans="2:15">
      <c r="B12" t="s">
        <v>649</v>
      </c>
      <c r="C12" t="s">
        <v>650</v>
      </c>
      <c r="D12">
        <v>200</v>
      </c>
      <c r="E12" s="555">
        <v>1305</v>
      </c>
      <c r="F12" s="553">
        <v>177</v>
      </c>
      <c r="G12" t="s">
        <v>669</v>
      </c>
      <c r="H12" s="554">
        <v>0.32</v>
      </c>
      <c r="I12" s="553">
        <v>165</v>
      </c>
      <c r="J12" t="s">
        <v>651</v>
      </c>
      <c r="K12" s="554">
        <v>0.32</v>
      </c>
      <c r="L12" s="553">
        <v>165</v>
      </c>
      <c r="N12" s="560" t="s">
        <v>652</v>
      </c>
      <c r="O12" s="560" t="s">
        <v>653</v>
      </c>
    </row>
    <row r="13" spans="2:15">
      <c r="C13" s="556" t="s">
        <v>654</v>
      </c>
      <c r="N13" s="560" t="s">
        <v>655</v>
      </c>
      <c r="O13" s="560" t="s">
        <v>656</v>
      </c>
    </row>
    <row r="14" spans="2:15">
      <c r="B14" t="s">
        <v>657</v>
      </c>
      <c r="C14" t="s">
        <v>658</v>
      </c>
      <c r="D14">
        <v>192</v>
      </c>
      <c r="E14">
        <v>337</v>
      </c>
      <c r="F14" s="553">
        <v>167</v>
      </c>
      <c r="G14" t="s">
        <v>1458</v>
      </c>
      <c r="H14" s="554">
        <v>0.82</v>
      </c>
      <c r="I14" s="553">
        <v>165</v>
      </c>
      <c r="J14" t="s">
        <v>647</v>
      </c>
      <c r="K14" s="554">
        <v>0.82</v>
      </c>
      <c r="L14" s="553">
        <v>165</v>
      </c>
      <c r="N14" s="560" t="s">
        <v>659</v>
      </c>
      <c r="O14" s="560" t="s">
        <v>660</v>
      </c>
    </row>
    <row r="15" spans="2:15">
      <c r="B15" t="s">
        <v>661</v>
      </c>
      <c r="C15" t="s">
        <v>662</v>
      </c>
      <c r="D15">
        <v>190</v>
      </c>
      <c r="E15">
        <v>429</v>
      </c>
      <c r="F15" s="553">
        <v>164</v>
      </c>
      <c r="G15" t="s">
        <v>1459</v>
      </c>
      <c r="H15" s="554">
        <v>0.54</v>
      </c>
      <c r="I15" s="553">
        <v>164</v>
      </c>
      <c r="J15" t="s">
        <v>663</v>
      </c>
      <c r="K15" s="554">
        <v>0.54</v>
      </c>
      <c r="L15" s="553">
        <v>164</v>
      </c>
      <c r="N15" s="560" t="s">
        <v>664</v>
      </c>
      <c r="O15" s="560" t="s">
        <v>665</v>
      </c>
    </row>
    <row r="16" spans="2:15">
      <c r="B16" t="s">
        <v>666</v>
      </c>
      <c r="C16" t="s">
        <v>667</v>
      </c>
      <c r="D16">
        <v>192</v>
      </c>
      <c r="E16">
        <v>472</v>
      </c>
      <c r="F16" s="553">
        <v>120</v>
      </c>
      <c r="G16" t="s">
        <v>645</v>
      </c>
      <c r="H16" s="554">
        <v>0.68</v>
      </c>
      <c r="I16" s="553">
        <v>124</v>
      </c>
      <c r="J16" t="s">
        <v>668</v>
      </c>
      <c r="K16" s="554">
        <v>0.05</v>
      </c>
      <c r="L16" s="553">
        <v>68</v>
      </c>
      <c r="N16" s="560" t="s">
        <v>651</v>
      </c>
      <c r="O16" s="560" t="s">
        <v>669</v>
      </c>
    </row>
    <row r="17" spans="2:15">
      <c r="N17" s="560" t="s">
        <v>663</v>
      </c>
      <c r="O17" s="560" t="s">
        <v>670</v>
      </c>
    </row>
    <row r="18" spans="2:15">
      <c r="B18" s="552" t="s">
        <v>671</v>
      </c>
    </row>
    <row r="19" spans="2:15">
      <c r="B19" t="s">
        <v>672</v>
      </c>
      <c r="C19" t="s">
        <v>673</v>
      </c>
      <c r="D19">
        <v>226</v>
      </c>
      <c r="E19">
        <v>264</v>
      </c>
      <c r="F19" s="553">
        <v>210</v>
      </c>
      <c r="G19" t="s">
        <v>653</v>
      </c>
      <c r="H19" s="554">
        <v>0.6</v>
      </c>
      <c r="I19" s="553">
        <v>217</v>
      </c>
      <c r="J19" t="s">
        <v>644</v>
      </c>
      <c r="K19" s="554">
        <v>0.4</v>
      </c>
      <c r="L19" s="553">
        <v>199</v>
      </c>
    </row>
    <row r="20" spans="2:15">
      <c r="B20" t="s">
        <v>650</v>
      </c>
      <c r="C20" t="s">
        <v>674</v>
      </c>
      <c r="D20">
        <v>249</v>
      </c>
      <c r="E20" s="555">
        <v>1153</v>
      </c>
      <c r="F20" s="553">
        <v>185</v>
      </c>
      <c r="G20" t="s">
        <v>645</v>
      </c>
      <c r="H20" s="554">
        <v>0.36</v>
      </c>
      <c r="I20" s="553">
        <v>172</v>
      </c>
      <c r="J20" t="s">
        <v>644</v>
      </c>
      <c r="K20" s="554">
        <v>0.36</v>
      </c>
      <c r="L20" s="553">
        <v>172</v>
      </c>
    </row>
    <row r="21" spans="2:15">
      <c r="B21" t="s">
        <v>658</v>
      </c>
      <c r="C21" t="s">
        <v>675</v>
      </c>
      <c r="D21">
        <v>222</v>
      </c>
      <c r="E21">
        <v>176</v>
      </c>
      <c r="F21" s="553">
        <v>177</v>
      </c>
      <c r="G21" t="s">
        <v>653</v>
      </c>
      <c r="H21" s="554">
        <v>0.69</v>
      </c>
      <c r="I21" s="553">
        <v>183</v>
      </c>
      <c r="J21" t="s">
        <v>651</v>
      </c>
      <c r="K21" s="554">
        <v>0.14000000000000001</v>
      </c>
      <c r="L21" s="553">
        <v>153</v>
      </c>
    </row>
    <row r="22" spans="2:15">
      <c r="B22" t="s">
        <v>662</v>
      </c>
      <c r="C22" t="s">
        <v>676</v>
      </c>
      <c r="D22">
        <v>247</v>
      </c>
      <c r="E22">
        <v>712</v>
      </c>
      <c r="F22" s="553">
        <v>167</v>
      </c>
      <c r="G22" t="s">
        <v>1459</v>
      </c>
      <c r="H22" s="554">
        <v>0.53</v>
      </c>
      <c r="I22" s="553">
        <v>169</v>
      </c>
      <c r="J22" t="s">
        <v>644</v>
      </c>
      <c r="K22" s="554">
        <v>0.46</v>
      </c>
      <c r="L22" s="553">
        <v>164</v>
      </c>
    </row>
    <row r="23" spans="2:15">
      <c r="B23" t="s">
        <v>677</v>
      </c>
      <c r="C23" t="s">
        <v>658</v>
      </c>
      <c r="D23">
        <v>218</v>
      </c>
      <c r="E23">
        <v>598</v>
      </c>
      <c r="F23" s="553">
        <v>164</v>
      </c>
      <c r="G23" t="s">
        <v>1458</v>
      </c>
      <c r="H23" s="554">
        <v>0.71</v>
      </c>
      <c r="I23" s="553">
        <v>162</v>
      </c>
      <c r="J23" t="s">
        <v>652</v>
      </c>
      <c r="K23" s="554">
        <v>0.11</v>
      </c>
      <c r="L23" s="553">
        <v>159</v>
      </c>
    </row>
    <row r="24" spans="2:15">
      <c r="B24" t="s">
        <v>662</v>
      </c>
      <c r="C24" t="s">
        <v>678</v>
      </c>
      <c r="D24">
        <v>247</v>
      </c>
      <c r="E24" s="555">
        <v>1241</v>
      </c>
      <c r="F24" s="553">
        <v>163</v>
      </c>
      <c r="G24" t="s">
        <v>1459</v>
      </c>
      <c r="H24" s="554">
        <v>0.54</v>
      </c>
      <c r="I24" s="553">
        <v>163</v>
      </c>
      <c r="J24" t="s">
        <v>644</v>
      </c>
      <c r="K24" s="554">
        <v>0.3</v>
      </c>
      <c r="L24" s="553">
        <v>159</v>
      </c>
    </row>
    <row r="25" spans="2:15">
      <c r="B25" t="s">
        <v>679</v>
      </c>
      <c r="C25" t="s">
        <v>680</v>
      </c>
      <c r="D25">
        <v>235</v>
      </c>
      <c r="E25">
        <v>673</v>
      </c>
      <c r="F25" s="553">
        <v>161</v>
      </c>
      <c r="G25" t="s">
        <v>653</v>
      </c>
      <c r="H25" s="554">
        <v>0.54</v>
      </c>
      <c r="I25" s="553">
        <v>161</v>
      </c>
      <c r="J25" t="s">
        <v>663</v>
      </c>
      <c r="K25" s="554">
        <v>0.12</v>
      </c>
      <c r="L25" s="553">
        <v>142</v>
      </c>
    </row>
    <row r="26" spans="2:15">
      <c r="B26" t="s">
        <v>672</v>
      </c>
      <c r="C26" t="s">
        <v>681</v>
      </c>
      <c r="D26">
        <v>214</v>
      </c>
      <c r="E26">
        <v>337</v>
      </c>
      <c r="F26" s="553">
        <v>160</v>
      </c>
      <c r="G26" t="s">
        <v>653</v>
      </c>
      <c r="H26" s="554">
        <v>0.77</v>
      </c>
      <c r="I26" s="553">
        <v>166</v>
      </c>
      <c r="J26" t="s">
        <v>663</v>
      </c>
      <c r="K26" s="554">
        <v>0.23</v>
      </c>
      <c r="L26" s="553">
        <v>138</v>
      </c>
    </row>
    <row r="27" spans="2:15">
      <c r="B27" t="s">
        <v>662</v>
      </c>
      <c r="C27" t="s">
        <v>682</v>
      </c>
      <c r="D27">
        <v>238</v>
      </c>
      <c r="E27">
        <v>200</v>
      </c>
      <c r="F27" s="553">
        <v>152</v>
      </c>
      <c r="G27" t="s">
        <v>645</v>
      </c>
      <c r="H27" s="554">
        <v>0.6</v>
      </c>
      <c r="I27" s="553">
        <v>155</v>
      </c>
      <c r="J27" t="s">
        <v>663</v>
      </c>
      <c r="K27" s="554">
        <v>0.39</v>
      </c>
      <c r="L27" s="553">
        <v>148</v>
      </c>
    </row>
    <row r="28" spans="2:15">
      <c r="B28" t="s">
        <v>683</v>
      </c>
      <c r="C28" t="s">
        <v>641</v>
      </c>
      <c r="D28">
        <v>228</v>
      </c>
      <c r="E28">
        <v>240</v>
      </c>
      <c r="F28" s="553">
        <v>125</v>
      </c>
      <c r="G28" t="s">
        <v>639</v>
      </c>
      <c r="H28" s="554">
        <v>0.85</v>
      </c>
      <c r="I28" s="553">
        <v>125</v>
      </c>
      <c r="J28" t="s">
        <v>638</v>
      </c>
      <c r="K28" s="554">
        <v>0.85</v>
      </c>
      <c r="L28" s="553">
        <v>125</v>
      </c>
    </row>
    <row r="29" spans="2:15">
      <c r="B29" t="s">
        <v>641</v>
      </c>
      <c r="C29" t="s">
        <v>684</v>
      </c>
      <c r="D29">
        <v>224</v>
      </c>
      <c r="E29">
        <v>650</v>
      </c>
      <c r="F29" s="553">
        <v>121</v>
      </c>
      <c r="G29" t="s">
        <v>639</v>
      </c>
      <c r="H29" s="554">
        <v>0.79</v>
      </c>
      <c r="I29" s="553">
        <v>120</v>
      </c>
      <c r="J29" t="s">
        <v>638</v>
      </c>
      <c r="K29" s="554">
        <v>0.79</v>
      </c>
      <c r="L29" s="553">
        <v>120</v>
      </c>
    </row>
    <row r="30" spans="2:15">
      <c r="B30" t="s">
        <v>685</v>
      </c>
      <c r="C30" t="s">
        <v>686</v>
      </c>
      <c r="D30">
        <v>204</v>
      </c>
      <c r="E30">
        <v>574</v>
      </c>
      <c r="F30" s="553">
        <v>117</v>
      </c>
      <c r="G30" t="s">
        <v>645</v>
      </c>
      <c r="H30" s="554">
        <v>0.64</v>
      </c>
      <c r="I30" s="553">
        <v>120</v>
      </c>
      <c r="J30" t="s">
        <v>644</v>
      </c>
      <c r="K30" s="554">
        <v>0.64</v>
      </c>
      <c r="L30" s="553">
        <v>120</v>
      </c>
    </row>
    <row r="31" spans="2:15">
      <c r="B31" t="s">
        <v>687</v>
      </c>
      <c r="C31" t="s">
        <v>688</v>
      </c>
      <c r="D31">
        <v>236</v>
      </c>
      <c r="E31" s="555">
        <v>5443</v>
      </c>
      <c r="F31" s="553">
        <v>117</v>
      </c>
      <c r="G31" t="s">
        <v>1459</v>
      </c>
      <c r="H31" s="554">
        <v>0.61</v>
      </c>
      <c r="I31" s="553">
        <v>121</v>
      </c>
      <c r="J31" t="s">
        <v>644</v>
      </c>
      <c r="K31" s="554">
        <v>0.14000000000000001</v>
      </c>
      <c r="L31" s="553">
        <v>106</v>
      </c>
    </row>
    <row r="33" spans="2:12">
      <c r="B33" s="552" t="s">
        <v>689</v>
      </c>
    </row>
    <row r="34" spans="2:12">
      <c r="B34" t="s">
        <v>690</v>
      </c>
      <c r="C34" t="s">
        <v>691</v>
      </c>
      <c r="D34">
        <v>297</v>
      </c>
      <c r="E34">
        <v>182</v>
      </c>
      <c r="F34" s="553">
        <v>229</v>
      </c>
      <c r="G34" t="s">
        <v>653</v>
      </c>
      <c r="H34" s="554">
        <v>0.95</v>
      </c>
      <c r="I34" s="553">
        <v>233</v>
      </c>
      <c r="J34" t="s">
        <v>664</v>
      </c>
      <c r="K34" s="554">
        <v>0.01</v>
      </c>
      <c r="L34" s="553">
        <v>87</v>
      </c>
    </row>
    <row r="35" spans="2:12">
      <c r="B35" t="s">
        <v>672</v>
      </c>
      <c r="C35" t="s">
        <v>692</v>
      </c>
      <c r="D35">
        <v>259</v>
      </c>
      <c r="E35">
        <v>206</v>
      </c>
      <c r="F35" s="553">
        <v>182</v>
      </c>
      <c r="G35" t="s">
        <v>653</v>
      </c>
      <c r="H35" s="554">
        <v>0.95</v>
      </c>
      <c r="I35" s="553">
        <v>184</v>
      </c>
      <c r="J35" t="s">
        <v>644</v>
      </c>
      <c r="K35" s="554">
        <v>0.04</v>
      </c>
      <c r="L35" s="553">
        <v>146</v>
      </c>
    </row>
    <row r="36" spans="2:12">
      <c r="B36" t="s">
        <v>658</v>
      </c>
      <c r="C36" t="s">
        <v>693</v>
      </c>
      <c r="D36">
        <v>285</v>
      </c>
      <c r="E36">
        <v>330</v>
      </c>
      <c r="F36" s="553">
        <v>178</v>
      </c>
      <c r="G36" t="s">
        <v>653</v>
      </c>
      <c r="H36" s="554">
        <v>0.67</v>
      </c>
      <c r="I36" s="553">
        <v>177</v>
      </c>
      <c r="J36" t="s">
        <v>647</v>
      </c>
      <c r="K36" s="554">
        <v>0.15</v>
      </c>
      <c r="L36" s="553">
        <v>173</v>
      </c>
    </row>
    <row r="37" spans="2:12">
      <c r="B37" t="s">
        <v>694</v>
      </c>
      <c r="C37" t="s">
        <v>695</v>
      </c>
      <c r="D37">
        <v>289</v>
      </c>
      <c r="E37" s="555">
        <v>1057</v>
      </c>
      <c r="F37" s="553">
        <v>177</v>
      </c>
      <c r="G37" t="s">
        <v>645</v>
      </c>
      <c r="H37" s="554">
        <v>0.69</v>
      </c>
      <c r="I37" s="553">
        <v>184</v>
      </c>
      <c r="J37" t="s">
        <v>647</v>
      </c>
      <c r="K37" s="554">
        <v>0.27</v>
      </c>
      <c r="L37" s="553">
        <v>164</v>
      </c>
    </row>
    <row r="38" spans="2:12">
      <c r="B38" t="s">
        <v>658</v>
      </c>
      <c r="C38" t="s">
        <v>696</v>
      </c>
      <c r="D38">
        <v>284</v>
      </c>
      <c r="E38">
        <v>559</v>
      </c>
      <c r="F38" s="553">
        <v>170</v>
      </c>
      <c r="G38" t="s">
        <v>653</v>
      </c>
      <c r="H38" s="554">
        <v>0.38</v>
      </c>
      <c r="I38" s="553">
        <v>179</v>
      </c>
      <c r="J38" t="s">
        <v>647</v>
      </c>
      <c r="K38" s="554">
        <v>0.23</v>
      </c>
      <c r="L38" s="553">
        <v>155</v>
      </c>
    </row>
    <row r="39" spans="2:12">
      <c r="B39" t="s">
        <v>693</v>
      </c>
      <c r="C39" t="s">
        <v>697</v>
      </c>
      <c r="D39">
        <v>296</v>
      </c>
      <c r="E39">
        <v>188</v>
      </c>
      <c r="F39" s="553">
        <v>169</v>
      </c>
      <c r="G39" t="s">
        <v>1459</v>
      </c>
      <c r="H39" s="554">
        <v>0.41</v>
      </c>
      <c r="I39" s="553">
        <v>159</v>
      </c>
      <c r="J39" t="s">
        <v>663</v>
      </c>
      <c r="K39" s="554">
        <v>0.41</v>
      </c>
      <c r="L39" s="553">
        <v>159</v>
      </c>
    </row>
    <row r="40" spans="2:12">
      <c r="B40" t="s">
        <v>672</v>
      </c>
      <c r="C40" t="s">
        <v>698</v>
      </c>
      <c r="D40">
        <v>270</v>
      </c>
      <c r="E40">
        <v>449</v>
      </c>
      <c r="F40" s="553">
        <v>165</v>
      </c>
      <c r="G40" t="s">
        <v>653</v>
      </c>
      <c r="H40" s="554">
        <v>0.86</v>
      </c>
      <c r="I40" s="553">
        <v>169</v>
      </c>
      <c r="J40" t="s">
        <v>663</v>
      </c>
      <c r="K40" s="554">
        <v>0.12</v>
      </c>
      <c r="L40" s="553">
        <v>130</v>
      </c>
    </row>
    <row r="41" spans="2:12">
      <c r="B41" t="s">
        <v>640</v>
      </c>
      <c r="C41" t="s">
        <v>684</v>
      </c>
      <c r="D41">
        <v>279</v>
      </c>
      <c r="E41">
        <v>264</v>
      </c>
      <c r="F41" s="553">
        <v>164</v>
      </c>
      <c r="G41" t="s">
        <v>639</v>
      </c>
      <c r="H41" s="554">
        <v>0.94</v>
      </c>
      <c r="I41" s="553">
        <v>163</v>
      </c>
      <c r="J41" t="s">
        <v>638</v>
      </c>
      <c r="K41" s="554">
        <v>0.94</v>
      </c>
      <c r="L41" s="553">
        <v>163</v>
      </c>
    </row>
    <row r="42" spans="2:12">
      <c r="B42" t="s">
        <v>699</v>
      </c>
      <c r="C42" t="s">
        <v>697</v>
      </c>
      <c r="D42">
        <v>255</v>
      </c>
      <c r="E42">
        <v>511</v>
      </c>
      <c r="F42" s="553">
        <v>162</v>
      </c>
      <c r="G42" t="s">
        <v>1459</v>
      </c>
      <c r="H42" s="554">
        <v>0.44</v>
      </c>
      <c r="I42" s="553">
        <v>158</v>
      </c>
      <c r="J42" t="s">
        <v>663</v>
      </c>
      <c r="K42" s="554">
        <v>0.44</v>
      </c>
      <c r="L42" s="553">
        <v>158</v>
      </c>
    </row>
    <row r="43" spans="2:12">
      <c r="B43" t="s">
        <v>679</v>
      </c>
      <c r="C43" t="s">
        <v>700</v>
      </c>
      <c r="D43">
        <v>296</v>
      </c>
      <c r="E43">
        <v>633</v>
      </c>
      <c r="F43" s="553">
        <v>161</v>
      </c>
      <c r="G43" t="s">
        <v>1459</v>
      </c>
      <c r="H43" s="554">
        <v>0.34</v>
      </c>
      <c r="I43" s="553">
        <v>151</v>
      </c>
      <c r="J43" t="s">
        <v>663</v>
      </c>
      <c r="K43" s="554">
        <v>0.34</v>
      </c>
      <c r="L43" s="553">
        <v>151</v>
      </c>
    </row>
    <row r="45" spans="2:12">
      <c r="B45" s="552" t="s">
        <v>689</v>
      </c>
    </row>
    <row r="46" spans="2:12">
      <c r="B46" t="s">
        <v>701</v>
      </c>
      <c r="C46" t="s">
        <v>702</v>
      </c>
      <c r="D46">
        <v>296</v>
      </c>
      <c r="E46">
        <v>347</v>
      </c>
      <c r="F46" s="553">
        <v>161</v>
      </c>
      <c r="G46" t="s">
        <v>1459</v>
      </c>
      <c r="H46" s="554">
        <v>0.46</v>
      </c>
      <c r="I46" s="553">
        <v>148</v>
      </c>
      <c r="J46" t="s">
        <v>663</v>
      </c>
      <c r="K46" s="554">
        <v>0.46</v>
      </c>
      <c r="L46" s="553">
        <v>148</v>
      </c>
    </row>
    <row r="47" spans="2:12">
      <c r="B47" t="s">
        <v>679</v>
      </c>
      <c r="C47" t="s">
        <v>703</v>
      </c>
      <c r="D47">
        <v>264</v>
      </c>
      <c r="E47">
        <v>413</v>
      </c>
      <c r="F47" s="553">
        <v>152</v>
      </c>
      <c r="G47" t="s">
        <v>645</v>
      </c>
      <c r="H47" s="554">
        <v>0.44</v>
      </c>
      <c r="I47" s="553">
        <v>151</v>
      </c>
      <c r="J47" t="s">
        <v>663</v>
      </c>
      <c r="K47" s="554">
        <v>0.16</v>
      </c>
      <c r="L47" s="553">
        <v>127</v>
      </c>
    </row>
    <row r="48" spans="2:12">
      <c r="B48" t="s">
        <v>679</v>
      </c>
      <c r="C48" t="s">
        <v>704</v>
      </c>
      <c r="D48">
        <v>258</v>
      </c>
      <c r="E48">
        <v>580</v>
      </c>
      <c r="F48" s="553">
        <v>151</v>
      </c>
      <c r="G48" t="s">
        <v>1459</v>
      </c>
      <c r="H48" s="554">
        <v>0.43</v>
      </c>
      <c r="I48" s="553">
        <v>151</v>
      </c>
      <c r="J48" t="s">
        <v>644</v>
      </c>
      <c r="K48" s="554">
        <v>0.32</v>
      </c>
      <c r="L48" s="553">
        <v>146</v>
      </c>
    </row>
    <row r="49" spans="2:12">
      <c r="B49" t="s">
        <v>662</v>
      </c>
      <c r="C49" t="s">
        <v>705</v>
      </c>
      <c r="D49">
        <v>293</v>
      </c>
      <c r="E49">
        <v>326</v>
      </c>
      <c r="F49" s="553">
        <v>151</v>
      </c>
      <c r="G49" t="s">
        <v>1459</v>
      </c>
      <c r="H49" s="554">
        <v>0.6</v>
      </c>
      <c r="I49" s="553">
        <v>145</v>
      </c>
      <c r="J49" t="s">
        <v>663</v>
      </c>
      <c r="K49" s="554">
        <v>0.6</v>
      </c>
      <c r="L49" s="553">
        <v>145</v>
      </c>
    </row>
    <row r="50" spans="2:12">
      <c r="B50" t="s">
        <v>679</v>
      </c>
      <c r="C50" t="s">
        <v>706</v>
      </c>
      <c r="D50">
        <v>286</v>
      </c>
      <c r="E50">
        <v>287</v>
      </c>
      <c r="F50" s="553">
        <v>145</v>
      </c>
      <c r="G50" t="s">
        <v>669</v>
      </c>
      <c r="H50" s="554">
        <v>0.35</v>
      </c>
      <c r="I50" s="553">
        <v>146</v>
      </c>
      <c r="J50" t="s">
        <v>663</v>
      </c>
      <c r="K50" s="554">
        <v>0.34</v>
      </c>
      <c r="L50" s="553">
        <v>138</v>
      </c>
    </row>
    <row r="51" spans="2:12">
      <c r="B51" t="s">
        <v>707</v>
      </c>
      <c r="C51" t="s">
        <v>708</v>
      </c>
      <c r="D51">
        <v>263</v>
      </c>
      <c r="E51">
        <v>244</v>
      </c>
      <c r="F51" s="553">
        <v>143</v>
      </c>
      <c r="G51" t="s">
        <v>669</v>
      </c>
      <c r="H51" s="554">
        <v>0.61</v>
      </c>
      <c r="I51" s="553">
        <v>162</v>
      </c>
      <c r="J51" t="s">
        <v>663</v>
      </c>
      <c r="K51" s="554">
        <v>0.38</v>
      </c>
      <c r="L51" s="553">
        <v>114</v>
      </c>
    </row>
    <row r="52" spans="2:12">
      <c r="B52" t="s">
        <v>709</v>
      </c>
      <c r="C52" t="s">
        <v>684</v>
      </c>
      <c r="D52">
        <v>287</v>
      </c>
      <c r="E52">
        <v>247</v>
      </c>
      <c r="F52" s="553">
        <v>135</v>
      </c>
      <c r="G52" t="s">
        <v>639</v>
      </c>
      <c r="H52" s="554">
        <v>0.92</v>
      </c>
      <c r="I52" s="553">
        <v>133</v>
      </c>
      <c r="J52" t="s">
        <v>638</v>
      </c>
      <c r="K52" s="554">
        <v>0.92</v>
      </c>
      <c r="L52" s="553">
        <v>133</v>
      </c>
    </row>
    <row r="53" spans="2:12">
      <c r="B53" t="s">
        <v>687</v>
      </c>
      <c r="C53" t="s">
        <v>710</v>
      </c>
      <c r="D53">
        <v>258</v>
      </c>
      <c r="E53" s="555">
        <v>1192</v>
      </c>
      <c r="F53" s="553">
        <v>134</v>
      </c>
      <c r="G53" t="s">
        <v>1459</v>
      </c>
      <c r="H53" s="554">
        <v>0.75</v>
      </c>
      <c r="I53" s="553">
        <v>149</v>
      </c>
      <c r="J53" t="s">
        <v>668</v>
      </c>
      <c r="K53" s="554">
        <v>0.11</v>
      </c>
      <c r="L53" s="553">
        <v>80</v>
      </c>
    </row>
    <row r="54" spans="2:12">
      <c r="B54" t="s">
        <v>687</v>
      </c>
      <c r="C54" t="s">
        <v>711</v>
      </c>
      <c r="D54">
        <v>276</v>
      </c>
      <c r="E54" s="555">
        <v>1320</v>
      </c>
      <c r="F54" s="553">
        <v>129</v>
      </c>
      <c r="G54" t="s">
        <v>1459</v>
      </c>
      <c r="H54" s="554">
        <v>0.62</v>
      </c>
      <c r="I54" s="553">
        <v>131</v>
      </c>
      <c r="J54" t="s">
        <v>663</v>
      </c>
      <c r="K54" s="554">
        <v>0.62</v>
      </c>
      <c r="L54" s="553">
        <v>131</v>
      </c>
    </row>
    <row r="55" spans="2:12">
      <c r="B55" t="s">
        <v>712</v>
      </c>
      <c r="C55" t="s">
        <v>687</v>
      </c>
      <c r="D55">
        <v>259</v>
      </c>
      <c r="E55">
        <v>472</v>
      </c>
      <c r="F55" s="553">
        <v>113</v>
      </c>
      <c r="G55" t="s">
        <v>1459</v>
      </c>
      <c r="H55" s="554">
        <v>0.56000000000000005</v>
      </c>
      <c r="I55" s="553">
        <v>123</v>
      </c>
      <c r="J55" t="s">
        <v>655</v>
      </c>
      <c r="K55" s="554">
        <v>0.41</v>
      </c>
      <c r="L55" s="553">
        <v>96</v>
      </c>
    </row>
    <row r="56" spans="2:12">
      <c r="B56" t="s">
        <v>687</v>
      </c>
      <c r="C56" t="s">
        <v>708</v>
      </c>
      <c r="D56">
        <v>289</v>
      </c>
      <c r="E56">
        <v>227</v>
      </c>
      <c r="F56" s="553">
        <v>103</v>
      </c>
      <c r="G56" t="s">
        <v>1459</v>
      </c>
      <c r="H56" s="554">
        <v>0.97</v>
      </c>
      <c r="I56" s="553">
        <v>102</v>
      </c>
      <c r="J56" t="s">
        <v>663</v>
      </c>
      <c r="K56" s="554">
        <v>0.97</v>
      </c>
      <c r="L56" s="553">
        <v>102</v>
      </c>
    </row>
    <row r="57" spans="2:12">
      <c r="F57" s="553"/>
      <c r="H57" s="554"/>
      <c r="I57" s="553"/>
      <c r="K57" s="554"/>
      <c r="L57" s="553"/>
    </row>
    <row r="58" spans="2:12">
      <c r="B58" s="552" t="s">
        <v>713</v>
      </c>
    </row>
    <row r="59" spans="2:12">
      <c r="B59" t="s">
        <v>714</v>
      </c>
      <c r="C59" t="s">
        <v>702</v>
      </c>
      <c r="D59">
        <v>325</v>
      </c>
      <c r="E59">
        <v>258</v>
      </c>
      <c r="F59" s="553">
        <v>193</v>
      </c>
      <c r="G59" t="s">
        <v>1459</v>
      </c>
      <c r="H59" s="554">
        <v>0.5</v>
      </c>
      <c r="I59" s="553">
        <v>174</v>
      </c>
      <c r="J59" t="s">
        <v>663</v>
      </c>
      <c r="K59" s="554">
        <v>0.5</v>
      </c>
      <c r="L59" s="553">
        <v>174</v>
      </c>
    </row>
    <row r="60" spans="2:12">
      <c r="B60" t="s">
        <v>701</v>
      </c>
      <c r="C60" t="s">
        <v>650</v>
      </c>
      <c r="D60">
        <v>326</v>
      </c>
      <c r="E60">
        <v>757</v>
      </c>
      <c r="F60" s="553">
        <v>187</v>
      </c>
      <c r="G60" t="s">
        <v>1458</v>
      </c>
      <c r="H60" s="554">
        <v>0.42</v>
      </c>
      <c r="I60" s="553">
        <v>185</v>
      </c>
      <c r="J60" t="s">
        <v>647</v>
      </c>
      <c r="K60" s="554">
        <v>0.42</v>
      </c>
      <c r="L60" s="553">
        <v>185</v>
      </c>
    </row>
    <row r="61" spans="2:12">
      <c r="B61" t="s">
        <v>673</v>
      </c>
      <c r="C61" t="s">
        <v>703</v>
      </c>
      <c r="D61">
        <v>335</v>
      </c>
      <c r="E61">
        <v>176</v>
      </c>
      <c r="F61" s="553">
        <v>184</v>
      </c>
      <c r="G61" t="s">
        <v>645</v>
      </c>
      <c r="H61" s="554">
        <v>0.86</v>
      </c>
      <c r="I61" s="553">
        <v>185</v>
      </c>
      <c r="J61" t="s">
        <v>652</v>
      </c>
      <c r="K61" s="554">
        <v>0.13</v>
      </c>
      <c r="L61" s="553">
        <v>183</v>
      </c>
    </row>
    <row r="62" spans="2:12">
      <c r="B62" t="s">
        <v>650</v>
      </c>
      <c r="C62" t="s">
        <v>715</v>
      </c>
      <c r="D62">
        <v>325</v>
      </c>
      <c r="E62">
        <v>450</v>
      </c>
      <c r="F62" s="553">
        <v>180</v>
      </c>
      <c r="G62" t="s">
        <v>653</v>
      </c>
      <c r="H62" s="554">
        <v>0.55000000000000004</v>
      </c>
      <c r="I62" s="553">
        <v>189</v>
      </c>
      <c r="J62" t="s">
        <v>644</v>
      </c>
      <c r="K62" s="554">
        <v>0.17</v>
      </c>
      <c r="L62" s="553">
        <v>155</v>
      </c>
    </row>
    <row r="63" spans="2:12">
      <c r="B63" t="s">
        <v>716</v>
      </c>
      <c r="C63" t="s">
        <v>711</v>
      </c>
      <c r="D63">
        <v>328</v>
      </c>
      <c r="E63">
        <v>398</v>
      </c>
      <c r="F63" s="553">
        <v>177</v>
      </c>
      <c r="G63" t="s">
        <v>1459</v>
      </c>
      <c r="H63" s="554">
        <v>0.61</v>
      </c>
      <c r="I63" s="553">
        <v>184</v>
      </c>
      <c r="J63" t="s">
        <v>644</v>
      </c>
      <c r="K63" s="554">
        <v>0.39</v>
      </c>
      <c r="L63" s="553">
        <v>166</v>
      </c>
    </row>
    <row r="64" spans="2:12">
      <c r="B64" t="s">
        <v>650</v>
      </c>
      <c r="C64" t="s">
        <v>717</v>
      </c>
      <c r="D64">
        <v>337</v>
      </c>
      <c r="E64">
        <v>469</v>
      </c>
      <c r="F64" s="553">
        <v>175</v>
      </c>
      <c r="G64" t="s">
        <v>653</v>
      </c>
      <c r="H64" s="554">
        <v>0.53</v>
      </c>
      <c r="I64" s="553">
        <v>179</v>
      </c>
      <c r="J64" t="s">
        <v>644</v>
      </c>
      <c r="K64" s="554">
        <v>0.15</v>
      </c>
      <c r="L64" s="553">
        <v>156</v>
      </c>
    </row>
    <row r="65" spans="2:12">
      <c r="B65" t="s">
        <v>718</v>
      </c>
      <c r="C65" t="s">
        <v>702</v>
      </c>
      <c r="D65">
        <v>326</v>
      </c>
      <c r="E65">
        <v>443</v>
      </c>
      <c r="F65" s="553">
        <v>175</v>
      </c>
      <c r="G65" t="s">
        <v>645</v>
      </c>
      <c r="H65" s="554">
        <v>0.36</v>
      </c>
      <c r="I65" s="553">
        <v>184</v>
      </c>
      <c r="J65" t="s">
        <v>663</v>
      </c>
      <c r="K65" s="554">
        <v>0.35</v>
      </c>
      <c r="L65" s="553">
        <v>167</v>
      </c>
    </row>
    <row r="66" spans="2:12">
      <c r="B66" t="s">
        <v>679</v>
      </c>
      <c r="C66" t="s">
        <v>719</v>
      </c>
      <c r="D66">
        <v>343</v>
      </c>
      <c r="E66">
        <v>778</v>
      </c>
      <c r="F66" s="553">
        <v>166</v>
      </c>
      <c r="G66" t="s">
        <v>669</v>
      </c>
      <c r="H66" s="554">
        <v>0.53</v>
      </c>
      <c r="I66" s="553">
        <v>171</v>
      </c>
      <c r="J66" t="s">
        <v>663</v>
      </c>
      <c r="K66" s="554">
        <v>0.26</v>
      </c>
      <c r="L66" s="553">
        <v>149</v>
      </c>
    </row>
    <row r="67" spans="2:12">
      <c r="B67" t="s">
        <v>662</v>
      </c>
      <c r="C67" t="s">
        <v>720</v>
      </c>
      <c r="D67">
        <v>319</v>
      </c>
      <c r="E67">
        <v>265</v>
      </c>
      <c r="F67" s="553">
        <v>163</v>
      </c>
      <c r="G67" t="s">
        <v>1459</v>
      </c>
      <c r="H67" s="554">
        <v>0.56000000000000005</v>
      </c>
      <c r="I67" s="553">
        <v>153</v>
      </c>
      <c r="J67" t="s">
        <v>663</v>
      </c>
      <c r="K67" s="554">
        <v>0.56000000000000005</v>
      </c>
      <c r="L67" s="553">
        <v>153</v>
      </c>
    </row>
    <row r="68" spans="2:12">
      <c r="B68" t="s">
        <v>709</v>
      </c>
      <c r="C68" t="s">
        <v>640</v>
      </c>
      <c r="D68">
        <v>344</v>
      </c>
      <c r="E68">
        <v>351</v>
      </c>
      <c r="F68" s="553">
        <v>162</v>
      </c>
      <c r="G68" t="s">
        <v>639</v>
      </c>
      <c r="H68" s="554">
        <v>0.95</v>
      </c>
      <c r="I68" s="553">
        <v>162</v>
      </c>
      <c r="J68" t="s">
        <v>638</v>
      </c>
      <c r="K68" s="554">
        <v>0.95</v>
      </c>
      <c r="L68" s="553">
        <v>162</v>
      </c>
    </row>
    <row r="69" spans="2:12">
      <c r="B69" t="s">
        <v>721</v>
      </c>
      <c r="C69" t="s">
        <v>706</v>
      </c>
      <c r="D69">
        <v>321</v>
      </c>
      <c r="E69">
        <v>295</v>
      </c>
      <c r="F69" s="553">
        <v>162</v>
      </c>
      <c r="G69" t="s">
        <v>653</v>
      </c>
      <c r="H69" s="554">
        <v>0.86</v>
      </c>
      <c r="I69" s="553">
        <v>166</v>
      </c>
      <c r="J69" t="s">
        <v>663</v>
      </c>
      <c r="K69" s="554">
        <v>0.12</v>
      </c>
      <c r="L69" s="553">
        <v>130</v>
      </c>
    </row>
    <row r="70" spans="2:12">
      <c r="B70" t="s">
        <v>712</v>
      </c>
      <c r="C70" t="s">
        <v>710</v>
      </c>
      <c r="D70">
        <v>314</v>
      </c>
      <c r="E70">
        <v>183</v>
      </c>
      <c r="F70" s="553">
        <v>161</v>
      </c>
      <c r="G70" t="s">
        <v>639</v>
      </c>
      <c r="H70" s="554">
        <v>0.88</v>
      </c>
      <c r="I70" s="553">
        <v>158</v>
      </c>
      <c r="J70" t="s">
        <v>638</v>
      </c>
      <c r="K70" s="554">
        <v>0.88</v>
      </c>
      <c r="L70" s="553">
        <v>158</v>
      </c>
    </row>
    <row r="71" spans="2:12">
      <c r="B71" t="s">
        <v>673</v>
      </c>
      <c r="C71" t="s">
        <v>681</v>
      </c>
      <c r="D71">
        <v>328</v>
      </c>
      <c r="E71">
        <v>498</v>
      </c>
      <c r="F71" s="553">
        <v>158</v>
      </c>
      <c r="G71" t="s">
        <v>645</v>
      </c>
      <c r="H71" s="554">
        <v>0.8</v>
      </c>
      <c r="I71" s="553">
        <v>163</v>
      </c>
      <c r="J71" t="s">
        <v>663</v>
      </c>
      <c r="K71" s="554">
        <v>0.18</v>
      </c>
      <c r="L71" s="553">
        <v>128</v>
      </c>
    </row>
    <row r="72" spans="2:12">
      <c r="B72" t="s">
        <v>716</v>
      </c>
      <c r="C72" t="s">
        <v>722</v>
      </c>
      <c r="D72">
        <v>349</v>
      </c>
      <c r="E72">
        <v>317</v>
      </c>
      <c r="F72" s="553">
        <v>157</v>
      </c>
      <c r="G72" t="s">
        <v>1459</v>
      </c>
      <c r="H72" s="554">
        <v>0.61</v>
      </c>
      <c r="I72" s="553">
        <v>156</v>
      </c>
      <c r="J72" t="s">
        <v>663</v>
      </c>
      <c r="K72" s="554">
        <v>0.61</v>
      </c>
      <c r="L72" s="553">
        <v>156</v>
      </c>
    </row>
    <row r="73" spans="2:12">
      <c r="B73" t="s">
        <v>662</v>
      </c>
      <c r="C73" t="s">
        <v>723</v>
      </c>
      <c r="D73">
        <v>304</v>
      </c>
      <c r="E73">
        <v>243</v>
      </c>
      <c r="F73" s="553">
        <v>157</v>
      </c>
      <c r="G73" t="s">
        <v>645</v>
      </c>
      <c r="H73" s="554">
        <v>0.7</v>
      </c>
      <c r="I73" s="553">
        <v>165</v>
      </c>
      <c r="J73" t="s">
        <v>663</v>
      </c>
      <c r="K73" s="554">
        <v>0.28999999999999998</v>
      </c>
      <c r="L73" s="553">
        <v>139</v>
      </c>
    </row>
    <row r="74" spans="2:12">
      <c r="B74" t="s">
        <v>695</v>
      </c>
      <c r="C74" t="s">
        <v>699</v>
      </c>
      <c r="D74">
        <v>337</v>
      </c>
      <c r="E74">
        <v>457</v>
      </c>
      <c r="F74" s="553">
        <v>153</v>
      </c>
      <c r="G74" t="s">
        <v>645</v>
      </c>
      <c r="H74" s="554">
        <v>0.8</v>
      </c>
      <c r="I74" s="553">
        <v>171</v>
      </c>
      <c r="J74" t="s">
        <v>668</v>
      </c>
      <c r="K74" s="554">
        <v>0.18</v>
      </c>
      <c r="L74" s="553">
        <v>70</v>
      </c>
    </row>
    <row r="75" spans="2:12">
      <c r="B75" t="s">
        <v>700</v>
      </c>
      <c r="C75" t="s">
        <v>702</v>
      </c>
      <c r="D75">
        <v>337</v>
      </c>
      <c r="E75">
        <v>484</v>
      </c>
      <c r="F75" s="553">
        <v>152</v>
      </c>
      <c r="G75" t="s">
        <v>645</v>
      </c>
      <c r="H75" s="554">
        <v>0.42</v>
      </c>
      <c r="I75" s="553">
        <v>146</v>
      </c>
      <c r="J75" t="s">
        <v>644</v>
      </c>
      <c r="K75" s="554">
        <v>0.42</v>
      </c>
      <c r="L75" s="553">
        <v>146</v>
      </c>
    </row>
    <row r="76" spans="2:12">
      <c r="B76" t="s">
        <v>719</v>
      </c>
      <c r="C76" t="s">
        <v>702</v>
      </c>
      <c r="D76">
        <v>314</v>
      </c>
      <c r="E76">
        <v>460</v>
      </c>
      <c r="F76" s="553">
        <v>151</v>
      </c>
      <c r="G76" t="s">
        <v>1459</v>
      </c>
      <c r="H76" s="554">
        <v>0.4</v>
      </c>
      <c r="I76" s="553">
        <v>138</v>
      </c>
      <c r="J76" t="s">
        <v>663</v>
      </c>
      <c r="K76" s="554">
        <v>0.4</v>
      </c>
      <c r="L76" s="553">
        <v>138</v>
      </c>
    </row>
    <row r="77" spans="2:12">
      <c r="B77" t="s">
        <v>711</v>
      </c>
      <c r="C77" t="s">
        <v>710</v>
      </c>
      <c r="D77">
        <v>324</v>
      </c>
      <c r="E77" s="555">
        <v>1228</v>
      </c>
      <c r="F77" s="553">
        <v>151</v>
      </c>
      <c r="G77" t="s">
        <v>1459</v>
      </c>
      <c r="H77" s="554">
        <v>0.62</v>
      </c>
      <c r="I77" s="553">
        <v>153</v>
      </c>
      <c r="J77" t="s">
        <v>663</v>
      </c>
      <c r="K77" s="554">
        <v>0.62</v>
      </c>
      <c r="L77" s="553">
        <v>153</v>
      </c>
    </row>
    <row r="78" spans="2:12">
      <c r="B78" t="s">
        <v>721</v>
      </c>
      <c r="C78" t="s">
        <v>724</v>
      </c>
      <c r="D78">
        <v>332</v>
      </c>
      <c r="E78">
        <v>430</v>
      </c>
      <c r="F78" s="553">
        <v>151</v>
      </c>
      <c r="G78" t="s">
        <v>653</v>
      </c>
      <c r="H78" s="554">
        <v>0.78</v>
      </c>
      <c r="I78" s="553">
        <v>160</v>
      </c>
      <c r="J78" t="s">
        <v>663</v>
      </c>
      <c r="K78" s="554">
        <v>0.2</v>
      </c>
      <c r="L78" s="553">
        <v>117</v>
      </c>
    </row>
    <row r="79" spans="2:12">
      <c r="B79" t="s">
        <v>725</v>
      </c>
      <c r="C79" t="s">
        <v>662</v>
      </c>
      <c r="D79">
        <v>323</v>
      </c>
      <c r="E79">
        <v>232</v>
      </c>
      <c r="F79" s="553">
        <v>144</v>
      </c>
      <c r="G79" t="s">
        <v>1459</v>
      </c>
      <c r="H79" s="554">
        <v>0.51</v>
      </c>
      <c r="I79" s="553">
        <v>136</v>
      </c>
      <c r="J79" t="s">
        <v>663</v>
      </c>
      <c r="K79" s="554">
        <v>0.51</v>
      </c>
      <c r="L79" s="553">
        <v>136</v>
      </c>
    </row>
    <row r="80" spans="2:12">
      <c r="B80" t="s">
        <v>726</v>
      </c>
      <c r="C80" t="s">
        <v>711</v>
      </c>
      <c r="D80">
        <v>347</v>
      </c>
      <c r="E80">
        <v>266</v>
      </c>
      <c r="F80" s="553">
        <v>144</v>
      </c>
      <c r="G80" t="s">
        <v>1459</v>
      </c>
      <c r="H80" s="554">
        <v>0.67</v>
      </c>
      <c r="I80" s="553">
        <v>139</v>
      </c>
      <c r="J80" t="s">
        <v>663</v>
      </c>
      <c r="K80" s="554">
        <v>0.67</v>
      </c>
      <c r="L80" s="553">
        <v>139</v>
      </c>
    </row>
    <row r="81" spans="2:12">
      <c r="B81" t="s">
        <v>721</v>
      </c>
      <c r="C81" t="s">
        <v>727</v>
      </c>
      <c r="D81">
        <v>341</v>
      </c>
      <c r="E81">
        <v>193</v>
      </c>
      <c r="F81" s="553">
        <v>135</v>
      </c>
      <c r="G81" t="s">
        <v>653</v>
      </c>
      <c r="H81" s="554">
        <v>0.71</v>
      </c>
      <c r="I81" s="553">
        <v>145</v>
      </c>
      <c r="J81" t="s">
        <v>663</v>
      </c>
      <c r="K81" s="554">
        <v>0.28000000000000003</v>
      </c>
      <c r="L81" s="553">
        <v>110</v>
      </c>
    </row>
    <row r="82" spans="2:12">
      <c r="B82" t="s">
        <v>687</v>
      </c>
      <c r="C82" t="s">
        <v>728</v>
      </c>
      <c r="D82">
        <v>345</v>
      </c>
      <c r="E82">
        <v>818</v>
      </c>
      <c r="F82" s="553">
        <v>135</v>
      </c>
      <c r="G82" t="s">
        <v>1459</v>
      </c>
      <c r="H82" s="554">
        <v>0.9</v>
      </c>
      <c r="I82" s="553">
        <v>140</v>
      </c>
      <c r="J82" t="s">
        <v>668</v>
      </c>
      <c r="K82" s="554">
        <v>0.03</v>
      </c>
      <c r="L82" s="553">
        <v>72</v>
      </c>
    </row>
    <row r="83" spans="2:12">
      <c r="B83" t="s">
        <v>678</v>
      </c>
      <c r="C83" t="s">
        <v>729</v>
      </c>
      <c r="D83">
        <v>305</v>
      </c>
      <c r="E83">
        <v>762</v>
      </c>
      <c r="F83" s="553">
        <v>133</v>
      </c>
      <c r="G83" t="s">
        <v>1459</v>
      </c>
      <c r="H83" s="554">
        <v>0.56000000000000005</v>
      </c>
      <c r="I83" s="553">
        <v>129</v>
      </c>
      <c r="J83" t="s">
        <v>663</v>
      </c>
      <c r="K83" s="554">
        <v>0.56000000000000005</v>
      </c>
      <c r="L83" s="553">
        <v>129</v>
      </c>
    </row>
    <row r="84" spans="2:12">
      <c r="B84" t="s">
        <v>698</v>
      </c>
      <c r="C84" t="s">
        <v>685</v>
      </c>
      <c r="D84">
        <v>335</v>
      </c>
      <c r="E84">
        <v>349</v>
      </c>
      <c r="F84" s="553">
        <v>132</v>
      </c>
      <c r="G84" t="s">
        <v>1458</v>
      </c>
      <c r="H84" s="554">
        <v>0.47</v>
      </c>
      <c r="I84" s="553">
        <v>107</v>
      </c>
      <c r="J84" t="s">
        <v>647</v>
      </c>
      <c r="K84" s="554">
        <v>0.47</v>
      </c>
      <c r="L84" s="553">
        <v>107</v>
      </c>
    </row>
    <row r="85" spans="2:12">
      <c r="B85" t="s">
        <v>679</v>
      </c>
      <c r="C85" t="s">
        <v>691</v>
      </c>
      <c r="D85">
        <v>349</v>
      </c>
      <c r="E85" s="555">
        <v>1947</v>
      </c>
      <c r="F85" s="553">
        <v>127</v>
      </c>
      <c r="G85" t="s">
        <v>653</v>
      </c>
      <c r="H85" s="554">
        <v>0.38</v>
      </c>
      <c r="I85" s="553">
        <v>139</v>
      </c>
      <c r="J85" t="s">
        <v>663</v>
      </c>
      <c r="K85" s="554">
        <v>0.18</v>
      </c>
      <c r="L85" s="553">
        <v>118</v>
      </c>
    </row>
    <row r="87" spans="2:12">
      <c r="B87" s="552" t="s">
        <v>730</v>
      </c>
    </row>
    <row r="88" spans="2:12">
      <c r="B88" t="s">
        <v>731</v>
      </c>
      <c r="C88" t="s">
        <v>691</v>
      </c>
      <c r="D88">
        <v>393</v>
      </c>
      <c r="E88">
        <v>236</v>
      </c>
      <c r="F88" s="553">
        <v>234</v>
      </c>
      <c r="G88" t="s">
        <v>653</v>
      </c>
      <c r="H88" s="554">
        <v>0.9</v>
      </c>
      <c r="I88" s="553">
        <v>239</v>
      </c>
      <c r="J88" t="s">
        <v>651</v>
      </c>
      <c r="K88" s="554">
        <v>0.02</v>
      </c>
      <c r="L88" s="553">
        <v>179</v>
      </c>
    </row>
    <row r="89" spans="2:12">
      <c r="B89" t="s">
        <v>719</v>
      </c>
      <c r="C89" t="s">
        <v>695</v>
      </c>
      <c r="D89">
        <v>363</v>
      </c>
      <c r="E89">
        <v>199</v>
      </c>
      <c r="F89" s="553">
        <v>216</v>
      </c>
      <c r="G89" t="s">
        <v>645</v>
      </c>
      <c r="H89" s="554">
        <v>0.92</v>
      </c>
      <c r="I89" s="553">
        <v>218</v>
      </c>
      <c r="J89" t="s">
        <v>651</v>
      </c>
      <c r="K89" s="554">
        <v>0.04</v>
      </c>
      <c r="L89" s="553">
        <v>179</v>
      </c>
    </row>
    <row r="90" spans="2:12">
      <c r="B90" t="s">
        <v>673</v>
      </c>
      <c r="C90" t="s">
        <v>732</v>
      </c>
      <c r="D90">
        <v>366</v>
      </c>
      <c r="E90">
        <v>233</v>
      </c>
      <c r="F90" s="553">
        <v>203</v>
      </c>
      <c r="G90" t="s">
        <v>645</v>
      </c>
      <c r="H90" s="554">
        <v>0.88</v>
      </c>
      <c r="I90" s="553">
        <v>207</v>
      </c>
      <c r="J90" t="s">
        <v>651</v>
      </c>
      <c r="K90" s="554">
        <v>0.01</v>
      </c>
      <c r="L90" s="553">
        <v>140</v>
      </c>
    </row>
    <row r="91" spans="2:12">
      <c r="B91" t="s">
        <v>721</v>
      </c>
      <c r="C91" t="s">
        <v>703</v>
      </c>
      <c r="D91">
        <v>373</v>
      </c>
      <c r="E91">
        <v>338</v>
      </c>
      <c r="F91" s="553">
        <v>199</v>
      </c>
      <c r="G91" t="s">
        <v>653</v>
      </c>
      <c r="H91" s="554">
        <v>0.83</v>
      </c>
      <c r="I91" s="553">
        <v>219</v>
      </c>
      <c r="J91" t="s">
        <v>668</v>
      </c>
      <c r="K91" s="554">
        <v>0.11</v>
      </c>
      <c r="L91" s="553">
        <v>69</v>
      </c>
    </row>
    <row r="92" spans="2:12">
      <c r="B92" t="s">
        <v>649</v>
      </c>
      <c r="C92" t="s">
        <v>701</v>
      </c>
      <c r="D92">
        <v>395</v>
      </c>
      <c r="E92">
        <v>227</v>
      </c>
      <c r="F92" s="553">
        <v>196</v>
      </c>
      <c r="G92" t="s">
        <v>1458</v>
      </c>
      <c r="H92" s="554">
        <v>0.73</v>
      </c>
      <c r="I92" s="553">
        <v>188</v>
      </c>
      <c r="J92" t="s">
        <v>647</v>
      </c>
      <c r="K92" s="554">
        <v>0.73</v>
      </c>
      <c r="L92" s="553">
        <v>188</v>
      </c>
    </row>
    <row r="93" spans="2:12">
      <c r="B93" t="s">
        <v>650</v>
      </c>
      <c r="C93" t="s">
        <v>732</v>
      </c>
      <c r="D93">
        <v>375</v>
      </c>
      <c r="E93">
        <v>763</v>
      </c>
      <c r="F93" s="553">
        <v>179</v>
      </c>
      <c r="G93" t="s">
        <v>653</v>
      </c>
      <c r="H93" s="554">
        <v>0.56000000000000005</v>
      </c>
      <c r="I93" s="553">
        <v>177</v>
      </c>
      <c r="J93" t="s">
        <v>644</v>
      </c>
      <c r="K93" s="554">
        <v>0.23</v>
      </c>
      <c r="L93" s="553">
        <v>152</v>
      </c>
    </row>
    <row r="94" spans="2:12">
      <c r="B94" t="s">
        <v>673</v>
      </c>
      <c r="C94" t="s">
        <v>702</v>
      </c>
      <c r="D94">
        <v>361</v>
      </c>
      <c r="E94" s="555">
        <v>1124</v>
      </c>
      <c r="F94" s="553">
        <v>155</v>
      </c>
      <c r="G94" t="s">
        <v>645</v>
      </c>
      <c r="H94" s="554">
        <v>0.72</v>
      </c>
      <c r="I94" s="553">
        <v>160</v>
      </c>
      <c r="J94" t="s">
        <v>663</v>
      </c>
      <c r="K94" s="554">
        <v>0.17</v>
      </c>
      <c r="L94" s="553">
        <v>136</v>
      </c>
    </row>
    <row r="95" spans="2:12">
      <c r="B95" t="s">
        <v>721</v>
      </c>
      <c r="C95" t="s">
        <v>699</v>
      </c>
      <c r="D95">
        <v>356</v>
      </c>
      <c r="E95">
        <v>727</v>
      </c>
      <c r="F95" s="553">
        <v>150</v>
      </c>
      <c r="G95" t="s">
        <v>653</v>
      </c>
      <c r="H95" s="554">
        <v>0.82</v>
      </c>
      <c r="I95" s="553">
        <v>156</v>
      </c>
      <c r="J95" t="s">
        <v>663</v>
      </c>
      <c r="K95" s="554">
        <v>0.13</v>
      </c>
      <c r="L95" s="553">
        <v>126</v>
      </c>
    </row>
    <row r="96" spans="2:12">
      <c r="B96" t="s">
        <v>687</v>
      </c>
      <c r="C96" t="s">
        <v>733</v>
      </c>
      <c r="D96">
        <v>365</v>
      </c>
      <c r="E96">
        <v>259</v>
      </c>
      <c r="F96" s="553">
        <v>147</v>
      </c>
      <c r="G96" t="s">
        <v>1459</v>
      </c>
      <c r="H96" s="554">
        <v>0.88</v>
      </c>
      <c r="I96" s="553">
        <v>149</v>
      </c>
      <c r="J96" t="s">
        <v>668</v>
      </c>
      <c r="K96" s="554">
        <v>0.03</v>
      </c>
      <c r="L96" s="553">
        <v>79</v>
      </c>
    </row>
    <row r="97" spans="2:12">
      <c r="B97" t="s">
        <v>687</v>
      </c>
      <c r="C97" t="s">
        <v>734</v>
      </c>
      <c r="D97">
        <v>397</v>
      </c>
      <c r="E97" s="555">
        <v>1350</v>
      </c>
      <c r="F97" s="553">
        <v>141</v>
      </c>
      <c r="G97" t="s">
        <v>1459</v>
      </c>
      <c r="H97" s="554">
        <v>0.79</v>
      </c>
      <c r="I97" s="553">
        <v>151</v>
      </c>
      <c r="J97" t="s">
        <v>659</v>
      </c>
      <c r="K97" s="554">
        <v>0.14000000000000001</v>
      </c>
      <c r="L97" s="553">
        <v>100</v>
      </c>
    </row>
    <row r="98" spans="2:12">
      <c r="B98" t="s">
        <v>735</v>
      </c>
      <c r="C98" t="s">
        <v>707</v>
      </c>
      <c r="D98">
        <v>372</v>
      </c>
      <c r="E98" s="555">
        <v>10770</v>
      </c>
      <c r="F98" s="553">
        <v>135</v>
      </c>
      <c r="G98" t="s">
        <v>1459</v>
      </c>
      <c r="H98" s="554">
        <v>0.59</v>
      </c>
      <c r="I98" s="553">
        <v>134</v>
      </c>
      <c r="J98" t="s">
        <v>638</v>
      </c>
      <c r="K98" s="554">
        <v>0.14000000000000001</v>
      </c>
      <c r="L98" s="553">
        <v>131</v>
      </c>
    </row>
    <row r="99" spans="2:12">
      <c r="B99" t="s">
        <v>736</v>
      </c>
      <c r="C99" t="s">
        <v>702</v>
      </c>
      <c r="D99">
        <v>399</v>
      </c>
      <c r="E99">
        <v>424</v>
      </c>
      <c r="F99" s="553">
        <v>125</v>
      </c>
      <c r="G99" t="s">
        <v>1459</v>
      </c>
      <c r="H99" s="554">
        <v>0.5</v>
      </c>
      <c r="I99" s="553">
        <v>120</v>
      </c>
      <c r="J99" t="s">
        <v>659</v>
      </c>
      <c r="K99" s="554">
        <v>0.13</v>
      </c>
      <c r="L99" s="553">
        <v>76</v>
      </c>
    </row>
    <row r="100" spans="2:12">
      <c r="B100" t="s">
        <v>687</v>
      </c>
      <c r="C100" t="s">
        <v>737</v>
      </c>
      <c r="D100">
        <v>368</v>
      </c>
      <c r="E100" s="555">
        <v>1003</v>
      </c>
      <c r="F100" s="553">
        <v>122</v>
      </c>
      <c r="G100" t="s">
        <v>653</v>
      </c>
      <c r="H100" s="554">
        <v>0.6</v>
      </c>
      <c r="I100" s="553">
        <v>133</v>
      </c>
      <c r="J100" t="s">
        <v>663</v>
      </c>
      <c r="K100" s="554">
        <v>0.37</v>
      </c>
      <c r="L100" s="553">
        <v>108</v>
      </c>
    </row>
    <row r="101" spans="2:12">
      <c r="B101" t="s">
        <v>738</v>
      </c>
      <c r="C101" t="s">
        <v>641</v>
      </c>
      <c r="D101">
        <v>352</v>
      </c>
      <c r="E101">
        <v>190</v>
      </c>
      <c r="F101" s="553">
        <v>117</v>
      </c>
      <c r="G101" t="s">
        <v>639</v>
      </c>
      <c r="H101" s="554">
        <v>0.78</v>
      </c>
      <c r="I101" s="553">
        <v>117</v>
      </c>
      <c r="J101" t="s">
        <v>652</v>
      </c>
      <c r="K101" s="554">
        <v>0.22</v>
      </c>
      <c r="L101" s="553">
        <v>115</v>
      </c>
    </row>
    <row r="102" spans="2:12">
      <c r="B102" t="s">
        <v>735</v>
      </c>
      <c r="C102" t="s">
        <v>711</v>
      </c>
      <c r="D102">
        <v>370</v>
      </c>
      <c r="E102" s="555">
        <v>3689</v>
      </c>
      <c r="F102" s="553">
        <v>117</v>
      </c>
      <c r="G102" t="s">
        <v>1459</v>
      </c>
      <c r="H102" s="554">
        <v>0.57999999999999996</v>
      </c>
      <c r="I102" s="553">
        <v>110</v>
      </c>
      <c r="J102" t="s">
        <v>663</v>
      </c>
      <c r="K102" s="554">
        <v>0.57999999999999996</v>
      </c>
      <c r="L102" s="553">
        <v>110</v>
      </c>
    </row>
    <row r="103" spans="2:12">
      <c r="B103" t="s">
        <v>709</v>
      </c>
      <c r="C103" t="s">
        <v>641</v>
      </c>
      <c r="D103">
        <v>399</v>
      </c>
      <c r="E103">
        <v>784</v>
      </c>
      <c r="F103" s="553">
        <v>106</v>
      </c>
      <c r="G103" t="s">
        <v>639</v>
      </c>
      <c r="H103" s="554">
        <v>0.81</v>
      </c>
      <c r="I103" s="553">
        <v>104</v>
      </c>
      <c r="J103" t="s">
        <v>638</v>
      </c>
      <c r="K103" s="554">
        <v>0.81</v>
      </c>
      <c r="L103" s="553">
        <v>104</v>
      </c>
    </row>
    <row r="104" spans="2:12">
      <c r="B104" t="s">
        <v>722</v>
      </c>
      <c r="C104" t="s">
        <v>737</v>
      </c>
      <c r="D104">
        <v>391</v>
      </c>
      <c r="E104" s="555">
        <v>1071</v>
      </c>
      <c r="F104" s="553">
        <v>95</v>
      </c>
      <c r="G104" t="s">
        <v>653</v>
      </c>
      <c r="H104" s="554">
        <v>0.39</v>
      </c>
      <c r="I104" s="553">
        <v>101</v>
      </c>
      <c r="J104" t="s">
        <v>663</v>
      </c>
      <c r="K104" s="554">
        <v>0.36</v>
      </c>
      <c r="L104" s="553">
        <v>86</v>
      </c>
    </row>
    <row r="105" spans="2:12">
      <c r="B105" t="s">
        <v>687</v>
      </c>
      <c r="C105" t="s">
        <v>739</v>
      </c>
      <c r="D105">
        <v>359</v>
      </c>
      <c r="E105">
        <v>219</v>
      </c>
      <c r="F105" s="553">
        <v>93</v>
      </c>
      <c r="G105" t="s">
        <v>1460</v>
      </c>
      <c r="H105" s="554">
        <v>1</v>
      </c>
      <c r="I105" s="553">
        <v>93</v>
      </c>
      <c r="J105" t="s">
        <v>655</v>
      </c>
      <c r="K105" s="554">
        <v>1</v>
      </c>
      <c r="L105" s="553">
        <v>93</v>
      </c>
    </row>
    <row r="107" spans="2:12">
      <c r="B107" s="552" t="s">
        <v>740</v>
      </c>
    </row>
    <row r="108" spans="2:12">
      <c r="B108" t="s">
        <v>741</v>
      </c>
      <c r="C108" t="s">
        <v>702</v>
      </c>
      <c r="D108">
        <v>441</v>
      </c>
      <c r="E108">
        <v>177</v>
      </c>
      <c r="F108" s="553">
        <v>242</v>
      </c>
      <c r="G108" t="s">
        <v>645</v>
      </c>
      <c r="H108" s="554">
        <v>0.62</v>
      </c>
      <c r="I108" s="553">
        <v>232</v>
      </c>
      <c r="J108" t="s">
        <v>644</v>
      </c>
      <c r="K108" s="554">
        <v>0.62</v>
      </c>
      <c r="L108" s="553">
        <v>232</v>
      </c>
    </row>
    <row r="109" spans="2:12">
      <c r="B109" t="s">
        <v>742</v>
      </c>
      <c r="C109" t="s">
        <v>691</v>
      </c>
      <c r="D109">
        <v>408</v>
      </c>
      <c r="E109">
        <v>205</v>
      </c>
      <c r="F109" s="553">
        <v>234</v>
      </c>
      <c r="G109" t="s">
        <v>653</v>
      </c>
      <c r="H109" s="554">
        <v>0.86</v>
      </c>
      <c r="I109" s="553">
        <v>245</v>
      </c>
      <c r="J109" t="s">
        <v>663</v>
      </c>
      <c r="K109" s="554">
        <v>0.04</v>
      </c>
      <c r="L109" s="553">
        <v>157</v>
      </c>
    </row>
    <row r="110" spans="2:12">
      <c r="B110" t="s">
        <v>700</v>
      </c>
      <c r="C110" t="s">
        <v>695</v>
      </c>
      <c r="D110">
        <v>406</v>
      </c>
      <c r="E110">
        <v>227</v>
      </c>
      <c r="F110" s="553">
        <v>217</v>
      </c>
      <c r="G110" t="s">
        <v>645</v>
      </c>
      <c r="H110" s="554">
        <v>0.93</v>
      </c>
      <c r="I110" s="553">
        <v>219</v>
      </c>
      <c r="J110" t="s">
        <v>651</v>
      </c>
      <c r="K110" s="554">
        <v>0.02</v>
      </c>
      <c r="L110" s="553">
        <v>187</v>
      </c>
    </row>
    <row r="111" spans="2:12">
      <c r="B111" t="s">
        <v>728</v>
      </c>
      <c r="C111" t="s">
        <v>737</v>
      </c>
      <c r="D111">
        <v>422</v>
      </c>
      <c r="E111">
        <v>176</v>
      </c>
      <c r="F111" s="553">
        <v>204</v>
      </c>
      <c r="G111" t="s">
        <v>653</v>
      </c>
      <c r="H111" s="554">
        <v>0.88</v>
      </c>
      <c r="I111" s="553">
        <v>210</v>
      </c>
      <c r="J111" t="s">
        <v>651</v>
      </c>
      <c r="K111" s="554">
        <v>0.02</v>
      </c>
      <c r="L111" s="553">
        <v>150</v>
      </c>
    </row>
    <row r="112" spans="2:12">
      <c r="B112" t="s">
        <v>673</v>
      </c>
      <c r="C112" t="s">
        <v>743</v>
      </c>
      <c r="D112">
        <v>427</v>
      </c>
      <c r="E112">
        <v>249</v>
      </c>
      <c r="F112" s="553">
        <v>203</v>
      </c>
      <c r="G112" t="s">
        <v>645</v>
      </c>
      <c r="H112" s="554">
        <v>0.84</v>
      </c>
      <c r="I112" s="553">
        <v>211</v>
      </c>
      <c r="J112" t="s">
        <v>652</v>
      </c>
      <c r="K112" s="554">
        <v>0.11</v>
      </c>
      <c r="L112" s="553">
        <v>165</v>
      </c>
    </row>
    <row r="113" spans="2:12">
      <c r="B113" t="s">
        <v>673</v>
      </c>
      <c r="C113" t="s">
        <v>719</v>
      </c>
      <c r="D113">
        <v>430</v>
      </c>
      <c r="E113">
        <v>329</v>
      </c>
      <c r="F113" s="553">
        <v>195</v>
      </c>
      <c r="G113" t="s">
        <v>645</v>
      </c>
      <c r="H113" s="554">
        <v>0.88</v>
      </c>
      <c r="I113" s="553">
        <v>199</v>
      </c>
      <c r="J113" t="s">
        <v>651</v>
      </c>
      <c r="K113" s="554">
        <v>0.02</v>
      </c>
      <c r="L113" s="553">
        <v>157</v>
      </c>
    </row>
    <row r="114" spans="2:12">
      <c r="B114" t="s">
        <v>680</v>
      </c>
      <c r="C114" t="s">
        <v>704</v>
      </c>
      <c r="D114">
        <v>440</v>
      </c>
      <c r="E114">
        <v>286</v>
      </c>
      <c r="F114" s="553">
        <v>191</v>
      </c>
      <c r="G114" t="s">
        <v>653</v>
      </c>
      <c r="H114" s="554">
        <v>0.86</v>
      </c>
      <c r="I114" s="553">
        <v>195</v>
      </c>
      <c r="J114" t="s">
        <v>651</v>
      </c>
      <c r="K114" s="554">
        <v>0.01</v>
      </c>
      <c r="L114" s="553">
        <v>155</v>
      </c>
    </row>
    <row r="115" spans="2:12">
      <c r="B115" t="s">
        <v>649</v>
      </c>
      <c r="C115" t="s">
        <v>702</v>
      </c>
      <c r="D115">
        <v>418</v>
      </c>
      <c r="E115" s="555">
        <v>3784</v>
      </c>
      <c r="F115" s="553">
        <v>178</v>
      </c>
      <c r="G115" t="s">
        <v>645</v>
      </c>
      <c r="H115" s="554">
        <v>0.32</v>
      </c>
      <c r="I115" s="553">
        <v>185</v>
      </c>
      <c r="J115" t="s">
        <v>652</v>
      </c>
      <c r="K115" s="554">
        <v>0.1</v>
      </c>
      <c r="L115" s="553">
        <v>155</v>
      </c>
    </row>
    <row r="116" spans="2:12">
      <c r="B116" t="s">
        <v>691</v>
      </c>
      <c r="C116" t="s">
        <v>704</v>
      </c>
      <c r="D116">
        <v>448</v>
      </c>
      <c r="E116">
        <v>429</v>
      </c>
      <c r="F116" s="553">
        <v>174</v>
      </c>
      <c r="G116" t="s">
        <v>653</v>
      </c>
      <c r="H116" s="554">
        <v>0.83</v>
      </c>
      <c r="I116" s="553">
        <v>182</v>
      </c>
      <c r="J116" t="s">
        <v>664</v>
      </c>
      <c r="K116" s="554">
        <v>0.06</v>
      </c>
      <c r="L116" s="553">
        <v>81</v>
      </c>
    </row>
    <row r="117" spans="2:12">
      <c r="B117" t="s">
        <v>640</v>
      </c>
      <c r="C117" t="s">
        <v>728</v>
      </c>
      <c r="D117">
        <v>444</v>
      </c>
      <c r="E117">
        <v>232</v>
      </c>
      <c r="F117" s="553">
        <v>172</v>
      </c>
      <c r="G117" t="s">
        <v>639</v>
      </c>
      <c r="H117" s="554">
        <v>0.93</v>
      </c>
      <c r="I117" s="553">
        <v>171</v>
      </c>
      <c r="J117" t="s">
        <v>638</v>
      </c>
      <c r="K117" s="554">
        <v>0.93</v>
      </c>
      <c r="L117" s="553">
        <v>171</v>
      </c>
    </row>
    <row r="118" spans="2:12">
      <c r="B118" t="s">
        <v>679</v>
      </c>
      <c r="C118" t="s">
        <v>732</v>
      </c>
      <c r="D118">
        <v>413</v>
      </c>
      <c r="E118">
        <v>652</v>
      </c>
      <c r="F118" s="553">
        <v>169</v>
      </c>
      <c r="G118" t="s">
        <v>1459</v>
      </c>
      <c r="H118" s="554">
        <v>0.36</v>
      </c>
      <c r="I118" s="553">
        <v>146</v>
      </c>
      <c r="J118" t="s">
        <v>663</v>
      </c>
      <c r="K118" s="554">
        <v>0.36</v>
      </c>
      <c r="L118" s="553">
        <v>146</v>
      </c>
    </row>
    <row r="119" spans="2:12">
      <c r="B119" t="s">
        <v>685</v>
      </c>
      <c r="C119" t="s">
        <v>744</v>
      </c>
      <c r="D119">
        <v>402</v>
      </c>
      <c r="E119">
        <v>211</v>
      </c>
      <c r="F119" s="553">
        <v>168</v>
      </c>
      <c r="G119" t="s">
        <v>645</v>
      </c>
      <c r="H119" s="554">
        <v>0.68</v>
      </c>
      <c r="I119" s="553">
        <v>172</v>
      </c>
      <c r="J119" t="s">
        <v>642</v>
      </c>
      <c r="K119" s="554">
        <v>0.13</v>
      </c>
      <c r="L119" s="553">
        <v>132</v>
      </c>
    </row>
    <row r="120" spans="2:12">
      <c r="B120" t="s">
        <v>678</v>
      </c>
      <c r="C120" t="s">
        <v>720</v>
      </c>
      <c r="D120">
        <v>441</v>
      </c>
      <c r="E120">
        <v>502</v>
      </c>
      <c r="F120" s="553">
        <v>166</v>
      </c>
      <c r="G120" t="s">
        <v>669</v>
      </c>
      <c r="H120" s="554">
        <v>0.52</v>
      </c>
      <c r="I120" s="553">
        <v>179</v>
      </c>
      <c r="J120" t="s">
        <v>663</v>
      </c>
      <c r="K120" s="554">
        <v>0.47</v>
      </c>
      <c r="L120" s="553">
        <v>152</v>
      </c>
    </row>
    <row r="121" spans="2:12">
      <c r="B121" t="s">
        <v>719</v>
      </c>
      <c r="C121" t="s">
        <v>681</v>
      </c>
      <c r="D121">
        <v>448</v>
      </c>
      <c r="E121">
        <v>333</v>
      </c>
      <c r="F121" s="553">
        <v>166</v>
      </c>
      <c r="G121" t="s">
        <v>1459</v>
      </c>
      <c r="H121" s="554">
        <v>0.78</v>
      </c>
      <c r="I121" s="553">
        <v>163</v>
      </c>
      <c r="J121" t="s">
        <v>655</v>
      </c>
      <c r="K121" s="554">
        <v>0.05</v>
      </c>
      <c r="L121" s="553">
        <v>75</v>
      </c>
    </row>
    <row r="122" spans="2:12">
      <c r="B122" t="s">
        <v>721</v>
      </c>
      <c r="C122" t="s">
        <v>743</v>
      </c>
      <c r="D122">
        <v>432</v>
      </c>
      <c r="E122">
        <v>599</v>
      </c>
      <c r="F122" s="553">
        <v>161</v>
      </c>
      <c r="G122" t="s">
        <v>653</v>
      </c>
      <c r="H122" s="554">
        <v>0.72</v>
      </c>
      <c r="I122" s="553">
        <v>172</v>
      </c>
      <c r="J122" t="s">
        <v>663</v>
      </c>
      <c r="K122" s="554">
        <v>0.26</v>
      </c>
      <c r="L122" s="553">
        <v>131</v>
      </c>
    </row>
    <row r="123" spans="2:12">
      <c r="B123" t="s">
        <v>679</v>
      </c>
      <c r="C123" t="s">
        <v>731</v>
      </c>
      <c r="D123">
        <v>405</v>
      </c>
      <c r="E123">
        <v>962</v>
      </c>
      <c r="F123" s="553">
        <v>161</v>
      </c>
      <c r="G123" t="s">
        <v>1459</v>
      </c>
      <c r="H123" s="554">
        <v>0.4</v>
      </c>
      <c r="I123" s="553">
        <v>165</v>
      </c>
      <c r="J123" t="s">
        <v>651</v>
      </c>
      <c r="K123" s="554">
        <v>0.3</v>
      </c>
      <c r="L123" s="553">
        <v>155</v>
      </c>
    </row>
    <row r="124" spans="2:12">
      <c r="B124" t="s">
        <v>735</v>
      </c>
      <c r="C124" t="s">
        <v>745</v>
      </c>
      <c r="D124">
        <v>433</v>
      </c>
      <c r="E124">
        <v>393</v>
      </c>
      <c r="F124" s="553">
        <v>159</v>
      </c>
      <c r="G124" t="s">
        <v>639</v>
      </c>
      <c r="H124" s="554">
        <v>0.98</v>
      </c>
      <c r="I124" s="553">
        <v>158</v>
      </c>
      <c r="J124" t="s">
        <v>638</v>
      </c>
      <c r="K124" s="554">
        <v>0.98</v>
      </c>
      <c r="L124" s="553">
        <v>158</v>
      </c>
    </row>
    <row r="125" spans="2:12">
      <c r="B125" t="s">
        <v>681</v>
      </c>
      <c r="C125" t="s">
        <v>699</v>
      </c>
      <c r="D125">
        <v>442</v>
      </c>
      <c r="E125">
        <v>440</v>
      </c>
      <c r="F125" s="553">
        <v>159</v>
      </c>
      <c r="G125" t="s">
        <v>1459</v>
      </c>
      <c r="H125" s="554">
        <v>0.55000000000000004</v>
      </c>
      <c r="I125" s="553">
        <v>156</v>
      </c>
      <c r="J125" t="s">
        <v>644</v>
      </c>
      <c r="K125" s="554">
        <v>0.37</v>
      </c>
      <c r="L125" s="553">
        <v>152</v>
      </c>
    </row>
    <row r="126" spans="2:12">
      <c r="B126" t="s">
        <v>678</v>
      </c>
      <c r="C126" t="s">
        <v>746</v>
      </c>
      <c r="D126">
        <v>419</v>
      </c>
      <c r="E126">
        <v>414</v>
      </c>
      <c r="F126" s="553">
        <v>158</v>
      </c>
      <c r="G126" t="s">
        <v>669</v>
      </c>
      <c r="H126" s="554">
        <v>0.52</v>
      </c>
      <c r="I126" s="553">
        <v>164</v>
      </c>
      <c r="J126" t="s">
        <v>663</v>
      </c>
      <c r="K126" s="554">
        <v>0.44</v>
      </c>
      <c r="L126" s="553">
        <v>150</v>
      </c>
    </row>
    <row r="128" spans="2:12">
      <c r="B128" s="552" t="s">
        <v>747</v>
      </c>
    </row>
    <row r="129" spans="2:12">
      <c r="B129" t="s">
        <v>748</v>
      </c>
      <c r="C129" t="s">
        <v>702</v>
      </c>
      <c r="D129">
        <v>426</v>
      </c>
      <c r="E129">
        <v>288</v>
      </c>
      <c r="F129" s="553">
        <v>157</v>
      </c>
      <c r="G129" t="s">
        <v>1459</v>
      </c>
      <c r="H129" s="554">
        <v>0.35</v>
      </c>
      <c r="I129" s="553">
        <v>133</v>
      </c>
      <c r="J129" t="s">
        <v>663</v>
      </c>
      <c r="K129" s="554">
        <v>0.35</v>
      </c>
      <c r="L129" s="553">
        <v>133</v>
      </c>
    </row>
    <row r="130" spans="2:12">
      <c r="B130" t="s">
        <v>721</v>
      </c>
      <c r="C130" t="s">
        <v>700</v>
      </c>
      <c r="D130">
        <v>447</v>
      </c>
      <c r="E130">
        <v>616</v>
      </c>
      <c r="F130" s="553">
        <v>156</v>
      </c>
      <c r="G130" t="s">
        <v>653</v>
      </c>
      <c r="H130" s="554">
        <v>0.76</v>
      </c>
      <c r="I130" s="553">
        <v>162</v>
      </c>
      <c r="J130" t="s">
        <v>663</v>
      </c>
      <c r="K130" s="554">
        <v>0.22</v>
      </c>
      <c r="L130" s="553">
        <v>133</v>
      </c>
    </row>
    <row r="131" spans="2:12">
      <c r="B131" t="s">
        <v>679</v>
      </c>
      <c r="C131" t="s">
        <v>749</v>
      </c>
      <c r="D131">
        <v>423</v>
      </c>
      <c r="E131">
        <v>456</v>
      </c>
      <c r="F131" s="553">
        <v>155</v>
      </c>
      <c r="G131" t="s">
        <v>1459</v>
      </c>
      <c r="H131" s="554">
        <v>0.42</v>
      </c>
      <c r="I131" s="553">
        <v>147</v>
      </c>
      <c r="J131" t="s">
        <v>663</v>
      </c>
      <c r="K131" s="554">
        <v>0.42</v>
      </c>
      <c r="L131" s="553">
        <v>147</v>
      </c>
    </row>
    <row r="132" spans="2:12">
      <c r="B132" t="s">
        <v>662</v>
      </c>
      <c r="C132" t="s">
        <v>724</v>
      </c>
      <c r="D132">
        <v>431</v>
      </c>
      <c r="E132">
        <v>491</v>
      </c>
      <c r="F132" s="553">
        <v>152</v>
      </c>
      <c r="G132" t="s">
        <v>645</v>
      </c>
      <c r="H132" s="554">
        <v>0.77</v>
      </c>
      <c r="I132" s="553">
        <v>153</v>
      </c>
      <c r="J132" t="s">
        <v>663</v>
      </c>
      <c r="K132" s="554">
        <v>0.21</v>
      </c>
      <c r="L132" s="553">
        <v>142</v>
      </c>
    </row>
    <row r="133" spans="2:12">
      <c r="B133" t="s">
        <v>750</v>
      </c>
      <c r="C133" t="s">
        <v>707</v>
      </c>
      <c r="D133">
        <v>421</v>
      </c>
      <c r="E133">
        <v>526</v>
      </c>
      <c r="F133" s="553">
        <v>151</v>
      </c>
      <c r="G133" t="s">
        <v>1459</v>
      </c>
      <c r="H133" s="554">
        <v>0.41</v>
      </c>
      <c r="I133" s="553">
        <v>130</v>
      </c>
      <c r="J133" t="s">
        <v>663</v>
      </c>
      <c r="K133" s="554">
        <v>0.41</v>
      </c>
      <c r="L133" s="553">
        <v>130</v>
      </c>
    </row>
    <row r="134" spans="2:12">
      <c r="B134" t="s">
        <v>673</v>
      </c>
      <c r="C134" t="s">
        <v>695</v>
      </c>
      <c r="D134">
        <v>449</v>
      </c>
      <c r="E134">
        <v>731</v>
      </c>
      <c r="F134" s="553">
        <v>151</v>
      </c>
      <c r="G134" t="s">
        <v>645</v>
      </c>
      <c r="H134" s="554">
        <v>0.83</v>
      </c>
      <c r="I134" s="553">
        <v>163</v>
      </c>
      <c r="J134" t="s">
        <v>668</v>
      </c>
      <c r="K134" s="554">
        <v>0.14000000000000001</v>
      </c>
      <c r="L134" s="553">
        <v>72</v>
      </c>
    </row>
    <row r="135" spans="2:12">
      <c r="B135" t="s">
        <v>680</v>
      </c>
      <c r="C135" t="s">
        <v>702</v>
      </c>
      <c r="D135">
        <v>409</v>
      </c>
      <c r="E135" s="555">
        <v>1333</v>
      </c>
      <c r="F135" s="553">
        <v>148</v>
      </c>
      <c r="G135" t="s">
        <v>653</v>
      </c>
      <c r="H135" s="554">
        <v>0.66</v>
      </c>
      <c r="I135" s="553">
        <v>153</v>
      </c>
      <c r="J135" t="s">
        <v>663</v>
      </c>
      <c r="K135" s="554">
        <v>0.16</v>
      </c>
      <c r="L135" s="553">
        <v>130</v>
      </c>
    </row>
    <row r="136" spans="2:12">
      <c r="B136" t="s">
        <v>681</v>
      </c>
      <c r="C136" t="s">
        <v>751</v>
      </c>
      <c r="D136">
        <v>401</v>
      </c>
      <c r="E136">
        <v>294</v>
      </c>
      <c r="F136" s="553">
        <v>148</v>
      </c>
      <c r="G136" t="s">
        <v>1459</v>
      </c>
      <c r="H136" s="554">
        <v>0.96</v>
      </c>
      <c r="I136" s="553">
        <v>146</v>
      </c>
      <c r="J136" t="s">
        <v>663</v>
      </c>
      <c r="K136" s="554">
        <v>0.96</v>
      </c>
      <c r="L136" s="553">
        <v>146</v>
      </c>
    </row>
    <row r="137" spans="2:12">
      <c r="B137" t="s">
        <v>692</v>
      </c>
      <c r="C137" t="s">
        <v>681</v>
      </c>
      <c r="D137">
        <v>439</v>
      </c>
      <c r="E137">
        <v>245</v>
      </c>
      <c r="F137" s="553">
        <v>147</v>
      </c>
      <c r="G137" t="s">
        <v>1459</v>
      </c>
      <c r="H137" s="554">
        <v>0.77</v>
      </c>
      <c r="I137" s="553">
        <v>140</v>
      </c>
      <c r="J137" t="s">
        <v>663</v>
      </c>
      <c r="K137" s="554">
        <v>0.77</v>
      </c>
      <c r="L137" s="553">
        <v>140</v>
      </c>
    </row>
    <row r="138" spans="2:12">
      <c r="B138" t="s">
        <v>710</v>
      </c>
      <c r="C138" t="s">
        <v>752</v>
      </c>
      <c r="D138">
        <v>447</v>
      </c>
      <c r="E138" s="555">
        <v>4536</v>
      </c>
      <c r="F138" s="553">
        <v>147</v>
      </c>
      <c r="G138" t="s">
        <v>1459</v>
      </c>
      <c r="H138" s="554">
        <v>0.59</v>
      </c>
      <c r="I138" s="553">
        <v>145</v>
      </c>
      <c r="J138" t="s">
        <v>638</v>
      </c>
      <c r="K138" s="554">
        <v>0.27</v>
      </c>
      <c r="L138" s="553">
        <v>140</v>
      </c>
    </row>
    <row r="139" spans="2:12">
      <c r="B139" t="s">
        <v>661</v>
      </c>
      <c r="C139" t="s">
        <v>729</v>
      </c>
      <c r="D139">
        <v>444</v>
      </c>
      <c r="E139">
        <v>271</v>
      </c>
      <c r="F139" s="553">
        <v>146</v>
      </c>
      <c r="G139" t="s">
        <v>1459</v>
      </c>
      <c r="H139" s="554">
        <v>0.65</v>
      </c>
      <c r="I139" s="553">
        <v>141</v>
      </c>
      <c r="J139" t="s">
        <v>663</v>
      </c>
      <c r="K139" s="554">
        <v>0.65</v>
      </c>
      <c r="L139" s="553">
        <v>141</v>
      </c>
    </row>
    <row r="140" spans="2:12">
      <c r="B140" t="s">
        <v>679</v>
      </c>
      <c r="C140" t="s">
        <v>681</v>
      </c>
      <c r="D140">
        <v>409</v>
      </c>
      <c r="E140" s="555">
        <v>1440</v>
      </c>
      <c r="F140" s="553">
        <v>145</v>
      </c>
      <c r="G140" t="s">
        <v>1459</v>
      </c>
      <c r="H140" s="554">
        <v>0.54</v>
      </c>
      <c r="I140" s="553">
        <v>136</v>
      </c>
      <c r="J140" t="s">
        <v>663</v>
      </c>
      <c r="K140" s="554">
        <v>0.54</v>
      </c>
      <c r="L140" s="553">
        <v>136</v>
      </c>
    </row>
    <row r="141" spans="2:12">
      <c r="B141" t="s">
        <v>703</v>
      </c>
      <c r="C141" t="s">
        <v>702</v>
      </c>
      <c r="D141">
        <v>430</v>
      </c>
      <c r="E141">
        <v>553</v>
      </c>
      <c r="F141" s="553">
        <v>144</v>
      </c>
      <c r="G141" t="s">
        <v>1459</v>
      </c>
      <c r="H141" s="554">
        <v>0.32</v>
      </c>
      <c r="I141" s="553">
        <v>133</v>
      </c>
      <c r="J141" t="s">
        <v>663</v>
      </c>
      <c r="K141" s="554">
        <v>0.32</v>
      </c>
      <c r="L141" s="553">
        <v>133</v>
      </c>
    </row>
    <row r="142" spans="2:12">
      <c r="B142" t="s">
        <v>687</v>
      </c>
      <c r="C142" t="s">
        <v>707</v>
      </c>
      <c r="D142">
        <v>414</v>
      </c>
      <c r="E142" s="555">
        <v>4363</v>
      </c>
      <c r="F142" s="553">
        <v>144</v>
      </c>
      <c r="G142" t="s">
        <v>1459</v>
      </c>
      <c r="H142" s="554">
        <v>0.63</v>
      </c>
      <c r="I142" s="553">
        <v>147</v>
      </c>
      <c r="J142" t="s">
        <v>663</v>
      </c>
      <c r="K142" s="554">
        <v>0.63</v>
      </c>
      <c r="L142" s="553">
        <v>147</v>
      </c>
    </row>
    <row r="143" spans="2:12">
      <c r="B143" t="s">
        <v>721</v>
      </c>
      <c r="C143" t="s">
        <v>729</v>
      </c>
      <c r="D143">
        <v>425</v>
      </c>
      <c r="E143">
        <v>741</v>
      </c>
      <c r="F143" s="553">
        <v>141</v>
      </c>
      <c r="G143" t="s">
        <v>653</v>
      </c>
      <c r="H143" s="554">
        <v>0.65</v>
      </c>
      <c r="I143" s="553">
        <v>154</v>
      </c>
      <c r="J143" t="s">
        <v>663</v>
      </c>
      <c r="K143" s="554">
        <v>0.27</v>
      </c>
      <c r="L143" s="553">
        <v>125</v>
      </c>
    </row>
    <row r="144" spans="2:12">
      <c r="B144" t="s">
        <v>721</v>
      </c>
      <c r="C144" t="s">
        <v>753</v>
      </c>
      <c r="D144">
        <v>406</v>
      </c>
      <c r="E144" s="555">
        <v>1245</v>
      </c>
      <c r="F144" s="553">
        <v>141</v>
      </c>
      <c r="G144" t="s">
        <v>653</v>
      </c>
      <c r="H144" s="554">
        <v>0.67</v>
      </c>
      <c r="I144" s="553">
        <v>153</v>
      </c>
      <c r="J144" t="s">
        <v>663</v>
      </c>
      <c r="K144" s="554">
        <v>0.26</v>
      </c>
      <c r="L144" s="553">
        <v>124</v>
      </c>
    </row>
    <row r="145" spans="2:12">
      <c r="B145" t="s">
        <v>754</v>
      </c>
      <c r="C145" t="s">
        <v>755</v>
      </c>
      <c r="D145">
        <v>444</v>
      </c>
      <c r="E145">
        <v>320</v>
      </c>
      <c r="F145" s="553">
        <v>139</v>
      </c>
      <c r="G145" t="s">
        <v>653</v>
      </c>
      <c r="H145" s="554">
        <v>0.86</v>
      </c>
      <c r="I145" s="553">
        <v>144</v>
      </c>
      <c r="J145" t="s">
        <v>663</v>
      </c>
      <c r="K145" s="554">
        <v>0.13</v>
      </c>
      <c r="L145" s="553">
        <v>101</v>
      </c>
    </row>
    <row r="146" spans="2:12">
      <c r="B146" t="s">
        <v>754</v>
      </c>
      <c r="C146" t="s">
        <v>667</v>
      </c>
      <c r="D146">
        <v>404</v>
      </c>
      <c r="E146" s="555">
        <v>1814</v>
      </c>
      <c r="F146" s="553">
        <v>135</v>
      </c>
      <c r="G146" t="s">
        <v>653</v>
      </c>
      <c r="H146" s="554">
        <v>0.66</v>
      </c>
      <c r="I146" s="553">
        <v>149</v>
      </c>
      <c r="J146" t="s">
        <v>663</v>
      </c>
      <c r="K146" s="554">
        <v>0.23</v>
      </c>
      <c r="L146" s="553">
        <v>117</v>
      </c>
    </row>
    <row r="147" spans="2:12">
      <c r="B147" t="s">
        <v>709</v>
      </c>
      <c r="C147" t="s">
        <v>734</v>
      </c>
      <c r="D147">
        <v>437</v>
      </c>
      <c r="E147">
        <v>296</v>
      </c>
      <c r="F147" s="553">
        <v>133</v>
      </c>
      <c r="G147" t="s">
        <v>1459</v>
      </c>
      <c r="H147" s="554">
        <v>0.49</v>
      </c>
      <c r="I147" s="553">
        <v>138</v>
      </c>
      <c r="J147" t="s">
        <v>638</v>
      </c>
      <c r="K147" s="554">
        <v>0.46</v>
      </c>
      <c r="L147" s="553">
        <v>122</v>
      </c>
    </row>
    <row r="148" spans="2:12">
      <c r="B148" t="s">
        <v>756</v>
      </c>
      <c r="C148" t="s">
        <v>734</v>
      </c>
      <c r="D148">
        <v>404</v>
      </c>
      <c r="E148" s="555">
        <v>3690</v>
      </c>
      <c r="F148" s="553">
        <v>132</v>
      </c>
      <c r="G148" t="s">
        <v>1459</v>
      </c>
      <c r="H148" s="554">
        <v>0.85</v>
      </c>
      <c r="I148" s="553">
        <v>131</v>
      </c>
      <c r="J148" t="s">
        <v>663</v>
      </c>
      <c r="K148" s="554">
        <v>0.85</v>
      </c>
      <c r="L148" s="553">
        <v>131</v>
      </c>
    </row>
    <row r="149" spans="2:12">
      <c r="B149" t="s">
        <v>662</v>
      </c>
      <c r="C149" t="s">
        <v>729</v>
      </c>
      <c r="D149">
        <v>447</v>
      </c>
      <c r="E149">
        <v>916</v>
      </c>
      <c r="F149" s="553">
        <v>131</v>
      </c>
      <c r="G149" t="s">
        <v>1459</v>
      </c>
      <c r="H149" s="554">
        <v>0.51</v>
      </c>
      <c r="I149" s="553">
        <v>124</v>
      </c>
      <c r="J149" t="s">
        <v>663</v>
      </c>
      <c r="K149" s="554">
        <v>0.51</v>
      </c>
      <c r="L149" s="553">
        <v>124</v>
      </c>
    </row>
    <row r="150" spans="2:12">
      <c r="B150" t="s">
        <v>756</v>
      </c>
      <c r="C150" t="s">
        <v>728</v>
      </c>
      <c r="D150">
        <v>415</v>
      </c>
      <c r="E150" s="555">
        <v>1175</v>
      </c>
      <c r="F150" s="553">
        <v>117</v>
      </c>
      <c r="G150" t="s">
        <v>1459</v>
      </c>
      <c r="H150" s="554">
        <v>0.47</v>
      </c>
      <c r="I150" s="553">
        <v>117</v>
      </c>
      <c r="J150" t="s">
        <v>638</v>
      </c>
      <c r="K150" s="554">
        <v>0.11</v>
      </c>
      <c r="L150" s="553">
        <v>104</v>
      </c>
    </row>
    <row r="151" spans="2:12">
      <c r="E151" s="555"/>
      <c r="F151" s="553"/>
      <c r="H151" s="554"/>
      <c r="I151" s="553"/>
      <c r="K151" s="554"/>
      <c r="L151" s="553"/>
    </row>
    <row r="152" spans="2:12">
      <c r="B152" s="552" t="s">
        <v>757</v>
      </c>
      <c r="E152" s="555"/>
      <c r="F152" s="553"/>
      <c r="H152" s="554"/>
      <c r="I152" s="553"/>
      <c r="K152" s="554"/>
      <c r="L152" s="553"/>
    </row>
    <row r="153" spans="2:12">
      <c r="B153" t="s">
        <v>758</v>
      </c>
      <c r="C153" t="s">
        <v>732</v>
      </c>
      <c r="D153">
        <v>496</v>
      </c>
      <c r="E153">
        <v>575</v>
      </c>
      <c r="F153" s="553">
        <v>211</v>
      </c>
      <c r="G153" t="s">
        <v>653</v>
      </c>
      <c r="H153" s="554">
        <v>0.42</v>
      </c>
      <c r="I153" s="553">
        <v>192</v>
      </c>
      <c r="J153" t="s">
        <v>652</v>
      </c>
      <c r="K153" s="554">
        <v>0.42</v>
      </c>
      <c r="L153" s="553">
        <v>192</v>
      </c>
    </row>
    <row r="154" spans="2:12">
      <c r="B154" t="s">
        <v>683</v>
      </c>
      <c r="C154" t="s">
        <v>752</v>
      </c>
      <c r="D154">
        <v>477</v>
      </c>
      <c r="E154">
        <v>210</v>
      </c>
      <c r="F154" s="553">
        <v>198</v>
      </c>
      <c r="G154" t="s">
        <v>669</v>
      </c>
      <c r="H154" s="554">
        <v>0.54</v>
      </c>
      <c r="I154" s="553">
        <v>210</v>
      </c>
      <c r="J154" t="s">
        <v>638</v>
      </c>
      <c r="K154" s="554">
        <v>0.43</v>
      </c>
      <c r="L154" s="553">
        <v>183</v>
      </c>
    </row>
    <row r="155" spans="2:12">
      <c r="B155" t="s">
        <v>758</v>
      </c>
      <c r="C155" t="s">
        <v>759</v>
      </c>
      <c r="D155">
        <v>487</v>
      </c>
      <c r="E155">
        <v>332</v>
      </c>
      <c r="F155" s="553">
        <v>194</v>
      </c>
      <c r="G155" t="s">
        <v>645</v>
      </c>
      <c r="H155" s="554">
        <v>0.39</v>
      </c>
      <c r="I155" s="553">
        <v>220</v>
      </c>
      <c r="J155" t="s">
        <v>663</v>
      </c>
      <c r="K155" s="554">
        <v>0.15</v>
      </c>
      <c r="L155" s="553">
        <v>190</v>
      </c>
    </row>
    <row r="156" spans="2:12">
      <c r="B156" t="s">
        <v>760</v>
      </c>
      <c r="C156" t="s">
        <v>761</v>
      </c>
      <c r="D156">
        <v>459</v>
      </c>
      <c r="E156">
        <v>956</v>
      </c>
      <c r="F156" s="553">
        <v>190</v>
      </c>
      <c r="G156" t="s">
        <v>669</v>
      </c>
      <c r="H156" s="554">
        <v>0.4</v>
      </c>
      <c r="I156" s="553">
        <v>192</v>
      </c>
      <c r="J156" t="s">
        <v>644</v>
      </c>
      <c r="K156" s="554">
        <v>0.2</v>
      </c>
      <c r="L156" s="553">
        <v>167</v>
      </c>
    </row>
    <row r="157" spans="2:12">
      <c r="B157" t="s">
        <v>696</v>
      </c>
      <c r="C157" t="s">
        <v>702</v>
      </c>
      <c r="D157">
        <v>493</v>
      </c>
      <c r="E157">
        <v>617</v>
      </c>
      <c r="F157" s="553">
        <v>189</v>
      </c>
      <c r="G157" t="s">
        <v>1459</v>
      </c>
      <c r="H157" s="554">
        <v>0.43</v>
      </c>
      <c r="I157" s="553">
        <v>173</v>
      </c>
      <c r="J157" t="s">
        <v>663</v>
      </c>
      <c r="K157" s="554">
        <v>0.43</v>
      </c>
      <c r="L157" s="553">
        <v>173</v>
      </c>
    </row>
    <row r="158" spans="2:12">
      <c r="B158" t="s">
        <v>719</v>
      </c>
      <c r="C158" t="s">
        <v>704</v>
      </c>
      <c r="D158">
        <v>498</v>
      </c>
      <c r="E158">
        <v>176</v>
      </c>
      <c r="F158" s="553">
        <v>186</v>
      </c>
      <c r="G158" t="s">
        <v>1459</v>
      </c>
      <c r="H158" s="554">
        <v>0.71</v>
      </c>
      <c r="I158" s="553">
        <v>177</v>
      </c>
      <c r="J158" t="s">
        <v>663</v>
      </c>
      <c r="K158" s="554">
        <v>0.71</v>
      </c>
      <c r="L158" s="553">
        <v>177</v>
      </c>
    </row>
    <row r="159" spans="2:12">
      <c r="B159" t="s">
        <v>649</v>
      </c>
      <c r="C159" t="s">
        <v>715</v>
      </c>
      <c r="D159">
        <v>487</v>
      </c>
      <c r="E159">
        <v>534</v>
      </c>
      <c r="F159" s="553">
        <v>182</v>
      </c>
      <c r="G159" t="s">
        <v>1458</v>
      </c>
      <c r="H159" s="554">
        <v>0.49</v>
      </c>
      <c r="I159" s="553">
        <v>181</v>
      </c>
      <c r="J159" t="s">
        <v>652</v>
      </c>
      <c r="K159" s="554">
        <v>0.41</v>
      </c>
      <c r="L159" s="553">
        <v>175</v>
      </c>
    </row>
    <row r="160" spans="2:12">
      <c r="B160" t="s">
        <v>678</v>
      </c>
      <c r="C160" t="s">
        <v>705</v>
      </c>
      <c r="D160">
        <v>474</v>
      </c>
      <c r="E160">
        <v>183</v>
      </c>
      <c r="F160" s="553">
        <v>178</v>
      </c>
      <c r="G160" t="s">
        <v>1459</v>
      </c>
      <c r="H160" s="554">
        <v>0.48</v>
      </c>
      <c r="I160" s="553">
        <v>157</v>
      </c>
      <c r="J160" t="s">
        <v>663</v>
      </c>
      <c r="K160" s="554">
        <v>0.48</v>
      </c>
      <c r="L160" s="553">
        <v>157</v>
      </c>
    </row>
    <row r="161" spans="2:12">
      <c r="B161" t="s">
        <v>762</v>
      </c>
      <c r="C161" t="s">
        <v>761</v>
      </c>
      <c r="D161">
        <v>492</v>
      </c>
      <c r="E161">
        <v>334</v>
      </c>
      <c r="F161" s="553">
        <v>176</v>
      </c>
      <c r="G161" t="s">
        <v>653</v>
      </c>
      <c r="H161" s="554">
        <v>0.52</v>
      </c>
      <c r="I161" s="553">
        <v>176</v>
      </c>
      <c r="J161" t="s">
        <v>651</v>
      </c>
      <c r="K161" s="554">
        <v>0.1</v>
      </c>
      <c r="L161" s="553">
        <v>173</v>
      </c>
    </row>
    <row r="162" spans="2:12">
      <c r="B162" t="s">
        <v>731</v>
      </c>
      <c r="C162" t="s">
        <v>681</v>
      </c>
      <c r="D162">
        <v>491</v>
      </c>
      <c r="E162">
        <v>359</v>
      </c>
      <c r="F162" s="553">
        <v>176</v>
      </c>
      <c r="G162" t="s">
        <v>1459</v>
      </c>
      <c r="H162" s="554">
        <v>0.89</v>
      </c>
      <c r="I162" s="553">
        <v>173</v>
      </c>
      <c r="J162" t="s">
        <v>663</v>
      </c>
      <c r="K162" s="554">
        <v>0.89</v>
      </c>
      <c r="L162" s="553">
        <v>173</v>
      </c>
    </row>
    <row r="163" spans="2:12">
      <c r="B163" t="s">
        <v>701</v>
      </c>
      <c r="C163" t="s">
        <v>679</v>
      </c>
      <c r="D163">
        <v>473</v>
      </c>
      <c r="E163">
        <v>331</v>
      </c>
      <c r="F163" s="553">
        <v>176</v>
      </c>
      <c r="G163" t="s">
        <v>1459</v>
      </c>
      <c r="H163" s="554">
        <v>0.37</v>
      </c>
      <c r="I163" s="553">
        <v>154</v>
      </c>
      <c r="J163" t="s">
        <v>663</v>
      </c>
      <c r="K163" s="554">
        <v>0.37</v>
      </c>
      <c r="L163" s="553">
        <v>154</v>
      </c>
    </row>
    <row r="164" spans="2:12">
      <c r="B164" t="s">
        <v>716</v>
      </c>
      <c r="C164" t="s">
        <v>687</v>
      </c>
      <c r="D164">
        <v>486</v>
      </c>
      <c r="E164">
        <v>434</v>
      </c>
      <c r="F164" s="553">
        <v>175</v>
      </c>
      <c r="G164" t="s">
        <v>1459</v>
      </c>
      <c r="H164" s="554">
        <v>0.82</v>
      </c>
      <c r="I164" s="553">
        <v>179</v>
      </c>
      <c r="J164" t="s">
        <v>655</v>
      </c>
      <c r="K164" s="554">
        <v>7.0000000000000007E-2</v>
      </c>
      <c r="L164" s="553">
        <v>89</v>
      </c>
    </row>
    <row r="166" spans="2:12">
      <c r="B166" s="552" t="s">
        <v>763</v>
      </c>
    </row>
    <row r="167" spans="2:12">
      <c r="B167" t="s">
        <v>680</v>
      </c>
      <c r="C167" t="s">
        <v>695</v>
      </c>
      <c r="D167">
        <v>453</v>
      </c>
      <c r="E167">
        <v>583</v>
      </c>
      <c r="F167" s="553">
        <v>172</v>
      </c>
      <c r="G167" t="s">
        <v>645</v>
      </c>
      <c r="H167" s="554">
        <v>0.48</v>
      </c>
      <c r="I167" s="553">
        <v>162</v>
      </c>
      <c r="J167" t="s">
        <v>644</v>
      </c>
      <c r="K167" s="554">
        <v>0.48</v>
      </c>
      <c r="L167" s="553">
        <v>162</v>
      </c>
    </row>
    <row r="168" spans="2:12">
      <c r="B168" t="s">
        <v>726</v>
      </c>
      <c r="C168" t="s">
        <v>676</v>
      </c>
      <c r="D168">
        <v>496</v>
      </c>
      <c r="E168">
        <v>228</v>
      </c>
      <c r="F168" s="553">
        <v>170</v>
      </c>
      <c r="G168" t="s">
        <v>1459</v>
      </c>
      <c r="H168" s="554">
        <v>0.68</v>
      </c>
      <c r="I168" s="553">
        <v>163</v>
      </c>
      <c r="J168" t="s">
        <v>663</v>
      </c>
      <c r="K168" s="554">
        <v>0.68</v>
      </c>
      <c r="L168" s="553">
        <v>163</v>
      </c>
    </row>
    <row r="169" spans="2:12">
      <c r="B169" t="s">
        <v>680</v>
      </c>
      <c r="C169" t="s">
        <v>681</v>
      </c>
      <c r="D169">
        <v>456</v>
      </c>
      <c r="E169">
        <v>709</v>
      </c>
      <c r="F169" s="553">
        <v>167</v>
      </c>
      <c r="G169" t="s">
        <v>653</v>
      </c>
      <c r="H169" s="554">
        <v>0.71</v>
      </c>
      <c r="I169" s="553">
        <v>178</v>
      </c>
      <c r="J169" t="s">
        <v>663</v>
      </c>
      <c r="K169" s="554">
        <v>0.27</v>
      </c>
      <c r="L169" s="553">
        <v>138</v>
      </c>
    </row>
    <row r="170" spans="2:12">
      <c r="B170" t="s">
        <v>728</v>
      </c>
      <c r="C170" t="s">
        <v>710</v>
      </c>
      <c r="D170">
        <v>488</v>
      </c>
      <c r="E170">
        <v>389</v>
      </c>
      <c r="F170" s="553">
        <v>167</v>
      </c>
      <c r="G170" t="s">
        <v>1459</v>
      </c>
      <c r="H170" s="554">
        <v>0.89</v>
      </c>
      <c r="I170" s="553">
        <v>164</v>
      </c>
      <c r="J170" t="s">
        <v>663</v>
      </c>
      <c r="K170" s="554">
        <v>0.89</v>
      </c>
      <c r="L170" s="553">
        <v>164</v>
      </c>
    </row>
    <row r="171" spans="2:12">
      <c r="B171" t="s">
        <v>650</v>
      </c>
      <c r="C171" t="s">
        <v>699</v>
      </c>
      <c r="D171">
        <v>463</v>
      </c>
      <c r="E171" s="555">
        <v>2156</v>
      </c>
      <c r="F171" s="553">
        <v>165</v>
      </c>
      <c r="G171" t="s">
        <v>653</v>
      </c>
      <c r="H171" s="554">
        <v>0.4</v>
      </c>
      <c r="I171" s="553">
        <v>176</v>
      </c>
      <c r="J171" t="s">
        <v>647</v>
      </c>
      <c r="K171" s="554">
        <v>0.24</v>
      </c>
      <c r="L171" s="553">
        <v>140</v>
      </c>
    </row>
    <row r="172" spans="2:12">
      <c r="B172" t="s">
        <v>679</v>
      </c>
      <c r="C172" t="s">
        <v>764</v>
      </c>
      <c r="D172">
        <v>475</v>
      </c>
      <c r="E172">
        <v>272</v>
      </c>
      <c r="F172" s="553">
        <v>164</v>
      </c>
      <c r="G172" t="s">
        <v>669</v>
      </c>
      <c r="H172" s="554">
        <v>0.54</v>
      </c>
      <c r="I172" s="553">
        <v>169</v>
      </c>
      <c r="J172" t="s">
        <v>644</v>
      </c>
      <c r="K172" s="554">
        <v>0.35</v>
      </c>
      <c r="L172" s="553">
        <v>161</v>
      </c>
    </row>
    <row r="173" spans="2:12">
      <c r="B173" t="s">
        <v>681</v>
      </c>
      <c r="C173" t="s">
        <v>732</v>
      </c>
      <c r="D173">
        <v>462</v>
      </c>
      <c r="E173">
        <v>307</v>
      </c>
      <c r="F173" s="553">
        <v>162</v>
      </c>
      <c r="G173" t="s">
        <v>1459</v>
      </c>
      <c r="H173" s="554">
        <v>0.75</v>
      </c>
      <c r="I173" s="553">
        <v>164</v>
      </c>
      <c r="J173" t="s">
        <v>655</v>
      </c>
      <c r="K173" s="554">
        <v>0.09</v>
      </c>
      <c r="L173" s="553">
        <v>87</v>
      </c>
    </row>
    <row r="174" spans="2:12">
      <c r="B174" t="s">
        <v>681</v>
      </c>
      <c r="C174" t="s">
        <v>729</v>
      </c>
      <c r="D174">
        <v>471</v>
      </c>
      <c r="E174">
        <v>232</v>
      </c>
      <c r="F174" s="553">
        <v>161</v>
      </c>
      <c r="G174" t="s">
        <v>1459</v>
      </c>
      <c r="H174" s="554">
        <v>0.85</v>
      </c>
      <c r="I174" s="553">
        <v>155</v>
      </c>
      <c r="J174" t="s">
        <v>663</v>
      </c>
      <c r="K174" s="554">
        <v>0.85</v>
      </c>
      <c r="L174" s="553">
        <v>155</v>
      </c>
    </row>
    <row r="175" spans="2:12">
      <c r="B175" t="s">
        <v>765</v>
      </c>
      <c r="C175" t="s">
        <v>707</v>
      </c>
      <c r="D175">
        <v>471</v>
      </c>
      <c r="E175">
        <v>198</v>
      </c>
      <c r="F175" s="553">
        <v>160</v>
      </c>
      <c r="G175" t="s">
        <v>669</v>
      </c>
      <c r="H175" s="554">
        <v>0.59</v>
      </c>
      <c r="I175" s="553">
        <v>174</v>
      </c>
      <c r="J175" t="s">
        <v>663</v>
      </c>
      <c r="K175" s="554">
        <v>0.17</v>
      </c>
      <c r="L175" s="553">
        <v>111</v>
      </c>
    </row>
    <row r="176" spans="2:12">
      <c r="B176" t="s">
        <v>721</v>
      </c>
      <c r="C176" t="s">
        <v>723</v>
      </c>
      <c r="D176">
        <v>453</v>
      </c>
      <c r="E176">
        <v>233</v>
      </c>
      <c r="F176" s="553">
        <v>160</v>
      </c>
      <c r="G176" t="s">
        <v>653</v>
      </c>
      <c r="H176" s="554">
        <v>0.75</v>
      </c>
      <c r="I176" s="553">
        <v>172</v>
      </c>
      <c r="J176" t="s">
        <v>663</v>
      </c>
      <c r="K176" s="554">
        <v>0.22</v>
      </c>
      <c r="L176" s="553">
        <v>118</v>
      </c>
    </row>
    <row r="177" spans="2:12">
      <c r="B177" t="s">
        <v>766</v>
      </c>
      <c r="C177" t="s">
        <v>667</v>
      </c>
      <c r="D177">
        <v>479</v>
      </c>
      <c r="E177">
        <v>278</v>
      </c>
      <c r="F177" s="553">
        <v>159</v>
      </c>
      <c r="G177" t="s">
        <v>1459</v>
      </c>
      <c r="H177" s="554">
        <v>0.69</v>
      </c>
      <c r="I177" s="553">
        <v>145</v>
      </c>
      <c r="J177" t="s">
        <v>663</v>
      </c>
      <c r="K177" s="554">
        <v>0.69</v>
      </c>
      <c r="L177" s="553">
        <v>145</v>
      </c>
    </row>
    <row r="178" spans="2:12">
      <c r="B178" t="s">
        <v>690</v>
      </c>
      <c r="C178" t="s">
        <v>681</v>
      </c>
      <c r="D178">
        <v>475</v>
      </c>
      <c r="E178">
        <v>286</v>
      </c>
      <c r="F178" s="553">
        <v>159</v>
      </c>
      <c r="G178" t="s">
        <v>1459</v>
      </c>
      <c r="H178" s="554">
        <v>0.84</v>
      </c>
      <c r="I178" s="553">
        <v>152</v>
      </c>
      <c r="J178" t="s">
        <v>663</v>
      </c>
      <c r="K178" s="554">
        <v>0.84</v>
      </c>
      <c r="L178" s="553">
        <v>152</v>
      </c>
    </row>
    <row r="179" spans="2:12">
      <c r="B179" t="s">
        <v>640</v>
      </c>
      <c r="C179" t="s">
        <v>734</v>
      </c>
      <c r="D179">
        <v>479</v>
      </c>
      <c r="E179">
        <v>717</v>
      </c>
      <c r="F179" s="553">
        <v>158</v>
      </c>
      <c r="G179" t="s">
        <v>1459</v>
      </c>
      <c r="H179" s="554">
        <v>0.56000000000000005</v>
      </c>
      <c r="I179" s="553">
        <v>151</v>
      </c>
      <c r="J179" t="s">
        <v>663</v>
      </c>
      <c r="K179" s="554">
        <v>0.56000000000000005</v>
      </c>
      <c r="L179" s="553">
        <v>151</v>
      </c>
    </row>
    <row r="180" spans="2:12">
      <c r="B180" t="s">
        <v>678</v>
      </c>
      <c r="C180" t="s">
        <v>724</v>
      </c>
      <c r="D180">
        <v>484</v>
      </c>
      <c r="E180">
        <v>389</v>
      </c>
      <c r="F180" s="553">
        <v>158</v>
      </c>
      <c r="G180" t="s">
        <v>669</v>
      </c>
      <c r="H180" s="554">
        <v>0.61</v>
      </c>
      <c r="I180" s="553">
        <v>165</v>
      </c>
      <c r="J180" t="s">
        <v>663</v>
      </c>
      <c r="K180" s="554">
        <v>0.31</v>
      </c>
      <c r="L180" s="553">
        <v>139</v>
      </c>
    </row>
    <row r="181" spans="2:12">
      <c r="B181" t="s">
        <v>706</v>
      </c>
      <c r="C181" t="s">
        <v>702</v>
      </c>
      <c r="D181">
        <v>495</v>
      </c>
      <c r="E181">
        <v>476</v>
      </c>
      <c r="F181" s="553">
        <v>157</v>
      </c>
      <c r="G181" t="s">
        <v>1459</v>
      </c>
      <c r="H181" s="554">
        <v>0.43</v>
      </c>
      <c r="I181" s="553">
        <v>139</v>
      </c>
      <c r="J181" t="s">
        <v>663</v>
      </c>
      <c r="K181" s="554">
        <v>0.43</v>
      </c>
      <c r="L181" s="553">
        <v>139</v>
      </c>
    </row>
    <row r="182" spans="2:12">
      <c r="B182" t="s">
        <v>673</v>
      </c>
      <c r="C182" t="s">
        <v>667</v>
      </c>
      <c r="D182">
        <v>468</v>
      </c>
      <c r="E182">
        <v>651</v>
      </c>
      <c r="F182" s="553">
        <v>157</v>
      </c>
      <c r="G182" t="s">
        <v>645</v>
      </c>
      <c r="H182" s="554">
        <v>0.82</v>
      </c>
      <c r="I182" s="553">
        <v>166</v>
      </c>
      <c r="J182" t="s">
        <v>659</v>
      </c>
      <c r="K182" s="554">
        <v>0.08</v>
      </c>
      <c r="L182" s="553">
        <v>89</v>
      </c>
    </row>
    <row r="183" spans="2:12">
      <c r="B183" t="s">
        <v>692</v>
      </c>
      <c r="C183" t="s">
        <v>685</v>
      </c>
      <c r="D183">
        <v>489</v>
      </c>
      <c r="E183">
        <v>255</v>
      </c>
      <c r="F183" s="553">
        <v>156</v>
      </c>
      <c r="G183" t="s">
        <v>645</v>
      </c>
      <c r="H183" s="554">
        <v>0.41</v>
      </c>
      <c r="I183" s="553">
        <v>169</v>
      </c>
      <c r="J183" t="s">
        <v>647</v>
      </c>
      <c r="K183" s="554">
        <v>0.28000000000000003</v>
      </c>
      <c r="L183" s="553">
        <v>133</v>
      </c>
    </row>
    <row r="184" spans="2:12">
      <c r="B184" t="s">
        <v>673</v>
      </c>
      <c r="C184" t="s">
        <v>680</v>
      </c>
      <c r="D184">
        <v>500</v>
      </c>
      <c r="E184">
        <v>575</v>
      </c>
      <c r="F184" s="553">
        <v>156</v>
      </c>
      <c r="G184" t="s">
        <v>653</v>
      </c>
      <c r="H184" s="554">
        <v>0.56999999999999995</v>
      </c>
      <c r="I184" s="553">
        <v>160</v>
      </c>
      <c r="J184" t="s">
        <v>644</v>
      </c>
      <c r="K184" s="554">
        <v>0.41</v>
      </c>
      <c r="L184" s="553">
        <v>152</v>
      </c>
    </row>
    <row r="185" spans="2:12">
      <c r="B185" t="s">
        <v>698</v>
      </c>
      <c r="C185" t="s">
        <v>681</v>
      </c>
      <c r="D185">
        <v>483</v>
      </c>
      <c r="E185">
        <v>326</v>
      </c>
      <c r="F185" s="553">
        <v>156</v>
      </c>
      <c r="G185" t="s">
        <v>1459</v>
      </c>
      <c r="H185" s="554">
        <v>0.82</v>
      </c>
      <c r="I185" s="553">
        <v>146</v>
      </c>
      <c r="J185" t="s">
        <v>663</v>
      </c>
      <c r="K185" s="554">
        <v>0.82</v>
      </c>
      <c r="L185" s="553">
        <v>146</v>
      </c>
    </row>
    <row r="186" spans="2:12">
      <c r="B186" t="s">
        <v>678</v>
      </c>
      <c r="C186" t="s">
        <v>682</v>
      </c>
      <c r="D186">
        <v>453</v>
      </c>
      <c r="E186">
        <v>405</v>
      </c>
      <c r="F186" s="553">
        <v>155</v>
      </c>
      <c r="G186" t="s">
        <v>669</v>
      </c>
      <c r="H186" s="554">
        <v>0.5</v>
      </c>
      <c r="I186" s="553">
        <v>159</v>
      </c>
      <c r="J186" t="s">
        <v>663</v>
      </c>
      <c r="K186" s="554">
        <v>0.45</v>
      </c>
      <c r="L186" s="553">
        <v>150</v>
      </c>
    </row>
    <row r="187" spans="2:12">
      <c r="B187" t="s">
        <v>662</v>
      </c>
      <c r="C187" t="s">
        <v>767</v>
      </c>
      <c r="D187">
        <v>461</v>
      </c>
      <c r="E187">
        <v>216</v>
      </c>
      <c r="F187" s="553">
        <v>154</v>
      </c>
      <c r="G187" t="s">
        <v>1459</v>
      </c>
      <c r="H187" s="554">
        <v>0.6</v>
      </c>
      <c r="I187" s="553">
        <v>147</v>
      </c>
      <c r="J187" t="s">
        <v>663</v>
      </c>
      <c r="K187" s="554">
        <v>0.6</v>
      </c>
      <c r="L187" s="553">
        <v>147</v>
      </c>
    </row>
    <row r="188" spans="2:12">
      <c r="B188" t="s">
        <v>721</v>
      </c>
      <c r="C188" t="s">
        <v>715</v>
      </c>
      <c r="D188">
        <v>481</v>
      </c>
      <c r="E188">
        <v>612</v>
      </c>
      <c r="F188" s="553">
        <v>153</v>
      </c>
      <c r="G188" t="s">
        <v>653</v>
      </c>
      <c r="H188" s="554">
        <v>0.76</v>
      </c>
      <c r="I188" s="553">
        <v>161</v>
      </c>
      <c r="J188" t="s">
        <v>663</v>
      </c>
      <c r="K188" s="554">
        <v>0.21</v>
      </c>
      <c r="L188" s="553">
        <v>121</v>
      </c>
    </row>
    <row r="189" spans="2:12">
      <c r="B189" t="s">
        <v>692</v>
      </c>
      <c r="C189" t="s">
        <v>702</v>
      </c>
      <c r="D189">
        <v>472</v>
      </c>
      <c r="E189">
        <v>854</v>
      </c>
      <c r="F189" s="553">
        <v>152</v>
      </c>
      <c r="G189" t="s">
        <v>1459</v>
      </c>
      <c r="H189" s="554">
        <v>0.41</v>
      </c>
      <c r="I189" s="553">
        <v>137</v>
      </c>
      <c r="J189" t="s">
        <v>663</v>
      </c>
      <c r="K189" s="554">
        <v>0.41</v>
      </c>
      <c r="L189" s="553">
        <v>137</v>
      </c>
    </row>
    <row r="190" spans="2:12">
      <c r="B190" t="s">
        <v>722</v>
      </c>
      <c r="C190" t="s">
        <v>746</v>
      </c>
      <c r="D190">
        <v>495</v>
      </c>
      <c r="E190">
        <v>476</v>
      </c>
      <c r="F190" s="553">
        <v>151</v>
      </c>
      <c r="G190" t="s">
        <v>1459</v>
      </c>
      <c r="H190" s="554">
        <v>0.52</v>
      </c>
      <c r="I190" s="553">
        <v>147</v>
      </c>
      <c r="J190" t="s">
        <v>663</v>
      </c>
      <c r="K190" s="554">
        <v>0.52</v>
      </c>
      <c r="L190" s="553">
        <v>147</v>
      </c>
    </row>
    <row r="191" spans="2:12">
      <c r="B191" t="s">
        <v>662</v>
      </c>
      <c r="C191" t="s">
        <v>731</v>
      </c>
      <c r="D191">
        <v>461</v>
      </c>
      <c r="E191">
        <v>890</v>
      </c>
      <c r="F191" s="553">
        <v>151</v>
      </c>
      <c r="G191" t="s">
        <v>645</v>
      </c>
      <c r="H191" s="554">
        <v>0.54</v>
      </c>
      <c r="I191" s="553">
        <v>148</v>
      </c>
      <c r="J191" t="s">
        <v>644</v>
      </c>
      <c r="K191" s="554">
        <v>0.54</v>
      </c>
      <c r="L191" s="553">
        <v>148</v>
      </c>
    </row>
    <row r="192" spans="2:12">
      <c r="B192" t="s">
        <v>678</v>
      </c>
      <c r="C192" t="s">
        <v>768</v>
      </c>
      <c r="D192">
        <v>489</v>
      </c>
      <c r="E192">
        <v>232</v>
      </c>
      <c r="F192" s="553">
        <v>150</v>
      </c>
      <c r="G192" t="s">
        <v>669</v>
      </c>
      <c r="H192" s="554">
        <v>0.61</v>
      </c>
      <c r="I192" s="553">
        <v>155</v>
      </c>
      <c r="J192" t="s">
        <v>663</v>
      </c>
      <c r="K192" s="554">
        <v>0.33</v>
      </c>
      <c r="L192" s="553">
        <v>133</v>
      </c>
    </row>
    <row r="193" spans="2:12">
      <c r="B193" t="s">
        <v>766</v>
      </c>
      <c r="C193" t="s">
        <v>686</v>
      </c>
      <c r="D193">
        <v>459</v>
      </c>
      <c r="E193">
        <v>176</v>
      </c>
      <c r="F193" s="553">
        <v>150</v>
      </c>
      <c r="G193" t="s">
        <v>1459</v>
      </c>
      <c r="H193" s="554">
        <v>0.69</v>
      </c>
      <c r="I193" s="553">
        <v>133</v>
      </c>
      <c r="J193" t="s">
        <v>663</v>
      </c>
      <c r="K193" s="554">
        <v>0.69</v>
      </c>
      <c r="L193" s="553">
        <v>133</v>
      </c>
    </row>
    <row r="194" spans="2:12">
      <c r="B194" t="s">
        <v>679</v>
      </c>
      <c r="C194" t="s">
        <v>724</v>
      </c>
      <c r="D194">
        <v>491</v>
      </c>
      <c r="E194">
        <v>527</v>
      </c>
      <c r="F194" s="553">
        <v>149</v>
      </c>
      <c r="G194" t="s">
        <v>1459</v>
      </c>
      <c r="H194" s="554">
        <v>0.37</v>
      </c>
      <c r="I194" s="553">
        <v>130</v>
      </c>
      <c r="J194" t="s">
        <v>663</v>
      </c>
      <c r="K194" s="554">
        <v>0.37</v>
      </c>
      <c r="L194" s="553">
        <v>130</v>
      </c>
    </row>
    <row r="195" spans="2:12">
      <c r="B195" t="s">
        <v>721</v>
      </c>
      <c r="C195" t="s">
        <v>704</v>
      </c>
      <c r="D195">
        <v>484</v>
      </c>
      <c r="E195">
        <v>705</v>
      </c>
      <c r="F195" s="553">
        <v>148</v>
      </c>
      <c r="G195" t="s">
        <v>653</v>
      </c>
      <c r="H195" s="554">
        <v>0.63</v>
      </c>
      <c r="I195" s="553">
        <v>154</v>
      </c>
      <c r="J195" t="s">
        <v>663</v>
      </c>
      <c r="K195" s="554">
        <v>0.35</v>
      </c>
      <c r="L195" s="553">
        <v>136</v>
      </c>
    </row>
    <row r="196" spans="2:12">
      <c r="B196" t="s">
        <v>735</v>
      </c>
      <c r="C196" t="s">
        <v>733</v>
      </c>
      <c r="D196">
        <v>453</v>
      </c>
      <c r="E196">
        <v>465</v>
      </c>
      <c r="F196" s="553">
        <v>140</v>
      </c>
      <c r="G196" t="s">
        <v>645</v>
      </c>
      <c r="H196" s="554">
        <v>0.37</v>
      </c>
      <c r="I196" s="553">
        <v>149</v>
      </c>
      <c r="J196" t="s">
        <v>663</v>
      </c>
      <c r="K196" s="554">
        <v>0.32</v>
      </c>
      <c r="L196" s="553">
        <v>123</v>
      </c>
    </row>
    <row r="197" spans="2:12">
      <c r="B197" t="s">
        <v>729</v>
      </c>
      <c r="C197" t="s">
        <v>686</v>
      </c>
      <c r="D197">
        <v>488</v>
      </c>
      <c r="E197">
        <v>271</v>
      </c>
      <c r="F197" s="553">
        <v>138</v>
      </c>
      <c r="G197" t="s">
        <v>1459</v>
      </c>
      <c r="H197" s="554">
        <v>0.65</v>
      </c>
      <c r="I197" s="553">
        <v>141</v>
      </c>
      <c r="J197" t="s">
        <v>659</v>
      </c>
      <c r="K197" s="554">
        <v>0.21</v>
      </c>
      <c r="L197" s="553">
        <v>89</v>
      </c>
    </row>
    <row r="198" spans="2:12">
      <c r="B198" t="s">
        <v>734</v>
      </c>
      <c r="C198" t="s">
        <v>710</v>
      </c>
      <c r="D198">
        <v>480</v>
      </c>
      <c r="E198" s="555">
        <v>1877</v>
      </c>
      <c r="F198" s="553">
        <v>134</v>
      </c>
      <c r="G198" t="s">
        <v>1459</v>
      </c>
      <c r="H198" s="554">
        <v>0.69</v>
      </c>
      <c r="I198" s="553">
        <v>136</v>
      </c>
      <c r="J198" t="s">
        <v>638</v>
      </c>
      <c r="K198" s="554">
        <v>0.3</v>
      </c>
      <c r="L198" s="553">
        <v>129</v>
      </c>
    </row>
    <row r="199" spans="2:12">
      <c r="B199" t="s">
        <v>722</v>
      </c>
      <c r="C199" t="s">
        <v>749</v>
      </c>
      <c r="D199">
        <v>472</v>
      </c>
      <c r="E199">
        <v>572</v>
      </c>
      <c r="F199" s="553">
        <v>131</v>
      </c>
      <c r="G199" t="s">
        <v>1459</v>
      </c>
      <c r="H199" s="554">
        <v>0.54</v>
      </c>
      <c r="I199" s="553">
        <v>128</v>
      </c>
      <c r="J199" t="s">
        <v>663</v>
      </c>
      <c r="K199" s="554">
        <v>0.54</v>
      </c>
      <c r="L199" s="553">
        <v>128</v>
      </c>
    </row>
    <row r="200" spans="2:12">
      <c r="B200" t="s">
        <v>736</v>
      </c>
      <c r="C200" t="s">
        <v>695</v>
      </c>
      <c r="D200">
        <v>473</v>
      </c>
      <c r="E200">
        <v>254</v>
      </c>
      <c r="F200" s="553">
        <v>129</v>
      </c>
      <c r="G200" t="s">
        <v>645</v>
      </c>
      <c r="H200" s="554">
        <v>0.6</v>
      </c>
      <c r="I200" s="553">
        <v>155</v>
      </c>
      <c r="J200" t="s">
        <v>659</v>
      </c>
      <c r="K200" s="554">
        <v>0.27</v>
      </c>
      <c r="L200" s="553">
        <v>82</v>
      </c>
    </row>
    <row r="201" spans="2:12">
      <c r="B201" t="s">
        <v>736</v>
      </c>
      <c r="C201" t="s">
        <v>732</v>
      </c>
      <c r="D201">
        <v>475</v>
      </c>
      <c r="E201">
        <v>289</v>
      </c>
      <c r="F201" s="553">
        <v>116</v>
      </c>
      <c r="G201" t="s">
        <v>1459</v>
      </c>
      <c r="H201" s="554">
        <v>0.43</v>
      </c>
      <c r="I201" s="553">
        <v>128</v>
      </c>
      <c r="J201" t="s">
        <v>659</v>
      </c>
      <c r="K201" s="554">
        <v>0.24</v>
      </c>
      <c r="L201" s="553">
        <v>85</v>
      </c>
    </row>
    <row r="202" spans="2:12">
      <c r="B202" t="s">
        <v>700</v>
      </c>
      <c r="C202" t="s">
        <v>736</v>
      </c>
      <c r="D202">
        <v>488</v>
      </c>
      <c r="E202">
        <v>201</v>
      </c>
      <c r="F202" s="553">
        <v>110</v>
      </c>
      <c r="G202" t="s">
        <v>1459</v>
      </c>
      <c r="H202" s="554">
        <v>0.5</v>
      </c>
      <c r="I202" s="553">
        <v>118</v>
      </c>
      <c r="J202" t="s">
        <v>655</v>
      </c>
      <c r="K202" s="554">
        <v>0.3</v>
      </c>
      <c r="L202" s="553">
        <v>77</v>
      </c>
    </row>
    <row r="204" spans="2:12">
      <c r="B204" s="552" t="s">
        <v>769</v>
      </c>
    </row>
    <row r="205" spans="2:12">
      <c r="B205" t="s">
        <v>680</v>
      </c>
      <c r="C205" t="s">
        <v>718</v>
      </c>
      <c r="D205">
        <v>549</v>
      </c>
      <c r="E205">
        <v>193</v>
      </c>
      <c r="F205" s="553">
        <v>243</v>
      </c>
      <c r="G205" t="s">
        <v>653</v>
      </c>
      <c r="H205" s="554">
        <v>0.88</v>
      </c>
      <c r="I205" s="553">
        <v>250</v>
      </c>
      <c r="J205" t="s">
        <v>663</v>
      </c>
      <c r="K205" s="554">
        <v>0.02</v>
      </c>
      <c r="L205" s="553">
        <v>181</v>
      </c>
    </row>
    <row r="206" spans="2:12">
      <c r="B206" t="s">
        <v>680</v>
      </c>
      <c r="C206" t="s">
        <v>691</v>
      </c>
      <c r="D206">
        <v>528</v>
      </c>
      <c r="E206">
        <v>557</v>
      </c>
      <c r="F206" s="553">
        <v>218</v>
      </c>
      <c r="G206" t="s">
        <v>653</v>
      </c>
      <c r="H206" s="554">
        <v>0.87</v>
      </c>
      <c r="I206" s="553">
        <v>232</v>
      </c>
      <c r="J206" t="s">
        <v>659</v>
      </c>
      <c r="K206" s="554">
        <v>0.08</v>
      </c>
      <c r="L206" s="553">
        <v>84</v>
      </c>
    </row>
    <row r="207" spans="2:12">
      <c r="B207" t="s">
        <v>703</v>
      </c>
      <c r="C207" t="s">
        <v>695</v>
      </c>
      <c r="D207">
        <v>507</v>
      </c>
      <c r="E207">
        <v>261</v>
      </c>
      <c r="F207" s="553">
        <v>213</v>
      </c>
      <c r="G207" t="s">
        <v>645</v>
      </c>
      <c r="H207" s="554">
        <v>0.91</v>
      </c>
      <c r="I207" s="553">
        <v>212</v>
      </c>
      <c r="J207" t="s">
        <v>651</v>
      </c>
      <c r="K207" s="554">
        <v>0.02</v>
      </c>
      <c r="L207" s="553">
        <v>203</v>
      </c>
    </row>
    <row r="208" spans="2:12">
      <c r="B208" t="s">
        <v>737</v>
      </c>
      <c r="C208" t="s">
        <v>684</v>
      </c>
      <c r="D208">
        <v>546</v>
      </c>
      <c r="E208">
        <v>203</v>
      </c>
      <c r="F208" s="553">
        <v>207</v>
      </c>
      <c r="G208" t="s">
        <v>653</v>
      </c>
      <c r="H208" s="554">
        <v>0.86</v>
      </c>
      <c r="I208" s="553">
        <v>212</v>
      </c>
      <c r="J208" t="s">
        <v>663</v>
      </c>
      <c r="K208" s="554">
        <v>0.03</v>
      </c>
      <c r="L208" s="553">
        <v>168</v>
      </c>
    </row>
    <row r="209" spans="2:12">
      <c r="B209" t="s">
        <v>701</v>
      </c>
      <c r="C209" t="s">
        <v>673</v>
      </c>
      <c r="D209">
        <v>546</v>
      </c>
      <c r="E209">
        <v>228</v>
      </c>
      <c r="F209" s="553">
        <v>205</v>
      </c>
      <c r="G209" t="s">
        <v>645</v>
      </c>
      <c r="H209" s="554">
        <v>0.78</v>
      </c>
      <c r="I209" s="553">
        <v>208</v>
      </c>
      <c r="J209" t="s">
        <v>652</v>
      </c>
      <c r="K209" s="554">
        <v>0.12</v>
      </c>
      <c r="L209" s="553">
        <v>198</v>
      </c>
    </row>
    <row r="211" spans="2:12">
      <c r="B211" s="552" t="s">
        <v>769</v>
      </c>
    </row>
    <row r="212" spans="2:12">
      <c r="B212" t="s">
        <v>700</v>
      </c>
      <c r="C212" t="s">
        <v>650</v>
      </c>
      <c r="D212">
        <v>519</v>
      </c>
      <c r="E212">
        <v>822</v>
      </c>
      <c r="F212" s="553">
        <v>203</v>
      </c>
      <c r="G212" t="s">
        <v>653</v>
      </c>
      <c r="H212" s="554">
        <v>0.41</v>
      </c>
      <c r="I212" s="553">
        <v>207</v>
      </c>
      <c r="J212" t="s">
        <v>644</v>
      </c>
      <c r="K212" s="554">
        <v>0.33</v>
      </c>
      <c r="L212" s="553">
        <v>188</v>
      </c>
    </row>
    <row r="213" spans="2:12">
      <c r="B213" t="s">
        <v>680</v>
      </c>
      <c r="C213" t="s">
        <v>650</v>
      </c>
      <c r="D213">
        <v>540</v>
      </c>
      <c r="E213" s="555">
        <v>2048</v>
      </c>
      <c r="F213" s="553">
        <v>202</v>
      </c>
      <c r="G213" t="s">
        <v>653</v>
      </c>
      <c r="H213" s="554">
        <v>0.69</v>
      </c>
      <c r="I213" s="553">
        <v>218</v>
      </c>
      <c r="J213" t="s">
        <v>659</v>
      </c>
      <c r="K213" s="554">
        <v>0.09</v>
      </c>
      <c r="L213" s="553">
        <v>108</v>
      </c>
    </row>
    <row r="214" spans="2:12">
      <c r="B214" t="s">
        <v>673</v>
      </c>
      <c r="C214" t="s">
        <v>724</v>
      </c>
      <c r="D214">
        <v>511</v>
      </c>
      <c r="E214">
        <v>192</v>
      </c>
      <c r="F214" s="553">
        <v>200</v>
      </c>
      <c r="G214" t="s">
        <v>645</v>
      </c>
      <c r="H214" s="554">
        <v>0.87</v>
      </c>
      <c r="I214" s="553">
        <v>200</v>
      </c>
      <c r="J214" t="s">
        <v>644</v>
      </c>
      <c r="K214" s="554">
        <v>0.87</v>
      </c>
      <c r="L214" s="553">
        <v>200</v>
      </c>
    </row>
    <row r="215" spans="2:12">
      <c r="B215" t="s">
        <v>743</v>
      </c>
      <c r="C215" t="s">
        <v>691</v>
      </c>
      <c r="D215">
        <v>503</v>
      </c>
      <c r="E215">
        <v>325</v>
      </c>
      <c r="F215" s="553">
        <v>200</v>
      </c>
      <c r="G215" t="s">
        <v>653</v>
      </c>
      <c r="H215" s="554">
        <v>0.82</v>
      </c>
      <c r="I215" s="553">
        <v>215</v>
      </c>
      <c r="J215" t="s">
        <v>664</v>
      </c>
      <c r="K215" s="554">
        <v>0.11</v>
      </c>
      <c r="L215" s="553">
        <v>92</v>
      </c>
    </row>
    <row r="216" spans="2:12">
      <c r="B216" t="s">
        <v>680</v>
      </c>
      <c r="C216" t="s">
        <v>717</v>
      </c>
      <c r="D216">
        <v>529</v>
      </c>
      <c r="E216">
        <v>192</v>
      </c>
      <c r="F216" s="553">
        <v>200</v>
      </c>
      <c r="G216" t="s">
        <v>653</v>
      </c>
      <c r="H216" s="554">
        <v>0.73</v>
      </c>
      <c r="I216" s="553">
        <v>211</v>
      </c>
      <c r="J216" t="s">
        <v>644</v>
      </c>
      <c r="K216" s="554">
        <v>0.16</v>
      </c>
      <c r="L216" s="553">
        <v>179</v>
      </c>
    </row>
    <row r="217" spans="2:12">
      <c r="B217" t="s">
        <v>721</v>
      </c>
      <c r="C217" t="s">
        <v>717</v>
      </c>
      <c r="D217">
        <v>516</v>
      </c>
      <c r="E217">
        <v>443</v>
      </c>
      <c r="F217" s="553">
        <v>198</v>
      </c>
      <c r="G217" t="s">
        <v>653</v>
      </c>
      <c r="H217" s="554">
        <v>0.84</v>
      </c>
      <c r="I217" s="553">
        <v>200</v>
      </c>
      <c r="J217" t="s">
        <v>644</v>
      </c>
      <c r="K217" s="554">
        <v>0.1</v>
      </c>
      <c r="L217" s="553">
        <v>195</v>
      </c>
    </row>
    <row r="218" spans="2:12">
      <c r="B218" t="s">
        <v>650</v>
      </c>
      <c r="C218" t="s">
        <v>770</v>
      </c>
      <c r="D218">
        <v>540</v>
      </c>
      <c r="E218">
        <v>262</v>
      </c>
      <c r="F218" s="553">
        <v>193</v>
      </c>
      <c r="G218" t="s">
        <v>645</v>
      </c>
      <c r="H218" s="554">
        <v>0.67</v>
      </c>
      <c r="I218" s="553">
        <v>196</v>
      </c>
      <c r="J218" t="s">
        <v>652</v>
      </c>
      <c r="K218" s="554">
        <v>0.25</v>
      </c>
      <c r="L218" s="553">
        <v>186</v>
      </c>
    </row>
    <row r="219" spans="2:12">
      <c r="B219" t="s">
        <v>721</v>
      </c>
      <c r="C219" t="s">
        <v>732</v>
      </c>
      <c r="D219">
        <v>526</v>
      </c>
      <c r="E219">
        <v>608</v>
      </c>
      <c r="F219" s="553">
        <v>183</v>
      </c>
      <c r="G219" t="s">
        <v>653</v>
      </c>
      <c r="H219" s="554">
        <v>0.74</v>
      </c>
      <c r="I219" s="553">
        <v>192</v>
      </c>
      <c r="J219" t="s">
        <v>663</v>
      </c>
      <c r="K219" s="554">
        <v>0.2</v>
      </c>
      <c r="L219" s="553">
        <v>149</v>
      </c>
    </row>
    <row r="220" spans="2:12">
      <c r="B220" t="s">
        <v>680</v>
      </c>
      <c r="C220" t="s">
        <v>699</v>
      </c>
      <c r="D220">
        <v>501</v>
      </c>
      <c r="E220">
        <v>407</v>
      </c>
      <c r="F220" s="553">
        <v>177</v>
      </c>
      <c r="G220" t="s">
        <v>653</v>
      </c>
      <c r="H220" s="554">
        <v>0.89</v>
      </c>
      <c r="I220" s="553">
        <v>178</v>
      </c>
      <c r="J220" t="s">
        <v>663</v>
      </c>
      <c r="K220" s="554">
        <v>0.03</v>
      </c>
      <c r="L220" s="553">
        <v>144</v>
      </c>
    </row>
    <row r="221" spans="2:12">
      <c r="B221" t="s">
        <v>661</v>
      </c>
      <c r="C221" t="s">
        <v>726</v>
      </c>
      <c r="D221">
        <v>528</v>
      </c>
      <c r="E221">
        <v>254</v>
      </c>
      <c r="F221" s="553">
        <v>173</v>
      </c>
      <c r="G221" t="s">
        <v>1459</v>
      </c>
      <c r="H221" s="554">
        <v>0.79</v>
      </c>
      <c r="I221" s="553">
        <v>170</v>
      </c>
      <c r="J221" t="s">
        <v>663</v>
      </c>
      <c r="K221" s="554">
        <v>0.79</v>
      </c>
      <c r="L221" s="553">
        <v>170</v>
      </c>
    </row>
    <row r="222" spans="2:12">
      <c r="B222" t="s">
        <v>742</v>
      </c>
      <c r="C222" t="s">
        <v>702</v>
      </c>
      <c r="D222">
        <v>528</v>
      </c>
      <c r="E222">
        <v>264</v>
      </c>
      <c r="F222" s="553">
        <v>172</v>
      </c>
      <c r="G222" t="s">
        <v>645</v>
      </c>
      <c r="H222" s="554">
        <v>0.41</v>
      </c>
      <c r="I222" s="553">
        <v>171</v>
      </c>
      <c r="J222" t="s">
        <v>663</v>
      </c>
      <c r="K222" s="554">
        <v>0.34</v>
      </c>
      <c r="L222" s="553">
        <v>154</v>
      </c>
    </row>
    <row r="223" spans="2:12">
      <c r="B223" t="s">
        <v>743</v>
      </c>
      <c r="C223" t="s">
        <v>702</v>
      </c>
      <c r="D223">
        <v>516</v>
      </c>
      <c r="E223">
        <v>697</v>
      </c>
      <c r="F223" s="553">
        <v>171</v>
      </c>
      <c r="G223" t="s">
        <v>645</v>
      </c>
      <c r="H223" s="554">
        <v>0.39</v>
      </c>
      <c r="I223" s="553">
        <v>169</v>
      </c>
      <c r="J223" t="s">
        <v>663</v>
      </c>
      <c r="K223" s="554">
        <v>0.32</v>
      </c>
      <c r="L223" s="553">
        <v>167</v>
      </c>
    </row>
    <row r="224" spans="2:12">
      <c r="B224" t="s">
        <v>662</v>
      </c>
      <c r="C224" t="s">
        <v>704</v>
      </c>
      <c r="D224">
        <v>550</v>
      </c>
      <c r="E224">
        <v>863</v>
      </c>
      <c r="F224" s="553">
        <v>170</v>
      </c>
      <c r="G224" t="s">
        <v>1459</v>
      </c>
      <c r="H224" s="554">
        <v>0.53</v>
      </c>
      <c r="I224" s="553">
        <v>167</v>
      </c>
      <c r="J224" t="s">
        <v>663</v>
      </c>
      <c r="K224" s="554">
        <v>0.53</v>
      </c>
      <c r="L224" s="553">
        <v>167</v>
      </c>
    </row>
    <row r="225" spans="2:12">
      <c r="B225" t="s">
        <v>692</v>
      </c>
      <c r="C225" t="s">
        <v>695</v>
      </c>
      <c r="D225">
        <v>550</v>
      </c>
      <c r="E225">
        <v>402</v>
      </c>
      <c r="F225" s="553">
        <v>170</v>
      </c>
      <c r="G225" t="s">
        <v>645</v>
      </c>
      <c r="H225" s="554">
        <v>0.82</v>
      </c>
      <c r="I225" s="553">
        <v>184</v>
      </c>
      <c r="J225" t="s">
        <v>668</v>
      </c>
      <c r="K225" s="554">
        <v>0.13</v>
      </c>
      <c r="L225" s="553">
        <v>68</v>
      </c>
    </row>
    <row r="226" spans="2:12">
      <c r="B226" t="s">
        <v>721</v>
      </c>
      <c r="C226" t="s">
        <v>771</v>
      </c>
      <c r="D226">
        <v>545</v>
      </c>
      <c r="E226">
        <v>565</v>
      </c>
      <c r="F226" s="553">
        <v>165</v>
      </c>
      <c r="G226" t="s">
        <v>653</v>
      </c>
      <c r="H226" s="554">
        <v>0.86</v>
      </c>
      <c r="I226" s="553">
        <v>172</v>
      </c>
      <c r="J226" t="s">
        <v>663</v>
      </c>
      <c r="K226" s="554">
        <v>0.13</v>
      </c>
      <c r="L226" s="553">
        <v>119</v>
      </c>
    </row>
    <row r="227" spans="2:12">
      <c r="B227" t="s">
        <v>673</v>
      </c>
      <c r="C227" t="s">
        <v>686</v>
      </c>
      <c r="D227">
        <v>507</v>
      </c>
      <c r="E227">
        <v>491</v>
      </c>
      <c r="F227" s="553">
        <v>163</v>
      </c>
      <c r="G227" t="s">
        <v>645</v>
      </c>
      <c r="H227" s="554">
        <v>0.92</v>
      </c>
      <c r="I227" s="553">
        <v>163</v>
      </c>
      <c r="J227" t="s">
        <v>644</v>
      </c>
      <c r="K227" s="554">
        <v>0.92</v>
      </c>
      <c r="L227" s="553">
        <v>163</v>
      </c>
    </row>
    <row r="228" spans="2:12">
      <c r="B228" t="s">
        <v>734</v>
      </c>
      <c r="C228" t="s">
        <v>737</v>
      </c>
      <c r="D228">
        <v>532</v>
      </c>
      <c r="E228">
        <v>466</v>
      </c>
      <c r="F228" s="553">
        <v>163</v>
      </c>
      <c r="G228" t="s">
        <v>653</v>
      </c>
      <c r="H228" s="554">
        <v>0.7</v>
      </c>
      <c r="I228" s="553">
        <v>168</v>
      </c>
      <c r="J228" t="s">
        <v>663</v>
      </c>
      <c r="K228" s="554">
        <v>0.28000000000000003</v>
      </c>
      <c r="L228" s="553">
        <v>150</v>
      </c>
    </row>
    <row r="229" spans="2:12">
      <c r="B229" t="s">
        <v>722</v>
      </c>
      <c r="C229" t="s">
        <v>731</v>
      </c>
      <c r="D229">
        <v>533</v>
      </c>
      <c r="E229">
        <v>953</v>
      </c>
      <c r="F229" s="553">
        <v>157</v>
      </c>
      <c r="G229" t="s">
        <v>1459</v>
      </c>
      <c r="H229" s="554">
        <v>0.53</v>
      </c>
      <c r="I229" s="553">
        <v>169</v>
      </c>
      <c r="J229" t="s">
        <v>651</v>
      </c>
      <c r="K229" s="554">
        <v>0.38</v>
      </c>
      <c r="L229" s="553">
        <v>153</v>
      </c>
    </row>
    <row r="230" spans="2:12">
      <c r="B230" t="s">
        <v>721</v>
      </c>
      <c r="C230" t="s">
        <v>772</v>
      </c>
      <c r="D230">
        <v>515</v>
      </c>
      <c r="E230">
        <v>481</v>
      </c>
      <c r="F230" s="553">
        <v>154</v>
      </c>
      <c r="G230" t="s">
        <v>653</v>
      </c>
      <c r="H230" s="554">
        <v>0.84</v>
      </c>
      <c r="I230" s="553">
        <v>159</v>
      </c>
      <c r="J230" t="s">
        <v>663</v>
      </c>
      <c r="K230" s="554">
        <v>0.14000000000000001</v>
      </c>
      <c r="L230" s="553">
        <v>124</v>
      </c>
    </row>
    <row r="231" spans="2:12">
      <c r="B231" t="s">
        <v>773</v>
      </c>
      <c r="C231" t="s">
        <v>702</v>
      </c>
      <c r="D231">
        <v>549</v>
      </c>
      <c r="E231">
        <v>441</v>
      </c>
      <c r="F231" s="553">
        <v>154</v>
      </c>
      <c r="G231" t="s">
        <v>1459</v>
      </c>
      <c r="H231" s="554">
        <v>0.37</v>
      </c>
      <c r="I231" s="553">
        <v>143</v>
      </c>
      <c r="J231" t="s">
        <v>663</v>
      </c>
      <c r="K231" s="554">
        <v>0.37</v>
      </c>
      <c r="L231" s="553">
        <v>143</v>
      </c>
    </row>
    <row r="232" spans="2:12">
      <c r="B232" t="s">
        <v>722</v>
      </c>
      <c r="C232" t="s">
        <v>682</v>
      </c>
      <c r="D232">
        <v>541</v>
      </c>
      <c r="E232">
        <v>315</v>
      </c>
      <c r="F232" s="553">
        <v>151</v>
      </c>
      <c r="G232" t="s">
        <v>1459</v>
      </c>
      <c r="H232" s="554">
        <v>0.55000000000000004</v>
      </c>
      <c r="I232" s="553">
        <v>146</v>
      </c>
      <c r="J232" t="s">
        <v>663</v>
      </c>
      <c r="K232" s="554">
        <v>0.55000000000000004</v>
      </c>
      <c r="L232" s="553">
        <v>146</v>
      </c>
    </row>
    <row r="233" spans="2:12">
      <c r="B233" t="s">
        <v>709</v>
      </c>
      <c r="C233" t="s">
        <v>687</v>
      </c>
      <c r="D233">
        <v>519</v>
      </c>
      <c r="E233">
        <v>373</v>
      </c>
      <c r="F233" s="553">
        <v>135</v>
      </c>
      <c r="G233" t="s">
        <v>1459</v>
      </c>
      <c r="H233" s="554">
        <v>0.76</v>
      </c>
      <c r="I233" s="553">
        <v>136</v>
      </c>
      <c r="J233" t="s">
        <v>655</v>
      </c>
      <c r="K233" s="554">
        <v>0.11</v>
      </c>
      <c r="L233" s="553">
        <v>80</v>
      </c>
    </row>
    <row r="234" spans="2:12">
      <c r="B234" t="s">
        <v>709</v>
      </c>
      <c r="C234" t="s">
        <v>707</v>
      </c>
      <c r="D234">
        <v>523</v>
      </c>
      <c r="E234">
        <v>645</v>
      </c>
      <c r="F234" s="553">
        <v>132</v>
      </c>
      <c r="G234" t="s">
        <v>1459</v>
      </c>
      <c r="H234" s="554">
        <v>0.46</v>
      </c>
      <c r="I234" s="553">
        <v>124</v>
      </c>
      <c r="J234" t="s">
        <v>663</v>
      </c>
      <c r="K234" s="554">
        <v>0.46</v>
      </c>
      <c r="L234" s="553">
        <v>124</v>
      </c>
    </row>
    <row r="235" spans="2:12">
      <c r="B235" t="s">
        <v>774</v>
      </c>
      <c r="C235" t="s">
        <v>722</v>
      </c>
      <c r="D235">
        <v>524</v>
      </c>
      <c r="E235">
        <v>319</v>
      </c>
      <c r="F235" s="553">
        <v>130</v>
      </c>
      <c r="G235" t="s">
        <v>669</v>
      </c>
      <c r="H235" s="554">
        <v>0.64</v>
      </c>
      <c r="I235" s="553">
        <v>137</v>
      </c>
      <c r="J235" t="s">
        <v>663</v>
      </c>
      <c r="K235" s="554">
        <v>0.31</v>
      </c>
      <c r="L235" s="553">
        <v>119</v>
      </c>
    </row>
    <row r="236" spans="2:12">
      <c r="B236" t="s">
        <v>774</v>
      </c>
      <c r="C236" t="s">
        <v>641</v>
      </c>
      <c r="D236">
        <v>543</v>
      </c>
      <c r="E236">
        <v>303</v>
      </c>
      <c r="F236" s="553">
        <v>130</v>
      </c>
      <c r="G236" t="s">
        <v>639</v>
      </c>
      <c r="H236" s="554">
        <v>0.88</v>
      </c>
      <c r="I236" s="553">
        <v>130</v>
      </c>
      <c r="J236" t="s">
        <v>652</v>
      </c>
      <c r="K236" s="554">
        <v>0.12</v>
      </c>
      <c r="L236" s="553">
        <v>128</v>
      </c>
    </row>
    <row r="237" spans="2:12">
      <c r="B237" t="s">
        <v>764</v>
      </c>
      <c r="C237" t="s">
        <v>686</v>
      </c>
      <c r="D237">
        <v>550</v>
      </c>
      <c r="E237">
        <v>228</v>
      </c>
      <c r="F237" s="553">
        <v>120</v>
      </c>
      <c r="G237" t="s">
        <v>1460</v>
      </c>
      <c r="H237" s="554">
        <v>0.76</v>
      </c>
      <c r="I237" s="553">
        <v>76</v>
      </c>
      <c r="J237" t="s">
        <v>655</v>
      </c>
      <c r="K237" s="554">
        <v>0.76</v>
      </c>
      <c r="L237" s="553">
        <v>76</v>
      </c>
    </row>
    <row r="238" spans="2:12">
      <c r="B238" t="s">
        <v>667</v>
      </c>
      <c r="C238" t="s">
        <v>699</v>
      </c>
      <c r="D238">
        <v>534</v>
      </c>
      <c r="E238">
        <v>874</v>
      </c>
      <c r="F238" s="553">
        <v>118</v>
      </c>
      <c r="G238" t="s">
        <v>653</v>
      </c>
      <c r="H238" s="554">
        <v>0.56000000000000005</v>
      </c>
      <c r="I238" s="553">
        <v>124</v>
      </c>
      <c r="J238" t="s">
        <v>647</v>
      </c>
      <c r="K238" s="554">
        <v>0.11</v>
      </c>
      <c r="L238" s="553">
        <v>106</v>
      </c>
    </row>
    <row r="239" spans="2:12">
      <c r="B239" t="s">
        <v>711</v>
      </c>
      <c r="C239" t="s">
        <v>737</v>
      </c>
      <c r="D239">
        <v>507</v>
      </c>
      <c r="E239" s="555">
        <v>1397</v>
      </c>
      <c r="F239" s="553">
        <v>112</v>
      </c>
      <c r="G239" t="s">
        <v>653</v>
      </c>
      <c r="H239" s="554">
        <v>0.41</v>
      </c>
      <c r="I239" s="553">
        <v>113</v>
      </c>
      <c r="J239" t="s">
        <v>644</v>
      </c>
      <c r="K239" s="554">
        <v>0.19</v>
      </c>
      <c r="L239" s="553">
        <v>111</v>
      </c>
    </row>
    <row r="240" spans="2:12">
      <c r="B240" t="s">
        <v>775</v>
      </c>
      <c r="C240" t="s">
        <v>686</v>
      </c>
      <c r="D240">
        <v>519</v>
      </c>
      <c r="E240">
        <v>243</v>
      </c>
      <c r="F240" s="553">
        <v>111</v>
      </c>
      <c r="G240" t="s">
        <v>1460</v>
      </c>
      <c r="H240" s="554">
        <v>0.83</v>
      </c>
      <c r="I240" s="553">
        <v>88</v>
      </c>
      <c r="J240" t="s">
        <v>655</v>
      </c>
      <c r="K240" s="554">
        <v>0.83</v>
      </c>
      <c r="L240" s="553">
        <v>88</v>
      </c>
    </row>
    <row r="242" spans="2:12">
      <c r="B242" s="552" t="s">
        <v>776</v>
      </c>
    </row>
    <row r="243" spans="2:12">
      <c r="B243" t="s">
        <v>743</v>
      </c>
      <c r="C243" t="s">
        <v>695</v>
      </c>
      <c r="D243">
        <v>588</v>
      </c>
      <c r="E243">
        <v>300</v>
      </c>
      <c r="F243" s="553">
        <v>228</v>
      </c>
      <c r="G243" t="s">
        <v>645</v>
      </c>
      <c r="H243" s="554">
        <v>0.89</v>
      </c>
      <c r="I243" s="553">
        <v>231</v>
      </c>
      <c r="J243" t="s">
        <v>651</v>
      </c>
      <c r="K243" s="554">
        <v>0.03</v>
      </c>
      <c r="L243" s="553">
        <v>198</v>
      </c>
    </row>
    <row r="244" spans="2:12">
      <c r="B244" t="s">
        <v>679</v>
      </c>
      <c r="C244" t="s">
        <v>748</v>
      </c>
      <c r="D244">
        <v>577</v>
      </c>
      <c r="E244">
        <v>205</v>
      </c>
      <c r="F244" s="553">
        <v>218</v>
      </c>
      <c r="G244" t="s">
        <v>669</v>
      </c>
      <c r="H244" s="554">
        <v>0.45</v>
      </c>
      <c r="I244" s="553">
        <v>231</v>
      </c>
      <c r="J244" t="s">
        <v>644</v>
      </c>
      <c r="K244" s="554">
        <v>0.34</v>
      </c>
      <c r="L244" s="553">
        <v>205</v>
      </c>
    </row>
    <row r="245" spans="2:12">
      <c r="B245" t="s">
        <v>703</v>
      </c>
      <c r="C245" t="s">
        <v>691</v>
      </c>
      <c r="D245">
        <v>596</v>
      </c>
      <c r="E245">
        <v>294</v>
      </c>
      <c r="F245" s="553">
        <v>198</v>
      </c>
      <c r="G245" t="s">
        <v>653</v>
      </c>
      <c r="H245" s="554">
        <v>0.7</v>
      </c>
      <c r="I245" s="553">
        <v>235</v>
      </c>
      <c r="J245" t="s">
        <v>664</v>
      </c>
      <c r="K245" s="554">
        <v>0.21</v>
      </c>
      <c r="L245" s="553">
        <v>84</v>
      </c>
    </row>
    <row r="246" spans="2:12">
      <c r="B246" t="s">
        <v>766</v>
      </c>
      <c r="C246" t="s">
        <v>678</v>
      </c>
      <c r="D246">
        <v>570</v>
      </c>
      <c r="E246">
        <v>229</v>
      </c>
      <c r="F246" s="553">
        <v>194</v>
      </c>
      <c r="G246" t="s">
        <v>669</v>
      </c>
      <c r="H246" s="554">
        <v>0.68</v>
      </c>
      <c r="I246" s="553">
        <v>194</v>
      </c>
      <c r="J246" t="s">
        <v>663</v>
      </c>
      <c r="K246" s="554">
        <v>0.19</v>
      </c>
      <c r="L246" s="553">
        <v>177</v>
      </c>
    </row>
    <row r="247" spans="2:12">
      <c r="B247" t="s">
        <v>673</v>
      </c>
      <c r="C247" t="s">
        <v>650</v>
      </c>
      <c r="D247">
        <v>575</v>
      </c>
      <c r="E247" s="555">
        <v>2813</v>
      </c>
      <c r="F247" s="553">
        <v>187</v>
      </c>
      <c r="G247" t="s">
        <v>645</v>
      </c>
      <c r="H247" s="554">
        <v>0.61</v>
      </c>
      <c r="I247" s="553">
        <v>188</v>
      </c>
      <c r="J247" t="s">
        <v>652</v>
      </c>
      <c r="K247" s="554">
        <v>0.23</v>
      </c>
      <c r="L247" s="553">
        <v>184</v>
      </c>
    </row>
    <row r="248" spans="2:12">
      <c r="B248" t="s">
        <v>716</v>
      </c>
      <c r="C248" t="s">
        <v>662</v>
      </c>
      <c r="D248">
        <v>580</v>
      </c>
      <c r="E248">
        <v>468</v>
      </c>
      <c r="F248" s="553">
        <v>183</v>
      </c>
      <c r="G248" t="s">
        <v>645</v>
      </c>
      <c r="H248" s="554">
        <v>0.55000000000000004</v>
      </c>
      <c r="I248" s="553">
        <v>183</v>
      </c>
      <c r="J248" t="s">
        <v>644</v>
      </c>
      <c r="K248" s="554">
        <v>0.55000000000000004</v>
      </c>
      <c r="L248" s="553">
        <v>183</v>
      </c>
    </row>
    <row r="249" spans="2:12">
      <c r="B249" t="s">
        <v>766</v>
      </c>
      <c r="C249" t="s">
        <v>679</v>
      </c>
      <c r="D249">
        <v>583</v>
      </c>
      <c r="E249">
        <v>267</v>
      </c>
      <c r="F249" s="553">
        <v>183</v>
      </c>
      <c r="G249" t="s">
        <v>1459</v>
      </c>
      <c r="H249" s="554">
        <v>0.39</v>
      </c>
      <c r="I249" s="553">
        <v>166</v>
      </c>
      <c r="J249" t="s">
        <v>663</v>
      </c>
      <c r="K249" s="554">
        <v>0.39</v>
      </c>
      <c r="L249" s="553">
        <v>166</v>
      </c>
    </row>
    <row r="250" spans="2:12">
      <c r="B250" t="s">
        <v>777</v>
      </c>
      <c r="C250" t="s">
        <v>778</v>
      </c>
      <c r="D250">
        <v>563</v>
      </c>
      <c r="E250">
        <v>616</v>
      </c>
      <c r="F250" s="553">
        <v>182</v>
      </c>
      <c r="G250" t="s">
        <v>1458</v>
      </c>
      <c r="H250" s="554">
        <v>0.43</v>
      </c>
      <c r="I250" s="553">
        <v>174</v>
      </c>
      <c r="J250" t="s">
        <v>647</v>
      </c>
      <c r="K250" s="554">
        <v>0.43</v>
      </c>
      <c r="L250" s="553">
        <v>174</v>
      </c>
    </row>
    <row r="252" spans="2:12">
      <c r="B252" s="552" t="s">
        <v>776</v>
      </c>
    </row>
    <row r="253" spans="2:12">
      <c r="B253" t="s">
        <v>766</v>
      </c>
      <c r="C253" t="s">
        <v>662</v>
      </c>
      <c r="D253">
        <v>597</v>
      </c>
      <c r="E253">
        <v>367</v>
      </c>
      <c r="F253" s="553">
        <v>181</v>
      </c>
      <c r="G253" t="s">
        <v>645</v>
      </c>
      <c r="H253" s="554">
        <v>0.55000000000000004</v>
      </c>
      <c r="I253" s="553">
        <v>189</v>
      </c>
      <c r="J253" t="s">
        <v>663</v>
      </c>
      <c r="K253" s="554">
        <v>0.4</v>
      </c>
      <c r="L253" s="553">
        <v>165</v>
      </c>
    </row>
    <row r="254" spans="2:12">
      <c r="B254" t="s">
        <v>681</v>
      </c>
      <c r="C254" t="s">
        <v>702</v>
      </c>
      <c r="D254">
        <v>587</v>
      </c>
      <c r="E254" s="555">
        <v>1301</v>
      </c>
      <c r="F254" s="553">
        <v>180</v>
      </c>
      <c r="G254" t="s">
        <v>1459</v>
      </c>
      <c r="H254" s="554">
        <v>0.66</v>
      </c>
      <c r="I254" s="553">
        <v>173</v>
      </c>
      <c r="J254" t="s">
        <v>663</v>
      </c>
      <c r="K254" s="554">
        <v>0.66</v>
      </c>
      <c r="L254" s="553">
        <v>173</v>
      </c>
    </row>
    <row r="255" spans="2:12">
      <c r="B255" t="s">
        <v>662</v>
      </c>
      <c r="C255" t="s">
        <v>749</v>
      </c>
      <c r="D255">
        <v>586</v>
      </c>
      <c r="E255">
        <v>374</v>
      </c>
      <c r="F255" s="553">
        <v>180</v>
      </c>
      <c r="G255" t="s">
        <v>645</v>
      </c>
      <c r="H255" s="554">
        <v>0.66</v>
      </c>
      <c r="I255" s="553">
        <v>186</v>
      </c>
      <c r="J255" t="s">
        <v>663</v>
      </c>
      <c r="K255" s="554">
        <v>0.3</v>
      </c>
      <c r="L255" s="553">
        <v>163</v>
      </c>
    </row>
    <row r="256" spans="2:12">
      <c r="B256" t="s">
        <v>678</v>
      </c>
      <c r="C256" t="s">
        <v>751</v>
      </c>
      <c r="D256">
        <v>572</v>
      </c>
      <c r="E256">
        <v>216</v>
      </c>
      <c r="F256" s="553">
        <v>176</v>
      </c>
      <c r="G256" t="s">
        <v>1459</v>
      </c>
      <c r="H256" s="554">
        <v>0.52</v>
      </c>
      <c r="I256" s="553">
        <v>165</v>
      </c>
      <c r="J256" t="s">
        <v>663</v>
      </c>
      <c r="K256" s="554">
        <v>0.52</v>
      </c>
      <c r="L256" s="553">
        <v>165</v>
      </c>
    </row>
    <row r="257" spans="2:12">
      <c r="B257" t="s">
        <v>673</v>
      </c>
      <c r="C257" t="s">
        <v>679</v>
      </c>
      <c r="D257">
        <v>599</v>
      </c>
      <c r="E257" s="555">
        <v>1161</v>
      </c>
      <c r="F257" s="553">
        <v>169</v>
      </c>
      <c r="G257" t="s">
        <v>645</v>
      </c>
      <c r="H257" s="554">
        <v>0.77</v>
      </c>
      <c r="I257" s="553">
        <v>169</v>
      </c>
      <c r="J257" t="s">
        <v>663</v>
      </c>
      <c r="K257" s="554">
        <v>0.12</v>
      </c>
      <c r="L257" s="553">
        <v>146</v>
      </c>
    </row>
    <row r="258" spans="2:12">
      <c r="B258" t="s">
        <v>662</v>
      </c>
      <c r="C258" t="s">
        <v>726</v>
      </c>
      <c r="D258">
        <v>562</v>
      </c>
      <c r="E258">
        <v>700</v>
      </c>
      <c r="F258" s="553">
        <v>167</v>
      </c>
      <c r="G258" t="s">
        <v>1459</v>
      </c>
      <c r="H258" s="554">
        <v>0.5</v>
      </c>
      <c r="I258" s="553">
        <v>162</v>
      </c>
      <c r="J258" t="s">
        <v>663</v>
      </c>
      <c r="K258" s="554">
        <v>0.5</v>
      </c>
      <c r="L258" s="553">
        <v>162</v>
      </c>
    </row>
    <row r="259" spans="2:12">
      <c r="B259" t="s">
        <v>721</v>
      </c>
      <c r="C259" t="s">
        <v>680</v>
      </c>
      <c r="D259">
        <v>594</v>
      </c>
      <c r="E259" s="555">
        <v>1563</v>
      </c>
      <c r="F259" s="553">
        <v>165</v>
      </c>
      <c r="G259" t="s">
        <v>653</v>
      </c>
      <c r="H259" s="554">
        <v>0.77</v>
      </c>
      <c r="I259" s="553">
        <v>184</v>
      </c>
      <c r="J259" t="s">
        <v>659</v>
      </c>
      <c r="K259" s="554">
        <v>0.18</v>
      </c>
      <c r="L259" s="553">
        <v>88</v>
      </c>
    </row>
    <row r="260" spans="2:12">
      <c r="B260" t="s">
        <v>673</v>
      </c>
      <c r="C260" t="s">
        <v>772</v>
      </c>
      <c r="D260">
        <v>600</v>
      </c>
      <c r="E260">
        <v>223</v>
      </c>
      <c r="F260" s="553">
        <v>164</v>
      </c>
      <c r="G260" t="s">
        <v>645</v>
      </c>
      <c r="H260" s="554">
        <v>0.91</v>
      </c>
      <c r="I260" s="553">
        <v>164</v>
      </c>
      <c r="J260" t="s">
        <v>644</v>
      </c>
      <c r="K260" s="554">
        <v>0.91</v>
      </c>
      <c r="L260" s="553">
        <v>164</v>
      </c>
    </row>
    <row r="261" spans="2:12">
      <c r="B261" t="s">
        <v>673</v>
      </c>
      <c r="C261" t="s">
        <v>704</v>
      </c>
      <c r="D261">
        <v>575</v>
      </c>
      <c r="E261">
        <v>333</v>
      </c>
      <c r="F261" s="553">
        <v>160</v>
      </c>
      <c r="G261" t="s">
        <v>645</v>
      </c>
      <c r="H261" s="554">
        <v>0.76</v>
      </c>
      <c r="I261" s="553">
        <v>160</v>
      </c>
      <c r="J261" t="s">
        <v>663</v>
      </c>
      <c r="K261" s="554">
        <v>0.21</v>
      </c>
      <c r="L261" s="553">
        <v>150</v>
      </c>
    </row>
    <row r="262" spans="2:12">
      <c r="B262" t="s">
        <v>640</v>
      </c>
      <c r="C262" t="s">
        <v>707</v>
      </c>
      <c r="D262">
        <v>569</v>
      </c>
      <c r="E262" s="555">
        <v>2296</v>
      </c>
      <c r="F262" s="553">
        <v>158</v>
      </c>
      <c r="G262" t="s">
        <v>639</v>
      </c>
      <c r="H262" s="554">
        <v>0.52</v>
      </c>
      <c r="I262" s="553">
        <v>152</v>
      </c>
      <c r="J262" t="s">
        <v>638</v>
      </c>
      <c r="K262" s="554">
        <v>0.52</v>
      </c>
      <c r="L262" s="553">
        <v>152</v>
      </c>
    </row>
    <row r="263" spans="2:12">
      <c r="B263" t="s">
        <v>721</v>
      </c>
      <c r="C263" t="s">
        <v>702</v>
      </c>
      <c r="D263">
        <v>577</v>
      </c>
      <c r="E263" s="555">
        <v>3787</v>
      </c>
      <c r="F263" s="553">
        <v>156</v>
      </c>
      <c r="G263" t="s">
        <v>653</v>
      </c>
      <c r="H263" s="554">
        <v>0.53</v>
      </c>
      <c r="I263" s="553">
        <v>173</v>
      </c>
      <c r="J263" t="s">
        <v>663</v>
      </c>
      <c r="K263" s="554">
        <v>0.27</v>
      </c>
      <c r="L263" s="553">
        <v>137</v>
      </c>
    </row>
    <row r="264" spans="2:12">
      <c r="B264" t="s">
        <v>726</v>
      </c>
      <c r="C264" t="s">
        <v>687</v>
      </c>
      <c r="D264">
        <v>583</v>
      </c>
      <c r="E264">
        <v>430</v>
      </c>
      <c r="F264" s="553">
        <v>152</v>
      </c>
      <c r="G264" t="s">
        <v>1459</v>
      </c>
      <c r="H264" s="554">
        <v>0.73</v>
      </c>
      <c r="I264" s="553">
        <v>161</v>
      </c>
      <c r="J264" t="s">
        <v>663</v>
      </c>
      <c r="K264" s="554">
        <v>0.73</v>
      </c>
      <c r="L264" s="553">
        <v>161</v>
      </c>
    </row>
    <row r="265" spans="2:12">
      <c r="B265" t="s">
        <v>737</v>
      </c>
      <c r="C265" t="s">
        <v>707</v>
      </c>
      <c r="D265">
        <v>599</v>
      </c>
      <c r="E265" s="555">
        <v>1504</v>
      </c>
      <c r="F265" s="553">
        <v>152</v>
      </c>
      <c r="G265" t="s">
        <v>653</v>
      </c>
      <c r="H265" s="554">
        <v>0.56000000000000005</v>
      </c>
      <c r="I265" s="553">
        <v>163</v>
      </c>
      <c r="J265" t="s">
        <v>663</v>
      </c>
      <c r="K265" s="554">
        <v>0.26</v>
      </c>
      <c r="L265" s="553">
        <v>127</v>
      </c>
    </row>
    <row r="266" spans="2:12">
      <c r="B266" t="s">
        <v>722</v>
      </c>
      <c r="C266" t="s">
        <v>779</v>
      </c>
      <c r="D266">
        <v>589</v>
      </c>
      <c r="E266">
        <v>348</v>
      </c>
      <c r="F266" s="553">
        <v>151</v>
      </c>
      <c r="G266" t="s">
        <v>669</v>
      </c>
      <c r="H266" s="554">
        <v>0.65</v>
      </c>
      <c r="I266" s="553">
        <v>165</v>
      </c>
      <c r="J266" t="s">
        <v>668</v>
      </c>
      <c r="K266" s="554">
        <v>0.14000000000000001</v>
      </c>
      <c r="L266" s="553">
        <v>81</v>
      </c>
    </row>
    <row r="267" spans="2:12">
      <c r="B267" t="s">
        <v>728</v>
      </c>
      <c r="C267" t="s">
        <v>641</v>
      </c>
      <c r="D267">
        <v>564</v>
      </c>
      <c r="E267">
        <v>476</v>
      </c>
      <c r="F267" s="553">
        <v>147</v>
      </c>
      <c r="G267" t="s">
        <v>639</v>
      </c>
      <c r="H267" s="554">
        <v>0.88</v>
      </c>
      <c r="I267" s="553">
        <v>149</v>
      </c>
      <c r="J267" t="s">
        <v>663</v>
      </c>
      <c r="K267" s="554">
        <v>0.03</v>
      </c>
      <c r="L267" s="553">
        <v>129</v>
      </c>
    </row>
    <row r="268" spans="2:12">
      <c r="B268" t="s">
        <v>722</v>
      </c>
      <c r="C268" t="s">
        <v>726</v>
      </c>
      <c r="D268">
        <v>563</v>
      </c>
      <c r="E268">
        <v>288</v>
      </c>
      <c r="F268" s="553">
        <v>146</v>
      </c>
      <c r="G268" t="s">
        <v>669</v>
      </c>
      <c r="H268" s="554">
        <v>0.43</v>
      </c>
      <c r="I268" s="553">
        <v>168</v>
      </c>
      <c r="J268" t="s">
        <v>668</v>
      </c>
      <c r="K268" s="554">
        <v>0.17</v>
      </c>
      <c r="L268" s="553">
        <v>81</v>
      </c>
    </row>
    <row r="269" spans="2:12">
      <c r="B269" t="s">
        <v>729</v>
      </c>
      <c r="C269" t="s">
        <v>667</v>
      </c>
      <c r="D269">
        <v>551</v>
      </c>
      <c r="E269">
        <v>553</v>
      </c>
      <c r="F269" s="553">
        <v>138</v>
      </c>
      <c r="G269" t="s">
        <v>1459</v>
      </c>
      <c r="H269" s="554">
        <v>0.6</v>
      </c>
      <c r="I269" s="553">
        <v>151</v>
      </c>
      <c r="J269" t="s">
        <v>659</v>
      </c>
      <c r="K269" s="554">
        <v>0.22</v>
      </c>
      <c r="L269" s="553">
        <v>86</v>
      </c>
    </row>
    <row r="270" spans="2:12">
      <c r="B270" t="s">
        <v>699</v>
      </c>
      <c r="C270" t="s">
        <v>686</v>
      </c>
      <c r="D270">
        <v>587</v>
      </c>
      <c r="E270">
        <v>466</v>
      </c>
      <c r="F270" s="553">
        <v>137</v>
      </c>
      <c r="G270" t="s">
        <v>653</v>
      </c>
      <c r="H270" s="554">
        <v>0.56999999999999995</v>
      </c>
      <c r="I270" s="553">
        <v>143</v>
      </c>
      <c r="J270" t="s">
        <v>663</v>
      </c>
      <c r="K270" s="554">
        <v>0.32</v>
      </c>
      <c r="L270" s="553">
        <v>125</v>
      </c>
    </row>
    <row r="271" spans="2:12">
      <c r="B271" t="s">
        <v>721</v>
      </c>
      <c r="C271" t="s">
        <v>719</v>
      </c>
      <c r="D271">
        <v>554</v>
      </c>
      <c r="E271">
        <v>937</v>
      </c>
      <c r="F271" s="553">
        <v>134</v>
      </c>
      <c r="G271" t="s">
        <v>653</v>
      </c>
      <c r="H271" s="554">
        <v>0.74</v>
      </c>
      <c r="I271" s="553">
        <v>142</v>
      </c>
      <c r="J271" t="s">
        <v>663</v>
      </c>
      <c r="K271" s="554">
        <v>0.11</v>
      </c>
      <c r="L271" s="553">
        <v>125</v>
      </c>
    </row>
    <row r="272" spans="2:12">
      <c r="B272" t="s">
        <v>735</v>
      </c>
      <c r="C272" t="s">
        <v>737</v>
      </c>
      <c r="D272">
        <v>590</v>
      </c>
      <c r="E272" s="555">
        <v>3504</v>
      </c>
      <c r="F272" s="553">
        <v>132</v>
      </c>
      <c r="G272" t="s">
        <v>653</v>
      </c>
      <c r="H272" s="554">
        <v>0.67</v>
      </c>
      <c r="I272" s="553">
        <v>144</v>
      </c>
      <c r="J272" t="s">
        <v>663</v>
      </c>
      <c r="K272" s="554">
        <v>0.14000000000000001</v>
      </c>
      <c r="L272" s="553">
        <v>114</v>
      </c>
    </row>
    <row r="273" spans="2:12">
      <c r="B273" t="s">
        <v>721</v>
      </c>
      <c r="C273" t="s">
        <v>685</v>
      </c>
      <c r="D273">
        <v>594</v>
      </c>
      <c r="E273" s="555">
        <v>4231</v>
      </c>
      <c r="F273" s="553">
        <v>129</v>
      </c>
      <c r="G273" t="s">
        <v>653</v>
      </c>
      <c r="H273" s="554">
        <v>0.59</v>
      </c>
      <c r="I273" s="553">
        <v>140</v>
      </c>
      <c r="J273" t="s">
        <v>663</v>
      </c>
      <c r="K273" s="554">
        <v>0.14000000000000001</v>
      </c>
      <c r="L273" s="553">
        <v>110</v>
      </c>
    </row>
    <row r="274" spans="2:12">
      <c r="B274" t="s">
        <v>780</v>
      </c>
      <c r="C274" t="s">
        <v>711</v>
      </c>
      <c r="D274">
        <v>551</v>
      </c>
      <c r="E274">
        <v>261</v>
      </c>
      <c r="F274" s="553">
        <v>121</v>
      </c>
      <c r="G274" t="s">
        <v>1459</v>
      </c>
      <c r="H274" s="554">
        <v>0.82</v>
      </c>
      <c r="I274" s="553">
        <v>124</v>
      </c>
      <c r="J274" t="s">
        <v>668</v>
      </c>
      <c r="K274" s="554">
        <v>0.12</v>
      </c>
      <c r="L274" s="553">
        <v>68</v>
      </c>
    </row>
    <row r="275" spans="2:12">
      <c r="B275" t="s">
        <v>719</v>
      </c>
      <c r="C275" t="s">
        <v>736</v>
      </c>
      <c r="D275">
        <v>557</v>
      </c>
      <c r="E275">
        <v>188</v>
      </c>
      <c r="F275" s="553">
        <v>112</v>
      </c>
      <c r="G275" t="s">
        <v>660</v>
      </c>
      <c r="H275" s="554">
        <v>0.47</v>
      </c>
      <c r="I275" s="553">
        <v>79</v>
      </c>
      <c r="J275" t="s">
        <v>659</v>
      </c>
      <c r="K275" s="554">
        <v>0.47</v>
      </c>
      <c r="L275" s="553">
        <v>79</v>
      </c>
    </row>
    <row r="276" spans="2:12">
      <c r="B276" t="s">
        <v>703</v>
      </c>
      <c r="C276" t="s">
        <v>781</v>
      </c>
      <c r="D276">
        <v>600</v>
      </c>
      <c r="E276">
        <v>293</v>
      </c>
      <c r="F276" s="553">
        <v>108</v>
      </c>
      <c r="G276" t="s">
        <v>1460</v>
      </c>
      <c r="H276" s="554">
        <v>0.88</v>
      </c>
      <c r="I276" s="553">
        <v>95</v>
      </c>
      <c r="J276" t="s">
        <v>655</v>
      </c>
      <c r="K276" s="554">
        <v>0.88</v>
      </c>
      <c r="L276" s="553">
        <v>95</v>
      </c>
    </row>
    <row r="277" spans="2:12">
      <c r="B277" t="s">
        <v>782</v>
      </c>
      <c r="C277" t="s">
        <v>781</v>
      </c>
      <c r="D277">
        <v>587</v>
      </c>
      <c r="E277">
        <v>179</v>
      </c>
      <c r="F277" s="553">
        <v>84</v>
      </c>
      <c r="G277" t="s">
        <v>1460</v>
      </c>
      <c r="H277" s="554">
        <v>1</v>
      </c>
      <c r="I277" s="553">
        <v>84</v>
      </c>
      <c r="J277" t="s">
        <v>655</v>
      </c>
      <c r="K277" s="554">
        <v>1</v>
      </c>
      <c r="L277" s="553">
        <v>84</v>
      </c>
    </row>
    <row r="278" spans="2:12">
      <c r="F278" s="553"/>
      <c r="H278" s="554"/>
      <c r="I278" s="553"/>
      <c r="K278" s="554"/>
      <c r="L278" s="553"/>
    </row>
    <row r="279" spans="2:12">
      <c r="B279" s="552" t="s">
        <v>783</v>
      </c>
    </row>
    <row r="280" spans="2:12">
      <c r="B280" t="s">
        <v>784</v>
      </c>
      <c r="C280" t="s">
        <v>702</v>
      </c>
      <c r="D280">
        <v>641</v>
      </c>
      <c r="E280">
        <v>242</v>
      </c>
      <c r="F280" s="553">
        <v>264</v>
      </c>
      <c r="G280" t="s">
        <v>645</v>
      </c>
      <c r="H280" s="554">
        <v>0.54</v>
      </c>
      <c r="I280" s="553">
        <v>270</v>
      </c>
      <c r="J280" t="s">
        <v>651</v>
      </c>
      <c r="K280" s="554">
        <v>0.28000000000000003</v>
      </c>
      <c r="L280" s="553">
        <v>233</v>
      </c>
    </row>
    <row r="281" spans="2:12">
      <c r="B281" t="s">
        <v>679</v>
      </c>
      <c r="C281" t="s">
        <v>675</v>
      </c>
      <c r="D281">
        <v>607</v>
      </c>
      <c r="E281">
        <v>183</v>
      </c>
      <c r="F281" s="553">
        <v>258</v>
      </c>
      <c r="G281" t="s">
        <v>669</v>
      </c>
      <c r="H281" s="554">
        <v>0.56999999999999995</v>
      </c>
      <c r="I281" s="553">
        <v>250</v>
      </c>
      <c r="J281" t="s">
        <v>651</v>
      </c>
      <c r="K281" s="554">
        <v>0.56999999999999995</v>
      </c>
      <c r="L281" s="553">
        <v>250</v>
      </c>
    </row>
    <row r="282" spans="2:12">
      <c r="B282" t="s">
        <v>700</v>
      </c>
      <c r="C282" t="s">
        <v>691</v>
      </c>
      <c r="D282">
        <v>626</v>
      </c>
      <c r="E282">
        <v>306</v>
      </c>
      <c r="F282" s="553">
        <v>235</v>
      </c>
      <c r="G282" t="s">
        <v>653</v>
      </c>
      <c r="H282" s="554">
        <v>0.77</v>
      </c>
      <c r="I282" s="553">
        <v>247</v>
      </c>
      <c r="J282" t="s">
        <v>663</v>
      </c>
      <c r="K282" s="554">
        <v>0.1</v>
      </c>
      <c r="L282" s="553">
        <v>193</v>
      </c>
    </row>
    <row r="283" spans="2:12">
      <c r="B283" t="s">
        <v>673</v>
      </c>
      <c r="C283" t="s">
        <v>718</v>
      </c>
      <c r="D283">
        <v>644</v>
      </c>
      <c r="E283">
        <v>311</v>
      </c>
      <c r="F283" s="553">
        <v>227</v>
      </c>
      <c r="G283" t="s">
        <v>645</v>
      </c>
      <c r="H283" s="554">
        <v>0.88</v>
      </c>
      <c r="I283" s="553">
        <v>230</v>
      </c>
      <c r="J283" t="s">
        <v>651</v>
      </c>
      <c r="K283" s="554">
        <v>0.03</v>
      </c>
      <c r="L283" s="553">
        <v>187</v>
      </c>
    </row>
    <row r="284" spans="2:12">
      <c r="B284" t="s">
        <v>649</v>
      </c>
      <c r="C284" t="s">
        <v>700</v>
      </c>
      <c r="D284">
        <v>640</v>
      </c>
      <c r="E284">
        <v>425</v>
      </c>
      <c r="F284" s="553">
        <v>222</v>
      </c>
      <c r="G284" t="s">
        <v>653</v>
      </c>
      <c r="H284" s="554">
        <v>0.57999999999999996</v>
      </c>
      <c r="I284" s="553">
        <v>232</v>
      </c>
      <c r="J284" t="s">
        <v>644</v>
      </c>
      <c r="K284" s="554">
        <v>0.27</v>
      </c>
      <c r="L284" s="553">
        <v>202</v>
      </c>
    </row>
    <row r="285" spans="2:12">
      <c r="B285" t="s">
        <v>748</v>
      </c>
      <c r="C285" t="s">
        <v>650</v>
      </c>
      <c r="D285">
        <v>643</v>
      </c>
      <c r="E285">
        <v>289</v>
      </c>
      <c r="F285" s="553">
        <v>218</v>
      </c>
      <c r="G285" t="s">
        <v>653</v>
      </c>
      <c r="H285" s="554">
        <v>0.46</v>
      </c>
      <c r="I285" s="553">
        <v>232</v>
      </c>
      <c r="J285" t="s">
        <v>651</v>
      </c>
      <c r="K285" s="554">
        <v>0.26</v>
      </c>
      <c r="L285" s="553">
        <v>196</v>
      </c>
    </row>
    <row r="286" spans="2:12">
      <c r="B286" t="s">
        <v>716</v>
      </c>
      <c r="C286" t="s">
        <v>710</v>
      </c>
      <c r="D286">
        <v>628</v>
      </c>
      <c r="E286">
        <v>187</v>
      </c>
      <c r="F286" s="553">
        <v>216</v>
      </c>
      <c r="G286" t="s">
        <v>1459</v>
      </c>
      <c r="H286" s="554">
        <v>0.64</v>
      </c>
      <c r="I286" s="553">
        <v>207</v>
      </c>
      <c r="J286" t="s">
        <v>663</v>
      </c>
      <c r="K286" s="554">
        <v>0.64</v>
      </c>
      <c r="L286" s="553">
        <v>207</v>
      </c>
    </row>
    <row r="287" spans="2:12">
      <c r="B287" t="s">
        <v>721</v>
      </c>
      <c r="C287" t="s">
        <v>742</v>
      </c>
      <c r="D287">
        <v>640</v>
      </c>
      <c r="E287">
        <v>295</v>
      </c>
      <c r="F287" s="553">
        <v>212</v>
      </c>
      <c r="G287" t="s">
        <v>653</v>
      </c>
      <c r="H287" s="554">
        <v>0.89</v>
      </c>
      <c r="I287" s="553">
        <v>215</v>
      </c>
      <c r="J287" t="s">
        <v>663</v>
      </c>
      <c r="K287" s="554">
        <v>0.03</v>
      </c>
      <c r="L287" s="553">
        <v>177</v>
      </c>
    </row>
    <row r="288" spans="2:12">
      <c r="B288" t="s">
        <v>662</v>
      </c>
      <c r="C288" t="s">
        <v>779</v>
      </c>
      <c r="D288">
        <v>624</v>
      </c>
      <c r="E288">
        <v>187</v>
      </c>
      <c r="F288" s="553">
        <v>211</v>
      </c>
      <c r="G288" t="s">
        <v>645</v>
      </c>
      <c r="H288" s="554">
        <v>0.85</v>
      </c>
      <c r="I288" s="553">
        <v>215</v>
      </c>
      <c r="J288" t="s">
        <v>663</v>
      </c>
      <c r="K288" s="554">
        <v>0.04</v>
      </c>
      <c r="L288" s="553">
        <v>183</v>
      </c>
    </row>
    <row r="289" spans="2:12">
      <c r="B289" t="s">
        <v>721</v>
      </c>
      <c r="C289" t="s">
        <v>785</v>
      </c>
      <c r="D289">
        <v>646</v>
      </c>
      <c r="E289">
        <v>180</v>
      </c>
      <c r="F289" s="553">
        <v>209</v>
      </c>
      <c r="G289" t="s">
        <v>653</v>
      </c>
      <c r="H289" s="554">
        <v>0.93</v>
      </c>
      <c r="I289" s="553">
        <v>212</v>
      </c>
      <c r="J289" t="s">
        <v>644</v>
      </c>
      <c r="K289" s="554">
        <v>0.05</v>
      </c>
      <c r="L289" s="553">
        <v>166</v>
      </c>
    </row>
    <row r="290" spans="2:12">
      <c r="B290" t="s">
        <v>649</v>
      </c>
      <c r="C290" t="s">
        <v>699</v>
      </c>
      <c r="D290">
        <v>625</v>
      </c>
      <c r="E290" s="555">
        <v>1082</v>
      </c>
      <c r="F290" s="553">
        <v>207</v>
      </c>
      <c r="G290" t="s">
        <v>653</v>
      </c>
      <c r="H290" s="554">
        <v>0.48</v>
      </c>
      <c r="I290" s="553">
        <v>206</v>
      </c>
      <c r="J290" t="s">
        <v>647</v>
      </c>
      <c r="K290" s="554">
        <v>0.34</v>
      </c>
      <c r="L290" s="553">
        <v>204</v>
      </c>
    </row>
    <row r="291" spans="2:12">
      <c r="B291" t="s">
        <v>703</v>
      </c>
      <c r="C291" t="s">
        <v>786</v>
      </c>
      <c r="D291">
        <v>626</v>
      </c>
      <c r="E291">
        <v>840</v>
      </c>
      <c r="F291" s="553">
        <v>203</v>
      </c>
      <c r="G291" t="s">
        <v>653</v>
      </c>
      <c r="H291" s="554">
        <v>0.61</v>
      </c>
      <c r="I291" s="553">
        <v>222</v>
      </c>
      <c r="J291" t="s">
        <v>644</v>
      </c>
      <c r="K291" s="554">
        <v>0.13</v>
      </c>
      <c r="L291" s="553">
        <v>181</v>
      </c>
    </row>
    <row r="293" spans="2:12">
      <c r="B293" s="552" t="s">
        <v>783</v>
      </c>
    </row>
    <row r="294" spans="2:12">
      <c r="B294" t="s">
        <v>649</v>
      </c>
      <c r="C294" t="s">
        <v>680</v>
      </c>
      <c r="D294">
        <v>632</v>
      </c>
      <c r="E294" s="555">
        <v>1098</v>
      </c>
      <c r="F294" s="553">
        <v>196</v>
      </c>
      <c r="G294" t="s">
        <v>653</v>
      </c>
      <c r="H294" s="554">
        <v>0.76</v>
      </c>
      <c r="I294" s="553">
        <v>201</v>
      </c>
      <c r="J294" t="s">
        <v>647</v>
      </c>
      <c r="K294" s="554">
        <v>0.17</v>
      </c>
      <c r="L294" s="553">
        <v>171</v>
      </c>
    </row>
    <row r="295" spans="2:12">
      <c r="B295" t="s">
        <v>640</v>
      </c>
      <c r="C295" t="s">
        <v>737</v>
      </c>
      <c r="D295">
        <v>630</v>
      </c>
      <c r="E295">
        <v>702</v>
      </c>
      <c r="F295" s="553">
        <v>190</v>
      </c>
      <c r="G295" t="s">
        <v>653</v>
      </c>
      <c r="H295" s="554">
        <v>0.66</v>
      </c>
      <c r="I295" s="553">
        <v>199</v>
      </c>
      <c r="J295" t="s">
        <v>638</v>
      </c>
      <c r="K295" s="554">
        <v>0.27</v>
      </c>
      <c r="L295" s="553">
        <v>168</v>
      </c>
    </row>
    <row r="296" spans="2:12">
      <c r="B296" t="s">
        <v>680</v>
      </c>
      <c r="C296" t="s">
        <v>731</v>
      </c>
      <c r="D296">
        <v>629</v>
      </c>
      <c r="E296">
        <v>318</v>
      </c>
      <c r="F296" s="553">
        <v>183</v>
      </c>
      <c r="G296" t="s">
        <v>653</v>
      </c>
      <c r="H296" s="554">
        <v>0.84</v>
      </c>
      <c r="I296" s="553">
        <v>189</v>
      </c>
      <c r="J296" t="s">
        <v>659</v>
      </c>
      <c r="K296" s="554">
        <v>0.05</v>
      </c>
      <c r="L296" s="553">
        <v>81</v>
      </c>
    </row>
    <row r="297" spans="2:12">
      <c r="B297" t="s">
        <v>716</v>
      </c>
      <c r="C297" t="s">
        <v>661</v>
      </c>
      <c r="D297">
        <v>619</v>
      </c>
      <c r="E297">
        <v>197</v>
      </c>
      <c r="F297" s="553">
        <v>182</v>
      </c>
      <c r="G297" t="s">
        <v>1459</v>
      </c>
      <c r="H297" s="554">
        <v>0.65</v>
      </c>
      <c r="I297" s="553">
        <v>195</v>
      </c>
      <c r="J297" t="s">
        <v>655</v>
      </c>
      <c r="K297" s="554">
        <v>0.14000000000000001</v>
      </c>
      <c r="L297" s="553">
        <v>86</v>
      </c>
    </row>
    <row r="298" spans="2:12">
      <c r="B298" t="s">
        <v>662</v>
      </c>
      <c r="C298" t="s">
        <v>781</v>
      </c>
      <c r="D298">
        <v>641</v>
      </c>
      <c r="E298">
        <v>523</v>
      </c>
      <c r="F298" s="553">
        <v>181</v>
      </c>
      <c r="G298" t="s">
        <v>645</v>
      </c>
      <c r="H298" s="554">
        <v>0.79</v>
      </c>
      <c r="I298" s="553">
        <v>184</v>
      </c>
      <c r="J298" t="s">
        <v>663</v>
      </c>
      <c r="K298" s="554">
        <v>0.18</v>
      </c>
      <c r="L298" s="553">
        <v>165</v>
      </c>
    </row>
    <row r="299" spans="2:12">
      <c r="B299" t="s">
        <v>734</v>
      </c>
      <c r="C299" t="s">
        <v>684</v>
      </c>
      <c r="D299">
        <v>649</v>
      </c>
      <c r="E299">
        <v>219</v>
      </c>
      <c r="F299" s="553">
        <v>179</v>
      </c>
      <c r="G299" t="s">
        <v>1459</v>
      </c>
      <c r="H299" s="554">
        <v>0.63</v>
      </c>
      <c r="I299" s="553">
        <v>178</v>
      </c>
      <c r="J299" t="s">
        <v>652</v>
      </c>
      <c r="K299" s="554">
        <v>0.17</v>
      </c>
      <c r="L299" s="553">
        <v>177</v>
      </c>
    </row>
    <row r="300" spans="2:12">
      <c r="B300" t="s">
        <v>661</v>
      </c>
      <c r="C300" t="s">
        <v>731</v>
      </c>
      <c r="D300">
        <v>650</v>
      </c>
      <c r="E300">
        <v>222</v>
      </c>
      <c r="F300" s="553">
        <v>177</v>
      </c>
      <c r="G300" t="s">
        <v>1459</v>
      </c>
      <c r="H300" s="554">
        <v>0.73</v>
      </c>
      <c r="I300" s="553">
        <v>177</v>
      </c>
      <c r="J300" t="s">
        <v>644</v>
      </c>
      <c r="K300" s="554">
        <v>0.21</v>
      </c>
      <c r="L300" s="553">
        <v>170</v>
      </c>
    </row>
    <row r="301" spans="2:12">
      <c r="B301" t="s">
        <v>690</v>
      </c>
      <c r="C301" t="s">
        <v>702</v>
      </c>
      <c r="D301">
        <v>641</v>
      </c>
      <c r="E301">
        <v>550</v>
      </c>
      <c r="F301" s="553">
        <v>177</v>
      </c>
      <c r="G301" t="s">
        <v>1459</v>
      </c>
      <c r="H301" s="554">
        <v>0.76</v>
      </c>
      <c r="I301" s="553">
        <v>168</v>
      </c>
      <c r="J301" t="s">
        <v>663</v>
      </c>
      <c r="K301" s="554">
        <v>0.76</v>
      </c>
      <c r="L301" s="553">
        <v>168</v>
      </c>
    </row>
    <row r="302" spans="2:12">
      <c r="B302" t="s">
        <v>679</v>
      </c>
      <c r="C302" t="s">
        <v>699</v>
      </c>
      <c r="D302">
        <v>646</v>
      </c>
      <c r="E302">
        <v>995</v>
      </c>
      <c r="F302" s="553">
        <v>175</v>
      </c>
      <c r="G302" t="s">
        <v>645</v>
      </c>
      <c r="H302" s="554">
        <v>0.4</v>
      </c>
      <c r="I302" s="553">
        <v>184</v>
      </c>
      <c r="J302" t="s">
        <v>663</v>
      </c>
      <c r="K302" s="554">
        <v>0.31</v>
      </c>
      <c r="L302" s="553">
        <v>157</v>
      </c>
    </row>
    <row r="303" spans="2:12">
      <c r="B303" t="s">
        <v>711</v>
      </c>
      <c r="C303" t="s">
        <v>728</v>
      </c>
      <c r="D303">
        <v>601</v>
      </c>
      <c r="E303">
        <v>474</v>
      </c>
      <c r="F303" s="553">
        <v>174</v>
      </c>
      <c r="G303" t="s">
        <v>1459</v>
      </c>
      <c r="H303" s="554">
        <v>0.59</v>
      </c>
      <c r="I303" s="553">
        <v>167</v>
      </c>
      <c r="J303" t="s">
        <v>663</v>
      </c>
      <c r="K303" s="554">
        <v>0.59</v>
      </c>
      <c r="L303" s="553">
        <v>167</v>
      </c>
    </row>
    <row r="304" spans="2:12">
      <c r="B304" t="s">
        <v>679</v>
      </c>
      <c r="C304" t="s">
        <v>715</v>
      </c>
      <c r="D304">
        <v>642</v>
      </c>
      <c r="E304">
        <v>393</v>
      </c>
      <c r="F304" s="553">
        <v>172</v>
      </c>
      <c r="G304" t="s">
        <v>669</v>
      </c>
      <c r="H304" s="554">
        <v>0.4</v>
      </c>
      <c r="I304" s="553">
        <v>184</v>
      </c>
      <c r="J304" t="s">
        <v>663</v>
      </c>
      <c r="K304" s="554">
        <v>0.24</v>
      </c>
      <c r="L304" s="553">
        <v>138</v>
      </c>
    </row>
    <row r="305" spans="2:12">
      <c r="B305" t="s">
        <v>775</v>
      </c>
      <c r="C305" t="s">
        <v>650</v>
      </c>
      <c r="D305">
        <v>633</v>
      </c>
      <c r="E305">
        <v>328</v>
      </c>
      <c r="F305" s="553">
        <v>170</v>
      </c>
      <c r="G305" t="s">
        <v>1460</v>
      </c>
      <c r="H305" s="554">
        <v>0.31</v>
      </c>
      <c r="I305" s="553">
        <v>85</v>
      </c>
      <c r="J305" t="s">
        <v>655</v>
      </c>
      <c r="K305" s="554">
        <v>0.31</v>
      </c>
      <c r="L305" s="553">
        <v>85</v>
      </c>
    </row>
    <row r="306" spans="2:12">
      <c r="B306" t="s">
        <v>695</v>
      </c>
      <c r="C306" t="s">
        <v>773</v>
      </c>
      <c r="D306">
        <v>629</v>
      </c>
      <c r="E306">
        <v>270</v>
      </c>
      <c r="F306" s="553">
        <v>170</v>
      </c>
      <c r="G306" t="s">
        <v>645</v>
      </c>
      <c r="H306" s="554">
        <v>0.88</v>
      </c>
      <c r="I306" s="553">
        <v>171</v>
      </c>
      <c r="J306" t="s">
        <v>668</v>
      </c>
      <c r="K306" s="554">
        <v>0.05</v>
      </c>
      <c r="L306" s="553">
        <v>68</v>
      </c>
    </row>
    <row r="307" spans="2:12">
      <c r="B307" t="s">
        <v>679</v>
      </c>
      <c r="C307" t="s">
        <v>702</v>
      </c>
      <c r="D307">
        <v>621</v>
      </c>
      <c r="E307" s="555">
        <v>3661</v>
      </c>
      <c r="F307" s="553">
        <v>168</v>
      </c>
      <c r="G307" t="s">
        <v>1459</v>
      </c>
      <c r="H307" s="554">
        <v>0.4</v>
      </c>
      <c r="I307" s="553">
        <v>147</v>
      </c>
      <c r="J307" t="s">
        <v>663</v>
      </c>
      <c r="K307" s="554">
        <v>0.4</v>
      </c>
      <c r="L307" s="553">
        <v>147</v>
      </c>
    </row>
    <row r="308" spans="2:12">
      <c r="B308" t="s">
        <v>737</v>
      </c>
      <c r="C308" t="s">
        <v>710</v>
      </c>
      <c r="D308">
        <v>626</v>
      </c>
      <c r="E308">
        <v>991</v>
      </c>
      <c r="F308" s="553">
        <v>166</v>
      </c>
      <c r="G308" t="s">
        <v>653</v>
      </c>
      <c r="H308" s="554">
        <v>0.7</v>
      </c>
      <c r="I308" s="553">
        <v>175</v>
      </c>
      <c r="J308" t="s">
        <v>663</v>
      </c>
      <c r="K308" s="554">
        <v>0.19</v>
      </c>
      <c r="L308" s="553">
        <v>142</v>
      </c>
    </row>
    <row r="309" spans="2:12">
      <c r="B309" t="s">
        <v>681</v>
      </c>
      <c r="C309" t="s">
        <v>686</v>
      </c>
      <c r="D309">
        <v>612</v>
      </c>
      <c r="E309">
        <v>596</v>
      </c>
      <c r="F309" s="553">
        <v>166</v>
      </c>
      <c r="G309" t="s">
        <v>1459</v>
      </c>
      <c r="H309" s="554">
        <v>0.73</v>
      </c>
      <c r="I309" s="553">
        <v>167</v>
      </c>
      <c r="J309" t="s">
        <v>655</v>
      </c>
      <c r="K309" s="554">
        <v>0.08</v>
      </c>
      <c r="L309" s="553">
        <v>82</v>
      </c>
    </row>
    <row r="310" spans="2:12">
      <c r="B310" t="s">
        <v>722</v>
      </c>
      <c r="C310" t="s">
        <v>733</v>
      </c>
      <c r="D310">
        <v>639</v>
      </c>
      <c r="E310">
        <v>327</v>
      </c>
      <c r="F310" s="553">
        <v>166</v>
      </c>
      <c r="G310" t="s">
        <v>1459</v>
      </c>
      <c r="H310" s="554">
        <v>0.54</v>
      </c>
      <c r="I310" s="553">
        <v>158</v>
      </c>
      <c r="J310" t="s">
        <v>663</v>
      </c>
      <c r="K310" s="554">
        <v>0.54</v>
      </c>
      <c r="L310" s="553">
        <v>158</v>
      </c>
    </row>
    <row r="311" spans="2:12">
      <c r="B311" t="s">
        <v>662</v>
      </c>
      <c r="C311" t="s">
        <v>681</v>
      </c>
      <c r="D311">
        <v>631</v>
      </c>
      <c r="E311" s="555">
        <v>1250</v>
      </c>
      <c r="F311" s="553">
        <v>166</v>
      </c>
      <c r="G311" t="s">
        <v>645</v>
      </c>
      <c r="H311" s="554">
        <v>0.53</v>
      </c>
      <c r="I311" s="553">
        <v>174</v>
      </c>
      <c r="J311" t="s">
        <v>663</v>
      </c>
      <c r="K311" s="554">
        <v>0.44</v>
      </c>
      <c r="L311" s="553">
        <v>157</v>
      </c>
    </row>
    <row r="312" spans="2:12">
      <c r="B312" t="s">
        <v>712</v>
      </c>
      <c r="C312" t="s">
        <v>640</v>
      </c>
      <c r="D312">
        <v>626</v>
      </c>
      <c r="E312">
        <v>206</v>
      </c>
      <c r="F312" s="553">
        <v>165</v>
      </c>
      <c r="G312" t="s">
        <v>639</v>
      </c>
      <c r="H312" s="554">
        <v>0.88</v>
      </c>
      <c r="I312" s="553">
        <v>161</v>
      </c>
      <c r="J312" t="s">
        <v>638</v>
      </c>
      <c r="K312" s="554">
        <v>0.88</v>
      </c>
      <c r="L312" s="553">
        <v>161</v>
      </c>
    </row>
    <row r="313" spans="2:12">
      <c r="B313" t="s">
        <v>673</v>
      </c>
      <c r="C313" t="s">
        <v>685</v>
      </c>
      <c r="D313">
        <v>650</v>
      </c>
      <c r="E313" s="555">
        <v>1209</v>
      </c>
      <c r="F313" s="553">
        <v>161</v>
      </c>
      <c r="G313" t="s">
        <v>645</v>
      </c>
      <c r="H313" s="554">
        <v>0.92</v>
      </c>
      <c r="I313" s="553">
        <v>162</v>
      </c>
      <c r="J313" t="s">
        <v>659</v>
      </c>
      <c r="K313" s="554">
        <v>0.04</v>
      </c>
      <c r="L313" s="553">
        <v>99</v>
      </c>
    </row>
    <row r="314" spans="2:12">
      <c r="B314" t="s">
        <v>751</v>
      </c>
      <c r="C314" t="s">
        <v>704</v>
      </c>
      <c r="D314">
        <v>634</v>
      </c>
      <c r="E314">
        <v>196</v>
      </c>
      <c r="F314" s="553">
        <v>160</v>
      </c>
      <c r="G314" t="s">
        <v>1459</v>
      </c>
      <c r="H314" s="554">
        <v>0.9</v>
      </c>
      <c r="I314" s="553">
        <v>157</v>
      </c>
      <c r="J314" t="s">
        <v>663</v>
      </c>
      <c r="K314" s="554">
        <v>0.9</v>
      </c>
      <c r="L314" s="553">
        <v>157</v>
      </c>
    </row>
    <row r="315" spans="2:12">
      <c r="B315" t="s">
        <v>709</v>
      </c>
      <c r="C315" t="s">
        <v>722</v>
      </c>
      <c r="D315">
        <v>649</v>
      </c>
      <c r="E315">
        <v>396</v>
      </c>
      <c r="F315" s="553">
        <v>153</v>
      </c>
      <c r="G315" t="s">
        <v>669</v>
      </c>
      <c r="H315" s="554">
        <v>0.53</v>
      </c>
      <c r="I315" s="553">
        <v>160</v>
      </c>
      <c r="J315" t="s">
        <v>663</v>
      </c>
      <c r="K315" s="554">
        <v>0.4</v>
      </c>
      <c r="L315" s="553">
        <v>143</v>
      </c>
    </row>
    <row r="316" spans="2:12">
      <c r="B316" t="s">
        <v>681</v>
      </c>
      <c r="C316" t="s">
        <v>667</v>
      </c>
      <c r="D316">
        <v>616</v>
      </c>
      <c r="E316">
        <v>960</v>
      </c>
      <c r="F316" s="553">
        <v>148</v>
      </c>
      <c r="G316" t="s">
        <v>1459</v>
      </c>
      <c r="H316" s="554">
        <v>0.79</v>
      </c>
      <c r="I316" s="553">
        <v>150</v>
      </c>
      <c r="J316" t="s">
        <v>668</v>
      </c>
      <c r="K316" s="554">
        <v>0.03</v>
      </c>
      <c r="L316" s="553">
        <v>79</v>
      </c>
    </row>
    <row r="317" spans="2:12">
      <c r="B317" t="s">
        <v>780</v>
      </c>
      <c r="C317" t="s">
        <v>662</v>
      </c>
      <c r="D317">
        <v>602</v>
      </c>
      <c r="E317">
        <v>537</v>
      </c>
      <c r="F317" s="553">
        <v>143</v>
      </c>
      <c r="G317" t="s">
        <v>645</v>
      </c>
      <c r="H317" s="554">
        <v>0.63</v>
      </c>
      <c r="I317" s="553">
        <v>154</v>
      </c>
      <c r="J317" t="s">
        <v>663</v>
      </c>
      <c r="K317" s="554">
        <v>0.36</v>
      </c>
      <c r="L317" s="553">
        <v>123</v>
      </c>
    </row>
    <row r="318" spans="2:12">
      <c r="B318" t="s">
        <v>662</v>
      </c>
      <c r="C318" t="s">
        <v>768</v>
      </c>
      <c r="D318">
        <v>604</v>
      </c>
      <c r="E318">
        <v>445</v>
      </c>
      <c r="F318" s="553">
        <v>142</v>
      </c>
      <c r="G318" t="s">
        <v>645</v>
      </c>
      <c r="H318" s="554">
        <v>0.55000000000000004</v>
      </c>
      <c r="I318" s="553">
        <v>156</v>
      </c>
      <c r="J318" t="s">
        <v>663</v>
      </c>
      <c r="K318" s="554">
        <v>0.34</v>
      </c>
      <c r="L318" s="553">
        <v>130</v>
      </c>
    </row>
    <row r="319" spans="2:12">
      <c r="B319" t="s">
        <v>722</v>
      </c>
      <c r="C319" t="s">
        <v>687</v>
      </c>
      <c r="D319">
        <v>628</v>
      </c>
      <c r="E319" s="555">
        <v>2121</v>
      </c>
      <c r="F319" s="553">
        <v>138</v>
      </c>
      <c r="G319" t="s">
        <v>1459</v>
      </c>
      <c r="H319" s="554">
        <v>0.5</v>
      </c>
      <c r="I319" s="553">
        <v>142</v>
      </c>
      <c r="J319" t="s">
        <v>668</v>
      </c>
      <c r="K319" s="554">
        <v>0.16</v>
      </c>
      <c r="L319" s="553">
        <v>91</v>
      </c>
    </row>
    <row r="320" spans="2:12">
      <c r="B320" t="s">
        <v>711</v>
      </c>
      <c r="C320" t="s">
        <v>734</v>
      </c>
      <c r="D320">
        <v>647</v>
      </c>
      <c r="E320">
        <v>989</v>
      </c>
      <c r="F320" s="553">
        <v>137</v>
      </c>
      <c r="G320" t="s">
        <v>1459</v>
      </c>
      <c r="H320" s="554">
        <v>0.7</v>
      </c>
      <c r="I320" s="553">
        <v>137</v>
      </c>
      <c r="J320" t="s">
        <v>663</v>
      </c>
      <c r="K320" s="554">
        <v>0.7</v>
      </c>
      <c r="L320" s="553">
        <v>137</v>
      </c>
    </row>
    <row r="321" spans="2:12">
      <c r="B321" t="s">
        <v>721</v>
      </c>
      <c r="C321" t="s">
        <v>679</v>
      </c>
      <c r="D321">
        <v>606</v>
      </c>
      <c r="E321" s="555">
        <v>3577</v>
      </c>
      <c r="F321" s="553">
        <v>137</v>
      </c>
      <c r="G321" t="s">
        <v>653</v>
      </c>
      <c r="H321" s="554">
        <v>0.45</v>
      </c>
      <c r="I321" s="553">
        <v>145</v>
      </c>
      <c r="J321" t="s">
        <v>663</v>
      </c>
      <c r="K321" s="554">
        <v>0.25</v>
      </c>
      <c r="L321" s="553">
        <v>129</v>
      </c>
    </row>
    <row r="322" spans="2:12">
      <c r="B322" t="s">
        <v>681</v>
      </c>
      <c r="C322" t="s">
        <v>755</v>
      </c>
      <c r="D322">
        <v>648</v>
      </c>
      <c r="E322">
        <v>183</v>
      </c>
      <c r="F322" s="553">
        <v>134</v>
      </c>
      <c r="G322" t="s">
        <v>1459</v>
      </c>
      <c r="H322" s="554">
        <v>0.84</v>
      </c>
      <c r="I322" s="553">
        <v>131</v>
      </c>
      <c r="J322" t="s">
        <v>655</v>
      </c>
      <c r="K322" s="554">
        <v>0.05</v>
      </c>
      <c r="L322" s="553">
        <v>73</v>
      </c>
    </row>
    <row r="323" spans="2:12">
      <c r="B323" t="s">
        <v>722</v>
      </c>
      <c r="C323" t="s">
        <v>711</v>
      </c>
      <c r="D323">
        <v>602</v>
      </c>
      <c r="E323" s="555">
        <v>2449</v>
      </c>
      <c r="F323" s="553">
        <v>129</v>
      </c>
      <c r="G323" t="s">
        <v>1459</v>
      </c>
      <c r="H323" s="554">
        <v>0.51</v>
      </c>
      <c r="I323" s="553">
        <v>133</v>
      </c>
      <c r="J323" t="s">
        <v>644</v>
      </c>
      <c r="K323" s="554">
        <v>0.21</v>
      </c>
      <c r="L323" s="553">
        <v>121</v>
      </c>
    </row>
    <row r="324" spans="2:12">
      <c r="B324" t="s">
        <v>680</v>
      </c>
      <c r="C324" t="s">
        <v>736</v>
      </c>
      <c r="D324">
        <v>636</v>
      </c>
      <c r="E324">
        <v>353</v>
      </c>
      <c r="F324" s="553">
        <v>129</v>
      </c>
      <c r="G324" t="s">
        <v>660</v>
      </c>
      <c r="H324" s="554">
        <v>0.5</v>
      </c>
      <c r="I324" s="553">
        <v>79</v>
      </c>
      <c r="J324" t="s">
        <v>659</v>
      </c>
      <c r="K324" s="554">
        <v>0.5</v>
      </c>
      <c r="L324" s="553">
        <v>79</v>
      </c>
    </row>
    <row r="325" spans="2:12">
      <c r="B325" t="s">
        <v>734</v>
      </c>
      <c r="C325" t="s">
        <v>641</v>
      </c>
      <c r="D325">
        <v>605</v>
      </c>
      <c r="E325" s="555">
        <v>1514</v>
      </c>
      <c r="F325" s="553">
        <v>124</v>
      </c>
      <c r="G325" t="s">
        <v>639</v>
      </c>
      <c r="H325" s="554">
        <v>0.48</v>
      </c>
      <c r="I325" s="553">
        <v>127</v>
      </c>
      <c r="J325" t="s">
        <v>663</v>
      </c>
      <c r="K325" s="554">
        <v>0.37</v>
      </c>
      <c r="L325" s="553">
        <v>115</v>
      </c>
    </row>
    <row r="326" spans="2:12">
      <c r="B326" t="s">
        <v>736</v>
      </c>
      <c r="C326" t="s">
        <v>650</v>
      </c>
      <c r="D326">
        <v>601</v>
      </c>
      <c r="E326" s="555">
        <v>1001</v>
      </c>
      <c r="F326" s="553">
        <v>117</v>
      </c>
      <c r="G326" t="s">
        <v>660</v>
      </c>
      <c r="H326" s="554">
        <v>0.37</v>
      </c>
      <c r="I326" s="553">
        <v>88</v>
      </c>
      <c r="J326" t="s">
        <v>655</v>
      </c>
      <c r="K326" s="554">
        <v>0.11</v>
      </c>
      <c r="L326" s="553">
        <v>78</v>
      </c>
    </row>
    <row r="327" spans="2:12">
      <c r="B327" t="s">
        <v>780</v>
      </c>
      <c r="C327" t="s">
        <v>687</v>
      </c>
      <c r="D327">
        <v>604</v>
      </c>
      <c r="E327">
        <v>313</v>
      </c>
      <c r="F327" s="553">
        <v>116</v>
      </c>
      <c r="G327" t="s">
        <v>1459</v>
      </c>
      <c r="H327" s="554">
        <v>0.56000000000000005</v>
      </c>
      <c r="I327" s="553">
        <v>128</v>
      </c>
      <c r="J327" t="s">
        <v>668</v>
      </c>
      <c r="K327" s="554">
        <v>0.38</v>
      </c>
      <c r="L327" s="553">
        <v>83</v>
      </c>
    </row>
    <row r="328" spans="2:12">
      <c r="F328" s="553"/>
      <c r="H328" s="554"/>
      <c r="I328" s="553"/>
      <c r="K328" s="554"/>
      <c r="L328" s="553"/>
    </row>
    <row r="329" spans="2:12">
      <c r="B329" s="552" t="s">
        <v>787</v>
      </c>
    </row>
    <row r="330" spans="2:12">
      <c r="B330" t="s">
        <v>719</v>
      </c>
      <c r="C330" t="s">
        <v>691</v>
      </c>
      <c r="D330">
        <v>657</v>
      </c>
      <c r="E330">
        <v>285</v>
      </c>
      <c r="F330" s="553">
        <v>244</v>
      </c>
      <c r="G330" t="s">
        <v>653</v>
      </c>
      <c r="H330" s="554">
        <v>0.82</v>
      </c>
      <c r="I330" s="553">
        <v>253</v>
      </c>
      <c r="J330" t="s">
        <v>663</v>
      </c>
      <c r="K330" s="554">
        <v>0.05</v>
      </c>
      <c r="L330" s="553">
        <v>177</v>
      </c>
    </row>
    <row r="331" spans="2:12">
      <c r="B331" t="s">
        <v>650</v>
      </c>
      <c r="C331" t="s">
        <v>788</v>
      </c>
      <c r="D331">
        <v>690</v>
      </c>
      <c r="E331">
        <v>178</v>
      </c>
      <c r="F331" s="553">
        <v>243</v>
      </c>
      <c r="G331" t="s">
        <v>645</v>
      </c>
      <c r="H331" s="554">
        <v>0.41</v>
      </c>
      <c r="I331" s="553">
        <v>212</v>
      </c>
      <c r="J331" t="s">
        <v>644</v>
      </c>
      <c r="K331" s="554">
        <v>0.41</v>
      </c>
      <c r="L331" s="553">
        <v>212</v>
      </c>
    </row>
    <row r="332" spans="2:12">
      <c r="B332" t="s">
        <v>690</v>
      </c>
      <c r="C332" t="s">
        <v>695</v>
      </c>
      <c r="D332">
        <v>690</v>
      </c>
      <c r="E332">
        <v>221</v>
      </c>
      <c r="F332" s="553">
        <v>233</v>
      </c>
      <c r="G332" t="s">
        <v>645</v>
      </c>
      <c r="H332" s="554">
        <v>0.85</v>
      </c>
      <c r="I332" s="553">
        <v>233</v>
      </c>
      <c r="J332" t="s">
        <v>652</v>
      </c>
      <c r="K332" s="554">
        <v>0.11</v>
      </c>
      <c r="L332" s="553">
        <v>232</v>
      </c>
    </row>
    <row r="333" spans="2:12">
      <c r="B333" t="s">
        <v>766</v>
      </c>
      <c r="C333" t="s">
        <v>702</v>
      </c>
      <c r="D333">
        <v>682</v>
      </c>
      <c r="E333">
        <v>245</v>
      </c>
      <c r="F333" s="553">
        <v>220</v>
      </c>
      <c r="G333" t="s">
        <v>645</v>
      </c>
      <c r="H333" s="554">
        <v>0.5</v>
      </c>
      <c r="I333" s="553">
        <v>224</v>
      </c>
      <c r="J333" t="s">
        <v>663</v>
      </c>
      <c r="K333" s="554">
        <v>0.17</v>
      </c>
      <c r="L333" s="553">
        <v>174</v>
      </c>
    </row>
    <row r="334" spans="2:12">
      <c r="B334" t="s">
        <v>673</v>
      </c>
      <c r="C334" t="s">
        <v>690</v>
      </c>
      <c r="D334">
        <v>651</v>
      </c>
      <c r="E334">
        <v>222</v>
      </c>
      <c r="F334" s="553">
        <v>210</v>
      </c>
      <c r="G334" t="s">
        <v>645</v>
      </c>
      <c r="H334" s="554">
        <v>0.83</v>
      </c>
      <c r="I334" s="553">
        <v>214</v>
      </c>
      <c r="J334" t="s">
        <v>652</v>
      </c>
      <c r="K334" s="554">
        <v>0.14000000000000001</v>
      </c>
      <c r="L334" s="553">
        <v>195</v>
      </c>
    </row>
    <row r="335" spans="2:12">
      <c r="B335" t="s">
        <v>742</v>
      </c>
      <c r="C335" t="s">
        <v>786</v>
      </c>
      <c r="D335">
        <v>656</v>
      </c>
      <c r="E335">
        <v>264</v>
      </c>
      <c r="F335" s="553">
        <v>210</v>
      </c>
      <c r="G335" t="s">
        <v>653</v>
      </c>
      <c r="H335" s="554">
        <v>0.37</v>
      </c>
      <c r="I335" s="553">
        <v>247</v>
      </c>
      <c r="J335" t="s">
        <v>655</v>
      </c>
      <c r="K335" s="554">
        <v>0.14000000000000001</v>
      </c>
      <c r="L335" s="553">
        <v>82</v>
      </c>
    </row>
    <row r="337" spans="2:12">
      <c r="B337" s="552" t="s">
        <v>787</v>
      </c>
    </row>
    <row r="338" spans="2:12">
      <c r="B338" t="s">
        <v>706</v>
      </c>
      <c r="C338" t="s">
        <v>650</v>
      </c>
      <c r="D338">
        <v>699</v>
      </c>
      <c r="E338">
        <v>345</v>
      </c>
      <c r="F338" s="553">
        <v>210</v>
      </c>
      <c r="G338" t="s">
        <v>653</v>
      </c>
      <c r="H338" s="554">
        <v>0.56000000000000005</v>
      </c>
      <c r="I338" s="553">
        <v>213</v>
      </c>
      <c r="J338" t="s">
        <v>644</v>
      </c>
      <c r="K338" s="554">
        <v>0.24</v>
      </c>
      <c r="L338" s="553">
        <v>202</v>
      </c>
    </row>
    <row r="339" spans="2:12">
      <c r="B339" t="s">
        <v>764</v>
      </c>
      <c r="C339" t="s">
        <v>650</v>
      </c>
      <c r="D339">
        <v>684</v>
      </c>
      <c r="E339">
        <v>240</v>
      </c>
      <c r="F339" s="553">
        <v>209</v>
      </c>
      <c r="G339" t="s">
        <v>1460</v>
      </c>
      <c r="H339" s="554">
        <v>0.36</v>
      </c>
      <c r="I339" s="553">
        <v>99</v>
      </c>
      <c r="J339" t="s">
        <v>655</v>
      </c>
      <c r="K339" s="554">
        <v>0.36</v>
      </c>
      <c r="L339" s="553">
        <v>99</v>
      </c>
    </row>
    <row r="340" spans="2:12">
      <c r="B340" t="s">
        <v>766</v>
      </c>
      <c r="C340" t="s">
        <v>685</v>
      </c>
      <c r="D340">
        <v>661</v>
      </c>
      <c r="E340">
        <v>186</v>
      </c>
      <c r="F340" s="553">
        <v>190</v>
      </c>
      <c r="G340" t="s">
        <v>645</v>
      </c>
      <c r="H340" s="554">
        <v>0.6</v>
      </c>
      <c r="I340" s="553">
        <v>184</v>
      </c>
      <c r="J340" t="s">
        <v>644</v>
      </c>
      <c r="K340" s="554">
        <v>0.6</v>
      </c>
      <c r="L340" s="553">
        <v>184</v>
      </c>
    </row>
    <row r="341" spans="2:12">
      <c r="B341" t="s">
        <v>699</v>
      </c>
      <c r="C341" t="s">
        <v>704</v>
      </c>
      <c r="D341">
        <v>667</v>
      </c>
      <c r="E341">
        <v>216</v>
      </c>
      <c r="F341" s="553">
        <v>189</v>
      </c>
      <c r="G341" t="s">
        <v>1459</v>
      </c>
      <c r="H341" s="554">
        <v>0.67</v>
      </c>
      <c r="I341" s="553">
        <v>184</v>
      </c>
      <c r="J341" t="s">
        <v>663</v>
      </c>
      <c r="K341" s="554">
        <v>0.67</v>
      </c>
      <c r="L341" s="553">
        <v>184</v>
      </c>
    </row>
    <row r="342" spans="2:12">
      <c r="B342" t="s">
        <v>673</v>
      </c>
      <c r="C342" t="s">
        <v>729</v>
      </c>
      <c r="D342">
        <v>651</v>
      </c>
      <c r="E342">
        <v>235</v>
      </c>
      <c r="F342" s="553">
        <v>188</v>
      </c>
      <c r="G342" t="s">
        <v>645</v>
      </c>
      <c r="H342" s="554">
        <v>0.82</v>
      </c>
      <c r="I342" s="553">
        <v>191</v>
      </c>
      <c r="J342" t="s">
        <v>652</v>
      </c>
      <c r="K342" s="554">
        <v>0.11</v>
      </c>
      <c r="L342" s="553">
        <v>183</v>
      </c>
    </row>
    <row r="343" spans="2:12">
      <c r="B343" t="s">
        <v>692</v>
      </c>
      <c r="C343" t="s">
        <v>680</v>
      </c>
      <c r="D343">
        <v>667</v>
      </c>
      <c r="E343">
        <v>199</v>
      </c>
      <c r="F343" s="553">
        <v>187</v>
      </c>
      <c r="G343" t="s">
        <v>653</v>
      </c>
      <c r="H343" s="554">
        <v>0.78</v>
      </c>
      <c r="I343" s="553">
        <v>197</v>
      </c>
      <c r="J343" t="s">
        <v>644</v>
      </c>
      <c r="K343" s="554">
        <v>0.12</v>
      </c>
      <c r="L343" s="553">
        <v>152</v>
      </c>
    </row>
    <row r="344" spans="2:12">
      <c r="B344" t="s">
        <v>681</v>
      </c>
      <c r="C344" t="s">
        <v>695</v>
      </c>
      <c r="D344">
        <v>675</v>
      </c>
      <c r="E344">
        <v>822</v>
      </c>
      <c r="F344" s="553">
        <v>185</v>
      </c>
      <c r="G344" t="s">
        <v>645</v>
      </c>
      <c r="H344" s="554">
        <v>0.59</v>
      </c>
      <c r="I344" s="553">
        <v>202</v>
      </c>
      <c r="J344" t="s">
        <v>663</v>
      </c>
      <c r="K344" s="554">
        <v>0.28999999999999998</v>
      </c>
      <c r="L344" s="553">
        <v>173</v>
      </c>
    </row>
    <row r="345" spans="2:12">
      <c r="B345" t="s">
        <v>726</v>
      </c>
      <c r="C345" t="s">
        <v>678</v>
      </c>
      <c r="D345">
        <v>677</v>
      </c>
      <c r="E345">
        <v>408</v>
      </c>
      <c r="F345" s="553">
        <v>185</v>
      </c>
      <c r="G345" t="s">
        <v>1459</v>
      </c>
      <c r="H345" s="554">
        <v>0.57999999999999996</v>
      </c>
      <c r="I345" s="553">
        <v>171</v>
      </c>
      <c r="J345" t="s">
        <v>663</v>
      </c>
      <c r="K345" s="554">
        <v>0.57999999999999996</v>
      </c>
      <c r="L345" s="553">
        <v>171</v>
      </c>
    </row>
    <row r="346" spans="2:12">
      <c r="B346" t="s">
        <v>679</v>
      </c>
      <c r="C346" t="s">
        <v>695</v>
      </c>
      <c r="D346">
        <v>678</v>
      </c>
      <c r="E346" s="555">
        <v>1908</v>
      </c>
      <c r="F346" s="553">
        <v>184</v>
      </c>
      <c r="G346" t="s">
        <v>645</v>
      </c>
      <c r="H346" s="554">
        <v>0.6</v>
      </c>
      <c r="I346" s="553">
        <v>187</v>
      </c>
      <c r="J346" t="s">
        <v>663</v>
      </c>
      <c r="K346" s="554">
        <v>0.17</v>
      </c>
      <c r="L346" s="553">
        <v>176</v>
      </c>
    </row>
    <row r="347" spans="2:12">
      <c r="B347" t="s">
        <v>716</v>
      </c>
      <c r="C347" t="s">
        <v>735</v>
      </c>
      <c r="D347">
        <v>677</v>
      </c>
      <c r="E347">
        <v>754</v>
      </c>
      <c r="F347" s="553">
        <v>183</v>
      </c>
      <c r="G347" t="s">
        <v>1459</v>
      </c>
      <c r="H347" s="554">
        <v>0.34</v>
      </c>
      <c r="I347" s="553">
        <v>180</v>
      </c>
      <c r="J347" t="s">
        <v>663</v>
      </c>
      <c r="K347" s="554">
        <v>0.34</v>
      </c>
      <c r="L347" s="553">
        <v>180</v>
      </c>
    </row>
    <row r="348" spans="2:12">
      <c r="B348" t="s">
        <v>678</v>
      </c>
      <c r="C348" t="s">
        <v>731</v>
      </c>
      <c r="D348">
        <v>666</v>
      </c>
      <c r="E348">
        <v>471</v>
      </c>
      <c r="F348" s="553">
        <v>182</v>
      </c>
      <c r="G348" t="s">
        <v>669</v>
      </c>
      <c r="H348" s="554">
        <v>0.51</v>
      </c>
      <c r="I348" s="553">
        <v>181</v>
      </c>
      <c r="J348" t="s">
        <v>651</v>
      </c>
      <c r="K348" s="554">
        <v>0.51</v>
      </c>
      <c r="L348" s="553">
        <v>181</v>
      </c>
    </row>
    <row r="349" spans="2:12">
      <c r="B349" t="s">
        <v>721</v>
      </c>
      <c r="C349" t="s">
        <v>690</v>
      </c>
      <c r="D349">
        <v>669</v>
      </c>
      <c r="E349">
        <v>541</v>
      </c>
      <c r="F349" s="553">
        <v>181</v>
      </c>
      <c r="G349" t="s">
        <v>653</v>
      </c>
      <c r="H349" s="554">
        <v>0.77</v>
      </c>
      <c r="I349" s="553">
        <v>191</v>
      </c>
      <c r="J349" t="s">
        <v>663</v>
      </c>
      <c r="K349" s="554">
        <v>0.21</v>
      </c>
      <c r="L349" s="553">
        <v>148</v>
      </c>
    </row>
    <row r="350" spans="2:12">
      <c r="B350" t="s">
        <v>679</v>
      </c>
      <c r="C350" t="s">
        <v>746</v>
      </c>
      <c r="D350">
        <v>693</v>
      </c>
      <c r="E350">
        <v>327</v>
      </c>
      <c r="F350" s="553">
        <v>180</v>
      </c>
      <c r="G350" t="s">
        <v>645</v>
      </c>
      <c r="H350" s="554">
        <v>0.38</v>
      </c>
      <c r="I350" s="553">
        <v>185</v>
      </c>
      <c r="J350" t="s">
        <v>663</v>
      </c>
      <c r="K350" s="554">
        <v>0.26</v>
      </c>
      <c r="L350" s="553">
        <v>172</v>
      </c>
    </row>
    <row r="351" spans="2:12">
      <c r="B351" t="s">
        <v>721</v>
      </c>
      <c r="C351" t="s">
        <v>731</v>
      </c>
      <c r="D351">
        <v>692</v>
      </c>
      <c r="E351">
        <v>613</v>
      </c>
      <c r="F351" s="553">
        <v>179</v>
      </c>
      <c r="G351" t="s">
        <v>653</v>
      </c>
      <c r="H351" s="554">
        <v>0.66</v>
      </c>
      <c r="I351" s="553">
        <v>186</v>
      </c>
      <c r="J351" t="s">
        <v>663</v>
      </c>
      <c r="K351" s="554">
        <v>0.31</v>
      </c>
      <c r="L351" s="553">
        <v>164</v>
      </c>
    </row>
    <row r="352" spans="2:12">
      <c r="B352" t="s">
        <v>678</v>
      </c>
      <c r="C352" t="s">
        <v>704</v>
      </c>
      <c r="D352">
        <v>687</v>
      </c>
      <c r="E352">
        <v>623</v>
      </c>
      <c r="F352" s="553">
        <v>176</v>
      </c>
      <c r="G352" t="s">
        <v>1459</v>
      </c>
      <c r="H352" s="554">
        <v>0.59</v>
      </c>
      <c r="I352" s="553">
        <v>166</v>
      </c>
      <c r="J352" t="s">
        <v>663</v>
      </c>
      <c r="K352" s="554">
        <v>0.59</v>
      </c>
      <c r="L352" s="553">
        <v>166</v>
      </c>
    </row>
    <row r="353" spans="2:12">
      <c r="B353" t="s">
        <v>662</v>
      </c>
      <c r="C353" t="s">
        <v>751</v>
      </c>
      <c r="D353">
        <v>685</v>
      </c>
      <c r="E353">
        <v>420</v>
      </c>
      <c r="F353" s="553">
        <v>169</v>
      </c>
      <c r="G353" t="s">
        <v>1459</v>
      </c>
      <c r="H353" s="554">
        <v>0.57999999999999996</v>
      </c>
      <c r="I353" s="553">
        <v>154</v>
      </c>
      <c r="J353" t="s">
        <v>663</v>
      </c>
      <c r="K353" s="554">
        <v>0.57999999999999996</v>
      </c>
      <c r="L353" s="553">
        <v>154</v>
      </c>
    </row>
    <row r="354" spans="2:12">
      <c r="B354" t="s">
        <v>698</v>
      </c>
      <c r="C354" t="s">
        <v>702</v>
      </c>
      <c r="D354">
        <v>663</v>
      </c>
      <c r="E354">
        <v>929</v>
      </c>
      <c r="F354" s="553">
        <v>167</v>
      </c>
      <c r="G354" t="s">
        <v>1459</v>
      </c>
      <c r="H354" s="554">
        <v>0.45</v>
      </c>
      <c r="I354" s="553">
        <v>155</v>
      </c>
      <c r="J354" t="s">
        <v>663</v>
      </c>
      <c r="K354" s="554">
        <v>0.45</v>
      </c>
      <c r="L354" s="553">
        <v>155</v>
      </c>
    </row>
    <row r="355" spans="2:12">
      <c r="B355" t="s">
        <v>678</v>
      </c>
      <c r="C355" t="s">
        <v>681</v>
      </c>
      <c r="D355">
        <v>670</v>
      </c>
      <c r="E355">
        <v>893</v>
      </c>
      <c r="F355" s="553">
        <v>163</v>
      </c>
      <c r="G355" t="s">
        <v>1459</v>
      </c>
      <c r="H355" s="554">
        <v>0.6</v>
      </c>
      <c r="I355" s="553">
        <v>153</v>
      </c>
      <c r="J355" t="s">
        <v>663</v>
      </c>
      <c r="K355" s="554">
        <v>0.6</v>
      </c>
      <c r="L355" s="553">
        <v>153</v>
      </c>
    </row>
    <row r="356" spans="2:12">
      <c r="B356" t="s">
        <v>735</v>
      </c>
      <c r="C356" t="s">
        <v>738</v>
      </c>
      <c r="D356">
        <v>659</v>
      </c>
      <c r="E356">
        <v>265</v>
      </c>
      <c r="F356" s="553">
        <v>161</v>
      </c>
      <c r="G356" t="s">
        <v>639</v>
      </c>
      <c r="H356" s="554">
        <v>0.42</v>
      </c>
      <c r="I356" s="553">
        <v>164</v>
      </c>
      <c r="J356" t="s">
        <v>655</v>
      </c>
      <c r="K356" s="554">
        <v>0.19</v>
      </c>
      <c r="L356" s="553">
        <v>84</v>
      </c>
    </row>
    <row r="357" spans="2:12">
      <c r="B357" t="s">
        <v>691</v>
      </c>
      <c r="C357" t="s">
        <v>681</v>
      </c>
      <c r="D357">
        <v>695</v>
      </c>
      <c r="E357">
        <v>787</v>
      </c>
      <c r="F357" s="553">
        <v>159</v>
      </c>
      <c r="G357" t="s">
        <v>653</v>
      </c>
      <c r="H357" s="554">
        <v>0.56000000000000005</v>
      </c>
      <c r="I357" s="553">
        <v>187</v>
      </c>
      <c r="J357" t="s">
        <v>664</v>
      </c>
      <c r="K357" s="554">
        <v>0.19</v>
      </c>
      <c r="L357" s="553">
        <v>109</v>
      </c>
    </row>
    <row r="358" spans="2:12">
      <c r="B358" t="s">
        <v>692</v>
      </c>
      <c r="C358" t="s">
        <v>650</v>
      </c>
      <c r="D358">
        <v>677</v>
      </c>
      <c r="E358" s="555">
        <v>1565</v>
      </c>
      <c r="F358" s="553">
        <v>158</v>
      </c>
      <c r="G358" t="s">
        <v>1458</v>
      </c>
      <c r="H358" s="554">
        <v>0.44</v>
      </c>
      <c r="I358" s="553">
        <v>138</v>
      </c>
      <c r="J358" t="s">
        <v>647</v>
      </c>
      <c r="K358" s="554">
        <v>0.44</v>
      </c>
      <c r="L358" s="553">
        <v>138</v>
      </c>
    </row>
    <row r="359" spans="2:12">
      <c r="B359" t="s">
        <v>724</v>
      </c>
      <c r="C359" t="s">
        <v>667</v>
      </c>
      <c r="D359">
        <v>684</v>
      </c>
      <c r="E359">
        <v>425</v>
      </c>
      <c r="F359" s="553">
        <v>155</v>
      </c>
      <c r="G359" t="s">
        <v>1459</v>
      </c>
      <c r="H359" s="554">
        <v>0.56999999999999995</v>
      </c>
      <c r="I359" s="553">
        <v>147</v>
      </c>
      <c r="J359" t="s">
        <v>668</v>
      </c>
      <c r="K359" s="554">
        <v>0.11</v>
      </c>
      <c r="L359" s="553">
        <v>79</v>
      </c>
    </row>
    <row r="360" spans="2:12">
      <c r="B360" t="s">
        <v>737</v>
      </c>
      <c r="C360" t="s">
        <v>641</v>
      </c>
      <c r="D360">
        <v>689</v>
      </c>
      <c r="E360" s="555">
        <v>1279</v>
      </c>
      <c r="F360" s="553">
        <v>152</v>
      </c>
      <c r="G360" t="s">
        <v>653</v>
      </c>
      <c r="H360" s="554">
        <v>0.51</v>
      </c>
      <c r="I360" s="553">
        <v>160</v>
      </c>
      <c r="J360" t="s">
        <v>638</v>
      </c>
      <c r="K360" s="554">
        <v>0.46</v>
      </c>
      <c r="L360" s="553">
        <v>143</v>
      </c>
    </row>
    <row r="361" spans="2:12">
      <c r="B361" t="s">
        <v>717</v>
      </c>
      <c r="C361" t="s">
        <v>667</v>
      </c>
      <c r="D361">
        <v>662</v>
      </c>
      <c r="E361">
        <v>390</v>
      </c>
      <c r="F361" s="553">
        <v>150</v>
      </c>
      <c r="G361" t="s">
        <v>1459</v>
      </c>
      <c r="H361" s="554">
        <v>0.49</v>
      </c>
      <c r="I361" s="553">
        <v>150</v>
      </c>
      <c r="J361" t="s">
        <v>668</v>
      </c>
      <c r="K361" s="554">
        <v>0.19</v>
      </c>
      <c r="L361" s="553">
        <v>74</v>
      </c>
    </row>
    <row r="362" spans="2:12">
      <c r="B362" t="s">
        <v>721</v>
      </c>
      <c r="C362" t="s">
        <v>695</v>
      </c>
      <c r="D362">
        <v>666</v>
      </c>
      <c r="E362" s="555">
        <v>1960</v>
      </c>
      <c r="F362" s="553">
        <v>149</v>
      </c>
      <c r="G362" t="s">
        <v>653</v>
      </c>
      <c r="H362" s="554">
        <v>0.46</v>
      </c>
      <c r="I362" s="553">
        <v>170</v>
      </c>
      <c r="J362" t="s">
        <v>668</v>
      </c>
      <c r="K362" s="554">
        <v>0.11</v>
      </c>
      <c r="L362" s="553">
        <v>85</v>
      </c>
    </row>
    <row r="363" spans="2:12">
      <c r="B363" t="s">
        <v>711</v>
      </c>
      <c r="C363" t="s">
        <v>707</v>
      </c>
      <c r="D363">
        <v>668</v>
      </c>
      <c r="E363" s="555">
        <v>2474</v>
      </c>
      <c r="F363" s="553">
        <v>142</v>
      </c>
      <c r="G363" t="s">
        <v>1459</v>
      </c>
      <c r="H363" s="554">
        <v>0.64</v>
      </c>
      <c r="I363" s="553">
        <v>139</v>
      </c>
      <c r="J363" t="s">
        <v>663</v>
      </c>
      <c r="K363" s="554">
        <v>0.64</v>
      </c>
      <c r="L363" s="553">
        <v>139</v>
      </c>
    </row>
    <row r="364" spans="2:12">
      <c r="B364" t="s">
        <v>722</v>
      </c>
      <c r="C364" t="s">
        <v>691</v>
      </c>
      <c r="D364">
        <v>680</v>
      </c>
      <c r="E364" s="555">
        <v>2368</v>
      </c>
      <c r="F364" s="553">
        <v>140</v>
      </c>
      <c r="G364" t="s">
        <v>653</v>
      </c>
      <c r="H364" s="554">
        <v>0.48</v>
      </c>
      <c r="I364" s="553">
        <v>154</v>
      </c>
      <c r="J364" t="s">
        <v>664</v>
      </c>
      <c r="K364" s="554">
        <v>0.15</v>
      </c>
      <c r="L364" s="553">
        <v>105</v>
      </c>
    </row>
    <row r="365" spans="2:12">
      <c r="B365" t="s">
        <v>789</v>
      </c>
      <c r="C365" t="s">
        <v>722</v>
      </c>
      <c r="D365">
        <v>692</v>
      </c>
      <c r="E365">
        <v>246</v>
      </c>
      <c r="F365" s="553">
        <v>140</v>
      </c>
      <c r="G365" t="s">
        <v>669</v>
      </c>
      <c r="H365" s="554">
        <v>0.59</v>
      </c>
      <c r="I365" s="553">
        <v>173</v>
      </c>
      <c r="J365" t="s">
        <v>668</v>
      </c>
      <c r="K365" s="554">
        <v>0.37</v>
      </c>
      <c r="L365" s="553">
        <v>77</v>
      </c>
    </row>
    <row r="366" spans="2:12">
      <c r="B366" t="s">
        <v>721</v>
      </c>
      <c r="C366" t="s">
        <v>678</v>
      </c>
      <c r="D366">
        <v>696</v>
      </c>
      <c r="E366" s="555">
        <v>2270</v>
      </c>
      <c r="F366" s="553">
        <v>139</v>
      </c>
      <c r="G366" t="s">
        <v>653</v>
      </c>
      <c r="H366" s="554">
        <v>0.53</v>
      </c>
      <c r="I366" s="553">
        <v>144</v>
      </c>
      <c r="J366" t="s">
        <v>663</v>
      </c>
      <c r="K366" s="554">
        <v>0.27</v>
      </c>
      <c r="L366" s="553">
        <v>129</v>
      </c>
    </row>
    <row r="367" spans="2:12">
      <c r="B367" t="s">
        <v>662</v>
      </c>
      <c r="C367" t="s">
        <v>722</v>
      </c>
      <c r="D367">
        <v>651</v>
      </c>
      <c r="E367" s="555">
        <v>2937</v>
      </c>
      <c r="F367" s="553">
        <v>134</v>
      </c>
      <c r="G367" t="s">
        <v>645</v>
      </c>
      <c r="H367" s="554">
        <v>0.41</v>
      </c>
      <c r="I367" s="553">
        <v>142</v>
      </c>
      <c r="J367" t="s">
        <v>663</v>
      </c>
      <c r="K367" s="554">
        <v>0.35</v>
      </c>
      <c r="L367" s="553">
        <v>134</v>
      </c>
    </row>
    <row r="368" spans="2:12">
      <c r="B368" t="s">
        <v>707</v>
      </c>
      <c r="C368" t="s">
        <v>641</v>
      </c>
      <c r="D368">
        <v>696</v>
      </c>
      <c r="E368" s="555">
        <v>4816</v>
      </c>
      <c r="F368" s="553">
        <v>134</v>
      </c>
      <c r="G368" t="s">
        <v>639</v>
      </c>
      <c r="H368" s="554">
        <v>0.47</v>
      </c>
      <c r="I368" s="553">
        <v>135</v>
      </c>
      <c r="J368" t="s">
        <v>663</v>
      </c>
      <c r="K368" s="554">
        <v>0.22</v>
      </c>
      <c r="L368" s="553">
        <v>120</v>
      </c>
    </row>
    <row r="369" spans="2:12">
      <c r="B369" t="s">
        <v>685</v>
      </c>
      <c r="C369" t="s">
        <v>699</v>
      </c>
      <c r="D369">
        <v>700</v>
      </c>
      <c r="E369" s="555">
        <v>1019</v>
      </c>
      <c r="F369" s="553">
        <v>134</v>
      </c>
      <c r="G369" t="s">
        <v>653</v>
      </c>
      <c r="H369" s="554">
        <v>0.37</v>
      </c>
      <c r="I369" s="553">
        <v>133</v>
      </c>
      <c r="J369" t="s">
        <v>663</v>
      </c>
      <c r="K369" s="554">
        <v>0.15</v>
      </c>
      <c r="L369" s="553">
        <v>108</v>
      </c>
    </row>
    <row r="370" spans="2:12">
      <c r="B370" t="s">
        <v>685</v>
      </c>
      <c r="C370" t="s">
        <v>729</v>
      </c>
      <c r="D370">
        <v>675</v>
      </c>
      <c r="E370">
        <v>888</v>
      </c>
      <c r="F370" s="553">
        <v>132</v>
      </c>
      <c r="G370" t="s">
        <v>1459</v>
      </c>
      <c r="H370" s="554">
        <v>0.38</v>
      </c>
      <c r="I370" s="553">
        <v>125</v>
      </c>
      <c r="J370" t="s">
        <v>659</v>
      </c>
      <c r="K370" s="554">
        <v>0.14000000000000001</v>
      </c>
      <c r="L370" s="553">
        <v>88</v>
      </c>
    </row>
    <row r="371" spans="2:12">
      <c r="B371" t="s">
        <v>709</v>
      </c>
      <c r="C371" t="s">
        <v>735</v>
      </c>
      <c r="D371">
        <v>688</v>
      </c>
      <c r="E371" s="555">
        <v>1019</v>
      </c>
      <c r="F371" s="553">
        <v>132</v>
      </c>
      <c r="G371" t="s">
        <v>639</v>
      </c>
      <c r="H371" s="554">
        <v>0.33</v>
      </c>
      <c r="I371" s="553">
        <v>127</v>
      </c>
      <c r="J371" t="s">
        <v>638</v>
      </c>
      <c r="K371" s="554">
        <v>0.33</v>
      </c>
      <c r="L371" s="553">
        <v>127</v>
      </c>
    </row>
    <row r="372" spans="2:12">
      <c r="B372" t="s">
        <v>667</v>
      </c>
      <c r="C372" t="s">
        <v>715</v>
      </c>
      <c r="D372">
        <v>667</v>
      </c>
      <c r="E372">
        <v>447</v>
      </c>
      <c r="F372" s="553">
        <v>127</v>
      </c>
      <c r="G372" t="s">
        <v>1458</v>
      </c>
      <c r="H372" s="554">
        <v>0.48</v>
      </c>
      <c r="I372" s="553">
        <v>132</v>
      </c>
      <c r="J372" t="s">
        <v>659</v>
      </c>
      <c r="K372" s="554">
        <v>0.21</v>
      </c>
      <c r="L372" s="553">
        <v>84</v>
      </c>
    </row>
    <row r="373" spans="2:12">
      <c r="B373" t="s">
        <v>775</v>
      </c>
      <c r="C373" t="s">
        <v>685</v>
      </c>
      <c r="D373">
        <v>677</v>
      </c>
      <c r="E373">
        <v>287</v>
      </c>
      <c r="F373" s="553">
        <v>122</v>
      </c>
      <c r="G373" t="s">
        <v>1460</v>
      </c>
      <c r="H373" s="554">
        <v>0.81</v>
      </c>
      <c r="I373" s="553">
        <v>94</v>
      </c>
      <c r="J373" t="s">
        <v>655</v>
      </c>
      <c r="K373" s="554">
        <v>0.81</v>
      </c>
      <c r="L373" s="553">
        <v>94</v>
      </c>
    </row>
    <row r="374" spans="2:12">
      <c r="B374" t="s">
        <v>718</v>
      </c>
      <c r="C374" t="s">
        <v>736</v>
      </c>
      <c r="D374">
        <v>664</v>
      </c>
      <c r="E374">
        <v>219</v>
      </c>
      <c r="F374" s="553">
        <v>108</v>
      </c>
      <c r="G374" t="s">
        <v>660</v>
      </c>
      <c r="H374" s="554">
        <v>0.78</v>
      </c>
      <c r="I374" s="553">
        <v>80</v>
      </c>
      <c r="J374" t="s">
        <v>659</v>
      </c>
      <c r="K374" s="554">
        <v>0.78</v>
      </c>
      <c r="L374" s="553">
        <v>80</v>
      </c>
    </row>
    <row r="376" spans="2:12">
      <c r="B376" s="552" t="s">
        <v>790</v>
      </c>
    </row>
    <row r="377" spans="2:12">
      <c r="B377" t="s">
        <v>791</v>
      </c>
      <c r="C377" t="s">
        <v>732</v>
      </c>
      <c r="D377">
        <v>726</v>
      </c>
      <c r="E377">
        <v>221</v>
      </c>
      <c r="F377" s="553">
        <v>248</v>
      </c>
      <c r="G377" t="s">
        <v>653</v>
      </c>
      <c r="H377" s="554">
        <v>0.78</v>
      </c>
      <c r="I377" s="553">
        <v>262</v>
      </c>
      <c r="J377" t="s">
        <v>663</v>
      </c>
      <c r="K377" s="554">
        <v>0.09</v>
      </c>
      <c r="L377" s="553">
        <v>186</v>
      </c>
    </row>
    <row r="378" spans="2:12">
      <c r="B378" t="s">
        <v>792</v>
      </c>
      <c r="C378" t="s">
        <v>693</v>
      </c>
      <c r="D378">
        <v>749</v>
      </c>
      <c r="E378">
        <v>221</v>
      </c>
      <c r="F378" s="553">
        <v>229</v>
      </c>
      <c r="G378" t="s">
        <v>653</v>
      </c>
      <c r="H378" s="554">
        <v>0.79</v>
      </c>
      <c r="I378" s="553">
        <v>237</v>
      </c>
      <c r="J378" t="s">
        <v>644</v>
      </c>
      <c r="K378" s="554">
        <v>0.11</v>
      </c>
      <c r="L378" s="553">
        <v>198</v>
      </c>
    </row>
    <row r="379" spans="2:12">
      <c r="B379" t="s">
        <v>714</v>
      </c>
      <c r="C379" t="s">
        <v>679</v>
      </c>
      <c r="D379">
        <v>723</v>
      </c>
      <c r="E379">
        <v>314</v>
      </c>
      <c r="F379" s="553">
        <v>225</v>
      </c>
      <c r="G379" t="s">
        <v>669</v>
      </c>
      <c r="H379" s="554">
        <v>0.42</v>
      </c>
      <c r="I379" s="553">
        <v>235</v>
      </c>
      <c r="J379" t="s">
        <v>663</v>
      </c>
      <c r="K379" s="554">
        <v>0.36</v>
      </c>
      <c r="L379" s="553">
        <v>192</v>
      </c>
    </row>
    <row r="380" spans="2:12">
      <c r="B380" t="s">
        <v>743</v>
      </c>
      <c r="C380" t="s">
        <v>650</v>
      </c>
      <c r="D380">
        <v>701</v>
      </c>
      <c r="E380">
        <v>842</v>
      </c>
      <c r="F380" s="553">
        <v>220</v>
      </c>
      <c r="G380" t="s">
        <v>653</v>
      </c>
      <c r="H380" s="554">
        <v>0.46</v>
      </c>
      <c r="I380" s="553">
        <v>222</v>
      </c>
      <c r="J380" t="s">
        <v>644</v>
      </c>
      <c r="K380" s="554">
        <v>0.25</v>
      </c>
      <c r="L380" s="553">
        <v>194</v>
      </c>
    </row>
    <row r="381" spans="2:12">
      <c r="B381" t="s">
        <v>721</v>
      </c>
      <c r="C381" t="s">
        <v>701</v>
      </c>
      <c r="D381">
        <v>712</v>
      </c>
      <c r="E381">
        <v>350</v>
      </c>
      <c r="F381" s="553">
        <v>208</v>
      </c>
      <c r="G381" t="s">
        <v>653</v>
      </c>
      <c r="H381" s="554">
        <v>0.82</v>
      </c>
      <c r="I381" s="553">
        <v>214</v>
      </c>
      <c r="J381" t="s">
        <v>644</v>
      </c>
      <c r="K381" s="554">
        <v>0.1</v>
      </c>
      <c r="L381" s="553">
        <v>178</v>
      </c>
    </row>
    <row r="382" spans="2:12">
      <c r="B382" t="s">
        <v>649</v>
      </c>
      <c r="C382" t="s">
        <v>673</v>
      </c>
      <c r="D382">
        <v>737</v>
      </c>
      <c r="E382" s="555">
        <v>1415</v>
      </c>
      <c r="F382" s="553">
        <v>193</v>
      </c>
      <c r="G382" t="s">
        <v>645</v>
      </c>
      <c r="H382" s="554">
        <v>0.78</v>
      </c>
      <c r="I382" s="553">
        <v>198</v>
      </c>
      <c r="J382" t="s">
        <v>647</v>
      </c>
      <c r="K382" s="554">
        <v>0.17</v>
      </c>
      <c r="L382" s="553">
        <v>166</v>
      </c>
    </row>
    <row r="383" spans="2:12">
      <c r="B383" t="s">
        <v>662</v>
      </c>
      <c r="C383" t="s">
        <v>706</v>
      </c>
      <c r="D383">
        <v>733</v>
      </c>
      <c r="E383">
        <v>340</v>
      </c>
      <c r="F383" s="553">
        <v>190</v>
      </c>
      <c r="G383" t="s">
        <v>645</v>
      </c>
      <c r="H383" s="554">
        <v>0.73</v>
      </c>
      <c r="I383" s="553">
        <v>193</v>
      </c>
      <c r="J383" t="s">
        <v>663</v>
      </c>
      <c r="K383" s="554">
        <v>0.22</v>
      </c>
      <c r="L383" s="553">
        <v>176</v>
      </c>
    </row>
    <row r="384" spans="2:12">
      <c r="B384" t="s">
        <v>704</v>
      </c>
      <c r="C384" t="s">
        <v>702</v>
      </c>
      <c r="D384">
        <v>738</v>
      </c>
      <c r="E384">
        <v>929</v>
      </c>
      <c r="F384" s="553">
        <v>187</v>
      </c>
      <c r="G384" t="s">
        <v>1459</v>
      </c>
      <c r="H384" s="554">
        <v>0.56999999999999995</v>
      </c>
      <c r="I384" s="553">
        <v>182</v>
      </c>
      <c r="J384" t="s">
        <v>644</v>
      </c>
      <c r="K384" s="554">
        <v>0.27</v>
      </c>
      <c r="L384" s="553">
        <v>181</v>
      </c>
    </row>
    <row r="385" spans="2:12">
      <c r="B385" t="s">
        <v>726</v>
      </c>
      <c r="C385" t="s">
        <v>735</v>
      </c>
      <c r="D385">
        <v>715</v>
      </c>
      <c r="E385">
        <v>526</v>
      </c>
      <c r="F385" s="553">
        <v>179</v>
      </c>
      <c r="G385" t="s">
        <v>645</v>
      </c>
      <c r="H385" s="554">
        <v>0.49</v>
      </c>
      <c r="I385" s="553">
        <v>186</v>
      </c>
      <c r="J385" t="s">
        <v>663</v>
      </c>
      <c r="K385" s="554">
        <v>0.48</v>
      </c>
      <c r="L385" s="553">
        <v>167</v>
      </c>
    </row>
    <row r="386" spans="2:12">
      <c r="B386" t="s">
        <v>661</v>
      </c>
      <c r="C386" t="s">
        <v>704</v>
      </c>
      <c r="D386">
        <v>721</v>
      </c>
      <c r="E386">
        <v>280</v>
      </c>
      <c r="F386" s="553">
        <v>179</v>
      </c>
      <c r="G386" t="s">
        <v>1459</v>
      </c>
      <c r="H386" s="554">
        <v>0.76</v>
      </c>
      <c r="I386" s="553">
        <v>176</v>
      </c>
      <c r="J386" t="s">
        <v>663</v>
      </c>
      <c r="K386" s="554">
        <v>0.76</v>
      </c>
      <c r="L386" s="553">
        <v>176</v>
      </c>
    </row>
    <row r="387" spans="2:12">
      <c r="B387" t="s">
        <v>698</v>
      </c>
      <c r="C387" t="s">
        <v>695</v>
      </c>
      <c r="D387">
        <v>742</v>
      </c>
      <c r="E387">
        <v>411</v>
      </c>
      <c r="F387" s="553">
        <v>175</v>
      </c>
      <c r="G387" t="s">
        <v>645</v>
      </c>
      <c r="H387" s="554">
        <v>0.73</v>
      </c>
      <c r="I387" s="553">
        <v>196</v>
      </c>
      <c r="J387" t="s">
        <v>668</v>
      </c>
      <c r="K387" s="554">
        <v>0.16</v>
      </c>
      <c r="L387" s="553">
        <v>74</v>
      </c>
    </row>
    <row r="388" spans="2:12">
      <c r="B388" t="s">
        <v>679</v>
      </c>
      <c r="C388" t="s">
        <v>717</v>
      </c>
      <c r="D388">
        <v>717</v>
      </c>
      <c r="E388">
        <v>510</v>
      </c>
      <c r="F388" s="553">
        <v>166</v>
      </c>
      <c r="G388" t="s">
        <v>669</v>
      </c>
      <c r="H388" s="554">
        <v>0.51</v>
      </c>
      <c r="I388" s="553">
        <v>166</v>
      </c>
      <c r="J388" t="s">
        <v>663</v>
      </c>
      <c r="K388" s="554">
        <v>0.28000000000000003</v>
      </c>
      <c r="L388" s="553">
        <v>149</v>
      </c>
    </row>
    <row r="389" spans="2:12">
      <c r="B389" t="s">
        <v>712</v>
      </c>
      <c r="C389" t="s">
        <v>641</v>
      </c>
      <c r="D389">
        <v>748</v>
      </c>
      <c r="E389">
        <v>359</v>
      </c>
      <c r="F389" s="553">
        <v>165</v>
      </c>
      <c r="G389" t="s">
        <v>639</v>
      </c>
      <c r="H389" s="554">
        <v>0.88</v>
      </c>
      <c r="I389" s="553">
        <v>164</v>
      </c>
      <c r="J389" t="s">
        <v>663</v>
      </c>
      <c r="K389" s="554">
        <v>0.02</v>
      </c>
      <c r="L389" s="553">
        <v>138</v>
      </c>
    </row>
    <row r="390" spans="2:12">
      <c r="B390" t="s">
        <v>772</v>
      </c>
      <c r="C390" t="s">
        <v>681</v>
      </c>
      <c r="D390">
        <v>722</v>
      </c>
      <c r="E390">
        <v>203</v>
      </c>
      <c r="F390" s="553">
        <v>164</v>
      </c>
      <c r="G390" t="s">
        <v>1459</v>
      </c>
      <c r="H390" s="554">
        <v>0.71</v>
      </c>
      <c r="I390" s="553">
        <v>154</v>
      </c>
      <c r="J390" t="s">
        <v>663</v>
      </c>
      <c r="K390" s="554">
        <v>0.71</v>
      </c>
      <c r="L390" s="553">
        <v>154</v>
      </c>
    </row>
    <row r="391" spans="2:12">
      <c r="B391" t="s">
        <v>717</v>
      </c>
      <c r="C391" t="s">
        <v>686</v>
      </c>
      <c r="D391">
        <v>726</v>
      </c>
      <c r="E391">
        <v>183</v>
      </c>
      <c r="F391" s="553">
        <v>157</v>
      </c>
      <c r="G391" t="s">
        <v>645</v>
      </c>
      <c r="H391" s="554">
        <v>0.39</v>
      </c>
      <c r="I391" s="553">
        <v>166</v>
      </c>
      <c r="J391" t="s">
        <v>655</v>
      </c>
      <c r="K391" s="554">
        <v>0.13</v>
      </c>
      <c r="L391" s="553">
        <v>78</v>
      </c>
    </row>
    <row r="392" spans="2:12">
      <c r="B392" t="s">
        <v>731</v>
      </c>
      <c r="C392" t="s">
        <v>768</v>
      </c>
      <c r="D392">
        <v>743</v>
      </c>
      <c r="E392">
        <v>189</v>
      </c>
      <c r="F392" s="553">
        <v>152</v>
      </c>
      <c r="G392" t="s">
        <v>1459</v>
      </c>
      <c r="H392" s="554">
        <v>0.68</v>
      </c>
      <c r="I392" s="553">
        <v>150</v>
      </c>
      <c r="J392" t="s">
        <v>663</v>
      </c>
      <c r="K392" s="554">
        <v>0.68</v>
      </c>
      <c r="L392" s="553">
        <v>150</v>
      </c>
    </row>
    <row r="393" spans="2:12">
      <c r="B393" t="s">
        <v>709</v>
      </c>
      <c r="C393" t="s">
        <v>710</v>
      </c>
      <c r="D393">
        <v>749</v>
      </c>
      <c r="E393">
        <v>416</v>
      </c>
      <c r="F393" s="553">
        <v>146</v>
      </c>
      <c r="G393" t="s">
        <v>1459</v>
      </c>
      <c r="H393" s="554">
        <v>0.47</v>
      </c>
      <c r="I393" s="553">
        <v>132</v>
      </c>
      <c r="J393" t="s">
        <v>663</v>
      </c>
      <c r="K393" s="554">
        <v>0.47</v>
      </c>
      <c r="L393" s="553">
        <v>132</v>
      </c>
    </row>
    <row r="394" spans="2:12">
      <c r="B394" t="s">
        <v>706</v>
      </c>
      <c r="C394" t="s">
        <v>667</v>
      </c>
      <c r="D394">
        <v>719</v>
      </c>
      <c r="E394">
        <v>348</v>
      </c>
      <c r="F394" s="553">
        <v>144</v>
      </c>
      <c r="G394" t="s">
        <v>1459</v>
      </c>
      <c r="H394" s="554">
        <v>0.66</v>
      </c>
      <c r="I394" s="553">
        <v>139</v>
      </c>
      <c r="J394" t="s">
        <v>659</v>
      </c>
      <c r="K394" s="554">
        <v>0.12</v>
      </c>
      <c r="L394" s="553">
        <v>78</v>
      </c>
    </row>
    <row r="395" spans="2:12">
      <c r="B395" t="s">
        <v>764</v>
      </c>
      <c r="C395" t="s">
        <v>685</v>
      </c>
      <c r="D395">
        <v>724</v>
      </c>
      <c r="E395">
        <v>221</v>
      </c>
      <c r="F395" s="553">
        <v>140</v>
      </c>
      <c r="G395" t="s">
        <v>1460</v>
      </c>
      <c r="H395" s="554">
        <v>0.59</v>
      </c>
      <c r="I395" s="553">
        <v>89</v>
      </c>
      <c r="J395" t="s">
        <v>655</v>
      </c>
      <c r="K395" s="554">
        <v>0.59</v>
      </c>
      <c r="L395" s="553">
        <v>89</v>
      </c>
    </row>
    <row r="396" spans="2:12">
      <c r="B396" t="s">
        <v>707</v>
      </c>
      <c r="C396" t="s">
        <v>684</v>
      </c>
      <c r="D396">
        <v>742</v>
      </c>
      <c r="E396">
        <v>544</v>
      </c>
      <c r="F396" s="553">
        <v>137</v>
      </c>
      <c r="G396" t="s">
        <v>1459</v>
      </c>
      <c r="H396" s="554">
        <v>0.46</v>
      </c>
      <c r="I396" s="553">
        <v>132</v>
      </c>
      <c r="J396" t="s">
        <v>663</v>
      </c>
      <c r="K396" s="554">
        <v>0.46</v>
      </c>
      <c r="L396" s="553">
        <v>132</v>
      </c>
    </row>
    <row r="397" spans="2:12">
      <c r="B397" t="s">
        <v>721</v>
      </c>
      <c r="C397" t="s">
        <v>662</v>
      </c>
      <c r="D397">
        <v>731</v>
      </c>
      <c r="E397" s="555">
        <v>2771</v>
      </c>
      <c r="F397" s="553">
        <v>134</v>
      </c>
      <c r="G397" t="s">
        <v>653</v>
      </c>
      <c r="H397" s="554">
        <v>0.45</v>
      </c>
      <c r="I397" s="553">
        <v>142</v>
      </c>
      <c r="J397" t="s">
        <v>663</v>
      </c>
      <c r="K397" s="554">
        <v>0.19</v>
      </c>
      <c r="L397" s="553">
        <v>127</v>
      </c>
    </row>
    <row r="398" spans="2:12">
      <c r="B398" t="s">
        <v>709</v>
      </c>
      <c r="C398" t="s">
        <v>711</v>
      </c>
      <c r="D398">
        <v>749</v>
      </c>
      <c r="E398">
        <v>429</v>
      </c>
      <c r="F398" s="553">
        <v>128</v>
      </c>
      <c r="G398" t="s">
        <v>1459</v>
      </c>
      <c r="H398" s="554">
        <v>0.51</v>
      </c>
      <c r="I398" s="553">
        <v>127</v>
      </c>
      <c r="J398" t="s">
        <v>644</v>
      </c>
      <c r="K398" s="554">
        <v>0.39</v>
      </c>
      <c r="L398" s="553">
        <v>125</v>
      </c>
    </row>
    <row r="399" spans="2:12">
      <c r="B399" t="s">
        <v>793</v>
      </c>
      <c r="C399" t="s">
        <v>794</v>
      </c>
      <c r="D399">
        <v>729</v>
      </c>
      <c r="E399">
        <v>317</v>
      </c>
      <c r="F399" s="553">
        <v>122</v>
      </c>
      <c r="G399" t="s">
        <v>1459</v>
      </c>
      <c r="H399" s="554">
        <v>0.64</v>
      </c>
      <c r="I399" s="553">
        <v>122</v>
      </c>
      <c r="J399" t="s">
        <v>655</v>
      </c>
      <c r="K399" s="554">
        <v>0.13</v>
      </c>
      <c r="L399" s="553">
        <v>73</v>
      </c>
    </row>
    <row r="400" spans="2:12">
      <c r="F400" s="553"/>
      <c r="H400" s="554"/>
      <c r="I400" s="553"/>
      <c r="K400" s="554"/>
      <c r="L400" s="553"/>
    </row>
    <row r="401" spans="2:12">
      <c r="B401" s="552" t="s">
        <v>795</v>
      </c>
      <c r="F401" s="553"/>
      <c r="H401" s="554"/>
      <c r="I401" s="553"/>
      <c r="K401" s="554"/>
      <c r="L401" s="553"/>
    </row>
    <row r="402" spans="2:12">
      <c r="B402" t="s">
        <v>662</v>
      </c>
      <c r="C402" t="s">
        <v>764</v>
      </c>
      <c r="D402">
        <v>771</v>
      </c>
      <c r="E402">
        <v>194</v>
      </c>
      <c r="F402" s="553">
        <v>268</v>
      </c>
      <c r="G402" t="s">
        <v>645</v>
      </c>
      <c r="H402" s="554">
        <v>0.9</v>
      </c>
      <c r="I402" s="553">
        <v>268</v>
      </c>
      <c r="J402" t="s">
        <v>651</v>
      </c>
      <c r="K402" s="554">
        <v>0.02</v>
      </c>
      <c r="L402" s="553">
        <v>248</v>
      </c>
    </row>
    <row r="403" spans="2:12">
      <c r="B403" t="s">
        <v>690</v>
      </c>
      <c r="C403" t="s">
        <v>650</v>
      </c>
      <c r="D403">
        <v>777</v>
      </c>
      <c r="E403">
        <v>436</v>
      </c>
      <c r="F403" s="553">
        <v>266</v>
      </c>
      <c r="G403" t="s">
        <v>653</v>
      </c>
      <c r="H403" s="554">
        <v>0.67</v>
      </c>
      <c r="I403" s="553">
        <v>282</v>
      </c>
      <c r="J403" t="s">
        <v>651</v>
      </c>
      <c r="K403" s="554">
        <v>0.14000000000000001</v>
      </c>
      <c r="L403" s="553">
        <v>230</v>
      </c>
    </row>
    <row r="404" spans="2:12">
      <c r="B404" t="s">
        <v>721</v>
      </c>
      <c r="C404" t="s">
        <v>675</v>
      </c>
      <c r="D404">
        <v>794</v>
      </c>
      <c r="E404">
        <v>206</v>
      </c>
      <c r="F404" s="553">
        <v>248</v>
      </c>
      <c r="G404" t="s">
        <v>653</v>
      </c>
      <c r="H404" s="554">
        <v>0.81</v>
      </c>
      <c r="I404" s="553">
        <v>256</v>
      </c>
      <c r="J404" t="s">
        <v>644</v>
      </c>
      <c r="K404" s="554">
        <v>0.13</v>
      </c>
      <c r="L404" s="553">
        <v>210</v>
      </c>
    </row>
    <row r="405" spans="2:12">
      <c r="B405" t="s">
        <v>649</v>
      </c>
      <c r="C405" t="s">
        <v>703</v>
      </c>
      <c r="D405">
        <v>752</v>
      </c>
      <c r="E405">
        <v>420</v>
      </c>
      <c r="F405" s="553">
        <v>243</v>
      </c>
      <c r="G405" t="s">
        <v>653</v>
      </c>
      <c r="H405" s="554">
        <v>0.65</v>
      </c>
      <c r="I405" s="553">
        <v>272</v>
      </c>
      <c r="J405" t="s">
        <v>644</v>
      </c>
      <c r="K405" s="554">
        <v>0.2</v>
      </c>
      <c r="L405" s="553">
        <v>217</v>
      </c>
    </row>
    <row r="406" spans="2:12">
      <c r="B406" t="s">
        <v>679</v>
      </c>
      <c r="C406" t="s">
        <v>718</v>
      </c>
      <c r="D406">
        <v>783</v>
      </c>
      <c r="E406">
        <v>522</v>
      </c>
      <c r="F406" s="553">
        <v>236</v>
      </c>
      <c r="G406" t="s">
        <v>645</v>
      </c>
      <c r="H406" s="554">
        <v>0.38</v>
      </c>
      <c r="I406" s="553">
        <v>244</v>
      </c>
      <c r="J406" t="s">
        <v>663</v>
      </c>
      <c r="K406" s="554">
        <v>0.27</v>
      </c>
      <c r="L406" s="553">
        <v>207</v>
      </c>
    </row>
    <row r="407" spans="2:12">
      <c r="B407" t="s">
        <v>796</v>
      </c>
      <c r="C407" t="s">
        <v>735</v>
      </c>
      <c r="D407">
        <v>785</v>
      </c>
      <c r="E407">
        <v>228</v>
      </c>
      <c r="F407" s="553">
        <v>232</v>
      </c>
      <c r="G407" t="s">
        <v>669</v>
      </c>
      <c r="H407" s="554">
        <v>0.42</v>
      </c>
      <c r="I407" s="553">
        <v>202</v>
      </c>
      <c r="J407" t="s">
        <v>651</v>
      </c>
      <c r="K407" s="554">
        <v>0.42</v>
      </c>
      <c r="L407" s="553">
        <v>202</v>
      </c>
    </row>
    <row r="408" spans="2:12">
      <c r="B408" t="s">
        <v>679</v>
      </c>
      <c r="C408" t="s">
        <v>650</v>
      </c>
      <c r="D408">
        <v>773</v>
      </c>
      <c r="E408" s="555">
        <v>6436</v>
      </c>
      <c r="F408" s="553">
        <v>221</v>
      </c>
      <c r="G408" t="s">
        <v>669</v>
      </c>
      <c r="H408" s="554">
        <v>0.32</v>
      </c>
      <c r="I408" s="553">
        <v>232</v>
      </c>
      <c r="J408" t="s">
        <v>644</v>
      </c>
      <c r="K408" s="554">
        <v>0.28000000000000003</v>
      </c>
      <c r="L408" s="553">
        <v>217</v>
      </c>
    </row>
    <row r="409" spans="2:12">
      <c r="B409" t="s">
        <v>716</v>
      </c>
      <c r="C409" t="s">
        <v>678</v>
      </c>
      <c r="D409">
        <v>759</v>
      </c>
      <c r="E409">
        <v>314</v>
      </c>
      <c r="F409" s="553">
        <v>218</v>
      </c>
      <c r="G409" t="s">
        <v>1459</v>
      </c>
      <c r="H409" s="554">
        <v>0.53</v>
      </c>
      <c r="I409" s="553">
        <v>204</v>
      </c>
      <c r="J409" t="s">
        <v>663</v>
      </c>
      <c r="K409" s="554">
        <v>0.53</v>
      </c>
      <c r="L409" s="553">
        <v>204</v>
      </c>
    </row>
    <row r="410" spans="2:12">
      <c r="B410" t="s">
        <v>724</v>
      </c>
      <c r="C410" t="s">
        <v>702</v>
      </c>
      <c r="D410">
        <v>787</v>
      </c>
      <c r="E410">
        <v>333</v>
      </c>
      <c r="F410" s="553">
        <v>217</v>
      </c>
      <c r="G410" t="s">
        <v>645</v>
      </c>
      <c r="H410" s="554">
        <v>0.52</v>
      </c>
      <c r="I410" s="553">
        <v>227</v>
      </c>
      <c r="J410" t="s">
        <v>663</v>
      </c>
      <c r="K410" s="554">
        <v>0.24</v>
      </c>
      <c r="L410" s="553">
        <v>185</v>
      </c>
    </row>
    <row r="411" spans="2:12">
      <c r="B411" t="s">
        <v>683</v>
      </c>
      <c r="C411" t="s">
        <v>735</v>
      </c>
      <c r="D411">
        <v>751</v>
      </c>
      <c r="E411">
        <v>273</v>
      </c>
      <c r="F411" s="553">
        <v>212</v>
      </c>
      <c r="G411" t="s">
        <v>639</v>
      </c>
      <c r="H411" s="554">
        <v>0.5</v>
      </c>
      <c r="I411" s="553">
        <v>204</v>
      </c>
      <c r="J411" t="s">
        <v>638</v>
      </c>
      <c r="K411" s="554">
        <v>0.5</v>
      </c>
      <c r="L411" s="553">
        <v>204</v>
      </c>
    </row>
    <row r="412" spans="2:12">
      <c r="B412" t="s">
        <v>721</v>
      </c>
      <c r="C412" t="s">
        <v>746</v>
      </c>
      <c r="D412">
        <v>761</v>
      </c>
      <c r="E412">
        <v>282</v>
      </c>
      <c r="F412" s="553">
        <v>205</v>
      </c>
      <c r="G412" t="s">
        <v>653</v>
      </c>
      <c r="H412" s="554">
        <v>0.73</v>
      </c>
      <c r="I412" s="553">
        <v>214</v>
      </c>
      <c r="J412" t="s">
        <v>663</v>
      </c>
      <c r="K412" s="554">
        <v>0.22</v>
      </c>
      <c r="L412" s="553">
        <v>178</v>
      </c>
    </row>
    <row r="414" spans="2:12">
      <c r="B414" s="552" t="s">
        <v>795</v>
      </c>
    </row>
    <row r="415" spans="2:12">
      <c r="B415" t="s">
        <v>707</v>
      </c>
      <c r="C415" t="s">
        <v>733</v>
      </c>
      <c r="D415">
        <v>751</v>
      </c>
      <c r="E415">
        <v>239</v>
      </c>
      <c r="F415" s="553">
        <v>202</v>
      </c>
      <c r="G415" t="s">
        <v>669</v>
      </c>
      <c r="H415" s="554">
        <v>0.4</v>
      </c>
      <c r="I415" s="553">
        <v>226</v>
      </c>
      <c r="J415" t="s">
        <v>663</v>
      </c>
      <c r="K415" s="554">
        <v>0.39</v>
      </c>
      <c r="L415" s="553">
        <v>175</v>
      </c>
    </row>
    <row r="416" spans="2:12">
      <c r="B416" t="s">
        <v>662</v>
      </c>
      <c r="C416" t="s">
        <v>743</v>
      </c>
      <c r="D416">
        <v>761</v>
      </c>
      <c r="E416">
        <v>599</v>
      </c>
      <c r="F416" s="553">
        <v>197</v>
      </c>
      <c r="G416" t="s">
        <v>645</v>
      </c>
      <c r="H416" s="554">
        <v>0.74</v>
      </c>
      <c r="I416" s="553">
        <v>201</v>
      </c>
      <c r="J416" t="s">
        <v>663</v>
      </c>
      <c r="K416" s="554">
        <v>0.21</v>
      </c>
      <c r="L416" s="553">
        <v>180</v>
      </c>
    </row>
    <row r="417" spans="2:12">
      <c r="B417" t="s">
        <v>792</v>
      </c>
      <c r="C417" t="s">
        <v>650</v>
      </c>
      <c r="D417">
        <v>795</v>
      </c>
      <c r="E417" s="555">
        <v>6460</v>
      </c>
      <c r="F417" s="553">
        <v>187</v>
      </c>
      <c r="G417" t="s">
        <v>653</v>
      </c>
      <c r="H417" s="554">
        <v>0.56999999999999995</v>
      </c>
      <c r="I417" s="553">
        <v>215</v>
      </c>
      <c r="J417" t="s">
        <v>668</v>
      </c>
      <c r="K417" s="554">
        <v>7.0000000000000007E-2</v>
      </c>
      <c r="L417" s="553">
        <v>105</v>
      </c>
    </row>
    <row r="418" spans="2:12">
      <c r="B418" t="s">
        <v>751</v>
      </c>
      <c r="C418" t="s">
        <v>702</v>
      </c>
      <c r="D418">
        <v>798</v>
      </c>
      <c r="E418">
        <v>226</v>
      </c>
      <c r="F418" s="553">
        <v>181</v>
      </c>
      <c r="G418" t="s">
        <v>1459</v>
      </c>
      <c r="H418" s="554">
        <v>0.44</v>
      </c>
      <c r="I418" s="553">
        <v>160</v>
      </c>
      <c r="J418" t="s">
        <v>663</v>
      </c>
      <c r="K418" s="554">
        <v>0.44</v>
      </c>
      <c r="L418" s="553">
        <v>160</v>
      </c>
    </row>
    <row r="419" spans="2:12">
      <c r="B419" t="s">
        <v>722</v>
      </c>
      <c r="C419" t="s">
        <v>723</v>
      </c>
      <c r="D419">
        <v>771</v>
      </c>
      <c r="E419">
        <v>191</v>
      </c>
      <c r="F419" s="553">
        <v>172</v>
      </c>
      <c r="G419" t="s">
        <v>1459</v>
      </c>
      <c r="H419" s="554">
        <v>0.38</v>
      </c>
      <c r="I419" s="553">
        <v>171</v>
      </c>
      <c r="J419" t="s">
        <v>668</v>
      </c>
      <c r="K419" s="554">
        <v>0.22</v>
      </c>
      <c r="L419" s="553">
        <v>86</v>
      </c>
    </row>
    <row r="420" spans="2:12">
      <c r="B420" t="s">
        <v>692</v>
      </c>
      <c r="C420" t="s">
        <v>679</v>
      </c>
      <c r="D420">
        <v>760</v>
      </c>
      <c r="E420">
        <v>581</v>
      </c>
      <c r="F420" s="553">
        <v>171</v>
      </c>
      <c r="G420" t="s">
        <v>669</v>
      </c>
      <c r="H420" s="554">
        <v>0.43</v>
      </c>
      <c r="I420" s="553">
        <v>178</v>
      </c>
      <c r="J420" t="s">
        <v>663</v>
      </c>
      <c r="K420" s="554">
        <v>0.32</v>
      </c>
      <c r="L420" s="553">
        <v>149</v>
      </c>
    </row>
    <row r="421" spans="2:12">
      <c r="B421" t="s">
        <v>765</v>
      </c>
      <c r="C421" t="s">
        <v>735</v>
      </c>
      <c r="D421">
        <v>776</v>
      </c>
      <c r="E421">
        <v>371</v>
      </c>
      <c r="F421" s="553">
        <v>170</v>
      </c>
      <c r="G421" t="s">
        <v>639</v>
      </c>
      <c r="H421" s="554">
        <v>0.39</v>
      </c>
      <c r="I421" s="553">
        <v>170</v>
      </c>
      <c r="J421" t="s">
        <v>638</v>
      </c>
      <c r="K421" s="554">
        <v>0.39</v>
      </c>
      <c r="L421" s="553">
        <v>170</v>
      </c>
    </row>
    <row r="422" spans="2:12">
      <c r="B422" t="s">
        <v>661</v>
      </c>
      <c r="C422" t="s">
        <v>681</v>
      </c>
      <c r="D422">
        <v>756</v>
      </c>
      <c r="E422">
        <v>519</v>
      </c>
      <c r="F422" s="553">
        <v>169</v>
      </c>
      <c r="G422" t="s">
        <v>1459</v>
      </c>
      <c r="H422" s="554">
        <v>0.7</v>
      </c>
      <c r="I422" s="553">
        <v>166</v>
      </c>
      <c r="J422" t="s">
        <v>663</v>
      </c>
      <c r="K422" s="554">
        <v>0.7</v>
      </c>
      <c r="L422" s="553">
        <v>166</v>
      </c>
    </row>
    <row r="423" spans="2:12">
      <c r="B423" t="s">
        <v>679</v>
      </c>
      <c r="C423" t="s">
        <v>768</v>
      </c>
      <c r="D423">
        <v>794</v>
      </c>
      <c r="E423">
        <v>269</v>
      </c>
      <c r="F423" s="553">
        <v>164</v>
      </c>
      <c r="G423" t="s">
        <v>645</v>
      </c>
      <c r="H423" s="554">
        <v>0.33</v>
      </c>
      <c r="I423" s="553">
        <v>164</v>
      </c>
      <c r="J423" t="s">
        <v>663</v>
      </c>
      <c r="K423" s="554">
        <v>0.25</v>
      </c>
      <c r="L423" s="553">
        <v>153</v>
      </c>
    </row>
    <row r="424" spans="2:12">
      <c r="B424" t="s">
        <v>679</v>
      </c>
      <c r="C424" t="s">
        <v>773</v>
      </c>
      <c r="D424">
        <v>773</v>
      </c>
      <c r="E424">
        <v>452</v>
      </c>
      <c r="F424" s="553">
        <v>161</v>
      </c>
      <c r="G424" t="s">
        <v>669</v>
      </c>
      <c r="H424" s="554">
        <v>0.47</v>
      </c>
      <c r="I424" s="553">
        <v>170</v>
      </c>
      <c r="J424" t="s">
        <v>663</v>
      </c>
      <c r="K424" s="554">
        <v>0.24</v>
      </c>
      <c r="L424" s="553">
        <v>146</v>
      </c>
    </row>
    <row r="425" spans="2:12">
      <c r="B425" t="s">
        <v>687</v>
      </c>
      <c r="C425" t="s">
        <v>640</v>
      </c>
      <c r="D425">
        <v>763</v>
      </c>
      <c r="E425" s="555">
        <v>1527</v>
      </c>
      <c r="F425" s="553">
        <v>156</v>
      </c>
      <c r="G425" t="s">
        <v>639</v>
      </c>
      <c r="H425" s="554">
        <v>0.37</v>
      </c>
      <c r="I425" s="553">
        <v>190</v>
      </c>
      <c r="J425" t="s">
        <v>659</v>
      </c>
      <c r="K425" s="554">
        <v>0.2</v>
      </c>
      <c r="L425" s="553">
        <v>99</v>
      </c>
    </row>
    <row r="426" spans="2:12">
      <c r="B426" t="s">
        <v>722</v>
      </c>
      <c r="C426" t="s">
        <v>704</v>
      </c>
      <c r="D426">
        <v>770</v>
      </c>
      <c r="E426" s="555">
        <v>1089</v>
      </c>
      <c r="F426" s="553">
        <v>153</v>
      </c>
      <c r="G426" t="s">
        <v>1459</v>
      </c>
      <c r="H426" s="554">
        <v>0.64</v>
      </c>
      <c r="I426" s="553">
        <v>159</v>
      </c>
      <c r="J426" t="s">
        <v>668</v>
      </c>
      <c r="K426" s="554">
        <v>0.13</v>
      </c>
      <c r="L426" s="553">
        <v>76</v>
      </c>
    </row>
    <row r="427" spans="2:12">
      <c r="B427" t="s">
        <v>650</v>
      </c>
      <c r="C427" t="s">
        <v>773</v>
      </c>
      <c r="D427">
        <v>756</v>
      </c>
      <c r="E427" s="555">
        <v>1105</v>
      </c>
      <c r="F427" s="553">
        <v>151</v>
      </c>
      <c r="G427" t="s">
        <v>653</v>
      </c>
      <c r="H427" s="554">
        <v>0.33</v>
      </c>
      <c r="I427" s="553">
        <v>158</v>
      </c>
      <c r="J427" t="s">
        <v>647</v>
      </c>
      <c r="K427" s="554">
        <v>0.21</v>
      </c>
      <c r="L427" s="553">
        <v>142</v>
      </c>
    </row>
    <row r="428" spans="2:12">
      <c r="B428" t="s">
        <v>722</v>
      </c>
      <c r="C428" t="s">
        <v>676</v>
      </c>
      <c r="D428">
        <v>794</v>
      </c>
      <c r="E428">
        <v>750</v>
      </c>
      <c r="F428" s="553">
        <v>150</v>
      </c>
      <c r="G428" t="s">
        <v>1459</v>
      </c>
      <c r="H428" s="554">
        <v>0.51</v>
      </c>
      <c r="I428" s="553">
        <v>152</v>
      </c>
      <c r="J428" t="s">
        <v>663</v>
      </c>
      <c r="K428" s="554">
        <v>0.51</v>
      </c>
      <c r="L428" s="553">
        <v>152</v>
      </c>
    </row>
    <row r="429" spans="2:12">
      <c r="B429" t="s">
        <v>678</v>
      </c>
      <c r="C429" t="s">
        <v>686</v>
      </c>
      <c r="D429">
        <v>787</v>
      </c>
      <c r="E429">
        <v>774</v>
      </c>
      <c r="F429" s="553">
        <v>143</v>
      </c>
      <c r="G429" t="s">
        <v>669</v>
      </c>
      <c r="H429" s="554">
        <v>0.45</v>
      </c>
      <c r="I429" s="553">
        <v>155</v>
      </c>
      <c r="J429" t="s">
        <v>663</v>
      </c>
      <c r="K429" s="554">
        <v>0.43</v>
      </c>
      <c r="L429" s="553">
        <v>134</v>
      </c>
    </row>
    <row r="430" spans="2:12">
      <c r="B430" t="s">
        <v>667</v>
      </c>
      <c r="C430" t="s">
        <v>702</v>
      </c>
      <c r="D430">
        <v>787</v>
      </c>
      <c r="E430" s="555">
        <v>3973</v>
      </c>
      <c r="F430" s="553">
        <v>142</v>
      </c>
      <c r="G430" t="s">
        <v>1459</v>
      </c>
      <c r="H430" s="554">
        <v>0.46</v>
      </c>
      <c r="I430" s="553">
        <v>151</v>
      </c>
      <c r="J430" t="s">
        <v>644</v>
      </c>
      <c r="K430" s="554">
        <v>0.18</v>
      </c>
      <c r="L430" s="553">
        <v>149</v>
      </c>
    </row>
    <row r="431" spans="2:12">
      <c r="B431" t="s">
        <v>679</v>
      </c>
      <c r="C431" t="s">
        <v>781</v>
      </c>
      <c r="D431">
        <v>796</v>
      </c>
      <c r="E431">
        <v>217</v>
      </c>
      <c r="F431" s="553">
        <v>141</v>
      </c>
      <c r="G431" t="s">
        <v>645</v>
      </c>
      <c r="H431" s="554">
        <v>0.42</v>
      </c>
      <c r="I431" s="553">
        <v>141</v>
      </c>
      <c r="J431" t="s">
        <v>663</v>
      </c>
      <c r="K431" s="554">
        <v>0.35</v>
      </c>
      <c r="L431" s="553">
        <v>136</v>
      </c>
    </row>
    <row r="432" spans="2:12">
      <c r="B432" t="s">
        <v>661</v>
      </c>
      <c r="C432" t="s">
        <v>722</v>
      </c>
      <c r="D432">
        <v>775</v>
      </c>
      <c r="E432" s="555">
        <v>1463</v>
      </c>
      <c r="F432" s="553">
        <v>141</v>
      </c>
      <c r="G432" t="s">
        <v>1459</v>
      </c>
      <c r="H432" s="554">
        <v>0.49</v>
      </c>
      <c r="I432" s="553">
        <v>142</v>
      </c>
      <c r="J432" t="s">
        <v>663</v>
      </c>
      <c r="K432" s="554">
        <v>0.49</v>
      </c>
      <c r="L432" s="553">
        <v>142</v>
      </c>
    </row>
    <row r="433" spans="2:12">
      <c r="B433" t="s">
        <v>649</v>
      </c>
      <c r="C433" t="s">
        <v>736</v>
      </c>
      <c r="D433">
        <v>756</v>
      </c>
      <c r="E433">
        <v>374</v>
      </c>
      <c r="F433" s="553">
        <v>133</v>
      </c>
      <c r="G433" t="s">
        <v>660</v>
      </c>
      <c r="H433" s="554">
        <v>0.57999999999999996</v>
      </c>
      <c r="I433" s="553">
        <v>89</v>
      </c>
      <c r="J433" t="s">
        <v>659</v>
      </c>
      <c r="K433" s="554">
        <v>0.57999999999999996</v>
      </c>
      <c r="L433" s="553">
        <v>89</v>
      </c>
    </row>
    <row r="434" spans="2:12">
      <c r="B434" t="s">
        <v>703</v>
      </c>
      <c r="C434" t="s">
        <v>667</v>
      </c>
      <c r="D434">
        <v>757</v>
      </c>
      <c r="E434">
        <v>687</v>
      </c>
      <c r="F434" s="553">
        <v>128</v>
      </c>
      <c r="G434" t="s">
        <v>653</v>
      </c>
      <c r="H434" s="554">
        <v>0.62</v>
      </c>
      <c r="I434" s="553">
        <v>142</v>
      </c>
      <c r="J434" t="s">
        <v>668</v>
      </c>
      <c r="K434" s="554">
        <v>0.14000000000000001</v>
      </c>
      <c r="L434" s="553">
        <v>79</v>
      </c>
    </row>
    <row r="435" spans="2:12">
      <c r="B435" t="s">
        <v>679</v>
      </c>
      <c r="C435" t="s">
        <v>736</v>
      </c>
      <c r="D435">
        <v>753</v>
      </c>
      <c r="E435">
        <v>554</v>
      </c>
      <c r="F435" s="553">
        <v>125</v>
      </c>
      <c r="G435" t="s">
        <v>1459</v>
      </c>
      <c r="H435" s="554">
        <v>0.44</v>
      </c>
      <c r="I435" s="553">
        <v>118</v>
      </c>
      <c r="J435" t="s">
        <v>659</v>
      </c>
      <c r="K435" s="554">
        <v>0.15</v>
      </c>
      <c r="L435" s="553">
        <v>78</v>
      </c>
    </row>
    <row r="436" spans="2:12">
      <c r="B436" t="s">
        <v>703</v>
      </c>
      <c r="C436" t="s">
        <v>686</v>
      </c>
      <c r="D436">
        <v>776</v>
      </c>
      <c r="E436">
        <v>590</v>
      </c>
      <c r="F436" s="553">
        <v>116</v>
      </c>
      <c r="G436" t="s">
        <v>653</v>
      </c>
      <c r="H436" s="554">
        <v>0.42</v>
      </c>
      <c r="I436" s="553">
        <v>150</v>
      </c>
      <c r="J436" t="s">
        <v>655</v>
      </c>
      <c r="K436" s="554">
        <v>0.32</v>
      </c>
      <c r="L436" s="553">
        <v>81</v>
      </c>
    </row>
    <row r="437" spans="2:12">
      <c r="F437" s="553"/>
      <c r="H437" s="554"/>
      <c r="I437" s="553"/>
      <c r="K437" s="554"/>
      <c r="L437" s="553"/>
    </row>
    <row r="438" spans="2:12">
      <c r="B438" s="552" t="s">
        <v>797</v>
      </c>
    </row>
    <row r="439" spans="2:12">
      <c r="B439" t="s">
        <v>798</v>
      </c>
      <c r="C439" t="s">
        <v>650</v>
      </c>
      <c r="D439">
        <v>850</v>
      </c>
      <c r="E439">
        <v>185</v>
      </c>
      <c r="F439" s="553">
        <v>307</v>
      </c>
      <c r="G439" t="s">
        <v>653</v>
      </c>
      <c r="H439" s="554">
        <v>0.53</v>
      </c>
      <c r="I439" s="553">
        <v>317</v>
      </c>
      <c r="J439" t="s">
        <v>651</v>
      </c>
      <c r="K439" s="554">
        <v>0.28000000000000003</v>
      </c>
      <c r="L439" s="553">
        <v>296</v>
      </c>
    </row>
    <row r="440" spans="2:12">
      <c r="B440" t="s">
        <v>649</v>
      </c>
      <c r="C440" t="s">
        <v>706</v>
      </c>
      <c r="D440">
        <v>829</v>
      </c>
      <c r="E440">
        <v>181</v>
      </c>
      <c r="F440" s="553">
        <v>250</v>
      </c>
      <c r="G440" t="s">
        <v>645</v>
      </c>
      <c r="H440" s="554">
        <v>0.39</v>
      </c>
      <c r="I440" s="553">
        <v>244</v>
      </c>
      <c r="J440" t="s">
        <v>663</v>
      </c>
      <c r="K440" s="554">
        <v>0.25</v>
      </c>
      <c r="L440" s="553">
        <v>227</v>
      </c>
    </row>
    <row r="441" spans="2:12">
      <c r="B441" t="s">
        <v>774</v>
      </c>
      <c r="C441" t="s">
        <v>707</v>
      </c>
      <c r="D441">
        <v>807</v>
      </c>
      <c r="E441">
        <v>221</v>
      </c>
      <c r="F441" s="553">
        <v>236</v>
      </c>
      <c r="G441" t="s">
        <v>669</v>
      </c>
      <c r="H441" s="554">
        <v>0.46</v>
      </c>
      <c r="I441" s="553">
        <v>279</v>
      </c>
      <c r="J441" t="s">
        <v>638</v>
      </c>
      <c r="K441" s="554">
        <v>0.14000000000000001</v>
      </c>
      <c r="L441" s="553">
        <v>199</v>
      </c>
    </row>
    <row r="442" spans="2:12">
      <c r="B442" t="s">
        <v>662</v>
      </c>
      <c r="C442" t="s">
        <v>733</v>
      </c>
      <c r="D442">
        <v>824</v>
      </c>
      <c r="E442">
        <v>202</v>
      </c>
      <c r="F442" s="553">
        <v>227</v>
      </c>
      <c r="G442" t="s">
        <v>645</v>
      </c>
      <c r="H442" s="554">
        <v>0.87</v>
      </c>
      <c r="I442" s="553">
        <v>229</v>
      </c>
      <c r="J442" t="s">
        <v>663</v>
      </c>
      <c r="K442" s="554">
        <v>0.08</v>
      </c>
      <c r="L442" s="553">
        <v>207</v>
      </c>
    </row>
    <row r="443" spans="2:12">
      <c r="B443" t="s">
        <v>678</v>
      </c>
      <c r="C443" t="s">
        <v>706</v>
      </c>
      <c r="D443">
        <v>803</v>
      </c>
      <c r="E443">
        <v>185</v>
      </c>
      <c r="F443" s="553">
        <v>226</v>
      </c>
      <c r="G443" t="s">
        <v>669</v>
      </c>
      <c r="H443" s="554">
        <v>0.59</v>
      </c>
      <c r="I443" s="553">
        <v>234</v>
      </c>
      <c r="J443" t="s">
        <v>663</v>
      </c>
      <c r="K443" s="554">
        <v>0.21</v>
      </c>
      <c r="L443" s="553">
        <v>212</v>
      </c>
    </row>
    <row r="444" spans="2:12">
      <c r="B444" t="s">
        <v>673</v>
      </c>
      <c r="C444" t="s">
        <v>731</v>
      </c>
      <c r="D444">
        <v>808</v>
      </c>
      <c r="E444">
        <v>235</v>
      </c>
      <c r="F444" s="553">
        <v>220</v>
      </c>
      <c r="G444" t="s">
        <v>645</v>
      </c>
      <c r="H444" s="554">
        <v>0.78</v>
      </c>
      <c r="I444" s="553">
        <v>223</v>
      </c>
      <c r="J444" t="s">
        <v>652</v>
      </c>
      <c r="K444" s="554">
        <v>0.1</v>
      </c>
      <c r="L444" s="553">
        <v>214</v>
      </c>
    </row>
    <row r="445" spans="2:12">
      <c r="B445" t="s">
        <v>695</v>
      </c>
      <c r="C445" t="s">
        <v>704</v>
      </c>
      <c r="D445">
        <v>814</v>
      </c>
      <c r="E445">
        <v>361</v>
      </c>
      <c r="F445" s="553">
        <v>215</v>
      </c>
      <c r="G445" t="s">
        <v>645</v>
      </c>
      <c r="H445" s="554">
        <v>0.66</v>
      </c>
      <c r="I445" s="553">
        <v>221</v>
      </c>
      <c r="J445" t="s">
        <v>663</v>
      </c>
      <c r="K445" s="554">
        <v>0.3</v>
      </c>
      <c r="L445" s="553">
        <v>200</v>
      </c>
    </row>
    <row r="446" spans="2:12">
      <c r="B446" t="s">
        <v>681</v>
      </c>
      <c r="C446" t="s">
        <v>676</v>
      </c>
      <c r="D446">
        <v>822</v>
      </c>
      <c r="E446">
        <v>258</v>
      </c>
      <c r="F446" s="553">
        <v>214</v>
      </c>
      <c r="G446" t="s">
        <v>1459</v>
      </c>
      <c r="H446" s="554">
        <v>0.75</v>
      </c>
      <c r="I446" s="553">
        <v>207</v>
      </c>
      <c r="J446" t="s">
        <v>663</v>
      </c>
      <c r="K446" s="554">
        <v>0.75</v>
      </c>
      <c r="L446" s="553">
        <v>207</v>
      </c>
    </row>
    <row r="447" spans="2:12">
      <c r="B447" t="s">
        <v>678</v>
      </c>
      <c r="C447" t="s">
        <v>698</v>
      </c>
      <c r="D447">
        <v>817</v>
      </c>
      <c r="E447">
        <v>286</v>
      </c>
      <c r="F447" s="553">
        <v>211</v>
      </c>
      <c r="G447" t="s">
        <v>669</v>
      </c>
      <c r="H447" s="554">
        <v>0.56999999999999995</v>
      </c>
      <c r="I447" s="553">
        <v>220</v>
      </c>
      <c r="J447" t="s">
        <v>663</v>
      </c>
      <c r="K447" s="554">
        <v>0.3</v>
      </c>
      <c r="L447" s="553">
        <v>188</v>
      </c>
    </row>
    <row r="448" spans="2:12">
      <c r="B448" t="s">
        <v>649</v>
      </c>
      <c r="C448" t="s">
        <v>743</v>
      </c>
      <c r="D448">
        <v>818</v>
      </c>
      <c r="E448">
        <v>506</v>
      </c>
      <c r="F448" s="553">
        <v>205</v>
      </c>
      <c r="G448" t="s">
        <v>653</v>
      </c>
      <c r="H448" s="554">
        <v>0.48</v>
      </c>
      <c r="I448" s="553">
        <v>218</v>
      </c>
      <c r="J448" t="s">
        <v>644</v>
      </c>
      <c r="K448" s="554">
        <v>0.37</v>
      </c>
      <c r="L448" s="553">
        <v>200</v>
      </c>
    </row>
    <row r="449" spans="2:12">
      <c r="B449" t="s">
        <v>746</v>
      </c>
      <c r="C449" t="s">
        <v>711</v>
      </c>
      <c r="D449">
        <v>833</v>
      </c>
      <c r="E449">
        <v>260</v>
      </c>
      <c r="F449" s="553">
        <v>200</v>
      </c>
      <c r="G449" t="s">
        <v>1459</v>
      </c>
      <c r="H449" s="554">
        <v>0.61</v>
      </c>
      <c r="I449" s="553">
        <v>188</v>
      </c>
      <c r="J449" t="s">
        <v>663</v>
      </c>
      <c r="K449" s="554">
        <v>0.61</v>
      </c>
      <c r="L449" s="553">
        <v>188</v>
      </c>
    </row>
    <row r="450" spans="2:12">
      <c r="B450" t="s">
        <v>649</v>
      </c>
      <c r="C450" t="s">
        <v>692</v>
      </c>
      <c r="D450">
        <v>836</v>
      </c>
      <c r="E450">
        <v>617</v>
      </c>
      <c r="F450" s="553">
        <v>197</v>
      </c>
      <c r="G450" t="s">
        <v>1458</v>
      </c>
      <c r="H450" s="554">
        <v>0.43</v>
      </c>
      <c r="I450" s="553">
        <v>192</v>
      </c>
      <c r="J450" t="s">
        <v>647</v>
      </c>
      <c r="K450" s="554">
        <v>0.43</v>
      </c>
      <c r="L450" s="553">
        <v>192</v>
      </c>
    </row>
    <row r="451" spans="2:12">
      <c r="B451" t="s">
        <v>748</v>
      </c>
      <c r="C451" t="s">
        <v>678</v>
      </c>
      <c r="D451">
        <v>845</v>
      </c>
      <c r="E451">
        <v>192</v>
      </c>
      <c r="F451" s="553">
        <v>196</v>
      </c>
      <c r="G451" t="s">
        <v>669</v>
      </c>
      <c r="H451" s="554">
        <v>0.5</v>
      </c>
      <c r="I451" s="553">
        <v>211</v>
      </c>
      <c r="J451" t="s">
        <v>663</v>
      </c>
      <c r="K451" s="554">
        <v>0.35</v>
      </c>
      <c r="L451" s="553">
        <v>165</v>
      </c>
    </row>
    <row r="452" spans="2:12">
      <c r="B452" t="s">
        <v>685</v>
      </c>
      <c r="C452" t="s">
        <v>717</v>
      </c>
      <c r="D452">
        <v>812</v>
      </c>
      <c r="E452">
        <v>282</v>
      </c>
      <c r="F452" s="553">
        <v>195</v>
      </c>
      <c r="G452" t="s">
        <v>645</v>
      </c>
      <c r="H452" s="554">
        <v>0.48</v>
      </c>
      <c r="I452" s="553">
        <v>222</v>
      </c>
      <c r="J452" t="s">
        <v>655</v>
      </c>
      <c r="K452" s="554">
        <v>0.13</v>
      </c>
      <c r="L452" s="553">
        <v>100</v>
      </c>
    </row>
    <row r="453" spans="2:12">
      <c r="B453" t="s">
        <v>711</v>
      </c>
      <c r="C453" t="s">
        <v>676</v>
      </c>
      <c r="D453">
        <v>843</v>
      </c>
      <c r="E453">
        <v>437</v>
      </c>
      <c r="F453" s="553">
        <v>195</v>
      </c>
      <c r="G453" t="s">
        <v>1459</v>
      </c>
      <c r="H453" s="554">
        <v>0.55000000000000004</v>
      </c>
      <c r="I453" s="553">
        <v>191</v>
      </c>
      <c r="J453" t="s">
        <v>663</v>
      </c>
      <c r="K453" s="554">
        <v>0.55000000000000004</v>
      </c>
      <c r="L453" s="553">
        <v>191</v>
      </c>
    </row>
    <row r="456" spans="2:12">
      <c r="B456" s="552" t="s">
        <v>797</v>
      </c>
    </row>
    <row r="457" spans="2:12">
      <c r="B457" t="s">
        <v>798</v>
      </c>
      <c r="C457" t="s">
        <v>650</v>
      </c>
      <c r="D457">
        <v>850</v>
      </c>
      <c r="E457">
        <v>185</v>
      </c>
      <c r="F457" s="553">
        <v>307</v>
      </c>
      <c r="G457" t="s">
        <v>653</v>
      </c>
      <c r="H457" s="554">
        <v>0.53</v>
      </c>
      <c r="I457" s="553">
        <v>317</v>
      </c>
      <c r="J457" t="s">
        <v>651</v>
      </c>
      <c r="K457" s="554">
        <v>0.28000000000000003</v>
      </c>
      <c r="L457" s="553">
        <v>296</v>
      </c>
    </row>
    <row r="458" spans="2:12">
      <c r="B458" t="s">
        <v>649</v>
      </c>
      <c r="C458" t="s">
        <v>706</v>
      </c>
      <c r="D458">
        <v>829</v>
      </c>
      <c r="E458">
        <v>181</v>
      </c>
      <c r="F458" s="553">
        <v>250</v>
      </c>
      <c r="G458" t="s">
        <v>645</v>
      </c>
      <c r="H458" s="554">
        <v>0.39</v>
      </c>
      <c r="I458" s="553">
        <v>244</v>
      </c>
      <c r="J458" t="s">
        <v>663</v>
      </c>
      <c r="K458" s="554">
        <v>0.25</v>
      </c>
      <c r="L458" s="553">
        <v>227</v>
      </c>
    </row>
    <row r="459" spans="2:12">
      <c r="B459" t="s">
        <v>774</v>
      </c>
      <c r="C459" t="s">
        <v>707</v>
      </c>
      <c r="D459">
        <v>807</v>
      </c>
      <c r="E459">
        <v>221</v>
      </c>
      <c r="F459" s="553">
        <v>236</v>
      </c>
      <c r="G459" t="s">
        <v>669</v>
      </c>
      <c r="H459" s="554">
        <v>0.46</v>
      </c>
      <c r="I459" s="553">
        <v>279</v>
      </c>
      <c r="J459" t="s">
        <v>638</v>
      </c>
      <c r="K459" s="554">
        <v>0.14000000000000001</v>
      </c>
      <c r="L459" s="553">
        <v>199</v>
      </c>
    </row>
    <row r="460" spans="2:12">
      <c r="B460" t="s">
        <v>662</v>
      </c>
      <c r="C460" t="s">
        <v>733</v>
      </c>
      <c r="D460">
        <v>824</v>
      </c>
      <c r="E460">
        <v>202</v>
      </c>
      <c r="F460" s="553">
        <v>227</v>
      </c>
      <c r="G460" t="s">
        <v>645</v>
      </c>
      <c r="H460" s="554">
        <v>0.87</v>
      </c>
      <c r="I460" s="553">
        <v>229</v>
      </c>
      <c r="J460" t="s">
        <v>663</v>
      </c>
      <c r="K460" s="554">
        <v>0.08</v>
      </c>
      <c r="L460" s="553">
        <v>207</v>
      </c>
    </row>
    <row r="461" spans="2:12">
      <c r="B461" t="s">
        <v>678</v>
      </c>
      <c r="C461" t="s">
        <v>706</v>
      </c>
      <c r="D461">
        <v>803</v>
      </c>
      <c r="E461">
        <v>185</v>
      </c>
      <c r="F461" s="553">
        <v>226</v>
      </c>
      <c r="G461" t="s">
        <v>669</v>
      </c>
      <c r="H461" s="554">
        <v>0.59</v>
      </c>
      <c r="I461" s="553">
        <v>234</v>
      </c>
      <c r="J461" t="s">
        <v>663</v>
      </c>
      <c r="K461" s="554">
        <v>0.21</v>
      </c>
      <c r="L461" s="553">
        <v>212</v>
      </c>
    </row>
    <row r="462" spans="2:12">
      <c r="B462" t="s">
        <v>673</v>
      </c>
      <c r="C462" t="s">
        <v>731</v>
      </c>
      <c r="D462">
        <v>808</v>
      </c>
      <c r="E462">
        <v>235</v>
      </c>
      <c r="F462" s="553">
        <v>220</v>
      </c>
      <c r="G462" t="s">
        <v>645</v>
      </c>
      <c r="H462" s="554">
        <v>0.78</v>
      </c>
      <c r="I462" s="553">
        <v>223</v>
      </c>
      <c r="J462" t="s">
        <v>652</v>
      </c>
      <c r="K462" s="554">
        <v>0.1</v>
      </c>
      <c r="L462" s="553">
        <v>214</v>
      </c>
    </row>
    <row r="463" spans="2:12">
      <c r="B463" t="s">
        <v>695</v>
      </c>
      <c r="C463" t="s">
        <v>704</v>
      </c>
      <c r="D463">
        <v>814</v>
      </c>
      <c r="E463">
        <v>361</v>
      </c>
      <c r="F463" s="553">
        <v>215</v>
      </c>
      <c r="G463" t="s">
        <v>645</v>
      </c>
      <c r="H463" s="554">
        <v>0.66</v>
      </c>
      <c r="I463" s="553">
        <v>221</v>
      </c>
      <c r="J463" t="s">
        <v>663</v>
      </c>
      <c r="K463" s="554">
        <v>0.3</v>
      </c>
      <c r="L463" s="553">
        <v>200</v>
      </c>
    </row>
    <row r="464" spans="2:12">
      <c r="B464" t="s">
        <v>681</v>
      </c>
      <c r="C464" t="s">
        <v>676</v>
      </c>
      <c r="D464">
        <v>822</v>
      </c>
      <c r="E464">
        <v>258</v>
      </c>
      <c r="F464" s="553">
        <v>214</v>
      </c>
      <c r="G464" t="s">
        <v>1459</v>
      </c>
      <c r="H464" s="554">
        <v>0.75</v>
      </c>
      <c r="I464" s="553">
        <v>207</v>
      </c>
      <c r="J464" t="s">
        <v>663</v>
      </c>
      <c r="K464" s="554">
        <v>0.75</v>
      </c>
      <c r="L464" s="553">
        <v>207</v>
      </c>
    </row>
    <row r="465" spans="2:12">
      <c r="B465" t="s">
        <v>678</v>
      </c>
      <c r="C465" t="s">
        <v>698</v>
      </c>
      <c r="D465">
        <v>817</v>
      </c>
      <c r="E465">
        <v>286</v>
      </c>
      <c r="F465" s="553">
        <v>211</v>
      </c>
      <c r="G465" t="s">
        <v>669</v>
      </c>
      <c r="H465" s="554">
        <v>0.56999999999999995</v>
      </c>
      <c r="I465" s="553">
        <v>220</v>
      </c>
      <c r="J465" t="s">
        <v>663</v>
      </c>
      <c r="K465" s="554">
        <v>0.3</v>
      </c>
      <c r="L465" s="553">
        <v>188</v>
      </c>
    </row>
    <row r="466" spans="2:12">
      <c r="B466" t="s">
        <v>649</v>
      </c>
      <c r="C466" t="s">
        <v>743</v>
      </c>
      <c r="D466">
        <v>818</v>
      </c>
      <c r="E466">
        <v>506</v>
      </c>
      <c r="F466" s="553">
        <v>205</v>
      </c>
      <c r="G466" t="s">
        <v>653</v>
      </c>
      <c r="H466" s="554">
        <v>0.48</v>
      </c>
      <c r="I466" s="553">
        <v>218</v>
      </c>
      <c r="J466" t="s">
        <v>644</v>
      </c>
      <c r="K466" s="554">
        <v>0.37</v>
      </c>
      <c r="L466" s="553">
        <v>200</v>
      </c>
    </row>
    <row r="467" spans="2:12">
      <c r="B467" t="s">
        <v>746</v>
      </c>
      <c r="C467" t="s">
        <v>711</v>
      </c>
      <c r="D467">
        <v>833</v>
      </c>
      <c r="E467">
        <v>260</v>
      </c>
      <c r="F467" s="553">
        <v>200</v>
      </c>
      <c r="G467" t="s">
        <v>1459</v>
      </c>
      <c r="H467" s="554">
        <v>0.61</v>
      </c>
      <c r="I467" s="553">
        <v>188</v>
      </c>
      <c r="J467" t="s">
        <v>663</v>
      </c>
      <c r="K467" s="554">
        <v>0.61</v>
      </c>
      <c r="L467" s="553">
        <v>188</v>
      </c>
    </row>
    <row r="468" spans="2:12">
      <c r="B468" t="s">
        <v>649</v>
      </c>
      <c r="C468" t="s">
        <v>692</v>
      </c>
      <c r="D468">
        <v>836</v>
      </c>
      <c r="E468">
        <v>617</v>
      </c>
      <c r="F468" s="553">
        <v>197</v>
      </c>
      <c r="G468" t="s">
        <v>1458</v>
      </c>
      <c r="H468" s="554">
        <v>0.43</v>
      </c>
      <c r="I468" s="553">
        <v>192</v>
      </c>
      <c r="J468" t="s">
        <v>647</v>
      </c>
      <c r="K468" s="554">
        <v>0.43</v>
      </c>
      <c r="L468" s="553">
        <v>192</v>
      </c>
    </row>
    <row r="469" spans="2:12">
      <c r="B469" t="s">
        <v>748</v>
      </c>
      <c r="C469" t="s">
        <v>678</v>
      </c>
      <c r="D469">
        <v>845</v>
      </c>
      <c r="E469">
        <v>192</v>
      </c>
      <c r="F469" s="553">
        <v>196</v>
      </c>
      <c r="G469" t="s">
        <v>669</v>
      </c>
      <c r="H469" s="554">
        <v>0.5</v>
      </c>
      <c r="I469" s="553">
        <v>211</v>
      </c>
      <c r="J469" t="s">
        <v>663</v>
      </c>
      <c r="K469" s="554">
        <v>0.35</v>
      </c>
      <c r="L469" s="553">
        <v>165</v>
      </c>
    </row>
    <row r="470" spans="2:12">
      <c r="B470" t="s">
        <v>685</v>
      </c>
      <c r="C470" t="s">
        <v>717</v>
      </c>
      <c r="D470">
        <v>812</v>
      </c>
      <c r="E470">
        <v>282</v>
      </c>
      <c r="F470" s="553">
        <v>195</v>
      </c>
      <c r="G470" t="s">
        <v>645</v>
      </c>
      <c r="H470" s="554">
        <v>0.48</v>
      </c>
      <c r="I470" s="553">
        <v>222</v>
      </c>
      <c r="J470" t="s">
        <v>655</v>
      </c>
      <c r="K470" s="554">
        <v>0.13</v>
      </c>
      <c r="L470" s="553">
        <v>100</v>
      </c>
    </row>
    <row r="471" spans="2:12">
      <c r="B471" t="s">
        <v>711</v>
      </c>
      <c r="C471" t="s">
        <v>676</v>
      </c>
      <c r="D471">
        <v>843</v>
      </c>
      <c r="E471">
        <v>437</v>
      </c>
      <c r="F471" s="553">
        <v>195</v>
      </c>
      <c r="G471" t="s">
        <v>1459</v>
      </c>
      <c r="H471" s="554">
        <v>0.55000000000000004</v>
      </c>
      <c r="I471" s="553">
        <v>191</v>
      </c>
      <c r="J471" t="s">
        <v>663</v>
      </c>
      <c r="K471" s="554">
        <v>0.55000000000000004</v>
      </c>
      <c r="L471" s="553">
        <v>191</v>
      </c>
    </row>
    <row r="473" spans="2:12">
      <c r="B473" s="552" t="s">
        <v>797</v>
      </c>
    </row>
    <row r="474" spans="2:12">
      <c r="B474" t="s">
        <v>780</v>
      </c>
      <c r="C474" t="s">
        <v>735</v>
      </c>
      <c r="D474">
        <v>833</v>
      </c>
      <c r="E474">
        <v>260</v>
      </c>
      <c r="F474" s="553">
        <v>192</v>
      </c>
      <c r="G474" t="s">
        <v>1459</v>
      </c>
      <c r="H474" s="554">
        <v>0.46</v>
      </c>
      <c r="I474" s="553">
        <v>157</v>
      </c>
      <c r="J474" t="s">
        <v>663</v>
      </c>
      <c r="K474" s="554">
        <v>0.46</v>
      </c>
      <c r="L474" s="553">
        <v>157</v>
      </c>
    </row>
    <row r="475" spans="2:12">
      <c r="B475" t="s">
        <v>722</v>
      </c>
      <c r="C475" t="s">
        <v>728</v>
      </c>
      <c r="D475">
        <v>804</v>
      </c>
      <c r="E475">
        <v>433</v>
      </c>
      <c r="F475" s="553">
        <v>192</v>
      </c>
      <c r="G475" t="s">
        <v>1459</v>
      </c>
      <c r="H475" s="554">
        <v>0.51</v>
      </c>
      <c r="I475" s="553">
        <v>187</v>
      </c>
      <c r="J475" t="s">
        <v>663</v>
      </c>
      <c r="K475" s="554">
        <v>0.51</v>
      </c>
      <c r="L475" s="553">
        <v>187</v>
      </c>
    </row>
    <row r="476" spans="2:12">
      <c r="B476" t="s">
        <v>678</v>
      </c>
      <c r="C476" t="s">
        <v>749</v>
      </c>
      <c r="D476">
        <v>804</v>
      </c>
      <c r="E476">
        <v>258</v>
      </c>
      <c r="F476" s="553">
        <v>188</v>
      </c>
      <c r="G476" t="s">
        <v>669</v>
      </c>
      <c r="H476" s="554">
        <v>0.52</v>
      </c>
      <c r="I476" s="553">
        <v>197</v>
      </c>
      <c r="J476" t="s">
        <v>663</v>
      </c>
      <c r="K476" s="554">
        <v>0.42</v>
      </c>
      <c r="L476" s="553">
        <v>172</v>
      </c>
    </row>
    <row r="477" spans="2:12">
      <c r="B477" t="s">
        <v>792</v>
      </c>
      <c r="C477" t="s">
        <v>749</v>
      </c>
      <c r="D477">
        <v>821</v>
      </c>
      <c r="E477">
        <v>301</v>
      </c>
      <c r="F477" s="553">
        <v>183</v>
      </c>
      <c r="G477" t="s">
        <v>653</v>
      </c>
      <c r="H477" s="554">
        <v>0.67</v>
      </c>
      <c r="I477" s="553">
        <v>193</v>
      </c>
      <c r="J477" t="s">
        <v>663</v>
      </c>
      <c r="K477" s="554">
        <v>0.3</v>
      </c>
      <c r="L477" s="553">
        <v>159</v>
      </c>
    </row>
    <row r="478" spans="2:12">
      <c r="B478" t="s">
        <v>781</v>
      </c>
      <c r="C478" t="s">
        <v>702</v>
      </c>
      <c r="D478">
        <v>819</v>
      </c>
      <c r="E478">
        <v>281</v>
      </c>
      <c r="F478" s="553">
        <v>177</v>
      </c>
      <c r="G478" t="s">
        <v>1459</v>
      </c>
      <c r="H478" s="554">
        <v>0.41</v>
      </c>
      <c r="I478" s="553">
        <v>152</v>
      </c>
      <c r="J478" t="s">
        <v>663</v>
      </c>
      <c r="K478" s="554">
        <v>0.41</v>
      </c>
      <c r="L478" s="553">
        <v>152</v>
      </c>
    </row>
    <row r="479" spans="2:12">
      <c r="B479" t="s">
        <v>680</v>
      </c>
      <c r="C479" t="s">
        <v>698</v>
      </c>
      <c r="D479">
        <v>813</v>
      </c>
      <c r="E479">
        <v>272</v>
      </c>
      <c r="F479" s="553">
        <v>177</v>
      </c>
      <c r="G479" t="s">
        <v>653</v>
      </c>
      <c r="H479" s="554">
        <v>0.83</v>
      </c>
      <c r="I479" s="553">
        <v>180</v>
      </c>
      <c r="J479" t="s">
        <v>644</v>
      </c>
      <c r="K479" s="554">
        <v>0.1</v>
      </c>
      <c r="L479" s="553">
        <v>155</v>
      </c>
    </row>
    <row r="480" spans="2:12">
      <c r="B480" t="s">
        <v>681</v>
      </c>
      <c r="C480" t="s">
        <v>650</v>
      </c>
      <c r="D480">
        <v>803</v>
      </c>
      <c r="E480" s="555">
        <v>2188</v>
      </c>
      <c r="F480" s="553">
        <v>176</v>
      </c>
      <c r="G480" t="s">
        <v>669</v>
      </c>
      <c r="H480" s="554">
        <v>0.28999999999999998</v>
      </c>
      <c r="I480" s="553">
        <v>181</v>
      </c>
      <c r="J480" t="s">
        <v>663</v>
      </c>
      <c r="K480" s="554">
        <v>0.17</v>
      </c>
      <c r="L480" s="553">
        <v>164</v>
      </c>
    </row>
    <row r="481" spans="2:12">
      <c r="B481" t="s">
        <v>722</v>
      </c>
      <c r="C481" t="s">
        <v>684</v>
      </c>
      <c r="D481">
        <v>836</v>
      </c>
      <c r="E481">
        <v>378</v>
      </c>
      <c r="F481" s="553">
        <v>173</v>
      </c>
      <c r="G481" t="s">
        <v>1459</v>
      </c>
      <c r="H481" s="554">
        <v>0.46</v>
      </c>
      <c r="I481" s="553">
        <v>167</v>
      </c>
      <c r="J481" t="s">
        <v>663</v>
      </c>
      <c r="K481" s="554">
        <v>0.46</v>
      </c>
      <c r="L481" s="553">
        <v>167</v>
      </c>
    </row>
    <row r="482" spans="2:12">
      <c r="B482" t="s">
        <v>722</v>
      </c>
      <c r="C482" t="s">
        <v>798</v>
      </c>
      <c r="D482">
        <v>826</v>
      </c>
      <c r="E482">
        <v>328</v>
      </c>
      <c r="F482" s="553">
        <v>167</v>
      </c>
      <c r="G482" t="s">
        <v>669</v>
      </c>
      <c r="H482" s="554">
        <v>0.59</v>
      </c>
      <c r="I482" s="553">
        <v>211</v>
      </c>
      <c r="J482" t="s">
        <v>668</v>
      </c>
      <c r="K482" s="554">
        <v>0.35</v>
      </c>
      <c r="L482" s="553">
        <v>83</v>
      </c>
    </row>
    <row r="483" spans="2:12">
      <c r="B483" t="s">
        <v>703</v>
      </c>
      <c r="C483" t="s">
        <v>662</v>
      </c>
      <c r="D483">
        <v>812</v>
      </c>
      <c r="E483">
        <v>513</v>
      </c>
      <c r="F483" s="553">
        <v>167</v>
      </c>
      <c r="G483" t="s">
        <v>645</v>
      </c>
      <c r="H483" s="554">
        <v>0.74</v>
      </c>
      <c r="I483" s="553">
        <v>176</v>
      </c>
      <c r="J483" t="s">
        <v>668</v>
      </c>
      <c r="K483" s="554">
        <v>0.11</v>
      </c>
      <c r="L483" s="553">
        <v>72</v>
      </c>
    </row>
    <row r="484" spans="2:12">
      <c r="B484" t="s">
        <v>687</v>
      </c>
      <c r="C484" t="s">
        <v>684</v>
      </c>
      <c r="D484">
        <v>806</v>
      </c>
      <c r="E484">
        <v>375</v>
      </c>
      <c r="F484" s="553">
        <v>167</v>
      </c>
      <c r="G484" t="s">
        <v>1459</v>
      </c>
      <c r="H484" s="554">
        <v>0.65</v>
      </c>
      <c r="I484" s="553">
        <v>169</v>
      </c>
      <c r="J484" t="s">
        <v>663</v>
      </c>
      <c r="K484" s="554">
        <v>0.65</v>
      </c>
      <c r="L484" s="553">
        <v>169</v>
      </c>
    </row>
    <row r="485" spans="2:12">
      <c r="B485" t="s">
        <v>768</v>
      </c>
      <c r="C485" t="s">
        <v>702</v>
      </c>
      <c r="D485">
        <v>846</v>
      </c>
      <c r="E485">
        <v>341</v>
      </c>
      <c r="F485" s="553">
        <v>165</v>
      </c>
      <c r="G485" t="s">
        <v>645</v>
      </c>
      <c r="H485" s="554">
        <v>0.45</v>
      </c>
      <c r="I485" s="553">
        <v>170</v>
      </c>
      <c r="J485" t="s">
        <v>663</v>
      </c>
      <c r="K485" s="554">
        <v>0.23</v>
      </c>
      <c r="L485" s="553">
        <v>144</v>
      </c>
    </row>
    <row r="486" spans="2:12">
      <c r="B486" t="s">
        <v>686</v>
      </c>
      <c r="C486" t="s">
        <v>702</v>
      </c>
      <c r="D486">
        <v>850</v>
      </c>
      <c r="E486" s="555">
        <v>1969</v>
      </c>
      <c r="F486" s="553">
        <v>159</v>
      </c>
      <c r="G486" t="s">
        <v>1459</v>
      </c>
      <c r="H486" s="554">
        <v>0.54</v>
      </c>
      <c r="I486" s="553">
        <v>152</v>
      </c>
      <c r="J486" t="s">
        <v>663</v>
      </c>
      <c r="K486" s="554">
        <v>0.54</v>
      </c>
      <c r="L486" s="553">
        <v>152</v>
      </c>
    </row>
    <row r="487" spans="2:12">
      <c r="B487" t="s">
        <v>722</v>
      </c>
      <c r="C487" t="s">
        <v>712</v>
      </c>
      <c r="D487">
        <v>844</v>
      </c>
      <c r="E487">
        <v>253</v>
      </c>
      <c r="F487" s="553">
        <v>159</v>
      </c>
      <c r="G487" t="s">
        <v>669</v>
      </c>
      <c r="H487" s="554">
        <v>0.48</v>
      </c>
      <c r="I487" s="553">
        <v>183</v>
      </c>
      <c r="J487" t="s">
        <v>668</v>
      </c>
      <c r="K487" s="554">
        <v>0.12</v>
      </c>
      <c r="L487" s="553">
        <v>77</v>
      </c>
    </row>
    <row r="488" spans="2:12">
      <c r="B488" t="s">
        <v>685</v>
      </c>
      <c r="C488" t="s">
        <v>715</v>
      </c>
      <c r="D488">
        <v>825</v>
      </c>
      <c r="E488">
        <v>420</v>
      </c>
      <c r="F488" s="553">
        <v>151</v>
      </c>
      <c r="G488" t="s">
        <v>645</v>
      </c>
      <c r="H488" s="554">
        <v>0.38</v>
      </c>
      <c r="I488" s="553">
        <v>172</v>
      </c>
      <c r="J488" t="s">
        <v>659</v>
      </c>
      <c r="K488" s="554">
        <v>0.19</v>
      </c>
      <c r="L488" s="553">
        <v>88</v>
      </c>
    </row>
    <row r="489" spans="2:12">
      <c r="B489" t="s">
        <v>721</v>
      </c>
      <c r="C489" t="s">
        <v>661</v>
      </c>
      <c r="D489">
        <v>813</v>
      </c>
      <c r="E489">
        <v>970</v>
      </c>
      <c r="F489" s="553">
        <v>148</v>
      </c>
      <c r="G489" t="s">
        <v>653</v>
      </c>
      <c r="H489" s="554">
        <v>0.7</v>
      </c>
      <c r="I489" s="553">
        <v>155</v>
      </c>
      <c r="J489" t="s">
        <v>663</v>
      </c>
      <c r="K489" s="554">
        <v>0.22</v>
      </c>
      <c r="L489" s="553">
        <v>131</v>
      </c>
    </row>
    <row r="490" spans="2:12">
      <c r="B490" t="s">
        <v>700</v>
      </c>
      <c r="C490" t="s">
        <v>667</v>
      </c>
      <c r="D490">
        <v>802</v>
      </c>
      <c r="E490">
        <v>719</v>
      </c>
      <c r="F490" s="553">
        <v>147</v>
      </c>
      <c r="G490" t="s">
        <v>1459</v>
      </c>
      <c r="H490" s="554">
        <v>0.74</v>
      </c>
      <c r="I490" s="553">
        <v>151</v>
      </c>
      <c r="J490" t="s">
        <v>659</v>
      </c>
      <c r="K490" s="554">
        <v>0.11</v>
      </c>
      <c r="L490" s="553">
        <v>80</v>
      </c>
    </row>
    <row r="491" spans="2:12">
      <c r="B491" t="s">
        <v>679</v>
      </c>
      <c r="C491" t="s">
        <v>729</v>
      </c>
      <c r="D491">
        <v>836</v>
      </c>
      <c r="E491">
        <v>916</v>
      </c>
      <c r="F491" s="553">
        <v>145</v>
      </c>
      <c r="G491" t="s">
        <v>1459</v>
      </c>
      <c r="H491" s="554">
        <v>0.39</v>
      </c>
      <c r="I491" s="553">
        <v>144</v>
      </c>
      <c r="J491" t="s">
        <v>663</v>
      </c>
      <c r="K491" s="554">
        <v>0.39</v>
      </c>
      <c r="L491" s="553">
        <v>144</v>
      </c>
    </row>
    <row r="492" spans="2:12">
      <c r="B492" t="s">
        <v>667</v>
      </c>
      <c r="C492" t="s">
        <v>732</v>
      </c>
      <c r="D492">
        <v>834</v>
      </c>
      <c r="E492">
        <v>915</v>
      </c>
      <c r="F492" s="553">
        <v>145</v>
      </c>
      <c r="G492" t="s">
        <v>1459</v>
      </c>
      <c r="H492" s="554">
        <v>0.7</v>
      </c>
      <c r="I492" s="553">
        <v>153</v>
      </c>
      <c r="J492" t="s">
        <v>659</v>
      </c>
      <c r="K492" s="554">
        <v>0.18</v>
      </c>
      <c r="L492" s="553">
        <v>79</v>
      </c>
    </row>
    <row r="493" spans="2:12">
      <c r="B493" t="s">
        <v>679</v>
      </c>
      <c r="C493" t="s">
        <v>662</v>
      </c>
      <c r="D493">
        <v>801</v>
      </c>
      <c r="E493" s="555">
        <v>3653</v>
      </c>
      <c r="F493" s="553">
        <v>144</v>
      </c>
      <c r="G493" t="s">
        <v>645</v>
      </c>
      <c r="H493" s="554">
        <v>0.47</v>
      </c>
      <c r="I493" s="553">
        <v>158</v>
      </c>
      <c r="J493" t="s">
        <v>663</v>
      </c>
      <c r="K493" s="554">
        <v>0.38</v>
      </c>
      <c r="L493" s="553">
        <v>128</v>
      </c>
    </row>
    <row r="494" spans="2:12">
      <c r="B494" t="s">
        <v>743</v>
      </c>
      <c r="C494" t="s">
        <v>667</v>
      </c>
      <c r="D494">
        <v>829</v>
      </c>
      <c r="E494">
        <v>818</v>
      </c>
      <c r="F494" s="553">
        <v>142</v>
      </c>
      <c r="G494" t="s">
        <v>1459</v>
      </c>
      <c r="H494" s="554">
        <v>0.69</v>
      </c>
      <c r="I494" s="553">
        <v>148</v>
      </c>
      <c r="J494" t="s">
        <v>668</v>
      </c>
      <c r="K494" s="554">
        <v>0.05</v>
      </c>
      <c r="L494" s="553">
        <v>71</v>
      </c>
    </row>
    <row r="495" spans="2:12">
      <c r="B495" t="s">
        <v>700</v>
      </c>
      <c r="C495" t="s">
        <v>686</v>
      </c>
      <c r="D495">
        <v>829</v>
      </c>
      <c r="E495">
        <v>525</v>
      </c>
      <c r="F495" s="553">
        <v>140</v>
      </c>
      <c r="G495" t="s">
        <v>1459</v>
      </c>
      <c r="H495" s="554">
        <v>0.64</v>
      </c>
      <c r="I495" s="553">
        <v>146</v>
      </c>
      <c r="J495" t="s">
        <v>655</v>
      </c>
      <c r="K495" s="554">
        <v>0.14000000000000001</v>
      </c>
      <c r="L495" s="553">
        <v>75</v>
      </c>
    </row>
    <row r="496" spans="2:12">
      <c r="B496" t="s">
        <v>743</v>
      </c>
      <c r="C496" t="s">
        <v>686</v>
      </c>
      <c r="D496">
        <v>840</v>
      </c>
      <c r="E496">
        <v>626</v>
      </c>
      <c r="F496" s="553">
        <v>134</v>
      </c>
      <c r="G496" t="s">
        <v>1459</v>
      </c>
      <c r="H496" s="554">
        <v>0.62</v>
      </c>
      <c r="I496" s="553">
        <v>142</v>
      </c>
      <c r="J496" t="s">
        <v>655</v>
      </c>
      <c r="K496" s="554">
        <v>0.17</v>
      </c>
      <c r="L496" s="553">
        <v>78</v>
      </c>
    </row>
    <row r="497" spans="2:12">
      <c r="B497" t="s">
        <v>685</v>
      </c>
      <c r="C497" t="s">
        <v>681</v>
      </c>
      <c r="D497">
        <v>806</v>
      </c>
      <c r="E497" s="555">
        <v>1200</v>
      </c>
      <c r="F497" s="553">
        <v>127</v>
      </c>
      <c r="G497" t="s">
        <v>1459</v>
      </c>
      <c r="H497" s="554">
        <v>0.57999999999999996</v>
      </c>
      <c r="I497" s="553">
        <v>120</v>
      </c>
      <c r="J497" t="s">
        <v>663</v>
      </c>
      <c r="K497" s="554">
        <v>0.57999999999999996</v>
      </c>
      <c r="L497" s="553">
        <v>120</v>
      </c>
    </row>
    <row r="498" spans="2:12">
      <c r="B498" t="s">
        <v>703</v>
      </c>
      <c r="C498" t="s">
        <v>755</v>
      </c>
      <c r="D498">
        <v>812</v>
      </c>
      <c r="E498">
        <v>196</v>
      </c>
      <c r="F498" s="553">
        <v>115</v>
      </c>
      <c r="G498" t="s">
        <v>1460</v>
      </c>
      <c r="H498" s="554">
        <v>0.57999999999999996</v>
      </c>
      <c r="I498" s="553">
        <v>86</v>
      </c>
      <c r="J498" t="s">
        <v>655</v>
      </c>
      <c r="K498" s="554">
        <v>0.57999999999999996</v>
      </c>
      <c r="L498" s="553">
        <v>86</v>
      </c>
    </row>
    <row r="499" spans="2:12">
      <c r="F499" s="553"/>
      <c r="H499" s="554"/>
      <c r="I499" s="553"/>
      <c r="K499" s="554"/>
      <c r="L499" s="553"/>
    </row>
    <row r="500" spans="2:12">
      <c r="B500" s="552" t="s">
        <v>799</v>
      </c>
    </row>
    <row r="501" spans="2:12">
      <c r="B501" t="s">
        <v>649</v>
      </c>
      <c r="C501" t="s">
        <v>690</v>
      </c>
      <c r="D501">
        <v>860</v>
      </c>
      <c r="E501">
        <v>229</v>
      </c>
      <c r="F501" s="553">
        <v>261</v>
      </c>
      <c r="G501" t="s">
        <v>653</v>
      </c>
      <c r="H501" s="554">
        <v>0.49</v>
      </c>
      <c r="I501" s="553">
        <v>271</v>
      </c>
      <c r="J501" t="s">
        <v>663</v>
      </c>
      <c r="K501" s="554">
        <v>0.22</v>
      </c>
      <c r="L501" s="553">
        <v>228</v>
      </c>
    </row>
    <row r="502" spans="2:12">
      <c r="B502" t="s">
        <v>714</v>
      </c>
      <c r="C502" t="s">
        <v>721</v>
      </c>
      <c r="D502">
        <v>853</v>
      </c>
      <c r="E502">
        <v>245</v>
      </c>
      <c r="F502" s="553">
        <v>256</v>
      </c>
      <c r="G502" t="s">
        <v>653</v>
      </c>
      <c r="H502" s="554">
        <v>0.82</v>
      </c>
      <c r="I502" s="553">
        <v>262</v>
      </c>
      <c r="J502" t="s">
        <v>644</v>
      </c>
      <c r="K502" s="554">
        <v>0.06</v>
      </c>
      <c r="L502" s="553">
        <v>223</v>
      </c>
    </row>
    <row r="503" spans="2:12">
      <c r="B503" t="s">
        <v>679</v>
      </c>
      <c r="C503" t="s">
        <v>696</v>
      </c>
      <c r="D503">
        <v>900</v>
      </c>
      <c r="E503">
        <v>335</v>
      </c>
      <c r="F503" s="553">
        <v>232</v>
      </c>
      <c r="G503" t="s">
        <v>645</v>
      </c>
      <c r="H503" s="554">
        <v>0.41</v>
      </c>
      <c r="I503" s="553">
        <v>225</v>
      </c>
      <c r="J503" t="s">
        <v>663</v>
      </c>
      <c r="K503" s="554">
        <v>0.17</v>
      </c>
      <c r="L503" s="553">
        <v>215</v>
      </c>
    </row>
    <row r="504" spans="2:12">
      <c r="B504" t="s">
        <v>718</v>
      </c>
      <c r="C504" t="s">
        <v>681</v>
      </c>
      <c r="D504">
        <v>852</v>
      </c>
      <c r="E504">
        <v>213</v>
      </c>
      <c r="F504" s="553">
        <v>221</v>
      </c>
      <c r="G504" t="s">
        <v>1459</v>
      </c>
      <c r="H504" s="554">
        <v>0.63</v>
      </c>
      <c r="I504" s="553">
        <v>212</v>
      </c>
      <c r="J504" t="s">
        <v>663</v>
      </c>
      <c r="K504" s="554">
        <v>0.63</v>
      </c>
      <c r="L504" s="553">
        <v>212</v>
      </c>
    </row>
    <row r="505" spans="2:12">
      <c r="B505" t="s">
        <v>662</v>
      </c>
      <c r="C505" t="s">
        <v>748</v>
      </c>
      <c r="D505">
        <v>862</v>
      </c>
      <c r="E505">
        <v>196</v>
      </c>
      <c r="F505" s="553">
        <v>220</v>
      </c>
      <c r="G505" t="s">
        <v>645</v>
      </c>
      <c r="H505" s="554">
        <v>0.73</v>
      </c>
      <c r="I505" s="553">
        <v>220</v>
      </c>
      <c r="J505" t="s">
        <v>663</v>
      </c>
      <c r="K505" s="554">
        <v>0.12</v>
      </c>
      <c r="L505" s="553">
        <v>193</v>
      </c>
    </row>
    <row r="506" spans="2:12">
      <c r="B506" t="s">
        <v>716</v>
      </c>
      <c r="C506" t="s">
        <v>707</v>
      </c>
      <c r="D506">
        <v>896</v>
      </c>
      <c r="E506">
        <v>466</v>
      </c>
      <c r="F506" s="553">
        <v>217</v>
      </c>
      <c r="G506" t="s">
        <v>1459</v>
      </c>
      <c r="H506" s="554">
        <v>0.59</v>
      </c>
      <c r="I506" s="553">
        <v>197</v>
      </c>
      <c r="J506" t="s">
        <v>663</v>
      </c>
      <c r="K506" s="554">
        <v>0.59</v>
      </c>
      <c r="L506" s="553">
        <v>197</v>
      </c>
    </row>
    <row r="507" spans="2:12">
      <c r="B507" t="s">
        <v>678</v>
      </c>
      <c r="C507" t="s">
        <v>743</v>
      </c>
      <c r="D507">
        <v>861</v>
      </c>
      <c r="E507">
        <v>383</v>
      </c>
      <c r="F507" s="553">
        <v>211</v>
      </c>
      <c r="G507" t="s">
        <v>669</v>
      </c>
      <c r="H507" s="554">
        <v>0.54</v>
      </c>
      <c r="I507" s="553">
        <v>222</v>
      </c>
      <c r="J507" t="s">
        <v>663</v>
      </c>
      <c r="K507" s="554">
        <v>0.33</v>
      </c>
      <c r="L507" s="553">
        <v>186</v>
      </c>
    </row>
    <row r="508" spans="2:12">
      <c r="B508" t="s">
        <v>662</v>
      </c>
      <c r="C508" t="s">
        <v>690</v>
      </c>
      <c r="D508">
        <v>853</v>
      </c>
      <c r="E508">
        <v>455</v>
      </c>
      <c r="F508" s="553">
        <v>208</v>
      </c>
      <c r="G508" t="s">
        <v>645</v>
      </c>
      <c r="H508" s="554">
        <v>0.69</v>
      </c>
      <c r="I508" s="553">
        <v>209</v>
      </c>
      <c r="J508" t="s">
        <v>663</v>
      </c>
      <c r="K508" s="554">
        <v>0.25</v>
      </c>
      <c r="L508" s="553">
        <v>194</v>
      </c>
    </row>
    <row r="509" spans="2:12">
      <c r="B509" t="s">
        <v>721</v>
      </c>
      <c r="C509" t="s">
        <v>676</v>
      </c>
      <c r="D509">
        <v>874</v>
      </c>
      <c r="E509">
        <v>461</v>
      </c>
      <c r="F509" s="553">
        <v>206</v>
      </c>
      <c r="G509" t="s">
        <v>653</v>
      </c>
      <c r="H509" s="554">
        <v>0.68</v>
      </c>
      <c r="I509" s="553">
        <v>217</v>
      </c>
      <c r="J509" t="s">
        <v>663</v>
      </c>
      <c r="K509" s="554">
        <v>0.25</v>
      </c>
      <c r="L509" s="553">
        <v>179</v>
      </c>
    </row>
    <row r="510" spans="2:12">
      <c r="B510" t="s">
        <v>721</v>
      </c>
      <c r="C510" t="s">
        <v>718</v>
      </c>
      <c r="D510">
        <v>859</v>
      </c>
      <c r="E510">
        <v>587</v>
      </c>
      <c r="F510" s="553">
        <v>204</v>
      </c>
      <c r="G510" t="s">
        <v>653</v>
      </c>
      <c r="H510" s="554">
        <v>0.72</v>
      </c>
      <c r="I510" s="553">
        <v>232</v>
      </c>
      <c r="J510" t="s">
        <v>668</v>
      </c>
      <c r="K510" s="554">
        <v>0.17</v>
      </c>
      <c r="L510" s="553">
        <v>83</v>
      </c>
    </row>
    <row r="511" spans="2:12">
      <c r="B511" t="s">
        <v>649</v>
      </c>
      <c r="C511" t="s">
        <v>679</v>
      </c>
      <c r="D511">
        <v>867</v>
      </c>
      <c r="E511" s="555">
        <v>3359</v>
      </c>
      <c r="F511" s="553">
        <v>204</v>
      </c>
      <c r="G511" t="s">
        <v>645</v>
      </c>
      <c r="H511" s="554">
        <v>0.28000000000000003</v>
      </c>
      <c r="I511" s="553">
        <v>225</v>
      </c>
      <c r="J511" t="s">
        <v>647</v>
      </c>
      <c r="K511" s="554">
        <v>0.13</v>
      </c>
      <c r="L511" s="553">
        <v>174</v>
      </c>
    </row>
    <row r="512" spans="2:12">
      <c r="B512" t="s">
        <v>679</v>
      </c>
      <c r="C512" t="s">
        <v>698</v>
      </c>
      <c r="D512">
        <v>864</v>
      </c>
      <c r="E512">
        <v>519</v>
      </c>
      <c r="F512" s="553">
        <v>197</v>
      </c>
      <c r="G512" t="s">
        <v>669</v>
      </c>
      <c r="H512" s="554">
        <v>0.38</v>
      </c>
      <c r="I512" s="553">
        <v>200</v>
      </c>
      <c r="J512" t="s">
        <v>663</v>
      </c>
      <c r="K512" s="554">
        <v>0.22</v>
      </c>
      <c r="L512" s="553">
        <v>176</v>
      </c>
    </row>
    <row r="514" spans="2:12">
      <c r="B514" s="552" t="s">
        <v>799</v>
      </c>
    </row>
    <row r="515" spans="2:12">
      <c r="B515" t="s">
        <v>661</v>
      </c>
      <c r="C515" t="s">
        <v>711</v>
      </c>
      <c r="D515">
        <v>872</v>
      </c>
      <c r="E515">
        <v>663</v>
      </c>
      <c r="F515" s="553">
        <v>193</v>
      </c>
      <c r="G515" t="s">
        <v>1459</v>
      </c>
      <c r="H515" s="554">
        <v>0.55000000000000004</v>
      </c>
      <c r="I515" s="553">
        <v>189</v>
      </c>
      <c r="J515" t="s">
        <v>663</v>
      </c>
      <c r="K515" s="554">
        <v>0.55000000000000004</v>
      </c>
      <c r="L515" s="553">
        <v>189</v>
      </c>
    </row>
    <row r="516" spans="2:12">
      <c r="B516" t="s">
        <v>678</v>
      </c>
      <c r="C516" t="s">
        <v>773</v>
      </c>
      <c r="D516">
        <v>853</v>
      </c>
      <c r="E516">
        <v>181</v>
      </c>
      <c r="F516" s="553">
        <v>188</v>
      </c>
      <c r="G516" t="s">
        <v>669</v>
      </c>
      <c r="H516" s="554">
        <v>0.51</v>
      </c>
      <c r="I516" s="553">
        <v>197</v>
      </c>
      <c r="J516" t="s">
        <v>663</v>
      </c>
      <c r="K516" s="554">
        <v>0.32</v>
      </c>
      <c r="L516" s="553">
        <v>171</v>
      </c>
    </row>
    <row r="517" spans="2:12">
      <c r="B517" t="s">
        <v>703</v>
      </c>
      <c r="C517" t="s">
        <v>678</v>
      </c>
      <c r="D517">
        <v>886</v>
      </c>
      <c r="E517">
        <v>367</v>
      </c>
      <c r="F517" s="553">
        <v>188</v>
      </c>
      <c r="G517" t="s">
        <v>669</v>
      </c>
      <c r="H517" s="554">
        <v>0.65</v>
      </c>
      <c r="I517" s="553">
        <v>195</v>
      </c>
      <c r="J517" t="s">
        <v>663</v>
      </c>
      <c r="K517" s="554">
        <v>0.2</v>
      </c>
      <c r="L517" s="553">
        <v>145</v>
      </c>
    </row>
    <row r="518" spans="2:12">
      <c r="B518" t="s">
        <v>702</v>
      </c>
      <c r="C518" t="s">
        <v>771</v>
      </c>
      <c r="D518">
        <v>883</v>
      </c>
      <c r="E518">
        <v>663</v>
      </c>
      <c r="F518" s="553">
        <v>186</v>
      </c>
      <c r="G518" t="s">
        <v>1459</v>
      </c>
      <c r="H518" s="554">
        <v>0.38</v>
      </c>
      <c r="I518" s="553">
        <v>186</v>
      </c>
      <c r="J518" t="s">
        <v>647</v>
      </c>
      <c r="K518" s="554">
        <v>0.12</v>
      </c>
      <c r="L518" s="553">
        <v>178</v>
      </c>
    </row>
    <row r="519" spans="2:12">
      <c r="B519" t="s">
        <v>727</v>
      </c>
      <c r="C519" t="s">
        <v>702</v>
      </c>
      <c r="D519">
        <v>888</v>
      </c>
      <c r="E519">
        <v>184</v>
      </c>
      <c r="F519" s="553">
        <v>182</v>
      </c>
      <c r="G519" t="s">
        <v>1459</v>
      </c>
      <c r="H519" s="554">
        <v>0.47</v>
      </c>
      <c r="I519" s="553">
        <v>154</v>
      </c>
      <c r="J519" t="s">
        <v>663</v>
      </c>
      <c r="K519" s="554">
        <v>0.47</v>
      </c>
      <c r="L519" s="553">
        <v>154</v>
      </c>
    </row>
    <row r="520" spans="2:12">
      <c r="B520" t="s">
        <v>724</v>
      </c>
      <c r="C520" t="s">
        <v>685</v>
      </c>
      <c r="D520">
        <v>859</v>
      </c>
      <c r="E520">
        <v>381</v>
      </c>
      <c r="F520" s="553">
        <v>180</v>
      </c>
      <c r="G520" t="s">
        <v>645</v>
      </c>
      <c r="H520" s="554">
        <v>0.37</v>
      </c>
      <c r="I520" s="553">
        <v>208</v>
      </c>
      <c r="J520" t="s">
        <v>655</v>
      </c>
      <c r="K520" s="554">
        <v>0.25</v>
      </c>
      <c r="L520" s="553">
        <v>102</v>
      </c>
    </row>
    <row r="521" spans="2:12">
      <c r="B521" t="s">
        <v>722</v>
      </c>
      <c r="C521" t="s">
        <v>690</v>
      </c>
      <c r="D521">
        <v>896</v>
      </c>
      <c r="E521">
        <v>731</v>
      </c>
      <c r="F521" s="553">
        <v>179</v>
      </c>
      <c r="G521" t="s">
        <v>1459</v>
      </c>
      <c r="H521" s="554">
        <v>0.56000000000000005</v>
      </c>
      <c r="I521" s="553">
        <v>175</v>
      </c>
      <c r="J521" t="s">
        <v>668</v>
      </c>
      <c r="K521" s="554">
        <v>0.12</v>
      </c>
      <c r="L521" s="553">
        <v>74</v>
      </c>
    </row>
    <row r="522" spans="2:12">
      <c r="B522" t="s">
        <v>735</v>
      </c>
      <c r="C522" t="s">
        <v>640</v>
      </c>
      <c r="D522">
        <v>859</v>
      </c>
      <c r="E522" s="555">
        <v>3533</v>
      </c>
      <c r="F522" s="553">
        <v>178</v>
      </c>
      <c r="G522" t="s">
        <v>639</v>
      </c>
      <c r="H522" s="554">
        <v>0.67</v>
      </c>
      <c r="I522" s="553">
        <v>174</v>
      </c>
      <c r="J522" t="s">
        <v>663</v>
      </c>
      <c r="K522" s="554">
        <v>0.1</v>
      </c>
      <c r="L522" s="553">
        <v>171</v>
      </c>
    </row>
    <row r="523" spans="2:12">
      <c r="B523" t="s">
        <v>774</v>
      </c>
      <c r="C523" t="s">
        <v>691</v>
      </c>
      <c r="D523">
        <v>874</v>
      </c>
      <c r="E523">
        <v>237</v>
      </c>
      <c r="F523" s="553">
        <v>176</v>
      </c>
      <c r="G523" t="s">
        <v>653</v>
      </c>
      <c r="H523" s="554">
        <v>0.7</v>
      </c>
      <c r="I523" s="553">
        <v>203</v>
      </c>
      <c r="J523" t="s">
        <v>664</v>
      </c>
      <c r="K523" s="554">
        <v>0.27</v>
      </c>
      <c r="L523" s="553">
        <v>103</v>
      </c>
    </row>
    <row r="524" spans="2:12">
      <c r="B524" t="s">
        <v>772</v>
      </c>
      <c r="C524" t="s">
        <v>678</v>
      </c>
      <c r="D524">
        <v>861</v>
      </c>
      <c r="E524">
        <v>215</v>
      </c>
      <c r="F524" s="553">
        <v>175</v>
      </c>
      <c r="G524" t="s">
        <v>669</v>
      </c>
      <c r="H524" s="554">
        <v>0.71</v>
      </c>
      <c r="I524" s="553">
        <v>180</v>
      </c>
      <c r="J524" t="s">
        <v>663</v>
      </c>
      <c r="K524" s="554">
        <v>0.2</v>
      </c>
      <c r="L524" s="553">
        <v>148</v>
      </c>
    </row>
    <row r="525" spans="2:12">
      <c r="B525" t="s">
        <v>704</v>
      </c>
      <c r="C525" t="s">
        <v>686</v>
      </c>
      <c r="D525">
        <v>869</v>
      </c>
      <c r="E525">
        <v>441</v>
      </c>
      <c r="F525" s="553">
        <v>174</v>
      </c>
      <c r="G525" t="s">
        <v>1459</v>
      </c>
      <c r="H525" s="554">
        <v>0.83</v>
      </c>
      <c r="I525" s="553">
        <v>170</v>
      </c>
      <c r="J525" t="s">
        <v>663</v>
      </c>
      <c r="K525" s="554">
        <v>0.83</v>
      </c>
      <c r="L525" s="553">
        <v>170</v>
      </c>
    </row>
    <row r="526" spans="2:12">
      <c r="B526" t="s">
        <v>698</v>
      </c>
      <c r="C526" t="s">
        <v>650</v>
      </c>
      <c r="D526">
        <v>869</v>
      </c>
      <c r="E526" s="555">
        <v>1469</v>
      </c>
      <c r="F526" s="553">
        <v>167</v>
      </c>
      <c r="G526" t="s">
        <v>1458</v>
      </c>
      <c r="H526" s="554">
        <v>0.36</v>
      </c>
      <c r="I526" s="553">
        <v>152</v>
      </c>
      <c r="J526" t="s">
        <v>647</v>
      </c>
      <c r="K526" s="554">
        <v>0.36</v>
      </c>
      <c r="L526" s="553">
        <v>152</v>
      </c>
    </row>
    <row r="527" spans="2:12">
      <c r="B527" t="s">
        <v>662</v>
      </c>
      <c r="C527" t="s">
        <v>711</v>
      </c>
      <c r="D527">
        <v>879</v>
      </c>
      <c r="E527" s="555">
        <v>1903</v>
      </c>
      <c r="F527" s="553">
        <v>161</v>
      </c>
      <c r="G527" t="s">
        <v>645</v>
      </c>
      <c r="H527" s="554">
        <v>0.49</v>
      </c>
      <c r="I527" s="553">
        <v>184</v>
      </c>
      <c r="J527" t="s">
        <v>663</v>
      </c>
      <c r="K527" s="554">
        <v>0.46</v>
      </c>
      <c r="L527" s="553">
        <v>140</v>
      </c>
    </row>
    <row r="528" spans="2:12">
      <c r="B528" t="s">
        <v>722</v>
      </c>
      <c r="C528" t="s">
        <v>724</v>
      </c>
      <c r="D528">
        <v>872</v>
      </c>
      <c r="E528">
        <v>311</v>
      </c>
      <c r="F528" s="553">
        <v>161</v>
      </c>
      <c r="G528" t="s">
        <v>669</v>
      </c>
      <c r="H528" s="554">
        <v>0.39</v>
      </c>
      <c r="I528" s="553">
        <v>198</v>
      </c>
      <c r="J528" t="s">
        <v>668</v>
      </c>
      <c r="K528" s="554">
        <v>0.17</v>
      </c>
      <c r="L528" s="553">
        <v>70</v>
      </c>
    </row>
    <row r="529" spans="2:12">
      <c r="B529" t="s">
        <v>755</v>
      </c>
      <c r="C529" t="s">
        <v>702</v>
      </c>
      <c r="D529">
        <v>880</v>
      </c>
      <c r="E529">
        <v>525</v>
      </c>
      <c r="F529" s="553">
        <v>158</v>
      </c>
      <c r="G529" t="s">
        <v>1459</v>
      </c>
      <c r="H529" s="554">
        <v>0.51</v>
      </c>
      <c r="I529" s="553">
        <v>150</v>
      </c>
      <c r="J529" t="s">
        <v>663</v>
      </c>
      <c r="K529" s="554">
        <v>0.51</v>
      </c>
      <c r="L529" s="553">
        <v>150</v>
      </c>
    </row>
    <row r="530" spans="2:12">
      <c r="B530" t="s">
        <v>722</v>
      </c>
      <c r="C530" t="s">
        <v>710</v>
      </c>
      <c r="D530">
        <v>853</v>
      </c>
      <c r="E530" s="555">
        <v>1907</v>
      </c>
      <c r="F530" s="553">
        <v>157</v>
      </c>
      <c r="G530" t="s">
        <v>1459</v>
      </c>
      <c r="H530" s="554">
        <v>0.47</v>
      </c>
      <c r="I530" s="553">
        <v>163</v>
      </c>
      <c r="J530" t="s">
        <v>668</v>
      </c>
      <c r="K530" s="554">
        <v>0.15</v>
      </c>
      <c r="L530" s="553">
        <v>86</v>
      </c>
    </row>
    <row r="531" spans="2:12">
      <c r="B531" t="s">
        <v>732</v>
      </c>
      <c r="C531" t="s">
        <v>686</v>
      </c>
      <c r="D531">
        <v>878</v>
      </c>
      <c r="E531">
        <v>612</v>
      </c>
      <c r="F531" s="553">
        <v>154</v>
      </c>
      <c r="G531" t="s">
        <v>1459</v>
      </c>
      <c r="H531" s="554">
        <v>0.55000000000000004</v>
      </c>
      <c r="I531" s="553">
        <v>178</v>
      </c>
      <c r="J531" t="s">
        <v>659</v>
      </c>
      <c r="K531" s="554">
        <v>0.12</v>
      </c>
      <c r="L531" s="553">
        <v>75</v>
      </c>
    </row>
    <row r="532" spans="2:12">
      <c r="B532" t="s">
        <v>667</v>
      </c>
      <c r="C532" t="s">
        <v>704</v>
      </c>
      <c r="D532">
        <v>882</v>
      </c>
      <c r="E532">
        <v>875</v>
      </c>
      <c r="F532" s="553">
        <v>150</v>
      </c>
      <c r="G532" t="s">
        <v>1459</v>
      </c>
      <c r="H532" s="554">
        <v>0.74</v>
      </c>
      <c r="I532" s="553">
        <v>163</v>
      </c>
      <c r="J532" t="s">
        <v>668</v>
      </c>
      <c r="K532" s="554">
        <v>0.14000000000000001</v>
      </c>
      <c r="L532" s="553">
        <v>74</v>
      </c>
    </row>
    <row r="533" spans="2:12">
      <c r="B533" t="s">
        <v>679</v>
      </c>
      <c r="C533" t="s">
        <v>722</v>
      </c>
      <c r="D533">
        <v>895</v>
      </c>
      <c r="E533" s="555">
        <v>3862</v>
      </c>
      <c r="F533" s="553">
        <v>148</v>
      </c>
      <c r="G533" t="s">
        <v>1459</v>
      </c>
      <c r="H533" s="554">
        <v>0.39</v>
      </c>
      <c r="I533" s="553">
        <v>133</v>
      </c>
      <c r="J533" t="s">
        <v>663</v>
      </c>
      <c r="K533" s="554">
        <v>0.39</v>
      </c>
      <c r="L533" s="553">
        <v>133</v>
      </c>
    </row>
    <row r="534" spans="2:12">
      <c r="B534" t="s">
        <v>722</v>
      </c>
      <c r="C534" t="s">
        <v>678</v>
      </c>
      <c r="D534">
        <v>883</v>
      </c>
      <c r="E534" s="555">
        <v>2346</v>
      </c>
      <c r="F534" s="553">
        <v>146</v>
      </c>
      <c r="G534" t="s">
        <v>1459</v>
      </c>
      <c r="H534" s="554">
        <v>0.46</v>
      </c>
      <c r="I534" s="553">
        <v>132</v>
      </c>
      <c r="J534" t="s">
        <v>663</v>
      </c>
      <c r="K534" s="554">
        <v>0.46</v>
      </c>
      <c r="L534" s="553">
        <v>132</v>
      </c>
    </row>
    <row r="535" spans="2:12">
      <c r="B535" t="s">
        <v>678</v>
      </c>
      <c r="C535" t="s">
        <v>667</v>
      </c>
      <c r="D535">
        <v>854</v>
      </c>
      <c r="E535" s="555">
        <v>1977</v>
      </c>
      <c r="F535" s="553">
        <v>146</v>
      </c>
      <c r="G535" t="s">
        <v>669</v>
      </c>
      <c r="H535" s="554">
        <v>0.42</v>
      </c>
      <c r="I535" s="553">
        <v>166</v>
      </c>
      <c r="J535" t="s">
        <v>659</v>
      </c>
      <c r="K535" s="554">
        <v>0.13</v>
      </c>
      <c r="L535" s="553">
        <v>85</v>
      </c>
    </row>
    <row r="536" spans="2:12">
      <c r="B536" t="s">
        <v>703</v>
      </c>
      <c r="C536" t="s">
        <v>772</v>
      </c>
      <c r="D536">
        <v>879</v>
      </c>
      <c r="E536">
        <v>314</v>
      </c>
      <c r="F536" s="553">
        <v>139</v>
      </c>
      <c r="G536" t="s">
        <v>653</v>
      </c>
      <c r="H536" s="554">
        <v>0.68</v>
      </c>
      <c r="I536" s="553">
        <v>157</v>
      </c>
      <c r="J536" t="s">
        <v>668</v>
      </c>
      <c r="K536" s="554">
        <v>0.21</v>
      </c>
      <c r="L536" s="553">
        <v>79</v>
      </c>
    </row>
    <row r="537" spans="2:12">
      <c r="B537" t="s">
        <v>687</v>
      </c>
      <c r="C537" t="s">
        <v>641</v>
      </c>
      <c r="D537">
        <v>867</v>
      </c>
      <c r="E537" s="555">
        <v>3088</v>
      </c>
      <c r="F537" s="553">
        <v>138</v>
      </c>
      <c r="G537" t="s">
        <v>639</v>
      </c>
      <c r="H537" s="554">
        <v>0.46</v>
      </c>
      <c r="I537" s="553">
        <v>150</v>
      </c>
      <c r="J537" t="s">
        <v>663</v>
      </c>
      <c r="K537" s="554">
        <v>0.19</v>
      </c>
      <c r="L537" s="553">
        <v>119</v>
      </c>
    </row>
    <row r="538" spans="2:12">
      <c r="B538" t="s">
        <v>667</v>
      </c>
      <c r="C538" t="s">
        <v>695</v>
      </c>
      <c r="D538">
        <v>861</v>
      </c>
      <c r="E538" s="555">
        <v>2955</v>
      </c>
      <c r="F538" s="553">
        <v>137</v>
      </c>
      <c r="G538" t="s">
        <v>645</v>
      </c>
      <c r="H538" s="554">
        <v>0.47</v>
      </c>
      <c r="I538" s="553">
        <v>165</v>
      </c>
      <c r="J538" t="s">
        <v>659</v>
      </c>
      <c r="K538" s="554">
        <v>0.13</v>
      </c>
      <c r="L538" s="553">
        <v>82</v>
      </c>
    </row>
    <row r="539" spans="2:12">
      <c r="B539" t="s">
        <v>722</v>
      </c>
      <c r="C539" t="s">
        <v>735</v>
      </c>
      <c r="D539">
        <v>862</v>
      </c>
      <c r="E539" s="555">
        <v>4958</v>
      </c>
      <c r="F539" s="553">
        <v>133</v>
      </c>
      <c r="G539" t="s">
        <v>1459</v>
      </c>
      <c r="H539" s="554">
        <v>0.48</v>
      </c>
      <c r="I539" s="553">
        <v>129</v>
      </c>
      <c r="J539" t="s">
        <v>644</v>
      </c>
      <c r="K539" s="554">
        <v>0.1</v>
      </c>
      <c r="L539" s="553">
        <v>125</v>
      </c>
    </row>
    <row r="540" spans="2:12">
      <c r="B540" t="s">
        <v>700</v>
      </c>
      <c r="C540" t="s">
        <v>755</v>
      </c>
      <c r="D540">
        <v>869</v>
      </c>
      <c r="E540">
        <v>214</v>
      </c>
      <c r="F540" s="553">
        <v>130</v>
      </c>
      <c r="G540" t="s">
        <v>1459</v>
      </c>
      <c r="H540" s="554">
        <v>0.57999999999999996</v>
      </c>
      <c r="I540" s="553">
        <v>139</v>
      </c>
      <c r="J540" t="s">
        <v>655</v>
      </c>
      <c r="K540" s="554">
        <v>0.24</v>
      </c>
      <c r="L540" s="553">
        <v>76</v>
      </c>
    </row>
    <row r="541" spans="2:12">
      <c r="B541" t="s">
        <v>662</v>
      </c>
      <c r="C541" t="s">
        <v>691</v>
      </c>
      <c r="D541">
        <v>853</v>
      </c>
      <c r="E541" s="555">
        <v>1390</v>
      </c>
      <c r="F541" s="553">
        <v>130</v>
      </c>
      <c r="G541" t="s">
        <v>653</v>
      </c>
      <c r="H541" s="554">
        <v>0.45</v>
      </c>
      <c r="I541" s="553">
        <v>133</v>
      </c>
      <c r="J541" t="s">
        <v>652</v>
      </c>
      <c r="K541" s="554">
        <v>0.45</v>
      </c>
      <c r="L541" s="553">
        <v>133</v>
      </c>
    </row>
    <row r="542" spans="2:12">
      <c r="B542" t="s">
        <v>743</v>
      </c>
      <c r="C542" t="s">
        <v>755</v>
      </c>
      <c r="D542">
        <v>876</v>
      </c>
      <c r="E542">
        <v>217</v>
      </c>
      <c r="F542" s="553">
        <v>124</v>
      </c>
      <c r="G542" t="s">
        <v>1459</v>
      </c>
      <c r="H542" s="554">
        <v>0.51</v>
      </c>
      <c r="I542" s="553">
        <v>140</v>
      </c>
      <c r="J542" t="s">
        <v>655</v>
      </c>
      <c r="K542" s="554">
        <v>0.33</v>
      </c>
      <c r="L542" s="553">
        <v>74</v>
      </c>
    </row>
    <row r="543" spans="2:12">
      <c r="B543" t="s">
        <v>719</v>
      </c>
      <c r="C543" t="s">
        <v>667</v>
      </c>
      <c r="D543">
        <v>895</v>
      </c>
      <c r="E543">
        <v>936</v>
      </c>
      <c r="F543" s="553">
        <v>119</v>
      </c>
      <c r="G543" t="s">
        <v>668</v>
      </c>
      <c r="H543" s="554">
        <v>0.31</v>
      </c>
      <c r="I543" s="553">
        <v>82</v>
      </c>
      <c r="J543" t="s">
        <v>659</v>
      </c>
      <c r="K543" s="554">
        <v>0.22</v>
      </c>
      <c r="L543" s="553">
        <v>80</v>
      </c>
    </row>
    <row r="544" spans="2:12">
      <c r="B544" t="s">
        <v>800</v>
      </c>
      <c r="C544" t="s">
        <v>686</v>
      </c>
      <c r="D544">
        <v>898</v>
      </c>
      <c r="E544">
        <v>185</v>
      </c>
      <c r="F544" s="553">
        <v>115</v>
      </c>
      <c r="G544" t="s">
        <v>1460</v>
      </c>
      <c r="H544" s="554">
        <v>0.84</v>
      </c>
      <c r="I544" s="553">
        <v>87</v>
      </c>
      <c r="J544" t="s">
        <v>655</v>
      </c>
      <c r="K544" s="554">
        <v>0.84</v>
      </c>
      <c r="L544" s="553">
        <v>87</v>
      </c>
    </row>
    <row r="545" spans="2:12">
      <c r="B545" t="s">
        <v>667</v>
      </c>
      <c r="C545" t="s">
        <v>801</v>
      </c>
      <c r="D545">
        <v>896</v>
      </c>
      <c r="E545">
        <v>189</v>
      </c>
      <c r="F545" s="553">
        <v>90</v>
      </c>
      <c r="G545" t="s">
        <v>668</v>
      </c>
      <c r="H545" s="554">
        <v>1</v>
      </c>
      <c r="I545" s="553">
        <v>90</v>
      </c>
      <c r="J545" t="s">
        <v>668</v>
      </c>
      <c r="K545" s="554">
        <v>1</v>
      </c>
      <c r="L545" s="553">
        <v>90</v>
      </c>
    </row>
    <row r="546" spans="2:12">
      <c r="B546" t="s">
        <v>802</v>
      </c>
      <c r="C546" t="s">
        <v>803</v>
      </c>
      <c r="D546">
        <v>882</v>
      </c>
      <c r="E546">
        <v>350</v>
      </c>
      <c r="F546" s="553">
        <v>87</v>
      </c>
      <c r="G546" t="s">
        <v>1460</v>
      </c>
      <c r="H546" s="554">
        <v>1</v>
      </c>
      <c r="I546" s="553">
        <v>87</v>
      </c>
      <c r="J546" t="s">
        <v>655</v>
      </c>
      <c r="K546" s="554">
        <v>1</v>
      </c>
      <c r="L546" s="553">
        <v>87</v>
      </c>
    </row>
    <row r="547" spans="2:12">
      <c r="B547" t="s">
        <v>804</v>
      </c>
      <c r="C547" t="s">
        <v>667</v>
      </c>
      <c r="D547">
        <v>852</v>
      </c>
      <c r="E547">
        <v>242</v>
      </c>
      <c r="F547" s="553">
        <v>80</v>
      </c>
      <c r="G547" t="s">
        <v>660</v>
      </c>
      <c r="H547" s="554">
        <v>1</v>
      </c>
      <c r="I547" s="553">
        <v>80</v>
      </c>
      <c r="J547" t="s">
        <v>659</v>
      </c>
      <c r="K547" s="554">
        <v>1</v>
      </c>
      <c r="L547" s="553">
        <v>80</v>
      </c>
    </row>
    <row r="549" spans="2:12">
      <c r="B549" s="552" t="s">
        <v>805</v>
      </c>
    </row>
    <row r="550" spans="2:12">
      <c r="B550" t="s">
        <v>662</v>
      </c>
      <c r="C550" t="s">
        <v>742</v>
      </c>
      <c r="D550">
        <v>931</v>
      </c>
      <c r="E550">
        <v>235</v>
      </c>
      <c r="F550" s="553">
        <v>244</v>
      </c>
      <c r="G550" t="s">
        <v>645</v>
      </c>
      <c r="H550" s="554">
        <v>0.72</v>
      </c>
      <c r="I550" s="553">
        <v>251</v>
      </c>
      <c r="J550" t="s">
        <v>652</v>
      </c>
      <c r="K550" s="554">
        <v>0.14000000000000001</v>
      </c>
      <c r="L550" s="553">
        <v>244</v>
      </c>
    </row>
    <row r="551" spans="2:12">
      <c r="B551" t="s">
        <v>766</v>
      </c>
      <c r="C551" t="s">
        <v>650</v>
      </c>
      <c r="D551">
        <v>902</v>
      </c>
      <c r="E551">
        <v>250</v>
      </c>
      <c r="F551" s="553">
        <v>243</v>
      </c>
      <c r="G551" t="s">
        <v>653</v>
      </c>
      <c r="H551" s="554">
        <v>0.66</v>
      </c>
      <c r="I551" s="553">
        <v>257</v>
      </c>
      <c r="J551" t="s">
        <v>644</v>
      </c>
      <c r="K551" s="554">
        <v>0.3</v>
      </c>
      <c r="L551" s="553">
        <v>218</v>
      </c>
    </row>
    <row r="552" spans="2:12">
      <c r="B552" t="s">
        <v>650</v>
      </c>
      <c r="C552" t="s">
        <v>704</v>
      </c>
      <c r="D552">
        <v>929</v>
      </c>
      <c r="E552">
        <v>921</v>
      </c>
      <c r="F552" s="553">
        <v>226</v>
      </c>
      <c r="G552" t="s">
        <v>653</v>
      </c>
      <c r="H552" s="554">
        <v>0.39</v>
      </c>
      <c r="I552" s="553">
        <v>235</v>
      </c>
      <c r="J552" t="s">
        <v>663</v>
      </c>
      <c r="K552" s="554">
        <v>0.28000000000000003</v>
      </c>
      <c r="L552" s="553">
        <v>195</v>
      </c>
    </row>
    <row r="553" spans="2:12">
      <c r="B553" t="s">
        <v>779</v>
      </c>
      <c r="C553" t="s">
        <v>702</v>
      </c>
      <c r="D553">
        <v>910</v>
      </c>
      <c r="E553">
        <v>194</v>
      </c>
      <c r="F553" s="553">
        <v>226</v>
      </c>
      <c r="G553" t="s">
        <v>645</v>
      </c>
      <c r="H553" s="554">
        <v>0.67</v>
      </c>
      <c r="I553" s="553">
        <v>221</v>
      </c>
      <c r="J553" t="s">
        <v>644</v>
      </c>
      <c r="K553" s="554">
        <v>0.67</v>
      </c>
      <c r="L553" s="553">
        <v>221</v>
      </c>
    </row>
    <row r="554" spans="2:12">
      <c r="B554" t="s">
        <v>708</v>
      </c>
      <c r="C554" t="s">
        <v>641</v>
      </c>
      <c r="D554">
        <v>908</v>
      </c>
      <c r="E554">
        <v>204</v>
      </c>
      <c r="F554" s="553">
        <v>221</v>
      </c>
      <c r="G554" t="s">
        <v>639</v>
      </c>
      <c r="H554" s="554">
        <v>0.9</v>
      </c>
      <c r="I554" s="553">
        <v>225</v>
      </c>
      <c r="J554" t="s">
        <v>663</v>
      </c>
      <c r="K554" s="554">
        <v>0.03</v>
      </c>
      <c r="L554" s="553">
        <v>179</v>
      </c>
    </row>
    <row r="556" spans="2:12">
      <c r="B556" s="552" t="s">
        <v>805</v>
      </c>
    </row>
    <row r="557" spans="2:12">
      <c r="B557" t="s">
        <v>731</v>
      </c>
      <c r="C557" t="s">
        <v>737</v>
      </c>
      <c r="D557">
        <v>920</v>
      </c>
      <c r="E557">
        <v>283</v>
      </c>
      <c r="F557" s="553">
        <v>216</v>
      </c>
      <c r="G557" t="s">
        <v>653</v>
      </c>
      <c r="H557" s="554">
        <v>0.73</v>
      </c>
      <c r="I557" s="553">
        <v>220</v>
      </c>
      <c r="J557" t="s">
        <v>652</v>
      </c>
      <c r="K557" s="554">
        <v>0.73</v>
      </c>
      <c r="L557" s="553">
        <v>220</v>
      </c>
    </row>
    <row r="558" spans="2:12">
      <c r="B558" t="s">
        <v>700</v>
      </c>
      <c r="C558" t="s">
        <v>662</v>
      </c>
      <c r="D558">
        <v>926</v>
      </c>
      <c r="E558">
        <v>518</v>
      </c>
      <c r="F558" s="553">
        <v>208</v>
      </c>
      <c r="G558" t="s">
        <v>645</v>
      </c>
      <c r="H558" s="554">
        <v>0.7</v>
      </c>
      <c r="I558" s="553">
        <v>213</v>
      </c>
      <c r="J558" t="s">
        <v>663</v>
      </c>
      <c r="K558" s="554">
        <v>0.24</v>
      </c>
      <c r="L558" s="553">
        <v>191</v>
      </c>
    </row>
    <row r="559" spans="2:12">
      <c r="B559" t="s">
        <v>649</v>
      </c>
      <c r="C559" t="s">
        <v>681</v>
      </c>
      <c r="D559">
        <v>942</v>
      </c>
      <c r="E559" s="555">
        <v>1114</v>
      </c>
      <c r="F559" s="553">
        <v>208</v>
      </c>
      <c r="G559" t="s">
        <v>653</v>
      </c>
      <c r="H559" s="554">
        <v>0.33</v>
      </c>
      <c r="I559" s="553">
        <v>220</v>
      </c>
      <c r="J559" t="s">
        <v>663</v>
      </c>
      <c r="K559" s="554">
        <v>0.33</v>
      </c>
      <c r="L559" s="553">
        <v>193</v>
      </c>
    </row>
    <row r="560" spans="2:12">
      <c r="B560" t="s">
        <v>792</v>
      </c>
      <c r="C560" t="s">
        <v>691</v>
      </c>
      <c r="D560">
        <v>907</v>
      </c>
      <c r="E560" s="555">
        <v>1010</v>
      </c>
      <c r="F560" s="553">
        <v>205</v>
      </c>
      <c r="G560" t="s">
        <v>653</v>
      </c>
      <c r="H560" s="554">
        <v>0.84</v>
      </c>
      <c r="I560" s="553">
        <v>220</v>
      </c>
      <c r="J560" t="s">
        <v>659</v>
      </c>
      <c r="K560" s="554">
        <v>7.0000000000000007E-2</v>
      </c>
      <c r="L560" s="553">
        <v>84</v>
      </c>
    </row>
    <row r="561" spans="2:12">
      <c r="B561" t="s">
        <v>692</v>
      </c>
      <c r="C561" t="s">
        <v>678</v>
      </c>
      <c r="D561">
        <v>928</v>
      </c>
      <c r="E561">
        <v>237</v>
      </c>
      <c r="F561" s="553">
        <v>205</v>
      </c>
      <c r="G561" t="s">
        <v>669</v>
      </c>
      <c r="H561" s="554">
        <v>0.55000000000000004</v>
      </c>
      <c r="I561" s="553">
        <v>215</v>
      </c>
      <c r="J561" t="s">
        <v>663</v>
      </c>
      <c r="K561" s="554">
        <v>0.3</v>
      </c>
      <c r="L561" s="553">
        <v>179</v>
      </c>
    </row>
    <row r="562" spans="2:12">
      <c r="B562" t="s">
        <v>673</v>
      </c>
      <c r="C562" t="s">
        <v>662</v>
      </c>
      <c r="D562">
        <v>936</v>
      </c>
      <c r="E562">
        <v>920</v>
      </c>
      <c r="F562" s="553">
        <v>205</v>
      </c>
      <c r="G562" t="s">
        <v>645</v>
      </c>
      <c r="H562" s="554">
        <v>0.85</v>
      </c>
      <c r="I562" s="553">
        <v>209</v>
      </c>
      <c r="J562" t="s">
        <v>663</v>
      </c>
      <c r="K562" s="554">
        <v>0.11</v>
      </c>
      <c r="L562" s="553">
        <v>180</v>
      </c>
    </row>
    <row r="563" spans="2:12">
      <c r="B563" t="s">
        <v>711</v>
      </c>
      <c r="C563" t="s">
        <v>682</v>
      </c>
      <c r="D563">
        <v>935</v>
      </c>
      <c r="E563">
        <v>193</v>
      </c>
      <c r="F563" s="553">
        <v>201</v>
      </c>
      <c r="G563" t="s">
        <v>1459</v>
      </c>
      <c r="H563" s="554">
        <v>0.63</v>
      </c>
      <c r="I563" s="553">
        <v>192</v>
      </c>
      <c r="J563" t="s">
        <v>663</v>
      </c>
      <c r="K563" s="554">
        <v>0.63</v>
      </c>
      <c r="L563" s="553">
        <v>192</v>
      </c>
    </row>
    <row r="564" spans="2:12">
      <c r="B564" t="s">
        <v>673</v>
      </c>
      <c r="C564" t="s">
        <v>678</v>
      </c>
      <c r="D564">
        <v>920</v>
      </c>
      <c r="E564">
        <v>584</v>
      </c>
      <c r="F564" s="553">
        <v>200</v>
      </c>
      <c r="G564" t="s">
        <v>645</v>
      </c>
      <c r="H564" s="554">
        <v>0.59</v>
      </c>
      <c r="I564" s="553">
        <v>195</v>
      </c>
      <c r="J564" t="s">
        <v>644</v>
      </c>
      <c r="K564" s="554">
        <v>0.59</v>
      </c>
      <c r="L564" s="553">
        <v>195</v>
      </c>
    </row>
    <row r="565" spans="2:12">
      <c r="B565" t="s">
        <v>662</v>
      </c>
      <c r="C565" t="s">
        <v>698</v>
      </c>
      <c r="D565">
        <v>918</v>
      </c>
      <c r="E565">
        <v>466</v>
      </c>
      <c r="F565" s="553">
        <v>198</v>
      </c>
      <c r="G565" t="s">
        <v>645</v>
      </c>
      <c r="H565" s="554">
        <v>0.84</v>
      </c>
      <c r="I565" s="553">
        <v>197</v>
      </c>
      <c r="J565" t="s">
        <v>663</v>
      </c>
      <c r="K565" s="554">
        <v>0.1</v>
      </c>
      <c r="L565" s="553">
        <v>183</v>
      </c>
    </row>
    <row r="566" spans="2:12">
      <c r="B566" t="s">
        <v>649</v>
      </c>
      <c r="C566" t="s">
        <v>773</v>
      </c>
      <c r="D566">
        <v>917</v>
      </c>
      <c r="E566">
        <v>377</v>
      </c>
      <c r="F566" s="553">
        <v>195</v>
      </c>
      <c r="G566" t="s">
        <v>1458</v>
      </c>
      <c r="H566" s="554">
        <v>0.56999999999999995</v>
      </c>
      <c r="I566" s="553">
        <v>191</v>
      </c>
      <c r="J566" t="s">
        <v>647</v>
      </c>
      <c r="K566" s="554">
        <v>0.56999999999999995</v>
      </c>
      <c r="L566" s="553">
        <v>191</v>
      </c>
    </row>
    <row r="567" spans="2:12">
      <c r="B567" t="s">
        <v>673</v>
      </c>
      <c r="C567" t="s">
        <v>691</v>
      </c>
      <c r="D567">
        <v>930</v>
      </c>
      <c r="E567">
        <v>532</v>
      </c>
      <c r="F567" s="553">
        <v>194</v>
      </c>
      <c r="G567" t="s">
        <v>645</v>
      </c>
      <c r="H567" s="554">
        <v>0.54</v>
      </c>
      <c r="I567" s="553">
        <v>185</v>
      </c>
      <c r="J567" t="s">
        <v>644</v>
      </c>
      <c r="K567" s="554">
        <v>0.54</v>
      </c>
      <c r="L567" s="553">
        <v>185</v>
      </c>
    </row>
    <row r="568" spans="2:12">
      <c r="B568" t="s">
        <v>662</v>
      </c>
      <c r="C568" t="s">
        <v>773</v>
      </c>
      <c r="D568">
        <v>925</v>
      </c>
      <c r="E568">
        <v>252</v>
      </c>
      <c r="F568" s="553">
        <v>187</v>
      </c>
      <c r="G568" t="s">
        <v>645</v>
      </c>
      <c r="H568" s="554">
        <v>0.63</v>
      </c>
      <c r="I568" s="553">
        <v>188</v>
      </c>
      <c r="J568" t="s">
        <v>663</v>
      </c>
      <c r="K568" s="554">
        <v>0.28000000000000003</v>
      </c>
      <c r="L568" s="553">
        <v>175</v>
      </c>
    </row>
    <row r="569" spans="2:12">
      <c r="B569" t="s">
        <v>640</v>
      </c>
      <c r="C569" t="s">
        <v>710</v>
      </c>
      <c r="D569">
        <v>933</v>
      </c>
      <c r="E569" s="555">
        <v>1208</v>
      </c>
      <c r="F569" s="553">
        <v>186</v>
      </c>
      <c r="G569" t="s">
        <v>639</v>
      </c>
      <c r="H569" s="554">
        <v>0.86</v>
      </c>
      <c r="I569" s="553">
        <v>186</v>
      </c>
      <c r="J569" t="s">
        <v>663</v>
      </c>
      <c r="K569" s="554">
        <v>7.0000000000000007E-2</v>
      </c>
      <c r="L569" s="553">
        <v>183</v>
      </c>
    </row>
    <row r="570" spans="2:12">
      <c r="B570" t="s">
        <v>722</v>
      </c>
      <c r="C570" t="s">
        <v>708</v>
      </c>
      <c r="D570">
        <v>916</v>
      </c>
      <c r="E570">
        <v>305</v>
      </c>
      <c r="F570" s="553">
        <v>182</v>
      </c>
      <c r="G570" t="s">
        <v>669</v>
      </c>
      <c r="H570" s="554">
        <v>0.56999999999999995</v>
      </c>
      <c r="I570" s="553">
        <v>206</v>
      </c>
      <c r="J570" t="s">
        <v>663</v>
      </c>
      <c r="K570" s="554">
        <v>0.41</v>
      </c>
      <c r="L570" s="553">
        <v>148</v>
      </c>
    </row>
    <row r="571" spans="2:12">
      <c r="B571" t="s">
        <v>735</v>
      </c>
      <c r="C571" t="s">
        <v>806</v>
      </c>
      <c r="D571">
        <v>935</v>
      </c>
      <c r="E571">
        <v>180</v>
      </c>
      <c r="F571" s="553">
        <v>180</v>
      </c>
      <c r="G571" t="s">
        <v>639</v>
      </c>
      <c r="H571" s="554">
        <v>0.35</v>
      </c>
      <c r="I571" s="553">
        <v>179</v>
      </c>
      <c r="J571" t="s">
        <v>655</v>
      </c>
      <c r="K571" s="554">
        <v>0.14000000000000001</v>
      </c>
      <c r="L571" s="553">
        <v>87</v>
      </c>
    </row>
    <row r="572" spans="2:12">
      <c r="B572" t="s">
        <v>661</v>
      </c>
      <c r="C572" t="s">
        <v>743</v>
      </c>
      <c r="D572">
        <v>919</v>
      </c>
      <c r="E572">
        <v>253</v>
      </c>
      <c r="F572" s="553">
        <v>179</v>
      </c>
      <c r="G572" t="s">
        <v>1459</v>
      </c>
      <c r="H572" s="554">
        <v>0.51</v>
      </c>
      <c r="I572" s="553">
        <v>190</v>
      </c>
      <c r="J572" t="s">
        <v>655</v>
      </c>
      <c r="K572" s="554">
        <v>0.13</v>
      </c>
      <c r="L572" s="553">
        <v>81</v>
      </c>
    </row>
    <row r="573" spans="2:12">
      <c r="B573" t="s">
        <v>774</v>
      </c>
      <c r="C573" t="s">
        <v>735</v>
      </c>
      <c r="D573">
        <v>908</v>
      </c>
      <c r="E573">
        <v>338</v>
      </c>
      <c r="F573" s="553">
        <v>166</v>
      </c>
      <c r="G573" t="s">
        <v>639</v>
      </c>
      <c r="H573" s="554">
        <v>0.27</v>
      </c>
      <c r="I573" s="553">
        <v>146</v>
      </c>
      <c r="J573" t="s">
        <v>638</v>
      </c>
      <c r="K573" s="554">
        <v>0.27</v>
      </c>
      <c r="L573" s="553">
        <v>146</v>
      </c>
    </row>
    <row r="574" spans="2:12">
      <c r="B574" t="s">
        <v>772</v>
      </c>
      <c r="C574" t="s">
        <v>702</v>
      </c>
      <c r="D574">
        <v>919</v>
      </c>
      <c r="E574">
        <v>830</v>
      </c>
      <c r="F574" s="553">
        <v>165</v>
      </c>
      <c r="G574" t="s">
        <v>1459</v>
      </c>
      <c r="H574" s="554">
        <v>0.48</v>
      </c>
      <c r="I574" s="553">
        <v>160</v>
      </c>
      <c r="J574" t="s">
        <v>663</v>
      </c>
      <c r="K574" s="554">
        <v>0.48</v>
      </c>
      <c r="L574" s="553">
        <v>160</v>
      </c>
    </row>
    <row r="575" spans="2:12">
      <c r="B575" t="s">
        <v>679</v>
      </c>
      <c r="C575" t="s">
        <v>780</v>
      </c>
      <c r="D575">
        <v>917</v>
      </c>
      <c r="E575">
        <v>274</v>
      </c>
      <c r="F575" s="553">
        <v>162</v>
      </c>
      <c r="G575" t="s">
        <v>1459</v>
      </c>
      <c r="H575" s="554">
        <v>0.47</v>
      </c>
      <c r="I575" s="553">
        <v>135</v>
      </c>
      <c r="J575" t="s">
        <v>663</v>
      </c>
      <c r="K575" s="554">
        <v>0.47</v>
      </c>
      <c r="L575" s="553">
        <v>135</v>
      </c>
    </row>
    <row r="576" spans="2:12">
      <c r="B576" t="s">
        <v>700</v>
      </c>
      <c r="C576" t="s">
        <v>772</v>
      </c>
      <c r="D576">
        <v>930</v>
      </c>
      <c r="E576">
        <v>347</v>
      </c>
      <c r="F576" s="553">
        <v>162</v>
      </c>
      <c r="G576" t="s">
        <v>1459</v>
      </c>
      <c r="H576" s="554">
        <v>0.75</v>
      </c>
      <c r="I576" s="553">
        <v>163</v>
      </c>
      <c r="J576" t="s">
        <v>659</v>
      </c>
      <c r="K576" s="554">
        <v>0.06</v>
      </c>
      <c r="L576" s="553">
        <v>76</v>
      </c>
    </row>
    <row r="577" spans="2:12">
      <c r="B577" t="s">
        <v>722</v>
      </c>
      <c r="C577" t="s">
        <v>734</v>
      </c>
      <c r="D577">
        <v>909</v>
      </c>
      <c r="E577">
        <v>900</v>
      </c>
      <c r="F577" s="553">
        <v>161</v>
      </c>
      <c r="G577" t="s">
        <v>1459</v>
      </c>
      <c r="H577" s="554">
        <v>0.6</v>
      </c>
      <c r="I577" s="553">
        <v>160</v>
      </c>
      <c r="J577" t="s">
        <v>663</v>
      </c>
      <c r="K577" s="554">
        <v>0.6</v>
      </c>
      <c r="L577" s="553">
        <v>160</v>
      </c>
    </row>
    <row r="578" spans="2:12">
      <c r="B578" t="s">
        <v>691</v>
      </c>
      <c r="C578" t="s">
        <v>702</v>
      </c>
      <c r="D578">
        <v>936</v>
      </c>
      <c r="E578" s="555">
        <v>1732</v>
      </c>
      <c r="F578" s="553">
        <v>161</v>
      </c>
      <c r="G578" t="s">
        <v>653</v>
      </c>
      <c r="H578" s="554">
        <v>0.59</v>
      </c>
      <c r="I578" s="553">
        <v>172</v>
      </c>
      <c r="J578" t="s">
        <v>663</v>
      </c>
      <c r="K578" s="554">
        <v>0.19</v>
      </c>
      <c r="L578" s="553">
        <v>131</v>
      </c>
    </row>
    <row r="579" spans="2:12">
      <c r="B579" t="s">
        <v>807</v>
      </c>
      <c r="C579" t="s">
        <v>808</v>
      </c>
      <c r="D579">
        <v>946</v>
      </c>
      <c r="E579" s="555">
        <v>4293</v>
      </c>
      <c r="F579" s="553">
        <v>159</v>
      </c>
      <c r="G579" t="s">
        <v>1459</v>
      </c>
      <c r="H579" s="554">
        <v>0.38</v>
      </c>
      <c r="I579" s="553">
        <v>146</v>
      </c>
      <c r="J579" t="s">
        <v>663</v>
      </c>
      <c r="K579" s="554">
        <v>0.38</v>
      </c>
      <c r="L579" s="553">
        <v>146</v>
      </c>
    </row>
    <row r="580" spans="2:12">
      <c r="B580" t="s">
        <v>809</v>
      </c>
      <c r="C580" t="s">
        <v>810</v>
      </c>
    </row>
    <row r="581" spans="2:12">
      <c r="B581" t="s">
        <v>680</v>
      </c>
      <c r="C581" t="s">
        <v>729</v>
      </c>
      <c r="D581">
        <v>926</v>
      </c>
      <c r="E581">
        <v>322</v>
      </c>
      <c r="F581" s="553">
        <v>159</v>
      </c>
      <c r="G581" t="s">
        <v>653</v>
      </c>
      <c r="H581" s="554">
        <v>0.62</v>
      </c>
      <c r="I581" s="553">
        <v>184</v>
      </c>
      <c r="J581" t="s">
        <v>659</v>
      </c>
      <c r="K581" s="554">
        <v>0.24</v>
      </c>
      <c r="L581" s="553">
        <v>89</v>
      </c>
    </row>
    <row r="582" spans="2:12">
      <c r="B582" t="s">
        <v>661</v>
      </c>
      <c r="C582" t="s">
        <v>686</v>
      </c>
      <c r="D582">
        <v>928</v>
      </c>
      <c r="E582">
        <v>392</v>
      </c>
      <c r="F582" s="553">
        <v>159</v>
      </c>
      <c r="G582" t="s">
        <v>1459</v>
      </c>
      <c r="H582" s="554">
        <v>0.6</v>
      </c>
      <c r="I582" s="553">
        <v>154</v>
      </c>
      <c r="J582" t="s">
        <v>663</v>
      </c>
      <c r="K582" s="554">
        <v>0.6</v>
      </c>
      <c r="L582" s="553">
        <v>154</v>
      </c>
    </row>
    <row r="583" spans="2:12">
      <c r="B583" t="s">
        <v>772</v>
      </c>
      <c r="C583" t="s">
        <v>743</v>
      </c>
      <c r="D583">
        <v>945</v>
      </c>
      <c r="E583">
        <v>392</v>
      </c>
      <c r="F583" s="553">
        <v>157</v>
      </c>
      <c r="G583" t="s">
        <v>1459</v>
      </c>
      <c r="H583" s="554">
        <v>0.7</v>
      </c>
      <c r="I583" s="553">
        <v>161</v>
      </c>
      <c r="J583" t="s">
        <v>659</v>
      </c>
      <c r="K583" s="554">
        <v>0.12</v>
      </c>
      <c r="L583" s="553">
        <v>79</v>
      </c>
    </row>
    <row r="584" spans="2:12">
      <c r="B584" t="s">
        <v>662</v>
      </c>
      <c r="C584" t="s">
        <v>686</v>
      </c>
      <c r="D584">
        <v>929</v>
      </c>
      <c r="E584" s="555">
        <v>1314</v>
      </c>
      <c r="F584" s="553">
        <v>152</v>
      </c>
      <c r="G584" t="s">
        <v>645</v>
      </c>
      <c r="H584" s="554">
        <v>0.6</v>
      </c>
      <c r="I584" s="553">
        <v>165</v>
      </c>
      <c r="J584" t="s">
        <v>663</v>
      </c>
      <c r="K584" s="554">
        <v>0.31</v>
      </c>
      <c r="L584" s="553">
        <v>139</v>
      </c>
    </row>
    <row r="585" spans="2:12">
      <c r="B585" t="s">
        <v>695</v>
      </c>
      <c r="C585" t="s">
        <v>686</v>
      </c>
      <c r="D585">
        <v>920</v>
      </c>
      <c r="E585" s="555">
        <v>1151</v>
      </c>
      <c r="F585" s="553">
        <v>149</v>
      </c>
      <c r="G585" t="s">
        <v>645</v>
      </c>
      <c r="H585" s="554">
        <v>0.76</v>
      </c>
      <c r="I585" s="553">
        <v>158</v>
      </c>
      <c r="J585" t="s">
        <v>668</v>
      </c>
      <c r="K585" s="554">
        <v>0.14000000000000001</v>
      </c>
      <c r="L585" s="553">
        <v>86</v>
      </c>
    </row>
    <row r="586" spans="2:12">
      <c r="B586" t="s">
        <v>706</v>
      </c>
      <c r="C586" t="s">
        <v>685</v>
      </c>
      <c r="D586">
        <v>910</v>
      </c>
      <c r="E586">
        <v>274</v>
      </c>
      <c r="F586" s="553">
        <v>145</v>
      </c>
      <c r="G586" t="s">
        <v>645</v>
      </c>
      <c r="H586" s="554">
        <v>0.36</v>
      </c>
      <c r="I586" s="553">
        <v>171</v>
      </c>
      <c r="J586" t="s">
        <v>659</v>
      </c>
      <c r="K586" s="554">
        <v>0.16</v>
      </c>
      <c r="L586" s="553">
        <v>76</v>
      </c>
    </row>
    <row r="587" spans="2:12">
      <c r="B587" t="s">
        <v>679</v>
      </c>
      <c r="C587" t="s">
        <v>678</v>
      </c>
      <c r="D587">
        <v>945</v>
      </c>
      <c r="E587" s="555">
        <v>2920</v>
      </c>
      <c r="F587" s="553">
        <v>142</v>
      </c>
      <c r="G587" t="s">
        <v>669</v>
      </c>
      <c r="H587" s="554">
        <v>0.41</v>
      </c>
      <c r="I587" s="553">
        <v>160</v>
      </c>
      <c r="J587" t="s">
        <v>644</v>
      </c>
      <c r="K587" s="554">
        <v>0.15</v>
      </c>
      <c r="L587" s="553">
        <v>131</v>
      </c>
    </row>
    <row r="588" spans="2:12">
      <c r="B588" t="s">
        <v>732</v>
      </c>
      <c r="C588" t="s">
        <v>755</v>
      </c>
      <c r="D588">
        <v>912</v>
      </c>
      <c r="E588">
        <v>276</v>
      </c>
      <c r="F588" s="553">
        <v>139</v>
      </c>
      <c r="G588" t="s">
        <v>1459</v>
      </c>
      <c r="H588" s="554">
        <v>0.55000000000000004</v>
      </c>
      <c r="I588" s="553">
        <v>148</v>
      </c>
      <c r="J588" t="s">
        <v>655</v>
      </c>
      <c r="K588" s="554">
        <v>0.28999999999999998</v>
      </c>
      <c r="L588" s="553">
        <v>86</v>
      </c>
    </row>
    <row r="589" spans="2:12">
      <c r="B589" t="s">
        <v>703</v>
      </c>
      <c r="C589" t="s">
        <v>685</v>
      </c>
      <c r="D589">
        <v>948</v>
      </c>
      <c r="E589">
        <v>574</v>
      </c>
      <c r="F589" s="553">
        <v>135</v>
      </c>
      <c r="G589" t="s">
        <v>653</v>
      </c>
      <c r="H589" s="554">
        <v>0.4</v>
      </c>
      <c r="I589" s="553">
        <v>151</v>
      </c>
      <c r="J589" t="s">
        <v>655</v>
      </c>
      <c r="K589" s="554">
        <v>0.24</v>
      </c>
      <c r="L589" s="553">
        <v>84</v>
      </c>
    </row>
    <row r="590" spans="2:12">
      <c r="B590" t="s">
        <v>719</v>
      </c>
      <c r="C590" t="s">
        <v>686</v>
      </c>
      <c r="D590">
        <v>932</v>
      </c>
      <c r="E590">
        <v>552</v>
      </c>
      <c r="F590" s="553">
        <v>120</v>
      </c>
      <c r="G590" t="s">
        <v>668</v>
      </c>
      <c r="H590" s="554">
        <v>0.31</v>
      </c>
      <c r="I590" s="553">
        <v>87</v>
      </c>
      <c r="J590" t="s">
        <v>659</v>
      </c>
      <c r="K590" s="554">
        <v>0.23</v>
      </c>
      <c r="L590" s="553">
        <v>84</v>
      </c>
    </row>
    <row r="592" spans="2:12">
      <c r="B592" s="552" t="s">
        <v>811</v>
      </c>
    </row>
    <row r="593" spans="2:12">
      <c r="B593" t="s">
        <v>691</v>
      </c>
      <c r="C593" t="s">
        <v>737</v>
      </c>
      <c r="D593">
        <v>991</v>
      </c>
      <c r="E593">
        <v>473</v>
      </c>
      <c r="F593" s="553">
        <v>256</v>
      </c>
      <c r="G593" t="s">
        <v>653</v>
      </c>
      <c r="H593" s="554">
        <v>0.86</v>
      </c>
      <c r="I593" s="553">
        <v>266</v>
      </c>
      <c r="J593" t="s">
        <v>644</v>
      </c>
      <c r="K593" s="554">
        <v>0.05</v>
      </c>
      <c r="L593" s="553">
        <v>192</v>
      </c>
    </row>
    <row r="594" spans="2:12">
      <c r="B594" t="s">
        <v>731</v>
      </c>
      <c r="C594" t="s">
        <v>702</v>
      </c>
      <c r="D594">
        <v>967</v>
      </c>
      <c r="E594">
        <v>725</v>
      </c>
      <c r="F594" s="553">
        <v>215</v>
      </c>
      <c r="G594" t="s">
        <v>1459</v>
      </c>
      <c r="H594" s="554">
        <v>0.45</v>
      </c>
      <c r="I594" s="553">
        <v>207</v>
      </c>
      <c r="J594" t="s">
        <v>663</v>
      </c>
      <c r="K594" s="554">
        <v>0.45</v>
      </c>
      <c r="L594" s="553">
        <v>207</v>
      </c>
    </row>
    <row r="595" spans="2:12">
      <c r="B595" t="s">
        <v>721</v>
      </c>
      <c r="C595" t="s">
        <v>649</v>
      </c>
      <c r="D595">
        <v>952</v>
      </c>
      <c r="E595" s="555">
        <v>2284</v>
      </c>
      <c r="F595" s="553">
        <v>207</v>
      </c>
      <c r="G595" t="s">
        <v>653</v>
      </c>
      <c r="H595" s="554">
        <v>0.79</v>
      </c>
      <c r="I595" s="553">
        <v>215</v>
      </c>
      <c r="J595" t="s">
        <v>647</v>
      </c>
      <c r="K595" s="554">
        <v>0.11</v>
      </c>
      <c r="L595" s="553">
        <v>167</v>
      </c>
    </row>
    <row r="596" spans="2:12">
      <c r="B596" t="s">
        <v>691</v>
      </c>
      <c r="C596" t="s">
        <v>695</v>
      </c>
      <c r="D596">
        <v>980</v>
      </c>
      <c r="E596">
        <v>695</v>
      </c>
      <c r="F596" s="553">
        <v>206</v>
      </c>
      <c r="G596" t="s">
        <v>653</v>
      </c>
      <c r="H596" s="554">
        <v>0.55000000000000004</v>
      </c>
      <c r="I596" s="553">
        <v>223</v>
      </c>
      <c r="J596" t="s">
        <v>664</v>
      </c>
      <c r="K596" s="554">
        <v>0.15</v>
      </c>
      <c r="L596" s="553">
        <v>125</v>
      </c>
    </row>
    <row r="598" spans="2:12">
      <c r="B598" s="552" t="s">
        <v>811</v>
      </c>
    </row>
    <row r="599" spans="2:12">
      <c r="B599" t="s">
        <v>692</v>
      </c>
      <c r="C599" t="s">
        <v>662</v>
      </c>
      <c r="D599">
        <v>987</v>
      </c>
      <c r="E599">
        <v>336</v>
      </c>
      <c r="F599" s="553">
        <v>197</v>
      </c>
      <c r="G599" t="s">
        <v>645</v>
      </c>
      <c r="H599" s="554">
        <v>0.64</v>
      </c>
      <c r="I599" s="553">
        <v>204</v>
      </c>
      <c r="J599" t="s">
        <v>663</v>
      </c>
      <c r="K599" s="554">
        <v>0.28000000000000003</v>
      </c>
      <c r="L599" s="553">
        <v>176</v>
      </c>
    </row>
    <row r="600" spans="2:12">
      <c r="B600" t="s">
        <v>729</v>
      </c>
      <c r="C600" t="s">
        <v>702</v>
      </c>
      <c r="D600">
        <v>998</v>
      </c>
      <c r="E600">
        <v>790</v>
      </c>
      <c r="F600" s="553">
        <v>196</v>
      </c>
      <c r="G600" t="s">
        <v>1459</v>
      </c>
      <c r="H600" s="554">
        <v>0.43</v>
      </c>
      <c r="I600" s="553">
        <v>182</v>
      </c>
      <c r="J600" t="s">
        <v>663</v>
      </c>
      <c r="K600" s="554">
        <v>0.43</v>
      </c>
      <c r="L600" s="553">
        <v>182</v>
      </c>
    </row>
    <row r="601" spans="2:12">
      <c r="B601" t="s">
        <v>812</v>
      </c>
      <c r="C601" t="s">
        <v>686</v>
      </c>
      <c r="D601">
        <v>972</v>
      </c>
      <c r="E601">
        <v>256</v>
      </c>
      <c r="F601" s="553">
        <v>186</v>
      </c>
      <c r="G601" t="s">
        <v>1459</v>
      </c>
      <c r="H601" s="554">
        <v>0.66</v>
      </c>
      <c r="I601" s="553">
        <v>179</v>
      </c>
      <c r="J601" t="s">
        <v>663</v>
      </c>
      <c r="K601" s="554">
        <v>0.66</v>
      </c>
      <c r="L601" s="553">
        <v>179</v>
      </c>
    </row>
    <row r="602" spans="2:12">
      <c r="B602" t="s">
        <v>687</v>
      </c>
      <c r="C602" t="s">
        <v>746</v>
      </c>
      <c r="D602">
        <v>986</v>
      </c>
      <c r="E602">
        <v>398</v>
      </c>
      <c r="F602" s="553">
        <v>186</v>
      </c>
      <c r="G602" t="s">
        <v>1459</v>
      </c>
      <c r="H602" s="554">
        <v>0.57999999999999996</v>
      </c>
      <c r="I602" s="553">
        <v>201</v>
      </c>
      <c r="J602" t="s">
        <v>655</v>
      </c>
      <c r="K602" s="554">
        <v>0.12</v>
      </c>
      <c r="L602" s="553">
        <v>109</v>
      </c>
    </row>
    <row r="603" spans="2:12">
      <c r="B603" t="s">
        <v>722</v>
      </c>
      <c r="C603" t="s">
        <v>707</v>
      </c>
      <c r="D603">
        <v>967</v>
      </c>
      <c r="E603" s="555">
        <v>2899</v>
      </c>
      <c r="F603" s="553">
        <v>182</v>
      </c>
      <c r="G603" t="s">
        <v>1459</v>
      </c>
      <c r="H603" s="554">
        <v>0.52</v>
      </c>
      <c r="I603" s="553">
        <v>171</v>
      </c>
      <c r="J603" t="s">
        <v>668</v>
      </c>
      <c r="K603" s="554">
        <v>0.11</v>
      </c>
      <c r="L603" s="553">
        <v>95</v>
      </c>
    </row>
    <row r="604" spans="2:12">
      <c r="B604" t="s">
        <v>695</v>
      </c>
      <c r="C604" t="s">
        <v>771</v>
      </c>
      <c r="D604">
        <v>951</v>
      </c>
      <c r="E604">
        <v>463</v>
      </c>
      <c r="F604" s="553">
        <v>179</v>
      </c>
      <c r="G604" t="s">
        <v>645</v>
      </c>
      <c r="H604" s="554">
        <v>0.95</v>
      </c>
      <c r="I604" s="553">
        <v>178</v>
      </c>
      <c r="J604" t="s">
        <v>644</v>
      </c>
      <c r="K604" s="554">
        <v>0.95</v>
      </c>
      <c r="L604" s="553">
        <v>178</v>
      </c>
    </row>
    <row r="605" spans="2:12">
      <c r="B605" t="s">
        <v>772</v>
      </c>
      <c r="C605" t="s">
        <v>732</v>
      </c>
      <c r="D605">
        <v>966</v>
      </c>
      <c r="E605">
        <v>348</v>
      </c>
      <c r="F605" s="553">
        <v>175</v>
      </c>
      <c r="G605" t="s">
        <v>1459</v>
      </c>
      <c r="H605" s="554">
        <v>0.74</v>
      </c>
      <c r="I605" s="553">
        <v>176</v>
      </c>
      <c r="J605" t="s">
        <v>659</v>
      </c>
      <c r="K605" s="554">
        <v>0.08</v>
      </c>
      <c r="L605" s="553">
        <v>74</v>
      </c>
    </row>
    <row r="606" spans="2:12">
      <c r="B606" t="s">
        <v>691</v>
      </c>
      <c r="C606" t="s">
        <v>699</v>
      </c>
      <c r="D606">
        <v>980</v>
      </c>
      <c r="E606">
        <v>447</v>
      </c>
      <c r="F606" s="553">
        <v>175</v>
      </c>
      <c r="G606" t="s">
        <v>653</v>
      </c>
      <c r="H606" s="554">
        <v>0.76</v>
      </c>
      <c r="I606" s="553">
        <v>189</v>
      </c>
      <c r="J606" t="s">
        <v>664</v>
      </c>
      <c r="K606" s="554">
        <v>0.14000000000000001</v>
      </c>
      <c r="L606" s="553">
        <v>88</v>
      </c>
    </row>
    <row r="607" spans="2:12">
      <c r="B607" t="s">
        <v>772</v>
      </c>
      <c r="C607" t="s">
        <v>704</v>
      </c>
      <c r="D607">
        <v>979</v>
      </c>
      <c r="E607">
        <v>346</v>
      </c>
      <c r="F607" s="553">
        <v>173</v>
      </c>
      <c r="G607" t="s">
        <v>1459</v>
      </c>
      <c r="H607" s="554">
        <v>0.84</v>
      </c>
      <c r="I607" s="553">
        <v>169</v>
      </c>
      <c r="J607" t="s">
        <v>663</v>
      </c>
      <c r="K607" s="554">
        <v>0.84</v>
      </c>
      <c r="L607" s="553">
        <v>169</v>
      </c>
    </row>
    <row r="608" spans="2:12">
      <c r="B608" t="s">
        <v>661</v>
      </c>
      <c r="C608" t="s">
        <v>679</v>
      </c>
      <c r="D608">
        <v>977</v>
      </c>
      <c r="E608" s="555">
        <v>1509</v>
      </c>
      <c r="F608" s="553">
        <v>170</v>
      </c>
      <c r="G608" t="s">
        <v>1459</v>
      </c>
      <c r="H608" s="554">
        <v>0.38</v>
      </c>
      <c r="I608" s="553">
        <v>159</v>
      </c>
      <c r="J608" t="s">
        <v>663</v>
      </c>
      <c r="K608" s="554">
        <v>0.38</v>
      </c>
      <c r="L608" s="553">
        <v>159</v>
      </c>
    </row>
    <row r="609" spans="2:12">
      <c r="B609" t="s">
        <v>735</v>
      </c>
      <c r="C609" t="s">
        <v>684</v>
      </c>
      <c r="D609">
        <v>962</v>
      </c>
      <c r="E609">
        <v>866</v>
      </c>
      <c r="F609" s="553">
        <v>169</v>
      </c>
      <c r="G609" t="s">
        <v>639</v>
      </c>
      <c r="H609" s="554">
        <v>0.38</v>
      </c>
      <c r="I609" s="553">
        <v>180</v>
      </c>
      <c r="J609" t="s">
        <v>663</v>
      </c>
      <c r="K609" s="554">
        <v>0.36</v>
      </c>
      <c r="L609" s="553">
        <v>149</v>
      </c>
    </row>
    <row r="610" spans="2:12">
      <c r="B610" t="s">
        <v>722</v>
      </c>
      <c r="C610" t="s">
        <v>743</v>
      </c>
      <c r="D610">
        <v>977</v>
      </c>
      <c r="E610">
        <v>904</v>
      </c>
      <c r="F610" s="553">
        <v>167</v>
      </c>
      <c r="G610" t="s">
        <v>1459</v>
      </c>
      <c r="H610" s="554">
        <v>0.53</v>
      </c>
      <c r="I610" s="553">
        <v>170</v>
      </c>
      <c r="J610" t="s">
        <v>668</v>
      </c>
      <c r="K610" s="554">
        <v>0.18</v>
      </c>
      <c r="L610" s="553">
        <v>84</v>
      </c>
    </row>
    <row r="611" spans="2:12">
      <c r="B611" t="s">
        <v>662</v>
      </c>
      <c r="C611" t="s">
        <v>737</v>
      </c>
      <c r="D611">
        <v>999</v>
      </c>
      <c r="E611" s="555">
        <v>1205</v>
      </c>
      <c r="F611" s="553">
        <v>165</v>
      </c>
      <c r="G611" t="s">
        <v>653</v>
      </c>
      <c r="H611" s="554">
        <v>0.42</v>
      </c>
      <c r="I611" s="553">
        <v>160</v>
      </c>
      <c r="J611" t="s">
        <v>663</v>
      </c>
      <c r="K611" s="554">
        <v>0.16</v>
      </c>
      <c r="L611" s="553">
        <v>149</v>
      </c>
    </row>
    <row r="612" spans="2:12">
      <c r="B612" t="s">
        <v>662</v>
      </c>
      <c r="C612" t="s">
        <v>680</v>
      </c>
      <c r="D612">
        <v>986</v>
      </c>
      <c r="E612" s="555">
        <v>1300</v>
      </c>
      <c r="F612" s="553">
        <v>163</v>
      </c>
      <c r="G612" t="s">
        <v>653</v>
      </c>
      <c r="H612" s="554">
        <v>0.48</v>
      </c>
      <c r="I612" s="553">
        <v>174</v>
      </c>
      <c r="J612" t="s">
        <v>644</v>
      </c>
      <c r="K612" s="554">
        <v>0.38</v>
      </c>
      <c r="L612" s="553">
        <v>166</v>
      </c>
    </row>
    <row r="613" spans="2:12">
      <c r="B613" t="s">
        <v>662</v>
      </c>
      <c r="C613" t="s">
        <v>667</v>
      </c>
      <c r="D613">
        <v>985</v>
      </c>
      <c r="E613" s="555">
        <v>2376</v>
      </c>
      <c r="F613" s="553">
        <v>159</v>
      </c>
      <c r="G613" t="s">
        <v>645</v>
      </c>
      <c r="H613" s="554">
        <v>0.49</v>
      </c>
      <c r="I613" s="553">
        <v>183</v>
      </c>
      <c r="J613" t="s">
        <v>659</v>
      </c>
      <c r="K613" s="554">
        <v>0.14000000000000001</v>
      </c>
      <c r="L613" s="553">
        <v>87</v>
      </c>
    </row>
    <row r="614" spans="2:12">
      <c r="B614" t="s">
        <v>765</v>
      </c>
      <c r="C614" t="s">
        <v>711</v>
      </c>
      <c r="D614">
        <v>971</v>
      </c>
      <c r="E614">
        <v>205</v>
      </c>
      <c r="F614" s="553">
        <v>159</v>
      </c>
      <c r="G614" t="s">
        <v>645</v>
      </c>
      <c r="H614" s="554">
        <v>0.38</v>
      </c>
      <c r="I614" s="553">
        <v>218</v>
      </c>
      <c r="J614" t="s">
        <v>655</v>
      </c>
      <c r="K614" s="554">
        <v>0.31</v>
      </c>
      <c r="L614" s="553">
        <v>78</v>
      </c>
    </row>
    <row r="615" spans="2:12">
      <c r="B615" t="s">
        <v>661</v>
      </c>
      <c r="C615" t="s">
        <v>703</v>
      </c>
      <c r="D615">
        <v>958</v>
      </c>
      <c r="E615">
        <v>179</v>
      </c>
      <c r="F615" s="553">
        <v>156</v>
      </c>
      <c r="G615" t="s">
        <v>1460</v>
      </c>
      <c r="H615" s="554">
        <v>0.28999999999999998</v>
      </c>
      <c r="I615" s="553">
        <v>95</v>
      </c>
      <c r="J615" t="s">
        <v>655</v>
      </c>
      <c r="K615" s="554">
        <v>0.28999999999999998</v>
      </c>
      <c r="L615" s="553">
        <v>95</v>
      </c>
    </row>
    <row r="616" spans="2:12">
      <c r="B616" t="s">
        <v>722</v>
      </c>
      <c r="C616" t="s">
        <v>640</v>
      </c>
      <c r="D616">
        <v>991</v>
      </c>
      <c r="E616" s="555">
        <v>1454</v>
      </c>
      <c r="F616" s="553">
        <v>154</v>
      </c>
      <c r="G616" t="s">
        <v>1459</v>
      </c>
      <c r="H616" s="554">
        <v>0.37</v>
      </c>
      <c r="I616" s="553">
        <v>153</v>
      </c>
      <c r="J616" t="s">
        <v>638</v>
      </c>
      <c r="K616" s="554">
        <v>0.18</v>
      </c>
      <c r="L616" s="553">
        <v>153</v>
      </c>
    </row>
    <row r="617" spans="2:12">
      <c r="B617" t="s">
        <v>750</v>
      </c>
      <c r="C617" t="s">
        <v>641</v>
      </c>
      <c r="D617">
        <v>987</v>
      </c>
      <c r="E617">
        <v>481</v>
      </c>
      <c r="F617" s="553">
        <v>154</v>
      </c>
      <c r="G617" t="s">
        <v>639</v>
      </c>
      <c r="H617" s="554">
        <v>0.79</v>
      </c>
      <c r="I617" s="553">
        <v>155</v>
      </c>
      <c r="J617" t="s">
        <v>652</v>
      </c>
      <c r="K617" s="554">
        <v>0.18</v>
      </c>
      <c r="L617" s="553">
        <v>149</v>
      </c>
    </row>
    <row r="618" spans="2:12">
      <c r="B618" t="s">
        <v>650</v>
      </c>
      <c r="C618" t="s">
        <v>667</v>
      </c>
      <c r="D618">
        <v>989</v>
      </c>
      <c r="E618" s="555">
        <v>10878</v>
      </c>
      <c r="F618" s="553">
        <v>154</v>
      </c>
      <c r="G618" t="s">
        <v>1458</v>
      </c>
      <c r="H618" s="554">
        <v>0.34</v>
      </c>
      <c r="I618" s="553">
        <v>165</v>
      </c>
      <c r="J618" t="s">
        <v>647</v>
      </c>
      <c r="K618" s="554">
        <v>0.34</v>
      </c>
      <c r="L618" s="553">
        <v>165</v>
      </c>
    </row>
    <row r="619" spans="2:12">
      <c r="B619" t="s">
        <v>700</v>
      </c>
      <c r="C619" t="s">
        <v>685</v>
      </c>
      <c r="D619">
        <v>990</v>
      </c>
      <c r="E619">
        <v>551</v>
      </c>
      <c r="F619" s="553">
        <v>149</v>
      </c>
      <c r="G619" t="s">
        <v>1459</v>
      </c>
      <c r="H619" s="554">
        <v>0.4</v>
      </c>
      <c r="I619" s="553">
        <v>153</v>
      </c>
      <c r="J619" t="s">
        <v>659</v>
      </c>
      <c r="K619" s="554">
        <v>0.16</v>
      </c>
      <c r="L619" s="553">
        <v>90</v>
      </c>
    </row>
    <row r="620" spans="2:12">
      <c r="B620" t="s">
        <v>735</v>
      </c>
      <c r="C620" t="s">
        <v>641</v>
      </c>
      <c r="D620">
        <v>978</v>
      </c>
      <c r="E620" s="555">
        <v>7603</v>
      </c>
      <c r="F620" s="553">
        <v>147</v>
      </c>
      <c r="G620" t="s">
        <v>639</v>
      </c>
      <c r="H620" s="554">
        <v>0.65</v>
      </c>
      <c r="I620" s="553">
        <v>145</v>
      </c>
      <c r="J620" t="s">
        <v>638</v>
      </c>
      <c r="K620" s="554">
        <v>0.65</v>
      </c>
      <c r="L620" s="553">
        <v>145</v>
      </c>
    </row>
    <row r="621" spans="2:12">
      <c r="B621" t="s">
        <v>678</v>
      </c>
      <c r="C621" t="s">
        <v>685</v>
      </c>
      <c r="D621">
        <v>966</v>
      </c>
      <c r="E621" s="555">
        <v>2515</v>
      </c>
      <c r="F621" s="553">
        <v>146</v>
      </c>
      <c r="G621" t="s">
        <v>669</v>
      </c>
      <c r="H621" s="554">
        <v>0.37</v>
      </c>
      <c r="I621" s="553">
        <v>165</v>
      </c>
      <c r="J621" t="s">
        <v>663</v>
      </c>
      <c r="K621" s="554">
        <v>0.3</v>
      </c>
      <c r="L621" s="553">
        <v>132</v>
      </c>
    </row>
    <row r="622" spans="2:12">
      <c r="B622" t="s">
        <v>680</v>
      </c>
      <c r="C622" t="s">
        <v>686</v>
      </c>
      <c r="D622">
        <v>983</v>
      </c>
      <c r="E622">
        <v>980</v>
      </c>
      <c r="F622" s="553">
        <v>141</v>
      </c>
      <c r="G622" t="s">
        <v>653</v>
      </c>
      <c r="H622" s="554">
        <v>0.82</v>
      </c>
      <c r="I622" s="553">
        <v>150</v>
      </c>
      <c r="J622" t="s">
        <v>659</v>
      </c>
      <c r="K622" s="554">
        <v>0.1</v>
      </c>
      <c r="L622" s="553">
        <v>73</v>
      </c>
    </row>
    <row r="623" spans="2:12">
      <c r="B623" t="s">
        <v>661</v>
      </c>
      <c r="C623" t="s">
        <v>667</v>
      </c>
      <c r="D623">
        <v>994</v>
      </c>
      <c r="E623">
        <v>843</v>
      </c>
      <c r="F623" s="553">
        <v>141</v>
      </c>
      <c r="G623" t="s">
        <v>1459</v>
      </c>
      <c r="H623" s="554">
        <v>0.54</v>
      </c>
      <c r="I623" s="553">
        <v>144</v>
      </c>
      <c r="J623" t="s">
        <v>659</v>
      </c>
      <c r="K623" s="554">
        <v>0.1</v>
      </c>
      <c r="L623" s="553">
        <v>79</v>
      </c>
    </row>
    <row r="624" spans="2:12">
      <c r="B624" t="s">
        <v>719</v>
      </c>
      <c r="C624" t="s">
        <v>755</v>
      </c>
      <c r="D624">
        <v>967</v>
      </c>
      <c r="E624">
        <v>177</v>
      </c>
      <c r="F624" s="553">
        <v>138</v>
      </c>
      <c r="G624" t="s">
        <v>668</v>
      </c>
      <c r="H624" s="554">
        <v>0.25</v>
      </c>
      <c r="I624" s="553">
        <v>81</v>
      </c>
      <c r="J624" t="s">
        <v>668</v>
      </c>
      <c r="K624" s="554">
        <v>0.25</v>
      </c>
      <c r="L624" s="553">
        <v>81</v>
      </c>
    </row>
    <row r="625" spans="2:12">
      <c r="B625" t="s">
        <v>680</v>
      </c>
      <c r="C625" t="s">
        <v>667</v>
      </c>
      <c r="D625">
        <v>957</v>
      </c>
      <c r="E625" s="555">
        <v>1839</v>
      </c>
      <c r="F625" s="553">
        <v>136</v>
      </c>
      <c r="G625" t="s">
        <v>653</v>
      </c>
      <c r="H625" s="554">
        <v>0.68</v>
      </c>
      <c r="I625" s="553">
        <v>156</v>
      </c>
      <c r="J625" t="s">
        <v>659</v>
      </c>
      <c r="K625" s="554">
        <v>0.18</v>
      </c>
      <c r="L625" s="553">
        <v>76</v>
      </c>
    </row>
    <row r="626" spans="2:12">
      <c r="B626" t="s">
        <v>772</v>
      </c>
      <c r="C626" t="s">
        <v>695</v>
      </c>
      <c r="D626">
        <v>993</v>
      </c>
      <c r="E626">
        <v>675</v>
      </c>
      <c r="F626" s="553">
        <v>132</v>
      </c>
      <c r="G626" t="s">
        <v>645</v>
      </c>
      <c r="H626" s="554">
        <v>0.82</v>
      </c>
      <c r="I626" s="553">
        <v>138</v>
      </c>
      <c r="J626" t="s">
        <v>668</v>
      </c>
      <c r="K626" s="554">
        <v>0.13</v>
      </c>
      <c r="L626" s="553">
        <v>71</v>
      </c>
    </row>
    <row r="627" spans="2:12">
      <c r="B627" t="s">
        <v>813</v>
      </c>
      <c r="C627" t="s">
        <v>753</v>
      </c>
      <c r="D627">
        <v>970</v>
      </c>
      <c r="E627">
        <v>199</v>
      </c>
      <c r="F627" s="553">
        <v>94</v>
      </c>
      <c r="G627" t="s">
        <v>1460</v>
      </c>
      <c r="H627" s="554">
        <v>0.9</v>
      </c>
      <c r="I627" s="553">
        <v>81</v>
      </c>
      <c r="J627" t="s">
        <v>655</v>
      </c>
      <c r="K627" s="554">
        <v>0.9</v>
      </c>
      <c r="L627" s="553">
        <v>81</v>
      </c>
    </row>
    <row r="628" spans="2:12">
      <c r="F628" s="553"/>
      <c r="H628" s="554"/>
      <c r="I628" s="553"/>
      <c r="K628" s="554"/>
      <c r="L628" s="553"/>
    </row>
    <row r="629" spans="2:12">
      <c r="B629" s="552" t="s">
        <v>814</v>
      </c>
      <c r="F629" s="553"/>
      <c r="H629" s="554"/>
      <c r="I629" s="553"/>
      <c r="K629" s="554"/>
      <c r="L629" s="553"/>
    </row>
    <row r="630" spans="2:12">
      <c r="B630" t="s">
        <v>731</v>
      </c>
      <c r="C630" t="s">
        <v>695</v>
      </c>
      <c r="D630" s="555">
        <v>1038</v>
      </c>
      <c r="E630">
        <v>271</v>
      </c>
      <c r="F630" s="553">
        <v>263</v>
      </c>
      <c r="G630" t="s">
        <v>645</v>
      </c>
      <c r="H630" s="554">
        <v>0.71</v>
      </c>
      <c r="I630" s="553">
        <v>270</v>
      </c>
      <c r="J630" t="s">
        <v>652</v>
      </c>
      <c r="K630" s="554">
        <v>0.11</v>
      </c>
      <c r="L630" s="553">
        <v>248</v>
      </c>
    </row>
    <row r="631" spans="2:12">
      <c r="B631" t="s">
        <v>649</v>
      </c>
      <c r="C631" t="s">
        <v>704</v>
      </c>
      <c r="D631" s="555">
        <v>1047</v>
      </c>
      <c r="E631">
        <v>464</v>
      </c>
      <c r="F631" s="553">
        <v>262</v>
      </c>
      <c r="G631" t="s">
        <v>1459</v>
      </c>
      <c r="H631" s="554">
        <v>0.64</v>
      </c>
      <c r="I631" s="553">
        <v>260</v>
      </c>
      <c r="J631" t="s">
        <v>663</v>
      </c>
      <c r="K631" s="554">
        <v>0.64</v>
      </c>
      <c r="L631" s="553">
        <v>260</v>
      </c>
    </row>
    <row r="632" spans="2:12">
      <c r="B632" t="s">
        <v>724</v>
      </c>
      <c r="C632" t="s">
        <v>650</v>
      </c>
      <c r="D632" s="555">
        <v>1002</v>
      </c>
      <c r="E632">
        <v>337</v>
      </c>
      <c r="F632" s="553">
        <v>255</v>
      </c>
      <c r="G632" t="s">
        <v>645</v>
      </c>
      <c r="H632" s="554">
        <v>0.46</v>
      </c>
      <c r="I632" s="553">
        <v>233</v>
      </c>
      <c r="J632" t="s">
        <v>644</v>
      </c>
      <c r="K632" s="554">
        <v>0.46</v>
      </c>
      <c r="L632" s="553">
        <v>233</v>
      </c>
    </row>
    <row r="633" spans="2:12">
      <c r="B633" t="s">
        <v>719</v>
      </c>
      <c r="C633" t="s">
        <v>662</v>
      </c>
      <c r="D633" s="555">
        <v>1023</v>
      </c>
      <c r="E633">
        <v>485</v>
      </c>
      <c r="F633" s="553">
        <v>246</v>
      </c>
      <c r="G633" t="s">
        <v>645</v>
      </c>
      <c r="H633" s="554">
        <v>0.73</v>
      </c>
      <c r="I633" s="553">
        <v>260</v>
      </c>
      <c r="J633" t="s">
        <v>659</v>
      </c>
      <c r="K633" s="554">
        <v>0.06</v>
      </c>
      <c r="L633" s="553">
        <v>102</v>
      </c>
    </row>
    <row r="634" spans="2:12">
      <c r="B634" t="s">
        <v>721</v>
      </c>
      <c r="C634" t="s">
        <v>696</v>
      </c>
      <c r="D634" s="555">
        <v>1027</v>
      </c>
      <c r="E634">
        <v>234</v>
      </c>
      <c r="F634" s="553">
        <v>245</v>
      </c>
      <c r="G634" t="s">
        <v>653</v>
      </c>
      <c r="H634" s="554">
        <v>0.78</v>
      </c>
      <c r="I634" s="553">
        <v>266</v>
      </c>
      <c r="J634" t="s">
        <v>668</v>
      </c>
      <c r="K634" s="554">
        <v>0.09</v>
      </c>
      <c r="L634" s="553">
        <v>82</v>
      </c>
    </row>
    <row r="635" spans="2:12">
      <c r="B635" t="s">
        <v>678</v>
      </c>
      <c r="C635" t="s">
        <v>699</v>
      </c>
      <c r="D635" s="555">
        <v>1050</v>
      </c>
      <c r="E635">
        <v>403</v>
      </c>
      <c r="F635" s="553">
        <v>230</v>
      </c>
      <c r="G635" t="s">
        <v>669</v>
      </c>
      <c r="H635" s="554">
        <v>0.64</v>
      </c>
      <c r="I635" s="553">
        <v>238</v>
      </c>
      <c r="J635" t="s">
        <v>663</v>
      </c>
      <c r="K635" s="554">
        <v>0.2</v>
      </c>
      <c r="L635" s="553">
        <v>209</v>
      </c>
    </row>
    <row r="636" spans="2:12">
      <c r="B636" t="s">
        <v>718</v>
      </c>
      <c r="C636" t="s">
        <v>691</v>
      </c>
      <c r="D636" s="555">
        <v>1050</v>
      </c>
      <c r="E636">
        <v>292</v>
      </c>
      <c r="F636" s="553">
        <v>228</v>
      </c>
      <c r="G636" t="s">
        <v>653</v>
      </c>
      <c r="H636" s="554">
        <v>0.8</v>
      </c>
      <c r="I636" s="553">
        <v>247</v>
      </c>
      <c r="J636" t="s">
        <v>664</v>
      </c>
      <c r="K636" s="554">
        <v>0.13</v>
      </c>
      <c r="L636" s="553">
        <v>108</v>
      </c>
    </row>
    <row r="637" spans="2:12">
      <c r="B637" t="s">
        <v>785</v>
      </c>
      <c r="C637" t="s">
        <v>702</v>
      </c>
      <c r="D637" s="555">
        <v>1050</v>
      </c>
      <c r="E637">
        <v>201</v>
      </c>
      <c r="F637" s="553">
        <v>228</v>
      </c>
      <c r="G637" t="s">
        <v>645</v>
      </c>
      <c r="H637" s="554">
        <v>0.59</v>
      </c>
      <c r="I637" s="553">
        <v>228</v>
      </c>
      <c r="J637" t="s">
        <v>651</v>
      </c>
      <c r="K637" s="554">
        <v>0.26</v>
      </c>
      <c r="L637" s="553">
        <v>217</v>
      </c>
    </row>
    <row r="639" spans="2:12">
      <c r="B639" s="552" t="s">
        <v>814</v>
      </c>
    </row>
    <row r="640" spans="2:12">
      <c r="B640" t="s">
        <v>700</v>
      </c>
      <c r="C640" t="s">
        <v>678</v>
      </c>
      <c r="D640" s="555">
        <v>1001</v>
      </c>
      <c r="E640">
        <v>337</v>
      </c>
      <c r="F640" s="553">
        <v>225</v>
      </c>
      <c r="G640" t="s">
        <v>669</v>
      </c>
      <c r="H640" s="554">
        <v>0.5</v>
      </c>
      <c r="I640" s="553">
        <v>239</v>
      </c>
      <c r="J640" t="s">
        <v>663</v>
      </c>
      <c r="K640" s="554">
        <v>0.37</v>
      </c>
      <c r="L640" s="553">
        <v>200</v>
      </c>
    </row>
    <row r="641" spans="2:12">
      <c r="B641" t="s">
        <v>661</v>
      </c>
      <c r="C641" t="s">
        <v>673</v>
      </c>
      <c r="D641" s="555">
        <v>1032</v>
      </c>
      <c r="E641">
        <v>314</v>
      </c>
      <c r="F641" s="553">
        <v>222</v>
      </c>
      <c r="G641" t="s">
        <v>645</v>
      </c>
      <c r="H641" s="554">
        <v>0.87</v>
      </c>
      <c r="I641" s="553">
        <v>223</v>
      </c>
      <c r="J641" t="s">
        <v>663</v>
      </c>
      <c r="K641" s="554">
        <v>0.05</v>
      </c>
      <c r="L641" s="553">
        <v>204</v>
      </c>
    </row>
    <row r="642" spans="2:12">
      <c r="B642" t="s">
        <v>731</v>
      </c>
      <c r="C642" t="s">
        <v>711</v>
      </c>
      <c r="D642" s="555">
        <v>1044</v>
      </c>
      <c r="E642">
        <v>592</v>
      </c>
      <c r="F642" s="553">
        <v>219</v>
      </c>
      <c r="G642" t="s">
        <v>1459</v>
      </c>
      <c r="H642" s="554">
        <v>0.64</v>
      </c>
      <c r="I642" s="553">
        <v>219</v>
      </c>
      <c r="J642" t="s">
        <v>644</v>
      </c>
      <c r="K642" s="554">
        <v>0.31</v>
      </c>
      <c r="L642" s="553">
        <v>217</v>
      </c>
    </row>
    <row r="643" spans="2:12">
      <c r="B643" t="s">
        <v>678</v>
      </c>
      <c r="C643" t="s">
        <v>690</v>
      </c>
      <c r="D643" s="555">
        <v>1004</v>
      </c>
      <c r="E643">
        <v>273</v>
      </c>
      <c r="F643" s="553">
        <v>219</v>
      </c>
      <c r="G643" t="s">
        <v>669</v>
      </c>
      <c r="H643" s="554">
        <v>0.51</v>
      </c>
      <c r="I643" s="553">
        <v>235</v>
      </c>
      <c r="J643" t="s">
        <v>663</v>
      </c>
      <c r="K643" s="554">
        <v>0.39</v>
      </c>
      <c r="L643" s="553">
        <v>191</v>
      </c>
    </row>
    <row r="644" spans="2:12">
      <c r="B644" t="s">
        <v>749</v>
      </c>
      <c r="C644" t="s">
        <v>702</v>
      </c>
      <c r="D644" s="555">
        <v>1025</v>
      </c>
      <c r="E644">
        <v>319</v>
      </c>
      <c r="F644" s="553">
        <v>216</v>
      </c>
      <c r="G644" t="s">
        <v>1459</v>
      </c>
      <c r="H644" s="554">
        <v>0.64</v>
      </c>
      <c r="I644" s="553">
        <v>195</v>
      </c>
      <c r="J644" t="s">
        <v>663</v>
      </c>
      <c r="K644" s="554">
        <v>0.64</v>
      </c>
      <c r="L644" s="553">
        <v>195</v>
      </c>
    </row>
    <row r="645" spans="2:12">
      <c r="B645" t="s">
        <v>679</v>
      </c>
      <c r="C645" t="s">
        <v>676</v>
      </c>
      <c r="D645" s="555">
        <v>1041</v>
      </c>
      <c r="E645">
        <v>607</v>
      </c>
      <c r="F645" s="553">
        <v>214</v>
      </c>
      <c r="G645" t="s">
        <v>645</v>
      </c>
      <c r="H645" s="554">
        <v>0.46</v>
      </c>
      <c r="I645" s="553">
        <v>208</v>
      </c>
      <c r="J645" t="s">
        <v>644</v>
      </c>
      <c r="K645" s="554">
        <v>0.46</v>
      </c>
      <c r="L645" s="553">
        <v>208</v>
      </c>
    </row>
    <row r="646" spans="2:12">
      <c r="B646" t="s">
        <v>815</v>
      </c>
      <c r="C646" t="s">
        <v>735</v>
      </c>
      <c r="D646" s="555">
        <v>1027</v>
      </c>
      <c r="E646">
        <v>272</v>
      </c>
      <c r="F646" s="553">
        <v>201</v>
      </c>
      <c r="G646" t="s">
        <v>653</v>
      </c>
      <c r="H646" s="554">
        <v>0.33</v>
      </c>
      <c r="I646" s="553">
        <v>226</v>
      </c>
      <c r="J646" t="s">
        <v>644</v>
      </c>
      <c r="K646" s="554">
        <v>0.21</v>
      </c>
      <c r="L646" s="553">
        <v>182</v>
      </c>
    </row>
    <row r="647" spans="2:12">
      <c r="B647" t="s">
        <v>662</v>
      </c>
      <c r="C647" t="s">
        <v>772</v>
      </c>
      <c r="D647" s="555">
        <v>1017</v>
      </c>
      <c r="E647">
        <v>393</v>
      </c>
      <c r="F647" s="553">
        <v>197</v>
      </c>
      <c r="G647" t="s">
        <v>645</v>
      </c>
      <c r="H647" s="554">
        <v>0.73</v>
      </c>
      <c r="I647" s="553">
        <v>203</v>
      </c>
      <c r="J647" t="s">
        <v>663</v>
      </c>
      <c r="K647" s="554">
        <v>0.23</v>
      </c>
      <c r="L647" s="553">
        <v>172</v>
      </c>
    </row>
    <row r="648" spans="2:12">
      <c r="B648" t="s">
        <v>711</v>
      </c>
      <c r="C648" t="s">
        <v>684</v>
      </c>
      <c r="D648" s="555">
        <v>1020</v>
      </c>
      <c r="E648">
        <v>432</v>
      </c>
      <c r="F648" s="553">
        <v>194</v>
      </c>
      <c r="G648" t="s">
        <v>645</v>
      </c>
      <c r="H648" s="554">
        <v>0.43</v>
      </c>
      <c r="I648" s="553">
        <v>204</v>
      </c>
      <c r="J648" t="s">
        <v>652</v>
      </c>
      <c r="K648" s="554">
        <v>0.1</v>
      </c>
      <c r="L648" s="553">
        <v>170</v>
      </c>
    </row>
    <row r="649" spans="2:12">
      <c r="B649" t="s">
        <v>667</v>
      </c>
      <c r="C649" t="s">
        <v>676</v>
      </c>
      <c r="D649" s="555">
        <v>1041</v>
      </c>
      <c r="E649">
        <v>485</v>
      </c>
      <c r="F649" s="553">
        <v>193</v>
      </c>
      <c r="G649" t="s">
        <v>1459</v>
      </c>
      <c r="H649" s="554">
        <v>0.52</v>
      </c>
      <c r="I649" s="553">
        <v>201</v>
      </c>
      <c r="J649" t="s">
        <v>668</v>
      </c>
      <c r="K649" s="554">
        <v>0.13</v>
      </c>
      <c r="L649" s="553">
        <v>85</v>
      </c>
    </row>
    <row r="650" spans="2:12">
      <c r="B650" t="s">
        <v>749</v>
      </c>
      <c r="C650" t="s">
        <v>711</v>
      </c>
      <c r="D650" s="555">
        <v>1037</v>
      </c>
      <c r="E650">
        <v>475</v>
      </c>
      <c r="F650" s="553">
        <v>191</v>
      </c>
      <c r="G650" t="s">
        <v>1459</v>
      </c>
      <c r="H650" s="554">
        <v>0.61</v>
      </c>
      <c r="I650" s="553">
        <v>194</v>
      </c>
      <c r="J650" t="s">
        <v>663</v>
      </c>
      <c r="K650" s="554">
        <v>0.61</v>
      </c>
      <c r="L650" s="553">
        <v>194</v>
      </c>
    </row>
    <row r="651" spans="2:12">
      <c r="B651" t="s">
        <v>722</v>
      </c>
      <c r="C651" t="s">
        <v>706</v>
      </c>
      <c r="D651" s="555">
        <v>1024</v>
      </c>
      <c r="E651">
        <v>314</v>
      </c>
      <c r="F651" s="553">
        <v>188</v>
      </c>
      <c r="G651" t="s">
        <v>1459</v>
      </c>
      <c r="H651" s="554">
        <v>0.41</v>
      </c>
      <c r="I651" s="553">
        <v>187</v>
      </c>
      <c r="J651" t="s">
        <v>668</v>
      </c>
      <c r="K651" s="554">
        <v>0.17</v>
      </c>
      <c r="L651" s="553">
        <v>79</v>
      </c>
    </row>
    <row r="652" spans="2:12">
      <c r="B652" t="s">
        <v>711</v>
      </c>
      <c r="C652" t="s">
        <v>640</v>
      </c>
      <c r="D652" s="555">
        <v>1009</v>
      </c>
      <c r="E652" s="555">
        <v>1358</v>
      </c>
      <c r="F652" s="553">
        <v>187</v>
      </c>
      <c r="G652" t="s">
        <v>1459</v>
      </c>
      <c r="H652" s="554">
        <v>0.37</v>
      </c>
      <c r="I652" s="553">
        <v>177</v>
      </c>
      <c r="J652" t="s">
        <v>663</v>
      </c>
      <c r="K652" s="554">
        <v>0.37</v>
      </c>
      <c r="L652" s="553">
        <v>177</v>
      </c>
    </row>
    <row r="653" spans="2:12">
      <c r="B653" t="s">
        <v>649</v>
      </c>
      <c r="C653" t="s">
        <v>698</v>
      </c>
      <c r="D653" s="555">
        <v>1028</v>
      </c>
      <c r="E653">
        <v>656</v>
      </c>
      <c r="F653" s="553">
        <v>182</v>
      </c>
      <c r="G653" t="s">
        <v>1458</v>
      </c>
      <c r="H653" s="554">
        <v>0.43</v>
      </c>
      <c r="I653" s="553">
        <v>167</v>
      </c>
      <c r="J653" t="s">
        <v>647</v>
      </c>
      <c r="K653" s="554">
        <v>0.43</v>
      </c>
      <c r="L653" s="553">
        <v>167</v>
      </c>
    </row>
    <row r="654" spans="2:12">
      <c r="B654" t="s">
        <v>722</v>
      </c>
      <c r="C654" t="s">
        <v>681</v>
      </c>
      <c r="D654" s="555">
        <v>1014</v>
      </c>
      <c r="E654" s="555">
        <v>1118</v>
      </c>
      <c r="F654" s="553">
        <v>178</v>
      </c>
      <c r="G654" t="s">
        <v>1459</v>
      </c>
      <c r="H654" s="554">
        <v>0.61</v>
      </c>
      <c r="I654" s="553">
        <v>175</v>
      </c>
      <c r="J654" t="s">
        <v>663</v>
      </c>
      <c r="K654" s="554">
        <v>0.61</v>
      </c>
      <c r="L654" s="553">
        <v>175</v>
      </c>
    </row>
    <row r="655" spans="2:12">
      <c r="B655" t="s">
        <v>661</v>
      </c>
      <c r="C655" t="s">
        <v>691</v>
      </c>
      <c r="D655" s="555">
        <v>1042</v>
      </c>
      <c r="E655">
        <v>483</v>
      </c>
      <c r="F655" s="553">
        <v>177</v>
      </c>
      <c r="G655" t="s">
        <v>653</v>
      </c>
      <c r="H655" s="554">
        <v>0.62</v>
      </c>
      <c r="I655" s="553">
        <v>197</v>
      </c>
      <c r="J655" t="s">
        <v>664</v>
      </c>
      <c r="K655" s="554">
        <v>0.11</v>
      </c>
      <c r="L655" s="553">
        <v>101</v>
      </c>
    </row>
    <row r="656" spans="2:12">
      <c r="B656" t="s">
        <v>722</v>
      </c>
      <c r="C656" t="s">
        <v>742</v>
      </c>
      <c r="D656" s="555">
        <v>1015</v>
      </c>
      <c r="E656">
        <v>533</v>
      </c>
      <c r="F656" s="553">
        <v>176</v>
      </c>
      <c r="G656" t="s">
        <v>669</v>
      </c>
      <c r="H656" s="554">
        <v>0.43</v>
      </c>
      <c r="I656" s="553">
        <v>205</v>
      </c>
      <c r="J656" t="s">
        <v>668</v>
      </c>
      <c r="K656" s="554">
        <v>0.19</v>
      </c>
      <c r="L656" s="553">
        <v>88</v>
      </c>
    </row>
    <row r="657" spans="2:12">
      <c r="B657" t="s">
        <v>678</v>
      </c>
      <c r="C657" t="s">
        <v>711</v>
      </c>
      <c r="D657" s="555">
        <v>1020</v>
      </c>
      <c r="E657" s="555">
        <v>1043</v>
      </c>
      <c r="F657" s="553">
        <v>173</v>
      </c>
      <c r="G657" t="s">
        <v>1459</v>
      </c>
      <c r="H657" s="554">
        <v>0.44</v>
      </c>
      <c r="I657" s="553">
        <v>165</v>
      </c>
      <c r="J657" t="s">
        <v>663</v>
      </c>
      <c r="K657" s="554">
        <v>0.44</v>
      </c>
      <c r="L657" s="553">
        <v>165</v>
      </c>
    </row>
    <row r="658" spans="2:12">
      <c r="B658" t="s">
        <v>731</v>
      </c>
      <c r="C658" t="s">
        <v>686</v>
      </c>
      <c r="D658" s="555">
        <v>1048</v>
      </c>
      <c r="E658">
        <v>422</v>
      </c>
      <c r="F658" s="553">
        <v>172</v>
      </c>
      <c r="G658" t="s">
        <v>1459</v>
      </c>
      <c r="H658" s="554">
        <v>0.6</v>
      </c>
      <c r="I658" s="553">
        <v>191</v>
      </c>
      <c r="J658" t="s">
        <v>655</v>
      </c>
      <c r="K658" s="554">
        <v>0.1</v>
      </c>
      <c r="L658" s="553">
        <v>81</v>
      </c>
    </row>
    <row r="659" spans="2:12">
      <c r="B659" t="s">
        <v>679</v>
      </c>
      <c r="C659" t="s">
        <v>755</v>
      </c>
      <c r="D659" s="555">
        <v>1050</v>
      </c>
      <c r="E659">
        <v>392</v>
      </c>
      <c r="F659" s="553">
        <v>168</v>
      </c>
      <c r="G659" t="s">
        <v>1459</v>
      </c>
      <c r="H659" s="554">
        <v>0.4</v>
      </c>
      <c r="I659" s="553">
        <v>147</v>
      </c>
      <c r="J659" t="s">
        <v>663</v>
      </c>
      <c r="K659" s="554">
        <v>0.4</v>
      </c>
      <c r="L659" s="553">
        <v>147</v>
      </c>
    </row>
    <row r="660" spans="2:12">
      <c r="B660" t="s">
        <v>662</v>
      </c>
      <c r="C660" t="s">
        <v>736</v>
      </c>
      <c r="D660" s="555">
        <v>1048</v>
      </c>
      <c r="E660">
        <v>233</v>
      </c>
      <c r="F660" s="553">
        <v>166</v>
      </c>
      <c r="G660" t="s">
        <v>645</v>
      </c>
      <c r="H660" s="554">
        <v>0.7</v>
      </c>
      <c r="I660" s="553">
        <v>173</v>
      </c>
      <c r="J660" t="s">
        <v>663</v>
      </c>
      <c r="K660" s="554">
        <v>0.15</v>
      </c>
      <c r="L660" s="553">
        <v>164</v>
      </c>
    </row>
    <row r="661" spans="2:12">
      <c r="B661" t="s">
        <v>667</v>
      </c>
      <c r="C661" t="s">
        <v>693</v>
      </c>
      <c r="D661" s="555">
        <v>1033</v>
      </c>
      <c r="E661">
        <v>268</v>
      </c>
      <c r="F661" s="553">
        <v>165</v>
      </c>
      <c r="G661" t="s">
        <v>1459</v>
      </c>
      <c r="H661" s="554">
        <v>0.41</v>
      </c>
      <c r="I661" s="553">
        <v>181</v>
      </c>
      <c r="J661" t="s">
        <v>668</v>
      </c>
      <c r="K661" s="554">
        <v>0.31</v>
      </c>
      <c r="L661" s="553">
        <v>90</v>
      </c>
    </row>
    <row r="662" spans="2:12">
      <c r="B662" t="s">
        <v>742</v>
      </c>
      <c r="C662" t="s">
        <v>667</v>
      </c>
      <c r="D662" s="555">
        <v>1024</v>
      </c>
      <c r="E662">
        <v>224</v>
      </c>
      <c r="F662" s="553">
        <v>165</v>
      </c>
      <c r="G662" t="s">
        <v>1459</v>
      </c>
      <c r="H662" s="554">
        <v>0.5</v>
      </c>
      <c r="I662" s="553">
        <v>140</v>
      </c>
      <c r="J662" t="s">
        <v>668</v>
      </c>
      <c r="K662" s="554">
        <v>0.11</v>
      </c>
      <c r="L662" s="553">
        <v>76</v>
      </c>
    </row>
    <row r="663" spans="2:12">
      <c r="B663" t="s">
        <v>710</v>
      </c>
      <c r="C663" t="s">
        <v>684</v>
      </c>
      <c r="D663" s="555">
        <v>1027</v>
      </c>
      <c r="E663">
        <v>345</v>
      </c>
      <c r="F663" s="553">
        <v>164</v>
      </c>
      <c r="G663" t="s">
        <v>639</v>
      </c>
      <c r="H663" s="554">
        <v>0.66</v>
      </c>
      <c r="I663" s="553">
        <v>155</v>
      </c>
      <c r="J663" t="s">
        <v>638</v>
      </c>
      <c r="K663" s="554">
        <v>0.66</v>
      </c>
      <c r="L663" s="553">
        <v>155</v>
      </c>
    </row>
    <row r="664" spans="2:12">
      <c r="B664" t="s">
        <v>718</v>
      </c>
      <c r="C664" t="s">
        <v>667</v>
      </c>
      <c r="D664" s="555">
        <v>1050</v>
      </c>
      <c r="E664" s="555">
        <v>1272</v>
      </c>
      <c r="F664" s="553">
        <v>159</v>
      </c>
      <c r="G664" t="s">
        <v>1458</v>
      </c>
      <c r="H664" s="554">
        <v>0.38</v>
      </c>
      <c r="I664" s="553">
        <v>176</v>
      </c>
      <c r="J664" t="s">
        <v>659</v>
      </c>
      <c r="K664" s="554">
        <v>0.2</v>
      </c>
      <c r="L664" s="553">
        <v>103</v>
      </c>
    </row>
    <row r="665" spans="2:12">
      <c r="B665" t="s">
        <v>743</v>
      </c>
      <c r="C665" t="s">
        <v>685</v>
      </c>
      <c r="D665" s="555">
        <v>1020</v>
      </c>
      <c r="E665">
        <v>603</v>
      </c>
      <c r="F665" s="553">
        <v>155</v>
      </c>
      <c r="G665" t="s">
        <v>645</v>
      </c>
      <c r="H665" s="554">
        <v>0.38</v>
      </c>
      <c r="I665" s="553">
        <v>165</v>
      </c>
      <c r="J665" t="s">
        <v>655</v>
      </c>
      <c r="K665" s="554">
        <v>0.1</v>
      </c>
      <c r="L665" s="553">
        <v>93</v>
      </c>
    </row>
    <row r="666" spans="2:12">
      <c r="B666" t="s">
        <v>701</v>
      </c>
      <c r="C666" t="s">
        <v>667</v>
      </c>
      <c r="D666" s="555">
        <v>1011</v>
      </c>
      <c r="E666">
        <v>751</v>
      </c>
      <c r="F666" s="553">
        <v>150</v>
      </c>
      <c r="G666" t="s">
        <v>1459</v>
      </c>
      <c r="H666" s="554">
        <v>0.43</v>
      </c>
      <c r="I666" s="553">
        <v>164</v>
      </c>
      <c r="J666" t="s">
        <v>668</v>
      </c>
      <c r="K666" s="554">
        <v>0.22</v>
      </c>
      <c r="L666" s="553">
        <v>84</v>
      </c>
    </row>
    <row r="667" spans="2:12">
      <c r="B667" t="s">
        <v>710</v>
      </c>
      <c r="C667" t="s">
        <v>641</v>
      </c>
      <c r="D667" s="555">
        <v>1050</v>
      </c>
      <c r="E667" s="555">
        <v>2649</v>
      </c>
      <c r="F667" s="553">
        <v>149</v>
      </c>
      <c r="G667" t="s">
        <v>639</v>
      </c>
      <c r="H667" s="554">
        <v>0.65</v>
      </c>
      <c r="I667" s="553">
        <v>151</v>
      </c>
      <c r="J667" t="s">
        <v>652</v>
      </c>
      <c r="K667" s="554">
        <v>0.28000000000000003</v>
      </c>
      <c r="L667" s="553">
        <v>143</v>
      </c>
    </row>
    <row r="668" spans="2:12">
      <c r="B668" t="s">
        <v>685</v>
      </c>
      <c r="C668" t="s">
        <v>732</v>
      </c>
      <c r="D668" s="555">
        <v>1013</v>
      </c>
      <c r="E668">
        <v>662</v>
      </c>
      <c r="F668" s="553">
        <v>149</v>
      </c>
      <c r="G668" t="s">
        <v>1459</v>
      </c>
      <c r="H668" s="554">
        <v>0.37</v>
      </c>
      <c r="I668" s="553">
        <v>153</v>
      </c>
      <c r="J668" t="s">
        <v>659</v>
      </c>
      <c r="K668" s="554">
        <v>0.21</v>
      </c>
      <c r="L668" s="553">
        <v>89</v>
      </c>
    </row>
    <row r="669" spans="2:12">
      <c r="B669" t="s">
        <v>722</v>
      </c>
      <c r="C669" t="s">
        <v>641</v>
      </c>
      <c r="D669" s="555">
        <v>1024</v>
      </c>
      <c r="E669" s="555">
        <v>2496</v>
      </c>
      <c r="F669" s="553">
        <v>141</v>
      </c>
      <c r="G669" t="s">
        <v>639</v>
      </c>
      <c r="H669" s="554">
        <v>0.34</v>
      </c>
      <c r="I669" s="553">
        <v>150</v>
      </c>
      <c r="J669" t="s">
        <v>663</v>
      </c>
      <c r="K669" s="554">
        <v>0.26</v>
      </c>
      <c r="L669" s="553">
        <v>123</v>
      </c>
    </row>
    <row r="670" spans="2:12">
      <c r="B670" t="s">
        <v>685</v>
      </c>
      <c r="C670" t="s">
        <v>695</v>
      </c>
      <c r="D670" s="555">
        <v>1013</v>
      </c>
      <c r="E670" s="555">
        <v>2373</v>
      </c>
      <c r="F670" s="553">
        <v>140</v>
      </c>
      <c r="G670" t="s">
        <v>645</v>
      </c>
      <c r="H670" s="554">
        <v>0.75</v>
      </c>
      <c r="I670" s="553">
        <v>152</v>
      </c>
      <c r="J670" t="s">
        <v>668</v>
      </c>
      <c r="K670" s="554">
        <v>0.08</v>
      </c>
      <c r="L670" s="553">
        <v>83</v>
      </c>
    </row>
    <row r="671" spans="2:12">
      <c r="B671" t="s">
        <v>679</v>
      </c>
      <c r="C671" t="s">
        <v>667</v>
      </c>
      <c r="D671" s="555">
        <v>1005</v>
      </c>
      <c r="E671" s="555">
        <v>3937</v>
      </c>
      <c r="F671" s="553">
        <v>132</v>
      </c>
      <c r="G671" t="s">
        <v>1459</v>
      </c>
      <c r="H671" s="554">
        <v>0.41</v>
      </c>
      <c r="I671" s="553">
        <v>129</v>
      </c>
      <c r="J671" t="s">
        <v>663</v>
      </c>
      <c r="K671" s="554">
        <v>0.41</v>
      </c>
      <c r="L671" s="553">
        <v>129</v>
      </c>
    </row>
    <row r="672" spans="2:12">
      <c r="B672" t="s">
        <v>719</v>
      </c>
      <c r="C672" t="s">
        <v>772</v>
      </c>
      <c r="D672" s="555">
        <v>1025</v>
      </c>
      <c r="E672">
        <v>442</v>
      </c>
      <c r="F672" s="553">
        <v>130</v>
      </c>
      <c r="G672" t="s">
        <v>669</v>
      </c>
      <c r="H672" s="554">
        <v>0.4</v>
      </c>
      <c r="I672" s="553">
        <v>154</v>
      </c>
      <c r="J672" t="s">
        <v>668</v>
      </c>
      <c r="K672" s="554">
        <v>0.32</v>
      </c>
      <c r="L672" s="553">
        <v>80</v>
      </c>
    </row>
    <row r="673" spans="2:12">
      <c r="B673" t="s">
        <v>679</v>
      </c>
      <c r="C673" t="s">
        <v>686</v>
      </c>
      <c r="D673" s="555">
        <v>1011</v>
      </c>
      <c r="E673" s="555">
        <v>2100</v>
      </c>
      <c r="F673" s="553">
        <v>127</v>
      </c>
      <c r="G673" t="s">
        <v>1459</v>
      </c>
      <c r="H673" s="554">
        <v>0.4</v>
      </c>
      <c r="I673" s="553">
        <v>119</v>
      </c>
      <c r="J673" t="s">
        <v>663</v>
      </c>
      <c r="K673" s="554">
        <v>0.4</v>
      </c>
      <c r="L673" s="553">
        <v>119</v>
      </c>
    </row>
    <row r="674" spans="2:12">
      <c r="B674" t="s">
        <v>742</v>
      </c>
      <c r="C674" t="s">
        <v>686</v>
      </c>
      <c r="D674" s="555">
        <v>1044</v>
      </c>
      <c r="E674">
        <v>265</v>
      </c>
      <c r="F674" s="553">
        <v>119</v>
      </c>
      <c r="G674" t="s">
        <v>1460</v>
      </c>
      <c r="H674" s="554">
        <v>0.62</v>
      </c>
      <c r="I674" s="553">
        <v>80</v>
      </c>
      <c r="J674" t="s">
        <v>655</v>
      </c>
      <c r="K674" s="554">
        <v>0.62</v>
      </c>
      <c r="L674" s="553">
        <v>80</v>
      </c>
    </row>
    <row r="676" spans="2:12">
      <c r="B676" s="552" t="s">
        <v>816</v>
      </c>
    </row>
    <row r="677" spans="2:12">
      <c r="B677" t="s">
        <v>691</v>
      </c>
      <c r="C677" t="s">
        <v>650</v>
      </c>
      <c r="D677" s="555">
        <v>1057</v>
      </c>
      <c r="E677" s="555">
        <v>1741</v>
      </c>
      <c r="F677" s="553">
        <v>244</v>
      </c>
      <c r="G677" t="s">
        <v>653</v>
      </c>
      <c r="H677" s="554">
        <v>0.69</v>
      </c>
      <c r="I677" s="553">
        <v>265</v>
      </c>
      <c r="J677" t="s">
        <v>664</v>
      </c>
      <c r="K677" s="554">
        <v>0.11</v>
      </c>
      <c r="L677" s="553">
        <v>153</v>
      </c>
    </row>
    <row r="678" spans="2:12">
      <c r="B678" t="s">
        <v>673</v>
      </c>
      <c r="C678" t="s">
        <v>676</v>
      </c>
      <c r="D678" s="555">
        <v>1095</v>
      </c>
      <c r="E678">
        <v>218</v>
      </c>
      <c r="F678" s="553">
        <v>237</v>
      </c>
      <c r="G678" t="s">
        <v>645</v>
      </c>
      <c r="H678" s="554">
        <v>0.86</v>
      </c>
      <c r="I678" s="553">
        <v>236</v>
      </c>
      <c r="J678" t="s">
        <v>663</v>
      </c>
      <c r="K678" s="554">
        <v>0.05</v>
      </c>
      <c r="L678" s="553">
        <v>229</v>
      </c>
    </row>
    <row r="679" spans="2:12">
      <c r="B679" t="s">
        <v>662</v>
      </c>
      <c r="C679" t="s">
        <v>732</v>
      </c>
      <c r="D679" s="555">
        <v>1067</v>
      </c>
      <c r="E679">
        <v>497</v>
      </c>
      <c r="F679" s="553">
        <v>235</v>
      </c>
      <c r="G679" t="s">
        <v>645</v>
      </c>
      <c r="H679" s="554">
        <v>0.81</v>
      </c>
      <c r="I679" s="553">
        <v>240</v>
      </c>
      <c r="J679" t="s">
        <v>663</v>
      </c>
      <c r="K679" s="554">
        <v>0.12</v>
      </c>
      <c r="L679" s="553">
        <v>207</v>
      </c>
    </row>
    <row r="680" spans="2:12">
      <c r="B680" t="s">
        <v>737</v>
      </c>
      <c r="C680" t="s">
        <v>676</v>
      </c>
      <c r="D680" s="555">
        <v>1087</v>
      </c>
      <c r="E680">
        <v>267</v>
      </c>
      <c r="F680" s="553">
        <v>225</v>
      </c>
      <c r="G680" t="s">
        <v>653</v>
      </c>
      <c r="H680" s="554">
        <v>0.65</v>
      </c>
      <c r="I680" s="553">
        <v>239</v>
      </c>
      <c r="J680" t="s">
        <v>663</v>
      </c>
      <c r="K680" s="554">
        <v>0.18</v>
      </c>
      <c r="L680" s="553">
        <v>204</v>
      </c>
    </row>
    <row r="681" spans="2:12">
      <c r="B681" t="s">
        <v>662</v>
      </c>
      <c r="C681" t="s">
        <v>699</v>
      </c>
      <c r="D681" s="555">
        <v>1061</v>
      </c>
      <c r="E681">
        <v>592</v>
      </c>
      <c r="F681" s="553">
        <v>225</v>
      </c>
      <c r="G681" t="s">
        <v>645</v>
      </c>
      <c r="H681" s="554">
        <v>0.76</v>
      </c>
      <c r="I681" s="553">
        <v>227</v>
      </c>
      <c r="J681" t="s">
        <v>663</v>
      </c>
      <c r="K681" s="554">
        <v>0.16</v>
      </c>
      <c r="L681" s="553">
        <v>205</v>
      </c>
    </row>
    <row r="682" spans="2:12">
      <c r="B682" t="s">
        <v>766</v>
      </c>
      <c r="C682" t="s">
        <v>722</v>
      </c>
      <c r="D682" s="555">
        <v>1083</v>
      </c>
      <c r="E682">
        <v>241</v>
      </c>
      <c r="F682" s="553">
        <v>218</v>
      </c>
      <c r="G682" t="s">
        <v>669</v>
      </c>
      <c r="H682" s="554">
        <v>0.47</v>
      </c>
      <c r="I682" s="553">
        <v>238</v>
      </c>
      <c r="J682" t="s">
        <v>663</v>
      </c>
      <c r="K682" s="554">
        <v>0.4</v>
      </c>
      <c r="L682" s="553">
        <v>176</v>
      </c>
    </row>
    <row r="684" spans="2:12">
      <c r="B684" s="552" t="s">
        <v>816</v>
      </c>
    </row>
    <row r="685" spans="2:12">
      <c r="B685" t="s">
        <v>650</v>
      </c>
      <c r="C685" t="s">
        <v>768</v>
      </c>
      <c r="D685" s="555">
        <v>1063</v>
      </c>
      <c r="E685">
        <v>205</v>
      </c>
      <c r="F685" s="553">
        <v>217</v>
      </c>
      <c r="G685" t="s">
        <v>645</v>
      </c>
      <c r="H685" s="554">
        <v>0.56999999999999995</v>
      </c>
      <c r="I685" s="553">
        <v>201</v>
      </c>
      <c r="J685" t="s">
        <v>644</v>
      </c>
      <c r="K685" s="554">
        <v>0.56999999999999995</v>
      </c>
      <c r="L685" s="553">
        <v>201</v>
      </c>
    </row>
    <row r="686" spans="2:12">
      <c r="B686" t="s">
        <v>650</v>
      </c>
      <c r="C686" t="s">
        <v>755</v>
      </c>
      <c r="D686" s="555">
        <v>1084</v>
      </c>
      <c r="E686">
        <v>586</v>
      </c>
      <c r="F686" s="553">
        <v>199</v>
      </c>
      <c r="G686" t="s">
        <v>669</v>
      </c>
      <c r="H686" s="554">
        <v>0.42</v>
      </c>
      <c r="I686" s="553">
        <v>193</v>
      </c>
      <c r="J686" t="s">
        <v>647</v>
      </c>
      <c r="K686" s="554">
        <v>0.28999999999999998</v>
      </c>
      <c r="L686" s="553">
        <v>187</v>
      </c>
    </row>
    <row r="687" spans="2:12">
      <c r="B687" t="s">
        <v>661</v>
      </c>
      <c r="C687" t="s">
        <v>737</v>
      </c>
      <c r="D687" s="555">
        <v>1086</v>
      </c>
      <c r="E687">
        <v>416</v>
      </c>
      <c r="F687" s="553">
        <v>197</v>
      </c>
      <c r="G687" t="s">
        <v>653</v>
      </c>
      <c r="H687" s="554">
        <v>0.63</v>
      </c>
      <c r="I687" s="553">
        <v>210</v>
      </c>
      <c r="J687" t="s">
        <v>663</v>
      </c>
      <c r="K687" s="554">
        <v>0.27</v>
      </c>
      <c r="L687" s="553">
        <v>174</v>
      </c>
    </row>
    <row r="688" spans="2:12">
      <c r="B688" t="s">
        <v>687</v>
      </c>
      <c r="C688" t="s">
        <v>682</v>
      </c>
      <c r="D688" s="555">
        <v>1076</v>
      </c>
      <c r="E688">
        <v>253</v>
      </c>
      <c r="F688" s="553">
        <v>196</v>
      </c>
      <c r="G688" t="s">
        <v>1459</v>
      </c>
      <c r="H688" s="554">
        <v>0.57999999999999996</v>
      </c>
      <c r="I688" s="553">
        <v>210</v>
      </c>
      <c r="J688" t="s">
        <v>655</v>
      </c>
      <c r="K688" s="554">
        <v>0.2</v>
      </c>
      <c r="L688" s="553">
        <v>99</v>
      </c>
    </row>
    <row r="689" spans="2:12">
      <c r="B689" t="s">
        <v>729</v>
      </c>
      <c r="C689" t="s">
        <v>695</v>
      </c>
      <c r="D689" s="555">
        <v>1089</v>
      </c>
      <c r="E689">
        <v>359</v>
      </c>
      <c r="F689" s="553">
        <v>192</v>
      </c>
      <c r="G689" t="s">
        <v>645</v>
      </c>
      <c r="H689" s="554">
        <v>0.61</v>
      </c>
      <c r="I689" s="553">
        <v>220</v>
      </c>
      <c r="J689" t="s">
        <v>668</v>
      </c>
      <c r="K689" s="554">
        <v>0.19</v>
      </c>
      <c r="L689" s="553">
        <v>98</v>
      </c>
    </row>
    <row r="690" spans="2:12">
      <c r="B690" t="s">
        <v>687</v>
      </c>
      <c r="C690" t="s">
        <v>676</v>
      </c>
      <c r="D690" s="555">
        <v>1069</v>
      </c>
      <c r="E690">
        <v>936</v>
      </c>
      <c r="F690" s="553">
        <v>192</v>
      </c>
      <c r="G690" t="s">
        <v>1459</v>
      </c>
      <c r="H690" s="554">
        <v>0.59</v>
      </c>
      <c r="I690" s="553">
        <v>219</v>
      </c>
      <c r="J690" t="s">
        <v>668</v>
      </c>
      <c r="K690" s="554">
        <v>0.19</v>
      </c>
      <c r="L690" s="553">
        <v>104</v>
      </c>
    </row>
    <row r="691" spans="2:12">
      <c r="B691" t="s">
        <v>746</v>
      </c>
      <c r="C691" t="s">
        <v>667</v>
      </c>
      <c r="D691" s="555">
        <v>1069</v>
      </c>
      <c r="E691">
        <v>261</v>
      </c>
      <c r="F691" s="553">
        <v>189</v>
      </c>
      <c r="G691" t="s">
        <v>1459</v>
      </c>
      <c r="H691" s="554">
        <v>0.51</v>
      </c>
      <c r="I691" s="553">
        <v>188</v>
      </c>
      <c r="J691" t="s">
        <v>663</v>
      </c>
      <c r="K691" s="554">
        <v>0.51</v>
      </c>
      <c r="L691" s="553">
        <v>188</v>
      </c>
    </row>
    <row r="692" spans="2:12">
      <c r="B692" t="s">
        <v>650</v>
      </c>
      <c r="C692" t="s">
        <v>771</v>
      </c>
      <c r="D692" s="555">
        <v>1077</v>
      </c>
      <c r="E692" s="555">
        <v>3437</v>
      </c>
      <c r="F692" s="553">
        <v>180</v>
      </c>
      <c r="G692" t="s">
        <v>1458</v>
      </c>
      <c r="H692" s="554">
        <v>0.43</v>
      </c>
      <c r="I692" s="553">
        <v>178</v>
      </c>
      <c r="J692" t="s">
        <v>651</v>
      </c>
      <c r="K692" s="554">
        <v>0.28000000000000003</v>
      </c>
      <c r="L692" s="553">
        <v>170</v>
      </c>
    </row>
    <row r="693" spans="2:12">
      <c r="B693" t="s">
        <v>662</v>
      </c>
      <c r="C693" t="s">
        <v>687</v>
      </c>
      <c r="D693" s="555">
        <v>1067</v>
      </c>
      <c r="E693" s="555">
        <v>2950</v>
      </c>
      <c r="F693" s="553">
        <v>179</v>
      </c>
      <c r="G693" t="s">
        <v>645</v>
      </c>
      <c r="H693" s="554">
        <v>0.42</v>
      </c>
      <c r="I693" s="553">
        <v>222</v>
      </c>
      <c r="J693" t="s">
        <v>659</v>
      </c>
      <c r="K693" s="554">
        <v>0.14000000000000001</v>
      </c>
      <c r="L693" s="553">
        <v>108</v>
      </c>
    </row>
    <row r="694" spans="2:12">
      <c r="B694" t="s">
        <v>687</v>
      </c>
      <c r="C694" t="s">
        <v>749</v>
      </c>
      <c r="D694" s="555">
        <v>1099</v>
      </c>
      <c r="E694">
        <v>503</v>
      </c>
      <c r="F694" s="553">
        <v>176</v>
      </c>
      <c r="G694" t="s">
        <v>1459</v>
      </c>
      <c r="H694" s="554">
        <v>0.69</v>
      </c>
      <c r="I694" s="553">
        <v>189</v>
      </c>
      <c r="J694" t="s">
        <v>668</v>
      </c>
      <c r="K694" s="554">
        <v>0.13</v>
      </c>
      <c r="L694" s="553">
        <v>94</v>
      </c>
    </row>
    <row r="695" spans="2:12">
      <c r="B695" t="s">
        <v>678</v>
      </c>
      <c r="C695" t="s">
        <v>691</v>
      </c>
      <c r="D695" s="555">
        <v>1057</v>
      </c>
      <c r="E695">
        <v>694</v>
      </c>
      <c r="F695" s="553">
        <v>176</v>
      </c>
      <c r="G695" t="s">
        <v>653</v>
      </c>
      <c r="H695" s="554">
        <v>0.42</v>
      </c>
      <c r="I695" s="553">
        <v>188</v>
      </c>
      <c r="J695" t="s">
        <v>663</v>
      </c>
      <c r="K695" s="554">
        <v>0.15</v>
      </c>
      <c r="L695" s="553">
        <v>160</v>
      </c>
    </row>
    <row r="696" spans="2:12">
      <c r="B696" t="s">
        <v>690</v>
      </c>
      <c r="C696" t="s">
        <v>686</v>
      </c>
      <c r="D696" s="555">
        <v>1075</v>
      </c>
      <c r="E696">
        <v>283</v>
      </c>
      <c r="F696" s="553">
        <v>175</v>
      </c>
      <c r="G696" t="s">
        <v>1459</v>
      </c>
      <c r="H696" s="554">
        <v>0.78</v>
      </c>
      <c r="I696" s="553">
        <v>169</v>
      </c>
      <c r="J696" t="s">
        <v>668</v>
      </c>
      <c r="K696" s="554">
        <v>0.04</v>
      </c>
      <c r="L696" s="553">
        <v>80</v>
      </c>
    </row>
    <row r="697" spans="2:12">
      <c r="B697" t="s">
        <v>701</v>
      </c>
      <c r="C697" t="s">
        <v>686</v>
      </c>
      <c r="D697" s="555">
        <v>1053</v>
      </c>
      <c r="E697">
        <v>268</v>
      </c>
      <c r="F697" s="553">
        <v>171</v>
      </c>
      <c r="G697" t="s">
        <v>1459</v>
      </c>
      <c r="H697" s="554">
        <v>0.54</v>
      </c>
      <c r="I697" s="553">
        <v>187</v>
      </c>
      <c r="J697" t="s">
        <v>668</v>
      </c>
      <c r="K697" s="554">
        <v>0.21</v>
      </c>
      <c r="L697" s="553">
        <v>74</v>
      </c>
    </row>
    <row r="698" spans="2:12">
      <c r="B698" t="s">
        <v>680</v>
      </c>
      <c r="C698" t="s">
        <v>678</v>
      </c>
      <c r="D698" s="555">
        <v>1092</v>
      </c>
      <c r="E698">
        <v>957</v>
      </c>
      <c r="F698" s="553">
        <v>171</v>
      </c>
      <c r="G698" t="s">
        <v>653</v>
      </c>
      <c r="H698" s="554">
        <v>0.37</v>
      </c>
      <c r="I698" s="553">
        <v>197</v>
      </c>
      <c r="J698" t="s">
        <v>659</v>
      </c>
      <c r="K698" s="554">
        <v>0.16</v>
      </c>
      <c r="L698" s="553">
        <v>101</v>
      </c>
    </row>
    <row r="699" spans="2:12">
      <c r="B699" t="s">
        <v>667</v>
      </c>
      <c r="C699" t="s">
        <v>675</v>
      </c>
      <c r="D699" s="555">
        <v>1053</v>
      </c>
      <c r="E699">
        <v>358</v>
      </c>
      <c r="F699" s="553">
        <v>170</v>
      </c>
      <c r="G699" t="s">
        <v>1458</v>
      </c>
      <c r="H699" s="554">
        <v>0.47</v>
      </c>
      <c r="I699" s="553">
        <v>190</v>
      </c>
      <c r="J699" t="s">
        <v>668</v>
      </c>
      <c r="K699" s="554">
        <v>0.28999999999999998</v>
      </c>
      <c r="L699" s="553">
        <v>100</v>
      </c>
    </row>
    <row r="700" spans="2:12">
      <c r="B700" t="s">
        <v>691</v>
      </c>
      <c r="C700" t="s">
        <v>676</v>
      </c>
      <c r="D700" s="555">
        <v>1097</v>
      </c>
      <c r="E700">
        <v>301</v>
      </c>
      <c r="F700" s="553">
        <v>169</v>
      </c>
      <c r="G700" t="s">
        <v>653</v>
      </c>
      <c r="H700" s="554">
        <v>0.64</v>
      </c>
      <c r="I700" s="553">
        <v>184</v>
      </c>
      <c r="J700" t="s">
        <v>664</v>
      </c>
      <c r="K700" s="554">
        <v>0.18</v>
      </c>
      <c r="L700" s="553">
        <v>95</v>
      </c>
    </row>
    <row r="701" spans="2:12">
      <c r="B701" t="s">
        <v>731</v>
      </c>
      <c r="C701" t="s">
        <v>667</v>
      </c>
      <c r="D701" s="555">
        <v>1072</v>
      </c>
      <c r="E701">
        <v>768</v>
      </c>
      <c r="F701" s="553">
        <v>162</v>
      </c>
      <c r="G701" t="s">
        <v>1459</v>
      </c>
      <c r="H701" s="554">
        <v>0.66</v>
      </c>
      <c r="I701" s="553">
        <v>178</v>
      </c>
      <c r="J701" t="s">
        <v>659</v>
      </c>
      <c r="K701" s="554">
        <v>0.19</v>
      </c>
      <c r="L701" s="553">
        <v>79</v>
      </c>
    </row>
    <row r="702" spans="2:12">
      <c r="B702" t="s">
        <v>714</v>
      </c>
      <c r="C702" t="s">
        <v>667</v>
      </c>
      <c r="D702" s="555">
        <v>1073</v>
      </c>
      <c r="E702">
        <v>618</v>
      </c>
      <c r="F702" s="553">
        <v>161</v>
      </c>
      <c r="G702" t="s">
        <v>1459</v>
      </c>
      <c r="H702" s="554">
        <v>0.42</v>
      </c>
      <c r="I702" s="553">
        <v>177</v>
      </c>
      <c r="J702" t="s">
        <v>668</v>
      </c>
      <c r="K702" s="554">
        <v>0.13</v>
      </c>
      <c r="L702" s="553">
        <v>84</v>
      </c>
    </row>
    <row r="703" spans="2:12">
      <c r="B703" t="s">
        <v>685</v>
      </c>
      <c r="C703" t="s">
        <v>704</v>
      </c>
      <c r="D703" s="555">
        <v>1068</v>
      </c>
      <c r="E703">
        <v>662</v>
      </c>
      <c r="F703" s="553">
        <v>160</v>
      </c>
      <c r="G703" t="s">
        <v>1459</v>
      </c>
      <c r="H703" s="554">
        <v>0.57999999999999996</v>
      </c>
      <c r="I703" s="553">
        <v>162</v>
      </c>
      <c r="J703" t="s">
        <v>644</v>
      </c>
      <c r="K703" s="554">
        <v>0.32</v>
      </c>
      <c r="L703" s="553">
        <v>162</v>
      </c>
    </row>
    <row r="704" spans="2:12">
      <c r="B704" t="s">
        <v>722</v>
      </c>
      <c r="C704" t="s">
        <v>729</v>
      </c>
      <c r="D704" s="555">
        <v>1062</v>
      </c>
      <c r="E704">
        <v>557</v>
      </c>
      <c r="F704" s="553">
        <v>158</v>
      </c>
      <c r="G704" t="s">
        <v>1459</v>
      </c>
      <c r="H704" s="554">
        <v>0.44</v>
      </c>
      <c r="I704" s="553">
        <v>157</v>
      </c>
      <c r="J704" t="s">
        <v>663</v>
      </c>
      <c r="K704" s="554">
        <v>0.44</v>
      </c>
      <c r="L704" s="553">
        <v>157</v>
      </c>
    </row>
    <row r="705" spans="2:12">
      <c r="B705" t="s">
        <v>650</v>
      </c>
      <c r="C705" t="s">
        <v>686</v>
      </c>
      <c r="D705" s="555">
        <v>1055</v>
      </c>
      <c r="E705" s="555">
        <v>4263</v>
      </c>
      <c r="F705" s="553">
        <v>156</v>
      </c>
      <c r="G705" t="s">
        <v>1458</v>
      </c>
      <c r="H705" s="554">
        <v>0.28000000000000003</v>
      </c>
      <c r="I705" s="553">
        <v>161</v>
      </c>
      <c r="J705" t="s">
        <v>651</v>
      </c>
      <c r="K705" s="554">
        <v>0.27</v>
      </c>
      <c r="L705" s="553">
        <v>155</v>
      </c>
    </row>
    <row r="706" spans="2:12">
      <c r="B706" t="s">
        <v>661</v>
      </c>
      <c r="C706" t="s">
        <v>687</v>
      </c>
      <c r="D706" s="555">
        <v>1090</v>
      </c>
      <c r="E706" s="555">
        <v>1274</v>
      </c>
      <c r="F706" s="553">
        <v>156</v>
      </c>
      <c r="G706" t="s">
        <v>1459</v>
      </c>
      <c r="H706" s="554">
        <v>0.46</v>
      </c>
      <c r="I706" s="553">
        <v>166</v>
      </c>
      <c r="J706" t="s">
        <v>644</v>
      </c>
      <c r="K706" s="554">
        <v>0.31</v>
      </c>
      <c r="L706" s="553">
        <v>162</v>
      </c>
    </row>
    <row r="707" spans="2:12">
      <c r="B707" t="s">
        <v>690</v>
      </c>
      <c r="C707" t="s">
        <v>667</v>
      </c>
      <c r="D707" s="555">
        <v>1066</v>
      </c>
      <c r="E707">
        <v>642</v>
      </c>
      <c r="F707" s="553">
        <v>155</v>
      </c>
      <c r="G707" t="s">
        <v>1459</v>
      </c>
      <c r="H707" s="554">
        <v>0.76</v>
      </c>
      <c r="I707" s="553">
        <v>159</v>
      </c>
      <c r="J707" t="s">
        <v>659</v>
      </c>
      <c r="K707" s="554">
        <v>0.08</v>
      </c>
      <c r="L707" s="553">
        <v>76</v>
      </c>
    </row>
    <row r="708" spans="2:12">
      <c r="B708" t="s">
        <v>703</v>
      </c>
      <c r="C708" t="s">
        <v>722</v>
      </c>
      <c r="D708" s="555">
        <v>1069</v>
      </c>
      <c r="E708">
        <v>767</v>
      </c>
      <c r="F708" s="553">
        <v>150</v>
      </c>
      <c r="G708" t="s">
        <v>653</v>
      </c>
      <c r="H708" s="554">
        <v>0.31</v>
      </c>
      <c r="I708" s="553">
        <v>175</v>
      </c>
      <c r="J708" t="s">
        <v>668</v>
      </c>
      <c r="K708" s="554">
        <v>0.21</v>
      </c>
      <c r="L708" s="553">
        <v>88</v>
      </c>
    </row>
    <row r="709" spans="2:12">
      <c r="B709" t="s">
        <v>691</v>
      </c>
      <c r="C709" t="s">
        <v>736</v>
      </c>
      <c r="D709" s="555">
        <v>1085</v>
      </c>
      <c r="E709">
        <v>176</v>
      </c>
      <c r="F709" s="553">
        <v>149</v>
      </c>
      <c r="G709" t="s">
        <v>665</v>
      </c>
      <c r="H709" s="554">
        <v>0.52</v>
      </c>
      <c r="I709" s="553">
        <v>111</v>
      </c>
      <c r="J709" t="s">
        <v>664</v>
      </c>
      <c r="K709" s="554">
        <v>0.52</v>
      </c>
      <c r="L709" s="553">
        <v>111</v>
      </c>
    </row>
    <row r="710" spans="2:12">
      <c r="B710" t="s">
        <v>680</v>
      </c>
      <c r="C710" t="s">
        <v>772</v>
      </c>
      <c r="D710" s="555">
        <v>1084</v>
      </c>
      <c r="E710">
        <v>634</v>
      </c>
      <c r="F710" s="553">
        <v>147</v>
      </c>
      <c r="G710" t="s">
        <v>653</v>
      </c>
      <c r="H710" s="554">
        <v>0.86</v>
      </c>
      <c r="I710" s="553">
        <v>153</v>
      </c>
      <c r="J710" t="s">
        <v>659</v>
      </c>
      <c r="K710" s="554">
        <v>0.08</v>
      </c>
      <c r="L710" s="553">
        <v>73</v>
      </c>
    </row>
    <row r="711" spans="2:12">
      <c r="B711" t="s">
        <v>719</v>
      </c>
      <c r="C711" t="s">
        <v>685</v>
      </c>
      <c r="D711" s="555">
        <v>1080</v>
      </c>
      <c r="E711">
        <v>692</v>
      </c>
      <c r="F711" s="553">
        <v>144</v>
      </c>
      <c r="G711" t="s">
        <v>660</v>
      </c>
      <c r="H711" s="554">
        <v>0.27</v>
      </c>
      <c r="I711" s="553">
        <v>81</v>
      </c>
      <c r="J711" t="s">
        <v>659</v>
      </c>
      <c r="K711" s="554">
        <v>0.27</v>
      </c>
      <c r="L711" s="553">
        <v>81</v>
      </c>
    </row>
    <row r="712" spans="2:12">
      <c r="B712" t="s">
        <v>711</v>
      </c>
      <c r="C712" t="s">
        <v>817</v>
      </c>
      <c r="D712" s="555">
        <v>1081</v>
      </c>
      <c r="E712">
        <v>243</v>
      </c>
      <c r="F712" s="553">
        <v>134</v>
      </c>
      <c r="G712" t="s">
        <v>1460</v>
      </c>
      <c r="H712" s="554">
        <v>0.52</v>
      </c>
      <c r="I712" s="553">
        <v>83</v>
      </c>
      <c r="J712" t="s">
        <v>655</v>
      </c>
      <c r="K712" s="554">
        <v>0.52</v>
      </c>
      <c r="L712" s="553">
        <v>83</v>
      </c>
    </row>
    <row r="713" spans="2:12">
      <c r="D713" s="555"/>
      <c r="F713" s="553"/>
      <c r="H713" s="554"/>
      <c r="I713" s="553"/>
      <c r="K713" s="554"/>
      <c r="L713" s="553"/>
    </row>
    <row r="714" spans="2:12">
      <c r="B714" s="552" t="s">
        <v>818</v>
      </c>
    </row>
    <row r="715" spans="2:12">
      <c r="B715" t="s">
        <v>650</v>
      </c>
      <c r="C715" t="s">
        <v>749</v>
      </c>
      <c r="D715" s="555">
        <v>1188</v>
      </c>
      <c r="E715">
        <v>270</v>
      </c>
      <c r="F715" s="553">
        <v>270</v>
      </c>
      <c r="G715" t="s">
        <v>653</v>
      </c>
      <c r="H715" s="554">
        <v>0.62</v>
      </c>
      <c r="I715" s="553">
        <v>273</v>
      </c>
      <c r="J715" t="s">
        <v>644</v>
      </c>
      <c r="K715" s="554">
        <v>0.18</v>
      </c>
      <c r="L715" s="553">
        <v>264</v>
      </c>
    </row>
    <row r="716" spans="2:12">
      <c r="B716" t="s">
        <v>676</v>
      </c>
      <c r="C716" t="s">
        <v>710</v>
      </c>
      <c r="D716" s="555">
        <v>1129</v>
      </c>
      <c r="E716">
        <v>251</v>
      </c>
      <c r="F716" s="553">
        <v>258</v>
      </c>
      <c r="G716" t="s">
        <v>1459</v>
      </c>
      <c r="H716" s="554">
        <v>0.5</v>
      </c>
      <c r="I716" s="553">
        <v>253</v>
      </c>
      <c r="J716" t="s">
        <v>663</v>
      </c>
      <c r="K716" s="554">
        <v>0.5</v>
      </c>
      <c r="L716" s="553">
        <v>253</v>
      </c>
    </row>
    <row r="717" spans="2:12">
      <c r="B717" t="s">
        <v>678</v>
      </c>
      <c r="C717" t="s">
        <v>715</v>
      </c>
      <c r="D717" s="555">
        <v>1166</v>
      </c>
      <c r="E717">
        <v>181</v>
      </c>
      <c r="F717" s="553">
        <v>255</v>
      </c>
      <c r="G717" t="s">
        <v>669</v>
      </c>
      <c r="H717" s="554">
        <v>0.34</v>
      </c>
      <c r="I717" s="553">
        <v>297</v>
      </c>
      <c r="J717" t="s">
        <v>663</v>
      </c>
      <c r="K717" s="554">
        <v>0.19</v>
      </c>
      <c r="L717" s="553">
        <v>216</v>
      </c>
    </row>
    <row r="718" spans="2:12">
      <c r="B718" t="s">
        <v>719</v>
      </c>
      <c r="C718" t="s">
        <v>678</v>
      </c>
      <c r="D718" s="555">
        <v>1106</v>
      </c>
      <c r="E718">
        <v>381</v>
      </c>
      <c r="F718" s="553">
        <v>254</v>
      </c>
      <c r="G718" t="s">
        <v>669</v>
      </c>
      <c r="H718" s="554">
        <v>0.61</v>
      </c>
      <c r="I718" s="553">
        <v>282</v>
      </c>
      <c r="J718" t="s">
        <v>663</v>
      </c>
      <c r="K718" s="554">
        <v>0.17</v>
      </c>
      <c r="L718" s="553">
        <v>212</v>
      </c>
    </row>
    <row r="719" spans="2:12">
      <c r="B719" t="s">
        <v>678</v>
      </c>
      <c r="C719" t="s">
        <v>732</v>
      </c>
      <c r="D719" s="555">
        <v>1131</v>
      </c>
      <c r="E719">
        <v>432</v>
      </c>
      <c r="F719" s="553">
        <v>252</v>
      </c>
      <c r="G719" t="s">
        <v>669</v>
      </c>
      <c r="H719" s="554">
        <v>0.68</v>
      </c>
      <c r="I719" s="553">
        <v>264</v>
      </c>
      <c r="J719" t="s">
        <v>663</v>
      </c>
      <c r="K719" s="554">
        <v>0.2</v>
      </c>
      <c r="L719" s="553">
        <v>224</v>
      </c>
    </row>
    <row r="720" spans="2:12">
      <c r="B720" t="s">
        <v>662</v>
      </c>
      <c r="C720" t="s">
        <v>771</v>
      </c>
      <c r="D720" s="555">
        <v>1102</v>
      </c>
      <c r="E720">
        <v>191</v>
      </c>
      <c r="F720" s="553">
        <v>251</v>
      </c>
      <c r="G720" t="s">
        <v>645</v>
      </c>
      <c r="H720" s="554">
        <v>0.89</v>
      </c>
      <c r="I720" s="553">
        <v>251</v>
      </c>
      <c r="J720" t="s">
        <v>663</v>
      </c>
      <c r="K720" s="554">
        <v>0.02</v>
      </c>
      <c r="L720" s="553">
        <v>242</v>
      </c>
    </row>
    <row r="721" spans="2:12">
      <c r="B721" t="s">
        <v>731</v>
      </c>
      <c r="C721" t="s">
        <v>650</v>
      </c>
      <c r="D721" s="555">
        <v>1148</v>
      </c>
      <c r="E721">
        <v>639</v>
      </c>
      <c r="F721" s="553">
        <v>247</v>
      </c>
      <c r="G721" t="s">
        <v>653</v>
      </c>
      <c r="H721" s="554">
        <v>0.51</v>
      </c>
      <c r="I721" s="553">
        <v>266</v>
      </c>
      <c r="J721" t="s">
        <v>644</v>
      </c>
      <c r="K721" s="554">
        <v>0.22</v>
      </c>
      <c r="L721" s="553">
        <v>221</v>
      </c>
    </row>
    <row r="722" spans="2:12">
      <c r="B722" t="s">
        <v>716</v>
      </c>
      <c r="C722" t="s">
        <v>679</v>
      </c>
      <c r="D722" s="555">
        <v>1121</v>
      </c>
      <c r="E722">
        <v>305</v>
      </c>
      <c r="F722" s="553">
        <v>238</v>
      </c>
      <c r="G722" t="s">
        <v>645</v>
      </c>
      <c r="H722" s="554">
        <v>0.46</v>
      </c>
      <c r="I722" s="553">
        <v>229</v>
      </c>
      <c r="J722" t="s">
        <v>644</v>
      </c>
      <c r="K722" s="554">
        <v>0.46</v>
      </c>
      <c r="L722" s="553">
        <v>229</v>
      </c>
    </row>
    <row r="723" spans="2:12">
      <c r="B723" t="s">
        <v>662</v>
      </c>
      <c r="C723" t="s">
        <v>715</v>
      </c>
      <c r="D723" s="555">
        <v>1158</v>
      </c>
      <c r="E723">
        <v>298</v>
      </c>
      <c r="F723" s="553">
        <v>237</v>
      </c>
      <c r="G723" t="s">
        <v>645</v>
      </c>
      <c r="H723" s="554">
        <v>0.8</v>
      </c>
      <c r="I723" s="553">
        <v>240</v>
      </c>
      <c r="J723" t="s">
        <v>663</v>
      </c>
      <c r="K723" s="554">
        <v>0.09</v>
      </c>
      <c r="L723" s="553">
        <v>208</v>
      </c>
    </row>
    <row r="724" spans="2:12">
      <c r="B724" t="s">
        <v>746</v>
      </c>
      <c r="C724" t="s">
        <v>702</v>
      </c>
      <c r="D724" s="555">
        <v>1180</v>
      </c>
      <c r="E724">
        <v>293</v>
      </c>
      <c r="F724" s="553">
        <v>234</v>
      </c>
      <c r="G724" t="s">
        <v>645</v>
      </c>
      <c r="H724" s="554">
        <v>0.41</v>
      </c>
      <c r="I724" s="553">
        <v>237</v>
      </c>
      <c r="J724" t="s">
        <v>663</v>
      </c>
      <c r="K724" s="554">
        <v>0.37</v>
      </c>
      <c r="L724" s="553">
        <v>214</v>
      </c>
    </row>
    <row r="725" spans="2:12">
      <c r="B725" t="s">
        <v>735</v>
      </c>
      <c r="C725" t="s">
        <v>746</v>
      </c>
      <c r="D725" s="555">
        <v>1187</v>
      </c>
      <c r="E725">
        <v>476</v>
      </c>
      <c r="F725" s="553">
        <v>230</v>
      </c>
      <c r="G725" t="s">
        <v>645</v>
      </c>
      <c r="H725" s="554">
        <v>0.49</v>
      </c>
      <c r="I725" s="553">
        <v>259</v>
      </c>
      <c r="J725" t="s">
        <v>663</v>
      </c>
      <c r="K725" s="554">
        <v>0.28999999999999998</v>
      </c>
      <c r="L725" s="553">
        <v>213</v>
      </c>
    </row>
    <row r="727" spans="2:12">
      <c r="B727" s="552" t="s">
        <v>818</v>
      </c>
    </row>
    <row r="728" spans="2:12">
      <c r="B728" t="s">
        <v>774</v>
      </c>
      <c r="C728" t="s">
        <v>662</v>
      </c>
      <c r="D728" s="555">
        <v>1172</v>
      </c>
      <c r="E728">
        <v>198</v>
      </c>
      <c r="F728" s="553">
        <v>226</v>
      </c>
      <c r="G728" t="s">
        <v>645</v>
      </c>
      <c r="H728" s="554">
        <v>0.7</v>
      </c>
      <c r="I728" s="553">
        <v>234</v>
      </c>
      <c r="J728" t="s">
        <v>663</v>
      </c>
      <c r="K728" s="554">
        <v>0.17</v>
      </c>
      <c r="L728" s="553">
        <v>199</v>
      </c>
    </row>
    <row r="729" spans="2:12">
      <c r="B729" t="s">
        <v>774</v>
      </c>
      <c r="C729" t="s">
        <v>679</v>
      </c>
      <c r="D729" s="555">
        <v>1198</v>
      </c>
      <c r="E729">
        <v>247</v>
      </c>
      <c r="F729" s="553">
        <v>218</v>
      </c>
      <c r="G729" t="s">
        <v>669</v>
      </c>
      <c r="H729" s="554">
        <v>0.51</v>
      </c>
      <c r="I729" s="553">
        <v>231</v>
      </c>
      <c r="J729" t="s">
        <v>644</v>
      </c>
      <c r="K729" s="554">
        <v>0.32</v>
      </c>
      <c r="L729" s="553">
        <v>198</v>
      </c>
    </row>
    <row r="730" spans="2:12">
      <c r="B730" t="s">
        <v>716</v>
      </c>
      <c r="C730" t="s">
        <v>640</v>
      </c>
      <c r="D730" s="555">
        <v>1111</v>
      </c>
      <c r="E730">
        <v>217</v>
      </c>
      <c r="F730" s="553">
        <v>213</v>
      </c>
      <c r="G730" t="s">
        <v>639</v>
      </c>
      <c r="H730" s="554">
        <v>0.59</v>
      </c>
      <c r="I730" s="553">
        <v>220</v>
      </c>
      <c r="J730" t="s">
        <v>663</v>
      </c>
      <c r="K730" s="554">
        <v>0.18</v>
      </c>
      <c r="L730" s="553">
        <v>214</v>
      </c>
    </row>
    <row r="731" spans="2:12">
      <c r="B731" t="s">
        <v>716</v>
      </c>
      <c r="C731" t="s">
        <v>641</v>
      </c>
      <c r="D731" s="555">
        <v>1180</v>
      </c>
      <c r="E731">
        <v>355</v>
      </c>
      <c r="F731" s="553">
        <v>212</v>
      </c>
      <c r="G731" t="s">
        <v>639</v>
      </c>
      <c r="H731" s="554">
        <v>0.69</v>
      </c>
      <c r="I731" s="553">
        <v>215</v>
      </c>
      <c r="J731" t="s">
        <v>644</v>
      </c>
      <c r="K731" s="554">
        <v>0.08</v>
      </c>
      <c r="L731" s="553">
        <v>195</v>
      </c>
    </row>
    <row r="732" spans="2:12">
      <c r="B732" t="s">
        <v>662</v>
      </c>
      <c r="C732" t="s">
        <v>710</v>
      </c>
      <c r="D732" s="555">
        <v>1182</v>
      </c>
      <c r="E732" s="555">
        <v>1466</v>
      </c>
      <c r="F732" s="553">
        <v>210</v>
      </c>
      <c r="G732" t="s">
        <v>645</v>
      </c>
      <c r="H732" s="554">
        <v>0.56000000000000005</v>
      </c>
      <c r="I732" s="553">
        <v>225</v>
      </c>
      <c r="J732" t="s">
        <v>663</v>
      </c>
      <c r="K732" s="554">
        <v>0.34</v>
      </c>
      <c r="L732" s="553">
        <v>192</v>
      </c>
    </row>
    <row r="733" spans="2:12">
      <c r="B733" t="s">
        <v>649</v>
      </c>
      <c r="C733" t="s">
        <v>691</v>
      </c>
      <c r="D733" s="555">
        <v>1124</v>
      </c>
      <c r="E733" s="555">
        <v>1448</v>
      </c>
      <c r="F733" s="553">
        <v>207</v>
      </c>
      <c r="G733" t="s">
        <v>653</v>
      </c>
      <c r="H733" s="554">
        <v>0.61</v>
      </c>
      <c r="I733" s="553">
        <v>236</v>
      </c>
      <c r="J733" t="s">
        <v>664</v>
      </c>
      <c r="K733" s="554">
        <v>0.22</v>
      </c>
      <c r="L733" s="553">
        <v>126</v>
      </c>
    </row>
    <row r="734" spans="2:12">
      <c r="B734" t="s">
        <v>661</v>
      </c>
      <c r="C734" t="s">
        <v>710</v>
      </c>
      <c r="D734" s="555">
        <v>1164</v>
      </c>
      <c r="E734">
        <v>681</v>
      </c>
      <c r="F734" s="553">
        <v>205</v>
      </c>
      <c r="G734" t="s">
        <v>1459</v>
      </c>
      <c r="H734" s="554">
        <v>0.45</v>
      </c>
      <c r="I734" s="553">
        <v>191</v>
      </c>
      <c r="J734" t="s">
        <v>663</v>
      </c>
      <c r="K734" s="554">
        <v>0.45</v>
      </c>
      <c r="L734" s="553">
        <v>191</v>
      </c>
    </row>
    <row r="735" spans="2:12">
      <c r="B735" t="s">
        <v>737</v>
      </c>
      <c r="C735" t="s">
        <v>704</v>
      </c>
      <c r="D735" s="555">
        <v>1156</v>
      </c>
      <c r="E735">
        <v>313</v>
      </c>
      <c r="F735" s="553">
        <v>200</v>
      </c>
      <c r="G735" t="s">
        <v>653</v>
      </c>
      <c r="H735" s="554">
        <v>0.55000000000000004</v>
      </c>
      <c r="I735" s="553">
        <v>214</v>
      </c>
      <c r="J735" t="s">
        <v>663</v>
      </c>
      <c r="K735" s="554">
        <v>0.37</v>
      </c>
      <c r="L735" s="553">
        <v>185</v>
      </c>
    </row>
    <row r="736" spans="2:12">
      <c r="B736" t="s">
        <v>700</v>
      </c>
      <c r="C736" t="s">
        <v>722</v>
      </c>
      <c r="D736" s="555">
        <v>1154</v>
      </c>
      <c r="E736">
        <v>627</v>
      </c>
      <c r="F736" s="553">
        <v>193</v>
      </c>
      <c r="G736" t="s">
        <v>1459</v>
      </c>
      <c r="H736" s="554">
        <v>0.55000000000000004</v>
      </c>
      <c r="I736" s="553">
        <v>193</v>
      </c>
      <c r="J736" t="s">
        <v>668</v>
      </c>
      <c r="K736" s="554">
        <v>0.14000000000000001</v>
      </c>
      <c r="L736" s="553">
        <v>87</v>
      </c>
    </row>
    <row r="737" spans="2:12">
      <c r="B737" t="s">
        <v>685</v>
      </c>
      <c r="C737" t="s">
        <v>676</v>
      </c>
      <c r="D737" s="555">
        <v>1145</v>
      </c>
      <c r="E737">
        <v>457</v>
      </c>
      <c r="F737" s="553">
        <v>193</v>
      </c>
      <c r="G737" t="s">
        <v>645</v>
      </c>
      <c r="H737" s="554">
        <v>0.49</v>
      </c>
      <c r="I737" s="553">
        <v>203</v>
      </c>
      <c r="J737" t="s">
        <v>663</v>
      </c>
      <c r="K737" s="554">
        <v>0.28000000000000003</v>
      </c>
      <c r="L737" s="553">
        <v>171</v>
      </c>
    </row>
    <row r="738" spans="2:12">
      <c r="B738" t="s">
        <v>718</v>
      </c>
      <c r="C738" t="s">
        <v>771</v>
      </c>
      <c r="D738" s="555">
        <v>1133</v>
      </c>
      <c r="E738">
        <v>283</v>
      </c>
      <c r="F738" s="553">
        <v>192</v>
      </c>
      <c r="G738" t="s">
        <v>1458</v>
      </c>
      <c r="H738" s="554">
        <v>0.86</v>
      </c>
      <c r="I738" s="553">
        <v>189</v>
      </c>
      <c r="J738" t="s">
        <v>647</v>
      </c>
      <c r="K738" s="554">
        <v>0.86</v>
      </c>
      <c r="L738" s="553">
        <v>189</v>
      </c>
    </row>
    <row r="739" spans="2:12">
      <c r="B739" t="s">
        <v>679</v>
      </c>
      <c r="C739" t="s">
        <v>771</v>
      </c>
      <c r="D739" s="555">
        <v>1143</v>
      </c>
      <c r="E739">
        <v>330</v>
      </c>
      <c r="F739" s="553">
        <v>190</v>
      </c>
      <c r="G739" t="s">
        <v>645</v>
      </c>
      <c r="H739" s="554">
        <v>0.56000000000000005</v>
      </c>
      <c r="I739" s="553">
        <v>182</v>
      </c>
      <c r="J739" t="s">
        <v>644</v>
      </c>
      <c r="K739" s="554">
        <v>0.56000000000000005</v>
      </c>
      <c r="L739" s="553">
        <v>182</v>
      </c>
    </row>
    <row r="740" spans="2:12">
      <c r="B740" t="s">
        <v>731</v>
      </c>
      <c r="C740" t="s">
        <v>687</v>
      </c>
      <c r="D740" s="555">
        <v>1139</v>
      </c>
      <c r="E740">
        <v>763</v>
      </c>
      <c r="F740" s="553">
        <v>188</v>
      </c>
      <c r="G740" t="s">
        <v>1459</v>
      </c>
      <c r="H740" s="554">
        <v>0.64</v>
      </c>
      <c r="I740" s="553">
        <v>214</v>
      </c>
      <c r="J740" t="s">
        <v>659</v>
      </c>
      <c r="K740" s="554">
        <v>0.26</v>
      </c>
      <c r="L740" s="553">
        <v>105</v>
      </c>
    </row>
    <row r="741" spans="2:12">
      <c r="B741" t="s">
        <v>772</v>
      </c>
      <c r="C741" t="s">
        <v>718</v>
      </c>
      <c r="D741" s="555">
        <v>1180</v>
      </c>
      <c r="E741">
        <v>202</v>
      </c>
      <c r="F741" s="553">
        <v>187</v>
      </c>
      <c r="G741" t="s">
        <v>1459</v>
      </c>
      <c r="H741" s="554">
        <v>0.27</v>
      </c>
      <c r="I741" s="553">
        <v>183</v>
      </c>
      <c r="J741" t="s">
        <v>647</v>
      </c>
      <c r="K741" s="554">
        <v>0.15</v>
      </c>
      <c r="L741" s="553">
        <v>143</v>
      </c>
    </row>
    <row r="742" spans="2:12">
      <c r="B742" t="s">
        <v>718</v>
      </c>
      <c r="C742" t="s">
        <v>686</v>
      </c>
      <c r="D742" s="555">
        <v>1111</v>
      </c>
      <c r="E742">
        <v>585</v>
      </c>
      <c r="F742" s="553">
        <v>183</v>
      </c>
      <c r="G742" t="s">
        <v>1458</v>
      </c>
      <c r="H742" s="554">
        <v>0.45</v>
      </c>
      <c r="I742" s="553">
        <v>181</v>
      </c>
      <c r="J742" t="s">
        <v>647</v>
      </c>
      <c r="K742" s="554">
        <v>0.45</v>
      </c>
      <c r="L742" s="553">
        <v>181</v>
      </c>
    </row>
    <row r="743" spans="2:12">
      <c r="B743" t="s">
        <v>772</v>
      </c>
      <c r="C743" t="s">
        <v>690</v>
      </c>
      <c r="D743" s="555">
        <v>1183</v>
      </c>
      <c r="E743">
        <v>192</v>
      </c>
      <c r="F743" s="553">
        <v>182</v>
      </c>
      <c r="G743" t="s">
        <v>1459</v>
      </c>
      <c r="H743" s="554">
        <v>0.78</v>
      </c>
      <c r="I743" s="553">
        <v>169</v>
      </c>
      <c r="J743" t="s">
        <v>663</v>
      </c>
      <c r="K743" s="554">
        <v>0.78</v>
      </c>
      <c r="L743" s="553">
        <v>169</v>
      </c>
    </row>
    <row r="744" spans="2:12">
      <c r="B744" t="s">
        <v>722</v>
      </c>
      <c r="C744" t="s">
        <v>680</v>
      </c>
      <c r="D744" s="555">
        <v>1123</v>
      </c>
      <c r="E744" s="555">
        <v>1306</v>
      </c>
      <c r="F744" s="553">
        <v>179</v>
      </c>
      <c r="G744" t="s">
        <v>653</v>
      </c>
      <c r="H744" s="554">
        <v>0.6</v>
      </c>
      <c r="I744" s="553">
        <v>195</v>
      </c>
      <c r="J744" t="s">
        <v>668</v>
      </c>
      <c r="K744" s="554">
        <v>0.12</v>
      </c>
      <c r="L744" s="553">
        <v>94</v>
      </c>
    </row>
    <row r="745" spans="2:12">
      <c r="B745" t="s">
        <v>701</v>
      </c>
      <c r="C745" t="s">
        <v>685</v>
      </c>
      <c r="D745" s="555">
        <v>1185</v>
      </c>
      <c r="E745">
        <v>419</v>
      </c>
      <c r="F745" s="553">
        <v>177</v>
      </c>
      <c r="G745" t="s">
        <v>1459</v>
      </c>
      <c r="H745" s="554">
        <v>0.43</v>
      </c>
      <c r="I745" s="553">
        <v>175</v>
      </c>
      <c r="J745" t="s">
        <v>663</v>
      </c>
      <c r="K745" s="554">
        <v>0.43</v>
      </c>
      <c r="L745" s="553">
        <v>175</v>
      </c>
    </row>
    <row r="746" spans="2:12">
      <c r="B746" t="s">
        <v>772</v>
      </c>
      <c r="C746" t="s">
        <v>731</v>
      </c>
      <c r="D746" s="555">
        <v>1155</v>
      </c>
      <c r="E746">
        <v>221</v>
      </c>
      <c r="F746" s="553">
        <v>176</v>
      </c>
      <c r="G746" t="s">
        <v>1459</v>
      </c>
      <c r="H746" s="554">
        <v>0.76</v>
      </c>
      <c r="I746" s="553">
        <v>172</v>
      </c>
      <c r="J746" t="s">
        <v>663</v>
      </c>
      <c r="K746" s="554">
        <v>0.76</v>
      </c>
      <c r="L746" s="553">
        <v>172</v>
      </c>
    </row>
    <row r="747" spans="2:12">
      <c r="B747" t="s">
        <v>714</v>
      </c>
      <c r="C747" t="s">
        <v>686</v>
      </c>
      <c r="D747" s="555">
        <v>1138</v>
      </c>
      <c r="E747">
        <v>233</v>
      </c>
      <c r="F747" s="553">
        <v>176</v>
      </c>
      <c r="G747" t="s">
        <v>1459</v>
      </c>
      <c r="H747" s="554">
        <v>0.41</v>
      </c>
      <c r="I747" s="553">
        <v>204</v>
      </c>
      <c r="J747" t="s">
        <v>655</v>
      </c>
      <c r="K747" s="554">
        <v>0.36</v>
      </c>
      <c r="L747" s="553">
        <v>93</v>
      </c>
    </row>
    <row r="748" spans="2:12">
      <c r="B748" t="s">
        <v>661</v>
      </c>
      <c r="C748" t="s">
        <v>680</v>
      </c>
      <c r="D748" s="555">
        <v>1149</v>
      </c>
      <c r="E748">
        <v>507</v>
      </c>
      <c r="F748" s="553">
        <v>174</v>
      </c>
      <c r="G748" t="s">
        <v>653</v>
      </c>
      <c r="H748" s="554">
        <v>0.74</v>
      </c>
      <c r="I748" s="553">
        <v>191</v>
      </c>
      <c r="J748" t="s">
        <v>659</v>
      </c>
      <c r="K748" s="554">
        <v>0.16</v>
      </c>
      <c r="L748" s="553">
        <v>83</v>
      </c>
    </row>
    <row r="749" spans="2:12">
      <c r="B749" t="s">
        <v>649</v>
      </c>
      <c r="C749" t="s">
        <v>667</v>
      </c>
      <c r="D749" s="555">
        <v>1142</v>
      </c>
      <c r="E749" s="555">
        <v>3840</v>
      </c>
      <c r="F749" s="553">
        <v>172</v>
      </c>
      <c r="G749" t="s">
        <v>1458</v>
      </c>
      <c r="H749" s="554">
        <v>0.35</v>
      </c>
      <c r="I749" s="553">
        <v>187</v>
      </c>
      <c r="J749" t="s">
        <v>652</v>
      </c>
      <c r="K749" s="554">
        <v>0.24</v>
      </c>
      <c r="L749" s="553">
        <v>177</v>
      </c>
    </row>
    <row r="750" spans="2:12">
      <c r="B750" t="s">
        <v>772</v>
      </c>
      <c r="C750" t="s">
        <v>650</v>
      </c>
      <c r="D750" s="555">
        <v>1120</v>
      </c>
      <c r="E750" s="555">
        <v>2128</v>
      </c>
      <c r="F750" s="553">
        <v>169</v>
      </c>
      <c r="G750" t="s">
        <v>1458</v>
      </c>
      <c r="H750" s="554">
        <v>0.36</v>
      </c>
      <c r="I750" s="553">
        <v>179</v>
      </c>
      <c r="J750" t="s">
        <v>651</v>
      </c>
      <c r="K750" s="554">
        <v>0.36</v>
      </c>
      <c r="L750" s="553">
        <v>166</v>
      </c>
    </row>
    <row r="751" spans="2:12">
      <c r="B751" t="s">
        <v>779</v>
      </c>
      <c r="C751" t="s">
        <v>711</v>
      </c>
      <c r="D751" s="555">
        <v>1149</v>
      </c>
      <c r="E751">
        <v>336</v>
      </c>
      <c r="F751" s="553">
        <v>167</v>
      </c>
      <c r="G751" t="s">
        <v>645</v>
      </c>
      <c r="H751" s="554">
        <v>0.62</v>
      </c>
      <c r="I751" s="553">
        <v>195</v>
      </c>
      <c r="J751" t="s">
        <v>655</v>
      </c>
      <c r="K751" s="554">
        <v>0.26</v>
      </c>
      <c r="L751" s="553">
        <v>87</v>
      </c>
    </row>
    <row r="752" spans="2:12">
      <c r="B752" t="s">
        <v>722</v>
      </c>
      <c r="C752" t="s">
        <v>764</v>
      </c>
      <c r="D752" s="555">
        <v>1162</v>
      </c>
      <c r="E752">
        <v>239</v>
      </c>
      <c r="F752" s="553">
        <v>167</v>
      </c>
      <c r="G752" t="s">
        <v>669</v>
      </c>
      <c r="H752" s="554">
        <v>0.33</v>
      </c>
      <c r="I752" s="553">
        <v>269</v>
      </c>
      <c r="J752" t="s">
        <v>655</v>
      </c>
      <c r="K752" s="554">
        <v>0.26</v>
      </c>
      <c r="L752" s="553">
        <v>81</v>
      </c>
    </row>
    <row r="753" spans="2:12">
      <c r="B753" t="s">
        <v>749</v>
      </c>
      <c r="C753" t="s">
        <v>686</v>
      </c>
      <c r="D753" s="555">
        <v>1190</v>
      </c>
      <c r="E753">
        <v>211</v>
      </c>
      <c r="F753" s="553">
        <v>166</v>
      </c>
      <c r="G753" t="s">
        <v>1459</v>
      </c>
      <c r="H753" s="554">
        <v>0.41</v>
      </c>
      <c r="I753" s="553">
        <v>168</v>
      </c>
      <c r="J753" t="s">
        <v>655</v>
      </c>
      <c r="K753" s="554">
        <v>0.19</v>
      </c>
      <c r="L753" s="553">
        <v>97</v>
      </c>
    </row>
    <row r="754" spans="2:12">
      <c r="B754" t="s">
        <v>721</v>
      </c>
      <c r="C754" t="s">
        <v>722</v>
      </c>
      <c r="D754" s="555">
        <v>1199</v>
      </c>
      <c r="E754" s="555">
        <v>2077</v>
      </c>
      <c r="F754" s="553">
        <v>165</v>
      </c>
      <c r="G754" t="s">
        <v>653</v>
      </c>
      <c r="H754" s="554">
        <v>0.5</v>
      </c>
      <c r="I754" s="553">
        <v>193</v>
      </c>
      <c r="J754" t="s">
        <v>663</v>
      </c>
      <c r="K754" s="554">
        <v>0.26</v>
      </c>
      <c r="L754" s="553">
        <v>136</v>
      </c>
    </row>
    <row r="755" spans="2:12">
      <c r="B755" t="s">
        <v>662</v>
      </c>
      <c r="C755" t="s">
        <v>685</v>
      </c>
      <c r="D755" s="555">
        <v>1121</v>
      </c>
      <c r="E755" s="555">
        <v>2565</v>
      </c>
      <c r="F755" s="553">
        <v>162</v>
      </c>
      <c r="G755" t="s">
        <v>645</v>
      </c>
      <c r="H755" s="554">
        <v>0.63</v>
      </c>
      <c r="I755" s="553">
        <v>180</v>
      </c>
      <c r="J755" t="s">
        <v>663</v>
      </c>
      <c r="K755" s="554">
        <v>0.23</v>
      </c>
      <c r="L755" s="553">
        <v>141</v>
      </c>
    </row>
    <row r="756" spans="2:12">
      <c r="B756" t="s">
        <v>675</v>
      </c>
      <c r="C756" t="s">
        <v>686</v>
      </c>
      <c r="D756" s="555">
        <v>1111</v>
      </c>
      <c r="E756">
        <v>232</v>
      </c>
      <c r="F756" s="553">
        <v>160</v>
      </c>
      <c r="G756" t="s">
        <v>1460</v>
      </c>
      <c r="H756" s="554">
        <v>0.63</v>
      </c>
      <c r="I756" s="553">
        <v>111</v>
      </c>
      <c r="J756" t="s">
        <v>655</v>
      </c>
      <c r="K756" s="554">
        <v>0.63</v>
      </c>
      <c r="L756" s="553">
        <v>111</v>
      </c>
    </row>
    <row r="757" spans="2:12">
      <c r="B757" t="s">
        <v>722</v>
      </c>
      <c r="C757" t="s">
        <v>768</v>
      </c>
      <c r="D757" s="555">
        <v>1179</v>
      </c>
      <c r="E757">
        <v>301</v>
      </c>
      <c r="F757" s="553">
        <v>156</v>
      </c>
      <c r="G757" t="s">
        <v>1459</v>
      </c>
      <c r="H757" s="554">
        <v>0.35</v>
      </c>
      <c r="I757" s="553">
        <v>165</v>
      </c>
      <c r="J757" t="s">
        <v>668</v>
      </c>
      <c r="K757" s="554">
        <v>0.3</v>
      </c>
      <c r="L757" s="553">
        <v>85</v>
      </c>
    </row>
    <row r="758" spans="2:12">
      <c r="B758" t="s">
        <v>661</v>
      </c>
      <c r="C758" t="s">
        <v>699</v>
      </c>
      <c r="D758" s="555">
        <v>1162</v>
      </c>
      <c r="E758">
        <v>438</v>
      </c>
      <c r="F758" s="553">
        <v>154</v>
      </c>
      <c r="G758" t="s">
        <v>653</v>
      </c>
      <c r="H758" s="554">
        <v>0.35</v>
      </c>
      <c r="I758" s="553">
        <v>159</v>
      </c>
      <c r="J758" t="s">
        <v>663</v>
      </c>
      <c r="K758" s="554">
        <v>0.35</v>
      </c>
      <c r="L758" s="553">
        <v>143</v>
      </c>
    </row>
    <row r="759" spans="2:12">
      <c r="B759" t="s">
        <v>685</v>
      </c>
      <c r="C759" t="s">
        <v>819</v>
      </c>
      <c r="D759" s="555">
        <v>1139</v>
      </c>
      <c r="E759" s="555">
        <v>14536</v>
      </c>
      <c r="F759" s="553">
        <v>148</v>
      </c>
      <c r="G759" t="s">
        <v>1458</v>
      </c>
      <c r="H759" s="554">
        <v>0.32</v>
      </c>
      <c r="I759" s="553">
        <v>142</v>
      </c>
      <c r="J759" t="s">
        <v>647</v>
      </c>
      <c r="K759" s="554">
        <v>0.32</v>
      </c>
      <c r="L759" s="553">
        <v>142</v>
      </c>
    </row>
    <row r="760" spans="2:12">
      <c r="B760" t="s">
        <v>661</v>
      </c>
      <c r="C760" t="s">
        <v>685</v>
      </c>
      <c r="D760" s="555">
        <v>1105</v>
      </c>
      <c r="E760">
        <v>941</v>
      </c>
      <c r="F760" s="553">
        <v>145</v>
      </c>
      <c r="G760" t="s">
        <v>1459</v>
      </c>
      <c r="H760" s="554">
        <v>0.41</v>
      </c>
      <c r="I760" s="553">
        <v>131</v>
      </c>
      <c r="J760" t="s">
        <v>663</v>
      </c>
      <c r="K760" s="554">
        <v>0.41</v>
      </c>
      <c r="L760" s="553">
        <v>131</v>
      </c>
    </row>
    <row r="761" spans="2:12">
      <c r="B761" t="s">
        <v>680</v>
      </c>
      <c r="C761" t="s">
        <v>685</v>
      </c>
      <c r="D761" s="555">
        <v>1145</v>
      </c>
      <c r="E761" s="555">
        <v>1622</v>
      </c>
      <c r="F761" s="553">
        <v>141</v>
      </c>
      <c r="G761" t="s">
        <v>653</v>
      </c>
      <c r="H761" s="554">
        <v>0.76</v>
      </c>
      <c r="I761" s="553">
        <v>150</v>
      </c>
      <c r="J761" t="s">
        <v>659</v>
      </c>
      <c r="K761" s="554">
        <v>0.1</v>
      </c>
      <c r="L761" s="553">
        <v>84</v>
      </c>
    </row>
    <row r="762" spans="2:12">
      <c r="B762" t="s">
        <v>718</v>
      </c>
      <c r="C762" t="s">
        <v>685</v>
      </c>
      <c r="D762" s="555">
        <v>1194</v>
      </c>
      <c r="E762">
        <v>998</v>
      </c>
      <c r="F762" s="553">
        <v>139</v>
      </c>
      <c r="G762" t="s">
        <v>1458</v>
      </c>
      <c r="H762" s="554">
        <v>0.54</v>
      </c>
      <c r="I762" s="553">
        <v>141</v>
      </c>
      <c r="J762" t="s">
        <v>647</v>
      </c>
      <c r="K762" s="554">
        <v>0.54</v>
      </c>
      <c r="L762" s="553">
        <v>141</v>
      </c>
    </row>
    <row r="763" spans="2:12">
      <c r="B763" t="s">
        <v>779</v>
      </c>
      <c r="C763" t="s">
        <v>686</v>
      </c>
      <c r="D763" s="555">
        <v>1127</v>
      </c>
      <c r="E763">
        <v>189</v>
      </c>
      <c r="F763" s="553">
        <v>136</v>
      </c>
      <c r="G763" t="s">
        <v>1460</v>
      </c>
      <c r="H763" s="554">
        <v>0.66</v>
      </c>
      <c r="I763" s="553">
        <v>104</v>
      </c>
      <c r="J763" t="s">
        <v>655</v>
      </c>
      <c r="K763" s="554">
        <v>0.66</v>
      </c>
      <c r="L763" s="553">
        <v>104</v>
      </c>
    </row>
    <row r="764" spans="2:12">
      <c r="B764" t="s">
        <v>711</v>
      </c>
      <c r="C764" t="s">
        <v>641</v>
      </c>
      <c r="D764" s="555">
        <v>1107</v>
      </c>
      <c r="E764" s="555">
        <v>2902</v>
      </c>
      <c r="F764" s="553">
        <v>130</v>
      </c>
      <c r="G764" t="s">
        <v>639</v>
      </c>
      <c r="H764" s="554">
        <v>0.45</v>
      </c>
      <c r="I764" s="553">
        <v>130</v>
      </c>
      <c r="J764" t="s">
        <v>663</v>
      </c>
      <c r="K764" s="554">
        <v>0.23</v>
      </c>
      <c r="L764" s="553">
        <v>117</v>
      </c>
    </row>
    <row r="766" spans="2:12">
      <c r="B766" s="552" t="s">
        <v>820</v>
      </c>
    </row>
    <row r="767" spans="2:12">
      <c r="B767" t="s">
        <v>821</v>
      </c>
      <c r="C767" t="s">
        <v>685</v>
      </c>
      <c r="D767" s="555">
        <v>1197</v>
      </c>
      <c r="E767" s="555">
        <v>3779</v>
      </c>
      <c r="F767" s="553">
        <v>129</v>
      </c>
      <c r="G767" t="s">
        <v>645</v>
      </c>
      <c r="H767" s="554">
        <v>0.35</v>
      </c>
      <c r="I767" s="553">
        <v>146</v>
      </c>
      <c r="J767" t="s">
        <v>663</v>
      </c>
      <c r="K767" s="554">
        <v>0.24</v>
      </c>
      <c r="L767" s="553">
        <v>111</v>
      </c>
    </row>
    <row r="768" spans="2:12">
      <c r="B768" t="s">
        <v>679</v>
      </c>
      <c r="C768" t="s">
        <v>772</v>
      </c>
      <c r="D768" s="555">
        <v>1120</v>
      </c>
      <c r="E768" s="555">
        <v>1530</v>
      </c>
      <c r="F768" s="553">
        <v>128</v>
      </c>
      <c r="G768" t="s">
        <v>1459</v>
      </c>
      <c r="H768" s="554">
        <v>0.37</v>
      </c>
      <c r="I768" s="553">
        <v>117</v>
      </c>
      <c r="J768" t="s">
        <v>663</v>
      </c>
      <c r="K768" s="554">
        <v>0.37</v>
      </c>
      <c r="L768" s="553">
        <v>117</v>
      </c>
    </row>
    <row r="769" spans="2:12">
      <c r="D769" s="555"/>
      <c r="E769" s="555"/>
      <c r="F769" s="553"/>
      <c r="H769" s="554"/>
      <c r="I769" s="553"/>
      <c r="K769" s="554"/>
      <c r="L769" s="553"/>
    </row>
    <row r="770" spans="2:12">
      <c r="B770" s="552" t="s">
        <v>822</v>
      </c>
      <c r="D770" s="555"/>
      <c r="E770" s="555"/>
      <c r="F770" s="553"/>
      <c r="H770" s="554"/>
      <c r="I770" s="553"/>
      <c r="K770" s="554"/>
      <c r="L770" s="553"/>
    </row>
    <row r="771" spans="2:12">
      <c r="B771" t="s">
        <v>823</v>
      </c>
      <c r="C771" t="s">
        <v>721</v>
      </c>
      <c r="D771" s="555">
        <v>1269</v>
      </c>
      <c r="E771">
        <v>178</v>
      </c>
      <c r="F771" s="553">
        <v>290</v>
      </c>
      <c r="G771" t="s">
        <v>653</v>
      </c>
      <c r="H771" s="554">
        <v>0.72</v>
      </c>
      <c r="I771" s="553">
        <v>309</v>
      </c>
      <c r="J771" t="s">
        <v>663</v>
      </c>
      <c r="K771" s="554">
        <v>0.13</v>
      </c>
      <c r="L771" s="553">
        <v>251</v>
      </c>
    </row>
    <row r="772" spans="2:12">
      <c r="B772" t="s">
        <v>701</v>
      </c>
      <c r="C772" t="s">
        <v>662</v>
      </c>
      <c r="D772" s="555">
        <v>1212</v>
      </c>
      <c r="E772">
        <v>196</v>
      </c>
      <c r="F772" s="553">
        <v>275</v>
      </c>
      <c r="G772" t="s">
        <v>645</v>
      </c>
      <c r="H772" s="554">
        <v>0.65</v>
      </c>
      <c r="I772" s="553">
        <v>295</v>
      </c>
      <c r="J772" t="s">
        <v>663</v>
      </c>
      <c r="K772" s="554">
        <v>0.16</v>
      </c>
      <c r="L772" s="553">
        <v>231</v>
      </c>
    </row>
    <row r="773" spans="2:12">
      <c r="B773" t="s">
        <v>678</v>
      </c>
      <c r="C773" t="s">
        <v>759</v>
      </c>
      <c r="D773" s="555">
        <v>1209</v>
      </c>
      <c r="E773">
        <v>241</v>
      </c>
      <c r="F773" s="553">
        <v>255</v>
      </c>
      <c r="G773" t="s">
        <v>669</v>
      </c>
      <c r="H773" s="554">
        <v>0.46</v>
      </c>
      <c r="I773" s="553">
        <v>280</v>
      </c>
      <c r="J773" t="s">
        <v>663</v>
      </c>
      <c r="K773" s="554">
        <v>0.18</v>
      </c>
      <c r="L773" s="553">
        <v>230</v>
      </c>
    </row>
    <row r="774" spans="2:12">
      <c r="B774" t="s">
        <v>680</v>
      </c>
      <c r="C774" t="s">
        <v>676</v>
      </c>
      <c r="D774" s="555">
        <v>1214</v>
      </c>
      <c r="E774">
        <v>207</v>
      </c>
      <c r="F774" s="553">
        <v>252</v>
      </c>
      <c r="G774" t="s">
        <v>653</v>
      </c>
      <c r="H774" s="554">
        <v>0.69</v>
      </c>
      <c r="I774" s="553">
        <v>266</v>
      </c>
      <c r="J774" t="s">
        <v>663</v>
      </c>
      <c r="K774" s="554">
        <v>0.13</v>
      </c>
      <c r="L774" s="553">
        <v>207</v>
      </c>
    </row>
    <row r="775" spans="2:12">
      <c r="B775" t="s">
        <v>758</v>
      </c>
      <c r="C775" t="s">
        <v>731</v>
      </c>
      <c r="D775" s="555">
        <v>1256</v>
      </c>
      <c r="E775">
        <v>430</v>
      </c>
      <c r="F775" s="553">
        <v>244</v>
      </c>
      <c r="G775" t="s">
        <v>653</v>
      </c>
      <c r="H775" s="554">
        <v>0.55000000000000004</v>
      </c>
      <c r="I775" s="553">
        <v>245</v>
      </c>
      <c r="J775" t="s">
        <v>663</v>
      </c>
      <c r="K775" s="554">
        <v>0.23</v>
      </c>
      <c r="L775" s="553">
        <v>234</v>
      </c>
    </row>
    <row r="776" spans="2:12">
      <c r="B776" t="s">
        <v>729</v>
      </c>
      <c r="C776" t="s">
        <v>711</v>
      </c>
      <c r="D776" s="555">
        <v>1300</v>
      </c>
      <c r="E776">
        <v>212</v>
      </c>
      <c r="F776" s="553">
        <v>231</v>
      </c>
      <c r="G776" t="s">
        <v>1459</v>
      </c>
      <c r="H776" s="554">
        <v>0.49</v>
      </c>
      <c r="I776" s="553">
        <v>223</v>
      </c>
      <c r="J776" t="s">
        <v>663</v>
      </c>
      <c r="K776" s="554">
        <v>0.49</v>
      </c>
      <c r="L776" s="553">
        <v>223</v>
      </c>
    </row>
    <row r="777" spans="2:12">
      <c r="B777" t="s">
        <v>662</v>
      </c>
      <c r="C777" t="s">
        <v>759</v>
      </c>
      <c r="D777" s="555">
        <v>1212</v>
      </c>
      <c r="E777">
        <v>368</v>
      </c>
      <c r="F777" s="553">
        <v>226</v>
      </c>
      <c r="G777" t="s">
        <v>645</v>
      </c>
      <c r="H777" s="554">
        <v>0.79</v>
      </c>
      <c r="I777" s="553">
        <v>224</v>
      </c>
      <c r="J777" t="s">
        <v>663</v>
      </c>
      <c r="K777" s="554">
        <v>0.08</v>
      </c>
      <c r="L777" s="553">
        <v>219</v>
      </c>
    </row>
    <row r="778" spans="2:12">
      <c r="B778" t="s">
        <v>722</v>
      </c>
      <c r="C778" t="s">
        <v>732</v>
      </c>
      <c r="D778" s="555">
        <v>1290</v>
      </c>
      <c r="E778">
        <v>642</v>
      </c>
      <c r="F778" s="553">
        <v>217</v>
      </c>
      <c r="G778" t="s">
        <v>1459</v>
      </c>
      <c r="H778" s="554">
        <v>0.41</v>
      </c>
      <c r="I778" s="553">
        <v>215</v>
      </c>
      <c r="J778" t="s">
        <v>668</v>
      </c>
      <c r="K778" s="554">
        <v>0.15</v>
      </c>
      <c r="L778" s="553">
        <v>101</v>
      </c>
    </row>
    <row r="779" spans="2:12">
      <c r="B779" t="s">
        <v>678</v>
      </c>
      <c r="C779" t="s">
        <v>737</v>
      </c>
      <c r="D779" s="555">
        <v>1214</v>
      </c>
      <c r="E779">
        <v>656</v>
      </c>
      <c r="F779" s="553">
        <v>216</v>
      </c>
      <c r="G779" t="s">
        <v>669</v>
      </c>
      <c r="H779" s="554">
        <v>0.41</v>
      </c>
      <c r="I779" s="553">
        <v>233</v>
      </c>
      <c r="J779" t="s">
        <v>663</v>
      </c>
      <c r="K779" s="554">
        <v>0.24</v>
      </c>
      <c r="L779" s="553">
        <v>194</v>
      </c>
    </row>
    <row r="780" spans="2:12">
      <c r="B780" t="s">
        <v>711</v>
      </c>
      <c r="C780" t="s">
        <v>704</v>
      </c>
      <c r="D780" s="555">
        <v>1262</v>
      </c>
      <c r="E780">
        <v>618</v>
      </c>
      <c r="F780" s="553">
        <v>215</v>
      </c>
      <c r="G780" t="s">
        <v>1459</v>
      </c>
      <c r="H780" s="554">
        <v>0.63</v>
      </c>
      <c r="I780" s="553">
        <v>217</v>
      </c>
      <c r="J780" t="s">
        <v>663</v>
      </c>
      <c r="K780" s="554">
        <v>0.63</v>
      </c>
      <c r="L780" s="553">
        <v>217</v>
      </c>
    </row>
    <row r="781" spans="2:12">
      <c r="B781" t="s">
        <v>724</v>
      </c>
      <c r="C781" t="s">
        <v>711</v>
      </c>
      <c r="D781" s="555">
        <v>1264</v>
      </c>
      <c r="E781">
        <v>187</v>
      </c>
      <c r="F781" s="553">
        <v>214</v>
      </c>
      <c r="G781" t="s">
        <v>645</v>
      </c>
      <c r="H781" s="554">
        <v>0.43</v>
      </c>
      <c r="I781" s="553">
        <v>230</v>
      </c>
      <c r="J781" t="s">
        <v>663</v>
      </c>
      <c r="K781" s="554">
        <v>0.4</v>
      </c>
      <c r="L781" s="553">
        <v>197</v>
      </c>
    </row>
    <row r="782" spans="2:12">
      <c r="B782" t="s">
        <v>678</v>
      </c>
      <c r="C782" t="s">
        <v>702</v>
      </c>
      <c r="D782" s="555">
        <v>1246</v>
      </c>
      <c r="E782" s="555">
        <v>2087</v>
      </c>
      <c r="F782" s="553">
        <v>213</v>
      </c>
      <c r="G782" t="s">
        <v>669</v>
      </c>
      <c r="H782" s="554">
        <v>0.42</v>
      </c>
      <c r="I782" s="553">
        <v>258</v>
      </c>
      <c r="J782" t="s">
        <v>663</v>
      </c>
      <c r="K782" s="554">
        <v>0.4</v>
      </c>
      <c r="L782" s="553">
        <v>191</v>
      </c>
    </row>
    <row r="783" spans="2:12">
      <c r="B783" t="s">
        <v>758</v>
      </c>
      <c r="C783" t="s">
        <v>772</v>
      </c>
      <c r="D783" s="555">
        <v>1271</v>
      </c>
      <c r="E783">
        <v>870</v>
      </c>
      <c r="F783" s="553">
        <v>212</v>
      </c>
      <c r="G783" t="s">
        <v>1458</v>
      </c>
      <c r="H783" s="554">
        <v>0.6</v>
      </c>
      <c r="I783" s="553">
        <v>211</v>
      </c>
      <c r="J783" t="s">
        <v>663</v>
      </c>
      <c r="K783" s="554">
        <v>0.1</v>
      </c>
      <c r="L783" s="553">
        <v>198</v>
      </c>
    </row>
    <row r="784" spans="2:12">
      <c r="B784" t="s">
        <v>662</v>
      </c>
      <c r="C784" t="s">
        <v>702</v>
      </c>
      <c r="D784" s="555">
        <v>1217</v>
      </c>
      <c r="E784" s="555">
        <v>2664</v>
      </c>
      <c r="F784" s="553">
        <v>211</v>
      </c>
      <c r="G784" t="s">
        <v>645</v>
      </c>
      <c r="H784" s="554">
        <v>0.49</v>
      </c>
      <c r="I784" s="553">
        <v>235</v>
      </c>
      <c r="J784" t="s">
        <v>663</v>
      </c>
      <c r="K784" s="554">
        <v>0.35</v>
      </c>
      <c r="L784" s="553">
        <v>184</v>
      </c>
    </row>
    <row r="785" spans="2:12">
      <c r="B785" t="s">
        <v>756</v>
      </c>
      <c r="C785" t="s">
        <v>824</v>
      </c>
      <c r="D785" s="555">
        <v>1203</v>
      </c>
      <c r="E785">
        <v>183</v>
      </c>
      <c r="F785" s="553">
        <v>210</v>
      </c>
      <c r="G785" t="s">
        <v>645</v>
      </c>
      <c r="H785" s="554">
        <v>0.31</v>
      </c>
      <c r="I785" s="553">
        <v>246</v>
      </c>
      <c r="J785" t="s">
        <v>655</v>
      </c>
      <c r="K785" s="554">
        <v>0.23</v>
      </c>
      <c r="L785" s="553">
        <v>90</v>
      </c>
    </row>
    <row r="786" spans="2:12">
      <c r="B786" t="s">
        <v>729</v>
      </c>
      <c r="C786" t="s">
        <v>650</v>
      </c>
      <c r="D786" s="555">
        <v>1218</v>
      </c>
      <c r="E786" s="555">
        <v>1109</v>
      </c>
      <c r="F786" s="553">
        <v>210</v>
      </c>
      <c r="G786" t="s">
        <v>669</v>
      </c>
      <c r="H786" s="554">
        <v>0.31</v>
      </c>
      <c r="I786" s="553">
        <v>203</v>
      </c>
      <c r="J786" t="s">
        <v>659</v>
      </c>
      <c r="K786" s="554">
        <v>0.1</v>
      </c>
      <c r="L786" s="553">
        <v>115</v>
      </c>
    </row>
    <row r="787" spans="2:12">
      <c r="B787" t="s">
        <v>756</v>
      </c>
      <c r="C787" t="s">
        <v>682</v>
      </c>
      <c r="D787" s="555">
        <v>1283</v>
      </c>
      <c r="E787">
        <v>394</v>
      </c>
      <c r="F787" s="553">
        <v>209</v>
      </c>
      <c r="G787" t="s">
        <v>645</v>
      </c>
      <c r="H787" s="554">
        <v>0.43</v>
      </c>
      <c r="I787" s="553">
        <v>242</v>
      </c>
      <c r="J787" t="s">
        <v>655</v>
      </c>
      <c r="K787" s="554">
        <v>0.2</v>
      </c>
      <c r="L787" s="553">
        <v>102</v>
      </c>
    </row>
    <row r="788" spans="2:12">
      <c r="B788" t="s">
        <v>661</v>
      </c>
      <c r="C788" t="s">
        <v>732</v>
      </c>
      <c r="D788" s="555">
        <v>1210</v>
      </c>
      <c r="E788">
        <v>175</v>
      </c>
      <c r="F788" s="553">
        <v>206</v>
      </c>
      <c r="G788" t="s">
        <v>1459</v>
      </c>
      <c r="H788" s="554">
        <v>0.32</v>
      </c>
      <c r="I788" s="553">
        <v>213</v>
      </c>
      <c r="J788" t="s">
        <v>655</v>
      </c>
      <c r="K788" s="554">
        <v>0.17</v>
      </c>
      <c r="L788" s="553">
        <v>98</v>
      </c>
    </row>
    <row r="789" spans="2:12">
      <c r="B789" t="s">
        <v>758</v>
      </c>
      <c r="C789" t="s">
        <v>771</v>
      </c>
      <c r="D789" s="555">
        <v>1222</v>
      </c>
      <c r="E789">
        <v>719</v>
      </c>
      <c r="F789" s="553">
        <v>200</v>
      </c>
      <c r="G789" t="s">
        <v>1458</v>
      </c>
      <c r="H789" s="554">
        <v>0.79</v>
      </c>
      <c r="I789" s="553">
        <v>192</v>
      </c>
      <c r="J789" t="s">
        <v>651</v>
      </c>
      <c r="K789" s="554">
        <v>0.02</v>
      </c>
      <c r="L789" s="553">
        <v>175</v>
      </c>
    </row>
    <row r="790" spans="2:12">
      <c r="B790" t="s">
        <v>825</v>
      </c>
      <c r="C790" t="s">
        <v>722</v>
      </c>
      <c r="D790" s="555">
        <v>1224</v>
      </c>
      <c r="E790">
        <v>761</v>
      </c>
      <c r="F790" s="553">
        <v>196</v>
      </c>
      <c r="G790" t="s">
        <v>669</v>
      </c>
      <c r="H790" s="554">
        <v>0.43</v>
      </c>
      <c r="I790" s="553">
        <v>234</v>
      </c>
      <c r="J790" t="s">
        <v>668</v>
      </c>
      <c r="K790" s="554">
        <v>0.21</v>
      </c>
      <c r="L790" s="553">
        <v>105</v>
      </c>
    </row>
    <row r="791" spans="2:12">
      <c r="B791" t="s">
        <v>758</v>
      </c>
      <c r="C791" t="s">
        <v>686</v>
      </c>
      <c r="D791" s="555">
        <v>1204</v>
      </c>
      <c r="E791" s="555">
        <v>1734</v>
      </c>
      <c r="F791" s="553">
        <v>195</v>
      </c>
      <c r="G791" t="s">
        <v>653</v>
      </c>
      <c r="H791" s="554">
        <v>0.33</v>
      </c>
      <c r="I791" s="553">
        <v>195</v>
      </c>
      <c r="J791" t="s">
        <v>652</v>
      </c>
      <c r="K791" s="554">
        <v>0.33</v>
      </c>
      <c r="L791" s="553">
        <v>195</v>
      </c>
    </row>
    <row r="792" spans="2:12">
      <c r="B792" t="s">
        <v>685</v>
      </c>
      <c r="C792" t="s">
        <v>690</v>
      </c>
      <c r="D792" s="555">
        <v>1258</v>
      </c>
      <c r="E792">
        <v>214</v>
      </c>
      <c r="F792" s="553">
        <v>193</v>
      </c>
      <c r="G792" t="s">
        <v>1459</v>
      </c>
      <c r="H792" s="554">
        <v>0.51</v>
      </c>
      <c r="I792" s="553">
        <v>174</v>
      </c>
      <c r="J792" t="s">
        <v>663</v>
      </c>
      <c r="K792" s="554">
        <v>0.51</v>
      </c>
      <c r="L792" s="553">
        <v>174</v>
      </c>
    </row>
    <row r="793" spans="2:12">
      <c r="B793" t="s">
        <v>785</v>
      </c>
      <c r="C793" t="s">
        <v>650</v>
      </c>
      <c r="D793" s="555">
        <v>1248</v>
      </c>
      <c r="E793">
        <v>406</v>
      </c>
      <c r="F793" s="553">
        <v>192</v>
      </c>
      <c r="G793" t="s">
        <v>669</v>
      </c>
      <c r="H793" s="554">
        <v>0.36</v>
      </c>
      <c r="I793" s="553">
        <v>213</v>
      </c>
      <c r="J793" t="s">
        <v>647</v>
      </c>
      <c r="K793" s="554">
        <v>0.24</v>
      </c>
      <c r="L793" s="553">
        <v>179</v>
      </c>
    </row>
    <row r="794" spans="2:12">
      <c r="B794" t="s">
        <v>709</v>
      </c>
      <c r="C794" t="s">
        <v>662</v>
      </c>
      <c r="D794" s="555">
        <v>1282</v>
      </c>
      <c r="E794">
        <v>244</v>
      </c>
      <c r="F794" s="553">
        <v>192</v>
      </c>
      <c r="G794" t="s">
        <v>645</v>
      </c>
      <c r="H794" s="554">
        <v>0.66</v>
      </c>
      <c r="I794" s="553">
        <v>193</v>
      </c>
      <c r="J794" t="s">
        <v>663</v>
      </c>
      <c r="K794" s="554">
        <v>0.18</v>
      </c>
      <c r="L794" s="553">
        <v>176</v>
      </c>
    </row>
    <row r="795" spans="2:12">
      <c r="B795" t="s">
        <v>679</v>
      </c>
      <c r="C795" t="s">
        <v>726</v>
      </c>
      <c r="D795" s="555">
        <v>1237</v>
      </c>
      <c r="E795">
        <v>318</v>
      </c>
      <c r="F795" s="553">
        <v>189</v>
      </c>
      <c r="G795" t="s">
        <v>645</v>
      </c>
      <c r="H795" s="554">
        <v>0.6</v>
      </c>
      <c r="I795" s="553">
        <v>177</v>
      </c>
      <c r="J795" t="s">
        <v>644</v>
      </c>
      <c r="K795" s="554">
        <v>0.6</v>
      </c>
      <c r="L795" s="553">
        <v>177</v>
      </c>
    </row>
    <row r="796" spans="2:12">
      <c r="B796" t="s">
        <v>758</v>
      </c>
      <c r="C796" t="s">
        <v>755</v>
      </c>
      <c r="D796" s="555">
        <v>1240</v>
      </c>
      <c r="E796">
        <v>230</v>
      </c>
      <c r="F796" s="553">
        <v>188</v>
      </c>
      <c r="G796" t="s">
        <v>1459</v>
      </c>
      <c r="H796" s="554">
        <v>0.22</v>
      </c>
      <c r="I796" s="553">
        <v>192</v>
      </c>
      <c r="J796" t="s">
        <v>655</v>
      </c>
      <c r="K796" s="554">
        <v>0.2</v>
      </c>
      <c r="L796" s="553">
        <v>98</v>
      </c>
    </row>
    <row r="797" spans="2:12">
      <c r="B797" t="s">
        <v>749</v>
      </c>
      <c r="C797" t="s">
        <v>667</v>
      </c>
      <c r="D797" s="555">
        <v>1211</v>
      </c>
      <c r="E797">
        <v>311</v>
      </c>
      <c r="F797" s="553">
        <v>187</v>
      </c>
      <c r="G797" t="s">
        <v>1459</v>
      </c>
      <c r="H797" s="554">
        <v>0.6</v>
      </c>
      <c r="I797" s="553">
        <v>174</v>
      </c>
      <c r="J797" t="s">
        <v>663</v>
      </c>
      <c r="K797" s="554">
        <v>0.6</v>
      </c>
      <c r="L797" s="553">
        <v>174</v>
      </c>
    </row>
    <row r="798" spans="2:12">
      <c r="B798" t="s">
        <v>779</v>
      </c>
      <c r="C798" t="s">
        <v>687</v>
      </c>
      <c r="D798" s="555">
        <v>1216</v>
      </c>
      <c r="E798">
        <v>397</v>
      </c>
      <c r="F798" s="553">
        <v>186</v>
      </c>
      <c r="G798" t="s">
        <v>1460</v>
      </c>
      <c r="H798" s="554">
        <v>0.46</v>
      </c>
      <c r="I798" s="553">
        <v>143</v>
      </c>
      <c r="J798" t="s">
        <v>655</v>
      </c>
      <c r="K798" s="554">
        <v>0.46</v>
      </c>
      <c r="L798" s="553">
        <v>143</v>
      </c>
    </row>
    <row r="799" spans="2:12">
      <c r="B799" t="s">
        <v>714</v>
      </c>
      <c r="C799" t="s">
        <v>685</v>
      </c>
      <c r="D799" s="555">
        <v>1225</v>
      </c>
      <c r="E799">
        <v>306</v>
      </c>
      <c r="F799" s="553">
        <v>186</v>
      </c>
      <c r="G799" t="s">
        <v>1458</v>
      </c>
      <c r="H799" s="554">
        <v>0.71</v>
      </c>
      <c r="I799" s="553">
        <v>174</v>
      </c>
      <c r="J799" t="s">
        <v>647</v>
      </c>
      <c r="K799" s="554">
        <v>0.71</v>
      </c>
      <c r="L799" s="553">
        <v>174</v>
      </c>
    </row>
    <row r="800" spans="2:12">
      <c r="B800" t="s">
        <v>826</v>
      </c>
      <c r="C800" t="s">
        <v>676</v>
      </c>
      <c r="D800" s="555">
        <v>1211</v>
      </c>
      <c r="E800" s="555">
        <v>1022</v>
      </c>
      <c r="F800" s="553">
        <v>182</v>
      </c>
      <c r="G800" t="s">
        <v>645</v>
      </c>
      <c r="H800" s="554">
        <v>0.34</v>
      </c>
      <c r="I800" s="553">
        <v>192</v>
      </c>
      <c r="J800" t="s">
        <v>663</v>
      </c>
      <c r="K800" s="554">
        <v>0.33</v>
      </c>
      <c r="L800" s="553">
        <v>172</v>
      </c>
    </row>
    <row r="801" spans="2:12">
      <c r="B801" t="s">
        <v>827</v>
      </c>
      <c r="C801" t="s">
        <v>687</v>
      </c>
      <c r="D801" s="555">
        <v>1235</v>
      </c>
      <c r="E801" s="555">
        <v>2485</v>
      </c>
      <c r="F801" s="553">
        <v>180</v>
      </c>
      <c r="G801" t="s">
        <v>1459</v>
      </c>
      <c r="H801" s="554">
        <v>0.38</v>
      </c>
      <c r="I801" s="553">
        <v>185</v>
      </c>
      <c r="J801" t="s">
        <v>659</v>
      </c>
      <c r="K801" s="554">
        <v>0.17</v>
      </c>
      <c r="L801" s="553">
        <v>103</v>
      </c>
    </row>
    <row r="802" spans="2:12">
      <c r="B802" t="s">
        <v>662</v>
      </c>
      <c r="C802" t="s">
        <v>826</v>
      </c>
      <c r="D802" s="555">
        <v>1246</v>
      </c>
      <c r="E802" s="555">
        <v>5620</v>
      </c>
      <c r="F802" s="553">
        <v>177</v>
      </c>
      <c r="G802" t="s">
        <v>645</v>
      </c>
      <c r="H802" s="554">
        <v>0.54</v>
      </c>
      <c r="I802" s="553">
        <v>203</v>
      </c>
      <c r="J802" t="s">
        <v>663</v>
      </c>
      <c r="K802" s="554">
        <v>0.22</v>
      </c>
      <c r="L802" s="553">
        <v>164</v>
      </c>
    </row>
    <row r="804" spans="2:12">
      <c r="B804" s="552" t="s">
        <v>828</v>
      </c>
    </row>
    <row r="805" spans="2:12">
      <c r="B805" t="s">
        <v>685</v>
      </c>
      <c r="C805" t="s">
        <v>675</v>
      </c>
      <c r="D805" s="555">
        <v>1217</v>
      </c>
      <c r="E805">
        <v>188</v>
      </c>
      <c r="F805" s="553">
        <v>176</v>
      </c>
      <c r="G805" t="s">
        <v>1460</v>
      </c>
      <c r="H805" s="554">
        <v>0.42</v>
      </c>
      <c r="I805" s="553">
        <v>105</v>
      </c>
      <c r="J805" t="s">
        <v>655</v>
      </c>
      <c r="K805" s="554">
        <v>0.42</v>
      </c>
      <c r="L805" s="553">
        <v>105</v>
      </c>
    </row>
    <row r="806" spans="2:12">
      <c r="B806" t="s">
        <v>731</v>
      </c>
      <c r="C806" t="s">
        <v>685</v>
      </c>
      <c r="D806" s="555">
        <v>1251</v>
      </c>
      <c r="E806">
        <v>489</v>
      </c>
      <c r="F806" s="553">
        <v>169</v>
      </c>
      <c r="G806" t="s">
        <v>1459</v>
      </c>
      <c r="H806" s="554">
        <v>0.46</v>
      </c>
      <c r="I806" s="553">
        <v>170</v>
      </c>
      <c r="J806" t="s">
        <v>663</v>
      </c>
      <c r="K806" s="554">
        <v>0.46</v>
      </c>
      <c r="L806" s="553">
        <v>170</v>
      </c>
    </row>
    <row r="807" spans="2:12">
      <c r="B807" t="s">
        <v>679</v>
      </c>
      <c r="C807" t="s">
        <v>737</v>
      </c>
      <c r="D807" s="555">
        <v>1259</v>
      </c>
      <c r="E807" s="555">
        <v>1084</v>
      </c>
      <c r="F807" s="553">
        <v>166</v>
      </c>
      <c r="G807" t="s">
        <v>653</v>
      </c>
      <c r="H807" s="554">
        <v>0.39</v>
      </c>
      <c r="I807" s="553">
        <v>167</v>
      </c>
      <c r="J807" t="s">
        <v>663</v>
      </c>
      <c r="K807" s="554">
        <v>0.18</v>
      </c>
      <c r="L807" s="553">
        <v>153</v>
      </c>
    </row>
    <row r="808" spans="2:12">
      <c r="B808" t="s">
        <v>641</v>
      </c>
      <c r="C808" t="s">
        <v>733</v>
      </c>
      <c r="D808" s="555">
        <v>1216</v>
      </c>
      <c r="E808">
        <v>381</v>
      </c>
      <c r="F808" s="553">
        <v>164</v>
      </c>
      <c r="G808" t="s">
        <v>639</v>
      </c>
      <c r="H808" s="554">
        <v>0.61</v>
      </c>
      <c r="I808" s="553">
        <v>165</v>
      </c>
      <c r="J808" t="s">
        <v>652</v>
      </c>
      <c r="K808" s="554">
        <v>0.3</v>
      </c>
      <c r="L808" s="553">
        <v>154</v>
      </c>
    </row>
    <row r="809" spans="2:12">
      <c r="B809" t="s">
        <v>649</v>
      </c>
      <c r="C809" t="s">
        <v>685</v>
      </c>
      <c r="D809" s="555">
        <v>1283</v>
      </c>
      <c r="E809" s="555">
        <v>3678</v>
      </c>
      <c r="F809" s="553">
        <v>147</v>
      </c>
      <c r="G809" t="s">
        <v>1458</v>
      </c>
      <c r="H809" s="554">
        <v>0.42</v>
      </c>
      <c r="I809" s="553">
        <v>140</v>
      </c>
      <c r="J809" t="s">
        <v>652</v>
      </c>
      <c r="K809" s="554">
        <v>0.21</v>
      </c>
      <c r="L809" s="553">
        <v>139</v>
      </c>
    </row>
    <row r="810" spans="2:12">
      <c r="B810" t="s">
        <v>687</v>
      </c>
      <c r="C810" t="s">
        <v>829</v>
      </c>
      <c r="D810" s="555">
        <v>1210</v>
      </c>
      <c r="E810">
        <v>353</v>
      </c>
      <c r="F810" s="553">
        <v>146</v>
      </c>
      <c r="G810" t="s">
        <v>1460</v>
      </c>
      <c r="H810" s="554">
        <v>0.9</v>
      </c>
      <c r="I810" s="553">
        <v>132</v>
      </c>
      <c r="J810" t="s">
        <v>655</v>
      </c>
      <c r="K810" s="554">
        <v>0.9</v>
      </c>
      <c r="L810" s="553">
        <v>132</v>
      </c>
    </row>
    <row r="811" spans="2:12">
      <c r="B811" t="s">
        <v>687</v>
      </c>
      <c r="C811" t="s">
        <v>691</v>
      </c>
      <c r="D811" s="555">
        <v>1299</v>
      </c>
      <c r="E811" s="555">
        <v>1771</v>
      </c>
      <c r="F811" s="553">
        <v>145</v>
      </c>
      <c r="G811" t="s">
        <v>653</v>
      </c>
      <c r="H811" s="554">
        <v>0.66</v>
      </c>
      <c r="I811" s="553">
        <v>162</v>
      </c>
      <c r="J811" t="s">
        <v>664</v>
      </c>
      <c r="K811" s="554">
        <v>0.26</v>
      </c>
      <c r="L811" s="553">
        <v>106</v>
      </c>
    </row>
    <row r="812" spans="2:12">
      <c r="B812" t="s">
        <v>661</v>
      </c>
      <c r="C812" t="s">
        <v>735</v>
      </c>
      <c r="D812" s="555">
        <v>1242</v>
      </c>
      <c r="E812" s="555">
        <v>2609</v>
      </c>
      <c r="F812" s="553">
        <v>144</v>
      </c>
      <c r="G812" t="s">
        <v>645</v>
      </c>
      <c r="H812" s="554">
        <v>0.31</v>
      </c>
      <c r="I812" s="553">
        <v>146</v>
      </c>
      <c r="J812" t="s">
        <v>644</v>
      </c>
      <c r="K812" s="554">
        <v>0.31</v>
      </c>
      <c r="L812" s="553">
        <v>146</v>
      </c>
    </row>
    <row r="813" spans="2:12">
      <c r="B813" t="s">
        <v>830</v>
      </c>
      <c r="C813" t="s">
        <v>711</v>
      </c>
      <c r="D813" s="555">
        <v>1225</v>
      </c>
      <c r="E813">
        <v>218</v>
      </c>
      <c r="F813" s="553">
        <v>144</v>
      </c>
      <c r="G813" t="s">
        <v>1460</v>
      </c>
      <c r="H813" s="554">
        <v>0.84</v>
      </c>
      <c r="I813" s="553">
        <v>106</v>
      </c>
      <c r="J813" t="s">
        <v>668</v>
      </c>
      <c r="K813" s="554">
        <v>0.02</v>
      </c>
      <c r="L813" s="553">
        <v>90</v>
      </c>
    </row>
    <row r="814" spans="2:12">
      <c r="B814" t="s">
        <v>691</v>
      </c>
      <c r="C814" t="s">
        <v>711</v>
      </c>
      <c r="D814" s="555">
        <v>1276</v>
      </c>
      <c r="E814" s="555">
        <v>1861</v>
      </c>
      <c r="F814" s="553">
        <v>141</v>
      </c>
      <c r="G814" t="s">
        <v>653</v>
      </c>
      <c r="H814" s="554">
        <v>0.66</v>
      </c>
      <c r="I814" s="553">
        <v>144</v>
      </c>
      <c r="J814" t="s">
        <v>664</v>
      </c>
      <c r="K814" s="554">
        <v>0.11</v>
      </c>
      <c r="L814" s="553">
        <v>96</v>
      </c>
    </row>
    <row r="815" spans="2:12">
      <c r="B815" t="s">
        <v>789</v>
      </c>
      <c r="C815" t="s">
        <v>711</v>
      </c>
      <c r="D815" s="555">
        <v>1252</v>
      </c>
      <c r="E815">
        <v>227</v>
      </c>
      <c r="F815" s="553">
        <v>135</v>
      </c>
      <c r="G815" t="s">
        <v>1460</v>
      </c>
      <c r="H815" s="554">
        <v>0.56000000000000005</v>
      </c>
      <c r="I815" s="553">
        <v>89</v>
      </c>
      <c r="J815" t="s">
        <v>655</v>
      </c>
      <c r="K815" s="554">
        <v>0.56000000000000005</v>
      </c>
      <c r="L815" s="553">
        <v>89</v>
      </c>
    </row>
    <row r="816" spans="2:12">
      <c r="D816" s="555"/>
      <c r="F816" s="553"/>
      <c r="H816" s="554"/>
      <c r="I816" s="553"/>
      <c r="K816" s="554"/>
      <c r="L816" s="553"/>
    </row>
    <row r="817" spans="2:12">
      <c r="B817" s="552" t="s">
        <v>831</v>
      </c>
    </row>
    <row r="818" spans="2:12">
      <c r="B818" t="s">
        <v>650</v>
      </c>
      <c r="C818" t="s">
        <v>746</v>
      </c>
      <c r="D818" s="555">
        <v>1381</v>
      </c>
      <c r="E818">
        <v>228</v>
      </c>
      <c r="F818" s="553">
        <v>294</v>
      </c>
      <c r="G818" t="s">
        <v>645</v>
      </c>
      <c r="H818" s="554">
        <v>0.49</v>
      </c>
      <c r="I818" s="553">
        <v>274</v>
      </c>
      <c r="J818" t="s">
        <v>644</v>
      </c>
      <c r="K818" s="554">
        <v>0.49</v>
      </c>
      <c r="L818" s="553">
        <v>274</v>
      </c>
    </row>
    <row r="819" spans="2:12">
      <c r="B819" t="s">
        <v>662</v>
      </c>
      <c r="C819" t="s">
        <v>712</v>
      </c>
      <c r="D819" s="555">
        <v>1325</v>
      </c>
      <c r="E819">
        <v>195</v>
      </c>
      <c r="F819" s="553">
        <v>245</v>
      </c>
      <c r="G819" t="s">
        <v>645</v>
      </c>
      <c r="H819" s="554">
        <v>0.8</v>
      </c>
      <c r="I819" s="553">
        <v>250</v>
      </c>
      <c r="J819" t="s">
        <v>638</v>
      </c>
      <c r="K819" s="554">
        <v>0.02</v>
      </c>
      <c r="L819" s="553">
        <v>169</v>
      </c>
    </row>
    <row r="820" spans="2:12">
      <c r="B820" t="s">
        <v>662</v>
      </c>
      <c r="C820" t="s">
        <v>728</v>
      </c>
      <c r="D820" s="555">
        <v>1356</v>
      </c>
      <c r="E820">
        <v>316</v>
      </c>
      <c r="F820" s="553">
        <v>242</v>
      </c>
      <c r="G820" t="s">
        <v>645</v>
      </c>
      <c r="H820" s="554">
        <v>0.69</v>
      </c>
      <c r="I820" s="553">
        <v>249</v>
      </c>
      <c r="J820" t="s">
        <v>663</v>
      </c>
      <c r="K820" s="554">
        <v>0.25</v>
      </c>
      <c r="L820" s="553">
        <v>225</v>
      </c>
    </row>
    <row r="821" spans="2:12">
      <c r="B821" t="s">
        <v>731</v>
      </c>
      <c r="C821" t="s">
        <v>710</v>
      </c>
      <c r="D821" s="555">
        <v>1334</v>
      </c>
      <c r="E821">
        <v>329</v>
      </c>
      <c r="F821" s="553">
        <v>235</v>
      </c>
      <c r="G821" t="s">
        <v>1459</v>
      </c>
      <c r="H821" s="554">
        <v>0.62</v>
      </c>
      <c r="I821" s="553">
        <v>229</v>
      </c>
      <c r="J821" t="s">
        <v>663</v>
      </c>
      <c r="K821" s="554">
        <v>0.62</v>
      </c>
      <c r="L821" s="553">
        <v>229</v>
      </c>
    </row>
    <row r="822" spans="2:12">
      <c r="B822" t="s">
        <v>649</v>
      </c>
      <c r="C822" t="s">
        <v>729</v>
      </c>
      <c r="D822" s="555">
        <v>1371</v>
      </c>
      <c r="E822">
        <v>392</v>
      </c>
      <c r="F822" s="553">
        <v>228</v>
      </c>
      <c r="G822" t="s">
        <v>1458</v>
      </c>
      <c r="H822" s="554">
        <v>0.53</v>
      </c>
      <c r="I822" s="553">
        <v>206</v>
      </c>
      <c r="J822" t="s">
        <v>647</v>
      </c>
      <c r="K822" s="554">
        <v>0.53</v>
      </c>
      <c r="L822" s="553">
        <v>206</v>
      </c>
    </row>
    <row r="823" spans="2:12">
      <c r="B823" t="s">
        <v>661</v>
      </c>
      <c r="C823" t="s">
        <v>702</v>
      </c>
      <c r="D823" s="555">
        <v>1342</v>
      </c>
      <c r="E823" s="555">
        <v>1083</v>
      </c>
      <c r="F823" s="553">
        <v>224</v>
      </c>
      <c r="G823" t="s">
        <v>1459</v>
      </c>
      <c r="H823" s="554">
        <v>0.5</v>
      </c>
      <c r="I823" s="553">
        <v>213</v>
      </c>
      <c r="J823" t="s">
        <v>663</v>
      </c>
      <c r="K823" s="554">
        <v>0.5</v>
      </c>
      <c r="L823" s="553">
        <v>213</v>
      </c>
    </row>
    <row r="824" spans="2:12">
      <c r="B824" t="s">
        <v>749</v>
      </c>
      <c r="C824" t="s">
        <v>641</v>
      </c>
      <c r="D824" s="555">
        <v>1368</v>
      </c>
      <c r="E824">
        <v>286</v>
      </c>
      <c r="F824" s="553">
        <v>210</v>
      </c>
      <c r="G824" t="s">
        <v>639</v>
      </c>
      <c r="H824" s="554">
        <v>0.73</v>
      </c>
      <c r="I824" s="553">
        <v>210</v>
      </c>
      <c r="J824" t="s">
        <v>663</v>
      </c>
      <c r="K824" s="554">
        <v>0.08</v>
      </c>
      <c r="L824" s="553">
        <v>189</v>
      </c>
    </row>
    <row r="825" spans="2:12">
      <c r="B825" t="s">
        <v>662</v>
      </c>
      <c r="C825" t="s">
        <v>695</v>
      </c>
      <c r="D825" s="555">
        <v>1303</v>
      </c>
      <c r="E825" s="555">
        <v>1269</v>
      </c>
      <c r="F825" s="553">
        <v>209</v>
      </c>
      <c r="G825" t="s">
        <v>645</v>
      </c>
      <c r="H825" s="554">
        <v>0.83</v>
      </c>
      <c r="I825" s="553">
        <v>220</v>
      </c>
      <c r="J825" t="s">
        <v>668</v>
      </c>
      <c r="K825" s="554">
        <v>0.06</v>
      </c>
      <c r="L825" s="553">
        <v>91</v>
      </c>
    </row>
    <row r="826" spans="2:12">
      <c r="B826" t="s">
        <v>735</v>
      </c>
      <c r="C826" t="s">
        <v>749</v>
      </c>
      <c r="D826" s="555">
        <v>1330</v>
      </c>
      <c r="E826">
        <v>483</v>
      </c>
      <c r="F826" s="553">
        <v>208</v>
      </c>
      <c r="G826" t="s">
        <v>1459</v>
      </c>
      <c r="H826" s="554">
        <v>0.4</v>
      </c>
      <c r="I826" s="553">
        <v>199</v>
      </c>
      <c r="J826" t="s">
        <v>663</v>
      </c>
      <c r="K826" s="554">
        <v>0.4</v>
      </c>
      <c r="L826" s="553">
        <v>199</v>
      </c>
    </row>
    <row r="827" spans="2:12">
      <c r="B827" t="s">
        <v>678</v>
      </c>
      <c r="C827" t="s">
        <v>710</v>
      </c>
      <c r="D827" s="555">
        <v>1313</v>
      </c>
      <c r="E827">
        <v>886</v>
      </c>
      <c r="F827" s="553">
        <v>207</v>
      </c>
      <c r="G827" t="s">
        <v>669</v>
      </c>
      <c r="H827" s="554">
        <v>0.54</v>
      </c>
      <c r="I827" s="553">
        <v>228</v>
      </c>
      <c r="J827" t="s">
        <v>663</v>
      </c>
      <c r="K827" s="554">
        <v>0.34</v>
      </c>
      <c r="L827" s="553">
        <v>195</v>
      </c>
    </row>
    <row r="828" spans="2:12">
      <c r="B828" t="s">
        <v>726</v>
      </c>
      <c r="C828" t="s">
        <v>641</v>
      </c>
      <c r="D828" s="555">
        <v>1368</v>
      </c>
      <c r="E828">
        <v>196</v>
      </c>
      <c r="F828" s="553">
        <v>204</v>
      </c>
      <c r="G828" t="s">
        <v>639</v>
      </c>
      <c r="H828" s="554">
        <v>0.59</v>
      </c>
      <c r="I828" s="553">
        <v>212</v>
      </c>
      <c r="J828" t="s">
        <v>663</v>
      </c>
      <c r="K828" s="554">
        <v>0.18</v>
      </c>
      <c r="L828" s="553">
        <v>173</v>
      </c>
    </row>
    <row r="829" spans="2:12">
      <c r="B829" t="s">
        <v>701</v>
      </c>
      <c r="C829" t="s">
        <v>722</v>
      </c>
      <c r="D829" s="555">
        <v>1359</v>
      </c>
      <c r="E829">
        <v>318</v>
      </c>
      <c r="F829" s="553">
        <v>201</v>
      </c>
      <c r="G829" t="s">
        <v>1459</v>
      </c>
      <c r="H829" s="554">
        <v>0.42</v>
      </c>
      <c r="I829" s="553">
        <v>243</v>
      </c>
      <c r="J829" t="s">
        <v>668</v>
      </c>
      <c r="K829" s="554">
        <v>0.39</v>
      </c>
      <c r="L829" s="553">
        <v>114</v>
      </c>
    </row>
    <row r="830" spans="2:12">
      <c r="B830" t="s">
        <v>731</v>
      </c>
      <c r="C830" t="s">
        <v>735</v>
      </c>
      <c r="D830" s="555">
        <v>1363</v>
      </c>
      <c r="E830" s="555">
        <v>1032</v>
      </c>
      <c r="F830" s="553">
        <v>191</v>
      </c>
      <c r="G830" t="s">
        <v>1459</v>
      </c>
      <c r="H830" s="554">
        <v>0.43</v>
      </c>
      <c r="I830" s="553">
        <v>202</v>
      </c>
      <c r="J830" t="s">
        <v>659</v>
      </c>
      <c r="K830" s="554">
        <v>0.15</v>
      </c>
      <c r="L830" s="553">
        <v>97</v>
      </c>
    </row>
    <row r="831" spans="2:12">
      <c r="B831" t="s">
        <v>691</v>
      </c>
      <c r="C831" t="s">
        <v>641</v>
      </c>
      <c r="D831" s="555">
        <v>1399</v>
      </c>
      <c r="E831" s="555">
        <v>1473</v>
      </c>
      <c r="F831" s="553">
        <v>190</v>
      </c>
      <c r="G831" t="s">
        <v>653</v>
      </c>
      <c r="H831" s="554">
        <v>0.48</v>
      </c>
      <c r="I831" s="553">
        <v>216</v>
      </c>
      <c r="J831" t="s">
        <v>664</v>
      </c>
      <c r="K831" s="554">
        <v>0.27</v>
      </c>
      <c r="L831" s="553">
        <v>135</v>
      </c>
    </row>
    <row r="832" spans="2:12">
      <c r="B832" t="s">
        <v>678</v>
      </c>
      <c r="C832" t="s">
        <v>695</v>
      </c>
      <c r="D832" s="555">
        <v>1336</v>
      </c>
      <c r="E832">
        <v>983</v>
      </c>
      <c r="F832" s="553">
        <v>186</v>
      </c>
      <c r="G832" t="s">
        <v>669</v>
      </c>
      <c r="H832" s="554">
        <v>0.52</v>
      </c>
      <c r="I832" s="553">
        <v>193</v>
      </c>
      <c r="J832" t="s">
        <v>644</v>
      </c>
      <c r="K832" s="554">
        <v>0.31</v>
      </c>
      <c r="L832" s="553">
        <v>182</v>
      </c>
    </row>
    <row r="833" spans="2:12">
      <c r="B833" t="s">
        <v>687</v>
      </c>
      <c r="C833" t="s">
        <v>704</v>
      </c>
      <c r="D833" s="555">
        <v>1371</v>
      </c>
      <c r="E833">
        <v>835</v>
      </c>
      <c r="F833" s="553">
        <v>177</v>
      </c>
      <c r="G833" t="s">
        <v>1459</v>
      </c>
      <c r="H833" s="554">
        <v>0.63</v>
      </c>
      <c r="I833" s="553">
        <v>208</v>
      </c>
      <c r="J833" t="s">
        <v>668</v>
      </c>
      <c r="K833" s="554">
        <v>0.19</v>
      </c>
      <c r="L833" s="553">
        <v>85</v>
      </c>
    </row>
    <row r="834" spans="2:12">
      <c r="B834" t="s">
        <v>678</v>
      </c>
      <c r="C834" t="s">
        <v>735</v>
      </c>
      <c r="D834" s="555">
        <v>1390</v>
      </c>
      <c r="E834" s="555">
        <v>3589</v>
      </c>
      <c r="F834" s="553">
        <v>175</v>
      </c>
      <c r="G834" t="s">
        <v>669</v>
      </c>
      <c r="H834" s="554">
        <v>0.36</v>
      </c>
      <c r="I834" s="553">
        <v>206</v>
      </c>
      <c r="J834" t="s">
        <v>659</v>
      </c>
      <c r="K834" s="554">
        <v>0.11</v>
      </c>
      <c r="L834" s="553">
        <v>99</v>
      </c>
    </row>
    <row r="835" spans="2:12">
      <c r="B835" t="s">
        <v>673</v>
      </c>
      <c r="C835" t="s">
        <v>722</v>
      </c>
      <c r="D835" s="555">
        <v>1337</v>
      </c>
      <c r="E835" s="555">
        <v>1112</v>
      </c>
      <c r="F835" s="553">
        <v>163</v>
      </c>
      <c r="G835" t="s">
        <v>645</v>
      </c>
      <c r="H835" s="554">
        <v>0.61</v>
      </c>
      <c r="I835" s="553">
        <v>175</v>
      </c>
      <c r="J835" t="s">
        <v>668</v>
      </c>
      <c r="K835" s="554">
        <v>0.15</v>
      </c>
      <c r="L835" s="553">
        <v>87</v>
      </c>
    </row>
    <row r="836" spans="2:12">
      <c r="B836" t="s">
        <v>691</v>
      </c>
      <c r="C836" t="s">
        <v>686</v>
      </c>
      <c r="D836" s="555">
        <v>1306</v>
      </c>
      <c r="E836">
        <v>784</v>
      </c>
      <c r="F836" s="553">
        <v>135</v>
      </c>
      <c r="G836" t="s">
        <v>653</v>
      </c>
      <c r="H836" s="554">
        <v>0.69</v>
      </c>
      <c r="I836" s="553">
        <v>150</v>
      </c>
      <c r="J836" t="s">
        <v>664</v>
      </c>
      <c r="K836" s="554">
        <v>0.23</v>
      </c>
      <c r="L836" s="553">
        <v>86</v>
      </c>
    </row>
    <row r="837" spans="2:12">
      <c r="B837" t="s">
        <v>691</v>
      </c>
      <c r="C837" t="s">
        <v>667</v>
      </c>
      <c r="D837" s="555">
        <v>1310</v>
      </c>
      <c r="E837" s="555">
        <v>1241</v>
      </c>
      <c r="F837" s="553">
        <v>134</v>
      </c>
      <c r="G837" t="s">
        <v>653</v>
      </c>
      <c r="H837" s="554">
        <v>0.66</v>
      </c>
      <c r="I837" s="553">
        <v>151</v>
      </c>
      <c r="J837" t="s">
        <v>664</v>
      </c>
      <c r="K837" s="554">
        <v>0.17</v>
      </c>
      <c r="L837" s="553">
        <v>94</v>
      </c>
    </row>
    <row r="838" spans="2:12">
      <c r="D838" s="555"/>
      <c r="E838" s="555"/>
      <c r="F838" s="553"/>
      <c r="H838" s="554"/>
      <c r="I838" s="553"/>
      <c r="K838" s="554"/>
      <c r="L838" s="553"/>
    </row>
    <row r="839" spans="2:12">
      <c r="B839" s="552" t="s">
        <v>832</v>
      </c>
    </row>
    <row r="840" spans="2:12">
      <c r="B840" t="s">
        <v>662</v>
      </c>
      <c r="C840" t="s">
        <v>718</v>
      </c>
      <c r="D840" s="555">
        <v>1471</v>
      </c>
      <c r="E840">
        <v>236</v>
      </c>
      <c r="F840" s="553">
        <v>286</v>
      </c>
      <c r="G840" t="s">
        <v>645</v>
      </c>
      <c r="H840" s="554">
        <v>0.7</v>
      </c>
      <c r="I840" s="553">
        <v>294</v>
      </c>
      <c r="J840" t="s">
        <v>644</v>
      </c>
      <c r="K840" s="554">
        <v>0.7</v>
      </c>
      <c r="L840" s="553">
        <v>294</v>
      </c>
    </row>
    <row r="841" spans="2:12">
      <c r="B841" t="s">
        <v>680</v>
      </c>
      <c r="C841" t="s">
        <v>737</v>
      </c>
      <c r="D841" s="555">
        <v>1481</v>
      </c>
      <c r="E841">
        <v>397</v>
      </c>
      <c r="F841" s="553">
        <v>285</v>
      </c>
      <c r="G841" t="s">
        <v>653</v>
      </c>
      <c r="H841" s="554">
        <v>0.88</v>
      </c>
      <c r="I841" s="553">
        <v>295</v>
      </c>
      <c r="J841" t="s">
        <v>663</v>
      </c>
      <c r="K841" s="554">
        <v>0.04</v>
      </c>
      <c r="L841" s="553">
        <v>210</v>
      </c>
    </row>
    <row r="842" spans="2:12">
      <c r="B842" t="s">
        <v>703</v>
      </c>
      <c r="C842" t="s">
        <v>737</v>
      </c>
      <c r="D842" s="555">
        <v>1450</v>
      </c>
      <c r="E842">
        <v>205</v>
      </c>
      <c r="F842" s="553">
        <v>280</v>
      </c>
      <c r="G842" t="s">
        <v>653</v>
      </c>
      <c r="H842" s="554">
        <v>0.71</v>
      </c>
      <c r="I842" s="553">
        <v>315</v>
      </c>
      <c r="J842" t="s">
        <v>668</v>
      </c>
      <c r="K842" s="554">
        <v>7.0000000000000007E-2</v>
      </c>
      <c r="L842" s="553">
        <v>96</v>
      </c>
    </row>
    <row r="843" spans="2:12">
      <c r="B843" t="s">
        <v>722</v>
      </c>
      <c r="C843" t="s">
        <v>675</v>
      </c>
      <c r="D843" s="555">
        <v>1492</v>
      </c>
      <c r="E843">
        <v>200</v>
      </c>
      <c r="F843" s="553">
        <v>269</v>
      </c>
      <c r="G843" t="s">
        <v>668</v>
      </c>
      <c r="H843" s="554">
        <v>0.4</v>
      </c>
      <c r="I843" s="553">
        <v>149</v>
      </c>
      <c r="J843" t="s">
        <v>668</v>
      </c>
      <c r="K843" s="554">
        <v>0.4</v>
      </c>
      <c r="L843" s="553">
        <v>149</v>
      </c>
    </row>
    <row r="844" spans="2:12">
      <c r="B844" t="s">
        <v>662</v>
      </c>
      <c r="C844" t="s">
        <v>684</v>
      </c>
      <c r="D844" s="555">
        <v>1486</v>
      </c>
      <c r="E844">
        <v>205</v>
      </c>
      <c r="F844" s="553">
        <v>262</v>
      </c>
      <c r="G844" t="s">
        <v>645</v>
      </c>
      <c r="H844" s="554">
        <v>0.42</v>
      </c>
      <c r="I844" s="553">
        <v>307</v>
      </c>
      <c r="J844" t="s">
        <v>652</v>
      </c>
      <c r="K844" s="554">
        <v>0.2</v>
      </c>
      <c r="L844" s="553">
        <v>223</v>
      </c>
    </row>
    <row r="845" spans="2:12">
      <c r="B845" t="s">
        <v>661</v>
      </c>
      <c r="C845" t="s">
        <v>695</v>
      </c>
      <c r="D845" s="555">
        <v>1430</v>
      </c>
      <c r="E845">
        <v>401</v>
      </c>
      <c r="F845" s="553">
        <v>261</v>
      </c>
      <c r="G845" t="s">
        <v>645</v>
      </c>
      <c r="H845" s="554">
        <v>0.71</v>
      </c>
      <c r="I845" s="553">
        <v>274</v>
      </c>
      <c r="J845" t="s">
        <v>663</v>
      </c>
      <c r="K845" s="554">
        <v>0.1</v>
      </c>
      <c r="L845" s="553">
        <v>240</v>
      </c>
    </row>
    <row r="846" spans="2:12">
      <c r="B846" t="s">
        <v>695</v>
      </c>
      <c r="C846" t="s">
        <v>676</v>
      </c>
      <c r="D846" s="555">
        <v>1496</v>
      </c>
      <c r="E846">
        <v>217</v>
      </c>
      <c r="F846" s="553">
        <v>254</v>
      </c>
      <c r="G846" t="s">
        <v>645</v>
      </c>
      <c r="H846" s="554">
        <v>0.5</v>
      </c>
      <c r="I846" s="553">
        <v>257</v>
      </c>
      <c r="J846" t="s">
        <v>663</v>
      </c>
      <c r="K846" s="554">
        <v>0.22</v>
      </c>
      <c r="L846" s="553">
        <v>232</v>
      </c>
    </row>
    <row r="848" spans="2:12">
      <c r="B848" s="552" t="s">
        <v>832</v>
      </c>
    </row>
    <row r="849" spans="2:12">
      <c r="B849" t="s">
        <v>833</v>
      </c>
      <c r="C849" t="s">
        <v>702</v>
      </c>
      <c r="D849">
        <v>1407</v>
      </c>
      <c r="E849">
        <v>720</v>
      </c>
      <c r="F849" s="557">
        <v>254</v>
      </c>
      <c r="G849" t="s">
        <v>1459</v>
      </c>
      <c r="H849" s="558">
        <v>0.51</v>
      </c>
      <c r="I849" s="557">
        <v>233</v>
      </c>
      <c r="J849" t="s">
        <v>663</v>
      </c>
      <c r="K849" s="558">
        <v>0.51</v>
      </c>
      <c r="L849">
        <v>233</v>
      </c>
    </row>
    <row r="850" spans="2:12">
      <c r="B850" t="s">
        <v>731</v>
      </c>
      <c r="C850" t="s">
        <v>752</v>
      </c>
      <c r="D850">
        <v>1499</v>
      </c>
      <c r="E850">
        <v>435</v>
      </c>
      <c r="F850" s="557">
        <v>253</v>
      </c>
      <c r="G850" t="s">
        <v>1459</v>
      </c>
      <c r="H850" s="558">
        <v>0.59</v>
      </c>
      <c r="I850" s="557">
        <v>246</v>
      </c>
      <c r="J850" t="s">
        <v>663</v>
      </c>
      <c r="K850" s="558">
        <v>0.59</v>
      </c>
      <c r="L850">
        <v>246</v>
      </c>
    </row>
    <row r="851" spans="2:12">
      <c r="B851" t="s">
        <v>749</v>
      </c>
      <c r="C851" t="s">
        <v>752</v>
      </c>
      <c r="D851">
        <v>1433</v>
      </c>
      <c r="E851">
        <v>194</v>
      </c>
      <c r="F851" s="557">
        <v>247</v>
      </c>
      <c r="G851" t="s">
        <v>1459</v>
      </c>
      <c r="H851" s="558">
        <v>0.48</v>
      </c>
      <c r="I851" s="557">
        <v>214</v>
      </c>
      <c r="J851" t="s">
        <v>663</v>
      </c>
      <c r="K851" s="558">
        <v>0.48</v>
      </c>
      <c r="L851">
        <v>214</v>
      </c>
    </row>
    <row r="852" spans="2:12">
      <c r="B852" t="s">
        <v>662</v>
      </c>
      <c r="C852" t="s">
        <v>734</v>
      </c>
      <c r="D852">
        <v>1442</v>
      </c>
      <c r="E852">
        <v>649</v>
      </c>
      <c r="F852" s="557">
        <v>243</v>
      </c>
      <c r="G852" t="s">
        <v>645</v>
      </c>
      <c r="H852" s="558">
        <v>0.56999999999999995</v>
      </c>
      <c r="I852" s="557">
        <v>256</v>
      </c>
      <c r="J852" t="s">
        <v>663</v>
      </c>
      <c r="K852" s="558">
        <v>0.34</v>
      </c>
      <c r="L852">
        <v>226</v>
      </c>
    </row>
    <row r="853" spans="2:12">
      <c r="B853" t="s">
        <v>731</v>
      </c>
      <c r="C853" t="s">
        <v>640</v>
      </c>
      <c r="D853">
        <v>1482</v>
      </c>
      <c r="E853">
        <v>289</v>
      </c>
      <c r="F853" s="557">
        <v>238</v>
      </c>
      <c r="G853" t="s">
        <v>639</v>
      </c>
      <c r="H853" s="558">
        <v>0.44</v>
      </c>
      <c r="I853" s="557">
        <v>254</v>
      </c>
      <c r="J853" t="s">
        <v>652</v>
      </c>
      <c r="K853" s="558">
        <v>0.17</v>
      </c>
      <c r="L853">
        <v>217</v>
      </c>
    </row>
    <row r="854" spans="2:12">
      <c r="B854" t="s">
        <v>722</v>
      </c>
      <c r="C854" t="s">
        <v>715</v>
      </c>
      <c r="D854">
        <v>1482</v>
      </c>
      <c r="E854">
        <v>326</v>
      </c>
      <c r="F854" s="557">
        <v>237</v>
      </c>
      <c r="G854" t="s">
        <v>669</v>
      </c>
      <c r="H854" s="558">
        <v>0.5</v>
      </c>
      <c r="I854" s="557">
        <v>260</v>
      </c>
      <c r="J854" t="s">
        <v>663</v>
      </c>
      <c r="K854" s="558">
        <v>0.32</v>
      </c>
      <c r="L854">
        <v>197</v>
      </c>
    </row>
    <row r="855" spans="2:12">
      <c r="B855" t="s">
        <v>723</v>
      </c>
      <c r="C855" t="s">
        <v>756</v>
      </c>
      <c r="D855">
        <v>1494</v>
      </c>
      <c r="E855">
        <v>228</v>
      </c>
      <c r="F855" s="557">
        <v>236</v>
      </c>
      <c r="G855" t="s">
        <v>645</v>
      </c>
      <c r="H855" s="558">
        <v>0.39</v>
      </c>
      <c r="I855" s="557">
        <v>285</v>
      </c>
      <c r="J855" t="s">
        <v>655</v>
      </c>
      <c r="K855" s="558">
        <v>0.15</v>
      </c>
      <c r="L855">
        <v>90</v>
      </c>
    </row>
    <row r="856" spans="2:12">
      <c r="B856" t="s">
        <v>679</v>
      </c>
      <c r="C856" t="s">
        <v>733</v>
      </c>
      <c r="D856">
        <v>1440</v>
      </c>
      <c r="E856">
        <v>279</v>
      </c>
      <c r="F856" s="557">
        <v>235</v>
      </c>
      <c r="G856" t="s">
        <v>645</v>
      </c>
      <c r="H856" s="558">
        <v>0.56000000000000005</v>
      </c>
      <c r="I856" s="557">
        <v>238</v>
      </c>
      <c r="J856" t="s">
        <v>663</v>
      </c>
      <c r="K856" s="558">
        <v>0.27</v>
      </c>
      <c r="L856">
        <v>205</v>
      </c>
    </row>
    <row r="857" spans="2:12">
      <c r="B857" t="s">
        <v>661</v>
      </c>
      <c r="C857" t="s">
        <v>734</v>
      </c>
      <c r="D857">
        <v>1481</v>
      </c>
      <c r="E857">
        <v>252</v>
      </c>
      <c r="F857" s="557">
        <v>231</v>
      </c>
      <c r="G857" t="s">
        <v>1459</v>
      </c>
      <c r="H857" s="558">
        <v>0.71</v>
      </c>
      <c r="I857" s="557">
        <v>226</v>
      </c>
      <c r="J857" t="s">
        <v>663</v>
      </c>
      <c r="K857" s="558">
        <v>0.71</v>
      </c>
      <c r="L857">
        <v>226</v>
      </c>
    </row>
    <row r="858" spans="2:12">
      <c r="B858" t="s">
        <v>676</v>
      </c>
      <c r="C858" t="s">
        <v>752</v>
      </c>
      <c r="D858">
        <v>1482</v>
      </c>
      <c r="E858">
        <v>309</v>
      </c>
      <c r="F858" s="557">
        <v>231</v>
      </c>
      <c r="G858" t="s">
        <v>1459</v>
      </c>
      <c r="H858" s="558">
        <v>0.46</v>
      </c>
      <c r="I858" s="557">
        <v>211</v>
      </c>
      <c r="J858" t="s">
        <v>663</v>
      </c>
      <c r="K858" s="558">
        <v>0.46</v>
      </c>
      <c r="L858">
        <v>211</v>
      </c>
    </row>
    <row r="859" spans="2:12">
      <c r="B859" t="s">
        <v>681</v>
      </c>
      <c r="C859" t="s">
        <v>711</v>
      </c>
      <c r="D859">
        <v>1449</v>
      </c>
      <c r="E859">
        <v>707</v>
      </c>
      <c r="F859" s="557">
        <v>230</v>
      </c>
      <c r="G859" t="s">
        <v>1459</v>
      </c>
      <c r="H859" s="558">
        <v>0.71</v>
      </c>
      <c r="I859" s="557">
        <v>226</v>
      </c>
      <c r="J859" t="s">
        <v>663</v>
      </c>
      <c r="K859" s="558">
        <v>0.71</v>
      </c>
      <c r="L859">
        <v>226</v>
      </c>
    </row>
    <row r="860" spans="2:12">
      <c r="B860" t="s">
        <v>743</v>
      </c>
      <c r="C860" t="s">
        <v>711</v>
      </c>
      <c r="D860">
        <v>1488</v>
      </c>
      <c r="E860">
        <v>516</v>
      </c>
      <c r="F860" s="557">
        <v>230</v>
      </c>
      <c r="G860" t="s">
        <v>1459</v>
      </c>
      <c r="H860" s="558">
        <v>0.51</v>
      </c>
      <c r="I860" s="557">
        <v>221</v>
      </c>
      <c r="J860" t="s">
        <v>663</v>
      </c>
      <c r="K860" s="558">
        <v>0.51</v>
      </c>
      <c r="L860">
        <v>221</v>
      </c>
    </row>
    <row r="861" spans="2:12">
      <c r="B861" t="s">
        <v>690</v>
      </c>
      <c r="C861" t="s">
        <v>711</v>
      </c>
      <c r="D861">
        <v>1460</v>
      </c>
      <c r="E861">
        <v>572</v>
      </c>
      <c r="F861" s="557">
        <v>227</v>
      </c>
      <c r="G861" t="s">
        <v>1459</v>
      </c>
      <c r="H861" s="558">
        <v>0.57999999999999996</v>
      </c>
      <c r="I861" s="557">
        <v>222</v>
      </c>
      <c r="J861" t="s">
        <v>663</v>
      </c>
      <c r="K861" s="558">
        <v>0.57999999999999996</v>
      </c>
      <c r="L861">
        <v>222</v>
      </c>
    </row>
    <row r="862" spans="2:12">
      <c r="B862" t="s">
        <v>662</v>
      </c>
      <c r="C862" t="s">
        <v>752</v>
      </c>
      <c r="D862">
        <v>1476</v>
      </c>
      <c r="E862">
        <v>2064</v>
      </c>
      <c r="F862" s="557">
        <v>220</v>
      </c>
      <c r="G862" t="s">
        <v>645</v>
      </c>
      <c r="H862" s="558">
        <v>0.49</v>
      </c>
      <c r="I862" s="557">
        <v>239</v>
      </c>
      <c r="J862" t="s">
        <v>663</v>
      </c>
      <c r="K862" s="558">
        <v>0.3</v>
      </c>
      <c r="L862">
        <v>195</v>
      </c>
    </row>
    <row r="863" spans="2:12">
      <c r="B863" t="s">
        <v>734</v>
      </c>
      <c r="C863" t="s">
        <v>676</v>
      </c>
      <c r="D863">
        <v>1463</v>
      </c>
      <c r="E863">
        <v>201</v>
      </c>
      <c r="F863" s="557">
        <v>220</v>
      </c>
      <c r="G863" t="s">
        <v>1459</v>
      </c>
      <c r="H863" s="558">
        <v>0.5</v>
      </c>
      <c r="I863" s="557">
        <v>211</v>
      </c>
      <c r="J863" t="s">
        <v>663</v>
      </c>
      <c r="K863" s="558">
        <v>0.5</v>
      </c>
      <c r="L863">
        <v>211</v>
      </c>
    </row>
    <row r="864" spans="2:12">
      <c r="B864" t="s">
        <v>722</v>
      </c>
      <c r="C864" t="s">
        <v>698</v>
      </c>
      <c r="D864">
        <v>1447</v>
      </c>
      <c r="E864">
        <v>389</v>
      </c>
      <c r="F864" s="557">
        <v>218</v>
      </c>
      <c r="G864" t="s">
        <v>1459</v>
      </c>
      <c r="H864" s="558">
        <v>0.43</v>
      </c>
      <c r="I864" s="557">
        <v>199</v>
      </c>
      <c r="J864" t="s">
        <v>663</v>
      </c>
      <c r="K864" s="558">
        <v>0.43</v>
      </c>
      <c r="L864">
        <v>199</v>
      </c>
    </row>
    <row r="865" spans="2:12">
      <c r="B865" t="s">
        <v>779</v>
      </c>
      <c r="C865" t="s">
        <v>735</v>
      </c>
      <c r="D865">
        <v>1447</v>
      </c>
      <c r="E865">
        <v>257</v>
      </c>
      <c r="F865" s="557">
        <v>218</v>
      </c>
      <c r="G865" t="s">
        <v>645</v>
      </c>
      <c r="H865" s="558">
        <v>0.26</v>
      </c>
      <c r="I865" s="557">
        <v>260</v>
      </c>
      <c r="J865" t="s">
        <v>655</v>
      </c>
      <c r="K865" s="558">
        <v>0.24</v>
      </c>
      <c r="L865">
        <v>98</v>
      </c>
    </row>
    <row r="866" spans="2:12">
      <c r="B866" t="s">
        <v>722</v>
      </c>
      <c r="C866" t="s">
        <v>834</v>
      </c>
      <c r="D866">
        <v>1414</v>
      </c>
      <c r="E866">
        <v>200</v>
      </c>
      <c r="F866" s="557">
        <v>217</v>
      </c>
      <c r="G866" t="s">
        <v>669</v>
      </c>
      <c r="H866" s="558">
        <v>0.6</v>
      </c>
      <c r="I866" s="557">
        <v>214</v>
      </c>
      <c r="J866" t="s">
        <v>663</v>
      </c>
      <c r="K866" s="558">
        <v>0.17</v>
      </c>
      <c r="L866">
        <v>194</v>
      </c>
    </row>
    <row r="867" spans="2:12">
      <c r="B867" t="s">
        <v>678</v>
      </c>
      <c r="C867" t="s">
        <v>650</v>
      </c>
      <c r="D867">
        <v>1465</v>
      </c>
      <c r="E867">
        <v>3192</v>
      </c>
      <c r="F867" s="557">
        <v>216</v>
      </c>
      <c r="G867" t="s">
        <v>669</v>
      </c>
      <c r="H867" s="558">
        <v>0.51</v>
      </c>
      <c r="I867" s="557">
        <v>237</v>
      </c>
      <c r="J867" t="s">
        <v>652</v>
      </c>
      <c r="K867" s="558">
        <v>0.19</v>
      </c>
      <c r="L867">
        <v>212</v>
      </c>
    </row>
    <row r="868" spans="2:12">
      <c r="B868" t="s">
        <v>681</v>
      </c>
      <c r="C868" t="s">
        <v>737</v>
      </c>
      <c r="D868">
        <v>1404</v>
      </c>
      <c r="E868">
        <v>354</v>
      </c>
      <c r="F868" s="557">
        <v>216</v>
      </c>
      <c r="G868" t="s">
        <v>653</v>
      </c>
      <c r="H868" s="558">
        <v>0.52</v>
      </c>
      <c r="I868" s="557">
        <v>232</v>
      </c>
      <c r="J868" t="s">
        <v>663</v>
      </c>
      <c r="K868" s="558">
        <v>0.37</v>
      </c>
      <c r="L868">
        <v>197</v>
      </c>
    </row>
    <row r="869" spans="2:12">
      <c r="B869" t="s">
        <v>731</v>
      </c>
      <c r="C869" t="s">
        <v>641</v>
      </c>
      <c r="D869">
        <v>1489</v>
      </c>
      <c r="E869">
        <v>513</v>
      </c>
      <c r="F869" s="557">
        <v>211</v>
      </c>
      <c r="G869" t="s">
        <v>639</v>
      </c>
      <c r="H869" s="558">
        <v>0.68</v>
      </c>
      <c r="I869" s="557">
        <v>205</v>
      </c>
      <c r="J869" t="s">
        <v>638</v>
      </c>
      <c r="K869" s="558">
        <v>0.68</v>
      </c>
      <c r="L869">
        <v>205</v>
      </c>
    </row>
    <row r="870" spans="2:12">
      <c r="B870" t="s">
        <v>722</v>
      </c>
      <c r="C870" t="s">
        <v>835</v>
      </c>
      <c r="D870">
        <v>1491</v>
      </c>
      <c r="E870">
        <v>3023</v>
      </c>
      <c r="F870" s="557">
        <v>207</v>
      </c>
      <c r="G870" t="s">
        <v>669</v>
      </c>
      <c r="H870" s="558">
        <v>0.38</v>
      </c>
      <c r="I870" s="557">
        <v>256</v>
      </c>
      <c r="J870" t="s">
        <v>668</v>
      </c>
      <c r="K870" s="558">
        <v>0.18</v>
      </c>
      <c r="L870">
        <v>112</v>
      </c>
    </row>
    <row r="871" spans="2:12">
      <c r="B871" t="s">
        <v>709</v>
      </c>
      <c r="C871" t="s">
        <v>679</v>
      </c>
      <c r="D871">
        <v>1448</v>
      </c>
      <c r="E871">
        <v>237</v>
      </c>
      <c r="F871" s="557">
        <v>205</v>
      </c>
      <c r="G871" t="s">
        <v>669</v>
      </c>
      <c r="H871" s="558">
        <v>0.47</v>
      </c>
      <c r="I871" s="557">
        <v>220</v>
      </c>
      <c r="J871" t="s">
        <v>663</v>
      </c>
      <c r="K871" s="558">
        <v>0.18</v>
      </c>
      <c r="L871">
        <v>176</v>
      </c>
    </row>
    <row r="872" spans="2:12">
      <c r="B872" t="s">
        <v>692</v>
      </c>
      <c r="C872" t="s">
        <v>722</v>
      </c>
      <c r="D872">
        <v>1449</v>
      </c>
      <c r="E872">
        <v>335</v>
      </c>
      <c r="F872" s="557">
        <v>202</v>
      </c>
      <c r="G872" t="s">
        <v>669</v>
      </c>
      <c r="H872" s="558">
        <v>0.41</v>
      </c>
      <c r="I872" s="557">
        <v>239</v>
      </c>
      <c r="J872" t="s">
        <v>668</v>
      </c>
      <c r="K872" s="558">
        <v>0.11</v>
      </c>
      <c r="L872">
        <v>89</v>
      </c>
    </row>
    <row r="873" spans="2:12">
      <c r="B873" t="s">
        <v>691</v>
      </c>
      <c r="C873" t="s">
        <v>640</v>
      </c>
      <c r="D873">
        <v>1426</v>
      </c>
      <c r="E873">
        <v>887</v>
      </c>
      <c r="F873" s="557">
        <v>202</v>
      </c>
      <c r="G873" t="s">
        <v>653</v>
      </c>
      <c r="H873" s="558">
        <v>0.55000000000000004</v>
      </c>
      <c r="I873" s="557">
        <v>225</v>
      </c>
      <c r="J873" t="s">
        <v>664</v>
      </c>
      <c r="K873" s="558">
        <v>0.26</v>
      </c>
      <c r="L873">
        <v>145</v>
      </c>
    </row>
    <row r="874" spans="2:12">
      <c r="B874" t="s">
        <v>662</v>
      </c>
      <c r="C874" t="s">
        <v>761</v>
      </c>
      <c r="D874">
        <v>1428</v>
      </c>
      <c r="E874">
        <v>3973</v>
      </c>
      <c r="F874" s="557">
        <v>199</v>
      </c>
      <c r="G874" t="s">
        <v>645</v>
      </c>
      <c r="H874" s="558">
        <v>0.4</v>
      </c>
      <c r="I874" s="557">
        <v>229</v>
      </c>
      <c r="J874" t="s">
        <v>652</v>
      </c>
      <c r="K874" s="558">
        <v>0.22</v>
      </c>
      <c r="L874">
        <v>195</v>
      </c>
    </row>
    <row r="875" spans="2:12">
      <c r="B875" t="s">
        <v>687</v>
      </c>
      <c r="C875" t="s">
        <v>729</v>
      </c>
      <c r="D875">
        <v>1500</v>
      </c>
      <c r="E875">
        <v>541</v>
      </c>
      <c r="F875" s="557">
        <v>196</v>
      </c>
      <c r="G875" t="s">
        <v>1459</v>
      </c>
      <c r="H875" s="558">
        <v>0.46</v>
      </c>
      <c r="I875" s="557">
        <v>222</v>
      </c>
      <c r="J875" t="s">
        <v>659</v>
      </c>
      <c r="K875" s="558">
        <v>0.34</v>
      </c>
      <c r="L875">
        <v>126</v>
      </c>
    </row>
    <row r="876" spans="2:12">
      <c r="B876" t="s">
        <v>687</v>
      </c>
      <c r="C876" t="s">
        <v>724</v>
      </c>
      <c r="D876">
        <v>1416</v>
      </c>
      <c r="E876">
        <v>451</v>
      </c>
      <c r="F876" s="557">
        <v>190</v>
      </c>
      <c r="G876" t="s">
        <v>1460</v>
      </c>
      <c r="H876" s="558">
        <v>0.37</v>
      </c>
      <c r="I876" s="557">
        <v>122</v>
      </c>
      <c r="J876" t="s">
        <v>655</v>
      </c>
      <c r="K876" s="558">
        <v>0.37</v>
      </c>
      <c r="L876">
        <v>122</v>
      </c>
    </row>
    <row r="877" spans="2:12">
      <c r="B877" t="s">
        <v>722</v>
      </c>
      <c r="C877" t="s">
        <v>699</v>
      </c>
      <c r="D877">
        <v>1436</v>
      </c>
      <c r="E877">
        <v>865</v>
      </c>
      <c r="F877" s="557">
        <v>179</v>
      </c>
      <c r="G877" t="s">
        <v>1459</v>
      </c>
      <c r="H877" s="558">
        <v>0.34</v>
      </c>
      <c r="I877" s="557">
        <v>192</v>
      </c>
      <c r="J877" t="s">
        <v>668</v>
      </c>
      <c r="K877" s="558">
        <v>0.3</v>
      </c>
      <c r="L877">
        <v>96</v>
      </c>
    </row>
    <row r="878" spans="2:12">
      <c r="B878" t="s">
        <v>679</v>
      </c>
      <c r="C878" t="s">
        <v>711</v>
      </c>
      <c r="D878">
        <v>1444</v>
      </c>
      <c r="E878">
        <v>3461</v>
      </c>
      <c r="F878" s="557">
        <v>167</v>
      </c>
      <c r="G878" t="s">
        <v>645</v>
      </c>
      <c r="H878" s="558">
        <v>0.4</v>
      </c>
      <c r="I878" s="557">
        <v>173</v>
      </c>
      <c r="J878" t="s">
        <v>663</v>
      </c>
      <c r="K878" s="558">
        <v>0.37</v>
      </c>
      <c r="L878">
        <v>161</v>
      </c>
    </row>
    <row r="879" spans="2:12">
      <c r="B879" t="s">
        <v>772</v>
      </c>
      <c r="C879" t="s">
        <v>691</v>
      </c>
      <c r="D879">
        <v>1416</v>
      </c>
      <c r="E879">
        <v>660</v>
      </c>
      <c r="F879" s="557">
        <v>143</v>
      </c>
      <c r="G879" t="s">
        <v>653</v>
      </c>
      <c r="H879" s="558">
        <v>0.59</v>
      </c>
      <c r="I879" s="557">
        <v>172</v>
      </c>
      <c r="J879" t="s">
        <v>664</v>
      </c>
      <c r="K879" s="558">
        <v>0.36</v>
      </c>
      <c r="L879">
        <v>96</v>
      </c>
    </row>
    <row r="880" spans="2:12">
      <c r="B880" s="552" t="s">
        <v>836</v>
      </c>
      <c r="F880" s="557"/>
      <c r="I880" s="557"/>
      <c r="L880">
        <v>220</v>
      </c>
    </row>
    <row r="881" spans="2:12">
      <c r="B881" t="s">
        <v>837</v>
      </c>
      <c r="C881" t="s">
        <v>838</v>
      </c>
      <c r="D881">
        <v>1503</v>
      </c>
      <c r="E881">
        <v>212</v>
      </c>
      <c r="F881" s="557">
        <v>277</v>
      </c>
      <c r="G881" t="s">
        <v>645</v>
      </c>
      <c r="H881" s="558">
        <v>0.34</v>
      </c>
      <c r="I881" s="557">
        <v>283</v>
      </c>
      <c r="J881" t="s">
        <v>663</v>
      </c>
      <c r="K881" s="558">
        <v>0.32</v>
      </c>
    </row>
    <row r="882" spans="2:12">
      <c r="B882" t="s">
        <v>691</v>
      </c>
      <c r="C882" t="s">
        <v>734</v>
      </c>
      <c r="D882">
        <v>1517</v>
      </c>
      <c r="E882">
        <v>321</v>
      </c>
      <c r="F882" s="557">
        <v>269</v>
      </c>
      <c r="G882" t="s">
        <v>653</v>
      </c>
      <c r="H882" s="558">
        <v>0.71</v>
      </c>
      <c r="I882" s="557">
        <v>283</v>
      </c>
      <c r="J882" t="s">
        <v>659</v>
      </c>
      <c r="K882" s="558">
        <v>0.04</v>
      </c>
      <c r="L882">
        <v>115</v>
      </c>
    </row>
    <row r="883" spans="2:12">
      <c r="B883" t="s">
        <v>839</v>
      </c>
      <c r="C883" t="s">
        <v>737</v>
      </c>
      <c r="D883">
        <v>1590</v>
      </c>
      <c r="E883">
        <v>733</v>
      </c>
      <c r="F883" s="557">
        <v>265</v>
      </c>
      <c r="G883" t="s">
        <v>653</v>
      </c>
      <c r="H883" s="558">
        <v>0.79</v>
      </c>
      <c r="I883" s="557">
        <v>293</v>
      </c>
      <c r="J883" t="s">
        <v>668</v>
      </c>
      <c r="K883" s="558">
        <v>0.1</v>
      </c>
      <c r="L883">
        <v>98</v>
      </c>
    </row>
    <row r="884" spans="2:12">
      <c r="B884" t="s">
        <v>840</v>
      </c>
      <c r="C884" t="s">
        <v>662</v>
      </c>
      <c r="D884">
        <v>1562</v>
      </c>
      <c r="E884">
        <v>1517</v>
      </c>
      <c r="F884" s="557">
        <v>262</v>
      </c>
      <c r="G884" t="s">
        <v>645</v>
      </c>
      <c r="H884" s="558">
        <v>0.7</v>
      </c>
      <c r="I884" s="557">
        <v>277</v>
      </c>
      <c r="J884" t="s">
        <v>647</v>
      </c>
      <c r="K884" s="558">
        <v>0.15</v>
      </c>
      <c r="L884">
        <v>204</v>
      </c>
    </row>
    <row r="885" spans="2:12">
      <c r="B885" t="s">
        <v>841</v>
      </c>
      <c r="C885" t="s">
        <v>704</v>
      </c>
      <c r="D885">
        <v>1557</v>
      </c>
      <c r="E885">
        <v>322</v>
      </c>
      <c r="F885" s="557">
        <v>249</v>
      </c>
      <c r="G885" t="s">
        <v>1459</v>
      </c>
      <c r="H885" s="558">
        <v>0.72</v>
      </c>
      <c r="I885" s="557">
        <v>244</v>
      </c>
      <c r="J885" t="s">
        <v>663</v>
      </c>
      <c r="K885" s="558">
        <v>0.72</v>
      </c>
      <c r="L885">
        <v>244</v>
      </c>
    </row>
    <row r="886" spans="2:12">
      <c r="B886" t="s">
        <v>679</v>
      </c>
      <c r="C886" t="s">
        <v>684</v>
      </c>
      <c r="D886">
        <v>1511</v>
      </c>
      <c r="E886">
        <v>178</v>
      </c>
      <c r="F886" s="557">
        <v>237</v>
      </c>
      <c r="G886" t="s">
        <v>645</v>
      </c>
      <c r="H886" s="558">
        <v>0.28000000000000003</v>
      </c>
      <c r="I886" s="557">
        <v>253</v>
      </c>
      <c r="J886" t="s">
        <v>663</v>
      </c>
      <c r="K886" s="558">
        <v>0.28000000000000003</v>
      </c>
      <c r="L886">
        <v>209</v>
      </c>
    </row>
    <row r="887" spans="2:12">
      <c r="B887" t="s">
        <v>691</v>
      </c>
      <c r="C887" t="s">
        <v>752</v>
      </c>
      <c r="D887">
        <v>1589</v>
      </c>
      <c r="E887">
        <v>1307</v>
      </c>
      <c r="F887" s="557">
        <v>237</v>
      </c>
      <c r="G887" t="s">
        <v>653</v>
      </c>
      <c r="H887" s="558">
        <v>0.57999999999999996</v>
      </c>
      <c r="I887" s="557">
        <v>276</v>
      </c>
      <c r="J887" t="s">
        <v>664</v>
      </c>
      <c r="K887" s="558">
        <v>0.3</v>
      </c>
      <c r="L887">
        <v>154</v>
      </c>
    </row>
    <row r="888" spans="2:12">
      <c r="B888" t="s">
        <v>726</v>
      </c>
      <c r="C888" t="s">
        <v>667</v>
      </c>
      <c r="D888">
        <v>1516</v>
      </c>
      <c r="E888">
        <v>200</v>
      </c>
      <c r="F888" s="557">
        <v>234</v>
      </c>
      <c r="G888" t="s">
        <v>645</v>
      </c>
      <c r="H888" s="558">
        <v>0.42</v>
      </c>
      <c r="I888" s="557">
        <v>225</v>
      </c>
      <c r="J888" t="s">
        <v>644</v>
      </c>
      <c r="K888" s="558">
        <v>0.42</v>
      </c>
      <c r="L888">
        <v>225</v>
      </c>
    </row>
    <row r="890" spans="2:12">
      <c r="B890" s="552" t="s">
        <v>836</v>
      </c>
    </row>
    <row r="891" spans="2:12">
      <c r="B891" t="s">
        <v>722</v>
      </c>
      <c r="C891" t="s">
        <v>759</v>
      </c>
      <c r="D891" s="555">
        <v>1553</v>
      </c>
      <c r="E891">
        <v>336</v>
      </c>
      <c r="F891" s="553">
        <v>219</v>
      </c>
      <c r="G891" t="s">
        <v>669</v>
      </c>
      <c r="H891" s="554">
        <v>0.37</v>
      </c>
      <c r="I891" s="553">
        <v>254</v>
      </c>
      <c r="J891" t="s">
        <v>668</v>
      </c>
      <c r="K891" s="554">
        <v>0.2</v>
      </c>
      <c r="L891" s="553">
        <v>105</v>
      </c>
    </row>
    <row r="892" spans="2:12">
      <c r="B892" t="s">
        <v>661</v>
      </c>
      <c r="C892" t="s">
        <v>761</v>
      </c>
      <c r="D892" s="555">
        <v>1559</v>
      </c>
      <c r="E892" s="555">
        <v>2078</v>
      </c>
      <c r="F892" s="553">
        <v>219</v>
      </c>
      <c r="G892" t="s">
        <v>669</v>
      </c>
      <c r="H892" s="554">
        <v>0.27</v>
      </c>
      <c r="I892" s="553">
        <v>220</v>
      </c>
      <c r="J892" t="s">
        <v>647</v>
      </c>
      <c r="K892" s="554">
        <v>0.18</v>
      </c>
      <c r="L892" s="553">
        <v>213</v>
      </c>
    </row>
    <row r="893" spans="2:12">
      <c r="B893" t="s">
        <v>687</v>
      </c>
      <c r="C893" t="s">
        <v>681</v>
      </c>
      <c r="D893" s="555">
        <v>1587</v>
      </c>
      <c r="E893">
        <v>762</v>
      </c>
      <c r="F893" s="553">
        <v>214</v>
      </c>
      <c r="G893" t="s">
        <v>1459</v>
      </c>
      <c r="H893" s="554">
        <v>0.65</v>
      </c>
      <c r="I893" s="553">
        <v>233</v>
      </c>
      <c r="J893" t="s">
        <v>659</v>
      </c>
      <c r="K893" s="554">
        <v>0.14000000000000001</v>
      </c>
      <c r="L893" s="553">
        <v>103</v>
      </c>
    </row>
    <row r="894" spans="2:12">
      <c r="B894" t="s">
        <v>722</v>
      </c>
      <c r="C894" t="s">
        <v>695</v>
      </c>
      <c r="D894" s="555">
        <v>1558</v>
      </c>
      <c r="E894" s="555">
        <v>1683</v>
      </c>
      <c r="F894" s="553">
        <v>210</v>
      </c>
      <c r="G894" t="s">
        <v>645</v>
      </c>
      <c r="H894" s="554">
        <v>0.33</v>
      </c>
      <c r="I894" s="553">
        <v>228</v>
      </c>
      <c r="J894" t="s">
        <v>668</v>
      </c>
      <c r="K894" s="554">
        <v>0.17</v>
      </c>
      <c r="L894" s="553">
        <v>107</v>
      </c>
    </row>
    <row r="895" spans="2:12">
      <c r="B895" t="s">
        <v>691</v>
      </c>
      <c r="C895" t="s">
        <v>710</v>
      </c>
      <c r="D895" s="555">
        <v>1532</v>
      </c>
      <c r="E895">
        <v>853</v>
      </c>
      <c r="F895" s="553">
        <v>208</v>
      </c>
      <c r="G895" t="s">
        <v>653</v>
      </c>
      <c r="H895" s="554">
        <v>0.72</v>
      </c>
      <c r="I895" s="553">
        <v>226</v>
      </c>
      <c r="J895" t="s">
        <v>664</v>
      </c>
      <c r="K895" s="554">
        <v>0.2</v>
      </c>
      <c r="L895" s="553">
        <v>144</v>
      </c>
    </row>
    <row r="896" spans="2:12">
      <c r="B896" t="s">
        <v>661</v>
      </c>
      <c r="C896" t="s">
        <v>752</v>
      </c>
      <c r="D896" s="555">
        <v>1504</v>
      </c>
      <c r="E896" s="555">
        <v>1538</v>
      </c>
      <c r="F896" s="553">
        <v>207</v>
      </c>
      <c r="G896" t="s">
        <v>1459</v>
      </c>
      <c r="H896" s="554">
        <v>0.32</v>
      </c>
      <c r="I896" s="553">
        <v>189</v>
      </c>
      <c r="J896" t="s">
        <v>663</v>
      </c>
      <c r="K896" s="554">
        <v>0.32</v>
      </c>
      <c r="L896" s="553">
        <v>189</v>
      </c>
    </row>
    <row r="897" spans="2:12">
      <c r="B897" t="s">
        <v>754</v>
      </c>
      <c r="C897" t="s">
        <v>711</v>
      </c>
      <c r="D897" s="555">
        <v>1587</v>
      </c>
      <c r="E897" s="555">
        <v>1098</v>
      </c>
      <c r="F897" s="553">
        <v>204</v>
      </c>
      <c r="G897" t="s">
        <v>653</v>
      </c>
      <c r="H897" s="554">
        <v>0.55000000000000004</v>
      </c>
      <c r="I897" s="553">
        <v>230</v>
      </c>
      <c r="J897" t="s">
        <v>644</v>
      </c>
      <c r="K897" s="554">
        <v>0.19</v>
      </c>
      <c r="L897" s="553">
        <v>172</v>
      </c>
    </row>
    <row r="898" spans="2:12">
      <c r="B898" t="s">
        <v>746</v>
      </c>
      <c r="C898" t="s">
        <v>641</v>
      </c>
      <c r="D898" s="555">
        <v>1519</v>
      </c>
      <c r="E898">
        <v>277</v>
      </c>
      <c r="F898" s="553">
        <v>200</v>
      </c>
      <c r="G898" t="s">
        <v>639</v>
      </c>
      <c r="H898" s="554">
        <v>0.65</v>
      </c>
      <c r="I898" s="553">
        <v>204</v>
      </c>
      <c r="J898" t="s">
        <v>663</v>
      </c>
      <c r="K898" s="554">
        <v>0.11</v>
      </c>
      <c r="L898" s="553">
        <v>184</v>
      </c>
    </row>
    <row r="899" spans="2:12">
      <c r="B899" t="s">
        <v>756</v>
      </c>
      <c r="C899" t="s">
        <v>704</v>
      </c>
      <c r="D899" s="555">
        <v>1592</v>
      </c>
      <c r="E899" s="555">
        <v>1064</v>
      </c>
      <c r="F899" s="553">
        <v>192</v>
      </c>
      <c r="G899" t="s">
        <v>1459</v>
      </c>
      <c r="H899" s="554">
        <v>0.54</v>
      </c>
      <c r="I899" s="553">
        <v>191</v>
      </c>
      <c r="J899" t="s">
        <v>663</v>
      </c>
      <c r="K899" s="554">
        <v>0.54</v>
      </c>
      <c r="L899" s="553">
        <v>191</v>
      </c>
    </row>
    <row r="900" spans="2:12">
      <c r="B900" t="s">
        <v>687</v>
      </c>
      <c r="C900" t="s">
        <v>690</v>
      </c>
      <c r="D900" s="555">
        <v>1524</v>
      </c>
      <c r="E900">
        <v>628</v>
      </c>
      <c r="F900" s="553">
        <v>190</v>
      </c>
      <c r="G900" t="s">
        <v>1459</v>
      </c>
      <c r="H900" s="554">
        <v>0.63</v>
      </c>
      <c r="I900" s="553">
        <v>215</v>
      </c>
      <c r="J900" t="s">
        <v>668</v>
      </c>
      <c r="K900" s="554">
        <v>0.1</v>
      </c>
      <c r="L900" s="553">
        <v>93</v>
      </c>
    </row>
    <row r="901" spans="2:12">
      <c r="B901" t="s">
        <v>742</v>
      </c>
      <c r="C901" t="s">
        <v>711</v>
      </c>
      <c r="D901" s="555">
        <v>1574</v>
      </c>
      <c r="E901">
        <v>283</v>
      </c>
      <c r="F901" s="553">
        <v>187</v>
      </c>
      <c r="G901" t="s">
        <v>1460</v>
      </c>
      <c r="H901" s="554">
        <v>0.46</v>
      </c>
      <c r="I901" s="553">
        <v>115</v>
      </c>
      <c r="J901" t="s">
        <v>655</v>
      </c>
      <c r="K901" s="554">
        <v>0.46</v>
      </c>
      <c r="L901" s="553">
        <v>115</v>
      </c>
    </row>
    <row r="902" spans="2:12">
      <c r="B902" t="s">
        <v>756</v>
      </c>
      <c r="C902" t="s">
        <v>691</v>
      </c>
      <c r="D902" s="555">
        <v>1535</v>
      </c>
      <c r="E902" s="555">
        <v>2116</v>
      </c>
      <c r="F902" s="553">
        <v>187</v>
      </c>
      <c r="G902" t="s">
        <v>653</v>
      </c>
      <c r="H902" s="554">
        <v>0.51</v>
      </c>
      <c r="I902" s="553">
        <v>233</v>
      </c>
      <c r="J902" t="s">
        <v>664</v>
      </c>
      <c r="K902" s="554">
        <v>0.33</v>
      </c>
      <c r="L902" s="553">
        <v>119</v>
      </c>
    </row>
    <row r="903" spans="2:12">
      <c r="B903" t="s">
        <v>703</v>
      </c>
      <c r="C903" t="s">
        <v>711</v>
      </c>
      <c r="D903" s="555">
        <v>1569</v>
      </c>
      <c r="E903">
        <v>355</v>
      </c>
      <c r="F903" s="553">
        <v>183</v>
      </c>
      <c r="G903" t="s">
        <v>645</v>
      </c>
      <c r="H903" s="554">
        <v>0.34</v>
      </c>
      <c r="I903" s="553">
        <v>187</v>
      </c>
      <c r="J903" t="s">
        <v>655</v>
      </c>
      <c r="K903" s="554">
        <v>0.24</v>
      </c>
      <c r="L903" s="553">
        <v>101</v>
      </c>
    </row>
    <row r="904" spans="2:12">
      <c r="B904" t="s">
        <v>743</v>
      </c>
      <c r="C904" t="s">
        <v>687</v>
      </c>
      <c r="D904" s="555">
        <v>1590</v>
      </c>
      <c r="E904">
        <v>774</v>
      </c>
      <c r="F904" s="553">
        <v>179</v>
      </c>
      <c r="G904" t="s">
        <v>1459</v>
      </c>
      <c r="H904" s="554">
        <v>0.49</v>
      </c>
      <c r="I904" s="553">
        <v>221</v>
      </c>
      <c r="J904" t="s">
        <v>668</v>
      </c>
      <c r="K904" s="554">
        <v>0.21</v>
      </c>
      <c r="L904" s="553">
        <v>106</v>
      </c>
    </row>
    <row r="905" spans="2:12">
      <c r="B905" t="s">
        <v>679</v>
      </c>
      <c r="C905" t="s">
        <v>687</v>
      </c>
      <c r="D905" s="555">
        <v>1521</v>
      </c>
      <c r="E905" s="555">
        <v>3966</v>
      </c>
      <c r="F905" s="553">
        <v>177</v>
      </c>
      <c r="G905" t="s">
        <v>1459</v>
      </c>
      <c r="H905" s="554">
        <v>0.36</v>
      </c>
      <c r="I905" s="553">
        <v>179</v>
      </c>
      <c r="J905" t="s">
        <v>659</v>
      </c>
      <c r="K905" s="554">
        <v>0.12</v>
      </c>
      <c r="L905" s="553">
        <v>105</v>
      </c>
    </row>
    <row r="906" spans="2:12">
      <c r="B906" t="s">
        <v>722</v>
      </c>
      <c r="C906" t="s">
        <v>753</v>
      </c>
      <c r="D906" s="555">
        <v>1506</v>
      </c>
      <c r="E906" s="555">
        <v>1188</v>
      </c>
      <c r="F906" s="553">
        <v>169</v>
      </c>
      <c r="G906" t="s">
        <v>1459</v>
      </c>
      <c r="H906" s="554">
        <v>0.48</v>
      </c>
      <c r="I906" s="553">
        <v>164</v>
      </c>
      <c r="J906" t="s">
        <v>668</v>
      </c>
      <c r="K906" s="554">
        <v>0.12</v>
      </c>
      <c r="L906" s="553">
        <v>83</v>
      </c>
    </row>
    <row r="907" spans="2:12">
      <c r="B907" t="s">
        <v>722</v>
      </c>
      <c r="C907" t="s">
        <v>667</v>
      </c>
      <c r="D907" s="555">
        <v>1546</v>
      </c>
      <c r="E907" s="555">
        <v>1927</v>
      </c>
      <c r="F907" s="553">
        <v>161</v>
      </c>
      <c r="G907" t="s">
        <v>1459</v>
      </c>
      <c r="H907" s="554">
        <v>0.39</v>
      </c>
      <c r="I907" s="553">
        <v>165</v>
      </c>
      <c r="J907" t="s">
        <v>668</v>
      </c>
      <c r="K907" s="554">
        <v>0.2</v>
      </c>
      <c r="L907" s="553">
        <v>92</v>
      </c>
    </row>
    <row r="908" spans="2:12">
      <c r="B908" t="s">
        <v>842</v>
      </c>
      <c r="C908" t="s">
        <v>691</v>
      </c>
      <c r="D908" s="555">
        <v>1501</v>
      </c>
      <c r="E908">
        <v>796</v>
      </c>
      <c r="F908" s="553">
        <v>139</v>
      </c>
      <c r="G908" t="s">
        <v>653</v>
      </c>
      <c r="H908" s="554">
        <v>0.83</v>
      </c>
      <c r="I908" s="553">
        <v>139</v>
      </c>
      <c r="J908" t="s">
        <v>659</v>
      </c>
      <c r="K908" s="554">
        <v>0.04</v>
      </c>
      <c r="L908" s="553">
        <v>80</v>
      </c>
    </row>
    <row r="909" spans="2:12">
      <c r="D909" s="555"/>
      <c r="F909" s="553"/>
      <c r="H909" s="554"/>
      <c r="I909" s="553"/>
      <c r="K909" s="554"/>
      <c r="L909" s="553"/>
    </row>
    <row r="910" spans="2:12">
      <c r="B910" s="552" t="s">
        <v>843</v>
      </c>
    </row>
    <row r="911" spans="2:12">
      <c r="B911" t="s">
        <v>761</v>
      </c>
      <c r="C911" t="s">
        <v>676</v>
      </c>
      <c r="D911" s="555">
        <v>1624</v>
      </c>
      <c r="E911">
        <v>539</v>
      </c>
      <c r="F911" s="553">
        <v>311</v>
      </c>
      <c r="G911" t="s">
        <v>645</v>
      </c>
      <c r="H911" s="554">
        <v>0.43</v>
      </c>
      <c r="I911" s="553">
        <v>292</v>
      </c>
      <c r="J911" t="s">
        <v>663</v>
      </c>
      <c r="K911" s="554">
        <v>0.13</v>
      </c>
      <c r="L911" s="553">
        <v>257</v>
      </c>
    </row>
    <row r="912" spans="2:12">
      <c r="B912" t="s">
        <v>716</v>
      </c>
      <c r="C912" t="s">
        <v>835</v>
      </c>
      <c r="D912" s="555">
        <v>1670</v>
      </c>
      <c r="E912">
        <v>370</v>
      </c>
      <c r="F912" s="553">
        <v>284</v>
      </c>
      <c r="G912" t="s">
        <v>1459</v>
      </c>
      <c r="H912" s="554">
        <v>0.46</v>
      </c>
      <c r="I912" s="553">
        <v>247</v>
      </c>
      <c r="J912" t="s">
        <v>663</v>
      </c>
      <c r="K912" s="554">
        <v>0.46</v>
      </c>
      <c r="L912" s="553">
        <v>247</v>
      </c>
    </row>
    <row r="913" spans="2:12">
      <c r="B913" t="s">
        <v>758</v>
      </c>
      <c r="C913" t="s">
        <v>678</v>
      </c>
      <c r="D913" s="555">
        <v>1609</v>
      </c>
      <c r="E913" s="555">
        <v>1044</v>
      </c>
      <c r="F913" s="553">
        <v>271</v>
      </c>
      <c r="G913" t="s">
        <v>669</v>
      </c>
      <c r="H913" s="554">
        <v>0.59</v>
      </c>
      <c r="I913" s="553">
        <v>290</v>
      </c>
      <c r="J913" t="s">
        <v>647</v>
      </c>
      <c r="K913" s="554">
        <v>0.13</v>
      </c>
      <c r="L913" s="553">
        <v>225</v>
      </c>
    </row>
    <row r="914" spans="2:12">
      <c r="B914" t="s">
        <v>766</v>
      </c>
      <c r="C914" t="s">
        <v>687</v>
      </c>
      <c r="D914" s="555">
        <v>1618</v>
      </c>
      <c r="E914">
        <v>190</v>
      </c>
      <c r="F914" s="553">
        <v>270</v>
      </c>
      <c r="G914" t="s">
        <v>1459</v>
      </c>
      <c r="H914" s="554">
        <v>0.66</v>
      </c>
      <c r="I914" s="553">
        <v>242</v>
      </c>
      <c r="J914" t="s">
        <v>663</v>
      </c>
      <c r="K914" s="554">
        <v>0.66</v>
      </c>
      <c r="L914" s="553">
        <v>242</v>
      </c>
    </row>
    <row r="915" spans="2:12">
      <c r="B915" t="s">
        <v>722</v>
      </c>
      <c r="C915" t="s">
        <v>761</v>
      </c>
      <c r="D915" s="555">
        <v>1659</v>
      </c>
      <c r="E915" s="555">
        <v>3625</v>
      </c>
      <c r="F915" s="553">
        <v>265</v>
      </c>
      <c r="G915" t="s">
        <v>669</v>
      </c>
      <c r="H915" s="554">
        <v>0.46</v>
      </c>
      <c r="I915" s="553">
        <v>296</v>
      </c>
      <c r="J915" t="s">
        <v>647</v>
      </c>
      <c r="K915" s="554">
        <v>0.22</v>
      </c>
      <c r="L915" s="553">
        <v>233</v>
      </c>
    </row>
    <row r="916" spans="2:12">
      <c r="B916" t="s">
        <v>734</v>
      </c>
      <c r="C916" t="s">
        <v>704</v>
      </c>
      <c r="D916" s="555">
        <v>1679</v>
      </c>
      <c r="E916">
        <v>194</v>
      </c>
      <c r="F916" s="553">
        <v>260</v>
      </c>
      <c r="G916" t="s">
        <v>1459</v>
      </c>
      <c r="H916" s="554">
        <v>0.75</v>
      </c>
      <c r="I916" s="553">
        <v>252</v>
      </c>
      <c r="J916" t="s">
        <v>659</v>
      </c>
      <c r="K916" s="554">
        <v>0.01</v>
      </c>
      <c r="L916" s="553">
        <v>110</v>
      </c>
    </row>
    <row r="917" spans="2:12">
      <c r="B917" t="s">
        <v>678</v>
      </c>
      <c r="C917" t="s">
        <v>734</v>
      </c>
      <c r="D917" s="555">
        <v>1624</v>
      </c>
      <c r="E917">
        <v>388</v>
      </c>
      <c r="F917" s="553">
        <v>259</v>
      </c>
      <c r="G917" t="s">
        <v>669</v>
      </c>
      <c r="H917" s="554">
        <v>0.5</v>
      </c>
      <c r="I917" s="553">
        <v>283</v>
      </c>
      <c r="J917" t="s">
        <v>663</v>
      </c>
      <c r="K917" s="554">
        <v>0.39</v>
      </c>
      <c r="L917" s="553">
        <v>241</v>
      </c>
    </row>
    <row r="918" spans="2:12">
      <c r="B918" t="s">
        <v>679</v>
      </c>
      <c r="C918" t="s">
        <v>728</v>
      </c>
      <c r="D918" s="555">
        <v>1680</v>
      </c>
      <c r="E918">
        <v>291</v>
      </c>
      <c r="F918" s="553">
        <v>254</v>
      </c>
      <c r="G918" t="s">
        <v>645</v>
      </c>
      <c r="H918" s="554">
        <v>0.55000000000000004</v>
      </c>
      <c r="I918" s="553">
        <v>246</v>
      </c>
      <c r="J918" t="s">
        <v>663</v>
      </c>
      <c r="K918" s="554">
        <v>0.27</v>
      </c>
      <c r="L918" s="553">
        <v>239</v>
      </c>
    </row>
    <row r="919" spans="2:12">
      <c r="B919" t="s">
        <v>680</v>
      </c>
      <c r="C919" t="s">
        <v>711</v>
      </c>
      <c r="D919" s="555">
        <v>1671</v>
      </c>
      <c r="E919" s="555">
        <v>1018</v>
      </c>
      <c r="F919" s="553">
        <v>254</v>
      </c>
      <c r="G919" t="s">
        <v>653</v>
      </c>
      <c r="H919" s="554">
        <v>0.71</v>
      </c>
      <c r="I919" s="553">
        <v>265</v>
      </c>
      <c r="J919" t="s">
        <v>644</v>
      </c>
      <c r="K919" s="554">
        <v>0.16</v>
      </c>
      <c r="L919" s="553">
        <v>243</v>
      </c>
    </row>
    <row r="920" spans="2:12">
      <c r="B920" t="s">
        <v>678</v>
      </c>
      <c r="C920" t="s">
        <v>752</v>
      </c>
      <c r="D920" s="555">
        <v>1649</v>
      </c>
      <c r="E920" s="555">
        <v>1446</v>
      </c>
      <c r="F920" s="553">
        <v>249</v>
      </c>
      <c r="G920" t="s">
        <v>669</v>
      </c>
      <c r="H920" s="554">
        <v>0.54</v>
      </c>
      <c r="I920" s="553">
        <v>282</v>
      </c>
      <c r="J920" t="s">
        <v>663</v>
      </c>
      <c r="K920" s="554">
        <v>0.37</v>
      </c>
      <c r="L920" s="553">
        <v>215</v>
      </c>
    </row>
    <row r="921" spans="2:12">
      <c r="B921" t="s">
        <v>700</v>
      </c>
      <c r="C921" t="s">
        <v>711</v>
      </c>
      <c r="D921" s="555">
        <v>1670</v>
      </c>
      <c r="E921">
        <v>418</v>
      </c>
      <c r="F921" s="553">
        <v>249</v>
      </c>
      <c r="G921" t="s">
        <v>645</v>
      </c>
      <c r="H921" s="554">
        <v>0.49</v>
      </c>
      <c r="I921" s="553">
        <v>260</v>
      </c>
      <c r="J921" t="s">
        <v>663</v>
      </c>
      <c r="K921" s="554">
        <v>0.41</v>
      </c>
      <c r="L921" s="553">
        <v>230</v>
      </c>
    </row>
    <row r="922" spans="2:12">
      <c r="B922" t="s">
        <v>722</v>
      </c>
      <c r="C922" t="s">
        <v>718</v>
      </c>
      <c r="D922" s="555">
        <v>1671</v>
      </c>
      <c r="E922">
        <v>485</v>
      </c>
      <c r="F922" s="553">
        <v>245</v>
      </c>
      <c r="G922" t="s">
        <v>669</v>
      </c>
      <c r="H922" s="554">
        <v>0.34</v>
      </c>
      <c r="I922" s="553">
        <v>303</v>
      </c>
      <c r="J922" t="s">
        <v>668</v>
      </c>
      <c r="K922" s="554">
        <v>0.19</v>
      </c>
      <c r="L922" s="553">
        <v>125</v>
      </c>
    </row>
    <row r="923" spans="2:12">
      <c r="B923" t="s">
        <v>690</v>
      </c>
      <c r="C923" t="s">
        <v>641</v>
      </c>
      <c r="D923" s="555">
        <v>1694</v>
      </c>
      <c r="E923">
        <v>308</v>
      </c>
      <c r="F923" s="553">
        <v>244</v>
      </c>
      <c r="G923" t="s">
        <v>639</v>
      </c>
      <c r="H923" s="554">
        <v>0.67</v>
      </c>
      <c r="I923" s="553">
        <v>245</v>
      </c>
      <c r="J923" t="s">
        <v>638</v>
      </c>
      <c r="K923" s="554">
        <v>0.67</v>
      </c>
      <c r="L923" s="553">
        <v>245</v>
      </c>
    </row>
    <row r="924" spans="2:12">
      <c r="B924" t="s">
        <v>741</v>
      </c>
      <c r="C924" t="s">
        <v>722</v>
      </c>
      <c r="D924" s="555">
        <v>1639</v>
      </c>
      <c r="E924">
        <v>187</v>
      </c>
      <c r="F924" s="553">
        <v>240</v>
      </c>
      <c r="G924" t="s">
        <v>668</v>
      </c>
      <c r="H924" s="554">
        <v>0.43</v>
      </c>
      <c r="I924" s="553">
        <v>147</v>
      </c>
      <c r="J924" t="s">
        <v>668</v>
      </c>
      <c r="K924" s="554">
        <v>0.43</v>
      </c>
      <c r="L924" s="553">
        <v>147</v>
      </c>
    </row>
    <row r="925" spans="2:12">
      <c r="B925" t="s">
        <v>661</v>
      </c>
      <c r="C925" t="s">
        <v>758</v>
      </c>
      <c r="D925" s="555">
        <v>1698</v>
      </c>
      <c r="E925">
        <v>921</v>
      </c>
      <c r="F925" s="553">
        <v>238</v>
      </c>
      <c r="G925" t="s">
        <v>645</v>
      </c>
      <c r="H925" s="554">
        <v>0.34</v>
      </c>
      <c r="I925" s="553">
        <v>237</v>
      </c>
      <c r="J925" t="s">
        <v>647</v>
      </c>
      <c r="K925" s="554">
        <v>0.27</v>
      </c>
      <c r="L925" s="553">
        <v>233</v>
      </c>
    </row>
    <row r="926" spans="2:12">
      <c r="B926" t="s">
        <v>662</v>
      </c>
      <c r="C926" t="s">
        <v>640</v>
      </c>
      <c r="D926" s="555">
        <v>1626</v>
      </c>
      <c r="E926">
        <v>790</v>
      </c>
      <c r="F926" s="553">
        <v>225</v>
      </c>
      <c r="G926" t="s">
        <v>645</v>
      </c>
      <c r="H926" s="554">
        <v>0.43</v>
      </c>
      <c r="I926" s="553">
        <v>249</v>
      </c>
      <c r="J926" t="s">
        <v>638</v>
      </c>
      <c r="K926" s="554">
        <v>0.35</v>
      </c>
      <c r="L926" s="553">
        <v>199</v>
      </c>
    </row>
    <row r="927" spans="2:12">
      <c r="B927" t="s">
        <v>714</v>
      </c>
      <c r="C927" t="s">
        <v>722</v>
      </c>
      <c r="D927" s="555">
        <v>1610</v>
      </c>
      <c r="E927">
        <v>321</v>
      </c>
      <c r="F927" s="553">
        <v>223</v>
      </c>
      <c r="G927" t="s">
        <v>1459</v>
      </c>
      <c r="H927" s="554">
        <v>0.49</v>
      </c>
      <c r="I927" s="553">
        <v>259</v>
      </c>
      <c r="J927" t="s">
        <v>668</v>
      </c>
      <c r="K927" s="554">
        <v>0.33</v>
      </c>
      <c r="L927" s="553">
        <v>120</v>
      </c>
    </row>
    <row r="928" spans="2:12">
      <c r="B928" t="s">
        <v>756</v>
      </c>
      <c r="C928" t="s">
        <v>724</v>
      </c>
      <c r="D928" s="555">
        <v>1619</v>
      </c>
      <c r="E928">
        <v>535</v>
      </c>
      <c r="F928" s="553">
        <v>218</v>
      </c>
      <c r="G928" t="s">
        <v>1460</v>
      </c>
      <c r="H928" s="554">
        <v>0.33</v>
      </c>
      <c r="I928" s="553">
        <v>105</v>
      </c>
      <c r="J928" t="s">
        <v>655</v>
      </c>
      <c r="K928" s="554">
        <v>0.33</v>
      </c>
      <c r="L928" s="553">
        <v>105</v>
      </c>
    </row>
    <row r="929" spans="2:12">
      <c r="B929" t="s">
        <v>756</v>
      </c>
      <c r="C929" t="s">
        <v>729</v>
      </c>
      <c r="D929" s="555">
        <v>1670</v>
      </c>
      <c r="E929">
        <v>930</v>
      </c>
      <c r="F929" s="553">
        <v>217</v>
      </c>
      <c r="G929" t="s">
        <v>653</v>
      </c>
      <c r="H929" s="554">
        <v>0.4</v>
      </c>
      <c r="I929" s="553">
        <v>247</v>
      </c>
      <c r="J929" t="s">
        <v>659</v>
      </c>
      <c r="K929" s="554">
        <v>0.13</v>
      </c>
      <c r="L929" s="553">
        <v>119</v>
      </c>
    </row>
    <row r="931" spans="2:12">
      <c r="B931" s="552" t="s">
        <v>844</v>
      </c>
    </row>
    <row r="932" spans="2:12">
      <c r="B932" t="s">
        <v>662</v>
      </c>
      <c r="C932" t="s">
        <v>641</v>
      </c>
      <c r="D932" s="555">
        <v>1670</v>
      </c>
      <c r="E932" s="555">
        <v>1738</v>
      </c>
      <c r="F932" s="553">
        <v>210</v>
      </c>
      <c r="G932" t="s">
        <v>639</v>
      </c>
      <c r="H932" s="554">
        <v>0.49</v>
      </c>
      <c r="I932" s="553">
        <v>200</v>
      </c>
      <c r="J932" t="s">
        <v>638</v>
      </c>
      <c r="K932" s="554">
        <v>0.49</v>
      </c>
      <c r="L932" s="553">
        <v>200</v>
      </c>
    </row>
    <row r="933" spans="2:12">
      <c r="B933" t="s">
        <v>687</v>
      </c>
      <c r="C933" t="s">
        <v>706</v>
      </c>
      <c r="D933" s="555">
        <v>1624</v>
      </c>
      <c r="E933">
        <v>371</v>
      </c>
      <c r="F933" s="553">
        <v>188</v>
      </c>
      <c r="G933" t="s">
        <v>1459</v>
      </c>
      <c r="H933" s="554">
        <v>0.44</v>
      </c>
      <c r="I933" s="553">
        <v>228</v>
      </c>
      <c r="J933" t="s">
        <v>659</v>
      </c>
      <c r="K933" s="554">
        <v>0.24</v>
      </c>
      <c r="L933" s="553">
        <v>91</v>
      </c>
    </row>
    <row r="934" spans="2:12">
      <c r="B934" t="s">
        <v>722</v>
      </c>
      <c r="C934" t="s">
        <v>772</v>
      </c>
      <c r="D934" s="555">
        <v>1607</v>
      </c>
      <c r="E934">
        <v>422</v>
      </c>
      <c r="F934" s="553">
        <v>180</v>
      </c>
      <c r="G934" t="s">
        <v>669</v>
      </c>
      <c r="H934" s="554">
        <v>0.41</v>
      </c>
      <c r="I934" s="553">
        <v>221</v>
      </c>
      <c r="J934" t="s">
        <v>668</v>
      </c>
      <c r="K934" s="554">
        <v>0.18</v>
      </c>
      <c r="L934" s="553">
        <v>73</v>
      </c>
    </row>
    <row r="935" spans="2:12">
      <c r="B935" t="s">
        <v>742</v>
      </c>
      <c r="C935" t="s">
        <v>687</v>
      </c>
      <c r="D935" s="555">
        <v>1642</v>
      </c>
      <c r="E935">
        <v>314</v>
      </c>
      <c r="F935" s="553">
        <v>174</v>
      </c>
      <c r="G935" t="s">
        <v>1460</v>
      </c>
      <c r="H935" s="554">
        <v>0.52</v>
      </c>
      <c r="I935" s="553">
        <v>120</v>
      </c>
      <c r="J935" t="s">
        <v>655</v>
      </c>
      <c r="K935" s="554">
        <v>0.52</v>
      </c>
      <c r="L935" s="553">
        <v>120</v>
      </c>
    </row>
    <row r="936" spans="2:12">
      <c r="B936" t="s">
        <v>703</v>
      </c>
      <c r="C936" t="s">
        <v>687</v>
      </c>
      <c r="D936" s="555">
        <v>1678</v>
      </c>
      <c r="E936">
        <v>708</v>
      </c>
      <c r="F936" s="553">
        <v>167</v>
      </c>
      <c r="G936" t="s">
        <v>653</v>
      </c>
      <c r="H936" s="554">
        <v>0.4</v>
      </c>
      <c r="I936" s="553">
        <v>220</v>
      </c>
      <c r="J936" t="s">
        <v>668</v>
      </c>
      <c r="K936" s="554">
        <v>0.26</v>
      </c>
      <c r="L936" s="553">
        <v>97</v>
      </c>
    </row>
    <row r="937" spans="2:12">
      <c r="D937" s="555"/>
      <c r="F937" s="553"/>
      <c r="H937" s="554"/>
      <c r="I937" s="553"/>
      <c r="K937" s="554"/>
      <c r="L937" s="553"/>
    </row>
    <row r="938" spans="2:12">
      <c r="B938" s="552" t="s">
        <v>845</v>
      </c>
    </row>
    <row r="939" spans="2:12">
      <c r="B939" t="s">
        <v>726</v>
      </c>
      <c r="C939" t="s">
        <v>702</v>
      </c>
      <c r="D939" s="555">
        <v>1741</v>
      </c>
      <c r="E939">
        <v>212</v>
      </c>
      <c r="F939" s="553">
        <v>300</v>
      </c>
      <c r="G939" t="s">
        <v>645</v>
      </c>
      <c r="H939" s="554">
        <v>0.43</v>
      </c>
      <c r="I939" s="553">
        <v>285</v>
      </c>
      <c r="J939" t="s">
        <v>663</v>
      </c>
      <c r="K939" s="554">
        <v>0.3</v>
      </c>
      <c r="L939" s="553">
        <v>267</v>
      </c>
    </row>
    <row r="940" spans="2:12">
      <c r="B940" t="s">
        <v>722</v>
      </c>
      <c r="C940" t="s">
        <v>696</v>
      </c>
      <c r="D940" s="555">
        <v>1782</v>
      </c>
      <c r="E940">
        <v>248</v>
      </c>
      <c r="F940" s="553">
        <v>288</v>
      </c>
      <c r="G940" t="s">
        <v>669</v>
      </c>
      <c r="H940" s="554">
        <v>0.6</v>
      </c>
      <c r="I940" s="553">
        <v>296</v>
      </c>
      <c r="J940" t="s">
        <v>644</v>
      </c>
      <c r="K940" s="554">
        <v>0.15</v>
      </c>
      <c r="L940" s="553">
        <v>277</v>
      </c>
    </row>
    <row r="941" spans="2:12">
      <c r="B941" t="s">
        <v>649</v>
      </c>
      <c r="C941" t="s">
        <v>722</v>
      </c>
      <c r="D941" s="555">
        <v>1754</v>
      </c>
      <c r="E941" s="555">
        <v>2134</v>
      </c>
      <c r="F941" s="553">
        <v>275</v>
      </c>
      <c r="G941" t="s">
        <v>669</v>
      </c>
      <c r="H941" s="554">
        <v>0.44</v>
      </c>
      <c r="I941" s="553">
        <v>300</v>
      </c>
      <c r="J941" t="s">
        <v>663</v>
      </c>
      <c r="K941" s="554">
        <v>0.24</v>
      </c>
      <c r="L941" s="553">
        <v>243</v>
      </c>
    </row>
    <row r="942" spans="2:12">
      <c r="B942" t="s">
        <v>743</v>
      </c>
      <c r="C942" t="s">
        <v>710</v>
      </c>
      <c r="D942" s="555">
        <v>1782</v>
      </c>
      <c r="E942">
        <v>226</v>
      </c>
      <c r="F942" s="553">
        <v>271</v>
      </c>
      <c r="G942" t="s">
        <v>1459</v>
      </c>
      <c r="H942" s="554">
        <v>0.37</v>
      </c>
      <c r="I942" s="553">
        <v>254</v>
      </c>
      <c r="J942" t="s">
        <v>663</v>
      </c>
      <c r="K942" s="554">
        <v>0.37</v>
      </c>
      <c r="L942" s="553">
        <v>254</v>
      </c>
    </row>
    <row r="943" spans="2:12">
      <c r="B943" t="s">
        <v>679</v>
      </c>
      <c r="C943" t="s">
        <v>734</v>
      </c>
      <c r="D943" s="555">
        <v>1790</v>
      </c>
      <c r="E943">
        <v>645</v>
      </c>
      <c r="F943" s="553">
        <v>264</v>
      </c>
      <c r="G943" t="s">
        <v>669</v>
      </c>
      <c r="H943" s="554">
        <v>0.47</v>
      </c>
      <c r="I943" s="553">
        <v>280</v>
      </c>
      <c r="J943" t="s">
        <v>644</v>
      </c>
      <c r="K943" s="554">
        <v>0.17</v>
      </c>
      <c r="L943" s="553">
        <v>253</v>
      </c>
    </row>
    <row r="944" spans="2:12">
      <c r="B944" t="s">
        <v>649</v>
      </c>
      <c r="C944" t="s">
        <v>676</v>
      </c>
      <c r="D944" s="555">
        <v>1764</v>
      </c>
      <c r="E944">
        <v>285</v>
      </c>
      <c r="F944" s="553">
        <v>258</v>
      </c>
      <c r="G944" t="s">
        <v>645</v>
      </c>
      <c r="H944" s="554">
        <v>0.44</v>
      </c>
      <c r="I944" s="553">
        <v>251</v>
      </c>
      <c r="J944" t="s">
        <v>663</v>
      </c>
      <c r="K944" s="554">
        <v>0.25</v>
      </c>
      <c r="L944" s="553">
        <v>235</v>
      </c>
    </row>
    <row r="945" spans="2:12">
      <c r="B945" t="s">
        <v>681</v>
      </c>
      <c r="C945" t="s">
        <v>710</v>
      </c>
      <c r="D945" s="555">
        <v>1751</v>
      </c>
      <c r="E945">
        <v>449</v>
      </c>
      <c r="F945" s="553">
        <v>254</v>
      </c>
      <c r="G945" t="s">
        <v>1459</v>
      </c>
      <c r="H945" s="554">
        <v>0.72</v>
      </c>
      <c r="I945" s="553">
        <v>246</v>
      </c>
      <c r="J945" t="s">
        <v>663</v>
      </c>
      <c r="K945" s="554">
        <v>0.72</v>
      </c>
      <c r="L945" s="553">
        <v>246</v>
      </c>
    </row>
    <row r="946" spans="2:12">
      <c r="B946" t="s">
        <v>707</v>
      </c>
      <c r="C946" t="s">
        <v>704</v>
      </c>
      <c r="D946" s="555">
        <v>1735</v>
      </c>
      <c r="E946">
        <v>464</v>
      </c>
      <c r="F946" s="553">
        <v>254</v>
      </c>
      <c r="G946" t="s">
        <v>1459</v>
      </c>
      <c r="H946" s="554">
        <v>0.69</v>
      </c>
      <c r="I946" s="553">
        <v>240</v>
      </c>
      <c r="J946" t="s">
        <v>663</v>
      </c>
      <c r="K946" s="554">
        <v>0.69</v>
      </c>
      <c r="L946" s="553">
        <v>240</v>
      </c>
    </row>
    <row r="947" spans="2:12">
      <c r="B947" t="s">
        <v>640</v>
      </c>
      <c r="C947" t="s">
        <v>704</v>
      </c>
      <c r="D947" s="555">
        <v>1708</v>
      </c>
      <c r="E947">
        <v>240</v>
      </c>
      <c r="F947" s="553">
        <v>253</v>
      </c>
      <c r="G947" t="s">
        <v>1459</v>
      </c>
      <c r="H947" s="554">
        <v>0.61</v>
      </c>
      <c r="I947" s="553">
        <v>245</v>
      </c>
      <c r="J947" t="s">
        <v>663</v>
      </c>
      <c r="K947" s="554">
        <v>0.61</v>
      </c>
      <c r="L947" s="553">
        <v>245</v>
      </c>
    </row>
    <row r="948" spans="2:12">
      <c r="B948" t="s">
        <v>673</v>
      </c>
      <c r="C948" t="s">
        <v>711</v>
      </c>
      <c r="D948" s="555">
        <v>1773</v>
      </c>
      <c r="E948">
        <v>599</v>
      </c>
      <c r="F948" s="553">
        <v>243</v>
      </c>
      <c r="G948" t="s">
        <v>645</v>
      </c>
      <c r="H948" s="554">
        <v>0.86</v>
      </c>
      <c r="I948" s="553">
        <v>248</v>
      </c>
      <c r="J948" t="s">
        <v>668</v>
      </c>
      <c r="K948" s="554">
        <v>0.01</v>
      </c>
      <c r="L948" s="553">
        <v>91</v>
      </c>
    </row>
    <row r="949" spans="2:12">
      <c r="B949" t="s">
        <v>673</v>
      </c>
      <c r="C949" t="s">
        <v>737</v>
      </c>
      <c r="D949" s="555">
        <v>1727</v>
      </c>
      <c r="E949">
        <v>305</v>
      </c>
      <c r="F949" s="553">
        <v>241</v>
      </c>
      <c r="G949" t="s">
        <v>645</v>
      </c>
      <c r="H949" s="554">
        <v>0.5</v>
      </c>
      <c r="I949" s="553">
        <v>237</v>
      </c>
      <c r="J949" t="s">
        <v>644</v>
      </c>
      <c r="K949" s="554">
        <v>0.5</v>
      </c>
      <c r="L949" s="553">
        <v>237</v>
      </c>
    </row>
    <row r="950" spans="2:12">
      <c r="B950" t="s">
        <v>679</v>
      </c>
      <c r="C950" t="s">
        <v>712</v>
      </c>
      <c r="D950" s="555">
        <v>1738</v>
      </c>
      <c r="E950">
        <v>201</v>
      </c>
      <c r="F950" s="553">
        <v>236</v>
      </c>
      <c r="G950" t="s">
        <v>645</v>
      </c>
      <c r="H950" s="554">
        <v>0.55000000000000004</v>
      </c>
      <c r="I950" s="553">
        <v>214</v>
      </c>
      <c r="J950" t="s">
        <v>644</v>
      </c>
      <c r="K950" s="554">
        <v>0.55000000000000004</v>
      </c>
      <c r="L950" s="553">
        <v>214</v>
      </c>
    </row>
    <row r="951" spans="2:12">
      <c r="B951" t="s">
        <v>679</v>
      </c>
      <c r="C951" t="s">
        <v>640</v>
      </c>
      <c r="D951" s="555">
        <v>1751</v>
      </c>
      <c r="E951" s="555">
        <v>1115</v>
      </c>
      <c r="F951" s="553">
        <v>235</v>
      </c>
      <c r="G951" t="s">
        <v>669</v>
      </c>
      <c r="H951" s="554">
        <v>0.43</v>
      </c>
      <c r="I951" s="553">
        <v>242</v>
      </c>
      <c r="J951" t="s">
        <v>638</v>
      </c>
      <c r="K951" s="554">
        <v>0.25</v>
      </c>
      <c r="L951" s="553">
        <v>217</v>
      </c>
    </row>
    <row r="952" spans="2:12">
      <c r="B952" t="s">
        <v>711</v>
      </c>
      <c r="C952" t="s">
        <v>686</v>
      </c>
      <c r="D952" s="555">
        <v>1788</v>
      </c>
      <c r="E952">
        <v>466</v>
      </c>
      <c r="F952" s="553">
        <v>234</v>
      </c>
      <c r="G952" t="s">
        <v>645</v>
      </c>
      <c r="H952" s="554">
        <v>0.56000000000000005</v>
      </c>
      <c r="I952" s="553">
        <v>241</v>
      </c>
      <c r="J952" t="s">
        <v>663</v>
      </c>
      <c r="K952" s="554">
        <v>0.34</v>
      </c>
      <c r="L952" s="553">
        <v>214</v>
      </c>
    </row>
    <row r="953" spans="2:12">
      <c r="B953" t="s">
        <v>641</v>
      </c>
      <c r="C953" t="s">
        <v>704</v>
      </c>
      <c r="D953" s="555">
        <v>1709</v>
      </c>
      <c r="E953">
        <v>520</v>
      </c>
      <c r="F953" s="553">
        <v>226</v>
      </c>
      <c r="G953" t="s">
        <v>639</v>
      </c>
      <c r="H953" s="554">
        <v>0.61</v>
      </c>
      <c r="I953" s="553">
        <v>227</v>
      </c>
      <c r="J953" t="s">
        <v>663</v>
      </c>
      <c r="K953" s="554">
        <v>0.26</v>
      </c>
      <c r="L953" s="553">
        <v>218</v>
      </c>
    </row>
    <row r="954" spans="2:12">
      <c r="B954" t="s">
        <v>721</v>
      </c>
      <c r="C954" t="s">
        <v>687</v>
      </c>
      <c r="D954" s="555">
        <v>1747</v>
      </c>
      <c r="E954" s="555">
        <v>2621</v>
      </c>
      <c r="F954" s="553">
        <v>225</v>
      </c>
      <c r="G954" t="s">
        <v>653</v>
      </c>
      <c r="H954" s="554">
        <v>0.56999999999999995</v>
      </c>
      <c r="I954" s="553">
        <v>274</v>
      </c>
      <c r="J954" t="s">
        <v>668</v>
      </c>
      <c r="K954" s="554">
        <v>0.1</v>
      </c>
      <c r="L954" s="553">
        <v>113</v>
      </c>
    </row>
    <row r="955" spans="2:12">
      <c r="B955" t="s">
        <v>735</v>
      </c>
      <c r="C955" t="s">
        <v>690</v>
      </c>
      <c r="D955" s="555">
        <v>1756</v>
      </c>
      <c r="E955">
        <v>527</v>
      </c>
      <c r="F955" s="553">
        <v>217</v>
      </c>
      <c r="G955" t="s">
        <v>1459</v>
      </c>
      <c r="H955" s="554">
        <v>0.36</v>
      </c>
      <c r="I955" s="553">
        <v>231</v>
      </c>
      <c r="J955" t="s">
        <v>659</v>
      </c>
      <c r="K955" s="554">
        <v>0.28000000000000003</v>
      </c>
      <c r="L955" s="553">
        <v>93</v>
      </c>
    </row>
    <row r="956" spans="2:12">
      <c r="B956" t="s">
        <v>679</v>
      </c>
      <c r="C956" t="s">
        <v>735</v>
      </c>
      <c r="D956" s="555">
        <v>1750</v>
      </c>
      <c r="E956" s="555">
        <v>6280</v>
      </c>
      <c r="F956" s="553">
        <v>207</v>
      </c>
      <c r="G956" t="s">
        <v>645</v>
      </c>
      <c r="H956" s="554">
        <v>0.41</v>
      </c>
      <c r="I956" s="553">
        <v>219</v>
      </c>
      <c r="J956" t="s">
        <v>663</v>
      </c>
      <c r="K956" s="554">
        <v>0.2</v>
      </c>
      <c r="L956" s="553">
        <v>196</v>
      </c>
    </row>
    <row r="957" spans="2:12">
      <c r="B957" t="s">
        <v>679</v>
      </c>
      <c r="C957" t="s">
        <v>710</v>
      </c>
      <c r="D957" s="555">
        <v>1728</v>
      </c>
      <c r="E957" s="555">
        <v>1900</v>
      </c>
      <c r="F957" s="553">
        <v>205</v>
      </c>
      <c r="G957" t="s">
        <v>669</v>
      </c>
      <c r="H957" s="554">
        <v>0.38</v>
      </c>
      <c r="I957" s="553">
        <v>220</v>
      </c>
      <c r="J957" t="s">
        <v>663</v>
      </c>
      <c r="K957" s="554">
        <v>0.27</v>
      </c>
      <c r="L957" s="553">
        <v>191</v>
      </c>
    </row>
    <row r="958" spans="2:12">
      <c r="B958" t="s">
        <v>676</v>
      </c>
      <c r="C958" t="s">
        <v>641</v>
      </c>
      <c r="D958" s="555">
        <v>1774</v>
      </c>
      <c r="E958">
        <v>469</v>
      </c>
      <c r="F958" s="553">
        <v>203</v>
      </c>
      <c r="G958" t="s">
        <v>639</v>
      </c>
      <c r="H958" s="554">
        <v>0.56000000000000005</v>
      </c>
      <c r="I958" s="553">
        <v>212</v>
      </c>
      <c r="J958" t="s">
        <v>644</v>
      </c>
      <c r="K958" s="554">
        <v>0.13</v>
      </c>
      <c r="L958" s="553">
        <v>176</v>
      </c>
    </row>
    <row r="959" spans="2:12">
      <c r="B959" t="s">
        <v>700</v>
      </c>
      <c r="C959" t="s">
        <v>687</v>
      </c>
      <c r="D959" s="555">
        <v>1771</v>
      </c>
      <c r="E959">
        <v>615</v>
      </c>
      <c r="F959" s="553">
        <v>202</v>
      </c>
      <c r="G959" t="s">
        <v>1459</v>
      </c>
      <c r="H959" s="554">
        <v>0.54</v>
      </c>
      <c r="I959" s="553">
        <v>228</v>
      </c>
      <c r="J959" t="s">
        <v>659</v>
      </c>
      <c r="K959" s="554">
        <v>0.27</v>
      </c>
      <c r="L959" s="553">
        <v>110</v>
      </c>
    </row>
    <row r="960" spans="2:12">
      <c r="B960" t="s">
        <v>735</v>
      </c>
      <c r="C960" t="s">
        <v>681</v>
      </c>
      <c r="D960" s="555">
        <v>1797</v>
      </c>
      <c r="E960" s="555">
        <v>1990</v>
      </c>
      <c r="F960" s="553">
        <v>202</v>
      </c>
      <c r="G960" t="s">
        <v>1459</v>
      </c>
      <c r="H960" s="554">
        <v>0.38</v>
      </c>
      <c r="I960" s="553">
        <v>203</v>
      </c>
      <c r="J960" t="s">
        <v>663</v>
      </c>
      <c r="K960" s="554">
        <v>0.38</v>
      </c>
      <c r="L960" s="553">
        <v>203</v>
      </c>
    </row>
    <row r="961" spans="2:12">
      <c r="B961" t="s">
        <v>719</v>
      </c>
      <c r="C961" t="s">
        <v>711</v>
      </c>
      <c r="D961" s="555">
        <v>1754</v>
      </c>
      <c r="E961">
        <v>521</v>
      </c>
      <c r="F961" s="553">
        <v>200</v>
      </c>
      <c r="G961" t="s">
        <v>668</v>
      </c>
      <c r="H961" s="554">
        <v>0.33</v>
      </c>
      <c r="I961" s="553">
        <v>109</v>
      </c>
      <c r="J961" t="s">
        <v>668</v>
      </c>
      <c r="K961" s="554">
        <v>0.33</v>
      </c>
      <c r="L961" s="553">
        <v>109</v>
      </c>
    </row>
    <row r="962" spans="2:12">
      <c r="B962" t="s">
        <v>679</v>
      </c>
      <c r="C962" t="s">
        <v>641</v>
      </c>
      <c r="D962" s="555">
        <v>1733</v>
      </c>
      <c r="E962" s="555">
        <v>2419</v>
      </c>
      <c r="F962" s="553">
        <v>188</v>
      </c>
      <c r="G962" t="s">
        <v>639</v>
      </c>
      <c r="H962" s="554">
        <v>0.32</v>
      </c>
      <c r="I962" s="553">
        <v>192</v>
      </c>
      <c r="J962" t="s">
        <v>651</v>
      </c>
      <c r="K962" s="554">
        <v>0.22</v>
      </c>
      <c r="L962" s="553">
        <v>185</v>
      </c>
    </row>
    <row r="963" spans="2:12">
      <c r="B963" t="s">
        <v>680</v>
      </c>
      <c r="C963" t="s">
        <v>687</v>
      </c>
      <c r="D963" s="555">
        <v>1749</v>
      </c>
      <c r="E963" s="555">
        <v>2117</v>
      </c>
      <c r="F963" s="553">
        <v>187</v>
      </c>
      <c r="G963" t="s">
        <v>653</v>
      </c>
      <c r="H963" s="554">
        <v>0.6</v>
      </c>
      <c r="I963" s="553">
        <v>233</v>
      </c>
      <c r="J963" t="s">
        <v>659</v>
      </c>
      <c r="K963" s="554">
        <v>0.27</v>
      </c>
      <c r="L963" s="553">
        <v>108</v>
      </c>
    </row>
    <row r="964" spans="2:12">
      <c r="B964" t="s">
        <v>661</v>
      </c>
      <c r="C964" t="s">
        <v>640</v>
      </c>
      <c r="D964" s="555">
        <v>1715</v>
      </c>
      <c r="E964">
        <v>501</v>
      </c>
      <c r="F964" s="553">
        <v>183</v>
      </c>
      <c r="G964" t="s">
        <v>639</v>
      </c>
      <c r="H964" s="554">
        <v>0.62</v>
      </c>
      <c r="I964" s="553">
        <v>185</v>
      </c>
      <c r="J964" t="s">
        <v>663</v>
      </c>
      <c r="K964" s="554">
        <v>0.1</v>
      </c>
      <c r="L964" s="553">
        <v>180</v>
      </c>
    </row>
    <row r="965" spans="2:12">
      <c r="B965" t="s">
        <v>661</v>
      </c>
      <c r="C965" t="s">
        <v>641</v>
      </c>
      <c r="D965" s="555">
        <v>1770</v>
      </c>
      <c r="E965" s="555">
        <v>1009</v>
      </c>
      <c r="F965" s="553">
        <v>181</v>
      </c>
      <c r="G965" t="s">
        <v>639</v>
      </c>
      <c r="H965" s="554">
        <v>0.61</v>
      </c>
      <c r="I965" s="553">
        <v>179</v>
      </c>
      <c r="J965" t="s">
        <v>652</v>
      </c>
      <c r="K965" s="554">
        <v>0.24</v>
      </c>
      <c r="L965" s="553">
        <v>176</v>
      </c>
    </row>
    <row r="966" spans="2:12">
      <c r="B966" t="s">
        <v>722</v>
      </c>
      <c r="C966" t="s">
        <v>685</v>
      </c>
      <c r="D966" s="555">
        <v>1709</v>
      </c>
      <c r="E966" s="555">
        <v>1661</v>
      </c>
      <c r="F966" s="553">
        <v>168</v>
      </c>
      <c r="G966" t="s">
        <v>669</v>
      </c>
      <c r="H966" s="554">
        <v>0.32</v>
      </c>
      <c r="I966" s="553">
        <v>207</v>
      </c>
      <c r="J966" t="s">
        <v>659</v>
      </c>
      <c r="K966" s="554">
        <v>0.11</v>
      </c>
      <c r="L966" s="553">
        <v>87</v>
      </c>
    </row>
    <row r="967" spans="2:12">
      <c r="D967" s="555"/>
      <c r="E967" s="555"/>
      <c r="F967" s="553"/>
      <c r="H967" s="554"/>
      <c r="I967" s="553"/>
      <c r="K967" s="554"/>
      <c r="L967" s="553"/>
    </row>
    <row r="968" spans="2:12">
      <c r="B968" s="552" t="s">
        <v>846</v>
      </c>
    </row>
    <row r="969" spans="2:12">
      <c r="B969" t="s">
        <v>766</v>
      </c>
      <c r="C969" t="s">
        <v>735</v>
      </c>
      <c r="D969" s="555">
        <v>1815</v>
      </c>
      <c r="E969">
        <v>200</v>
      </c>
      <c r="F969" s="553">
        <v>311</v>
      </c>
      <c r="G969" t="s">
        <v>645</v>
      </c>
      <c r="H969" s="554">
        <v>0.39</v>
      </c>
      <c r="I969" s="553">
        <v>309</v>
      </c>
      <c r="J969" t="s">
        <v>663</v>
      </c>
      <c r="K969" s="554">
        <v>0.27</v>
      </c>
      <c r="L969" s="553">
        <v>265</v>
      </c>
    </row>
    <row r="970" spans="2:12">
      <c r="B970" t="s">
        <v>690</v>
      </c>
      <c r="C970" t="s">
        <v>707</v>
      </c>
      <c r="D970" s="555">
        <v>1845</v>
      </c>
      <c r="E970">
        <v>252</v>
      </c>
      <c r="F970" s="553">
        <v>285</v>
      </c>
      <c r="G970" t="s">
        <v>1459</v>
      </c>
      <c r="H970" s="554">
        <v>0.5</v>
      </c>
      <c r="I970" s="553">
        <v>267</v>
      </c>
      <c r="J970" t="s">
        <v>663</v>
      </c>
      <c r="K970" s="554">
        <v>0.5</v>
      </c>
      <c r="L970" s="553">
        <v>267</v>
      </c>
    </row>
    <row r="971" spans="2:12">
      <c r="B971" t="s">
        <v>716</v>
      </c>
      <c r="C971" t="s">
        <v>650</v>
      </c>
      <c r="D971" s="555">
        <v>1861</v>
      </c>
      <c r="E971">
        <v>387</v>
      </c>
      <c r="F971" s="553">
        <v>285</v>
      </c>
      <c r="G971" t="s">
        <v>1458</v>
      </c>
      <c r="H971" s="554">
        <v>0.38</v>
      </c>
      <c r="I971" s="553">
        <v>234</v>
      </c>
      <c r="J971" t="s">
        <v>647</v>
      </c>
      <c r="K971" s="554">
        <v>0.38</v>
      </c>
      <c r="L971" s="553">
        <v>234</v>
      </c>
    </row>
    <row r="972" spans="2:12">
      <c r="B972" t="s">
        <v>721</v>
      </c>
      <c r="C972" t="s">
        <v>710</v>
      </c>
      <c r="D972" s="555">
        <v>1892</v>
      </c>
      <c r="E972">
        <v>680</v>
      </c>
      <c r="F972" s="553">
        <v>284</v>
      </c>
      <c r="G972" t="s">
        <v>653</v>
      </c>
      <c r="H972" s="554">
        <v>0.67</v>
      </c>
      <c r="I972" s="553">
        <v>310</v>
      </c>
      <c r="J972" t="s">
        <v>663</v>
      </c>
      <c r="K972" s="554">
        <v>0.21</v>
      </c>
      <c r="L972" s="553">
        <v>237</v>
      </c>
    </row>
    <row r="974" spans="2:12">
      <c r="B974" s="552" t="s">
        <v>847</v>
      </c>
    </row>
    <row r="975" spans="2:12">
      <c r="B975" t="s">
        <v>737</v>
      </c>
      <c r="C975" t="s">
        <v>835</v>
      </c>
      <c r="D975" s="555">
        <v>1865</v>
      </c>
      <c r="E975">
        <v>890</v>
      </c>
      <c r="F975" s="553">
        <v>283</v>
      </c>
      <c r="G975" t="s">
        <v>653</v>
      </c>
      <c r="H975" s="554">
        <v>0.56000000000000005</v>
      </c>
      <c r="I975" s="553">
        <v>311</v>
      </c>
      <c r="J975" t="s">
        <v>663</v>
      </c>
      <c r="K975" s="554">
        <v>0.24</v>
      </c>
      <c r="L975" s="553">
        <v>235</v>
      </c>
    </row>
    <row r="976" spans="2:12">
      <c r="B976" t="s">
        <v>743</v>
      </c>
      <c r="C976" t="s">
        <v>640</v>
      </c>
      <c r="D976" s="555">
        <v>1877</v>
      </c>
      <c r="E976">
        <v>177</v>
      </c>
      <c r="F976" s="553">
        <v>279</v>
      </c>
      <c r="G976" t="s">
        <v>669</v>
      </c>
      <c r="H976" s="554">
        <v>0.21</v>
      </c>
      <c r="I976" s="553">
        <v>297</v>
      </c>
      <c r="J976" t="s">
        <v>663</v>
      </c>
      <c r="K976" s="554">
        <v>0.19</v>
      </c>
      <c r="L976" s="553">
        <v>278</v>
      </c>
    </row>
    <row r="977" spans="2:12">
      <c r="B977" t="s">
        <v>678</v>
      </c>
      <c r="C977" t="s">
        <v>640</v>
      </c>
      <c r="D977" s="555">
        <v>1843</v>
      </c>
      <c r="E977">
        <v>433</v>
      </c>
      <c r="F977" s="553">
        <v>266</v>
      </c>
      <c r="G977" t="s">
        <v>669</v>
      </c>
      <c r="H977" s="554">
        <v>0.68</v>
      </c>
      <c r="I977" s="553">
        <v>276</v>
      </c>
      <c r="J977" t="s">
        <v>663</v>
      </c>
      <c r="K977" s="554">
        <v>0.14000000000000001</v>
      </c>
      <c r="L977" s="553">
        <v>246</v>
      </c>
    </row>
    <row r="978" spans="2:12">
      <c r="B978" t="s">
        <v>774</v>
      </c>
      <c r="C978" t="s">
        <v>835</v>
      </c>
      <c r="D978" s="555">
        <v>1805</v>
      </c>
      <c r="E978">
        <v>216</v>
      </c>
      <c r="F978" s="553">
        <v>265</v>
      </c>
      <c r="G978" t="s">
        <v>669</v>
      </c>
      <c r="H978" s="554">
        <v>0.56000000000000005</v>
      </c>
      <c r="I978" s="553">
        <v>268</v>
      </c>
      <c r="J978" t="s">
        <v>644</v>
      </c>
      <c r="K978" s="554">
        <v>0.13</v>
      </c>
      <c r="L978" s="553">
        <v>233</v>
      </c>
    </row>
    <row r="979" spans="2:12">
      <c r="B979" t="s">
        <v>743</v>
      </c>
      <c r="C979" t="s">
        <v>641</v>
      </c>
      <c r="D979" s="555">
        <v>1866</v>
      </c>
      <c r="E979">
        <v>382</v>
      </c>
      <c r="F979" s="553">
        <v>265</v>
      </c>
      <c r="G979" t="s">
        <v>639</v>
      </c>
      <c r="H979" s="554">
        <v>0.57999999999999996</v>
      </c>
      <c r="I979" s="553">
        <v>275</v>
      </c>
      <c r="J979" t="s">
        <v>644</v>
      </c>
      <c r="K979" s="554">
        <v>0.11</v>
      </c>
      <c r="L979" s="553">
        <v>259</v>
      </c>
    </row>
    <row r="980" spans="2:12">
      <c r="B980" t="s">
        <v>679</v>
      </c>
      <c r="C980" t="s">
        <v>752</v>
      </c>
      <c r="D980" s="555">
        <v>1855</v>
      </c>
      <c r="E980" s="555">
        <v>3262</v>
      </c>
      <c r="F980" s="553">
        <v>264</v>
      </c>
      <c r="G980" t="s">
        <v>669</v>
      </c>
      <c r="H980" s="554">
        <v>0.4</v>
      </c>
      <c r="I980" s="553">
        <v>304</v>
      </c>
      <c r="J980" t="s">
        <v>663</v>
      </c>
      <c r="K980" s="554">
        <v>0.22</v>
      </c>
      <c r="L980" s="553">
        <v>233</v>
      </c>
    </row>
    <row r="981" spans="2:12">
      <c r="B981" t="s">
        <v>699</v>
      </c>
      <c r="C981" t="s">
        <v>737</v>
      </c>
      <c r="D981" s="555">
        <v>1823</v>
      </c>
      <c r="E981">
        <v>260</v>
      </c>
      <c r="F981" s="553">
        <v>263</v>
      </c>
      <c r="G981" t="s">
        <v>653</v>
      </c>
      <c r="H981" s="554">
        <v>0.6</v>
      </c>
      <c r="I981" s="553">
        <v>295</v>
      </c>
      <c r="J981" t="s">
        <v>663</v>
      </c>
      <c r="K981" s="554">
        <v>0.13</v>
      </c>
      <c r="L981" s="553">
        <v>229</v>
      </c>
    </row>
    <row r="982" spans="2:12">
      <c r="B982" t="s">
        <v>711</v>
      </c>
      <c r="C982" t="s">
        <v>699</v>
      </c>
      <c r="D982" s="555">
        <v>1891</v>
      </c>
      <c r="E982">
        <v>324</v>
      </c>
      <c r="F982" s="553">
        <v>260</v>
      </c>
      <c r="G982" t="s">
        <v>645</v>
      </c>
      <c r="H982" s="554">
        <v>0.43</v>
      </c>
      <c r="I982" s="553">
        <v>272</v>
      </c>
      <c r="J982" t="s">
        <v>663</v>
      </c>
      <c r="K982" s="554">
        <v>0.39</v>
      </c>
      <c r="L982" s="553">
        <v>236</v>
      </c>
    </row>
    <row r="983" spans="2:12">
      <c r="B983" t="s">
        <v>711</v>
      </c>
      <c r="C983" t="s">
        <v>732</v>
      </c>
      <c r="D983" s="555">
        <v>1814</v>
      </c>
      <c r="E983">
        <v>361</v>
      </c>
      <c r="F983" s="553">
        <v>256</v>
      </c>
      <c r="G983" t="s">
        <v>1459</v>
      </c>
      <c r="H983" s="554">
        <v>0.46</v>
      </c>
      <c r="I983" s="553">
        <v>264</v>
      </c>
      <c r="J983" t="s">
        <v>663</v>
      </c>
      <c r="K983" s="554">
        <v>0.46</v>
      </c>
      <c r="L983" s="553">
        <v>264</v>
      </c>
    </row>
    <row r="984" spans="2:12">
      <c r="B984" t="s">
        <v>703</v>
      </c>
      <c r="C984" t="s">
        <v>756</v>
      </c>
      <c r="D984" s="555">
        <v>1900</v>
      </c>
      <c r="E984">
        <v>548</v>
      </c>
      <c r="F984" s="553">
        <v>256</v>
      </c>
      <c r="G984" t="s">
        <v>653</v>
      </c>
      <c r="H984" s="554">
        <v>0.47</v>
      </c>
      <c r="I984" s="553">
        <v>289</v>
      </c>
      <c r="J984" t="s">
        <v>644</v>
      </c>
      <c r="K984" s="554">
        <v>0.22</v>
      </c>
      <c r="L984" s="553">
        <v>254</v>
      </c>
    </row>
    <row r="985" spans="2:12">
      <c r="B985" t="s">
        <v>742</v>
      </c>
      <c r="C985" t="s">
        <v>756</v>
      </c>
      <c r="D985" s="555">
        <v>1874</v>
      </c>
      <c r="E985">
        <v>304</v>
      </c>
      <c r="F985" s="553">
        <v>249</v>
      </c>
      <c r="G985" t="s">
        <v>645</v>
      </c>
      <c r="H985" s="554">
        <v>0.21</v>
      </c>
      <c r="I985" s="553">
        <v>275</v>
      </c>
      <c r="J985" t="s">
        <v>655</v>
      </c>
      <c r="K985" s="554">
        <v>0.21</v>
      </c>
      <c r="L985" s="553">
        <v>95</v>
      </c>
    </row>
    <row r="986" spans="2:12">
      <c r="B986" t="s">
        <v>678</v>
      </c>
      <c r="C986" t="s">
        <v>641</v>
      </c>
      <c r="D986" s="555">
        <v>1894</v>
      </c>
      <c r="E986">
        <v>981</v>
      </c>
      <c r="F986" s="553">
        <v>238</v>
      </c>
      <c r="G986" t="s">
        <v>669</v>
      </c>
      <c r="H986" s="554">
        <v>0.48</v>
      </c>
      <c r="I986" s="553">
        <v>253</v>
      </c>
      <c r="J986" t="s">
        <v>663</v>
      </c>
      <c r="K986" s="554">
        <v>0.1</v>
      </c>
      <c r="L986" s="553">
        <v>224</v>
      </c>
    </row>
    <row r="987" spans="2:12">
      <c r="B987" t="s">
        <v>737</v>
      </c>
      <c r="C987" t="s">
        <v>753</v>
      </c>
      <c r="D987" s="555">
        <v>1888</v>
      </c>
      <c r="E987">
        <v>288</v>
      </c>
      <c r="F987" s="553">
        <v>236</v>
      </c>
      <c r="G987" t="s">
        <v>653</v>
      </c>
      <c r="H987" s="554">
        <v>0.61</v>
      </c>
      <c r="I987" s="553">
        <v>261</v>
      </c>
      <c r="J987" t="s">
        <v>663</v>
      </c>
      <c r="K987" s="554">
        <v>0.17</v>
      </c>
      <c r="L987" s="553">
        <v>188</v>
      </c>
    </row>
    <row r="988" spans="2:12">
      <c r="B988" t="s">
        <v>743</v>
      </c>
      <c r="C988" t="s">
        <v>756</v>
      </c>
      <c r="D988" s="555">
        <v>1814</v>
      </c>
      <c r="E988">
        <v>888</v>
      </c>
      <c r="F988" s="553">
        <v>226</v>
      </c>
      <c r="G988" t="s">
        <v>645</v>
      </c>
      <c r="H988" s="554">
        <v>0.38</v>
      </c>
      <c r="I988" s="553">
        <v>243</v>
      </c>
      <c r="J988" t="s">
        <v>663</v>
      </c>
      <c r="K988" s="554">
        <v>0.23</v>
      </c>
      <c r="L988" s="553">
        <v>213</v>
      </c>
    </row>
    <row r="989" spans="2:12">
      <c r="B989" t="s">
        <v>756</v>
      </c>
      <c r="C989" t="s">
        <v>706</v>
      </c>
      <c r="D989" s="555">
        <v>1843</v>
      </c>
      <c r="E989">
        <v>310</v>
      </c>
      <c r="F989" s="553">
        <v>219</v>
      </c>
      <c r="G989" t="s">
        <v>660</v>
      </c>
      <c r="H989" s="554">
        <v>0.41</v>
      </c>
      <c r="I989" s="553">
        <v>89</v>
      </c>
      <c r="J989" t="s">
        <v>659</v>
      </c>
      <c r="K989" s="554">
        <v>0.41</v>
      </c>
      <c r="L989" s="553">
        <v>89</v>
      </c>
    </row>
    <row r="990" spans="2:12">
      <c r="B990" t="s">
        <v>667</v>
      </c>
      <c r="C990" t="s">
        <v>711</v>
      </c>
      <c r="D990" s="555">
        <v>1849</v>
      </c>
      <c r="E990">
        <v>947</v>
      </c>
      <c r="F990" s="553">
        <v>202</v>
      </c>
      <c r="G990" t="s">
        <v>645</v>
      </c>
      <c r="H990" s="554">
        <v>0.52</v>
      </c>
      <c r="I990" s="553">
        <v>217</v>
      </c>
      <c r="J990" t="s">
        <v>668</v>
      </c>
      <c r="K990" s="554">
        <v>0.14000000000000001</v>
      </c>
      <c r="L990" s="553">
        <v>105</v>
      </c>
    </row>
    <row r="991" spans="2:12">
      <c r="B991" t="s">
        <v>825</v>
      </c>
      <c r="C991" t="s">
        <v>687</v>
      </c>
      <c r="D991" s="555">
        <v>1846</v>
      </c>
      <c r="E991">
        <v>910</v>
      </c>
      <c r="F991" s="553">
        <v>180</v>
      </c>
      <c r="G991" t="s">
        <v>668</v>
      </c>
      <c r="H991" s="554">
        <v>0.35</v>
      </c>
      <c r="I991" s="553">
        <v>110</v>
      </c>
      <c r="J991" t="s">
        <v>668</v>
      </c>
      <c r="K991" s="554">
        <v>0.35</v>
      </c>
      <c r="L991" s="553">
        <v>110</v>
      </c>
    </row>
    <row r="992" spans="2:12">
      <c r="D992" s="555"/>
      <c r="F992" s="553"/>
      <c r="H992" s="554"/>
      <c r="I992" s="553"/>
      <c r="K992" s="554"/>
      <c r="L992" s="553"/>
    </row>
    <row r="993" spans="2:12">
      <c r="B993" s="552" t="s">
        <v>848</v>
      </c>
    </row>
    <row r="994" spans="2:12">
      <c r="B994" t="s">
        <v>796</v>
      </c>
      <c r="C994" t="s">
        <v>761</v>
      </c>
      <c r="D994" s="555">
        <v>1925</v>
      </c>
      <c r="E994">
        <v>317</v>
      </c>
      <c r="F994" s="553">
        <v>359</v>
      </c>
      <c r="G994" t="s">
        <v>645</v>
      </c>
      <c r="H994" s="554">
        <v>0.55000000000000004</v>
      </c>
      <c r="I994" s="553">
        <v>313</v>
      </c>
      <c r="J994" t="s">
        <v>644</v>
      </c>
      <c r="K994" s="554">
        <v>0.55000000000000004</v>
      </c>
      <c r="L994" s="553">
        <v>313</v>
      </c>
    </row>
    <row r="995" spans="2:12">
      <c r="B995" t="s">
        <v>716</v>
      </c>
      <c r="C995" t="s">
        <v>758</v>
      </c>
      <c r="D995" s="555">
        <v>1974</v>
      </c>
      <c r="E995">
        <v>191</v>
      </c>
      <c r="F995" s="553">
        <v>325</v>
      </c>
      <c r="G995" t="s">
        <v>645</v>
      </c>
      <c r="H995" s="554">
        <v>0.39</v>
      </c>
      <c r="I995" s="553">
        <v>338</v>
      </c>
      <c r="J995" t="s">
        <v>663</v>
      </c>
      <c r="K995" s="554">
        <v>0.25</v>
      </c>
      <c r="L995" s="553">
        <v>285</v>
      </c>
    </row>
    <row r="996" spans="2:12">
      <c r="B996" t="s">
        <v>726</v>
      </c>
      <c r="C996" t="s">
        <v>761</v>
      </c>
      <c r="D996" s="555">
        <v>1944</v>
      </c>
      <c r="E996">
        <v>214</v>
      </c>
      <c r="F996" s="553">
        <v>320</v>
      </c>
      <c r="G996" t="s">
        <v>645</v>
      </c>
      <c r="H996" s="554">
        <v>0.5</v>
      </c>
      <c r="I996" s="553">
        <v>304</v>
      </c>
      <c r="J996" t="s">
        <v>663</v>
      </c>
      <c r="K996" s="554">
        <v>0.15</v>
      </c>
      <c r="L996" s="553">
        <v>260</v>
      </c>
    </row>
    <row r="997" spans="2:12">
      <c r="B997" t="s">
        <v>680</v>
      </c>
      <c r="C997" t="s">
        <v>640</v>
      </c>
      <c r="D997" s="555">
        <v>1953</v>
      </c>
      <c r="E997">
        <v>299</v>
      </c>
      <c r="F997" s="553">
        <v>306</v>
      </c>
      <c r="G997" t="s">
        <v>653</v>
      </c>
      <c r="H997" s="554">
        <v>0.61</v>
      </c>
      <c r="I997" s="553">
        <v>340</v>
      </c>
      <c r="J997" t="s">
        <v>668</v>
      </c>
      <c r="K997" s="554">
        <v>0.03</v>
      </c>
      <c r="L997" s="553">
        <v>102</v>
      </c>
    </row>
    <row r="998" spans="2:12">
      <c r="B998" t="s">
        <v>680</v>
      </c>
      <c r="C998" t="s">
        <v>641</v>
      </c>
      <c r="D998" s="555">
        <v>1927</v>
      </c>
      <c r="E998">
        <v>801</v>
      </c>
      <c r="F998" s="553">
        <v>301</v>
      </c>
      <c r="G998" t="s">
        <v>653</v>
      </c>
      <c r="H998" s="554">
        <v>0.63</v>
      </c>
      <c r="I998" s="553">
        <v>325</v>
      </c>
      <c r="J998" t="s">
        <v>638</v>
      </c>
      <c r="K998" s="554">
        <v>0.23</v>
      </c>
      <c r="L998" s="553">
        <v>289</v>
      </c>
    </row>
    <row r="999" spans="2:12">
      <c r="B999" t="s">
        <v>758</v>
      </c>
      <c r="C999" t="s">
        <v>774</v>
      </c>
      <c r="D999" s="555">
        <v>1991</v>
      </c>
      <c r="E999">
        <v>209</v>
      </c>
      <c r="F999" s="553">
        <v>292</v>
      </c>
      <c r="G999" t="s">
        <v>1458</v>
      </c>
      <c r="H999" s="554">
        <v>0.3</v>
      </c>
      <c r="I999" s="553">
        <v>317</v>
      </c>
      <c r="J999" t="s">
        <v>644</v>
      </c>
      <c r="K999" s="554">
        <v>0.26</v>
      </c>
      <c r="L999" s="553">
        <v>248</v>
      </c>
    </row>
    <row r="1000" spans="2:12">
      <c r="B1000" t="s">
        <v>733</v>
      </c>
      <c r="C1000" t="s">
        <v>835</v>
      </c>
      <c r="D1000" s="555">
        <v>1976</v>
      </c>
      <c r="E1000">
        <v>220</v>
      </c>
      <c r="F1000" s="553">
        <v>291</v>
      </c>
      <c r="G1000" t="s">
        <v>645</v>
      </c>
      <c r="H1000" s="554">
        <v>0.44</v>
      </c>
      <c r="I1000" s="553">
        <v>293</v>
      </c>
      <c r="J1000" t="s">
        <v>663</v>
      </c>
      <c r="K1000" s="554">
        <v>0.22</v>
      </c>
      <c r="L1000" s="553">
        <v>243</v>
      </c>
    </row>
    <row r="1001" spans="2:12">
      <c r="B1001" t="s">
        <v>698</v>
      </c>
      <c r="C1001" t="s">
        <v>687</v>
      </c>
      <c r="D1001" s="555">
        <v>1965</v>
      </c>
      <c r="E1001">
        <v>264</v>
      </c>
      <c r="F1001" s="553">
        <v>285</v>
      </c>
      <c r="G1001" t="s">
        <v>645</v>
      </c>
      <c r="H1001" s="554">
        <v>0.37</v>
      </c>
      <c r="I1001" s="553">
        <v>269</v>
      </c>
      <c r="J1001" t="s">
        <v>663</v>
      </c>
      <c r="K1001" s="554">
        <v>0.27</v>
      </c>
      <c r="L1001" s="553">
        <v>228</v>
      </c>
    </row>
    <row r="1002" spans="2:12">
      <c r="B1002" t="s">
        <v>701</v>
      </c>
      <c r="C1002" t="s">
        <v>687</v>
      </c>
      <c r="D1002" s="555">
        <v>1986</v>
      </c>
      <c r="E1002">
        <v>254</v>
      </c>
      <c r="F1002" s="553">
        <v>284</v>
      </c>
      <c r="G1002" t="s">
        <v>1459</v>
      </c>
      <c r="H1002" s="554">
        <v>0.51</v>
      </c>
      <c r="I1002" s="553">
        <v>281</v>
      </c>
      <c r="J1002" t="s">
        <v>663</v>
      </c>
      <c r="K1002" s="554">
        <v>0.51</v>
      </c>
      <c r="L1002" s="553">
        <v>281</v>
      </c>
    </row>
    <row r="1003" spans="2:12">
      <c r="B1003" t="s">
        <v>743</v>
      </c>
      <c r="C1003" t="s">
        <v>752</v>
      </c>
      <c r="D1003" s="555">
        <v>1943</v>
      </c>
      <c r="E1003">
        <v>406</v>
      </c>
      <c r="F1003" s="553">
        <v>283</v>
      </c>
      <c r="G1003" t="s">
        <v>1459</v>
      </c>
      <c r="H1003" s="554">
        <v>0.34</v>
      </c>
      <c r="I1003" s="553">
        <v>247</v>
      </c>
      <c r="J1003" t="s">
        <v>663</v>
      </c>
      <c r="K1003" s="554">
        <v>0.34</v>
      </c>
      <c r="L1003" s="553">
        <v>247</v>
      </c>
    </row>
    <row r="1004" spans="2:12">
      <c r="B1004" t="s">
        <v>700</v>
      </c>
      <c r="C1004" t="s">
        <v>710</v>
      </c>
      <c r="D1004" s="555">
        <v>1964</v>
      </c>
      <c r="E1004">
        <v>181</v>
      </c>
      <c r="F1004" s="553">
        <v>276</v>
      </c>
      <c r="G1004" t="s">
        <v>1459</v>
      </c>
      <c r="H1004" s="554">
        <v>0.38</v>
      </c>
      <c r="I1004" s="553">
        <v>267</v>
      </c>
      <c r="J1004" t="s">
        <v>663</v>
      </c>
      <c r="K1004" s="554">
        <v>0.38</v>
      </c>
      <c r="L1004" s="553">
        <v>267</v>
      </c>
    </row>
    <row r="1005" spans="2:12">
      <c r="B1005" t="s">
        <v>681</v>
      </c>
      <c r="C1005" t="s">
        <v>640</v>
      </c>
      <c r="D1005" s="555">
        <v>1973</v>
      </c>
      <c r="E1005">
        <v>241</v>
      </c>
      <c r="F1005" s="553">
        <v>276</v>
      </c>
      <c r="G1005" t="s">
        <v>1459</v>
      </c>
      <c r="H1005" s="554">
        <v>0.27</v>
      </c>
      <c r="I1005" s="553">
        <v>270</v>
      </c>
      <c r="J1005" t="s">
        <v>663</v>
      </c>
      <c r="K1005" s="554">
        <v>0.27</v>
      </c>
      <c r="L1005" s="553">
        <v>270</v>
      </c>
    </row>
    <row r="1006" spans="2:12">
      <c r="B1006" t="s">
        <v>774</v>
      </c>
      <c r="C1006" t="s">
        <v>761</v>
      </c>
      <c r="D1006" s="555">
        <v>1931</v>
      </c>
      <c r="E1006">
        <v>350</v>
      </c>
      <c r="F1006" s="553">
        <v>270</v>
      </c>
      <c r="G1006" t="s">
        <v>669</v>
      </c>
      <c r="H1006" s="554">
        <v>0.38</v>
      </c>
      <c r="I1006" s="553">
        <v>319</v>
      </c>
      <c r="J1006" t="s">
        <v>647</v>
      </c>
      <c r="K1006" s="554">
        <v>0.13</v>
      </c>
      <c r="L1006" s="553">
        <v>188</v>
      </c>
    </row>
    <row r="1007" spans="2:12">
      <c r="B1007" t="s">
        <v>695</v>
      </c>
      <c r="C1007" t="s">
        <v>737</v>
      </c>
      <c r="D1007" s="555">
        <v>1927</v>
      </c>
      <c r="E1007">
        <v>400</v>
      </c>
      <c r="F1007" s="553">
        <v>269</v>
      </c>
      <c r="G1007" t="s">
        <v>645</v>
      </c>
      <c r="H1007" s="554">
        <v>0.45</v>
      </c>
      <c r="I1007" s="553">
        <v>259</v>
      </c>
      <c r="J1007" t="s">
        <v>644</v>
      </c>
      <c r="K1007" s="554">
        <v>0.45</v>
      </c>
      <c r="L1007" s="553">
        <v>259</v>
      </c>
    </row>
    <row r="1008" spans="2:12">
      <c r="B1008" t="s">
        <v>681</v>
      </c>
      <c r="C1008" t="s">
        <v>734</v>
      </c>
      <c r="D1008" s="555">
        <v>1917</v>
      </c>
      <c r="E1008">
        <v>291</v>
      </c>
      <c r="F1008" s="553">
        <v>267</v>
      </c>
      <c r="G1008" t="s">
        <v>1459</v>
      </c>
      <c r="H1008" s="554">
        <v>0.59</v>
      </c>
      <c r="I1008" s="553">
        <v>244</v>
      </c>
      <c r="J1008" t="s">
        <v>663</v>
      </c>
      <c r="K1008" s="554">
        <v>0.59</v>
      </c>
      <c r="L1008" s="553">
        <v>244</v>
      </c>
    </row>
    <row r="1009" spans="2:12">
      <c r="B1009" t="s">
        <v>681</v>
      </c>
      <c r="C1009" t="s">
        <v>752</v>
      </c>
      <c r="D1009" s="555">
        <v>1969</v>
      </c>
      <c r="E1009">
        <v>673</v>
      </c>
      <c r="F1009" s="553">
        <v>266</v>
      </c>
      <c r="G1009" t="s">
        <v>1459</v>
      </c>
      <c r="H1009" s="554">
        <v>0.56999999999999995</v>
      </c>
      <c r="I1009" s="553">
        <v>249</v>
      </c>
      <c r="J1009" t="s">
        <v>663</v>
      </c>
      <c r="K1009" s="554">
        <v>0.56999999999999995</v>
      </c>
      <c r="L1009" s="553">
        <v>249</v>
      </c>
    </row>
    <row r="1010" spans="2:12">
      <c r="B1010" t="s">
        <v>711</v>
      </c>
      <c r="C1010" t="s">
        <v>835</v>
      </c>
      <c r="D1010" s="555">
        <v>1999</v>
      </c>
      <c r="E1010" s="555">
        <v>1300</v>
      </c>
      <c r="F1010" s="553">
        <v>264</v>
      </c>
      <c r="G1010" t="s">
        <v>1459</v>
      </c>
      <c r="H1010" s="554">
        <v>0.39</v>
      </c>
      <c r="I1010" s="553">
        <v>246</v>
      </c>
      <c r="J1010" t="s">
        <v>663</v>
      </c>
      <c r="K1010" s="554">
        <v>0.39</v>
      </c>
      <c r="L1010" s="553">
        <v>246</v>
      </c>
    </row>
    <row r="1011" spans="2:12">
      <c r="B1011" t="s">
        <v>680</v>
      </c>
      <c r="C1011" t="s">
        <v>710</v>
      </c>
      <c r="D1011" s="555">
        <v>1956</v>
      </c>
      <c r="E1011">
        <v>642</v>
      </c>
      <c r="F1011" s="553">
        <v>263</v>
      </c>
      <c r="G1011" t="s">
        <v>653</v>
      </c>
      <c r="H1011" s="554">
        <v>0.72</v>
      </c>
      <c r="I1011" s="553">
        <v>291</v>
      </c>
      <c r="J1011" t="s">
        <v>659</v>
      </c>
      <c r="K1011" s="554">
        <v>0.13</v>
      </c>
      <c r="L1011" s="553">
        <v>124</v>
      </c>
    </row>
    <row r="1013" spans="2:12">
      <c r="B1013" s="552" t="s">
        <v>849</v>
      </c>
    </row>
    <row r="1014" spans="2:12">
      <c r="B1014" t="s">
        <v>729</v>
      </c>
      <c r="C1014" t="s">
        <v>707</v>
      </c>
      <c r="D1014" s="555">
        <v>1911</v>
      </c>
      <c r="E1014">
        <v>346</v>
      </c>
      <c r="F1014" s="553">
        <v>262</v>
      </c>
      <c r="G1014" t="s">
        <v>1459</v>
      </c>
      <c r="H1014" s="554">
        <v>0.42</v>
      </c>
      <c r="I1014" s="553">
        <v>231</v>
      </c>
      <c r="J1014" t="s">
        <v>663</v>
      </c>
      <c r="K1014" s="554">
        <v>0.42</v>
      </c>
      <c r="L1014" s="553">
        <v>231</v>
      </c>
    </row>
    <row r="1015" spans="2:12">
      <c r="B1015" t="s">
        <v>680</v>
      </c>
      <c r="C1015" t="s">
        <v>735</v>
      </c>
      <c r="D1015" s="555">
        <v>1979</v>
      </c>
      <c r="E1015" s="555">
        <v>1862</v>
      </c>
      <c r="F1015" s="553">
        <v>260</v>
      </c>
      <c r="G1015" t="s">
        <v>653</v>
      </c>
      <c r="H1015" s="554">
        <v>0.57999999999999996</v>
      </c>
      <c r="I1015" s="553">
        <v>320</v>
      </c>
      <c r="J1015" t="s">
        <v>659</v>
      </c>
      <c r="K1015" s="554">
        <v>0.25</v>
      </c>
      <c r="L1015" s="553">
        <v>120</v>
      </c>
    </row>
    <row r="1016" spans="2:12">
      <c r="B1016" t="s">
        <v>721</v>
      </c>
      <c r="C1016" t="s">
        <v>735</v>
      </c>
      <c r="D1016" s="555">
        <v>1947</v>
      </c>
      <c r="E1016" s="555">
        <v>3622</v>
      </c>
      <c r="F1016" s="553">
        <v>257</v>
      </c>
      <c r="G1016" t="s">
        <v>653</v>
      </c>
      <c r="H1016" s="554">
        <v>0.56000000000000005</v>
      </c>
      <c r="I1016" s="553">
        <v>312</v>
      </c>
      <c r="J1016" t="s">
        <v>659</v>
      </c>
      <c r="K1016" s="554">
        <v>0.12</v>
      </c>
      <c r="L1016" s="553">
        <v>124</v>
      </c>
    </row>
    <row r="1017" spans="2:12">
      <c r="B1017" t="s">
        <v>687</v>
      </c>
      <c r="C1017" t="s">
        <v>732</v>
      </c>
      <c r="D1017" s="555">
        <v>1910</v>
      </c>
      <c r="E1017">
        <v>613</v>
      </c>
      <c r="F1017" s="553">
        <v>235</v>
      </c>
      <c r="G1017" t="s">
        <v>1459</v>
      </c>
      <c r="H1017" s="554">
        <v>0.42</v>
      </c>
      <c r="I1017" s="553">
        <v>268</v>
      </c>
      <c r="J1017" t="s">
        <v>659</v>
      </c>
      <c r="K1017" s="554">
        <v>0.28000000000000003</v>
      </c>
      <c r="L1017" s="553">
        <v>136</v>
      </c>
    </row>
    <row r="1018" spans="2:12">
      <c r="B1018" t="s">
        <v>703</v>
      </c>
      <c r="C1018" t="s">
        <v>641</v>
      </c>
      <c r="D1018" s="555">
        <v>1965</v>
      </c>
      <c r="E1018">
        <v>379</v>
      </c>
      <c r="F1018" s="553">
        <v>231</v>
      </c>
      <c r="G1018" t="s">
        <v>639</v>
      </c>
      <c r="H1018" s="554">
        <v>0.45</v>
      </c>
      <c r="I1018" s="553">
        <v>213</v>
      </c>
      <c r="J1018" t="s">
        <v>638</v>
      </c>
      <c r="K1018" s="554">
        <v>0.45</v>
      </c>
      <c r="L1018" s="553">
        <v>213</v>
      </c>
    </row>
    <row r="1019" spans="2:12">
      <c r="B1019" t="s">
        <v>681</v>
      </c>
      <c r="C1019" t="s">
        <v>641</v>
      </c>
      <c r="D1019" s="555">
        <v>1978</v>
      </c>
      <c r="E1019">
        <v>685</v>
      </c>
      <c r="F1019" s="553">
        <v>222</v>
      </c>
      <c r="G1019" t="s">
        <v>639</v>
      </c>
      <c r="H1019" s="554">
        <v>0.53</v>
      </c>
      <c r="I1019" s="553">
        <v>230</v>
      </c>
      <c r="J1019" t="s">
        <v>663</v>
      </c>
      <c r="K1019" s="554">
        <v>0.19</v>
      </c>
      <c r="L1019" s="553">
        <v>201</v>
      </c>
    </row>
    <row r="1020" spans="2:12">
      <c r="B1020" t="s">
        <v>673</v>
      </c>
      <c r="C1020" t="s">
        <v>687</v>
      </c>
      <c r="D1020" s="555">
        <v>1916</v>
      </c>
      <c r="E1020" s="555">
        <v>1080</v>
      </c>
      <c r="F1020" s="553">
        <v>220</v>
      </c>
      <c r="G1020" t="s">
        <v>645</v>
      </c>
      <c r="H1020" s="554">
        <v>0.74</v>
      </c>
      <c r="I1020" s="553">
        <v>246</v>
      </c>
      <c r="J1020" t="s">
        <v>668</v>
      </c>
      <c r="K1020" s="554">
        <v>0.15</v>
      </c>
      <c r="L1020" s="553">
        <v>107</v>
      </c>
    </row>
    <row r="1021" spans="2:12">
      <c r="B1021" t="s">
        <v>685</v>
      </c>
      <c r="C1021" t="s">
        <v>711</v>
      </c>
      <c r="D1021" s="555">
        <v>1972</v>
      </c>
      <c r="E1021">
        <v>887</v>
      </c>
      <c r="F1021" s="553">
        <v>219</v>
      </c>
      <c r="G1021" t="s">
        <v>645</v>
      </c>
      <c r="H1021" s="554">
        <v>0.56999999999999995</v>
      </c>
      <c r="I1021" s="553">
        <v>240</v>
      </c>
      <c r="J1021" t="s">
        <v>663</v>
      </c>
      <c r="K1021" s="554">
        <v>0.2</v>
      </c>
      <c r="L1021" s="553">
        <v>184</v>
      </c>
    </row>
    <row r="1022" spans="2:12">
      <c r="B1022" t="s">
        <v>700</v>
      </c>
      <c r="C1022" t="s">
        <v>735</v>
      </c>
      <c r="D1022" s="555">
        <v>1995</v>
      </c>
      <c r="E1022">
        <v>701</v>
      </c>
      <c r="F1022" s="553">
        <v>219</v>
      </c>
      <c r="G1022" t="s">
        <v>660</v>
      </c>
      <c r="H1022" s="554">
        <v>0.31</v>
      </c>
      <c r="I1022" s="553">
        <v>95</v>
      </c>
      <c r="J1022" t="s">
        <v>659</v>
      </c>
      <c r="K1022" s="554">
        <v>0.31</v>
      </c>
      <c r="L1022" s="553">
        <v>95</v>
      </c>
    </row>
    <row r="1023" spans="2:12">
      <c r="B1023" t="s">
        <v>687</v>
      </c>
      <c r="C1023" t="s">
        <v>686</v>
      </c>
      <c r="D1023" s="555">
        <v>1984</v>
      </c>
      <c r="E1023">
        <v>835</v>
      </c>
      <c r="F1023" s="553">
        <v>192</v>
      </c>
      <c r="G1023" t="s">
        <v>1459</v>
      </c>
      <c r="H1023" s="554">
        <v>0.35</v>
      </c>
      <c r="I1023" s="553">
        <v>235</v>
      </c>
      <c r="J1023" t="s">
        <v>668</v>
      </c>
      <c r="K1023" s="554">
        <v>0.22</v>
      </c>
      <c r="L1023" s="553">
        <v>98</v>
      </c>
    </row>
    <row r="1024" spans="2:12">
      <c r="B1024" t="s">
        <v>667</v>
      </c>
      <c r="C1024" t="s">
        <v>737</v>
      </c>
      <c r="D1024" s="555">
        <v>1931</v>
      </c>
      <c r="E1024">
        <v>999</v>
      </c>
      <c r="F1024" s="553">
        <v>191</v>
      </c>
      <c r="G1024" t="s">
        <v>653</v>
      </c>
      <c r="H1024" s="554">
        <v>0.64</v>
      </c>
      <c r="I1024" s="553">
        <v>206</v>
      </c>
      <c r="J1024" t="s">
        <v>647</v>
      </c>
      <c r="K1024" s="554">
        <v>0.17</v>
      </c>
      <c r="L1024" s="553">
        <v>156</v>
      </c>
    </row>
    <row r="1025" spans="2:12">
      <c r="D1025" s="555"/>
      <c r="F1025" s="553"/>
      <c r="H1025" s="554"/>
      <c r="I1025" s="553"/>
      <c r="K1025" s="554"/>
      <c r="L1025" s="553"/>
    </row>
    <row r="1026" spans="2:12">
      <c r="B1026" s="552" t="s">
        <v>850</v>
      </c>
    </row>
    <row r="1027" spans="2:12">
      <c r="B1027" t="s">
        <v>719</v>
      </c>
      <c r="C1027" t="s">
        <v>707</v>
      </c>
      <c r="D1027" s="555">
        <v>2187</v>
      </c>
      <c r="E1027">
        <v>395</v>
      </c>
      <c r="F1027" s="553">
        <v>343</v>
      </c>
      <c r="G1027" t="s">
        <v>669</v>
      </c>
      <c r="H1027" s="554">
        <v>0.62</v>
      </c>
      <c r="I1027" s="553">
        <v>369</v>
      </c>
      <c r="J1027" t="s">
        <v>663</v>
      </c>
      <c r="K1027" s="554">
        <v>0.15</v>
      </c>
      <c r="L1027" s="553">
        <v>288</v>
      </c>
    </row>
    <row r="1028" spans="2:12">
      <c r="B1028" t="s">
        <v>721</v>
      </c>
      <c r="C1028" t="s">
        <v>640</v>
      </c>
      <c r="D1028" s="555">
        <v>2172</v>
      </c>
      <c r="E1028">
        <v>458</v>
      </c>
      <c r="F1028" s="553">
        <v>323</v>
      </c>
      <c r="G1028" t="s">
        <v>653</v>
      </c>
      <c r="H1028" s="554">
        <v>0.74</v>
      </c>
      <c r="I1028" s="553">
        <v>349</v>
      </c>
      <c r="J1028" t="s">
        <v>668</v>
      </c>
      <c r="K1028" s="554">
        <v>0.03</v>
      </c>
      <c r="L1028" s="553">
        <v>113</v>
      </c>
    </row>
    <row r="1029" spans="2:12">
      <c r="B1029" t="s">
        <v>680</v>
      </c>
      <c r="C1029" t="s">
        <v>707</v>
      </c>
      <c r="D1029" s="555">
        <v>2079</v>
      </c>
      <c r="E1029" s="555">
        <v>1023</v>
      </c>
      <c r="F1029" s="553">
        <v>319</v>
      </c>
      <c r="G1029" t="s">
        <v>653</v>
      </c>
      <c r="H1029" s="554">
        <v>0.72</v>
      </c>
      <c r="I1029" s="553">
        <v>350</v>
      </c>
      <c r="J1029" t="s">
        <v>668</v>
      </c>
      <c r="K1029" s="554">
        <v>0.01</v>
      </c>
      <c r="L1029" s="553">
        <v>105</v>
      </c>
    </row>
    <row r="1030" spans="2:12">
      <c r="B1030" t="s">
        <v>721</v>
      </c>
      <c r="C1030" t="s">
        <v>734</v>
      </c>
      <c r="D1030" s="555">
        <v>2092</v>
      </c>
      <c r="E1030">
        <v>395</v>
      </c>
      <c r="F1030" s="553">
        <v>317</v>
      </c>
      <c r="G1030" t="s">
        <v>653</v>
      </c>
      <c r="H1030" s="554">
        <v>0.62</v>
      </c>
      <c r="I1030" s="553">
        <v>362</v>
      </c>
      <c r="J1030" t="s">
        <v>663</v>
      </c>
      <c r="K1030" s="554">
        <v>0.16</v>
      </c>
      <c r="L1030" s="553">
        <v>258</v>
      </c>
    </row>
    <row r="1031" spans="2:12">
      <c r="B1031" t="s">
        <v>732</v>
      </c>
      <c r="C1031" t="s">
        <v>710</v>
      </c>
      <c r="D1031" s="555">
        <v>2106</v>
      </c>
      <c r="E1031">
        <v>204</v>
      </c>
      <c r="F1031" s="553">
        <v>310</v>
      </c>
      <c r="G1031" t="s">
        <v>1459</v>
      </c>
      <c r="H1031" s="554">
        <v>0.31</v>
      </c>
      <c r="I1031" s="553">
        <v>283</v>
      </c>
      <c r="J1031" t="s">
        <v>663</v>
      </c>
      <c r="K1031" s="554">
        <v>0.31</v>
      </c>
      <c r="L1031" s="553">
        <v>283</v>
      </c>
    </row>
    <row r="1032" spans="2:12">
      <c r="B1032" t="s">
        <v>673</v>
      </c>
      <c r="C1032" t="s">
        <v>710</v>
      </c>
      <c r="D1032" s="555">
        <v>2077</v>
      </c>
      <c r="E1032">
        <v>366</v>
      </c>
      <c r="F1032" s="553">
        <v>307</v>
      </c>
      <c r="G1032" t="s">
        <v>645</v>
      </c>
      <c r="H1032" s="554">
        <v>0.78</v>
      </c>
      <c r="I1032" s="553">
        <v>315</v>
      </c>
      <c r="J1032" t="s">
        <v>668</v>
      </c>
      <c r="K1032" s="554">
        <v>0.02</v>
      </c>
      <c r="L1032" s="553">
        <v>96</v>
      </c>
    </row>
    <row r="1033" spans="2:12">
      <c r="B1033" t="s">
        <v>719</v>
      </c>
      <c r="C1033" t="s">
        <v>710</v>
      </c>
      <c r="D1033" s="555">
        <v>2045</v>
      </c>
      <c r="E1033">
        <v>209</v>
      </c>
      <c r="F1033" s="553">
        <v>305</v>
      </c>
      <c r="G1033" t="s">
        <v>669</v>
      </c>
      <c r="H1033" s="554">
        <v>0.28999999999999998</v>
      </c>
      <c r="I1033" s="553">
        <v>349</v>
      </c>
      <c r="J1033" t="s">
        <v>663</v>
      </c>
      <c r="K1033" s="554">
        <v>0.25</v>
      </c>
      <c r="L1033" s="553">
        <v>280</v>
      </c>
    </row>
    <row r="1034" spans="2:12">
      <c r="B1034" t="s">
        <v>703</v>
      </c>
      <c r="C1034" t="s">
        <v>707</v>
      </c>
      <c r="D1034" s="555">
        <v>2036</v>
      </c>
      <c r="E1034">
        <v>284</v>
      </c>
      <c r="F1034" s="553">
        <v>303</v>
      </c>
      <c r="G1034" t="s">
        <v>653</v>
      </c>
      <c r="H1034" s="554">
        <v>0.45</v>
      </c>
      <c r="I1034" s="553">
        <v>339</v>
      </c>
      <c r="J1034" t="s">
        <v>663</v>
      </c>
      <c r="K1034" s="554">
        <v>0.16</v>
      </c>
      <c r="L1034" s="553">
        <v>244</v>
      </c>
    </row>
    <row r="1035" spans="2:12">
      <c r="B1035" t="s">
        <v>687</v>
      </c>
      <c r="C1035" t="s">
        <v>717</v>
      </c>
      <c r="D1035" s="555">
        <v>2154</v>
      </c>
      <c r="E1035">
        <v>231</v>
      </c>
      <c r="F1035" s="553">
        <v>300</v>
      </c>
      <c r="G1035" t="s">
        <v>645</v>
      </c>
      <c r="H1035" s="554">
        <v>0.38</v>
      </c>
      <c r="I1035" s="553">
        <v>307</v>
      </c>
      <c r="J1035" t="s">
        <v>663</v>
      </c>
      <c r="K1035" s="554">
        <v>0.22</v>
      </c>
      <c r="L1035" s="553">
        <v>265</v>
      </c>
    </row>
    <row r="1036" spans="2:12">
      <c r="B1036" t="s">
        <v>721</v>
      </c>
      <c r="C1036" t="s">
        <v>707</v>
      </c>
      <c r="D1036" s="555">
        <v>2139</v>
      </c>
      <c r="E1036" s="555">
        <v>1502</v>
      </c>
      <c r="F1036" s="553">
        <v>296</v>
      </c>
      <c r="G1036" t="s">
        <v>653</v>
      </c>
      <c r="H1036" s="554">
        <v>0.63</v>
      </c>
      <c r="I1036" s="553">
        <v>345</v>
      </c>
      <c r="J1036" t="s">
        <v>663</v>
      </c>
      <c r="K1036" s="554">
        <v>0.14000000000000001</v>
      </c>
      <c r="L1036" s="553">
        <v>218</v>
      </c>
    </row>
    <row r="1037" spans="2:12">
      <c r="B1037" t="s">
        <v>719</v>
      </c>
      <c r="C1037" t="s">
        <v>641</v>
      </c>
      <c r="D1037" s="555">
        <v>2055</v>
      </c>
      <c r="E1037">
        <v>247</v>
      </c>
      <c r="F1037" s="553">
        <v>296</v>
      </c>
      <c r="G1037" t="s">
        <v>669</v>
      </c>
      <c r="H1037" s="554">
        <v>0.33</v>
      </c>
      <c r="I1037" s="553">
        <v>317</v>
      </c>
      <c r="J1037" t="s">
        <v>663</v>
      </c>
      <c r="K1037" s="554">
        <v>0.14000000000000001</v>
      </c>
      <c r="L1037" s="553">
        <v>265</v>
      </c>
    </row>
    <row r="1038" spans="2:12">
      <c r="B1038" t="s">
        <v>700</v>
      </c>
      <c r="C1038" t="s">
        <v>707</v>
      </c>
      <c r="D1038" s="555">
        <v>2120</v>
      </c>
      <c r="E1038">
        <v>330</v>
      </c>
      <c r="F1038" s="553">
        <v>288</v>
      </c>
      <c r="G1038" t="s">
        <v>1459</v>
      </c>
      <c r="H1038" s="554">
        <v>0.36</v>
      </c>
      <c r="I1038" s="553">
        <v>265</v>
      </c>
      <c r="J1038" t="s">
        <v>663</v>
      </c>
      <c r="K1038" s="554">
        <v>0.36</v>
      </c>
      <c r="L1038" s="553">
        <v>265</v>
      </c>
    </row>
    <row r="1039" spans="2:12">
      <c r="B1039" t="s">
        <v>699</v>
      </c>
      <c r="C1039" t="s">
        <v>710</v>
      </c>
      <c r="D1039" s="555">
        <v>2193</v>
      </c>
      <c r="E1039">
        <v>240</v>
      </c>
      <c r="F1039" s="553">
        <v>288</v>
      </c>
      <c r="G1039" t="s">
        <v>645</v>
      </c>
      <c r="H1039" s="554">
        <v>0.31</v>
      </c>
      <c r="I1039" s="553">
        <v>300</v>
      </c>
      <c r="J1039" t="s">
        <v>663</v>
      </c>
      <c r="K1039" s="554">
        <v>0.22</v>
      </c>
      <c r="L1039" s="553">
        <v>253</v>
      </c>
    </row>
    <row r="1040" spans="2:12">
      <c r="B1040" t="s">
        <v>735</v>
      </c>
      <c r="C1040" t="s">
        <v>732</v>
      </c>
      <c r="D1040" s="555">
        <v>2136</v>
      </c>
      <c r="E1040">
        <v>618</v>
      </c>
      <c r="F1040" s="553">
        <v>286</v>
      </c>
      <c r="G1040" t="s">
        <v>645</v>
      </c>
      <c r="H1040" s="554">
        <v>0.28999999999999998</v>
      </c>
      <c r="I1040" s="553">
        <v>319</v>
      </c>
      <c r="J1040" t="s">
        <v>659</v>
      </c>
      <c r="K1040" s="554">
        <v>0.16</v>
      </c>
      <c r="L1040" s="553">
        <v>134</v>
      </c>
    </row>
    <row r="1041" spans="2:12">
      <c r="B1041" t="s">
        <v>721</v>
      </c>
      <c r="C1041" t="s">
        <v>641</v>
      </c>
      <c r="D1041" s="555">
        <v>2182</v>
      </c>
      <c r="E1041" s="555">
        <v>1086</v>
      </c>
      <c r="F1041" s="553">
        <v>282</v>
      </c>
      <c r="G1041" t="s">
        <v>653</v>
      </c>
      <c r="H1041" s="554">
        <v>0.55000000000000004</v>
      </c>
      <c r="I1041" s="553">
        <v>323</v>
      </c>
      <c r="J1041" t="s">
        <v>638</v>
      </c>
      <c r="K1041" s="554">
        <v>0.33</v>
      </c>
      <c r="L1041" s="553">
        <v>239</v>
      </c>
    </row>
    <row r="1042" spans="2:12">
      <c r="B1042" t="s">
        <v>695</v>
      </c>
      <c r="C1042" t="s">
        <v>711</v>
      </c>
      <c r="D1042" s="555">
        <v>2075</v>
      </c>
      <c r="E1042">
        <v>793</v>
      </c>
      <c r="F1042" s="553">
        <v>282</v>
      </c>
      <c r="G1042" t="s">
        <v>645</v>
      </c>
      <c r="H1042" s="554">
        <v>0.86</v>
      </c>
      <c r="I1042" s="553">
        <v>287</v>
      </c>
      <c r="J1042" t="s">
        <v>668</v>
      </c>
      <c r="K1042" s="554">
        <v>0.02</v>
      </c>
      <c r="L1042" s="553">
        <v>119</v>
      </c>
    </row>
    <row r="1043" spans="2:12">
      <c r="B1043" t="s">
        <v>649</v>
      </c>
      <c r="C1043" t="s">
        <v>737</v>
      </c>
      <c r="D1043" s="555">
        <v>2105</v>
      </c>
      <c r="E1043">
        <v>819</v>
      </c>
      <c r="F1043" s="553">
        <v>281</v>
      </c>
      <c r="G1043" t="s">
        <v>653</v>
      </c>
      <c r="H1043" s="554">
        <v>0.62</v>
      </c>
      <c r="I1043" s="553">
        <v>306</v>
      </c>
      <c r="J1043" t="s">
        <v>647</v>
      </c>
      <c r="K1043" s="554">
        <v>0.21</v>
      </c>
      <c r="L1043" s="553">
        <v>221</v>
      </c>
    </row>
    <row r="1044" spans="2:12">
      <c r="B1044" t="s">
        <v>732</v>
      </c>
      <c r="C1044" t="s">
        <v>641</v>
      </c>
      <c r="D1044" s="555">
        <v>2125</v>
      </c>
      <c r="E1044">
        <v>337</v>
      </c>
      <c r="F1044" s="553">
        <v>280</v>
      </c>
      <c r="G1044" t="s">
        <v>639</v>
      </c>
      <c r="H1044" s="554">
        <v>0.6</v>
      </c>
      <c r="I1044" s="553">
        <v>292</v>
      </c>
      <c r="J1044" t="s">
        <v>644</v>
      </c>
      <c r="K1044" s="554">
        <v>0.13</v>
      </c>
      <c r="L1044" s="553">
        <v>250</v>
      </c>
    </row>
    <row r="1045" spans="2:12">
      <c r="B1045" t="s">
        <v>735</v>
      </c>
      <c r="C1045" t="s">
        <v>773</v>
      </c>
      <c r="D1045" s="555">
        <v>2152</v>
      </c>
      <c r="E1045">
        <v>194</v>
      </c>
      <c r="F1045" s="553">
        <v>279</v>
      </c>
      <c r="G1045" t="s">
        <v>645</v>
      </c>
      <c r="H1045" s="554">
        <v>0.39</v>
      </c>
      <c r="I1045" s="553">
        <v>267</v>
      </c>
      <c r="J1045" t="s">
        <v>663</v>
      </c>
      <c r="K1045" s="554">
        <v>0.1</v>
      </c>
      <c r="L1045" s="553">
        <v>221</v>
      </c>
    </row>
    <row r="1046" spans="2:12">
      <c r="B1046" t="s">
        <v>673</v>
      </c>
      <c r="C1046" t="s">
        <v>735</v>
      </c>
      <c r="D1046" s="555">
        <v>2125</v>
      </c>
      <c r="E1046" s="555">
        <v>1109</v>
      </c>
      <c r="F1046" s="553">
        <v>278</v>
      </c>
      <c r="G1046" t="s">
        <v>645</v>
      </c>
      <c r="H1046" s="554">
        <v>0.83</v>
      </c>
      <c r="I1046" s="553">
        <v>281</v>
      </c>
      <c r="J1046" t="s">
        <v>668</v>
      </c>
      <c r="K1046" s="554">
        <v>0.01</v>
      </c>
      <c r="L1046" s="553">
        <v>96</v>
      </c>
    </row>
    <row r="1047" spans="2:12">
      <c r="B1047" t="s">
        <v>735</v>
      </c>
      <c r="C1047" t="s">
        <v>686</v>
      </c>
      <c r="D1047" s="555">
        <v>2158</v>
      </c>
      <c r="E1047">
        <v>758</v>
      </c>
      <c r="F1047" s="553">
        <v>271</v>
      </c>
      <c r="G1047" t="s">
        <v>653</v>
      </c>
      <c r="H1047" s="554">
        <v>0.46</v>
      </c>
      <c r="I1047" s="553">
        <v>310</v>
      </c>
      <c r="J1047" t="s">
        <v>663</v>
      </c>
      <c r="K1047" s="554">
        <v>0.17</v>
      </c>
      <c r="L1047" s="553">
        <v>214</v>
      </c>
    </row>
    <row r="1049" spans="2:12">
      <c r="B1049" s="552" t="s">
        <v>850</v>
      </c>
    </row>
    <row r="1050" spans="2:12">
      <c r="B1050" t="s">
        <v>851</v>
      </c>
      <c r="C1050" t="s">
        <v>753</v>
      </c>
      <c r="D1050" s="555">
        <v>2087</v>
      </c>
      <c r="E1050">
        <v>258</v>
      </c>
      <c r="F1050" s="553">
        <v>262</v>
      </c>
      <c r="G1050" t="s">
        <v>1459</v>
      </c>
      <c r="H1050" s="554">
        <v>0.37</v>
      </c>
      <c r="I1050" s="553">
        <v>239</v>
      </c>
      <c r="J1050" t="s">
        <v>663</v>
      </c>
      <c r="K1050" s="554">
        <v>0.37</v>
      </c>
      <c r="L1050" s="553">
        <v>239</v>
      </c>
    </row>
    <row r="1051" spans="2:12">
      <c r="B1051" t="s">
        <v>687</v>
      </c>
      <c r="C1051" t="s">
        <v>835</v>
      </c>
      <c r="D1051" s="555">
        <v>2106</v>
      </c>
      <c r="E1051" s="555">
        <v>2257</v>
      </c>
      <c r="F1051" s="553">
        <v>262</v>
      </c>
      <c r="G1051" t="s">
        <v>1459</v>
      </c>
      <c r="H1051" s="554">
        <v>0.44</v>
      </c>
      <c r="I1051" s="553">
        <v>247</v>
      </c>
      <c r="J1051" t="s">
        <v>659</v>
      </c>
      <c r="K1051" s="554">
        <v>0.11</v>
      </c>
      <c r="L1051" s="553">
        <v>146</v>
      </c>
    </row>
    <row r="1052" spans="2:12">
      <c r="B1052" t="s">
        <v>825</v>
      </c>
      <c r="C1052" t="s">
        <v>756</v>
      </c>
      <c r="D1052" s="555">
        <v>2073</v>
      </c>
      <c r="E1052">
        <v>859</v>
      </c>
      <c r="F1052" s="553">
        <v>256</v>
      </c>
      <c r="G1052" t="s">
        <v>669</v>
      </c>
      <c r="H1052" s="554">
        <v>0.4</v>
      </c>
      <c r="I1052" s="553">
        <v>300</v>
      </c>
      <c r="J1052" t="s">
        <v>659</v>
      </c>
      <c r="K1052" s="554">
        <v>0.25</v>
      </c>
      <c r="L1052" s="553">
        <v>128</v>
      </c>
    </row>
    <row r="1053" spans="2:12">
      <c r="B1053" t="s">
        <v>761</v>
      </c>
      <c r="C1053" t="s">
        <v>737</v>
      </c>
      <c r="D1053" s="555">
        <v>2022</v>
      </c>
      <c r="E1053" s="555">
        <v>1428</v>
      </c>
      <c r="F1053" s="553">
        <v>253</v>
      </c>
      <c r="G1053" t="s">
        <v>653</v>
      </c>
      <c r="H1053" s="554">
        <v>0.54</v>
      </c>
      <c r="I1053" s="553">
        <v>281</v>
      </c>
      <c r="J1053" t="s">
        <v>647</v>
      </c>
      <c r="K1053" s="554">
        <v>0.26</v>
      </c>
      <c r="L1053" s="553">
        <v>189</v>
      </c>
    </row>
    <row r="1054" spans="2:12">
      <c r="B1054" t="s">
        <v>709</v>
      </c>
      <c r="C1054" t="s">
        <v>761</v>
      </c>
      <c r="D1054" s="555">
        <v>2167</v>
      </c>
      <c r="E1054">
        <v>181</v>
      </c>
      <c r="F1054" s="553">
        <v>251</v>
      </c>
      <c r="G1054" t="s">
        <v>1458</v>
      </c>
      <c r="H1054" s="554">
        <v>0.37</v>
      </c>
      <c r="I1054" s="553">
        <v>152</v>
      </c>
      <c r="J1054" t="s">
        <v>647</v>
      </c>
      <c r="K1054" s="554">
        <v>0.37</v>
      </c>
      <c r="L1054" s="553">
        <v>152</v>
      </c>
    </row>
    <row r="1055" spans="2:12">
      <c r="B1055" t="s">
        <v>700</v>
      </c>
      <c r="C1055" t="s">
        <v>641</v>
      </c>
      <c r="D1055" s="555">
        <v>2016</v>
      </c>
      <c r="E1055">
        <v>378</v>
      </c>
      <c r="F1055" s="553">
        <v>251</v>
      </c>
      <c r="G1055" t="s">
        <v>639</v>
      </c>
      <c r="H1055" s="554">
        <v>0.51</v>
      </c>
      <c r="I1055" s="553">
        <v>272</v>
      </c>
      <c r="J1055" t="s">
        <v>644</v>
      </c>
      <c r="K1055" s="554">
        <v>0.17</v>
      </c>
      <c r="L1055" s="553">
        <v>230</v>
      </c>
    </row>
    <row r="1056" spans="2:12">
      <c r="B1056" t="s">
        <v>667</v>
      </c>
      <c r="C1056" t="s">
        <v>710</v>
      </c>
      <c r="D1056" s="555">
        <v>2149</v>
      </c>
      <c r="E1056">
        <v>453</v>
      </c>
      <c r="F1056" s="553">
        <v>247</v>
      </c>
      <c r="G1056" t="s">
        <v>639</v>
      </c>
      <c r="H1056" s="554">
        <v>0.32</v>
      </c>
      <c r="I1056" s="553">
        <v>231</v>
      </c>
      <c r="J1056" t="s">
        <v>663</v>
      </c>
      <c r="K1056" s="554">
        <v>0.19</v>
      </c>
      <c r="L1056" s="553">
        <v>229</v>
      </c>
    </row>
    <row r="1057" spans="2:12">
      <c r="B1057" t="s">
        <v>761</v>
      </c>
      <c r="C1057" t="s">
        <v>711</v>
      </c>
      <c r="D1057" s="555">
        <v>2189</v>
      </c>
      <c r="E1057" s="555">
        <v>2676</v>
      </c>
      <c r="F1057" s="553">
        <v>245</v>
      </c>
      <c r="G1057" t="s">
        <v>669</v>
      </c>
      <c r="H1057" s="554">
        <v>0.26</v>
      </c>
      <c r="I1057" s="553">
        <v>243</v>
      </c>
      <c r="J1057" t="s">
        <v>647</v>
      </c>
      <c r="K1057" s="554">
        <v>0.24</v>
      </c>
      <c r="L1057" s="553">
        <v>207</v>
      </c>
    </row>
    <row r="1058" spans="2:12">
      <c r="B1058" t="s">
        <v>687</v>
      </c>
      <c r="C1058" t="s">
        <v>695</v>
      </c>
      <c r="D1058" s="555">
        <v>2176</v>
      </c>
      <c r="E1058" s="555">
        <v>1290</v>
      </c>
      <c r="F1058" s="553">
        <v>229</v>
      </c>
      <c r="G1058" t="s">
        <v>645</v>
      </c>
      <c r="H1058" s="554">
        <v>0.53</v>
      </c>
      <c r="I1058" s="553">
        <v>281</v>
      </c>
      <c r="J1058" t="s">
        <v>668</v>
      </c>
      <c r="K1058" s="554">
        <v>0.21</v>
      </c>
      <c r="L1058" s="553">
        <v>122</v>
      </c>
    </row>
    <row r="1059" spans="2:12">
      <c r="B1059" t="s">
        <v>698</v>
      </c>
      <c r="C1059" t="s">
        <v>756</v>
      </c>
      <c r="D1059" s="555">
        <v>2153</v>
      </c>
      <c r="E1059">
        <v>398</v>
      </c>
      <c r="F1059" s="553">
        <v>221</v>
      </c>
      <c r="G1059" t="s">
        <v>1458</v>
      </c>
      <c r="H1059" s="554">
        <v>0.35</v>
      </c>
      <c r="I1059" s="553">
        <v>165</v>
      </c>
      <c r="J1059" t="s">
        <v>647</v>
      </c>
      <c r="K1059" s="554">
        <v>0.35</v>
      </c>
      <c r="L1059" s="553">
        <v>165</v>
      </c>
    </row>
    <row r="1060" spans="2:12">
      <c r="B1060" t="s">
        <v>687</v>
      </c>
      <c r="C1060" t="s">
        <v>715</v>
      </c>
      <c r="D1060" s="555">
        <v>2086</v>
      </c>
      <c r="E1060">
        <v>376</v>
      </c>
      <c r="F1060" s="553">
        <v>218</v>
      </c>
      <c r="G1060" t="s">
        <v>1458</v>
      </c>
      <c r="H1060" s="554">
        <v>0.34</v>
      </c>
      <c r="I1060" s="553">
        <v>169</v>
      </c>
      <c r="J1060" t="s">
        <v>647</v>
      </c>
      <c r="K1060" s="554">
        <v>0.34</v>
      </c>
      <c r="L1060" s="553">
        <v>169</v>
      </c>
    </row>
    <row r="1061" spans="2:12">
      <c r="B1061" t="s">
        <v>842</v>
      </c>
      <c r="C1061" t="s">
        <v>737</v>
      </c>
      <c r="D1061" s="555">
        <v>2088</v>
      </c>
      <c r="E1061">
        <v>555</v>
      </c>
      <c r="F1061" s="553">
        <v>209</v>
      </c>
      <c r="G1061" t="s">
        <v>653</v>
      </c>
      <c r="H1061" s="554">
        <v>0.52</v>
      </c>
      <c r="I1061" s="553">
        <v>229</v>
      </c>
      <c r="J1061" t="s">
        <v>647</v>
      </c>
      <c r="K1061" s="554">
        <v>0.26</v>
      </c>
      <c r="L1061" s="553">
        <v>166</v>
      </c>
    </row>
    <row r="1062" spans="2:12">
      <c r="B1062" t="s">
        <v>687</v>
      </c>
      <c r="C1062" t="s">
        <v>807</v>
      </c>
      <c r="D1062" s="555">
        <v>2174</v>
      </c>
      <c r="E1062" s="555">
        <v>1857</v>
      </c>
      <c r="F1062" s="553">
        <v>202</v>
      </c>
      <c r="G1062" t="s">
        <v>645</v>
      </c>
      <c r="H1062" s="554">
        <v>0.34</v>
      </c>
      <c r="I1062" s="553">
        <v>261</v>
      </c>
      <c r="J1062" t="s">
        <v>668</v>
      </c>
      <c r="K1062" s="554">
        <v>0.12</v>
      </c>
      <c r="L1062" s="553">
        <v>102</v>
      </c>
    </row>
    <row r="1063" spans="2:12">
      <c r="B1063" t="s">
        <v>729</v>
      </c>
      <c r="C1063" t="s">
        <v>852</v>
      </c>
      <c r="D1063" s="555">
        <v>2086</v>
      </c>
      <c r="E1063">
        <v>317</v>
      </c>
      <c r="F1063" s="553">
        <v>197</v>
      </c>
      <c r="G1063" t="s">
        <v>639</v>
      </c>
      <c r="H1063" s="554">
        <v>0.54</v>
      </c>
      <c r="I1063" s="553">
        <v>208</v>
      </c>
      <c r="J1063" t="s">
        <v>651</v>
      </c>
      <c r="K1063" s="554">
        <v>0.15</v>
      </c>
      <c r="L1063" s="553">
        <v>172</v>
      </c>
    </row>
    <row r="1064" spans="2:12">
      <c r="B1064" t="s">
        <v>687</v>
      </c>
      <c r="C1064" t="s">
        <v>667</v>
      </c>
      <c r="D1064" s="555">
        <v>2039</v>
      </c>
      <c r="E1064" s="555">
        <v>1170</v>
      </c>
      <c r="F1064" s="553">
        <v>193</v>
      </c>
      <c r="G1064" t="s">
        <v>660</v>
      </c>
      <c r="H1064" s="554">
        <v>0.28999999999999998</v>
      </c>
      <c r="I1064" s="553">
        <v>115</v>
      </c>
      <c r="J1064" t="s">
        <v>668</v>
      </c>
      <c r="K1064" s="554">
        <v>0.23</v>
      </c>
      <c r="L1064" s="553">
        <v>112</v>
      </c>
    </row>
    <row r="1065" spans="2:12">
      <c r="B1065" t="s">
        <v>687</v>
      </c>
      <c r="C1065" t="s">
        <v>699</v>
      </c>
      <c r="D1065" s="555">
        <v>2026</v>
      </c>
      <c r="E1065">
        <v>831</v>
      </c>
      <c r="F1065" s="553">
        <v>181</v>
      </c>
      <c r="G1065" t="s">
        <v>653</v>
      </c>
      <c r="H1065" s="554">
        <v>0.36</v>
      </c>
      <c r="I1065" s="553">
        <v>213</v>
      </c>
      <c r="J1065" t="s">
        <v>668</v>
      </c>
      <c r="K1065" s="554">
        <v>0.22</v>
      </c>
      <c r="L1065" s="553">
        <v>101</v>
      </c>
    </row>
    <row r="1066" spans="2:12">
      <c r="D1066" s="555"/>
      <c r="F1066" s="553"/>
      <c r="H1066" s="554"/>
      <c r="I1066" s="553"/>
      <c r="K1066" s="554"/>
      <c r="L1066" s="553"/>
    </row>
    <row r="1067" spans="2:12">
      <c r="B1067" s="552" t="s">
        <v>853</v>
      </c>
    </row>
    <row r="1068" spans="2:12">
      <c r="B1068" t="s">
        <v>756</v>
      </c>
      <c r="C1068" t="s">
        <v>675</v>
      </c>
      <c r="D1068" s="555">
        <v>2351</v>
      </c>
      <c r="E1068">
        <v>182</v>
      </c>
      <c r="F1068" s="553">
        <v>380</v>
      </c>
      <c r="G1068" t="s">
        <v>645</v>
      </c>
      <c r="H1068" s="554">
        <v>0.45</v>
      </c>
      <c r="I1068" s="553">
        <v>359</v>
      </c>
      <c r="J1068" t="s">
        <v>644</v>
      </c>
      <c r="K1068" s="554">
        <v>0.45</v>
      </c>
      <c r="L1068" s="553">
        <v>359</v>
      </c>
    </row>
    <row r="1069" spans="2:12">
      <c r="B1069" t="s">
        <v>732</v>
      </c>
      <c r="C1069" t="s">
        <v>752</v>
      </c>
      <c r="D1069" s="555">
        <v>2254</v>
      </c>
      <c r="E1069">
        <v>344</v>
      </c>
      <c r="F1069" s="553">
        <v>345</v>
      </c>
      <c r="G1069" t="s">
        <v>1459</v>
      </c>
      <c r="H1069" s="554">
        <v>0.28000000000000003</v>
      </c>
      <c r="I1069" s="553">
        <v>303</v>
      </c>
      <c r="J1069" t="s">
        <v>663</v>
      </c>
      <c r="K1069" s="554">
        <v>0.28000000000000003</v>
      </c>
      <c r="L1069" s="553">
        <v>303</v>
      </c>
    </row>
    <row r="1070" spans="2:12">
      <c r="B1070" t="s">
        <v>728</v>
      </c>
      <c r="C1070" t="s">
        <v>835</v>
      </c>
      <c r="D1070" s="555">
        <v>2286</v>
      </c>
      <c r="E1070">
        <v>200</v>
      </c>
      <c r="F1070" s="553">
        <v>316</v>
      </c>
      <c r="G1070" t="s">
        <v>1459</v>
      </c>
      <c r="H1070" s="554">
        <v>0.35</v>
      </c>
      <c r="I1070" s="553">
        <v>277</v>
      </c>
      <c r="J1070" t="s">
        <v>663</v>
      </c>
      <c r="K1070" s="554">
        <v>0.35</v>
      </c>
      <c r="L1070" s="553">
        <v>277</v>
      </c>
    </row>
    <row r="1071" spans="2:12">
      <c r="B1071" t="s">
        <v>710</v>
      </c>
      <c r="C1071" t="s">
        <v>835</v>
      </c>
      <c r="D1071" s="555">
        <v>2295</v>
      </c>
      <c r="E1071" s="555">
        <v>1407</v>
      </c>
      <c r="F1071" s="553">
        <v>313</v>
      </c>
      <c r="G1071" t="s">
        <v>669</v>
      </c>
      <c r="H1071" s="554">
        <v>0.37</v>
      </c>
      <c r="I1071" s="553">
        <v>353</v>
      </c>
      <c r="J1071" t="s">
        <v>663</v>
      </c>
      <c r="K1071" s="554">
        <v>0.35</v>
      </c>
      <c r="L1071" s="553">
        <v>279</v>
      </c>
    </row>
    <row r="1072" spans="2:12">
      <c r="B1072" t="s">
        <v>756</v>
      </c>
      <c r="C1072" t="s">
        <v>759</v>
      </c>
      <c r="D1072" s="555">
        <v>2371</v>
      </c>
      <c r="E1072">
        <v>341</v>
      </c>
      <c r="F1072" s="553">
        <v>313</v>
      </c>
      <c r="G1072" t="s">
        <v>645</v>
      </c>
      <c r="H1072" s="554">
        <v>0.45</v>
      </c>
      <c r="I1072" s="553">
        <v>315</v>
      </c>
      <c r="J1072" t="s">
        <v>663</v>
      </c>
      <c r="K1072" s="554">
        <v>0.11</v>
      </c>
      <c r="L1072" s="553">
        <v>271</v>
      </c>
    </row>
    <row r="1073" spans="2:12">
      <c r="B1073" t="s">
        <v>695</v>
      </c>
      <c r="C1073" t="s">
        <v>710</v>
      </c>
      <c r="D1073" s="555">
        <v>2370</v>
      </c>
      <c r="E1073">
        <v>625</v>
      </c>
      <c r="F1073" s="553">
        <v>312</v>
      </c>
      <c r="G1073" t="s">
        <v>645</v>
      </c>
      <c r="H1073" s="554">
        <v>0.79</v>
      </c>
      <c r="I1073" s="553">
        <v>317</v>
      </c>
      <c r="J1073" t="s">
        <v>668</v>
      </c>
      <c r="K1073" s="554">
        <v>0.02</v>
      </c>
      <c r="L1073" s="553">
        <v>128</v>
      </c>
    </row>
    <row r="1074" spans="2:12">
      <c r="B1074" t="s">
        <v>673</v>
      </c>
      <c r="C1074" t="s">
        <v>640</v>
      </c>
      <c r="D1074" s="555">
        <v>2282</v>
      </c>
      <c r="E1074">
        <v>190</v>
      </c>
      <c r="F1074" s="553">
        <v>310</v>
      </c>
      <c r="G1074" t="s">
        <v>645</v>
      </c>
      <c r="H1074" s="554">
        <v>0.54</v>
      </c>
      <c r="I1074" s="553">
        <v>329</v>
      </c>
      <c r="J1074" t="s">
        <v>652</v>
      </c>
      <c r="K1074" s="554">
        <v>0.28000000000000003</v>
      </c>
      <c r="L1074" s="553">
        <v>302</v>
      </c>
    </row>
    <row r="1075" spans="2:12">
      <c r="B1075" t="s">
        <v>734</v>
      </c>
      <c r="C1075" t="s">
        <v>835</v>
      </c>
      <c r="D1075" s="555">
        <v>2395</v>
      </c>
      <c r="E1075">
        <v>553</v>
      </c>
      <c r="F1075" s="553">
        <v>304</v>
      </c>
      <c r="G1075" t="s">
        <v>669</v>
      </c>
      <c r="H1075" s="554">
        <v>0.4</v>
      </c>
      <c r="I1075" s="553">
        <v>346</v>
      </c>
      <c r="J1075" t="s">
        <v>663</v>
      </c>
      <c r="K1075" s="554">
        <v>0.28000000000000003</v>
      </c>
      <c r="L1075" s="553">
        <v>257</v>
      </c>
    </row>
    <row r="1076" spans="2:12">
      <c r="B1076" t="s">
        <v>718</v>
      </c>
      <c r="C1076" t="s">
        <v>711</v>
      </c>
      <c r="D1076" s="555">
        <v>2213</v>
      </c>
      <c r="E1076">
        <v>183</v>
      </c>
      <c r="F1076" s="553">
        <v>304</v>
      </c>
      <c r="G1076" t="s">
        <v>645</v>
      </c>
      <c r="H1076" s="554">
        <v>0.4</v>
      </c>
      <c r="I1076" s="553">
        <v>314</v>
      </c>
      <c r="J1076" t="s">
        <v>663</v>
      </c>
      <c r="K1076" s="554">
        <v>0.24</v>
      </c>
      <c r="L1076" s="553">
        <v>283</v>
      </c>
    </row>
    <row r="1077" spans="2:12">
      <c r="B1077" t="s">
        <v>673</v>
      </c>
      <c r="C1077" t="s">
        <v>752</v>
      </c>
      <c r="D1077" s="555">
        <v>2296</v>
      </c>
      <c r="E1077">
        <v>634</v>
      </c>
      <c r="F1077" s="553">
        <v>301</v>
      </c>
      <c r="G1077" t="s">
        <v>645</v>
      </c>
      <c r="H1077" s="554">
        <v>0.79</v>
      </c>
      <c r="I1077" s="553">
        <v>305</v>
      </c>
      <c r="J1077" t="s">
        <v>668</v>
      </c>
      <c r="K1077" s="554">
        <v>0.02</v>
      </c>
      <c r="L1077" s="553">
        <v>105</v>
      </c>
    </row>
    <row r="1078" spans="2:12">
      <c r="B1078" t="s">
        <v>752</v>
      </c>
      <c r="C1078" t="s">
        <v>753</v>
      </c>
      <c r="D1078" s="555">
        <v>2393</v>
      </c>
      <c r="E1078">
        <v>432</v>
      </c>
      <c r="F1078" s="553">
        <v>297</v>
      </c>
      <c r="G1078" t="s">
        <v>669</v>
      </c>
      <c r="H1078" s="554">
        <v>0.48</v>
      </c>
      <c r="I1078" s="553">
        <v>314</v>
      </c>
      <c r="J1078" t="s">
        <v>663</v>
      </c>
      <c r="K1078" s="554">
        <v>0.18</v>
      </c>
      <c r="L1078" s="553">
        <v>249</v>
      </c>
    </row>
    <row r="1079" spans="2:12">
      <c r="B1079" t="s">
        <v>758</v>
      </c>
      <c r="C1079" t="s">
        <v>687</v>
      </c>
      <c r="D1079" s="555">
        <v>2381</v>
      </c>
      <c r="E1079" s="555">
        <v>1239</v>
      </c>
      <c r="F1079" s="553">
        <v>292</v>
      </c>
      <c r="G1079" t="s">
        <v>1458</v>
      </c>
      <c r="H1079" s="554">
        <v>0.49</v>
      </c>
      <c r="I1079" s="553">
        <v>310</v>
      </c>
      <c r="J1079" t="s">
        <v>647</v>
      </c>
      <c r="K1079" s="554">
        <v>0.49</v>
      </c>
      <c r="L1079" s="553">
        <v>310</v>
      </c>
    </row>
    <row r="1080" spans="2:12">
      <c r="B1080" t="s">
        <v>673</v>
      </c>
      <c r="C1080" t="s">
        <v>641</v>
      </c>
      <c r="D1080" s="555">
        <v>2279</v>
      </c>
      <c r="E1080">
        <v>399</v>
      </c>
      <c r="F1080" s="553">
        <v>291</v>
      </c>
      <c r="G1080" t="s">
        <v>645</v>
      </c>
      <c r="H1080" s="554">
        <v>0.78</v>
      </c>
      <c r="I1080" s="553">
        <v>294</v>
      </c>
      <c r="J1080" t="s">
        <v>652</v>
      </c>
      <c r="K1080" s="554">
        <v>0.15</v>
      </c>
      <c r="L1080" s="553">
        <v>289</v>
      </c>
    </row>
    <row r="1081" spans="2:12">
      <c r="B1081" t="s">
        <v>759</v>
      </c>
      <c r="C1081" t="s">
        <v>710</v>
      </c>
      <c r="D1081" s="555">
        <v>2330</v>
      </c>
      <c r="E1081">
        <v>371</v>
      </c>
      <c r="F1081" s="553">
        <v>290</v>
      </c>
      <c r="G1081" t="s">
        <v>1459</v>
      </c>
      <c r="H1081" s="554">
        <v>0.43</v>
      </c>
      <c r="I1081" s="553">
        <v>246</v>
      </c>
      <c r="J1081" t="s">
        <v>663</v>
      </c>
      <c r="K1081" s="554">
        <v>0.43</v>
      </c>
      <c r="L1081" s="553">
        <v>246</v>
      </c>
    </row>
    <row r="1082" spans="2:12">
      <c r="B1082" t="s">
        <v>699</v>
      </c>
      <c r="C1082" t="s">
        <v>752</v>
      </c>
      <c r="D1082" s="555">
        <v>2400</v>
      </c>
      <c r="E1082">
        <v>578</v>
      </c>
      <c r="F1082" s="553">
        <v>288</v>
      </c>
      <c r="G1082" t="s">
        <v>669</v>
      </c>
      <c r="H1082" s="554">
        <v>0.47</v>
      </c>
      <c r="I1082" s="553">
        <v>290</v>
      </c>
      <c r="J1082" t="s">
        <v>663</v>
      </c>
      <c r="K1082" s="554">
        <v>0.15</v>
      </c>
      <c r="L1082" s="553">
        <v>252</v>
      </c>
    </row>
    <row r="1083" spans="2:12">
      <c r="B1083" t="s">
        <v>772</v>
      </c>
      <c r="C1083" t="s">
        <v>756</v>
      </c>
      <c r="D1083" s="555">
        <v>2238</v>
      </c>
      <c r="E1083">
        <v>203</v>
      </c>
      <c r="F1083" s="553">
        <v>286</v>
      </c>
      <c r="G1083" t="s">
        <v>645</v>
      </c>
      <c r="H1083" s="554">
        <v>0.44</v>
      </c>
      <c r="I1083" s="553">
        <v>289</v>
      </c>
      <c r="J1083" t="s">
        <v>663</v>
      </c>
      <c r="K1083" s="554">
        <v>0.16</v>
      </c>
      <c r="L1083" s="553">
        <v>205</v>
      </c>
    </row>
    <row r="1084" spans="2:12">
      <c r="B1084" t="s">
        <v>758</v>
      </c>
      <c r="C1084" t="s">
        <v>711</v>
      </c>
      <c r="D1084" s="555">
        <v>2300</v>
      </c>
      <c r="E1084" s="555">
        <v>1129</v>
      </c>
      <c r="F1084" s="553">
        <v>282</v>
      </c>
      <c r="G1084" t="s">
        <v>645</v>
      </c>
      <c r="H1084" s="554">
        <v>0.54</v>
      </c>
      <c r="I1084" s="553">
        <v>297</v>
      </c>
      <c r="J1084" t="s">
        <v>647</v>
      </c>
      <c r="K1084" s="554">
        <v>0.26</v>
      </c>
      <c r="L1084" s="553">
        <v>241</v>
      </c>
    </row>
    <row r="1086" spans="2:12">
      <c r="B1086" s="552" t="s">
        <v>854</v>
      </c>
    </row>
    <row r="1087" spans="2:12">
      <c r="B1087" t="s">
        <v>695</v>
      </c>
      <c r="C1087" t="s">
        <v>641</v>
      </c>
      <c r="D1087" s="555">
        <v>2378</v>
      </c>
      <c r="E1087">
        <v>777</v>
      </c>
      <c r="F1087" s="553">
        <v>282</v>
      </c>
      <c r="G1087" t="s">
        <v>645</v>
      </c>
      <c r="H1087" s="554">
        <v>0.5</v>
      </c>
      <c r="I1087" s="553">
        <v>279</v>
      </c>
      <c r="J1087" t="s">
        <v>644</v>
      </c>
      <c r="K1087" s="554">
        <v>0.5</v>
      </c>
      <c r="L1087" s="553">
        <v>279</v>
      </c>
    </row>
    <row r="1088" spans="2:12">
      <c r="B1088" t="s">
        <v>687</v>
      </c>
      <c r="C1088" t="s">
        <v>650</v>
      </c>
      <c r="D1088" s="555">
        <v>2282</v>
      </c>
      <c r="E1088" s="555">
        <v>3927</v>
      </c>
      <c r="F1088" s="553">
        <v>280</v>
      </c>
      <c r="G1088" t="s">
        <v>669</v>
      </c>
      <c r="H1088" s="554">
        <v>0.3</v>
      </c>
      <c r="I1088" s="553">
        <v>289</v>
      </c>
      <c r="J1088" t="s">
        <v>647</v>
      </c>
      <c r="K1088" s="554">
        <v>0.25</v>
      </c>
      <c r="L1088" s="553">
        <v>279</v>
      </c>
    </row>
    <row r="1089" spans="2:12">
      <c r="B1089" t="s">
        <v>640</v>
      </c>
      <c r="C1089" t="s">
        <v>702</v>
      </c>
      <c r="D1089" s="555">
        <v>2358</v>
      </c>
      <c r="E1089">
        <v>753</v>
      </c>
      <c r="F1089" s="553">
        <v>278</v>
      </c>
      <c r="G1089" t="s">
        <v>639</v>
      </c>
      <c r="H1089" s="554">
        <v>0.42</v>
      </c>
      <c r="I1089" s="553">
        <v>260</v>
      </c>
      <c r="J1089" t="s">
        <v>638</v>
      </c>
      <c r="K1089" s="554">
        <v>0.42</v>
      </c>
      <c r="L1089" s="553">
        <v>260</v>
      </c>
    </row>
    <row r="1090" spans="2:12">
      <c r="B1090" t="s">
        <v>701</v>
      </c>
      <c r="C1090" t="s">
        <v>735</v>
      </c>
      <c r="D1090" s="555">
        <v>2218</v>
      </c>
      <c r="E1090">
        <v>406</v>
      </c>
      <c r="F1090" s="553">
        <v>277</v>
      </c>
      <c r="G1090" t="s">
        <v>1458</v>
      </c>
      <c r="H1090" s="554">
        <v>0.46</v>
      </c>
      <c r="I1090" s="553">
        <v>259</v>
      </c>
      <c r="J1090" t="s">
        <v>647</v>
      </c>
      <c r="K1090" s="554">
        <v>0.46</v>
      </c>
      <c r="L1090" s="553">
        <v>259</v>
      </c>
    </row>
    <row r="1091" spans="2:12">
      <c r="B1091" t="s">
        <v>735</v>
      </c>
      <c r="C1091" t="s">
        <v>702</v>
      </c>
      <c r="D1091" s="555">
        <v>2329</v>
      </c>
      <c r="E1091" s="555">
        <v>4377</v>
      </c>
      <c r="F1091" s="553">
        <v>268</v>
      </c>
      <c r="G1091" t="s">
        <v>669</v>
      </c>
      <c r="H1091" s="554">
        <v>0.26</v>
      </c>
      <c r="I1091" s="553">
        <v>299</v>
      </c>
      <c r="J1091" t="s">
        <v>663</v>
      </c>
      <c r="K1091" s="554">
        <v>0.2</v>
      </c>
      <c r="L1091" s="553">
        <v>241</v>
      </c>
    </row>
    <row r="1092" spans="2:12">
      <c r="B1092" t="s">
        <v>641</v>
      </c>
      <c r="C1092" t="s">
        <v>702</v>
      </c>
      <c r="D1092" s="555">
        <v>2335</v>
      </c>
      <c r="E1092" s="555">
        <v>1866</v>
      </c>
      <c r="F1092" s="553">
        <v>257</v>
      </c>
      <c r="G1092" t="s">
        <v>639</v>
      </c>
      <c r="H1092" s="554">
        <v>0.61</v>
      </c>
      <c r="I1092" s="553">
        <v>253</v>
      </c>
      <c r="J1092" t="s">
        <v>638</v>
      </c>
      <c r="K1092" s="554">
        <v>0.61</v>
      </c>
      <c r="L1092" s="553">
        <v>253</v>
      </c>
    </row>
    <row r="1093" spans="2:12">
      <c r="B1093" t="s">
        <v>685</v>
      </c>
      <c r="C1093" t="s">
        <v>710</v>
      </c>
      <c r="D1093" s="555">
        <v>2269</v>
      </c>
      <c r="E1093">
        <v>547</v>
      </c>
      <c r="F1093" s="553">
        <v>246</v>
      </c>
      <c r="G1093" t="s">
        <v>645</v>
      </c>
      <c r="H1093" s="554">
        <v>0.44</v>
      </c>
      <c r="I1093" s="553">
        <v>272</v>
      </c>
      <c r="J1093" t="s">
        <v>647</v>
      </c>
      <c r="K1093" s="554">
        <v>0.19</v>
      </c>
      <c r="L1093" s="553">
        <v>185</v>
      </c>
    </row>
    <row r="1094" spans="2:12">
      <c r="B1094" t="s">
        <v>699</v>
      </c>
      <c r="C1094" t="s">
        <v>641</v>
      </c>
      <c r="D1094" s="555">
        <v>2354</v>
      </c>
      <c r="E1094">
        <v>547</v>
      </c>
      <c r="F1094" s="553">
        <v>245</v>
      </c>
      <c r="G1094" t="s">
        <v>639</v>
      </c>
      <c r="H1094" s="554">
        <v>0.52</v>
      </c>
      <c r="I1094" s="553">
        <v>241</v>
      </c>
      <c r="J1094" t="s">
        <v>638</v>
      </c>
      <c r="K1094" s="554">
        <v>0.52</v>
      </c>
      <c r="L1094" s="553">
        <v>241</v>
      </c>
    </row>
    <row r="1095" spans="2:12">
      <c r="B1095" t="s">
        <v>735</v>
      </c>
      <c r="C1095" t="s">
        <v>771</v>
      </c>
      <c r="D1095" s="555">
        <v>2330</v>
      </c>
      <c r="E1095">
        <v>229</v>
      </c>
      <c r="F1095" s="553">
        <v>243</v>
      </c>
      <c r="G1095" t="s">
        <v>1458</v>
      </c>
      <c r="H1095" s="554">
        <v>0.59</v>
      </c>
      <c r="I1095" s="553">
        <v>211</v>
      </c>
      <c r="J1095" t="s">
        <v>647</v>
      </c>
      <c r="K1095" s="554">
        <v>0.59</v>
      </c>
      <c r="L1095" s="553">
        <v>211</v>
      </c>
    </row>
    <row r="1096" spans="2:12">
      <c r="B1096" t="s">
        <v>735</v>
      </c>
      <c r="C1096" t="s">
        <v>715</v>
      </c>
      <c r="D1096" s="555">
        <v>2305</v>
      </c>
      <c r="E1096">
        <v>426</v>
      </c>
      <c r="F1096" s="553">
        <v>233</v>
      </c>
      <c r="G1096" t="s">
        <v>645</v>
      </c>
      <c r="H1096" s="554">
        <v>0.34</v>
      </c>
      <c r="I1096" s="553">
        <v>249</v>
      </c>
      <c r="J1096" t="s">
        <v>647</v>
      </c>
      <c r="K1096" s="554">
        <v>0.34</v>
      </c>
      <c r="L1096" s="553">
        <v>177</v>
      </c>
    </row>
    <row r="1097" spans="2:12">
      <c r="B1097" t="s">
        <v>735</v>
      </c>
      <c r="C1097" t="s">
        <v>699</v>
      </c>
      <c r="D1097" s="555">
        <v>2239</v>
      </c>
      <c r="E1097" s="555">
        <v>1059</v>
      </c>
      <c r="F1097" s="553">
        <v>228</v>
      </c>
      <c r="G1097" t="s">
        <v>653</v>
      </c>
      <c r="H1097" s="554">
        <v>0.43</v>
      </c>
      <c r="I1097" s="553">
        <v>249</v>
      </c>
      <c r="J1097" t="s">
        <v>647</v>
      </c>
      <c r="K1097" s="554">
        <v>0.14000000000000001</v>
      </c>
      <c r="L1097" s="553">
        <v>170</v>
      </c>
    </row>
    <row r="1098" spans="2:12">
      <c r="B1098" t="s">
        <v>735</v>
      </c>
      <c r="C1098" t="s">
        <v>685</v>
      </c>
      <c r="D1098" s="555">
        <v>2343</v>
      </c>
      <c r="E1098" s="555">
        <v>3842</v>
      </c>
      <c r="F1098" s="553">
        <v>227</v>
      </c>
      <c r="G1098" t="s">
        <v>645</v>
      </c>
      <c r="H1098" s="554">
        <v>0.54</v>
      </c>
      <c r="I1098" s="553">
        <v>239</v>
      </c>
      <c r="J1098" t="s">
        <v>647</v>
      </c>
      <c r="K1098" s="554">
        <v>0.27</v>
      </c>
      <c r="L1098" s="553">
        <v>227</v>
      </c>
    </row>
    <row r="1099" spans="2:12">
      <c r="B1099" t="s">
        <v>718</v>
      </c>
      <c r="C1099" t="s">
        <v>687</v>
      </c>
      <c r="D1099" s="555">
        <v>2297</v>
      </c>
      <c r="E1099">
        <v>358</v>
      </c>
      <c r="F1099" s="553">
        <v>220</v>
      </c>
      <c r="G1099" t="s">
        <v>1458</v>
      </c>
      <c r="H1099" s="554">
        <v>0.55000000000000004</v>
      </c>
      <c r="I1099" s="553">
        <v>185</v>
      </c>
      <c r="J1099" t="s">
        <v>647</v>
      </c>
      <c r="K1099" s="554">
        <v>0.55000000000000004</v>
      </c>
      <c r="L1099" s="553">
        <v>185</v>
      </c>
    </row>
    <row r="1100" spans="2:12">
      <c r="B1100" t="s">
        <v>692</v>
      </c>
      <c r="C1100" t="s">
        <v>735</v>
      </c>
      <c r="D1100" s="555">
        <v>2206</v>
      </c>
      <c r="E1100">
        <v>370</v>
      </c>
      <c r="F1100" s="553">
        <v>217</v>
      </c>
      <c r="G1100" t="s">
        <v>1458</v>
      </c>
      <c r="H1100" s="554">
        <v>0.45</v>
      </c>
      <c r="I1100" s="553">
        <v>162</v>
      </c>
      <c r="J1100" t="s">
        <v>647</v>
      </c>
      <c r="K1100" s="554">
        <v>0.45</v>
      </c>
      <c r="L1100" s="553">
        <v>162</v>
      </c>
    </row>
    <row r="1101" spans="2:12">
      <c r="B1101" t="s">
        <v>735</v>
      </c>
      <c r="C1101" t="s">
        <v>667</v>
      </c>
      <c r="D1101" s="555">
        <v>2218</v>
      </c>
      <c r="E1101" s="555">
        <v>2753</v>
      </c>
      <c r="F1101" s="553">
        <v>184</v>
      </c>
      <c r="G1101" t="s">
        <v>653</v>
      </c>
      <c r="H1101" s="554">
        <v>0.36</v>
      </c>
      <c r="I1101" s="553">
        <v>200</v>
      </c>
      <c r="J1101" t="s">
        <v>651</v>
      </c>
      <c r="K1101" s="554">
        <v>0.21</v>
      </c>
      <c r="L1101" s="553">
        <v>181</v>
      </c>
    </row>
    <row r="1102" spans="2:12">
      <c r="D1102" s="555"/>
      <c r="E1102" s="555"/>
      <c r="F1102" s="553"/>
      <c r="H1102" s="554"/>
      <c r="I1102" s="553"/>
      <c r="K1102" s="554"/>
      <c r="L1102" s="553"/>
    </row>
    <row r="1103" spans="2:12">
      <c r="B1103" s="552" t="s">
        <v>855</v>
      </c>
    </row>
    <row r="1104" spans="2:12">
      <c r="B1104" t="s">
        <v>714</v>
      </c>
      <c r="C1104" t="s">
        <v>735</v>
      </c>
      <c r="D1104" s="555">
        <v>2468</v>
      </c>
      <c r="E1104">
        <v>200</v>
      </c>
      <c r="F1104" s="553">
        <v>386</v>
      </c>
      <c r="G1104" t="s">
        <v>645</v>
      </c>
      <c r="H1104" s="554">
        <v>0.27</v>
      </c>
      <c r="I1104" s="553">
        <v>403</v>
      </c>
      <c r="J1104" t="s">
        <v>663</v>
      </c>
      <c r="K1104" s="554">
        <v>0.26</v>
      </c>
      <c r="L1104" s="553">
        <v>319</v>
      </c>
    </row>
    <row r="1105" spans="2:12">
      <c r="B1105" t="s">
        <v>649</v>
      </c>
      <c r="C1105" t="s">
        <v>707</v>
      </c>
      <c r="D1105" s="555">
        <v>2704</v>
      </c>
      <c r="E1105" s="555">
        <v>2799</v>
      </c>
      <c r="F1105" s="553">
        <v>386</v>
      </c>
      <c r="G1105" t="s">
        <v>1458</v>
      </c>
      <c r="H1105" s="554">
        <v>0.47</v>
      </c>
      <c r="I1105" s="553">
        <v>405</v>
      </c>
      <c r="J1105" t="s">
        <v>647</v>
      </c>
      <c r="K1105" s="554">
        <v>0.47</v>
      </c>
      <c r="L1105" s="553">
        <v>405</v>
      </c>
    </row>
    <row r="1106" spans="2:12">
      <c r="B1106" t="s">
        <v>650</v>
      </c>
      <c r="C1106" t="s">
        <v>707</v>
      </c>
      <c r="D1106" s="555">
        <v>2619</v>
      </c>
      <c r="E1106" s="555">
        <v>6421</v>
      </c>
      <c r="F1106" s="553">
        <v>355</v>
      </c>
      <c r="G1106" t="s">
        <v>669</v>
      </c>
      <c r="H1106" s="554">
        <v>0.32</v>
      </c>
      <c r="I1106" s="553">
        <v>391</v>
      </c>
      <c r="J1106" t="s">
        <v>652</v>
      </c>
      <c r="K1106" s="554">
        <v>0.25</v>
      </c>
      <c r="L1106" s="553">
        <v>324</v>
      </c>
    </row>
    <row r="1107" spans="2:12">
      <c r="B1107" t="s">
        <v>707</v>
      </c>
      <c r="C1107" t="s">
        <v>702</v>
      </c>
      <c r="D1107" s="555">
        <v>2457</v>
      </c>
      <c r="E1107" s="555">
        <v>2351</v>
      </c>
      <c r="F1107" s="553">
        <v>354</v>
      </c>
      <c r="G1107" t="s">
        <v>669</v>
      </c>
      <c r="H1107" s="554">
        <v>0.48</v>
      </c>
      <c r="I1107" s="553">
        <v>411</v>
      </c>
      <c r="J1107" t="s">
        <v>663</v>
      </c>
      <c r="K1107" s="554">
        <v>0.17</v>
      </c>
      <c r="L1107" s="553">
        <v>279</v>
      </c>
    </row>
    <row r="1108" spans="2:12">
      <c r="B1108" t="s">
        <v>735</v>
      </c>
      <c r="C1108" t="s">
        <v>650</v>
      </c>
      <c r="D1108" s="555">
        <v>2510</v>
      </c>
      <c r="E1108" s="555">
        <v>10966</v>
      </c>
      <c r="F1108" s="553">
        <v>353</v>
      </c>
      <c r="G1108" t="s">
        <v>1458</v>
      </c>
      <c r="H1108" s="554">
        <v>0.28999999999999998</v>
      </c>
      <c r="I1108" s="553">
        <v>334</v>
      </c>
      <c r="J1108" t="s">
        <v>647</v>
      </c>
      <c r="K1108" s="554">
        <v>0.28999999999999998</v>
      </c>
      <c r="L1108" s="553">
        <v>334</v>
      </c>
    </row>
    <row r="1109" spans="2:12">
      <c r="B1109" t="s">
        <v>695</v>
      </c>
      <c r="C1109" t="s">
        <v>707</v>
      </c>
      <c r="D1109" s="555">
        <v>2521</v>
      </c>
      <c r="E1109" s="555">
        <v>1029</v>
      </c>
      <c r="F1109" s="553">
        <v>337</v>
      </c>
      <c r="G1109" t="s">
        <v>645</v>
      </c>
      <c r="H1109" s="554">
        <v>0.57999999999999996</v>
      </c>
      <c r="I1109" s="553">
        <v>358</v>
      </c>
      <c r="J1109" t="s">
        <v>651</v>
      </c>
      <c r="K1109" s="554">
        <v>0.19</v>
      </c>
      <c r="L1109" s="553">
        <v>340</v>
      </c>
    </row>
    <row r="1110" spans="2:12">
      <c r="B1110" t="s">
        <v>649</v>
      </c>
      <c r="C1110" t="s">
        <v>710</v>
      </c>
      <c r="D1110" s="555">
        <v>2588</v>
      </c>
      <c r="E1110" s="555">
        <v>1227</v>
      </c>
      <c r="F1110" s="553">
        <v>328</v>
      </c>
      <c r="G1110" t="s">
        <v>1458</v>
      </c>
      <c r="H1110" s="554">
        <v>0.49</v>
      </c>
      <c r="I1110" s="553">
        <v>356</v>
      </c>
      <c r="J1110" t="s">
        <v>638</v>
      </c>
      <c r="K1110" s="554">
        <v>0.17</v>
      </c>
      <c r="L1110" s="553">
        <v>293</v>
      </c>
    </row>
    <row r="1111" spans="2:12">
      <c r="B1111" t="s">
        <v>649</v>
      </c>
      <c r="C1111" t="s">
        <v>735</v>
      </c>
      <c r="D1111" s="555">
        <v>2611</v>
      </c>
      <c r="E1111" s="555">
        <v>3574</v>
      </c>
      <c r="F1111" s="553">
        <v>326</v>
      </c>
      <c r="G1111" t="s">
        <v>1458</v>
      </c>
      <c r="H1111" s="554">
        <v>0.28999999999999998</v>
      </c>
      <c r="I1111" s="553">
        <v>350</v>
      </c>
      <c r="J1111" t="s">
        <v>644</v>
      </c>
      <c r="K1111" s="554">
        <v>0.24</v>
      </c>
      <c r="L1111" s="553">
        <v>309</v>
      </c>
    </row>
    <row r="1112" spans="2:12">
      <c r="B1112" t="s">
        <v>695</v>
      </c>
      <c r="C1112" t="s">
        <v>734</v>
      </c>
      <c r="D1112" s="555">
        <v>2458</v>
      </c>
      <c r="E1112">
        <v>180</v>
      </c>
      <c r="F1112" s="553">
        <v>312</v>
      </c>
      <c r="G1112" t="s">
        <v>645</v>
      </c>
      <c r="H1112" s="554">
        <v>0.45</v>
      </c>
      <c r="I1112" s="553">
        <v>310</v>
      </c>
      <c r="J1112" t="s">
        <v>644</v>
      </c>
      <c r="K1112" s="554">
        <v>0.45</v>
      </c>
      <c r="L1112" s="553">
        <v>310</v>
      </c>
    </row>
    <row r="1113" spans="2:12">
      <c r="B1113" t="s">
        <v>649</v>
      </c>
      <c r="C1113" t="s">
        <v>640</v>
      </c>
      <c r="D1113" s="555">
        <v>2537</v>
      </c>
      <c r="E1113">
        <v>693</v>
      </c>
      <c r="F1113" s="553">
        <v>311</v>
      </c>
      <c r="G1113" t="s">
        <v>639</v>
      </c>
      <c r="H1113" s="554">
        <v>0.35</v>
      </c>
      <c r="I1113" s="553">
        <v>334</v>
      </c>
      <c r="J1113" t="s">
        <v>652</v>
      </c>
      <c r="K1113" s="554">
        <v>0.17</v>
      </c>
      <c r="L1113" s="553">
        <v>290</v>
      </c>
    </row>
    <row r="1114" spans="2:12">
      <c r="B1114" t="s">
        <v>649</v>
      </c>
      <c r="C1114" t="s">
        <v>734</v>
      </c>
      <c r="D1114" s="555">
        <v>2636</v>
      </c>
      <c r="E1114">
        <v>335</v>
      </c>
      <c r="F1114" s="553">
        <v>308</v>
      </c>
      <c r="G1114" t="s">
        <v>1458</v>
      </c>
      <c r="H1114" s="554">
        <v>0.3</v>
      </c>
      <c r="I1114" s="553">
        <v>291</v>
      </c>
      <c r="J1114" t="s">
        <v>647</v>
      </c>
      <c r="K1114" s="554">
        <v>0.3</v>
      </c>
      <c r="L1114" s="553">
        <v>291</v>
      </c>
    </row>
    <row r="1115" spans="2:12">
      <c r="B1115" t="s">
        <v>649</v>
      </c>
      <c r="C1115" t="s">
        <v>641</v>
      </c>
      <c r="D1115" s="555">
        <v>2496</v>
      </c>
      <c r="E1115" s="555">
        <v>1548</v>
      </c>
      <c r="F1115" s="553">
        <v>305</v>
      </c>
      <c r="G1115" t="s">
        <v>653</v>
      </c>
      <c r="H1115" s="554">
        <v>0.37</v>
      </c>
      <c r="I1115" s="553">
        <v>296</v>
      </c>
      <c r="J1115" t="s">
        <v>652</v>
      </c>
      <c r="K1115" s="554">
        <v>0.37</v>
      </c>
      <c r="L1115" s="553">
        <v>296</v>
      </c>
    </row>
    <row r="1116" spans="2:12">
      <c r="B1116" t="s">
        <v>717</v>
      </c>
      <c r="C1116" t="s">
        <v>641</v>
      </c>
      <c r="D1116" s="555">
        <v>2437</v>
      </c>
      <c r="E1116">
        <v>207</v>
      </c>
      <c r="F1116" s="553">
        <v>300</v>
      </c>
      <c r="G1116" t="s">
        <v>645</v>
      </c>
      <c r="H1116" s="554">
        <v>0.44</v>
      </c>
      <c r="I1116" s="553">
        <v>287</v>
      </c>
      <c r="J1116" t="s">
        <v>644</v>
      </c>
      <c r="K1116" s="554">
        <v>0.44</v>
      </c>
      <c r="L1116" s="553">
        <v>287</v>
      </c>
    </row>
    <row r="1117" spans="2:12">
      <c r="B1117" t="s">
        <v>718</v>
      </c>
      <c r="C1117" t="s">
        <v>707</v>
      </c>
      <c r="D1117" s="555">
        <v>2625</v>
      </c>
      <c r="E1117">
        <v>323</v>
      </c>
      <c r="F1117" s="553">
        <v>299</v>
      </c>
      <c r="G1117" t="s">
        <v>1458</v>
      </c>
      <c r="H1117" s="554">
        <v>0.45</v>
      </c>
      <c r="I1117" s="553">
        <v>254</v>
      </c>
      <c r="J1117" t="s">
        <v>647</v>
      </c>
      <c r="K1117" s="554">
        <v>0.45</v>
      </c>
      <c r="L1117" s="553">
        <v>254</v>
      </c>
    </row>
    <row r="1118" spans="2:12">
      <c r="B1118" t="s">
        <v>698</v>
      </c>
      <c r="C1118" t="s">
        <v>641</v>
      </c>
      <c r="D1118" s="555">
        <v>2443</v>
      </c>
      <c r="E1118">
        <v>178</v>
      </c>
      <c r="F1118" s="553">
        <v>298</v>
      </c>
      <c r="G1118" t="s">
        <v>645</v>
      </c>
      <c r="H1118" s="554">
        <v>0.34</v>
      </c>
      <c r="I1118" s="553">
        <v>262</v>
      </c>
      <c r="J1118" t="s">
        <v>663</v>
      </c>
      <c r="K1118" s="554">
        <v>0.11</v>
      </c>
      <c r="L1118" s="553">
        <v>244</v>
      </c>
    </row>
    <row r="1120" spans="2:12">
      <c r="B1120" s="552" t="s">
        <v>855</v>
      </c>
    </row>
    <row r="1121" spans="2:12">
      <c r="B1121" t="s">
        <v>685</v>
      </c>
      <c r="C1121" t="s">
        <v>707</v>
      </c>
      <c r="D1121" s="555">
        <v>2585</v>
      </c>
      <c r="E1121" s="555">
        <v>1481</v>
      </c>
      <c r="F1121" s="553">
        <v>297</v>
      </c>
      <c r="G1121" t="s">
        <v>645</v>
      </c>
      <c r="H1121" s="554">
        <v>0.45</v>
      </c>
      <c r="I1121" s="553">
        <v>296</v>
      </c>
      <c r="J1121" t="s">
        <v>644</v>
      </c>
      <c r="K1121" s="554">
        <v>0.45</v>
      </c>
      <c r="L1121" s="553">
        <v>296</v>
      </c>
    </row>
    <row r="1122" spans="2:12">
      <c r="B1122" t="s">
        <v>650</v>
      </c>
      <c r="C1122" t="s">
        <v>728</v>
      </c>
      <c r="D1122" s="555">
        <v>2443</v>
      </c>
      <c r="E1122">
        <v>310</v>
      </c>
      <c r="F1122" s="553">
        <v>295</v>
      </c>
      <c r="G1122" t="s">
        <v>1458</v>
      </c>
      <c r="H1122" s="554">
        <v>0.47</v>
      </c>
      <c r="I1122" s="553">
        <v>252</v>
      </c>
      <c r="J1122" t="s">
        <v>647</v>
      </c>
      <c r="K1122" s="554">
        <v>0.47</v>
      </c>
      <c r="L1122" s="553">
        <v>252</v>
      </c>
    </row>
    <row r="1123" spans="2:12">
      <c r="B1123" t="s">
        <v>650</v>
      </c>
      <c r="C1123" t="s">
        <v>710</v>
      </c>
      <c r="D1123" s="555">
        <v>2481</v>
      </c>
      <c r="E1123" s="555">
        <v>2384</v>
      </c>
      <c r="F1123" s="553">
        <v>294</v>
      </c>
      <c r="G1123" t="s">
        <v>669</v>
      </c>
      <c r="H1123" s="554">
        <v>0.28000000000000003</v>
      </c>
      <c r="I1123" s="553">
        <v>292</v>
      </c>
      <c r="J1123" t="s">
        <v>638</v>
      </c>
      <c r="K1123" s="554">
        <v>0.14000000000000001</v>
      </c>
      <c r="L1123" s="553">
        <v>242</v>
      </c>
    </row>
    <row r="1124" spans="2:12">
      <c r="B1124" t="s">
        <v>650</v>
      </c>
      <c r="C1124" t="s">
        <v>734</v>
      </c>
      <c r="D1124" s="555">
        <v>2553</v>
      </c>
      <c r="E1124">
        <v>613</v>
      </c>
      <c r="F1124" s="553">
        <v>294</v>
      </c>
      <c r="G1124" t="s">
        <v>669</v>
      </c>
      <c r="H1124" s="554">
        <v>0.41</v>
      </c>
      <c r="I1124" s="553">
        <v>295</v>
      </c>
      <c r="J1124" t="s">
        <v>647</v>
      </c>
      <c r="K1124" s="554">
        <v>0.23</v>
      </c>
      <c r="L1124" s="553">
        <v>270</v>
      </c>
    </row>
    <row r="1125" spans="2:12">
      <c r="B1125" t="s">
        <v>695</v>
      </c>
      <c r="C1125" t="s">
        <v>640</v>
      </c>
      <c r="D1125" s="555">
        <v>2406</v>
      </c>
      <c r="E1125">
        <v>264</v>
      </c>
      <c r="F1125" s="553">
        <v>292</v>
      </c>
      <c r="G1125" t="s">
        <v>645</v>
      </c>
      <c r="H1125" s="554">
        <v>0.35</v>
      </c>
      <c r="I1125" s="553">
        <v>290</v>
      </c>
      <c r="J1125" t="s">
        <v>638</v>
      </c>
      <c r="K1125" s="554">
        <v>0.19</v>
      </c>
      <c r="L1125" s="553">
        <v>284</v>
      </c>
    </row>
    <row r="1126" spans="2:12">
      <c r="B1126" t="s">
        <v>735</v>
      </c>
      <c r="C1126" t="s">
        <v>695</v>
      </c>
      <c r="D1126" s="555">
        <v>2402</v>
      </c>
      <c r="E1126" s="555">
        <v>1998</v>
      </c>
      <c r="F1126" s="553">
        <v>291</v>
      </c>
      <c r="G1126" t="s">
        <v>645</v>
      </c>
      <c r="H1126" s="554">
        <v>0.79</v>
      </c>
      <c r="I1126" s="553">
        <v>303</v>
      </c>
      <c r="J1126" t="s">
        <v>659</v>
      </c>
      <c r="K1126" s="554">
        <v>7.0000000000000007E-2</v>
      </c>
      <c r="L1126" s="553">
        <v>133</v>
      </c>
    </row>
    <row r="1127" spans="2:12">
      <c r="B1127" t="s">
        <v>650</v>
      </c>
      <c r="C1127" t="s">
        <v>640</v>
      </c>
      <c r="D1127" s="555">
        <v>2482</v>
      </c>
      <c r="E1127" s="555">
        <v>1233</v>
      </c>
      <c r="F1127" s="553">
        <v>279</v>
      </c>
      <c r="G1127" t="s">
        <v>669</v>
      </c>
      <c r="H1127" s="554">
        <v>0.32</v>
      </c>
      <c r="I1127" s="553">
        <v>288</v>
      </c>
      <c r="J1127" t="s">
        <v>647</v>
      </c>
      <c r="K1127" s="554">
        <v>0.18</v>
      </c>
      <c r="L1127" s="553">
        <v>233</v>
      </c>
    </row>
    <row r="1128" spans="2:12">
      <c r="B1128" t="s">
        <v>650</v>
      </c>
      <c r="C1128" t="s">
        <v>641</v>
      </c>
      <c r="D1128" s="555">
        <v>2448</v>
      </c>
      <c r="E1128" s="555">
        <v>2744</v>
      </c>
      <c r="F1128" s="553">
        <v>277</v>
      </c>
      <c r="G1128" t="s">
        <v>639</v>
      </c>
      <c r="H1128" s="554">
        <v>0.33</v>
      </c>
      <c r="I1128" s="553">
        <v>260</v>
      </c>
      <c r="J1128" t="s">
        <v>651</v>
      </c>
      <c r="K1128" s="554">
        <v>0.25</v>
      </c>
      <c r="L1128" s="553">
        <v>255</v>
      </c>
    </row>
    <row r="1129" spans="2:12">
      <c r="B1129" t="s">
        <v>685</v>
      </c>
      <c r="C1129" t="s">
        <v>734</v>
      </c>
      <c r="D1129" s="555">
        <v>2552</v>
      </c>
      <c r="E1129">
        <v>225</v>
      </c>
      <c r="F1129" s="553">
        <v>276</v>
      </c>
      <c r="G1129" t="s">
        <v>645</v>
      </c>
      <c r="H1129" s="554">
        <v>0.39</v>
      </c>
      <c r="I1129" s="553">
        <v>281</v>
      </c>
      <c r="J1129" t="s">
        <v>663</v>
      </c>
      <c r="K1129" s="554">
        <v>0.23</v>
      </c>
      <c r="L1129" s="553">
        <v>254</v>
      </c>
    </row>
    <row r="1130" spans="2:12">
      <c r="B1130" t="s">
        <v>718</v>
      </c>
      <c r="C1130" t="s">
        <v>735</v>
      </c>
      <c r="D1130" s="555">
        <v>2527</v>
      </c>
      <c r="E1130">
        <v>570</v>
      </c>
      <c r="F1130" s="553">
        <v>269</v>
      </c>
      <c r="G1130" t="s">
        <v>1458</v>
      </c>
      <c r="H1130" s="554">
        <v>0.4</v>
      </c>
      <c r="I1130" s="553">
        <v>231</v>
      </c>
      <c r="J1130" t="s">
        <v>647</v>
      </c>
      <c r="K1130" s="554">
        <v>0.4</v>
      </c>
      <c r="L1130" s="553">
        <v>231</v>
      </c>
    </row>
    <row r="1131" spans="2:12">
      <c r="B1131" t="s">
        <v>640</v>
      </c>
      <c r="C1131" t="s">
        <v>686</v>
      </c>
      <c r="D1131" s="555">
        <v>2497</v>
      </c>
      <c r="E1131">
        <v>204</v>
      </c>
      <c r="F1131" s="553">
        <v>261</v>
      </c>
      <c r="G1131" t="s">
        <v>653</v>
      </c>
      <c r="H1131" s="554">
        <v>0.28999999999999998</v>
      </c>
      <c r="I1131" s="553">
        <v>278</v>
      </c>
      <c r="J1131" t="s">
        <v>663</v>
      </c>
      <c r="K1131" s="554">
        <v>0.16</v>
      </c>
      <c r="L1131" s="553">
        <v>245</v>
      </c>
    </row>
    <row r="1132" spans="2:12">
      <c r="B1132" t="s">
        <v>667</v>
      </c>
      <c r="C1132" t="s">
        <v>734</v>
      </c>
      <c r="D1132" s="555">
        <v>2408</v>
      </c>
      <c r="E1132">
        <v>288</v>
      </c>
      <c r="F1132" s="553">
        <v>261</v>
      </c>
      <c r="G1132" t="s">
        <v>1459</v>
      </c>
      <c r="H1132" s="554">
        <v>0.31</v>
      </c>
      <c r="I1132" s="553">
        <v>248</v>
      </c>
      <c r="J1132" t="s">
        <v>663</v>
      </c>
      <c r="K1132" s="554">
        <v>0.31</v>
      </c>
      <c r="L1132" s="553">
        <v>248</v>
      </c>
    </row>
    <row r="1133" spans="2:12">
      <c r="B1133" t="s">
        <v>667</v>
      </c>
      <c r="C1133" t="s">
        <v>640</v>
      </c>
      <c r="D1133" s="555">
        <v>2534</v>
      </c>
      <c r="E1133">
        <v>497</v>
      </c>
      <c r="F1133" s="553">
        <v>249</v>
      </c>
      <c r="G1133" t="s">
        <v>639</v>
      </c>
      <c r="H1133" s="554">
        <v>0.51</v>
      </c>
      <c r="I1133" s="553">
        <v>267</v>
      </c>
      <c r="J1133" t="s">
        <v>652</v>
      </c>
      <c r="K1133" s="554">
        <v>0.21</v>
      </c>
      <c r="L1133" s="553">
        <v>232</v>
      </c>
    </row>
    <row r="1134" spans="2:12">
      <c r="B1134" t="s">
        <v>667</v>
      </c>
      <c r="C1134" t="s">
        <v>707</v>
      </c>
      <c r="D1134" s="555">
        <v>2446</v>
      </c>
      <c r="E1134" s="555">
        <v>1017</v>
      </c>
      <c r="F1134" s="553">
        <v>249</v>
      </c>
      <c r="G1134" t="s">
        <v>669</v>
      </c>
      <c r="H1134" s="554">
        <v>0.53</v>
      </c>
      <c r="I1134" s="553">
        <v>265</v>
      </c>
      <c r="J1134" t="s">
        <v>663</v>
      </c>
      <c r="K1134" s="554">
        <v>0.14000000000000001</v>
      </c>
      <c r="L1134" s="553">
        <v>217</v>
      </c>
    </row>
    <row r="1135" spans="2:12">
      <c r="B1135" t="s">
        <v>685</v>
      </c>
      <c r="C1135" t="s">
        <v>641</v>
      </c>
      <c r="D1135" s="555">
        <v>2724</v>
      </c>
      <c r="E1135">
        <v>781</v>
      </c>
      <c r="F1135" s="553">
        <v>245</v>
      </c>
      <c r="G1135" t="s">
        <v>645</v>
      </c>
      <c r="H1135" s="554">
        <v>0.36</v>
      </c>
      <c r="I1135" s="553">
        <v>257</v>
      </c>
      <c r="J1135" t="s">
        <v>638</v>
      </c>
      <c r="K1135" s="554">
        <v>0.28999999999999998</v>
      </c>
      <c r="L1135" s="553">
        <v>245</v>
      </c>
    </row>
    <row r="1136" spans="2:12">
      <c r="B1136" t="s">
        <v>667</v>
      </c>
      <c r="C1136" t="s">
        <v>641</v>
      </c>
      <c r="D1136" s="555">
        <v>2554</v>
      </c>
      <c r="E1136">
        <v>989</v>
      </c>
      <c r="F1136" s="553">
        <v>243</v>
      </c>
      <c r="G1136" t="s">
        <v>653</v>
      </c>
      <c r="H1136" s="554">
        <v>0.45</v>
      </c>
      <c r="I1136" s="553">
        <v>248</v>
      </c>
      <c r="J1136" t="s">
        <v>638</v>
      </c>
      <c r="K1136" s="554">
        <v>0.38</v>
      </c>
      <c r="L1136" s="553">
        <v>245</v>
      </c>
    </row>
    <row r="1137" spans="2:12">
      <c r="B1137" t="s">
        <v>685</v>
      </c>
      <c r="C1137" t="s">
        <v>640</v>
      </c>
      <c r="D1137" s="555">
        <v>2700</v>
      </c>
      <c r="E1137">
        <v>306</v>
      </c>
      <c r="F1137" s="553">
        <v>241</v>
      </c>
      <c r="G1137" t="s">
        <v>645</v>
      </c>
      <c r="H1137" s="554">
        <v>0.24</v>
      </c>
      <c r="I1137" s="553">
        <v>265</v>
      </c>
      <c r="J1137" t="s">
        <v>647</v>
      </c>
      <c r="K1137" s="554">
        <v>0.18</v>
      </c>
      <c r="L1137" s="553">
        <v>172</v>
      </c>
    </row>
    <row r="1138" spans="2:12">
      <c r="B1138" t="s">
        <v>692</v>
      </c>
      <c r="C1138" t="s">
        <v>641</v>
      </c>
      <c r="D1138" s="555">
        <v>2415</v>
      </c>
      <c r="E1138">
        <v>246</v>
      </c>
      <c r="F1138" s="553">
        <v>232</v>
      </c>
      <c r="G1138" t="s">
        <v>639</v>
      </c>
      <c r="H1138" s="554">
        <v>0.73</v>
      </c>
      <c r="I1138" s="553">
        <v>226</v>
      </c>
      <c r="J1138" t="s">
        <v>638</v>
      </c>
      <c r="K1138" s="554">
        <v>0.73</v>
      </c>
      <c r="L1138" s="553">
        <v>226</v>
      </c>
    </row>
    <row r="1139" spans="2:12">
      <c r="B1139" t="s">
        <v>641</v>
      </c>
      <c r="C1139" t="s">
        <v>686</v>
      </c>
      <c r="D1139" s="555">
        <v>2520</v>
      </c>
      <c r="E1139">
        <v>650</v>
      </c>
      <c r="F1139" s="553">
        <v>222</v>
      </c>
      <c r="G1139" t="s">
        <v>639</v>
      </c>
      <c r="H1139" s="554">
        <v>0.55000000000000004</v>
      </c>
      <c r="I1139" s="553">
        <v>210</v>
      </c>
      <c r="J1139" t="s">
        <v>638</v>
      </c>
      <c r="K1139" s="554">
        <v>0.55000000000000004</v>
      </c>
      <c r="L1139" s="553">
        <v>210</v>
      </c>
    </row>
  </sheetData>
  <hyperlinks>
    <hyperlink ref="B1" r:id="rId1" xr:uid="{7C0C435A-7173-4672-9DC4-2D10761EA960}"/>
  </hyperlinks>
  <pageMargins left="0.7" right="0.7" top="0.75" bottom="0.75" header="0.3" footer="0.3"/>
  <pageSetup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32CE7-745F-4EFE-A056-CB04BB57AA5A}">
  <sheetPr>
    <tabColor rgb="FFFF0000"/>
  </sheetPr>
  <dimension ref="A1:CI77"/>
  <sheetViews>
    <sheetView showGridLines="0" workbookViewId="0">
      <pane xSplit="2" ySplit="2" topLeftCell="C3" activePane="bottomRight" state="frozen"/>
      <selection pane="topRight" activeCell="C1" sqref="C1"/>
      <selection pane="bottomLeft" activeCell="A3" sqref="A3"/>
      <selection pane="bottomRight" activeCell="I48" sqref="I48"/>
    </sheetView>
  </sheetViews>
  <sheetFormatPr defaultColWidth="8.796875" defaultRowHeight="10.5"/>
  <cols>
    <col min="1" max="2" width="8.796875" style="253" bestFit="1" customWidth="1"/>
    <col min="3" max="37" width="9.796875" style="253" bestFit="1" customWidth="1"/>
    <col min="38" max="42" width="9.796875" style="253" customWidth="1"/>
    <col min="43" max="44" width="9.796875" style="253" bestFit="1" customWidth="1"/>
    <col min="45" max="45" width="9.796875" style="390" bestFit="1" customWidth="1"/>
    <col min="46" max="80" width="9.796875" style="253" bestFit="1" customWidth="1"/>
    <col min="81" max="85" width="8.796875" style="253"/>
    <col min="86" max="87" width="9.796875" style="253" bestFit="1" customWidth="1"/>
    <col min="88" max="16384" width="8.796875" style="253"/>
  </cols>
  <sheetData>
    <row r="1" spans="1:87">
      <c r="A1" s="785"/>
      <c r="B1" s="785"/>
      <c r="C1" s="779" t="s">
        <v>1317</v>
      </c>
      <c r="D1" s="752"/>
      <c r="E1" s="752"/>
      <c r="F1" s="752"/>
      <c r="G1" s="752"/>
      <c r="H1" s="752"/>
      <c r="I1" s="753"/>
      <c r="J1" s="779" t="s">
        <v>1318</v>
      </c>
      <c r="K1" s="752"/>
      <c r="L1" s="752"/>
      <c r="M1" s="752"/>
      <c r="N1" s="752"/>
      <c r="O1" s="752"/>
      <c r="P1" s="753"/>
      <c r="Q1" s="779" t="s">
        <v>1319</v>
      </c>
      <c r="R1" s="752"/>
      <c r="S1" s="752"/>
      <c r="T1" s="752"/>
      <c r="U1" s="752"/>
      <c r="V1" s="752"/>
      <c r="W1" s="753"/>
      <c r="X1" s="779" t="s">
        <v>1320</v>
      </c>
      <c r="Y1" s="752"/>
      <c r="Z1" s="752"/>
      <c r="AA1" s="752"/>
      <c r="AB1" s="752"/>
      <c r="AC1" s="752"/>
      <c r="AD1" s="753"/>
      <c r="AE1" s="779" t="s">
        <v>1321</v>
      </c>
      <c r="AF1" s="752"/>
      <c r="AG1" s="752"/>
      <c r="AH1" s="752"/>
      <c r="AI1" s="752"/>
      <c r="AJ1" s="752"/>
      <c r="AK1" s="753"/>
      <c r="AL1" s="779" t="s">
        <v>1322</v>
      </c>
      <c r="AM1" s="752"/>
      <c r="AN1" s="752"/>
      <c r="AO1" s="752"/>
      <c r="AP1" s="752"/>
      <c r="AQ1" s="752"/>
      <c r="AR1" s="753"/>
      <c r="AT1" s="779" t="s">
        <v>1323</v>
      </c>
      <c r="AU1" s="752"/>
      <c r="AV1" s="752"/>
      <c r="AW1" s="752"/>
      <c r="AX1" s="752"/>
      <c r="AY1" s="752"/>
      <c r="AZ1" s="753"/>
      <c r="BA1" s="779" t="s">
        <v>1324</v>
      </c>
      <c r="BB1" s="752"/>
      <c r="BC1" s="752"/>
      <c r="BD1" s="752"/>
      <c r="BE1" s="752"/>
      <c r="BF1" s="752"/>
      <c r="BG1" s="753"/>
      <c r="BH1" s="779" t="s">
        <v>1325</v>
      </c>
      <c r="BI1" s="752"/>
      <c r="BJ1" s="752"/>
      <c r="BK1" s="752"/>
      <c r="BL1" s="752"/>
      <c r="BM1" s="752"/>
      <c r="BN1" s="753"/>
      <c r="BO1" s="779" t="s">
        <v>1326</v>
      </c>
      <c r="BP1" s="752"/>
      <c r="BQ1" s="752"/>
      <c r="BR1" s="752"/>
      <c r="BS1" s="752"/>
      <c r="BT1" s="752"/>
      <c r="BU1" s="753"/>
      <c r="BV1" s="779" t="s">
        <v>1327</v>
      </c>
      <c r="BW1" s="752"/>
      <c r="BX1" s="752"/>
      <c r="BY1" s="752"/>
      <c r="BZ1" s="752"/>
      <c r="CA1" s="752"/>
      <c r="CB1" s="753"/>
      <c r="CC1" s="779" t="s">
        <v>1328</v>
      </c>
      <c r="CD1" s="752"/>
      <c r="CE1" s="752"/>
      <c r="CF1" s="752"/>
      <c r="CG1" s="752"/>
      <c r="CH1" s="752"/>
      <c r="CI1" s="753"/>
    </row>
    <row r="2" spans="1:87" ht="10.9" thickBot="1">
      <c r="A2" s="776" t="s">
        <v>65</v>
      </c>
      <c r="B2" s="776" t="s">
        <v>1308</v>
      </c>
      <c r="C2" s="786" t="s">
        <v>1343</v>
      </c>
      <c r="D2" s="754" t="s">
        <v>1344</v>
      </c>
      <c r="E2" s="754" t="s">
        <v>1345</v>
      </c>
      <c r="F2" s="754" t="s">
        <v>1346</v>
      </c>
      <c r="G2" s="754" t="s">
        <v>1347</v>
      </c>
      <c r="H2" s="754" t="s">
        <v>1348</v>
      </c>
      <c r="I2" s="755" t="s">
        <v>1349</v>
      </c>
      <c r="J2" s="786" t="s">
        <v>1350</v>
      </c>
      <c r="K2" s="754" t="s">
        <v>1351</v>
      </c>
      <c r="L2" s="754" t="s">
        <v>1352</v>
      </c>
      <c r="M2" s="754" t="s">
        <v>1353</v>
      </c>
      <c r="N2" s="754" t="s">
        <v>1354</v>
      </c>
      <c r="O2" s="754" t="s">
        <v>1355</v>
      </c>
      <c r="P2" s="755" t="s">
        <v>1356</v>
      </c>
      <c r="Q2" s="786" t="s">
        <v>1357</v>
      </c>
      <c r="R2" s="754" t="s">
        <v>1358</v>
      </c>
      <c r="S2" s="754" t="s">
        <v>1359</v>
      </c>
      <c r="T2" s="754" t="s">
        <v>1360</v>
      </c>
      <c r="U2" s="754" t="s">
        <v>1361</v>
      </c>
      <c r="V2" s="754" t="s">
        <v>1362</v>
      </c>
      <c r="W2" s="755" t="s">
        <v>1363</v>
      </c>
      <c r="X2" s="786" t="s">
        <v>1342</v>
      </c>
      <c r="Y2" s="754" t="s">
        <v>1364</v>
      </c>
      <c r="Z2" s="754" t="s">
        <v>1365</v>
      </c>
      <c r="AA2" s="754" t="s">
        <v>1366</v>
      </c>
      <c r="AB2" s="754" t="s">
        <v>1367</v>
      </c>
      <c r="AC2" s="754" t="s">
        <v>1368</v>
      </c>
      <c r="AD2" s="755" t="s">
        <v>1369</v>
      </c>
      <c r="AE2" s="786" t="s">
        <v>1370</v>
      </c>
      <c r="AF2" s="754" t="s">
        <v>1371</v>
      </c>
      <c r="AG2" s="754" t="s">
        <v>1372</v>
      </c>
      <c r="AH2" s="754" t="s">
        <v>1373</v>
      </c>
      <c r="AI2" s="754" t="s">
        <v>1374</v>
      </c>
      <c r="AJ2" s="754" t="s">
        <v>1375</v>
      </c>
      <c r="AK2" s="755" t="s">
        <v>1376</v>
      </c>
      <c r="AL2" s="786" t="s">
        <v>1377</v>
      </c>
      <c r="AM2" s="754" t="s">
        <v>1378</v>
      </c>
      <c r="AN2" s="754" t="s">
        <v>1379</v>
      </c>
      <c r="AO2" s="754" t="s">
        <v>1380</v>
      </c>
      <c r="AP2" s="754" t="s">
        <v>1381</v>
      </c>
      <c r="AQ2" s="754" t="s">
        <v>1382</v>
      </c>
      <c r="AR2" s="755" t="s">
        <v>1383</v>
      </c>
      <c r="AT2" s="786" t="s">
        <v>1384</v>
      </c>
      <c r="AU2" s="754" t="s">
        <v>1385</v>
      </c>
      <c r="AV2" s="754" t="s">
        <v>1386</v>
      </c>
      <c r="AW2" s="754" t="s">
        <v>1387</v>
      </c>
      <c r="AX2" s="754" t="s">
        <v>1388</v>
      </c>
      <c r="AY2" s="754" t="s">
        <v>1389</v>
      </c>
      <c r="AZ2" s="755" t="s">
        <v>1390</v>
      </c>
      <c r="BA2" s="786" t="s">
        <v>1391</v>
      </c>
      <c r="BB2" s="754" t="s">
        <v>1392</v>
      </c>
      <c r="BC2" s="754" t="s">
        <v>1393</v>
      </c>
      <c r="BD2" s="754" t="s">
        <v>1394</v>
      </c>
      <c r="BE2" s="754" t="s">
        <v>1395</v>
      </c>
      <c r="BF2" s="754" t="s">
        <v>1396</v>
      </c>
      <c r="BG2" s="755" t="s">
        <v>1397</v>
      </c>
      <c r="BH2" s="786" t="s">
        <v>1398</v>
      </c>
      <c r="BI2" s="754" t="s">
        <v>1399</v>
      </c>
      <c r="BJ2" s="754" t="s">
        <v>1400</v>
      </c>
      <c r="BK2" s="754" t="s">
        <v>1401</v>
      </c>
      <c r="BL2" s="754" t="s">
        <v>1402</v>
      </c>
      <c r="BM2" s="754" t="s">
        <v>1403</v>
      </c>
      <c r="BN2" s="755" t="s">
        <v>1404</v>
      </c>
      <c r="BO2" s="786" t="s">
        <v>1405</v>
      </c>
      <c r="BP2" s="754" t="s">
        <v>1406</v>
      </c>
      <c r="BQ2" s="754" t="s">
        <v>1407</v>
      </c>
      <c r="BR2" s="754" t="s">
        <v>1408</v>
      </c>
      <c r="BS2" s="754" t="s">
        <v>1410</v>
      </c>
      <c r="BT2" s="754" t="s">
        <v>1409</v>
      </c>
      <c r="BU2" s="755" t="s">
        <v>1411</v>
      </c>
      <c r="BV2" s="786" t="s">
        <v>1412</v>
      </c>
      <c r="BW2" s="754" t="s">
        <v>1413</v>
      </c>
      <c r="BX2" s="754" t="s">
        <v>1414</v>
      </c>
      <c r="BY2" s="754" t="s">
        <v>1415</v>
      </c>
      <c r="BZ2" s="754" t="s">
        <v>1416</v>
      </c>
      <c r="CA2" s="754" t="s">
        <v>1417</v>
      </c>
      <c r="CB2" s="755" t="s">
        <v>1418</v>
      </c>
      <c r="CC2" s="786" t="s">
        <v>1419</v>
      </c>
      <c r="CD2" s="754" t="s">
        <v>1420</v>
      </c>
      <c r="CE2" s="754" t="s">
        <v>1421</v>
      </c>
      <c r="CF2" s="754" t="s">
        <v>1422</v>
      </c>
      <c r="CG2" s="754" t="s">
        <v>1423</v>
      </c>
      <c r="CH2" s="754" t="s">
        <v>1424</v>
      </c>
      <c r="CI2" s="755" t="s">
        <v>1425</v>
      </c>
    </row>
    <row r="3" spans="1:87">
      <c r="A3" s="265">
        <f>YEAR(B3)</f>
        <v>2003</v>
      </c>
      <c r="B3" s="263">
        <v>37711</v>
      </c>
      <c r="C3" s="509">
        <v>20692.159</v>
      </c>
      <c r="D3" s="277">
        <v>1685.703</v>
      </c>
      <c r="E3" s="277">
        <v>2542.7649999999999</v>
      </c>
      <c r="F3" s="277">
        <v>2244.5520000000001</v>
      </c>
      <c r="G3" s="277">
        <v>494.87299999999999</v>
      </c>
      <c r="H3" s="787">
        <f>SUM(D3:G3)</f>
        <v>6967.893</v>
      </c>
      <c r="I3" s="788">
        <f>SUM(C3,H3)</f>
        <v>27660.052</v>
      </c>
      <c r="J3" s="509">
        <v>2891.694</v>
      </c>
      <c r="K3" s="277">
        <v>667.279</v>
      </c>
      <c r="L3" s="277">
        <v>445.19200000000001</v>
      </c>
      <c r="M3" s="277">
        <v>103.70399999999999</v>
      </c>
      <c r="N3" s="277"/>
      <c r="O3" s="787">
        <f>SUM(K3:N3)</f>
        <v>1216.175</v>
      </c>
      <c r="P3" s="788">
        <f>SUM(J3,O3)</f>
        <v>4107.8689999999997</v>
      </c>
      <c r="Q3" s="509">
        <v>2798.1089999999999</v>
      </c>
      <c r="R3" s="277">
        <v>148.124</v>
      </c>
      <c r="S3" s="277">
        <v>374.88</v>
      </c>
      <c r="T3" s="277">
        <v>28.295999999999999</v>
      </c>
      <c r="U3" s="277"/>
      <c r="V3" s="787">
        <f>SUM(R3:U3)</f>
        <v>551.30000000000007</v>
      </c>
      <c r="W3" s="788">
        <f>SUM(Q3,V3)</f>
        <v>3349.4090000000001</v>
      </c>
      <c r="X3" s="509">
        <v>2004.991</v>
      </c>
      <c r="Y3" s="277">
        <v>113.825</v>
      </c>
      <c r="Z3" s="277">
        <v>411.19099999999997</v>
      </c>
      <c r="AA3" s="277">
        <v>577.20500000000004</v>
      </c>
      <c r="AB3" s="277"/>
      <c r="AC3" s="787">
        <f>SUM(Y3:AB3)</f>
        <v>1102.221</v>
      </c>
      <c r="AD3" s="788">
        <f>SUM(X3,AC3)</f>
        <v>3107.212</v>
      </c>
      <c r="AE3" s="509">
        <v>1351.261</v>
      </c>
      <c r="AF3" s="277"/>
      <c r="AG3" s="277"/>
      <c r="AH3" s="277"/>
      <c r="AI3" s="277"/>
      <c r="AJ3" s="787">
        <f>SUM(AF3:AI3)</f>
        <v>0</v>
      </c>
      <c r="AK3" s="788">
        <f>SUM(AE3,AJ3)</f>
        <v>1351.261</v>
      </c>
      <c r="AL3" s="789">
        <f t="shared" ref="AL3:AL34" si="0">C3-SUM(J3,Q3,X3,AE3)</f>
        <v>11646.103999999999</v>
      </c>
      <c r="AM3" s="787">
        <f t="shared" ref="AM3:AM34" si="1">D3-SUM(K3,R3,Y3,AF3)</f>
        <v>756.47499999999991</v>
      </c>
      <c r="AN3" s="787">
        <f t="shared" ref="AN3:AN34" si="2">E3-SUM(L3,S3,Z3,AG3)</f>
        <v>1311.502</v>
      </c>
      <c r="AO3" s="787">
        <f t="shared" ref="AO3:AO34" si="3">F3-SUM(M3,T3,AA3,AH3)</f>
        <v>1535.3470000000002</v>
      </c>
      <c r="AP3" s="787">
        <f t="shared" ref="AP3:AP34" si="4">G3-SUM(N3,U3,AB3,AI3)</f>
        <v>494.87299999999999</v>
      </c>
      <c r="AQ3" s="787">
        <f>SUM(AM3:AP3)</f>
        <v>4098.1970000000001</v>
      </c>
      <c r="AR3" s="788">
        <f>SUM(AL3,AQ3)</f>
        <v>15744.300999999999</v>
      </c>
      <c r="AS3" s="395"/>
      <c r="AT3" s="509">
        <v>-1085.0119999999999</v>
      </c>
      <c r="AU3" s="277">
        <v>-51.869</v>
      </c>
      <c r="AV3" s="277">
        <v>-452.15699999999998</v>
      </c>
      <c r="AW3" s="277">
        <v>-330.21300000000002</v>
      </c>
      <c r="AX3" s="277">
        <v>-1.673</v>
      </c>
      <c r="AY3" s="787">
        <f>SUM(AU3:AX3)</f>
        <v>-835.91200000000003</v>
      </c>
      <c r="AZ3" s="788">
        <f>SUM(AT3,AY3)</f>
        <v>-1920.924</v>
      </c>
      <c r="BA3" s="509">
        <v>-963.14499999999998</v>
      </c>
      <c r="BB3" s="277">
        <v>-28.634</v>
      </c>
      <c r="BC3" s="277">
        <v>-29.408999999999999</v>
      </c>
      <c r="BD3" s="277">
        <v>-10.401</v>
      </c>
      <c r="BE3" s="277"/>
      <c r="BF3" s="787">
        <f>SUM(BB3:BE3)</f>
        <v>-68.444000000000003</v>
      </c>
      <c r="BG3" s="788">
        <f>SUM(BA3,BF3)</f>
        <v>-1031.5889999999999</v>
      </c>
      <c r="BH3" s="509">
        <v>-370.524</v>
      </c>
      <c r="BI3" s="277">
        <v>-7.4509999999999996</v>
      </c>
      <c r="BJ3" s="277">
        <v>-94.47</v>
      </c>
      <c r="BK3" s="277">
        <v>-3.6280000000000001</v>
      </c>
      <c r="BL3" s="277"/>
      <c r="BM3" s="787">
        <f>SUM(BI3:BL3)</f>
        <v>-105.54899999999999</v>
      </c>
      <c r="BN3" s="788">
        <f>SUM(BH3,BM3)</f>
        <v>-476.07299999999998</v>
      </c>
      <c r="BO3" s="509">
        <v>-921.88499999999999</v>
      </c>
      <c r="BP3" s="277">
        <v>-61.404000000000003</v>
      </c>
      <c r="BQ3" s="277">
        <v>-170.32499999999999</v>
      </c>
      <c r="BR3" s="277">
        <v>-232.37299999999999</v>
      </c>
      <c r="BS3" s="277"/>
      <c r="BT3" s="787">
        <f>SUM(BP3:BS3)</f>
        <v>-464.10199999999998</v>
      </c>
      <c r="BU3" s="788">
        <f>SUM(BO3,BT3)</f>
        <v>-1385.9870000000001</v>
      </c>
      <c r="BV3" s="509">
        <v>23.86</v>
      </c>
      <c r="BW3" s="277"/>
      <c r="BX3" s="277"/>
      <c r="BY3" s="277"/>
      <c r="BZ3" s="277"/>
      <c r="CA3" s="787">
        <f>SUM(BW3:BZ3)</f>
        <v>0</v>
      </c>
      <c r="CB3" s="788">
        <f>SUM(BV3,CA3)</f>
        <v>23.86</v>
      </c>
      <c r="CC3" s="789">
        <f t="shared" ref="CC3:CC34" si="5">AT3-SUM(BA3,BH3,BO3,BV3)</f>
        <v>1146.682</v>
      </c>
      <c r="CD3" s="787">
        <f t="shared" ref="CD3:CD34" si="6">AU3-SUM(BB3,BI3,BP3,BW3)</f>
        <v>45.620000000000005</v>
      </c>
      <c r="CE3" s="787">
        <f t="shared" ref="CE3:CE34" si="7">AV3-SUM(BC3,BJ3,BQ3,BX3)</f>
        <v>-157.95300000000003</v>
      </c>
      <c r="CF3" s="787">
        <f t="shared" ref="CF3:CF34" si="8">AW3-SUM(BD3,BK3,BR3,BY3)</f>
        <v>-83.811000000000035</v>
      </c>
      <c r="CG3" s="787">
        <f t="shared" ref="CG3:CG34" si="9">AX3-SUM(BE3,BL3,BS3,BZ3)</f>
        <v>-1.673</v>
      </c>
      <c r="CH3" s="787">
        <f>SUM(CD3:CG3)</f>
        <v>-197.81700000000006</v>
      </c>
      <c r="CI3" s="788">
        <f>SUM(CC3,CH3)</f>
        <v>948.86500000000001</v>
      </c>
    </row>
    <row r="4" spans="1:87">
      <c r="A4" s="265">
        <f t="shared" ref="A4:A67" si="10">YEAR(B4)</f>
        <v>2003</v>
      </c>
      <c r="B4" s="263">
        <f t="shared" ref="B4:B67" si="11">+EOMONTH(B3,3)</f>
        <v>37802</v>
      </c>
      <c r="C4" s="509">
        <v>22066.940999999999</v>
      </c>
      <c r="D4" s="277">
        <v>1549.992</v>
      </c>
      <c r="E4" s="277">
        <v>2971.953</v>
      </c>
      <c r="F4" s="277">
        <v>1972.9680000000001</v>
      </c>
      <c r="G4" s="277">
        <v>420.78</v>
      </c>
      <c r="H4" s="787">
        <f t="shared" ref="H4:H67" si="12">SUM(D4:G4)</f>
        <v>6915.6929999999993</v>
      </c>
      <c r="I4" s="788">
        <f t="shared" ref="I4:I67" si="13">SUM(C4,H4)</f>
        <v>28982.633999999998</v>
      </c>
      <c r="J4" s="509">
        <v>3063.8020000000001</v>
      </c>
      <c r="K4" s="277">
        <v>598.61900000000003</v>
      </c>
      <c r="L4" s="277">
        <v>570.83000000000004</v>
      </c>
      <c r="M4" s="277">
        <v>82.795000000000002</v>
      </c>
      <c r="N4" s="277"/>
      <c r="O4" s="787">
        <f t="shared" ref="O4:O67" si="14">SUM(K4:N4)</f>
        <v>1252.2440000000001</v>
      </c>
      <c r="P4" s="788">
        <f t="shared" ref="P4:P67" si="15">SUM(J4,O4)</f>
        <v>4316.0460000000003</v>
      </c>
      <c r="Q4" s="509">
        <v>2907.6179999999999</v>
      </c>
      <c r="R4" s="277">
        <v>142.214</v>
      </c>
      <c r="S4" s="277">
        <v>448.45299999999997</v>
      </c>
      <c r="T4" s="277">
        <v>22.939</v>
      </c>
      <c r="U4" s="277"/>
      <c r="V4" s="787">
        <f t="shared" ref="V4:V67" si="16">SUM(R4:U4)</f>
        <v>613.60599999999988</v>
      </c>
      <c r="W4" s="788">
        <f t="shared" ref="W4:W67" si="17">SUM(Q4,V4)</f>
        <v>3521.2239999999997</v>
      </c>
      <c r="X4" s="509">
        <v>2114.4679999999998</v>
      </c>
      <c r="Y4" s="277">
        <v>98.117000000000004</v>
      </c>
      <c r="Z4" s="277">
        <v>445.61599999999999</v>
      </c>
      <c r="AA4" s="277">
        <v>376.55799999999999</v>
      </c>
      <c r="AB4" s="277"/>
      <c r="AC4" s="787">
        <f t="shared" ref="AC4:AC67" si="18">SUM(Y4:AB4)</f>
        <v>920.29099999999994</v>
      </c>
      <c r="AD4" s="788">
        <f t="shared" ref="AD4:AD67" si="19">SUM(X4,AC4)</f>
        <v>3034.759</v>
      </c>
      <c r="AE4" s="509">
        <v>1515.087</v>
      </c>
      <c r="AF4" s="277"/>
      <c r="AG4" s="277"/>
      <c r="AH4" s="277"/>
      <c r="AI4" s="277"/>
      <c r="AJ4" s="787">
        <f t="shared" ref="AJ4:AJ67" si="20">SUM(AF4:AI4)</f>
        <v>0</v>
      </c>
      <c r="AK4" s="788">
        <f t="shared" ref="AK4:AK67" si="21">SUM(AE4,AJ4)</f>
        <v>1515.087</v>
      </c>
      <c r="AL4" s="789">
        <f t="shared" si="0"/>
        <v>12465.965999999999</v>
      </c>
      <c r="AM4" s="787">
        <f t="shared" si="1"/>
        <v>711.04199999999992</v>
      </c>
      <c r="AN4" s="787">
        <f t="shared" si="2"/>
        <v>1507.0540000000001</v>
      </c>
      <c r="AO4" s="787">
        <f t="shared" si="3"/>
        <v>1490.6759999999999</v>
      </c>
      <c r="AP4" s="787">
        <f t="shared" si="4"/>
        <v>420.78</v>
      </c>
      <c r="AQ4" s="787">
        <f t="shared" ref="AQ4:AQ67" si="22">SUM(AM4:AP4)</f>
        <v>4129.5519999999997</v>
      </c>
      <c r="AR4" s="788">
        <f t="shared" ref="AR4:AR67" si="23">SUM(AL4,AQ4)</f>
        <v>16595.517999999996</v>
      </c>
      <c r="AS4" s="395"/>
      <c r="AT4" s="509">
        <v>606.46100000000001</v>
      </c>
      <c r="AU4" s="277">
        <v>100.285</v>
      </c>
      <c r="AV4" s="277">
        <v>168.328</v>
      </c>
      <c r="AW4" s="277">
        <v>-227.315</v>
      </c>
      <c r="AX4" s="277">
        <v>-0.34</v>
      </c>
      <c r="AY4" s="787">
        <f t="shared" ref="AY4:AY67" si="24">SUM(AU4:AX4)</f>
        <v>40.957999999999998</v>
      </c>
      <c r="AZ4" s="788">
        <f t="shared" ref="AZ4:AZ67" si="25">SUM(AT4,AY4)</f>
        <v>647.41899999999998</v>
      </c>
      <c r="BA4" s="509">
        <v>-284.47300000000001</v>
      </c>
      <c r="BB4" s="277">
        <v>30.279</v>
      </c>
      <c r="BC4" s="277">
        <v>118.489</v>
      </c>
      <c r="BD4" s="277">
        <v>2.7669999999999999</v>
      </c>
      <c r="BE4" s="277"/>
      <c r="BF4" s="787">
        <f t="shared" ref="BF4:BF67" si="26">SUM(BB4:BE4)</f>
        <v>151.535</v>
      </c>
      <c r="BG4" s="788">
        <f t="shared" ref="BG4:BG67" si="27">SUM(BA4,BF4)</f>
        <v>-132.93800000000002</v>
      </c>
      <c r="BH4" s="509">
        <v>127.45</v>
      </c>
      <c r="BI4" s="277">
        <v>11.805999999999999</v>
      </c>
      <c r="BJ4" s="277">
        <v>3.7389999999999999</v>
      </c>
      <c r="BK4" s="277">
        <v>-13.643000000000001</v>
      </c>
      <c r="BL4" s="277"/>
      <c r="BM4" s="787">
        <f t="shared" ref="BM4:BM67" si="28">SUM(BI4:BL4)</f>
        <v>1.9019999999999975</v>
      </c>
      <c r="BN4" s="788">
        <f t="shared" ref="BN4:BN67" si="29">SUM(BH4,BM4)</f>
        <v>129.352</v>
      </c>
      <c r="BO4" s="509">
        <v>-383.024</v>
      </c>
      <c r="BP4" s="277">
        <v>-33.328000000000003</v>
      </c>
      <c r="BQ4" s="277">
        <v>-63.673000000000002</v>
      </c>
      <c r="BR4" s="277">
        <v>-174.66399999999999</v>
      </c>
      <c r="BS4" s="277"/>
      <c r="BT4" s="787">
        <f t="shared" ref="BT4:BT67" si="30">SUM(BP4:BS4)</f>
        <v>-271.66499999999996</v>
      </c>
      <c r="BU4" s="788">
        <f t="shared" ref="BU4:BU67" si="31">SUM(BO4,BT4)</f>
        <v>-654.68899999999996</v>
      </c>
      <c r="BV4" s="509">
        <v>245.90100000000001</v>
      </c>
      <c r="BW4" s="277"/>
      <c r="BX4" s="277"/>
      <c r="BY4" s="277"/>
      <c r="BZ4" s="277"/>
      <c r="CA4" s="787">
        <f t="shared" ref="CA4:CA67" si="32">SUM(BW4:BZ4)</f>
        <v>0</v>
      </c>
      <c r="CB4" s="788">
        <f t="shared" ref="CB4:CB67" si="33">SUM(BV4,CA4)</f>
        <v>245.90100000000001</v>
      </c>
      <c r="CC4" s="789">
        <f t="shared" si="5"/>
        <v>900.60699999999997</v>
      </c>
      <c r="CD4" s="787">
        <f t="shared" si="6"/>
        <v>91.527999999999992</v>
      </c>
      <c r="CE4" s="787">
        <f t="shared" si="7"/>
        <v>109.773</v>
      </c>
      <c r="CF4" s="787">
        <f t="shared" si="8"/>
        <v>-41.775000000000006</v>
      </c>
      <c r="CG4" s="787">
        <f t="shared" si="9"/>
        <v>-0.34</v>
      </c>
      <c r="CH4" s="787">
        <f t="shared" ref="CH4:CH67" si="34">SUM(CD4:CG4)</f>
        <v>159.18599999999998</v>
      </c>
      <c r="CI4" s="788">
        <f t="shared" ref="CI4:CI67" si="35">SUM(CC4,CH4)</f>
        <v>1059.7929999999999</v>
      </c>
    </row>
    <row r="5" spans="1:87">
      <c r="A5" s="265">
        <f t="shared" si="10"/>
        <v>2003</v>
      </c>
      <c r="B5" s="263">
        <f t="shared" si="11"/>
        <v>37894</v>
      </c>
      <c r="C5" s="509">
        <v>23166.223999999998</v>
      </c>
      <c r="D5" s="277">
        <v>1587.7239999999999</v>
      </c>
      <c r="E5" s="277">
        <v>3291.6950000000002</v>
      </c>
      <c r="F5" s="277">
        <v>2319.4270000000001</v>
      </c>
      <c r="G5" s="277">
        <v>416.95</v>
      </c>
      <c r="H5" s="787">
        <f t="shared" si="12"/>
        <v>7615.7959999999994</v>
      </c>
      <c r="I5" s="788">
        <f t="shared" si="13"/>
        <v>30782.019999999997</v>
      </c>
      <c r="J5" s="509">
        <v>3104.5459999999998</v>
      </c>
      <c r="K5" s="277">
        <v>702.697</v>
      </c>
      <c r="L5" s="277">
        <v>662.91600000000005</v>
      </c>
      <c r="M5" s="277">
        <v>125.824</v>
      </c>
      <c r="N5" s="277"/>
      <c r="O5" s="787">
        <f t="shared" si="14"/>
        <v>1491.4370000000001</v>
      </c>
      <c r="P5" s="788">
        <f t="shared" si="15"/>
        <v>4595.9830000000002</v>
      </c>
      <c r="Q5" s="509">
        <v>2938.37</v>
      </c>
      <c r="R5" s="277">
        <v>150.292</v>
      </c>
      <c r="S5" s="277">
        <v>564.46199999999999</v>
      </c>
      <c r="T5" s="277">
        <v>32.122999999999998</v>
      </c>
      <c r="U5" s="277"/>
      <c r="V5" s="787">
        <f t="shared" si="16"/>
        <v>746.87700000000007</v>
      </c>
      <c r="W5" s="788">
        <f t="shared" si="17"/>
        <v>3685.2469999999998</v>
      </c>
      <c r="X5" s="509">
        <v>2593.694</v>
      </c>
      <c r="Y5" s="277">
        <v>109.014</v>
      </c>
      <c r="Z5" s="277">
        <v>494.22800000000001</v>
      </c>
      <c r="AA5" s="277">
        <v>560.41700000000003</v>
      </c>
      <c r="AB5" s="277"/>
      <c r="AC5" s="787">
        <f t="shared" si="18"/>
        <v>1163.6590000000001</v>
      </c>
      <c r="AD5" s="788">
        <f t="shared" si="19"/>
        <v>3757.3530000000001</v>
      </c>
      <c r="AE5" s="509">
        <v>1553.404</v>
      </c>
      <c r="AF5" s="277"/>
      <c r="AG5" s="277"/>
      <c r="AH5" s="277"/>
      <c r="AI5" s="277"/>
      <c r="AJ5" s="787">
        <f t="shared" si="20"/>
        <v>0</v>
      </c>
      <c r="AK5" s="788">
        <f t="shared" si="21"/>
        <v>1553.404</v>
      </c>
      <c r="AL5" s="789">
        <f t="shared" si="0"/>
        <v>12976.21</v>
      </c>
      <c r="AM5" s="787">
        <f t="shared" si="1"/>
        <v>625.72099999999989</v>
      </c>
      <c r="AN5" s="787">
        <f t="shared" si="2"/>
        <v>1570.0889999999999</v>
      </c>
      <c r="AO5" s="787">
        <f t="shared" si="3"/>
        <v>1601.0630000000001</v>
      </c>
      <c r="AP5" s="787">
        <f t="shared" si="4"/>
        <v>416.95</v>
      </c>
      <c r="AQ5" s="787">
        <f t="shared" si="22"/>
        <v>4213.8230000000003</v>
      </c>
      <c r="AR5" s="788">
        <f t="shared" si="23"/>
        <v>17190.032999999999</v>
      </c>
      <c r="AS5" s="395"/>
      <c r="AT5" s="509">
        <v>-642.49599999999998</v>
      </c>
      <c r="AU5" s="277">
        <v>129.566</v>
      </c>
      <c r="AV5" s="277">
        <v>290.67</v>
      </c>
      <c r="AW5" s="277">
        <v>-51.195</v>
      </c>
      <c r="AX5" s="277">
        <v>7.5540000000000003</v>
      </c>
      <c r="AY5" s="787">
        <f t="shared" si="24"/>
        <v>376.59499999999997</v>
      </c>
      <c r="AZ5" s="788">
        <f t="shared" si="25"/>
        <v>-265.90100000000001</v>
      </c>
      <c r="BA5" s="509">
        <v>-276.71899999999999</v>
      </c>
      <c r="BB5" s="277">
        <v>79.001999999999995</v>
      </c>
      <c r="BC5" s="277">
        <v>144.78399999999999</v>
      </c>
      <c r="BD5" s="277">
        <v>28.693999999999999</v>
      </c>
      <c r="BE5" s="277"/>
      <c r="BF5" s="787">
        <f t="shared" si="26"/>
        <v>252.48</v>
      </c>
      <c r="BG5" s="788">
        <f t="shared" si="27"/>
        <v>-24.239000000000004</v>
      </c>
      <c r="BH5" s="509">
        <v>-203.63499999999999</v>
      </c>
      <c r="BI5" s="277">
        <v>3.3180000000000001</v>
      </c>
      <c r="BJ5" s="277">
        <v>20.257000000000001</v>
      </c>
      <c r="BK5" s="277">
        <v>-12.763</v>
      </c>
      <c r="BL5" s="277"/>
      <c r="BM5" s="787">
        <f t="shared" si="28"/>
        <v>10.812000000000003</v>
      </c>
      <c r="BN5" s="788">
        <f t="shared" si="29"/>
        <v>-192.82299999999998</v>
      </c>
      <c r="BO5" s="509">
        <v>-259.85599999999999</v>
      </c>
      <c r="BP5" s="277">
        <v>-22.184999999999999</v>
      </c>
      <c r="BQ5" s="277">
        <v>-38.119999999999997</v>
      </c>
      <c r="BR5" s="277">
        <v>-95.48</v>
      </c>
      <c r="BS5" s="277"/>
      <c r="BT5" s="787">
        <f t="shared" si="30"/>
        <v>-155.785</v>
      </c>
      <c r="BU5" s="788">
        <f t="shared" si="31"/>
        <v>-415.64099999999996</v>
      </c>
      <c r="BV5" s="509">
        <v>106.09699999999999</v>
      </c>
      <c r="BW5" s="277"/>
      <c r="BX5" s="277"/>
      <c r="BY5" s="277"/>
      <c r="BZ5" s="277"/>
      <c r="CA5" s="787">
        <f t="shared" si="32"/>
        <v>0</v>
      </c>
      <c r="CB5" s="788">
        <f t="shared" si="33"/>
        <v>106.09699999999999</v>
      </c>
      <c r="CC5" s="789">
        <f t="shared" si="5"/>
        <v>-8.3829999999999245</v>
      </c>
      <c r="CD5" s="787">
        <f t="shared" si="6"/>
        <v>69.431000000000012</v>
      </c>
      <c r="CE5" s="787">
        <f t="shared" si="7"/>
        <v>163.74900000000002</v>
      </c>
      <c r="CF5" s="787">
        <f t="shared" si="8"/>
        <v>28.354000000000006</v>
      </c>
      <c r="CG5" s="787">
        <f t="shared" si="9"/>
        <v>7.5540000000000003</v>
      </c>
      <c r="CH5" s="787">
        <f t="shared" si="34"/>
        <v>269.08800000000002</v>
      </c>
      <c r="CI5" s="788">
        <f t="shared" si="35"/>
        <v>260.7050000000001</v>
      </c>
    </row>
    <row r="6" spans="1:87">
      <c r="A6" s="265">
        <f t="shared" si="10"/>
        <v>2003</v>
      </c>
      <c r="B6" s="263">
        <f t="shared" si="11"/>
        <v>37986</v>
      </c>
      <c r="C6" s="509">
        <v>22944.772000000001</v>
      </c>
      <c r="D6" s="277">
        <v>1577.789</v>
      </c>
      <c r="E6" s="277">
        <v>2920.73</v>
      </c>
      <c r="F6" s="277">
        <v>2439.2330000000002</v>
      </c>
      <c r="G6" s="277">
        <v>460.78800000000001</v>
      </c>
      <c r="H6" s="787">
        <f t="shared" si="12"/>
        <v>7398.5400000000009</v>
      </c>
      <c r="I6" s="788">
        <f t="shared" si="13"/>
        <v>30343.312000000002</v>
      </c>
      <c r="J6" s="509">
        <v>3004.2979999999998</v>
      </c>
      <c r="K6" s="277">
        <v>700.26099999999997</v>
      </c>
      <c r="L6" s="277">
        <v>542.11</v>
      </c>
      <c r="M6" s="277">
        <v>136.75700000000001</v>
      </c>
      <c r="N6" s="277"/>
      <c r="O6" s="787">
        <f t="shared" si="14"/>
        <v>1379.1280000000002</v>
      </c>
      <c r="P6" s="788">
        <f t="shared" si="15"/>
        <v>4383.4259999999995</v>
      </c>
      <c r="Q6" s="509">
        <v>2976.8310000000001</v>
      </c>
      <c r="R6" s="277">
        <v>148.84899999999999</v>
      </c>
      <c r="S6" s="277">
        <v>489.45499999999998</v>
      </c>
      <c r="T6" s="277">
        <v>32.014000000000003</v>
      </c>
      <c r="U6" s="277"/>
      <c r="V6" s="787">
        <f t="shared" si="16"/>
        <v>670.31799999999998</v>
      </c>
      <c r="W6" s="788">
        <f t="shared" si="17"/>
        <v>3647.1490000000003</v>
      </c>
      <c r="X6" s="509">
        <v>2369.0230000000001</v>
      </c>
      <c r="Y6" s="277">
        <v>111.374</v>
      </c>
      <c r="Z6" s="277">
        <v>410.26</v>
      </c>
      <c r="AA6" s="277">
        <v>607.74800000000005</v>
      </c>
      <c r="AB6" s="277"/>
      <c r="AC6" s="787">
        <f t="shared" si="18"/>
        <v>1129.3820000000001</v>
      </c>
      <c r="AD6" s="788">
        <f t="shared" si="19"/>
        <v>3498.4050000000002</v>
      </c>
      <c r="AE6" s="509">
        <v>1516.944</v>
      </c>
      <c r="AF6" s="277"/>
      <c r="AG6" s="277"/>
      <c r="AH6" s="277"/>
      <c r="AI6" s="277"/>
      <c r="AJ6" s="787">
        <f t="shared" si="20"/>
        <v>0</v>
      </c>
      <c r="AK6" s="788">
        <f t="shared" si="21"/>
        <v>1516.944</v>
      </c>
      <c r="AL6" s="789">
        <f t="shared" si="0"/>
        <v>13077.676000000001</v>
      </c>
      <c r="AM6" s="787">
        <f t="shared" si="1"/>
        <v>617.30500000000006</v>
      </c>
      <c r="AN6" s="787">
        <f t="shared" si="2"/>
        <v>1478.905</v>
      </c>
      <c r="AO6" s="787">
        <f t="shared" si="3"/>
        <v>1662.7140000000002</v>
      </c>
      <c r="AP6" s="787">
        <f t="shared" si="4"/>
        <v>460.78800000000001</v>
      </c>
      <c r="AQ6" s="787">
        <f t="shared" si="22"/>
        <v>4219.7119999999995</v>
      </c>
      <c r="AR6" s="788">
        <f t="shared" si="23"/>
        <v>17297.387999999999</v>
      </c>
      <c r="AS6" s="395"/>
      <c r="AT6" s="509">
        <v>-348.536</v>
      </c>
      <c r="AU6" s="277">
        <v>107.82599999999999</v>
      </c>
      <c r="AV6" s="277">
        <v>109.623</v>
      </c>
      <c r="AW6" s="277">
        <v>-42.98</v>
      </c>
      <c r="AX6" s="277">
        <v>-1.9970000000000001</v>
      </c>
      <c r="AY6" s="787">
        <f t="shared" si="24"/>
        <v>172.47200000000001</v>
      </c>
      <c r="AZ6" s="788">
        <f t="shared" si="25"/>
        <v>-176.06399999999999</v>
      </c>
      <c r="BA6" s="509">
        <v>-295.35399999999998</v>
      </c>
      <c r="BB6" s="277">
        <v>63.386000000000003</v>
      </c>
      <c r="BC6" s="277">
        <v>74.233999999999995</v>
      </c>
      <c r="BD6" s="277">
        <v>28.009</v>
      </c>
      <c r="BE6" s="277"/>
      <c r="BF6" s="787">
        <f t="shared" si="26"/>
        <v>165.62900000000002</v>
      </c>
      <c r="BG6" s="788">
        <f t="shared" si="27"/>
        <v>-129.72499999999997</v>
      </c>
      <c r="BH6" s="509">
        <v>-324.43900000000002</v>
      </c>
      <c r="BI6" s="277">
        <v>-3.4969999999999999</v>
      </c>
      <c r="BJ6" s="277">
        <v>-10.585000000000001</v>
      </c>
      <c r="BK6" s="277">
        <v>-17.530999999999999</v>
      </c>
      <c r="BL6" s="277"/>
      <c r="BM6" s="787">
        <f t="shared" si="28"/>
        <v>-31.613</v>
      </c>
      <c r="BN6" s="788">
        <f t="shared" si="29"/>
        <v>-356.05200000000002</v>
      </c>
      <c r="BO6" s="509">
        <v>-411.78</v>
      </c>
      <c r="BP6" s="277">
        <v>-15.147</v>
      </c>
      <c r="BQ6" s="277">
        <v>-106.98</v>
      </c>
      <c r="BR6" s="277">
        <v>-96.001999999999995</v>
      </c>
      <c r="BS6" s="277"/>
      <c r="BT6" s="787">
        <f t="shared" si="30"/>
        <v>-218.12900000000002</v>
      </c>
      <c r="BU6" s="788">
        <f t="shared" si="31"/>
        <v>-629.90899999999999</v>
      </c>
      <c r="BV6" s="509">
        <v>65.781000000000006</v>
      </c>
      <c r="BW6" s="277"/>
      <c r="BX6" s="277"/>
      <c r="BY6" s="277"/>
      <c r="BZ6" s="277"/>
      <c r="CA6" s="787">
        <f t="shared" si="32"/>
        <v>0</v>
      </c>
      <c r="CB6" s="788">
        <f t="shared" si="33"/>
        <v>65.781000000000006</v>
      </c>
      <c r="CC6" s="789">
        <f t="shared" si="5"/>
        <v>617.25599999999986</v>
      </c>
      <c r="CD6" s="787">
        <f t="shared" si="6"/>
        <v>63.083999999999989</v>
      </c>
      <c r="CE6" s="787">
        <f t="shared" si="7"/>
        <v>152.95400000000001</v>
      </c>
      <c r="CF6" s="787">
        <f t="shared" si="8"/>
        <v>42.544000000000004</v>
      </c>
      <c r="CG6" s="787">
        <f t="shared" si="9"/>
        <v>-1.9970000000000001</v>
      </c>
      <c r="CH6" s="787">
        <f t="shared" si="34"/>
        <v>256.58499999999998</v>
      </c>
      <c r="CI6" s="788">
        <f t="shared" si="35"/>
        <v>873.84099999999989</v>
      </c>
    </row>
    <row r="7" spans="1:87">
      <c r="A7" s="265">
        <f t="shared" si="10"/>
        <v>2004</v>
      </c>
      <c r="B7" s="263">
        <f>+EOMONTH(B6,3)</f>
        <v>38077</v>
      </c>
      <c r="C7" s="509">
        <v>23886.066999999999</v>
      </c>
      <c r="D7" s="277">
        <v>1913.1569999999999</v>
      </c>
      <c r="E7" s="277">
        <v>2856.52</v>
      </c>
      <c r="F7" s="277">
        <v>2457.3679999999999</v>
      </c>
      <c r="G7" s="277">
        <v>520.6</v>
      </c>
      <c r="H7" s="787">
        <f t="shared" si="12"/>
        <v>7747.6450000000004</v>
      </c>
      <c r="I7" s="788">
        <f t="shared" si="13"/>
        <v>31633.712</v>
      </c>
      <c r="J7" s="509">
        <v>3033.877</v>
      </c>
      <c r="K7" s="277">
        <v>817.55799999999999</v>
      </c>
      <c r="L7" s="277">
        <v>516.21500000000003</v>
      </c>
      <c r="M7" s="277">
        <v>135.452</v>
      </c>
      <c r="N7" s="277"/>
      <c r="O7" s="787">
        <f t="shared" si="14"/>
        <v>1469.2250000000001</v>
      </c>
      <c r="P7" s="788">
        <f t="shared" si="15"/>
        <v>4503.1019999999999</v>
      </c>
      <c r="Q7" s="509">
        <v>2940.54</v>
      </c>
      <c r="R7" s="277">
        <v>161.37200000000001</v>
      </c>
      <c r="S7" s="277">
        <v>431.22199999999998</v>
      </c>
      <c r="T7" s="277">
        <v>35.436999999999998</v>
      </c>
      <c r="U7" s="277"/>
      <c r="V7" s="787">
        <f t="shared" si="16"/>
        <v>628.03100000000006</v>
      </c>
      <c r="W7" s="788">
        <f t="shared" si="17"/>
        <v>3568.5709999999999</v>
      </c>
      <c r="X7" s="509">
        <v>2422.3820000000001</v>
      </c>
      <c r="Y7" s="277">
        <v>119.13</v>
      </c>
      <c r="Z7" s="277">
        <v>460.76600000000002</v>
      </c>
      <c r="AA7" s="277">
        <v>623.71199999999999</v>
      </c>
      <c r="AB7" s="277"/>
      <c r="AC7" s="787">
        <f t="shared" si="18"/>
        <v>1203.6079999999999</v>
      </c>
      <c r="AD7" s="788">
        <f t="shared" si="19"/>
        <v>3625.99</v>
      </c>
      <c r="AE7" s="509">
        <v>1483.9860000000001</v>
      </c>
      <c r="AF7" s="277"/>
      <c r="AG7" s="277"/>
      <c r="AH7" s="277"/>
      <c r="AI7" s="277"/>
      <c r="AJ7" s="787">
        <f t="shared" si="20"/>
        <v>0</v>
      </c>
      <c r="AK7" s="788">
        <f t="shared" si="21"/>
        <v>1483.9860000000001</v>
      </c>
      <c r="AL7" s="789">
        <f t="shared" si="0"/>
        <v>14005.281999999999</v>
      </c>
      <c r="AM7" s="787">
        <f t="shared" si="1"/>
        <v>815.09699999999998</v>
      </c>
      <c r="AN7" s="787">
        <f t="shared" si="2"/>
        <v>1448.317</v>
      </c>
      <c r="AO7" s="787">
        <f t="shared" si="3"/>
        <v>1662.7669999999998</v>
      </c>
      <c r="AP7" s="787">
        <f t="shared" si="4"/>
        <v>520.6</v>
      </c>
      <c r="AQ7" s="787">
        <f t="shared" si="22"/>
        <v>4446.7809999999999</v>
      </c>
      <c r="AR7" s="788">
        <f t="shared" si="23"/>
        <v>18452.062999999998</v>
      </c>
      <c r="AS7" s="395"/>
      <c r="AT7" s="509">
        <v>-1622.1220000000001</v>
      </c>
      <c r="AU7" s="277">
        <v>201.821</v>
      </c>
      <c r="AV7" s="277">
        <v>31.51</v>
      </c>
      <c r="AW7" s="277">
        <v>-73.884</v>
      </c>
      <c r="AX7" s="277">
        <v>6.4989999999999997</v>
      </c>
      <c r="AY7" s="787">
        <f t="shared" si="24"/>
        <v>165.946</v>
      </c>
      <c r="AZ7" s="788">
        <f t="shared" si="25"/>
        <v>-1456.1760000000002</v>
      </c>
      <c r="BA7" s="509">
        <v>-357.16300000000001</v>
      </c>
      <c r="BB7" s="277">
        <v>92.037000000000006</v>
      </c>
      <c r="BC7" s="277">
        <v>61.89</v>
      </c>
      <c r="BD7" s="277">
        <v>21.562999999999999</v>
      </c>
      <c r="BE7" s="277"/>
      <c r="BF7" s="787">
        <f t="shared" si="26"/>
        <v>175.49</v>
      </c>
      <c r="BG7" s="788">
        <f t="shared" si="27"/>
        <v>-181.673</v>
      </c>
      <c r="BH7" s="509">
        <v>-355.46</v>
      </c>
      <c r="BI7" s="277">
        <v>-1.512</v>
      </c>
      <c r="BJ7" s="277">
        <v>-28.007999999999999</v>
      </c>
      <c r="BK7" s="277">
        <v>-6.8129999999999997</v>
      </c>
      <c r="BL7" s="277"/>
      <c r="BM7" s="787">
        <f t="shared" si="28"/>
        <v>-36.332999999999998</v>
      </c>
      <c r="BN7" s="788">
        <f t="shared" si="29"/>
        <v>-391.79300000000001</v>
      </c>
      <c r="BO7" s="509">
        <v>-435.51799999999997</v>
      </c>
      <c r="BP7" s="277">
        <v>-12.14</v>
      </c>
      <c r="BQ7" s="277">
        <v>-48.667000000000002</v>
      </c>
      <c r="BR7" s="277">
        <v>-46.421999999999997</v>
      </c>
      <c r="BS7" s="277"/>
      <c r="BT7" s="787">
        <f t="shared" si="30"/>
        <v>-107.229</v>
      </c>
      <c r="BU7" s="788">
        <f t="shared" si="31"/>
        <v>-542.74699999999996</v>
      </c>
      <c r="BV7" s="509">
        <v>25.808</v>
      </c>
      <c r="BW7" s="277"/>
      <c r="BX7" s="277"/>
      <c r="BY7" s="277"/>
      <c r="BZ7" s="277"/>
      <c r="CA7" s="787">
        <f t="shared" si="32"/>
        <v>0</v>
      </c>
      <c r="CB7" s="788">
        <f t="shared" si="33"/>
        <v>25.808</v>
      </c>
      <c r="CC7" s="789">
        <f t="shared" si="5"/>
        <v>-499.78899999999999</v>
      </c>
      <c r="CD7" s="787">
        <f t="shared" si="6"/>
        <v>123.43599999999999</v>
      </c>
      <c r="CE7" s="787">
        <f t="shared" si="7"/>
        <v>46.295000000000002</v>
      </c>
      <c r="CF7" s="787">
        <f t="shared" si="8"/>
        <v>-42.212000000000003</v>
      </c>
      <c r="CG7" s="787">
        <f t="shared" si="9"/>
        <v>6.4989999999999997</v>
      </c>
      <c r="CH7" s="787">
        <f t="shared" si="34"/>
        <v>134.018</v>
      </c>
      <c r="CI7" s="788">
        <f t="shared" si="35"/>
        <v>-365.77099999999996</v>
      </c>
    </row>
    <row r="8" spans="1:87">
      <c r="A8" s="265">
        <f t="shared" si="10"/>
        <v>2004</v>
      </c>
      <c r="B8" s="263">
        <f t="shared" si="11"/>
        <v>38168</v>
      </c>
      <c r="C8" s="509">
        <v>25861.558000000001</v>
      </c>
      <c r="D8" s="277">
        <v>1760.412</v>
      </c>
      <c r="E8" s="277">
        <v>3574.1089999999999</v>
      </c>
      <c r="F8" s="277">
        <v>2643.5369999999998</v>
      </c>
      <c r="G8" s="277">
        <v>458.63799999999998</v>
      </c>
      <c r="H8" s="787">
        <f t="shared" si="12"/>
        <v>8436.6959999999999</v>
      </c>
      <c r="I8" s="788">
        <f t="shared" si="13"/>
        <v>34298.254000000001</v>
      </c>
      <c r="J8" s="509">
        <v>3196.489</v>
      </c>
      <c r="K8" s="277">
        <v>731.77099999999996</v>
      </c>
      <c r="L8" s="277">
        <v>724.56799999999998</v>
      </c>
      <c r="M8" s="277">
        <v>168.14699999999999</v>
      </c>
      <c r="N8" s="277"/>
      <c r="O8" s="787">
        <f t="shared" si="14"/>
        <v>1624.4859999999999</v>
      </c>
      <c r="P8" s="788">
        <f t="shared" si="15"/>
        <v>4820.9750000000004</v>
      </c>
      <c r="Q8" s="509">
        <v>3165.5360000000001</v>
      </c>
      <c r="R8" s="277">
        <v>161.94800000000001</v>
      </c>
      <c r="S8" s="277">
        <v>630.15899999999999</v>
      </c>
      <c r="T8" s="277">
        <v>39.515999999999998</v>
      </c>
      <c r="U8" s="277"/>
      <c r="V8" s="787">
        <f t="shared" si="16"/>
        <v>831.62299999999993</v>
      </c>
      <c r="W8" s="788">
        <f t="shared" si="17"/>
        <v>3997.1590000000001</v>
      </c>
      <c r="X8" s="509">
        <v>2697.4090000000001</v>
      </c>
      <c r="Y8" s="277">
        <v>99.965999999999994</v>
      </c>
      <c r="Z8" s="277">
        <v>506.214</v>
      </c>
      <c r="AA8" s="277">
        <v>658.89499999999998</v>
      </c>
      <c r="AB8" s="277"/>
      <c r="AC8" s="787">
        <f t="shared" si="18"/>
        <v>1265.0749999999998</v>
      </c>
      <c r="AD8" s="788">
        <f t="shared" si="19"/>
        <v>3962.4839999999999</v>
      </c>
      <c r="AE8" s="509">
        <v>1716.248</v>
      </c>
      <c r="AF8" s="277"/>
      <c r="AG8" s="277"/>
      <c r="AH8" s="277"/>
      <c r="AI8" s="277"/>
      <c r="AJ8" s="787">
        <f t="shared" si="20"/>
        <v>0</v>
      </c>
      <c r="AK8" s="788">
        <f t="shared" si="21"/>
        <v>1716.248</v>
      </c>
      <c r="AL8" s="789">
        <f t="shared" si="0"/>
        <v>15085.876000000002</v>
      </c>
      <c r="AM8" s="787">
        <f t="shared" si="1"/>
        <v>766.72700000000009</v>
      </c>
      <c r="AN8" s="787">
        <f t="shared" si="2"/>
        <v>1713.1680000000001</v>
      </c>
      <c r="AO8" s="787">
        <f t="shared" si="3"/>
        <v>1776.9789999999998</v>
      </c>
      <c r="AP8" s="787">
        <f t="shared" si="4"/>
        <v>458.63799999999998</v>
      </c>
      <c r="AQ8" s="787">
        <f t="shared" si="22"/>
        <v>4715.5119999999997</v>
      </c>
      <c r="AR8" s="788">
        <f t="shared" si="23"/>
        <v>19801.388000000003</v>
      </c>
      <c r="AS8" s="395"/>
      <c r="AT8" s="509">
        <v>-2018.8510000000001</v>
      </c>
      <c r="AU8" s="277">
        <v>42.466999999999999</v>
      </c>
      <c r="AV8" s="277">
        <v>115.648</v>
      </c>
      <c r="AW8" s="277">
        <v>-61.034999999999997</v>
      </c>
      <c r="AX8" s="277">
        <v>6.6479999999999997</v>
      </c>
      <c r="AY8" s="787">
        <f t="shared" si="24"/>
        <v>103.72800000000001</v>
      </c>
      <c r="AZ8" s="788">
        <f t="shared" si="25"/>
        <v>-1915.123</v>
      </c>
      <c r="BA8" s="509">
        <v>-235.756</v>
      </c>
      <c r="BB8" s="277">
        <v>32.71</v>
      </c>
      <c r="BC8" s="277">
        <v>156.04</v>
      </c>
      <c r="BD8" s="277">
        <v>34.070999999999998</v>
      </c>
      <c r="BE8" s="277"/>
      <c r="BF8" s="787">
        <f t="shared" si="26"/>
        <v>222.821</v>
      </c>
      <c r="BG8" s="788">
        <f t="shared" si="27"/>
        <v>-12.935000000000002</v>
      </c>
      <c r="BH8" s="509">
        <v>-1632.097</v>
      </c>
      <c r="BI8" s="277">
        <v>-71.492000000000004</v>
      </c>
      <c r="BJ8" s="277">
        <v>-258.245</v>
      </c>
      <c r="BK8" s="277">
        <v>-11.157</v>
      </c>
      <c r="BL8" s="277"/>
      <c r="BM8" s="787">
        <f t="shared" si="28"/>
        <v>-340.89400000000001</v>
      </c>
      <c r="BN8" s="788">
        <f t="shared" si="29"/>
        <v>-1972.991</v>
      </c>
      <c r="BO8" s="509">
        <v>-274.59100000000001</v>
      </c>
      <c r="BP8" s="277">
        <v>-11.375</v>
      </c>
      <c r="BQ8" s="277">
        <v>0.55400000000000005</v>
      </c>
      <c r="BR8" s="277">
        <v>-17.248999999999999</v>
      </c>
      <c r="BS8" s="277"/>
      <c r="BT8" s="787">
        <f t="shared" si="30"/>
        <v>-28.07</v>
      </c>
      <c r="BU8" s="788">
        <f t="shared" si="31"/>
        <v>-302.661</v>
      </c>
      <c r="BV8" s="509">
        <v>112.852</v>
      </c>
      <c r="BW8" s="277"/>
      <c r="BX8" s="277"/>
      <c r="BY8" s="277"/>
      <c r="BZ8" s="277"/>
      <c r="CA8" s="787">
        <f t="shared" si="32"/>
        <v>0</v>
      </c>
      <c r="CB8" s="788">
        <f t="shared" si="33"/>
        <v>112.852</v>
      </c>
      <c r="CC8" s="789">
        <f t="shared" si="5"/>
        <v>10.740999999999758</v>
      </c>
      <c r="CD8" s="787">
        <f t="shared" si="6"/>
        <v>92.623999999999995</v>
      </c>
      <c r="CE8" s="787">
        <f t="shared" si="7"/>
        <v>217.29900000000001</v>
      </c>
      <c r="CF8" s="787">
        <f t="shared" si="8"/>
        <v>-66.699999999999989</v>
      </c>
      <c r="CG8" s="787">
        <f t="shared" si="9"/>
        <v>6.6479999999999997</v>
      </c>
      <c r="CH8" s="787">
        <f t="shared" si="34"/>
        <v>249.87100000000001</v>
      </c>
      <c r="CI8" s="788">
        <f t="shared" si="35"/>
        <v>260.61199999999974</v>
      </c>
    </row>
    <row r="9" spans="1:87">
      <c r="A9" s="265">
        <f t="shared" si="10"/>
        <v>2004</v>
      </c>
      <c r="B9" s="263">
        <f t="shared" si="11"/>
        <v>38260</v>
      </c>
      <c r="C9" s="509">
        <v>25701.945</v>
      </c>
      <c r="D9" s="277">
        <v>1820.0519999999999</v>
      </c>
      <c r="E9" s="277">
        <v>3857.8820000000001</v>
      </c>
      <c r="F9" s="277">
        <v>2857.8249999999998</v>
      </c>
      <c r="G9" s="277">
        <v>483.37200000000001</v>
      </c>
      <c r="H9" s="787">
        <f t="shared" si="12"/>
        <v>9019.1309999999994</v>
      </c>
      <c r="I9" s="788">
        <f t="shared" si="13"/>
        <v>34721.076000000001</v>
      </c>
      <c r="J9" s="509">
        <v>2990.8490000000002</v>
      </c>
      <c r="K9" s="277">
        <v>781.73800000000006</v>
      </c>
      <c r="L9" s="277">
        <v>803.29399999999998</v>
      </c>
      <c r="M9" s="277">
        <v>176.94800000000001</v>
      </c>
      <c r="N9" s="277"/>
      <c r="O9" s="787">
        <f t="shared" si="14"/>
        <v>1761.9800000000002</v>
      </c>
      <c r="P9" s="788">
        <f t="shared" si="15"/>
        <v>4752.8290000000006</v>
      </c>
      <c r="Q9" s="509">
        <v>3061.748</v>
      </c>
      <c r="R9" s="277">
        <v>161.93</v>
      </c>
      <c r="S9" s="277">
        <v>648.25199999999995</v>
      </c>
      <c r="T9" s="277">
        <v>41.790999999999997</v>
      </c>
      <c r="U9" s="277"/>
      <c r="V9" s="787">
        <f t="shared" si="16"/>
        <v>851.97299999999996</v>
      </c>
      <c r="W9" s="788">
        <f t="shared" si="17"/>
        <v>3913.721</v>
      </c>
      <c r="X9" s="509">
        <v>2824.078</v>
      </c>
      <c r="Y9" s="277">
        <v>95.513999999999996</v>
      </c>
      <c r="Z9" s="277">
        <v>558.09900000000005</v>
      </c>
      <c r="AA9" s="277">
        <v>747.62599999999998</v>
      </c>
      <c r="AB9" s="277"/>
      <c r="AC9" s="787">
        <f t="shared" si="18"/>
        <v>1401.239</v>
      </c>
      <c r="AD9" s="788">
        <f t="shared" si="19"/>
        <v>4225.317</v>
      </c>
      <c r="AE9" s="509">
        <v>1674.4190000000001</v>
      </c>
      <c r="AF9" s="277"/>
      <c r="AG9" s="277"/>
      <c r="AH9" s="277"/>
      <c r="AI9" s="277"/>
      <c r="AJ9" s="787">
        <f t="shared" si="20"/>
        <v>0</v>
      </c>
      <c r="AK9" s="788">
        <f t="shared" si="21"/>
        <v>1674.4190000000001</v>
      </c>
      <c r="AL9" s="789">
        <f t="shared" si="0"/>
        <v>15150.851000000001</v>
      </c>
      <c r="AM9" s="787">
        <f t="shared" si="1"/>
        <v>780.86999999999989</v>
      </c>
      <c r="AN9" s="787">
        <f t="shared" si="2"/>
        <v>1848.2370000000001</v>
      </c>
      <c r="AO9" s="787">
        <f t="shared" si="3"/>
        <v>1891.4599999999998</v>
      </c>
      <c r="AP9" s="787">
        <f t="shared" si="4"/>
        <v>483.37200000000001</v>
      </c>
      <c r="AQ9" s="787">
        <f t="shared" si="22"/>
        <v>5003.9390000000003</v>
      </c>
      <c r="AR9" s="788">
        <f t="shared" si="23"/>
        <v>20154.79</v>
      </c>
      <c r="AS9" s="395"/>
      <c r="AT9" s="509">
        <v>-1702.3679999999999</v>
      </c>
      <c r="AU9" s="277">
        <v>38.781999999999996</v>
      </c>
      <c r="AV9" s="277">
        <v>331.61900000000003</v>
      </c>
      <c r="AW9" s="277">
        <v>94.637</v>
      </c>
      <c r="AX9" s="277">
        <v>113.80200000000001</v>
      </c>
      <c r="AY9" s="787">
        <f t="shared" si="24"/>
        <v>578.84</v>
      </c>
      <c r="AZ9" s="788">
        <f t="shared" si="25"/>
        <v>-1123.5279999999998</v>
      </c>
      <c r="BA9" s="509">
        <v>-328.16500000000002</v>
      </c>
      <c r="BB9" s="277">
        <v>-29.391999999999999</v>
      </c>
      <c r="BC9" s="277">
        <v>117.02800000000001</v>
      </c>
      <c r="BD9" s="277">
        <v>14.653</v>
      </c>
      <c r="BE9" s="277"/>
      <c r="BF9" s="787">
        <f t="shared" si="26"/>
        <v>102.28900000000002</v>
      </c>
      <c r="BG9" s="788">
        <f t="shared" si="27"/>
        <v>-225.876</v>
      </c>
      <c r="BH9" s="509">
        <v>-584.82299999999998</v>
      </c>
      <c r="BI9" s="277">
        <v>-19.091999999999999</v>
      </c>
      <c r="BJ9" s="277">
        <v>-56.822000000000003</v>
      </c>
      <c r="BK9" s="277">
        <v>2.9430000000000001</v>
      </c>
      <c r="BL9" s="277"/>
      <c r="BM9" s="787">
        <f t="shared" si="28"/>
        <v>-72.971000000000004</v>
      </c>
      <c r="BN9" s="788">
        <f t="shared" si="29"/>
        <v>-657.79399999999998</v>
      </c>
      <c r="BO9" s="509">
        <v>-322.54500000000002</v>
      </c>
      <c r="BP9" s="277">
        <v>-7.492</v>
      </c>
      <c r="BQ9" s="277">
        <v>-0.26100000000000001</v>
      </c>
      <c r="BR9" s="277">
        <v>-7.3440000000000003</v>
      </c>
      <c r="BS9" s="277"/>
      <c r="BT9" s="787">
        <f t="shared" si="30"/>
        <v>-15.097000000000001</v>
      </c>
      <c r="BU9" s="788">
        <f t="shared" si="31"/>
        <v>-337.642</v>
      </c>
      <c r="BV9" s="509">
        <v>119.179</v>
      </c>
      <c r="BW9" s="277"/>
      <c r="BX9" s="277"/>
      <c r="BY9" s="277"/>
      <c r="BZ9" s="277"/>
      <c r="CA9" s="787">
        <f t="shared" si="32"/>
        <v>0</v>
      </c>
      <c r="CB9" s="788">
        <f t="shared" si="33"/>
        <v>119.179</v>
      </c>
      <c r="CC9" s="789">
        <f t="shared" si="5"/>
        <v>-586.0139999999999</v>
      </c>
      <c r="CD9" s="787">
        <f t="shared" si="6"/>
        <v>94.757999999999981</v>
      </c>
      <c r="CE9" s="787">
        <f t="shared" si="7"/>
        <v>271.67400000000004</v>
      </c>
      <c r="CF9" s="787">
        <f t="shared" si="8"/>
        <v>84.385000000000005</v>
      </c>
      <c r="CG9" s="787">
        <f t="shared" si="9"/>
        <v>113.80200000000001</v>
      </c>
      <c r="CH9" s="787">
        <f t="shared" si="34"/>
        <v>564.61900000000003</v>
      </c>
      <c r="CI9" s="788">
        <f t="shared" si="35"/>
        <v>-21.394999999999868</v>
      </c>
    </row>
    <row r="10" spans="1:87">
      <c r="A10" s="265">
        <f t="shared" si="10"/>
        <v>2004</v>
      </c>
      <c r="B10" s="263">
        <f t="shared" si="11"/>
        <v>38352</v>
      </c>
      <c r="C10" s="509">
        <v>25452.94</v>
      </c>
      <c r="D10" s="277">
        <v>1870.5930000000001</v>
      </c>
      <c r="E10" s="277">
        <v>3346.18</v>
      </c>
      <c r="F10" s="277">
        <v>2809.8870000000002</v>
      </c>
      <c r="G10" s="277">
        <v>527.64200000000005</v>
      </c>
      <c r="H10" s="787">
        <f t="shared" si="12"/>
        <v>8554.3019999999997</v>
      </c>
      <c r="I10" s="788">
        <f t="shared" si="13"/>
        <v>34007.241999999998</v>
      </c>
      <c r="J10" s="509">
        <v>2933.37</v>
      </c>
      <c r="K10" s="277">
        <v>784.31799999999998</v>
      </c>
      <c r="L10" s="277">
        <v>633.68899999999996</v>
      </c>
      <c r="M10" s="277">
        <v>179.27</v>
      </c>
      <c r="N10" s="277"/>
      <c r="O10" s="787">
        <f t="shared" si="14"/>
        <v>1597.277</v>
      </c>
      <c r="P10" s="788">
        <f t="shared" si="15"/>
        <v>4530.6469999999999</v>
      </c>
      <c r="Q10" s="509">
        <v>2962.4749999999999</v>
      </c>
      <c r="R10" s="277">
        <v>165.602</v>
      </c>
      <c r="S10" s="277">
        <v>510.75799999999998</v>
      </c>
      <c r="T10" s="277">
        <v>36.194000000000003</v>
      </c>
      <c r="U10" s="277"/>
      <c r="V10" s="787">
        <f t="shared" si="16"/>
        <v>712.55399999999997</v>
      </c>
      <c r="W10" s="788">
        <f t="shared" si="17"/>
        <v>3675.029</v>
      </c>
      <c r="X10" s="509">
        <v>2542.192</v>
      </c>
      <c r="Y10" s="277">
        <v>104.602</v>
      </c>
      <c r="Z10" s="277">
        <v>502.64699999999999</v>
      </c>
      <c r="AA10" s="277">
        <v>737.93700000000001</v>
      </c>
      <c r="AB10" s="277"/>
      <c r="AC10" s="787">
        <f t="shared" si="18"/>
        <v>1345.1860000000001</v>
      </c>
      <c r="AD10" s="788">
        <f t="shared" si="19"/>
        <v>3887.3780000000002</v>
      </c>
      <c r="AE10" s="509">
        <v>1654.9670000000001</v>
      </c>
      <c r="AF10" s="277"/>
      <c r="AG10" s="277"/>
      <c r="AH10" s="277"/>
      <c r="AI10" s="277"/>
      <c r="AJ10" s="787">
        <f t="shared" si="20"/>
        <v>0</v>
      </c>
      <c r="AK10" s="788">
        <f t="shared" si="21"/>
        <v>1654.9670000000001</v>
      </c>
      <c r="AL10" s="789">
        <f t="shared" si="0"/>
        <v>15359.935999999998</v>
      </c>
      <c r="AM10" s="787">
        <f t="shared" si="1"/>
        <v>816.07100000000014</v>
      </c>
      <c r="AN10" s="787">
        <f t="shared" si="2"/>
        <v>1699.086</v>
      </c>
      <c r="AO10" s="787">
        <f t="shared" si="3"/>
        <v>1856.4860000000001</v>
      </c>
      <c r="AP10" s="787">
        <f t="shared" si="4"/>
        <v>527.64200000000005</v>
      </c>
      <c r="AQ10" s="787">
        <f t="shared" si="22"/>
        <v>4899.2849999999999</v>
      </c>
      <c r="AR10" s="788">
        <f t="shared" si="23"/>
        <v>20259.220999999998</v>
      </c>
      <c r="AS10" s="395"/>
      <c r="AT10" s="509">
        <v>-4562.8130000000001</v>
      </c>
      <c r="AU10" s="277">
        <v>30.756</v>
      </c>
      <c r="AV10" s="277">
        <v>-71.245999999999995</v>
      </c>
      <c r="AW10" s="277">
        <v>-31.241</v>
      </c>
      <c r="AX10" s="277">
        <v>24.949000000000002</v>
      </c>
      <c r="AY10" s="787">
        <f t="shared" si="24"/>
        <v>-46.781999999999996</v>
      </c>
      <c r="AZ10" s="788">
        <f t="shared" si="25"/>
        <v>-4609.5950000000003</v>
      </c>
      <c r="BA10" s="509">
        <v>-393.78</v>
      </c>
      <c r="BB10" s="277">
        <v>-27.649000000000001</v>
      </c>
      <c r="BC10" s="277">
        <v>12.712999999999999</v>
      </c>
      <c r="BD10" s="277">
        <v>8.2189999999999994</v>
      </c>
      <c r="BE10" s="277"/>
      <c r="BF10" s="787">
        <f t="shared" si="26"/>
        <v>-6.7170000000000023</v>
      </c>
      <c r="BG10" s="788">
        <f t="shared" si="27"/>
        <v>-400.49699999999996</v>
      </c>
      <c r="BH10" s="509">
        <v>-311.30599999999998</v>
      </c>
      <c r="BI10" s="277">
        <v>-8.6910000000000007</v>
      </c>
      <c r="BJ10" s="277">
        <v>-22.477</v>
      </c>
      <c r="BK10" s="277">
        <v>2.8730000000000002</v>
      </c>
      <c r="BL10" s="277"/>
      <c r="BM10" s="787">
        <f t="shared" si="28"/>
        <v>-28.294999999999998</v>
      </c>
      <c r="BN10" s="788">
        <f t="shared" si="29"/>
        <v>-339.601</v>
      </c>
      <c r="BO10" s="509">
        <v>-666.40800000000002</v>
      </c>
      <c r="BP10" s="277">
        <v>-12.978</v>
      </c>
      <c r="BQ10" s="277">
        <v>-66.88</v>
      </c>
      <c r="BR10" s="277">
        <v>-72.831000000000003</v>
      </c>
      <c r="BS10" s="277"/>
      <c r="BT10" s="787">
        <f t="shared" si="30"/>
        <v>-152.68899999999999</v>
      </c>
      <c r="BU10" s="788">
        <f t="shared" si="31"/>
        <v>-819.09699999999998</v>
      </c>
      <c r="BV10" s="509">
        <v>55.53</v>
      </c>
      <c r="BW10" s="277"/>
      <c r="BX10" s="277"/>
      <c r="BY10" s="277"/>
      <c r="BZ10" s="277"/>
      <c r="CA10" s="787">
        <f t="shared" si="32"/>
        <v>0</v>
      </c>
      <c r="CB10" s="788">
        <f t="shared" si="33"/>
        <v>55.53</v>
      </c>
      <c r="CC10" s="789">
        <f t="shared" si="5"/>
        <v>-3246.8490000000002</v>
      </c>
      <c r="CD10" s="787">
        <f t="shared" si="6"/>
        <v>80.074000000000012</v>
      </c>
      <c r="CE10" s="787">
        <f t="shared" si="7"/>
        <v>5.3979999999999961</v>
      </c>
      <c r="CF10" s="787">
        <f t="shared" si="8"/>
        <v>30.498000000000005</v>
      </c>
      <c r="CG10" s="787">
        <f t="shared" si="9"/>
        <v>24.949000000000002</v>
      </c>
      <c r="CH10" s="787">
        <f t="shared" si="34"/>
        <v>140.91900000000001</v>
      </c>
      <c r="CI10" s="788">
        <f t="shared" si="35"/>
        <v>-3105.9300000000003</v>
      </c>
    </row>
    <row r="11" spans="1:87">
      <c r="A11" s="265">
        <f t="shared" si="10"/>
        <v>2005</v>
      </c>
      <c r="B11" s="263">
        <f t="shared" si="11"/>
        <v>38442</v>
      </c>
      <c r="C11" s="509">
        <v>25688.272000000001</v>
      </c>
      <c r="D11" s="277">
        <v>2228.0709999999999</v>
      </c>
      <c r="E11" s="277">
        <v>3237.5839999999998</v>
      </c>
      <c r="F11" s="277">
        <v>2809.0419999999999</v>
      </c>
      <c r="G11" s="277">
        <v>718.11400000000003</v>
      </c>
      <c r="H11" s="787">
        <f t="shared" si="12"/>
        <v>8992.8109999999997</v>
      </c>
      <c r="I11" s="788">
        <f t="shared" si="13"/>
        <v>34681.082999999999</v>
      </c>
      <c r="J11" s="509">
        <v>3043.3560000000002</v>
      </c>
      <c r="K11" s="277">
        <v>930.654</v>
      </c>
      <c r="L11" s="277">
        <v>599.32600000000002</v>
      </c>
      <c r="M11" s="277">
        <v>163.19499999999999</v>
      </c>
      <c r="N11" s="277"/>
      <c r="O11" s="787">
        <f t="shared" si="14"/>
        <v>1693.175</v>
      </c>
      <c r="P11" s="788">
        <f t="shared" si="15"/>
        <v>4736.5309999999999</v>
      </c>
      <c r="Q11" s="509">
        <v>2957.2240000000002</v>
      </c>
      <c r="R11" s="277">
        <v>202.84899999999999</v>
      </c>
      <c r="S11" s="277">
        <v>477.83699999999999</v>
      </c>
      <c r="T11" s="277">
        <v>38.399000000000001</v>
      </c>
      <c r="U11" s="277"/>
      <c r="V11" s="787">
        <f t="shared" si="16"/>
        <v>719.08499999999992</v>
      </c>
      <c r="W11" s="788">
        <f t="shared" si="17"/>
        <v>3676.3090000000002</v>
      </c>
      <c r="X11" s="509">
        <v>2540.7649999999999</v>
      </c>
      <c r="Y11" s="277">
        <v>135.12100000000001</v>
      </c>
      <c r="Z11" s="277">
        <v>492.84699999999998</v>
      </c>
      <c r="AA11" s="277">
        <v>747.71699999999998</v>
      </c>
      <c r="AB11" s="277"/>
      <c r="AC11" s="787">
        <f t="shared" si="18"/>
        <v>1375.6849999999999</v>
      </c>
      <c r="AD11" s="788">
        <f t="shared" si="19"/>
        <v>3916.45</v>
      </c>
      <c r="AE11" s="509">
        <v>1663.5060000000001</v>
      </c>
      <c r="AF11" s="277"/>
      <c r="AG11" s="277"/>
      <c r="AH11" s="277"/>
      <c r="AI11" s="277"/>
      <c r="AJ11" s="787">
        <f t="shared" si="20"/>
        <v>0</v>
      </c>
      <c r="AK11" s="788">
        <f t="shared" si="21"/>
        <v>1663.5060000000001</v>
      </c>
      <c r="AL11" s="789">
        <f t="shared" si="0"/>
        <v>15483.421000000002</v>
      </c>
      <c r="AM11" s="787">
        <f t="shared" si="1"/>
        <v>959.44699999999989</v>
      </c>
      <c r="AN11" s="787">
        <f t="shared" si="2"/>
        <v>1667.5739999999998</v>
      </c>
      <c r="AO11" s="787">
        <f t="shared" si="3"/>
        <v>1859.731</v>
      </c>
      <c r="AP11" s="787">
        <f t="shared" si="4"/>
        <v>718.11400000000003</v>
      </c>
      <c r="AQ11" s="787">
        <f t="shared" si="22"/>
        <v>5204.866</v>
      </c>
      <c r="AR11" s="788">
        <f t="shared" si="23"/>
        <v>20688.287000000004</v>
      </c>
      <c r="AS11" s="395"/>
      <c r="AT11" s="509">
        <v>-2956.7350000000001</v>
      </c>
      <c r="AU11" s="277">
        <v>95.582999999999998</v>
      </c>
      <c r="AV11" s="277">
        <v>-202.86600000000001</v>
      </c>
      <c r="AW11" s="277">
        <v>-179.05</v>
      </c>
      <c r="AX11" s="277">
        <v>35.932000000000002</v>
      </c>
      <c r="AY11" s="787">
        <f t="shared" si="24"/>
        <v>-250.40100000000001</v>
      </c>
      <c r="AZ11" s="788">
        <f t="shared" si="25"/>
        <v>-3207.136</v>
      </c>
      <c r="BA11" s="509">
        <v>-223.297</v>
      </c>
      <c r="BB11" s="277">
        <v>33.014000000000003</v>
      </c>
      <c r="BC11" s="277">
        <v>27.244</v>
      </c>
      <c r="BD11" s="277">
        <v>-8.1129999999999995</v>
      </c>
      <c r="BE11" s="277"/>
      <c r="BF11" s="787">
        <f t="shared" si="26"/>
        <v>52.145000000000003</v>
      </c>
      <c r="BG11" s="788">
        <f t="shared" si="27"/>
        <v>-171.15199999999999</v>
      </c>
      <c r="BH11" s="509">
        <v>-897.697</v>
      </c>
      <c r="BI11" s="277">
        <v>-41.639000000000003</v>
      </c>
      <c r="BJ11" s="277">
        <v>-113.381</v>
      </c>
      <c r="BK11" s="277">
        <v>-3.5009999999999999</v>
      </c>
      <c r="BL11" s="277"/>
      <c r="BM11" s="787">
        <f t="shared" si="28"/>
        <v>-158.52100000000002</v>
      </c>
      <c r="BN11" s="788">
        <f t="shared" si="29"/>
        <v>-1056.2180000000001</v>
      </c>
      <c r="BO11" s="509">
        <v>-647.42700000000002</v>
      </c>
      <c r="BP11" s="277">
        <v>-47.762999999999998</v>
      </c>
      <c r="BQ11" s="277">
        <v>-135.33600000000001</v>
      </c>
      <c r="BR11" s="277">
        <v>-181.876</v>
      </c>
      <c r="BS11" s="277"/>
      <c r="BT11" s="787">
        <f t="shared" si="30"/>
        <v>-364.97500000000002</v>
      </c>
      <c r="BU11" s="788">
        <f t="shared" si="31"/>
        <v>-1012.402</v>
      </c>
      <c r="BV11" s="509">
        <v>76.27</v>
      </c>
      <c r="BW11" s="277"/>
      <c r="BX11" s="277"/>
      <c r="BY11" s="277"/>
      <c r="BZ11" s="277"/>
      <c r="CA11" s="787">
        <f t="shared" si="32"/>
        <v>0</v>
      </c>
      <c r="CB11" s="788">
        <f t="shared" si="33"/>
        <v>76.27</v>
      </c>
      <c r="CC11" s="789">
        <f t="shared" si="5"/>
        <v>-1264.5840000000003</v>
      </c>
      <c r="CD11" s="787">
        <f t="shared" si="6"/>
        <v>151.971</v>
      </c>
      <c r="CE11" s="787">
        <f t="shared" si="7"/>
        <v>18.606999999999999</v>
      </c>
      <c r="CF11" s="787">
        <f t="shared" si="8"/>
        <v>14.439999999999998</v>
      </c>
      <c r="CG11" s="787">
        <f t="shared" si="9"/>
        <v>35.932000000000002</v>
      </c>
      <c r="CH11" s="787">
        <f t="shared" si="34"/>
        <v>220.95</v>
      </c>
      <c r="CI11" s="788">
        <f t="shared" si="35"/>
        <v>-1043.6340000000002</v>
      </c>
    </row>
    <row r="12" spans="1:87">
      <c r="A12" s="265">
        <f t="shared" si="10"/>
        <v>2005</v>
      </c>
      <c r="B12" s="263">
        <f t="shared" si="11"/>
        <v>38533</v>
      </c>
      <c r="C12" s="509">
        <v>28418.255000000001</v>
      </c>
      <c r="D12" s="277">
        <v>2094.8490000000002</v>
      </c>
      <c r="E12" s="277">
        <v>4081.05</v>
      </c>
      <c r="F12" s="277">
        <v>3139.866</v>
      </c>
      <c r="G12" s="277">
        <v>668.95899999999995</v>
      </c>
      <c r="H12" s="787">
        <f t="shared" si="12"/>
        <v>9984.7240000000002</v>
      </c>
      <c r="I12" s="788">
        <f t="shared" si="13"/>
        <v>38402.978999999999</v>
      </c>
      <c r="J12" s="509">
        <v>3404.654</v>
      </c>
      <c r="K12" s="277">
        <v>837.23199999999997</v>
      </c>
      <c r="L12" s="277">
        <v>847.22500000000002</v>
      </c>
      <c r="M12" s="277">
        <v>207.08099999999999</v>
      </c>
      <c r="N12" s="277"/>
      <c r="O12" s="787">
        <f t="shared" si="14"/>
        <v>1891.5379999999998</v>
      </c>
      <c r="P12" s="788">
        <f t="shared" si="15"/>
        <v>5296.192</v>
      </c>
      <c r="Q12" s="509">
        <v>3312.9879999999998</v>
      </c>
      <c r="R12" s="277">
        <v>197.89400000000001</v>
      </c>
      <c r="S12" s="277">
        <v>666.447</v>
      </c>
      <c r="T12" s="277">
        <v>42.16</v>
      </c>
      <c r="U12" s="277"/>
      <c r="V12" s="787">
        <f t="shared" si="16"/>
        <v>906.50099999999998</v>
      </c>
      <c r="W12" s="788">
        <f t="shared" si="17"/>
        <v>4219.4889999999996</v>
      </c>
      <c r="X12" s="509">
        <v>2874.127</v>
      </c>
      <c r="Y12" s="277">
        <v>121.57299999999999</v>
      </c>
      <c r="Z12" s="277">
        <v>564.97</v>
      </c>
      <c r="AA12" s="277">
        <v>813.28800000000001</v>
      </c>
      <c r="AB12" s="277"/>
      <c r="AC12" s="787">
        <f t="shared" si="18"/>
        <v>1499.8310000000001</v>
      </c>
      <c r="AD12" s="788">
        <f t="shared" si="19"/>
        <v>4373.9580000000005</v>
      </c>
      <c r="AE12" s="509">
        <v>1944.489</v>
      </c>
      <c r="AF12" s="277"/>
      <c r="AG12" s="277"/>
      <c r="AH12" s="277"/>
      <c r="AI12" s="277"/>
      <c r="AJ12" s="787">
        <f t="shared" si="20"/>
        <v>0</v>
      </c>
      <c r="AK12" s="788">
        <f t="shared" si="21"/>
        <v>1944.489</v>
      </c>
      <c r="AL12" s="789">
        <f t="shared" si="0"/>
        <v>16881.997000000003</v>
      </c>
      <c r="AM12" s="787">
        <f t="shared" si="1"/>
        <v>938.15000000000009</v>
      </c>
      <c r="AN12" s="787">
        <f t="shared" si="2"/>
        <v>2002.4080000000004</v>
      </c>
      <c r="AO12" s="787">
        <f t="shared" si="3"/>
        <v>2077.337</v>
      </c>
      <c r="AP12" s="787">
        <f t="shared" si="4"/>
        <v>668.95899999999995</v>
      </c>
      <c r="AQ12" s="787">
        <f t="shared" si="22"/>
        <v>5686.8540000000003</v>
      </c>
      <c r="AR12" s="788">
        <f t="shared" si="23"/>
        <v>22568.851000000002</v>
      </c>
      <c r="AS12" s="395"/>
      <c r="AT12" s="509">
        <v>-1511.2750000000001</v>
      </c>
      <c r="AU12" s="277">
        <v>30.013999999999999</v>
      </c>
      <c r="AV12" s="277">
        <v>207.51499999999999</v>
      </c>
      <c r="AW12" s="277">
        <v>-249.68100000000001</v>
      </c>
      <c r="AX12" s="277">
        <v>36.265999999999998</v>
      </c>
      <c r="AY12" s="787">
        <f t="shared" si="24"/>
        <v>24.113999999999983</v>
      </c>
      <c r="AZ12" s="788">
        <f t="shared" si="25"/>
        <v>-1487.1610000000001</v>
      </c>
      <c r="BA12" s="509">
        <v>-45.447000000000003</v>
      </c>
      <c r="BB12" s="277">
        <v>-14.307</v>
      </c>
      <c r="BC12" s="277">
        <v>115.31399999999999</v>
      </c>
      <c r="BD12" s="277">
        <v>-14.836</v>
      </c>
      <c r="BE12" s="277"/>
      <c r="BF12" s="787">
        <f t="shared" si="26"/>
        <v>86.170999999999992</v>
      </c>
      <c r="BG12" s="788">
        <f t="shared" si="27"/>
        <v>40.72399999999999</v>
      </c>
      <c r="BH12" s="509">
        <v>-376.77100000000002</v>
      </c>
      <c r="BI12" s="277">
        <v>-15.048999999999999</v>
      </c>
      <c r="BJ12" s="277">
        <v>-5</v>
      </c>
      <c r="BK12" s="277">
        <v>6.1849999999999996</v>
      </c>
      <c r="BL12" s="277"/>
      <c r="BM12" s="787">
        <f t="shared" si="28"/>
        <v>-13.864000000000001</v>
      </c>
      <c r="BN12" s="788">
        <f t="shared" si="29"/>
        <v>-390.63499999999999</v>
      </c>
      <c r="BO12" s="509">
        <v>-911.94299999999998</v>
      </c>
      <c r="BP12" s="277">
        <v>-61.283000000000001</v>
      </c>
      <c r="BQ12" s="277">
        <v>-172.39400000000001</v>
      </c>
      <c r="BR12" s="277">
        <v>-324.48</v>
      </c>
      <c r="BS12" s="277"/>
      <c r="BT12" s="787">
        <f t="shared" si="30"/>
        <v>-558.15700000000004</v>
      </c>
      <c r="BU12" s="788">
        <f t="shared" si="31"/>
        <v>-1470.1</v>
      </c>
      <c r="BV12" s="509">
        <v>158.78399999999999</v>
      </c>
      <c r="BW12" s="277"/>
      <c r="BX12" s="277"/>
      <c r="BY12" s="277"/>
      <c r="BZ12" s="277"/>
      <c r="CA12" s="787">
        <f t="shared" si="32"/>
        <v>0</v>
      </c>
      <c r="CB12" s="788">
        <f t="shared" si="33"/>
        <v>158.78399999999999</v>
      </c>
      <c r="CC12" s="789">
        <f t="shared" si="5"/>
        <v>-335.89800000000014</v>
      </c>
      <c r="CD12" s="787">
        <f t="shared" si="6"/>
        <v>120.65300000000001</v>
      </c>
      <c r="CE12" s="787">
        <f t="shared" si="7"/>
        <v>269.59500000000003</v>
      </c>
      <c r="CF12" s="787">
        <f t="shared" si="8"/>
        <v>83.450000000000017</v>
      </c>
      <c r="CG12" s="787">
        <f t="shared" si="9"/>
        <v>36.265999999999998</v>
      </c>
      <c r="CH12" s="787">
        <f t="shared" si="34"/>
        <v>509.96400000000011</v>
      </c>
      <c r="CI12" s="788">
        <f t="shared" si="35"/>
        <v>174.06599999999997</v>
      </c>
    </row>
    <row r="13" spans="1:87">
      <c r="A13" s="265">
        <f t="shared" si="10"/>
        <v>2005</v>
      </c>
      <c r="B13" s="263">
        <f t="shared" si="11"/>
        <v>38625</v>
      </c>
      <c r="C13" s="509">
        <v>29046.508000000002</v>
      </c>
      <c r="D13" s="277">
        <v>2150.52</v>
      </c>
      <c r="E13" s="277">
        <v>4520.6000000000004</v>
      </c>
      <c r="F13" s="277">
        <v>3381.518</v>
      </c>
      <c r="G13" s="277">
        <v>707.78700000000003</v>
      </c>
      <c r="H13" s="787">
        <f t="shared" si="12"/>
        <v>10760.425000000001</v>
      </c>
      <c r="I13" s="788">
        <f t="shared" si="13"/>
        <v>39806.933000000005</v>
      </c>
      <c r="J13" s="509">
        <v>3404.2820000000002</v>
      </c>
      <c r="K13" s="277">
        <v>921.38699999999994</v>
      </c>
      <c r="L13" s="277">
        <v>936.572</v>
      </c>
      <c r="M13" s="277">
        <v>208.779</v>
      </c>
      <c r="N13" s="277"/>
      <c r="O13" s="787">
        <f t="shared" si="14"/>
        <v>2066.7379999999998</v>
      </c>
      <c r="P13" s="788">
        <f t="shared" si="15"/>
        <v>5471.02</v>
      </c>
      <c r="Q13" s="509">
        <v>3265.788</v>
      </c>
      <c r="R13" s="277">
        <v>201.518</v>
      </c>
      <c r="S13" s="277">
        <v>740.601</v>
      </c>
      <c r="T13" s="277">
        <v>43.156999999999996</v>
      </c>
      <c r="U13" s="277"/>
      <c r="V13" s="787">
        <f t="shared" si="16"/>
        <v>985.27600000000007</v>
      </c>
      <c r="W13" s="788">
        <f t="shared" si="17"/>
        <v>4251.0640000000003</v>
      </c>
      <c r="X13" s="509">
        <v>3064.7739999999999</v>
      </c>
      <c r="Y13" s="277">
        <v>112.693</v>
      </c>
      <c r="Z13" s="277">
        <v>600.40899999999999</v>
      </c>
      <c r="AA13" s="277">
        <v>870.10400000000004</v>
      </c>
      <c r="AB13" s="277"/>
      <c r="AC13" s="787">
        <f t="shared" si="18"/>
        <v>1583.2060000000001</v>
      </c>
      <c r="AD13" s="788">
        <f t="shared" si="19"/>
        <v>4647.9799999999996</v>
      </c>
      <c r="AE13" s="509">
        <v>1988.625</v>
      </c>
      <c r="AF13" s="277"/>
      <c r="AG13" s="277"/>
      <c r="AH13" s="277"/>
      <c r="AI13" s="277"/>
      <c r="AJ13" s="787">
        <f t="shared" si="20"/>
        <v>0</v>
      </c>
      <c r="AK13" s="788">
        <f t="shared" si="21"/>
        <v>1988.625</v>
      </c>
      <c r="AL13" s="789">
        <f t="shared" si="0"/>
        <v>17323.039000000004</v>
      </c>
      <c r="AM13" s="787">
        <f t="shared" si="1"/>
        <v>914.92200000000003</v>
      </c>
      <c r="AN13" s="787">
        <f t="shared" si="2"/>
        <v>2243.0180000000005</v>
      </c>
      <c r="AO13" s="787">
        <f t="shared" si="3"/>
        <v>2259.4780000000001</v>
      </c>
      <c r="AP13" s="787">
        <f t="shared" si="4"/>
        <v>707.78700000000003</v>
      </c>
      <c r="AQ13" s="787">
        <f t="shared" si="22"/>
        <v>6125.2050000000008</v>
      </c>
      <c r="AR13" s="788">
        <f t="shared" si="23"/>
        <v>23448.244000000006</v>
      </c>
      <c r="AS13" s="395"/>
      <c r="AT13" s="509">
        <v>-2231.2930000000001</v>
      </c>
      <c r="AU13" s="277">
        <v>-43.15</v>
      </c>
      <c r="AV13" s="277">
        <v>164.74299999999999</v>
      </c>
      <c r="AW13" s="277">
        <v>-293.75099999999998</v>
      </c>
      <c r="AX13" s="277">
        <v>70.284999999999997</v>
      </c>
      <c r="AY13" s="787">
        <f t="shared" si="24"/>
        <v>-101.87299999999999</v>
      </c>
      <c r="AZ13" s="788">
        <f t="shared" si="25"/>
        <v>-2333.1660000000002</v>
      </c>
      <c r="BA13" s="509">
        <v>-269.07400000000001</v>
      </c>
      <c r="BB13" s="277">
        <v>-3.1</v>
      </c>
      <c r="BC13" s="277">
        <v>136.27799999999999</v>
      </c>
      <c r="BD13" s="277">
        <v>-24.428999999999998</v>
      </c>
      <c r="BE13" s="277"/>
      <c r="BF13" s="787">
        <f t="shared" si="26"/>
        <v>108.749</v>
      </c>
      <c r="BG13" s="788">
        <f t="shared" si="27"/>
        <v>-160.32500000000002</v>
      </c>
      <c r="BH13" s="509">
        <v>-913.55899999999997</v>
      </c>
      <c r="BI13" s="277">
        <v>-54.902999999999999</v>
      </c>
      <c r="BJ13" s="277">
        <v>-150.73099999999999</v>
      </c>
      <c r="BK13" s="277">
        <v>-2.0049999999999999</v>
      </c>
      <c r="BL13" s="277"/>
      <c r="BM13" s="787">
        <f t="shared" si="28"/>
        <v>-207.63899999999998</v>
      </c>
      <c r="BN13" s="788">
        <f t="shared" si="29"/>
        <v>-1121.1979999999999</v>
      </c>
      <c r="BO13" s="509">
        <v>-1016.756</v>
      </c>
      <c r="BP13" s="277">
        <v>-58.110999999999997</v>
      </c>
      <c r="BQ13" s="277">
        <v>-208.81299999999999</v>
      </c>
      <c r="BR13" s="277">
        <v>-357.65300000000002</v>
      </c>
      <c r="BS13" s="277"/>
      <c r="BT13" s="787">
        <f t="shared" si="30"/>
        <v>-624.577</v>
      </c>
      <c r="BU13" s="788">
        <f t="shared" si="31"/>
        <v>-1641.3330000000001</v>
      </c>
      <c r="BV13" s="509">
        <v>227.27099999999999</v>
      </c>
      <c r="BW13" s="277"/>
      <c r="BX13" s="277"/>
      <c r="BY13" s="277"/>
      <c r="BZ13" s="277"/>
      <c r="CA13" s="787">
        <f t="shared" si="32"/>
        <v>0</v>
      </c>
      <c r="CB13" s="788">
        <f t="shared" si="33"/>
        <v>227.27099999999999</v>
      </c>
      <c r="CC13" s="789">
        <f t="shared" si="5"/>
        <v>-259.17499999999995</v>
      </c>
      <c r="CD13" s="787">
        <f t="shared" si="6"/>
        <v>72.963999999999999</v>
      </c>
      <c r="CE13" s="787">
        <f t="shared" si="7"/>
        <v>388.00900000000001</v>
      </c>
      <c r="CF13" s="787">
        <f t="shared" si="8"/>
        <v>90.336000000000013</v>
      </c>
      <c r="CG13" s="787">
        <f t="shared" si="9"/>
        <v>70.284999999999997</v>
      </c>
      <c r="CH13" s="787">
        <f t="shared" si="34"/>
        <v>621.59399999999994</v>
      </c>
      <c r="CI13" s="788">
        <f t="shared" si="35"/>
        <v>362.41899999999998</v>
      </c>
    </row>
    <row r="14" spans="1:87">
      <c r="A14" s="265">
        <f t="shared" si="10"/>
        <v>2005</v>
      </c>
      <c r="B14" s="263">
        <f t="shared" si="11"/>
        <v>38717</v>
      </c>
      <c r="C14" s="509">
        <v>28705.026999999998</v>
      </c>
      <c r="D14" s="277">
        <v>2145.6149999999998</v>
      </c>
      <c r="E14" s="277">
        <v>3725.3380000000002</v>
      </c>
      <c r="F14" s="277">
        <v>3287.3530000000001</v>
      </c>
      <c r="G14" s="277">
        <v>790.07399999999996</v>
      </c>
      <c r="H14" s="787">
        <f t="shared" si="12"/>
        <v>9948.380000000001</v>
      </c>
      <c r="I14" s="788">
        <f t="shared" si="13"/>
        <v>38653.406999999999</v>
      </c>
      <c r="J14" s="509">
        <v>3338.261</v>
      </c>
      <c r="K14" s="277">
        <v>879.00599999999997</v>
      </c>
      <c r="L14" s="277">
        <v>731.52700000000004</v>
      </c>
      <c r="M14" s="277">
        <v>204.61</v>
      </c>
      <c r="N14" s="277"/>
      <c r="O14" s="787">
        <f t="shared" si="14"/>
        <v>1815.143</v>
      </c>
      <c r="P14" s="788">
        <f t="shared" si="15"/>
        <v>5153.4040000000005</v>
      </c>
      <c r="Q14" s="509">
        <v>3136.723</v>
      </c>
      <c r="R14" s="277">
        <v>222.02600000000001</v>
      </c>
      <c r="S14" s="277">
        <v>564.995</v>
      </c>
      <c r="T14" s="277">
        <v>41.106999999999999</v>
      </c>
      <c r="U14" s="277"/>
      <c r="V14" s="787">
        <f t="shared" si="16"/>
        <v>828.12799999999993</v>
      </c>
      <c r="W14" s="788">
        <f t="shared" si="17"/>
        <v>3964.8509999999997</v>
      </c>
      <c r="X14" s="509">
        <v>2885.3560000000002</v>
      </c>
      <c r="Y14" s="277">
        <v>124.354</v>
      </c>
      <c r="Z14" s="277">
        <v>519.822</v>
      </c>
      <c r="AA14" s="277">
        <v>836.23400000000004</v>
      </c>
      <c r="AB14" s="277"/>
      <c r="AC14" s="787">
        <f t="shared" si="18"/>
        <v>1480.41</v>
      </c>
      <c r="AD14" s="788">
        <f t="shared" si="19"/>
        <v>4365.7660000000005</v>
      </c>
      <c r="AE14" s="509">
        <v>1987.2170000000001</v>
      </c>
      <c r="AF14" s="277"/>
      <c r="AG14" s="277"/>
      <c r="AH14" s="277"/>
      <c r="AI14" s="277"/>
      <c r="AJ14" s="787">
        <f t="shared" si="20"/>
        <v>0</v>
      </c>
      <c r="AK14" s="788">
        <f t="shared" si="21"/>
        <v>1987.2170000000001</v>
      </c>
      <c r="AL14" s="789">
        <f t="shared" si="0"/>
        <v>17357.469999999998</v>
      </c>
      <c r="AM14" s="787">
        <f t="shared" si="1"/>
        <v>920.22899999999981</v>
      </c>
      <c r="AN14" s="787">
        <f t="shared" si="2"/>
        <v>1908.9940000000001</v>
      </c>
      <c r="AO14" s="787">
        <f t="shared" si="3"/>
        <v>2205.402</v>
      </c>
      <c r="AP14" s="787">
        <f t="shared" si="4"/>
        <v>790.07399999999996</v>
      </c>
      <c r="AQ14" s="787">
        <f t="shared" si="22"/>
        <v>5824.6989999999996</v>
      </c>
      <c r="AR14" s="788">
        <f t="shared" si="23"/>
        <v>23182.168999999998</v>
      </c>
      <c r="AS14" s="395"/>
      <c r="AT14" s="509">
        <v>-13048.233</v>
      </c>
      <c r="AU14" s="277">
        <v>-802.62800000000004</v>
      </c>
      <c r="AV14" s="277">
        <v>-2278.672</v>
      </c>
      <c r="AW14" s="277">
        <v>-4111.3339999999998</v>
      </c>
      <c r="AX14" s="277">
        <v>48.433999999999997</v>
      </c>
      <c r="AY14" s="787">
        <f t="shared" si="24"/>
        <v>-7144.2</v>
      </c>
      <c r="AZ14" s="788">
        <f t="shared" si="25"/>
        <v>-20192.433000000001</v>
      </c>
      <c r="BA14" s="509">
        <v>-437.17899999999997</v>
      </c>
      <c r="BB14" s="277">
        <v>-85.68</v>
      </c>
      <c r="BC14" s="277">
        <v>-33.564999999999998</v>
      </c>
      <c r="BD14" s="277">
        <v>-44.542000000000002</v>
      </c>
      <c r="BE14" s="277"/>
      <c r="BF14" s="787">
        <f t="shared" si="26"/>
        <v>-163.78700000000001</v>
      </c>
      <c r="BG14" s="788">
        <f t="shared" si="27"/>
        <v>-600.96600000000001</v>
      </c>
      <c r="BH14" s="509">
        <v>-921.34299999999996</v>
      </c>
      <c r="BI14" s="277">
        <v>-87.004999999999995</v>
      </c>
      <c r="BJ14" s="277">
        <v>-212.61600000000001</v>
      </c>
      <c r="BK14" s="277">
        <v>-8.5359999999999996</v>
      </c>
      <c r="BL14" s="277"/>
      <c r="BM14" s="787">
        <f t="shared" si="28"/>
        <v>-308.15699999999998</v>
      </c>
      <c r="BN14" s="788">
        <f t="shared" si="29"/>
        <v>-1229.5</v>
      </c>
      <c r="BO14" s="509">
        <v>-10256.486000000001</v>
      </c>
      <c r="BP14" s="277">
        <v>-733.65899999999999</v>
      </c>
      <c r="BQ14" s="277">
        <v>-2148.973</v>
      </c>
      <c r="BR14" s="277">
        <v>-3773.431</v>
      </c>
      <c r="BS14" s="277"/>
      <c r="BT14" s="787">
        <f t="shared" si="30"/>
        <v>-6656.0630000000001</v>
      </c>
      <c r="BU14" s="788">
        <f t="shared" si="31"/>
        <v>-16912.548999999999</v>
      </c>
      <c r="BV14" s="509">
        <v>86.058000000000007</v>
      </c>
      <c r="BW14" s="277"/>
      <c r="BX14" s="277"/>
      <c r="BY14" s="277"/>
      <c r="BZ14" s="277"/>
      <c r="CA14" s="787">
        <f t="shared" si="32"/>
        <v>0</v>
      </c>
      <c r="CB14" s="788">
        <f t="shared" si="33"/>
        <v>86.058000000000007</v>
      </c>
      <c r="CC14" s="789">
        <f t="shared" si="5"/>
        <v>-1519.2829999999994</v>
      </c>
      <c r="CD14" s="787">
        <f t="shared" si="6"/>
        <v>103.71600000000001</v>
      </c>
      <c r="CE14" s="787">
        <f t="shared" si="7"/>
        <v>116.48199999999997</v>
      </c>
      <c r="CF14" s="787">
        <f t="shared" si="8"/>
        <v>-284.82499999999982</v>
      </c>
      <c r="CG14" s="787">
        <f t="shared" si="9"/>
        <v>48.433999999999997</v>
      </c>
      <c r="CH14" s="787">
        <f t="shared" si="34"/>
        <v>-16.192999999999842</v>
      </c>
      <c r="CI14" s="788">
        <f t="shared" si="35"/>
        <v>-1535.4759999999992</v>
      </c>
    </row>
    <row r="15" spans="1:87">
      <c r="A15" s="265">
        <f t="shared" si="10"/>
        <v>2006</v>
      </c>
      <c r="B15" s="263">
        <f t="shared" si="11"/>
        <v>38807</v>
      </c>
      <c r="C15" s="509">
        <v>28396.127</v>
      </c>
      <c r="D15" s="277">
        <v>2579.0819999999999</v>
      </c>
      <c r="E15" s="277">
        <v>3537.8310000000001</v>
      </c>
      <c r="F15" s="277">
        <v>3141.3670000000002</v>
      </c>
      <c r="G15" s="277">
        <v>731.36300000000006</v>
      </c>
      <c r="H15" s="787">
        <f t="shared" si="12"/>
        <v>9989.643</v>
      </c>
      <c r="I15" s="788">
        <f t="shared" si="13"/>
        <v>38385.770000000004</v>
      </c>
      <c r="J15" s="509">
        <v>3436.9250000000002</v>
      </c>
      <c r="K15" s="277">
        <v>1020.809</v>
      </c>
      <c r="L15" s="277">
        <v>666.27</v>
      </c>
      <c r="M15" s="277">
        <v>203.65299999999999</v>
      </c>
      <c r="N15" s="277"/>
      <c r="O15" s="787">
        <f t="shared" si="14"/>
        <v>1890.732</v>
      </c>
      <c r="P15" s="788">
        <f t="shared" si="15"/>
        <v>5327.6570000000002</v>
      </c>
      <c r="Q15" s="509">
        <v>2990.5239999999999</v>
      </c>
      <c r="R15" s="277">
        <v>248.136</v>
      </c>
      <c r="S15" s="277">
        <v>472.57299999999998</v>
      </c>
      <c r="T15" s="277">
        <v>38.134999999999998</v>
      </c>
      <c r="U15" s="277"/>
      <c r="V15" s="787">
        <f t="shared" si="16"/>
        <v>758.84399999999994</v>
      </c>
      <c r="W15" s="788">
        <f t="shared" si="17"/>
        <v>3749.3679999999999</v>
      </c>
      <c r="X15" s="509">
        <v>3005.8150000000001</v>
      </c>
      <c r="Y15" s="277">
        <v>161.86600000000001</v>
      </c>
      <c r="Z15" s="277">
        <v>481.65300000000002</v>
      </c>
      <c r="AA15" s="277">
        <v>810.34400000000005</v>
      </c>
      <c r="AB15" s="277"/>
      <c r="AC15" s="787">
        <f t="shared" si="18"/>
        <v>1453.8630000000001</v>
      </c>
      <c r="AD15" s="788">
        <f t="shared" si="19"/>
        <v>4459.6779999999999</v>
      </c>
      <c r="AE15" s="509">
        <v>2019.452</v>
      </c>
      <c r="AF15" s="277"/>
      <c r="AG15" s="277"/>
      <c r="AH15" s="277"/>
      <c r="AI15" s="277"/>
      <c r="AJ15" s="787">
        <f t="shared" si="20"/>
        <v>0</v>
      </c>
      <c r="AK15" s="788">
        <f t="shared" si="21"/>
        <v>2019.452</v>
      </c>
      <c r="AL15" s="789">
        <f t="shared" si="0"/>
        <v>16943.411</v>
      </c>
      <c r="AM15" s="787">
        <f t="shared" si="1"/>
        <v>1148.271</v>
      </c>
      <c r="AN15" s="787">
        <f t="shared" si="2"/>
        <v>1917.3350000000003</v>
      </c>
      <c r="AO15" s="787">
        <f t="shared" si="3"/>
        <v>2089.2350000000001</v>
      </c>
      <c r="AP15" s="787">
        <f t="shared" si="4"/>
        <v>731.36300000000006</v>
      </c>
      <c r="AQ15" s="787">
        <f t="shared" si="22"/>
        <v>5886.2040000000006</v>
      </c>
      <c r="AR15" s="788">
        <f t="shared" si="23"/>
        <v>22829.615000000002</v>
      </c>
      <c r="AS15" s="395"/>
      <c r="AT15" s="509">
        <v>12049.285</v>
      </c>
      <c r="AU15" s="277">
        <v>1110.2139999999999</v>
      </c>
      <c r="AV15" s="277">
        <v>2966.1329999999998</v>
      </c>
      <c r="AW15" s="277">
        <v>4705.5020000000004</v>
      </c>
      <c r="AX15" s="277">
        <v>31.349</v>
      </c>
      <c r="AY15" s="787">
        <f t="shared" si="24"/>
        <v>8813.1980000000003</v>
      </c>
      <c r="AZ15" s="788">
        <f t="shared" si="25"/>
        <v>20862.483</v>
      </c>
      <c r="BA15" s="509">
        <v>-108.444</v>
      </c>
      <c r="BB15" s="277">
        <v>37.552999999999997</v>
      </c>
      <c r="BC15" s="277">
        <v>-10.455</v>
      </c>
      <c r="BD15" s="277">
        <v>-24.510999999999999</v>
      </c>
      <c r="BE15" s="277"/>
      <c r="BF15" s="787">
        <f t="shared" si="26"/>
        <v>2.5869999999999997</v>
      </c>
      <c r="BG15" s="788">
        <f t="shared" si="27"/>
        <v>-105.857</v>
      </c>
      <c r="BH15" s="509">
        <v>-1550.8440000000001</v>
      </c>
      <c r="BI15" s="277">
        <v>-160.41300000000001</v>
      </c>
      <c r="BJ15" s="277">
        <v>-342.30099999999999</v>
      </c>
      <c r="BK15" s="277">
        <v>-18.727</v>
      </c>
      <c r="BL15" s="277"/>
      <c r="BM15" s="787">
        <f t="shared" si="28"/>
        <v>-521.44100000000003</v>
      </c>
      <c r="BN15" s="788">
        <f t="shared" si="29"/>
        <v>-2072.2849999999999</v>
      </c>
      <c r="BO15" s="509">
        <v>13336.718000000001</v>
      </c>
      <c r="BP15" s="277">
        <v>1113.229</v>
      </c>
      <c r="BQ15" s="277">
        <v>2894.7559999999999</v>
      </c>
      <c r="BR15" s="277">
        <v>5065.9210000000003</v>
      </c>
      <c r="BS15" s="277"/>
      <c r="BT15" s="787">
        <f t="shared" si="30"/>
        <v>9073.905999999999</v>
      </c>
      <c r="BU15" s="788">
        <f t="shared" si="31"/>
        <v>22410.624</v>
      </c>
      <c r="BV15" s="509">
        <v>61.462000000000003</v>
      </c>
      <c r="BW15" s="277"/>
      <c r="BX15" s="277"/>
      <c r="BY15" s="277"/>
      <c r="BZ15" s="277"/>
      <c r="CA15" s="787">
        <f t="shared" si="32"/>
        <v>0</v>
      </c>
      <c r="CB15" s="788">
        <f t="shared" si="33"/>
        <v>61.462000000000003</v>
      </c>
      <c r="CC15" s="789">
        <f t="shared" si="5"/>
        <v>310.39300000000003</v>
      </c>
      <c r="CD15" s="787">
        <f t="shared" si="6"/>
        <v>119.84499999999991</v>
      </c>
      <c r="CE15" s="787">
        <f t="shared" si="7"/>
        <v>424.13299999999981</v>
      </c>
      <c r="CF15" s="787">
        <f t="shared" si="8"/>
        <v>-317.18099999999959</v>
      </c>
      <c r="CG15" s="787">
        <f t="shared" si="9"/>
        <v>31.349</v>
      </c>
      <c r="CH15" s="787">
        <f t="shared" si="34"/>
        <v>258.14600000000013</v>
      </c>
      <c r="CI15" s="788">
        <f t="shared" si="35"/>
        <v>568.53900000000021</v>
      </c>
    </row>
    <row r="16" spans="1:87">
      <c r="A16" s="265">
        <f t="shared" si="10"/>
        <v>2006</v>
      </c>
      <c r="B16" s="263">
        <f t="shared" si="11"/>
        <v>38898</v>
      </c>
      <c r="C16" s="509">
        <v>31743.404999999999</v>
      </c>
      <c r="D16" s="277">
        <v>2577.5039999999999</v>
      </c>
      <c r="E16" s="277">
        <v>4838.0649999999996</v>
      </c>
      <c r="F16" s="277">
        <v>3412.2939999999999</v>
      </c>
      <c r="G16" s="277">
        <v>652.24599999999998</v>
      </c>
      <c r="H16" s="787">
        <f t="shared" si="12"/>
        <v>11480.108999999999</v>
      </c>
      <c r="I16" s="788">
        <f t="shared" si="13"/>
        <v>43223.513999999996</v>
      </c>
      <c r="J16" s="509">
        <v>3768.2669999999998</v>
      </c>
      <c r="K16" s="277">
        <v>974.98599999999999</v>
      </c>
      <c r="L16" s="277">
        <v>957.66600000000005</v>
      </c>
      <c r="M16" s="277">
        <v>257.25900000000001</v>
      </c>
      <c r="N16" s="277"/>
      <c r="O16" s="787">
        <f t="shared" si="14"/>
        <v>2189.9110000000001</v>
      </c>
      <c r="P16" s="788">
        <f t="shared" si="15"/>
        <v>5958.1779999999999</v>
      </c>
      <c r="Q16" s="509">
        <v>3542.8049999999998</v>
      </c>
      <c r="R16" s="277">
        <v>256.47399999999999</v>
      </c>
      <c r="S16" s="277">
        <v>835.9</v>
      </c>
      <c r="T16" s="277">
        <v>44.643999999999998</v>
      </c>
      <c r="U16" s="277"/>
      <c r="V16" s="787">
        <f t="shared" si="16"/>
        <v>1137.018</v>
      </c>
      <c r="W16" s="788">
        <f t="shared" si="17"/>
        <v>4679.8230000000003</v>
      </c>
      <c r="X16" s="509">
        <v>3470.8270000000002</v>
      </c>
      <c r="Y16" s="277">
        <v>141.80500000000001</v>
      </c>
      <c r="Z16" s="277">
        <v>608.08000000000004</v>
      </c>
      <c r="AA16" s="277">
        <v>890.32100000000003</v>
      </c>
      <c r="AB16" s="277"/>
      <c r="AC16" s="787">
        <f t="shared" si="18"/>
        <v>1640.2060000000001</v>
      </c>
      <c r="AD16" s="788">
        <f t="shared" si="19"/>
        <v>5111.0330000000004</v>
      </c>
      <c r="AE16" s="509">
        <v>2449.027</v>
      </c>
      <c r="AF16" s="277"/>
      <c r="AG16" s="277"/>
      <c r="AH16" s="277"/>
      <c r="AI16" s="277"/>
      <c r="AJ16" s="787">
        <f t="shared" si="20"/>
        <v>0</v>
      </c>
      <c r="AK16" s="788">
        <f t="shared" si="21"/>
        <v>2449.027</v>
      </c>
      <c r="AL16" s="789">
        <f t="shared" si="0"/>
        <v>18512.478999999999</v>
      </c>
      <c r="AM16" s="787">
        <f t="shared" si="1"/>
        <v>1204.2389999999998</v>
      </c>
      <c r="AN16" s="787">
        <f t="shared" si="2"/>
        <v>2436.4189999999994</v>
      </c>
      <c r="AO16" s="787">
        <f t="shared" si="3"/>
        <v>2220.0699999999997</v>
      </c>
      <c r="AP16" s="787">
        <f t="shared" si="4"/>
        <v>652.24599999999998</v>
      </c>
      <c r="AQ16" s="787">
        <f t="shared" si="22"/>
        <v>6512.9739999999993</v>
      </c>
      <c r="AR16" s="788">
        <f t="shared" si="23"/>
        <v>25025.452999999998</v>
      </c>
      <c r="AS16" s="395"/>
      <c r="AT16" s="509">
        <v>-642.69299999999998</v>
      </c>
      <c r="AU16" s="277">
        <v>42.078000000000003</v>
      </c>
      <c r="AV16" s="277">
        <v>83.95</v>
      </c>
      <c r="AW16" s="277">
        <v>-186.74199999999999</v>
      </c>
      <c r="AX16" s="277">
        <v>9.2959999999999994</v>
      </c>
      <c r="AY16" s="787">
        <f t="shared" si="24"/>
        <v>-51.417999999999985</v>
      </c>
      <c r="AZ16" s="788">
        <f t="shared" si="25"/>
        <v>-694.11099999999999</v>
      </c>
      <c r="BA16" s="509">
        <v>118.61499999999999</v>
      </c>
      <c r="BB16" s="277">
        <v>46.597000000000001</v>
      </c>
      <c r="BC16" s="277">
        <v>130.57400000000001</v>
      </c>
      <c r="BD16" s="277">
        <v>-16.306999999999999</v>
      </c>
      <c r="BE16" s="277"/>
      <c r="BF16" s="787">
        <f t="shared" si="26"/>
        <v>160.86400000000003</v>
      </c>
      <c r="BG16" s="788">
        <f t="shared" si="27"/>
        <v>279.47900000000004</v>
      </c>
      <c r="BH16" s="509">
        <v>-1497.819</v>
      </c>
      <c r="BI16" s="277">
        <v>-154.46600000000001</v>
      </c>
      <c r="BJ16" s="277">
        <v>-454.28100000000001</v>
      </c>
      <c r="BK16" s="277">
        <v>-17.984999999999999</v>
      </c>
      <c r="BL16" s="277"/>
      <c r="BM16" s="787">
        <f t="shared" si="28"/>
        <v>-626.73200000000008</v>
      </c>
      <c r="BN16" s="788">
        <f t="shared" si="29"/>
        <v>-2124.5509999999999</v>
      </c>
      <c r="BO16" s="509">
        <v>117.95</v>
      </c>
      <c r="BP16" s="277">
        <v>-10.013999999999999</v>
      </c>
      <c r="BQ16" s="277">
        <v>32.32</v>
      </c>
      <c r="BR16" s="277">
        <v>-29.512</v>
      </c>
      <c r="BS16" s="277"/>
      <c r="BT16" s="787">
        <f t="shared" si="30"/>
        <v>-7.2059999999999995</v>
      </c>
      <c r="BU16" s="788">
        <f t="shared" si="31"/>
        <v>110.744</v>
      </c>
      <c r="BV16" s="509">
        <v>333.00299999999999</v>
      </c>
      <c r="BW16" s="277"/>
      <c r="BX16" s="277"/>
      <c r="BY16" s="277"/>
      <c r="BZ16" s="277"/>
      <c r="CA16" s="787">
        <f t="shared" si="32"/>
        <v>0</v>
      </c>
      <c r="CB16" s="788">
        <f t="shared" si="33"/>
        <v>333.00299999999999</v>
      </c>
      <c r="CC16" s="789">
        <f t="shared" si="5"/>
        <v>285.55799999999999</v>
      </c>
      <c r="CD16" s="787">
        <f t="shared" si="6"/>
        <v>159.96100000000001</v>
      </c>
      <c r="CE16" s="787">
        <f t="shared" si="7"/>
        <v>375.33699999999999</v>
      </c>
      <c r="CF16" s="787">
        <f t="shared" si="8"/>
        <v>-122.93799999999999</v>
      </c>
      <c r="CG16" s="787">
        <f t="shared" si="9"/>
        <v>9.2959999999999994</v>
      </c>
      <c r="CH16" s="787">
        <f t="shared" si="34"/>
        <v>421.65600000000001</v>
      </c>
      <c r="CI16" s="788">
        <f t="shared" si="35"/>
        <v>707.21399999999994</v>
      </c>
    </row>
    <row r="17" spans="1:87">
      <c r="A17" s="265">
        <f t="shared" si="10"/>
        <v>2006</v>
      </c>
      <c r="B17" s="263">
        <f t="shared" si="11"/>
        <v>38990</v>
      </c>
      <c r="C17" s="509">
        <v>31076.705000000002</v>
      </c>
      <c r="D17" s="277">
        <v>2564.6849999999999</v>
      </c>
      <c r="E17" s="277">
        <v>5200.3770000000004</v>
      </c>
      <c r="F17" s="277">
        <v>3699.9960000000001</v>
      </c>
      <c r="G17" s="277">
        <v>737.73099999999999</v>
      </c>
      <c r="H17" s="787">
        <f t="shared" si="12"/>
        <v>12202.789000000001</v>
      </c>
      <c r="I17" s="788">
        <f t="shared" si="13"/>
        <v>43279.494000000006</v>
      </c>
      <c r="J17" s="509">
        <v>3521.6489999999999</v>
      </c>
      <c r="K17" s="277">
        <v>1022.888</v>
      </c>
      <c r="L17" s="277">
        <v>1008.824</v>
      </c>
      <c r="M17" s="277">
        <v>276.221</v>
      </c>
      <c r="N17" s="277"/>
      <c r="O17" s="787">
        <f t="shared" si="14"/>
        <v>2307.933</v>
      </c>
      <c r="P17" s="788">
        <f t="shared" si="15"/>
        <v>5829.5820000000003</v>
      </c>
      <c r="Q17" s="509">
        <v>3419.6179999999999</v>
      </c>
      <c r="R17" s="277">
        <v>280.92099999999999</v>
      </c>
      <c r="S17" s="277">
        <v>966.84799999999996</v>
      </c>
      <c r="T17" s="277">
        <v>48.16</v>
      </c>
      <c r="U17" s="277"/>
      <c r="V17" s="787">
        <f t="shared" si="16"/>
        <v>1295.9290000000001</v>
      </c>
      <c r="W17" s="788">
        <f t="shared" si="17"/>
        <v>4715.5470000000005</v>
      </c>
      <c r="X17" s="509">
        <v>3432.625</v>
      </c>
      <c r="Y17" s="277">
        <v>140.25200000000001</v>
      </c>
      <c r="Z17" s="277">
        <v>660.84900000000005</v>
      </c>
      <c r="AA17" s="277">
        <v>942.14700000000005</v>
      </c>
      <c r="AB17" s="277"/>
      <c r="AC17" s="787">
        <f t="shared" si="18"/>
        <v>1743.248</v>
      </c>
      <c r="AD17" s="788">
        <f t="shared" si="19"/>
        <v>5175.8729999999996</v>
      </c>
      <c r="AE17" s="509">
        <v>2342.058</v>
      </c>
      <c r="AF17" s="277"/>
      <c r="AG17" s="277"/>
      <c r="AH17" s="277"/>
      <c r="AI17" s="277"/>
      <c r="AJ17" s="787">
        <f t="shared" si="20"/>
        <v>0</v>
      </c>
      <c r="AK17" s="788">
        <f t="shared" si="21"/>
        <v>2342.058</v>
      </c>
      <c r="AL17" s="789">
        <f t="shared" si="0"/>
        <v>18360.755000000001</v>
      </c>
      <c r="AM17" s="787">
        <f t="shared" si="1"/>
        <v>1120.624</v>
      </c>
      <c r="AN17" s="787">
        <f t="shared" si="2"/>
        <v>2563.8560000000002</v>
      </c>
      <c r="AO17" s="787">
        <f t="shared" si="3"/>
        <v>2433.4679999999998</v>
      </c>
      <c r="AP17" s="787">
        <f t="shared" si="4"/>
        <v>737.73099999999999</v>
      </c>
      <c r="AQ17" s="787">
        <f t="shared" si="22"/>
        <v>6855.6790000000001</v>
      </c>
      <c r="AR17" s="788">
        <f t="shared" si="23"/>
        <v>25216.434000000001</v>
      </c>
      <c r="AS17" s="395"/>
      <c r="AT17" s="509">
        <v>-592.82600000000002</v>
      </c>
      <c r="AU17" s="277">
        <v>190.76900000000001</v>
      </c>
      <c r="AV17" s="277">
        <v>310.77600000000001</v>
      </c>
      <c r="AW17" s="277">
        <v>-109.20699999999999</v>
      </c>
      <c r="AX17" s="277">
        <v>38.786999999999999</v>
      </c>
      <c r="AY17" s="787">
        <f t="shared" si="24"/>
        <v>431.125</v>
      </c>
      <c r="AZ17" s="788">
        <f t="shared" si="25"/>
        <v>-161.70100000000002</v>
      </c>
      <c r="BA17" s="509">
        <v>-168.28200000000001</v>
      </c>
      <c r="BB17" s="277">
        <v>51.268999999999998</v>
      </c>
      <c r="BC17" s="277">
        <v>129.00399999999999</v>
      </c>
      <c r="BD17" s="277">
        <v>-11.260999999999999</v>
      </c>
      <c r="BE17" s="277"/>
      <c r="BF17" s="787">
        <f t="shared" si="26"/>
        <v>169.012</v>
      </c>
      <c r="BG17" s="788">
        <f t="shared" si="27"/>
        <v>0.72999999999998977</v>
      </c>
      <c r="BH17" s="509">
        <v>97.245999999999995</v>
      </c>
      <c r="BI17" s="277">
        <v>-23.904</v>
      </c>
      <c r="BJ17" s="277">
        <v>-63.283999999999999</v>
      </c>
      <c r="BK17" s="277">
        <v>4.282</v>
      </c>
      <c r="BL17" s="277"/>
      <c r="BM17" s="787">
        <f t="shared" si="28"/>
        <v>-82.906000000000006</v>
      </c>
      <c r="BN17" s="788">
        <f t="shared" si="29"/>
        <v>14.339999999999989</v>
      </c>
      <c r="BO17" s="509">
        <v>119.28100000000001</v>
      </c>
      <c r="BP17" s="277">
        <v>-1.1910000000000001</v>
      </c>
      <c r="BQ17" s="277">
        <v>46.780999999999999</v>
      </c>
      <c r="BR17" s="277">
        <v>30.79</v>
      </c>
      <c r="BS17" s="277"/>
      <c r="BT17" s="787">
        <f t="shared" si="30"/>
        <v>76.38</v>
      </c>
      <c r="BU17" s="788">
        <f t="shared" si="31"/>
        <v>195.661</v>
      </c>
      <c r="BV17" s="509">
        <v>47.87</v>
      </c>
      <c r="BW17" s="277"/>
      <c r="BX17" s="277"/>
      <c r="BY17" s="277"/>
      <c r="BZ17" s="277"/>
      <c r="CA17" s="787">
        <f t="shared" si="32"/>
        <v>0</v>
      </c>
      <c r="CB17" s="788">
        <f t="shared" si="33"/>
        <v>47.87</v>
      </c>
      <c r="CC17" s="789">
        <f t="shared" si="5"/>
        <v>-688.94100000000003</v>
      </c>
      <c r="CD17" s="787">
        <f t="shared" si="6"/>
        <v>164.595</v>
      </c>
      <c r="CE17" s="787">
        <f t="shared" si="7"/>
        <v>198.27500000000001</v>
      </c>
      <c r="CF17" s="787">
        <f t="shared" si="8"/>
        <v>-133.018</v>
      </c>
      <c r="CG17" s="787">
        <f t="shared" si="9"/>
        <v>38.786999999999999</v>
      </c>
      <c r="CH17" s="787">
        <f t="shared" si="34"/>
        <v>268.63900000000001</v>
      </c>
      <c r="CI17" s="788">
        <f t="shared" si="35"/>
        <v>-420.30200000000002</v>
      </c>
    </row>
    <row r="18" spans="1:87">
      <c r="A18" s="265">
        <f t="shared" si="10"/>
        <v>2006</v>
      </c>
      <c r="B18" s="263">
        <f t="shared" si="11"/>
        <v>39082</v>
      </c>
      <c r="C18" s="509">
        <v>29690.688999999998</v>
      </c>
      <c r="D18" s="277">
        <v>2579.61</v>
      </c>
      <c r="E18" s="277">
        <v>4175.8069999999998</v>
      </c>
      <c r="F18" s="277">
        <v>3430.8580000000002</v>
      </c>
      <c r="G18" s="277">
        <v>766.06100000000004</v>
      </c>
      <c r="H18" s="787">
        <f t="shared" si="12"/>
        <v>10952.335999999999</v>
      </c>
      <c r="I18" s="788">
        <f t="shared" si="13"/>
        <v>40643.024999999994</v>
      </c>
      <c r="J18" s="509">
        <v>3361.3359999999998</v>
      </c>
      <c r="K18" s="277">
        <v>1005.841</v>
      </c>
      <c r="L18" s="277">
        <v>776.697</v>
      </c>
      <c r="M18" s="277">
        <v>234.05600000000001</v>
      </c>
      <c r="N18" s="277"/>
      <c r="O18" s="787">
        <f t="shared" si="14"/>
        <v>2016.5940000000001</v>
      </c>
      <c r="P18" s="788">
        <f t="shared" si="15"/>
        <v>5377.93</v>
      </c>
      <c r="Q18" s="509">
        <v>3162.509</v>
      </c>
      <c r="R18" s="277">
        <v>287.76100000000002</v>
      </c>
      <c r="S18" s="277">
        <v>699.279</v>
      </c>
      <c r="T18" s="277">
        <v>44.848999999999997</v>
      </c>
      <c r="U18" s="277"/>
      <c r="V18" s="787">
        <f t="shared" si="16"/>
        <v>1031.8889999999999</v>
      </c>
      <c r="W18" s="788">
        <f t="shared" si="17"/>
        <v>4194.3980000000001</v>
      </c>
      <c r="X18" s="509">
        <v>3007.4009999999998</v>
      </c>
      <c r="Y18" s="277">
        <v>141.05099999999999</v>
      </c>
      <c r="Z18" s="277">
        <v>572.89300000000003</v>
      </c>
      <c r="AA18" s="277">
        <v>865.93</v>
      </c>
      <c r="AB18" s="277"/>
      <c r="AC18" s="787">
        <f t="shared" si="18"/>
        <v>1579.8739999999998</v>
      </c>
      <c r="AD18" s="788">
        <f t="shared" si="19"/>
        <v>4587.2749999999996</v>
      </c>
      <c r="AE18" s="509">
        <v>2275.7620000000002</v>
      </c>
      <c r="AF18" s="277"/>
      <c r="AG18" s="277"/>
      <c r="AH18" s="277"/>
      <c r="AI18" s="277"/>
      <c r="AJ18" s="787">
        <f t="shared" si="20"/>
        <v>0</v>
      </c>
      <c r="AK18" s="788">
        <f t="shared" si="21"/>
        <v>2275.7620000000002</v>
      </c>
      <c r="AL18" s="789">
        <f t="shared" si="0"/>
        <v>17883.680999999997</v>
      </c>
      <c r="AM18" s="787">
        <f t="shared" si="1"/>
        <v>1144.9570000000001</v>
      </c>
      <c r="AN18" s="787">
        <f t="shared" si="2"/>
        <v>2126.9379999999996</v>
      </c>
      <c r="AO18" s="787">
        <f t="shared" si="3"/>
        <v>2286.0230000000001</v>
      </c>
      <c r="AP18" s="787">
        <f t="shared" si="4"/>
        <v>766.06100000000004</v>
      </c>
      <c r="AQ18" s="787">
        <f t="shared" si="22"/>
        <v>6323.9789999999994</v>
      </c>
      <c r="AR18" s="788">
        <f t="shared" si="23"/>
        <v>24207.659999999996</v>
      </c>
      <c r="AS18" s="395"/>
      <c r="AT18" s="509">
        <v>-1770.107</v>
      </c>
      <c r="AU18" s="277">
        <v>121.001</v>
      </c>
      <c r="AV18" s="277">
        <v>-172.714</v>
      </c>
      <c r="AW18" s="277">
        <v>-57.348999999999997</v>
      </c>
      <c r="AX18" s="277">
        <v>58.61</v>
      </c>
      <c r="AY18" s="787">
        <f t="shared" si="24"/>
        <v>-50.451999999999984</v>
      </c>
      <c r="AZ18" s="788">
        <f t="shared" si="25"/>
        <v>-1820.559</v>
      </c>
      <c r="BA18" s="509">
        <v>-131.96600000000001</v>
      </c>
      <c r="BB18" s="277">
        <v>80.72</v>
      </c>
      <c r="BC18" s="277">
        <v>38.752000000000002</v>
      </c>
      <c r="BD18" s="277">
        <v>2.0179999999999998</v>
      </c>
      <c r="BE18" s="277"/>
      <c r="BF18" s="787">
        <f t="shared" si="26"/>
        <v>121.49000000000001</v>
      </c>
      <c r="BG18" s="788">
        <f t="shared" si="27"/>
        <v>-10.475999999999999</v>
      </c>
      <c r="BH18" s="509">
        <v>-1272.9380000000001</v>
      </c>
      <c r="BI18" s="277">
        <v>-145.89599999999999</v>
      </c>
      <c r="BJ18" s="277">
        <v>-379.25599999999997</v>
      </c>
      <c r="BK18" s="277">
        <v>-16.097000000000001</v>
      </c>
      <c r="BL18" s="277"/>
      <c r="BM18" s="787">
        <f t="shared" si="28"/>
        <v>-541.24899999999991</v>
      </c>
      <c r="BN18" s="788">
        <f t="shared" si="29"/>
        <v>-1814.1869999999999</v>
      </c>
      <c r="BO18" s="509">
        <v>-68.171000000000006</v>
      </c>
      <c r="BP18" s="277">
        <v>-11.72</v>
      </c>
      <c r="BQ18" s="277">
        <v>8.0429999999999993</v>
      </c>
      <c r="BR18" s="277">
        <v>13.003</v>
      </c>
      <c r="BS18" s="277"/>
      <c r="BT18" s="787">
        <f t="shared" si="30"/>
        <v>9.3259999999999987</v>
      </c>
      <c r="BU18" s="788">
        <f t="shared" si="31"/>
        <v>-58.845000000000006</v>
      </c>
      <c r="BV18" s="509">
        <v>56.744999999999997</v>
      </c>
      <c r="BW18" s="277"/>
      <c r="BX18" s="277"/>
      <c r="BY18" s="277"/>
      <c r="BZ18" s="277"/>
      <c r="CA18" s="787">
        <f t="shared" si="32"/>
        <v>0</v>
      </c>
      <c r="CB18" s="788">
        <f t="shared" si="33"/>
        <v>56.744999999999997</v>
      </c>
      <c r="CC18" s="789">
        <f t="shared" si="5"/>
        <v>-353.77699999999982</v>
      </c>
      <c r="CD18" s="787">
        <f t="shared" si="6"/>
        <v>197.89699999999999</v>
      </c>
      <c r="CE18" s="787">
        <f t="shared" si="7"/>
        <v>159.74699999999996</v>
      </c>
      <c r="CF18" s="787">
        <f t="shared" si="8"/>
        <v>-56.272999999999996</v>
      </c>
      <c r="CG18" s="787">
        <f t="shared" si="9"/>
        <v>58.61</v>
      </c>
      <c r="CH18" s="787">
        <f t="shared" si="34"/>
        <v>359.98099999999999</v>
      </c>
      <c r="CI18" s="788">
        <f t="shared" si="35"/>
        <v>6.2040000000001783</v>
      </c>
    </row>
    <row r="19" spans="1:87">
      <c r="A19" s="265">
        <f t="shared" si="10"/>
        <v>2007</v>
      </c>
      <c r="B19" s="263">
        <f t="shared" si="11"/>
        <v>39172</v>
      </c>
      <c r="C19" s="509">
        <v>28814.564999999999</v>
      </c>
      <c r="D19" s="277">
        <v>3051.828</v>
      </c>
      <c r="E19" s="277">
        <v>4096.9809999999998</v>
      </c>
      <c r="F19" s="277">
        <v>3205.3449999999998</v>
      </c>
      <c r="G19" s="277">
        <v>776.73400000000004</v>
      </c>
      <c r="H19" s="787">
        <f t="shared" si="12"/>
        <v>11130.887999999999</v>
      </c>
      <c r="I19" s="788">
        <f t="shared" si="13"/>
        <v>39945.452999999994</v>
      </c>
      <c r="J19" s="509">
        <v>3352.3150000000001</v>
      </c>
      <c r="K19" s="277">
        <v>1132.0070000000001</v>
      </c>
      <c r="L19" s="277">
        <v>710.31700000000001</v>
      </c>
      <c r="M19" s="277">
        <v>207.32</v>
      </c>
      <c r="N19" s="277"/>
      <c r="O19" s="787">
        <f t="shared" si="14"/>
        <v>2049.6440000000002</v>
      </c>
      <c r="P19" s="788">
        <f t="shared" si="15"/>
        <v>5401.9590000000007</v>
      </c>
      <c r="Q19" s="509">
        <v>3148.9949999999999</v>
      </c>
      <c r="R19" s="277">
        <v>355.74599999999998</v>
      </c>
      <c r="S19" s="277">
        <v>640.28399999999999</v>
      </c>
      <c r="T19" s="277">
        <v>44.167000000000002</v>
      </c>
      <c r="U19" s="277"/>
      <c r="V19" s="787">
        <f t="shared" si="16"/>
        <v>1040.1969999999999</v>
      </c>
      <c r="W19" s="788">
        <f t="shared" si="17"/>
        <v>4189.192</v>
      </c>
      <c r="X19" s="509">
        <v>2856.33</v>
      </c>
      <c r="Y19" s="277">
        <v>155.255</v>
      </c>
      <c r="Z19" s="277">
        <v>547.76199999999994</v>
      </c>
      <c r="AA19" s="277">
        <v>814.80700000000002</v>
      </c>
      <c r="AB19" s="277"/>
      <c r="AC19" s="787">
        <f t="shared" si="18"/>
        <v>1517.8240000000001</v>
      </c>
      <c r="AD19" s="788">
        <f t="shared" si="19"/>
        <v>4374.1540000000005</v>
      </c>
      <c r="AE19" s="509">
        <v>2197.5569999999998</v>
      </c>
      <c r="AF19" s="277"/>
      <c r="AG19" s="277"/>
      <c r="AH19" s="277"/>
      <c r="AI19" s="277"/>
      <c r="AJ19" s="787">
        <f t="shared" si="20"/>
        <v>0</v>
      </c>
      <c r="AK19" s="788">
        <f t="shared" si="21"/>
        <v>2197.5569999999998</v>
      </c>
      <c r="AL19" s="789">
        <f t="shared" si="0"/>
        <v>17259.367999999999</v>
      </c>
      <c r="AM19" s="787">
        <f t="shared" si="1"/>
        <v>1408.8199999999997</v>
      </c>
      <c r="AN19" s="787">
        <f t="shared" si="2"/>
        <v>2198.6179999999995</v>
      </c>
      <c r="AO19" s="787">
        <f t="shared" si="3"/>
        <v>2139.0509999999995</v>
      </c>
      <c r="AP19" s="787">
        <f t="shared" si="4"/>
        <v>776.73400000000004</v>
      </c>
      <c r="AQ19" s="787">
        <f t="shared" si="22"/>
        <v>6523.222999999999</v>
      </c>
      <c r="AR19" s="788">
        <f t="shared" si="23"/>
        <v>23782.590999999997</v>
      </c>
      <c r="AS19" s="395"/>
      <c r="AT19" s="509">
        <v>-488.47800000000001</v>
      </c>
      <c r="AU19" s="277">
        <v>303.476</v>
      </c>
      <c r="AV19" s="277">
        <v>112.807</v>
      </c>
      <c r="AW19" s="277">
        <v>-39.093000000000004</v>
      </c>
      <c r="AX19" s="277">
        <v>44.268999999999998</v>
      </c>
      <c r="AY19" s="787">
        <f t="shared" si="24"/>
        <v>421.459</v>
      </c>
      <c r="AZ19" s="788">
        <f t="shared" si="25"/>
        <v>-67.019000000000005</v>
      </c>
      <c r="BA19" s="509">
        <v>-100.33199999999999</v>
      </c>
      <c r="BB19" s="277">
        <v>116.72</v>
      </c>
      <c r="BC19" s="277">
        <v>35</v>
      </c>
      <c r="BD19" s="277">
        <v>-0.24399999999999999</v>
      </c>
      <c r="BE19" s="277"/>
      <c r="BF19" s="787">
        <f t="shared" si="26"/>
        <v>151.476</v>
      </c>
      <c r="BG19" s="788">
        <f t="shared" si="27"/>
        <v>51.144000000000005</v>
      </c>
      <c r="BH19" s="509">
        <v>53.423000000000002</v>
      </c>
      <c r="BI19" s="277">
        <v>-29.841000000000001</v>
      </c>
      <c r="BJ19" s="277">
        <v>-87.543999999999997</v>
      </c>
      <c r="BK19" s="277">
        <v>1.3029999999999999</v>
      </c>
      <c r="BL19" s="277"/>
      <c r="BM19" s="787">
        <f t="shared" si="28"/>
        <v>-116.08199999999999</v>
      </c>
      <c r="BN19" s="788">
        <f t="shared" si="29"/>
        <v>-62.658999999999992</v>
      </c>
      <c r="BO19" s="509">
        <v>-165.64</v>
      </c>
      <c r="BP19" s="277">
        <v>-5.4710000000000001</v>
      </c>
      <c r="BQ19" s="277">
        <v>15.898999999999999</v>
      </c>
      <c r="BR19" s="277">
        <v>4.399</v>
      </c>
      <c r="BS19" s="277"/>
      <c r="BT19" s="787">
        <f t="shared" si="30"/>
        <v>14.826999999999998</v>
      </c>
      <c r="BU19" s="788">
        <f t="shared" si="31"/>
        <v>-150.81299999999999</v>
      </c>
      <c r="BV19" s="509">
        <v>92.745000000000005</v>
      </c>
      <c r="BW19" s="277"/>
      <c r="BX19" s="277"/>
      <c r="BY19" s="277"/>
      <c r="BZ19" s="277"/>
      <c r="CA19" s="787">
        <f t="shared" si="32"/>
        <v>0</v>
      </c>
      <c r="CB19" s="788">
        <f t="shared" si="33"/>
        <v>92.745000000000005</v>
      </c>
      <c r="CC19" s="789">
        <f t="shared" si="5"/>
        <v>-368.67400000000004</v>
      </c>
      <c r="CD19" s="787">
        <f t="shared" si="6"/>
        <v>222.06800000000001</v>
      </c>
      <c r="CE19" s="787">
        <f t="shared" si="7"/>
        <v>149.452</v>
      </c>
      <c r="CF19" s="787">
        <f t="shared" si="8"/>
        <v>-44.551000000000002</v>
      </c>
      <c r="CG19" s="787">
        <f t="shared" si="9"/>
        <v>44.268999999999998</v>
      </c>
      <c r="CH19" s="787">
        <f t="shared" si="34"/>
        <v>371.238</v>
      </c>
      <c r="CI19" s="788">
        <f t="shared" si="35"/>
        <v>2.5639999999999645</v>
      </c>
    </row>
    <row r="20" spans="1:87">
      <c r="A20" s="265">
        <f t="shared" si="10"/>
        <v>2007</v>
      </c>
      <c r="B20" s="263">
        <f t="shared" si="11"/>
        <v>39263</v>
      </c>
      <c r="C20" s="509">
        <v>32017.352999999999</v>
      </c>
      <c r="D20" s="277">
        <v>2895.9560000000001</v>
      </c>
      <c r="E20" s="277">
        <v>5516.5839999999998</v>
      </c>
      <c r="F20" s="277">
        <v>3486.2020000000002</v>
      </c>
      <c r="G20" s="277">
        <v>772.22</v>
      </c>
      <c r="H20" s="787">
        <f t="shared" si="12"/>
        <v>12670.962000000001</v>
      </c>
      <c r="I20" s="788">
        <f t="shared" si="13"/>
        <v>44688.315000000002</v>
      </c>
      <c r="J20" s="509">
        <v>3645.3580000000002</v>
      </c>
      <c r="K20" s="277">
        <v>996.51700000000005</v>
      </c>
      <c r="L20" s="277">
        <v>975.01900000000001</v>
      </c>
      <c r="M20" s="277">
        <v>236.21199999999999</v>
      </c>
      <c r="N20" s="277"/>
      <c r="O20" s="787">
        <f t="shared" si="14"/>
        <v>2207.748</v>
      </c>
      <c r="P20" s="788">
        <f t="shared" si="15"/>
        <v>5853.1059999999998</v>
      </c>
      <c r="Q20" s="509">
        <v>3600.4490000000001</v>
      </c>
      <c r="R20" s="277">
        <v>344.89</v>
      </c>
      <c r="S20" s="277">
        <v>1052.173</v>
      </c>
      <c r="T20" s="277">
        <v>53.771999999999998</v>
      </c>
      <c r="U20" s="277"/>
      <c r="V20" s="787">
        <f t="shared" si="16"/>
        <v>1450.835</v>
      </c>
      <c r="W20" s="788">
        <f t="shared" si="17"/>
        <v>5051.2839999999997</v>
      </c>
      <c r="X20" s="509">
        <v>3375.1930000000002</v>
      </c>
      <c r="Y20" s="277">
        <v>134.09800000000001</v>
      </c>
      <c r="Z20" s="277">
        <v>740.09199999999998</v>
      </c>
      <c r="AA20" s="277">
        <v>947.02800000000002</v>
      </c>
      <c r="AB20" s="277"/>
      <c r="AC20" s="787">
        <f t="shared" si="18"/>
        <v>1821.2180000000001</v>
      </c>
      <c r="AD20" s="788">
        <f t="shared" si="19"/>
        <v>5196.4110000000001</v>
      </c>
      <c r="AE20" s="509">
        <v>2583.1689999999999</v>
      </c>
      <c r="AF20" s="277"/>
      <c r="AG20" s="277"/>
      <c r="AH20" s="277"/>
      <c r="AI20" s="277"/>
      <c r="AJ20" s="787">
        <f t="shared" si="20"/>
        <v>0</v>
      </c>
      <c r="AK20" s="788">
        <f t="shared" si="21"/>
        <v>2583.1689999999999</v>
      </c>
      <c r="AL20" s="789">
        <f t="shared" si="0"/>
        <v>18813.184000000001</v>
      </c>
      <c r="AM20" s="787">
        <f t="shared" si="1"/>
        <v>1420.451</v>
      </c>
      <c r="AN20" s="787">
        <f t="shared" si="2"/>
        <v>2749.2999999999997</v>
      </c>
      <c r="AO20" s="787">
        <f t="shared" si="3"/>
        <v>2249.1900000000005</v>
      </c>
      <c r="AP20" s="787">
        <f t="shared" si="4"/>
        <v>772.22</v>
      </c>
      <c r="AQ20" s="787">
        <f t="shared" si="22"/>
        <v>7191.161000000001</v>
      </c>
      <c r="AR20" s="788">
        <f t="shared" si="23"/>
        <v>26004.345000000001</v>
      </c>
      <c r="AS20" s="395"/>
      <c r="AT20" s="509">
        <v>3403.2739999999999</v>
      </c>
      <c r="AU20" s="277">
        <v>368.01600000000002</v>
      </c>
      <c r="AV20" s="277">
        <v>1224.0530000000001</v>
      </c>
      <c r="AW20" s="277">
        <v>922.14400000000001</v>
      </c>
      <c r="AX20" s="277">
        <v>62.075000000000003</v>
      </c>
      <c r="AY20" s="787">
        <f t="shared" si="24"/>
        <v>2576.288</v>
      </c>
      <c r="AZ20" s="788">
        <f t="shared" si="25"/>
        <v>5979.5619999999999</v>
      </c>
      <c r="BA20" s="509">
        <v>83.247</v>
      </c>
      <c r="BB20" s="277">
        <v>47.505000000000003</v>
      </c>
      <c r="BC20" s="277">
        <v>126.511</v>
      </c>
      <c r="BD20" s="277">
        <v>13.345000000000001</v>
      </c>
      <c r="BE20" s="277"/>
      <c r="BF20" s="787">
        <f t="shared" si="26"/>
        <v>187.36099999999999</v>
      </c>
      <c r="BG20" s="788">
        <f t="shared" si="27"/>
        <v>270.608</v>
      </c>
      <c r="BH20" s="509">
        <v>1360.046</v>
      </c>
      <c r="BI20" s="277">
        <v>83.873000000000005</v>
      </c>
      <c r="BJ20" s="277">
        <v>302.673</v>
      </c>
      <c r="BK20" s="277">
        <v>17.434999999999999</v>
      </c>
      <c r="BL20" s="277"/>
      <c r="BM20" s="787">
        <f t="shared" si="28"/>
        <v>403.98099999999999</v>
      </c>
      <c r="BN20" s="788">
        <f t="shared" si="29"/>
        <v>1764.027</v>
      </c>
      <c r="BO20" s="509">
        <v>123.464</v>
      </c>
      <c r="BP20" s="277">
        <v>2.8210000000000002</v>
      </c>
      <c r="BQ20" s="277">
        <v>93.194999999999993</v>
      </c>
      <c r="BR20" s="277">
        <v>67.47</v>
      </c>
      <c r="BS20" s="277"/>
      <c r="BT20" s="787">
        <f t="shared" si="30"/>
        <v>163.48599999999999</v>
      </c>
      <c r="BU20" s="788">
        <f t="shared" si="31"/>
        <v>286.95</v>
      </c>
      <c r="BV20" s="509">
        <v>278.32400000000001</v>
      </c>
      <c r="BW20" s="277"/>
      <c r="BX20" s="277"/>
      <c r="BY20" s="277"/>
      <c r="BZ20" s="277"/>
      <c r="CA20" s="787">
        <f t="shared" si="32"/>
        <v>0</v>
      </c>
      <c r="CB20" s="788">
        <f t="shared" si="33"/>
        <v>278.32400000000001</v>
      </c>
      <c r="CC20" s="789">
        <f t="shared" si="5"/>
        <v>1558.1929999999998</v>
      </c>
      <c r="CD20" s="787">
        <f t="shared" si="6"/>
        <v>233.81700000000001</v>
      </c>
      <c r="CE20" s="787">
        <f t="shared" si="7"/>
        <v>701.67400000000021</v>
      </c>
      <c r="CF20" s="787">
        <f t="shared" si="8"/>
        <v>823.89400000000001</v>
      </c>
      <c r="CG20" s="787">
        <f t="shared" si="9"/>
        <v>62.075000000000003</v>
      </c>
      <c r="CH20" s="787">
        <f t="shared" si="34"/>
        <v>1821.4600000000003</v>
      </c>
      <c r="CI20" s="788">
        <f t="shared" si="35"/>
        <v>3379.6530000000002</v>
      </c>
    </row>
    <row r="21" spans="1:87">
      <c r="A21" s="265">
        <f t="shared" si="10"/>
        <v>2007</v>
      </c>
      <c r="B21" s="263">
        <f t="shared" si="11"/>
        <v>39355</v>
      </c>
      <c r="C21" s="509">
        <v>32291.691999999999</v>
      </c>
      <c r="D21" s="277">
        <v>2895.9659999999999</v>
      </c>
      <c r="E21" s="277">
        <v>6032.64</v>
      </c>
      <c r="F21" s="277">
        <v>3917.46</v>
      </c>
      <c r="G21" s="277">
        <v>817.43799999999999</v>
      </c>
      <c r="H21" s="787">
        <f t="shared" si="12"/>
        <v>13663.503999999999</v>
      </c>
      <c r="I21" s="788">
        <f t="shared" si="13"/>
        <v>45955.195999999996</v>
      </c>
      <c r="J21" s="509">
        <v>3586.0189999999998</v>
      </c>
      <c r="K21" s="277">
        <v>1056.0350000000001</v>
      </c>
      <c r="L21" s="277">
        <v>1033.2090000000001</v>
      </c>
      <c r="M21" s="277">
        <v>246.215</v>
      </c>
      <c r="N21" s="277"/>
      <c r="O21" s="787">
        <f t="shared" si="14"/>
        <v>2335.4590000000003</v>
      </c>
      <c r="P21" s="788">
        <f t="shared" si="15"/>
        <v>5921.4780000000001</v>
      </c>
      <c r="Q21" s="509">
        <v>3613.7739999999999</v>
      </c>
      <c r="R21" s="277">
        <v>370.43799999999999</v>
      </c>
      <c r="S21" s="277">
        <v>1216.588</v>
      </c>
      <c r="T21" s="277">
        <v>73.91</v>
      </c>
      <c r="U21" s="277"/>
      <c r="V21" s="787">
        <f t="shared" si="16"/>
        <v>1660.9359999999999</v>
      </c>
      <c r="W21" s="788">
        <f t="shared" si="17"/>
        <v>5274.71</v>
      </c>
      <c r="X21" s="509">
        <v>3547.933</v>
      </c>
      <c r="Y21" s="277">
        <v>133.91999999999999</v>
      </c>
      <c r="Z21" s="277">
        <v>770.73699999999997</v>
      </c>
      <c r="AA21" s="277">
        <v>1052.18</v>
      </c>
      <c r="AB21" s="277"/>
      <c r="AC21" s="787">
        <f t="shared" si="18"/>
        <v>1956.837</v>
      </c>
      <c r="AD21" s="788">
        <f t="shared" si="19"/>
        <v>5504.77</v>
      </c>
      <c r="AE21" s="509">
        <v>2588.018</v>
      </c>
      <c r="AF21" s="277"/>
      <c r="AG21" s="277"/>
      <c r="AH21" s="277"/>
      <c r="AI21" s="277"/>
      <c r="AJ21" s="787">
        <f t="shared" si="20"/>
        <v>0</v>
      </c>
      <c r="AK21" s="788">
        <f t="shared" si="21"/>
        <v>2588.018</v>
      </c>
      <c r="AL21" s="789">
        <f t="shared" si="0"/>
        <v>18955.948</v>
      </c>
      <c r="AM21" s="787">
        <f t="shared" si="1"/>
        <v>1335.5729999999999</v>
      </c>
      <c r="AN21" s="787">
        <f t="shared" si="2"/>
        <v>3012.1060000000002</v>
      </c>
      <c r="AO21" s="787">
        <f t="shared" si="3"/>
        <v>2545.1549999999997</v>
      </c>
      <c r="AP21" s="787">
        <f t="shared" si="4"/>
        <v>817.43799999999999</v>
      </c>
      <c r="AQ21" s="787">
        <f t="shared" si="22"/>
        <v>7710.2719999999999</v>
      </c>
      <c r="AR21" s="788">
        <f t="shared" si="23"/>
        <v>26666.22</v>
      </c>
      <c r="AS21" s="395"/>
      <c r="AT21" s="509">
        <v>626.68700000000001</v>
      </c>
      <c r="AU21" s="277">
        <v>242.447</v>
      </c>
      <c r="AV21" s="277">
        <v>591.29200000000003</v>
      </c>
      <c r="AW21" s="277">
        <v>302.755</v>
      </c>
      <c r="AX21" s="277">
        <v>37.067999999999998</v>
      </c>
      <c r="AY21" s="787">
        <f t="shared" si="24"/>
        <v>1173.5620000000001</v>
      </c>
      <c r="AZ21" s="788">
        <f t="shared" si="25"/>
        <v>1800.2490000000003</v>
      </c>
      <c r="BA21" s="509">
        <v>-69.245000000000005</v>
      </c>
      <c r="BB21" s="277">
        <v>66.555999999999997</v>
      </c>
      <c r="BC21" s="277">
        <v>131.71</v>
      </c>
      <c r="BD21" s="277">
        <v>17.553000000000001</v>
      </c>
      <c r="BE21" s="277"/>
      <c r="BF21" s="787">
        <f t="shared" si="26"/>
        <v>215.81900000000002</v>
      </c>
      <c r="BG21" s="788">
        <f t="shared" si="27"/>
        <v>146.57400000000001</v>
      </c>
      <c r="BH21" s="509">
        <v>199.24199999999999</v>
      </c>
      <c r="BI21" s="277">
        <v>-1.8080000000000001</v>
      </c>
      <c r="BJ21" s="277">
        <v>-0.623</v>
      </c>
      <c r="BK21" s="277">
        <v>4.391</v>
      </c>
      <c r="BL21" s="277"/>
      <c r="BM21" s="787">
        <f t="shared" si="28"/>
        <v>1.96</v>
      </c>
      <c r="BN21" s="788">
        <f t="shared" si="29"/>
        <v>201.202</v>
      </c>
      <c r="BO21" s="509">
        <v>142.23500000000001</v>
      </c>
      <c r="BP21" s="277">
        <v>3.617</v>
      </c>
      <c r="BQ21" s="277">
        <v>81.457999999999998</v>
      </c>
      <c r="BR21" s="277">
        <v>85.144999999999996</v>
      </c>
      <c r="BS21" s="277"/>
      <c r="BT21" s="787">
        <f t="shared" si="30"/>
        <v>170.22</v>
      </c>
      <c r="BU21" s="788">
        <f t="shared" si="31"/>
        <v>312.45500000000004</v>
      </c>
      <c r="BV21" s="509">
        <v>162.21700000000001</v>
      </c>
      <c r="BW21" s="277"/>
      <c r="BX21" s="277"/>
      <c r="BY21" s="277"/>
      <c r="BZ21" s="277"/>
      <c r="CA21" s="787">
        <f t="shared" si="32"/>
        <v>0</v>
      </c>
      <c r="CB21" s="788">
        <f t="shared" si="33"/>
        <v>162.21700000000001</v>
      </c>
      <c r="CC21" s="789">
        <f t="shared" si="5"/>
        <v>192.23800000000006</v>
      </c>
      <c r="CD21" s="787">
        <f t="shared" si="6"/>
        <v>174.08199999999999</v>
      </c>
      <c r="CE21" s="787">
        <f t="shared" si="7"/>
        <v>378.74700000000001</v>
      </c>
      <c r="CF21" s="787">
        <f t="shared" si="8"/>
        <v>195.666</v>
      </c>
      <c r="CG21" s="787">
        <f t="shared" si="9"/>
        <v>37.067999999999998</v>
      </c>
      <c r="CH21" s="787">
        <f t="shared" si="34"/>
        <v>785.56299999999987</v>
      </c>
      <c r="CI21" s="788">
        <f t="shared" si="35"/>
        <v>977.80099999999993</v>
      </c>
    </row>
    <row r="22" spans="1:87">
      <c r="A22" s="265">
        <f t="shared" si="10"/>
        <v>2007</v>
      </c>
      <c r="B22" s="263">
        <f t="shared" si="11"/>
        <v>39447</v>
      </c>
      <c r="C22" s="509">
        <v>31379.367999999999</v>
      </c>
      <c r="D22" s="277">
        <v>2960.0880000000002</v>
      </c>
      <c r="E22" s="277">
        <v>5066.1139999999996</v>
      </c>
      <c r="F22" s="277">
        <v>3737.4209999999998</v>
      </c>
      <c r="G22" s="277">
        <v>964.46</v>
      </c>
      <c r="H22" s="787">
        <f t="shared" si="12"/>
        <v>12728.082999999999</v>
      </c>
      <c r="I22" s="788">
        <f t="shared" si="13"/>
        <v>44107.451000000001</v>
      </c>
      <c r="J22" s="509">
        <v>3492.6529999999998</v>
      </c>
      <c r="K22" s="277">
        <v>1083.865</v>
      </c>
      <c r="L22" s="277">
        <v>837.62900000000002</v>
      </c>
      <c r="M22" s="277">
        <v>242.06700000000001</v>
      </c>
      <c r="N22" s="277"/>
      <c r="O22" s="787">
        <f t="shared" si="14"/>
        <v>2163.5610000000001</v>
      </c>
      <c r="P22" s="788">
        <f t="shared" si="15"/>
        <v>5656.2139999999999</v>
      </c>
      <c r="Q22" s="509">
        <v>3356.0529999999999</v>
      </c>
      <c r="R22" s="277">
        <v>339.39600000000002</v>
      </c>
      <c r="S22" s="277">
        <v>960.89300000000003</v>
      </c>
      <c r="T22" s="277">
        <v>67.272000000000006</v>
      </c>
      <c r="U22" s="277"/>
      <c r="V22" s="787">
        <f t="shared" si="16"/>
        <v>1367.5609999999999</v>
      </c>
      <c r="W22" s="788">
        <f t="shared" si="17"/>
        <v>4723.6139999999996</v>
      </c>
      <c r="X22" s="509">
        <v>3133.5889999999999</v>
      </c>
      <c r="Y22" s="277">
        <v>153.83699999999999</v>
      </c>
      <c r="Z22" s="277">
        <v>701.47500000000002</v>
      </c>
      <c r="AA22" s="277">
        <v>984.85799999999995</v>
      </c>
      <c r="AB22" s="277"/>
      <c r="AC22" s="787">
        <f t="shared" si="18"/>
        <v>1840.17</v>
      </c>
      <c r="AD22" s="788">
        <f t="shared" si="19"/>
        <v>4973.759</v>
      </c>
      <c r="AE22" s="509">
        <v>2492.0390000000002</v>
      </c>
      <c r="AF22" s="277"/>
      <c r="AG22" s="277"/>
      <c r="AH22" s="277"/>
      <c r="AI22" s="277"/>
      <c r="AJ22" s="787">
        <f t="shared" si="20"/>
        <v>0</v>
      </c>
      <c r="AK22" s="788">
        <f t="shared" si="21"/>
        <v>2492.0390000000002</v>
      </c>
      <c r="AL22" s="789">
        <f t="shared" si="0"/>
        <v>18905.034</v>
      </c>
      <c r="AM22" s="787">
        <f t="shared" si="1"/>
        <v>1382.9900000000002</v>
      </c>
      <c r="AN22" s="787">
        <f t="shared" si="2"/>
        <v>2566.1169999999997</v>
      </c>
      <c r="AO22" s="787">
        <f t="shared" si="3"/>
        <v>2443.2240000000002</v>
      </c>
      <c r="AP22" s="787">
        <f t="shared" si="4"/>
        <v>964.46</v>
      </c>
      <c r="AQ22" s="787">
        <f t="shared" si="22"/>
        <v>7356.7910000000002</v>
      </c>
      <c r="AR22" s="788">
        <f t="shared" si="23"/>
        <v>26261.825000000001</v>
      </c>
      <c r="AS22" s="395"/>
      <c r="AT22" s="509">
        <v>-545.60799999999995</v>
      </c>
      <c r="AU22" s="277">
        <v>221.38800000000001</v>
      </c>
      <c r="AV22" s="277">
        <v>120.17700000000001</v>
      </c>
      <c r="AW22" s="277">
        <v>135.66999999999999</v>
      </c>
      <c r="AX22" s="277">
        <v>46.985999999999997</v>
      </c>
      <c r="AY22" s="787">
        <f t="shared" si="24"/>
        <v>524.221</v>
      </c>
      <c r="AZ22" s="788">
        <f t="shared" si="25"/>
        <v>-21.386999999999944</v>
      </c>
      <c r="BA22" s="509">
        <v>-204.18</v>
      </c>
      <c r="BB22" s="277">
        <v>80.518000000000001</v>
      </c>
      <c r="BC22" s="277">
        <v>5.6109999999999998</v>
      </c>
      <c r="BD22" s="277">
        <v>5.5060000000000002</v>
      </c>
      <c r="BE22" s="277"/>
      <c r="BF22" s="787">
        <f t="shared" si="26"/>
        <v>91.635000000000005</v>
      </c>
      <c r="BG22" s="788">
        <f t="shared" si="27"/>
        <v>-112.545</v>
      </c>
      <c r="BH22" s="509">
        <v>1.91</v>
      </c>
      <c r="BI22" s="277">
        <v>-17.605</v>
      </c>
      <c r="BJ22" s="277">
        <v>-87.951999999999998</v>
      </c>
      <c r="BK22" s="277">
        <v>-4.6029999999999998</v>
      </c>
      <c r="BL22" s="277"/>
      <c r="BM22" s="787">
        <f t="shared" si="28"/>
        <v>-110.16</v>
      </c>
      <c r="BN22" s="788">
        <f t="shared" si="29"/>
        <v>-108.25</v>
      </c>
      <c r="BO22" s="509">
        <v>-140.69900000000001</v>
      </c>
      <c r="BP22" s="277">
        <v>-0.58299999999999996</v>
      </c>
      <c r="BQ22" s="277">
        <v>22.291</v>
      </c>
      <c r="BR22" s="277">
        <v>18.901</v>
      </c>
      <c r="BS22" s="277"/>
      <c r="BT22" s="787">
        <f t="shared" si="30"/>
        <v>40.609000000000002</v>
      </c>
      <c r="BU22" s="788">
        <f t="shared" si="31"/>
        <v>-100.09</v>
      </c>
      <c r="BV22" s="509">
        <v>111.38800000000001</v>
      </c>
      <c r="BW22" s="277"/>
      <c r="BX22" s="277"/>
      <c r="BY22" s="277"/>
      <c r="BZ22" s="277"/>
      <c r="CA22" s="787">
        <f t="shared" si="32"/>
        <v>0</v>
      </c>
      <c r="CB22" s="788">
        <f t="shared" si="33"/>
        <v>111.38800000000001</v>
      </c>
      <c r="CC22" s="789">
        <f t="shared" si="5"/>
        <v>-314.02699999999993</v>
      </c>
      <c r="CD22" s="787">
        <f t="shared" si="6"/>
        <v>159.05799999999999</v>
      </c>
      <c r="CE22" s="787">
        <f t="shared" si="7"/>
        <v>180.227</v>
      </c>
      <c r="CF22" s="787">
        <f t="shared" si="8"/>
        <v>115.86599999999999</v>
      </c>
      <c r="CG22" s="787">
        <f t="shared" si="9"/>
        <v>46.985999999999997</v>
      </c>
      <c r="CH22" s="787">
        <f t="shared" si="34"/>
        <v>502.13699999999994</v>
      </c>
      <c r="CI22" s="788">
        <f t="shared" si="35"/>
        <v>188.11</v>
      </c>
    </row>
    <row r="23" spans="1:87">
      <c r="A23" s="265">
        <f t="shared" si="10"/>
        <v>2008</v>
      </c>
      <c r="B23" s="263">
        <f t="shared" si="11"/>
        <v>39538</v>
      </c>
      <c r="C23" s="509">
        <v>31408.302</v>
      </c>
      <c r="D23" s="277">
        <v>3551.5210000000002</v>
      </c>
      <c r="E23" s="277">
        <v>4766.3599999999997</v>
      </c>
      <c r="F23" s="277">
        <v>3608.1570000000002</v>
      </c>
      <c r="G23" s="277">
        <v>938.35400000000004</v>
      </c>
      <c r="H23" s="787">
        <f t="shared" si="12"/>
        <v>12864.392</v>
      </c>
      <c r="I23" s="788">
        <f t="shared" si="13"/>
        <v>44272.694000000003</v>
      </c>
      <c r="J23" s="509">
        <v>3463.5430000000001</v>
      </c>
      <c r="K23" s="277">
        <v>1269.3679999999999</v>
      </c>
      <c r="L23" s="277">
        <v>718.51900000000001</v>
      </c>
      <c r="M23" s="277">
        <v>221.143</v>
      </c>
      <c r="N23" s="277"/>
      <c r="O23" s="787">
        <f t="shared" si="14"/>
        <v>2209.0299999999997</v>
      </c>
      <c r="P23" s="788">
        <f t="shared" si="15"/>
        <v>5672.5730000000003</v>
      </c>
      <c r="Q23" s="509">
        <v>3415.46</v>
      </c>
      <c r="R23" s="277">
        <v>434.88299999999998</v>
      </c>
      <c r="S23" s="277">
        <v>893.43600000000004</v>
      </c>
      <c r="T23" s="277">
        <v>67.198999999999998</v>
      </c>
      <c r="U23" s="277"/>
      <c r="V23" s="787">
        <f t="shared" si="16"/>
        <v>1395.518</v>
      </c>
      <c r="W23" s="788">
        <f t="shared" si="17"/>
        <v>4810.9780000000001</v>
      </c>
      <c r="X23" s="509">
        <v>2964.873</v>
      </c>
      <c r="Y23" s="277">
        <v>177.13</v>
      </c>
      <c r="Z23" s="277">
        <v>658.96100000000001</v>
      </c>
      <c r="AA23" s="277">
        <v>910.24400000000003</v>
      </c>
      <c r="AB23" s="277"/>
      <c r="AC23" s="787">
        <f t="shared" si="18"/>
        <v>1746.335</v>
      </c>
      <c r="AD23" s="788">
        <f t="shared" si="19"/>
        <v>4711.2080000000005</v>
      </c>
      <c r="AE23" s="509">
        <v>2529.6019999999999</v>
      </c>
      <c r="AF23" s="277"/>
      <c r="AG23" s="277"/>
      <c r="AH23" s="277"/>
      <c r="AI23" s="277"/>
      <c r="AJ23" s="787">
        <f t="shared" si="20"/>
        <v>0</v>
      </c>
      <c r="AK23" s="788">
        <f t="shared" si="21"/>
        <v>2529.6019999999999</v>
      </c>
      <c r="AL23" s="789">
        <f t="shared" si="0"/>
        <v>19034.824000000001</v>
      </c>
      <c r="AM23" s="787">
        <f t="shared" si="1"/>
        <v>1670.1400000000003</v>
      </c>
      <c r="AN23" s="787">
        <f t="shared" si="2"/>
        <v>2495.4439999999995</v>
      </c>
      <c r="AO23" s="787">
        <f t="shared" si="3"/>
        <v>2409.5709999999999</v>
      </c>
      <c r="AP23" s="787">
        <f t="shared" si="4"/>
        <v>938.35400000000004</v>
      </c>
      <c r="AQ23" s="787">
        <f t="shared" si="22"/>
        <v>7513.509</v>
      </c>
      <c r="AR23" s="788">
        <f t="shared" si="23"/>
        <v>26548.332999999999</v>
      </c>
      <c r="AS23" s="395"/>
      <c r="AT23" s="509">
        <v>-9777.777</v>
      </c>
      <c r="AU23" s="277">
        <v>-335.226</v>
      </c>
      <c r="AV23" s="277">
        <v>-1326.883</v>
      </c>
      <c r="AW23" s="277">
        <v>-151.80699999999999</v>
      </c>
      <c r="AX23" s="277">
        <v>-8.0109999999999992</v>
      </c>
      <c r="AY23" s="787">
        <f t="shared" si="24"/>
        <v>-1821.9269999999999</v>
      </c>
      <c r="AZ23" s="788">
        <f t="shared" si="25"/>
        <v>-11599.704</v>
      </c>
      <c r="BA23" s="509">
        <v>-339.97199999999998</v>
      </c>
      <c r="BB23" s="277">
        <v>86.495999999999995</v>
      </c>
      <c r="BC23" s="277">
        <v>-74.322999999999993</v>
      </c>
      <c r="BD23" s="277">
        <v>-16.111000000000001</v>
      </c>
      <c r="BE23" s="277"/>
      <c r="BF23" s="787">
        <f t="shared" si="26"/>
        <v>-3.9379999999999988</v>
      </c>
      <c r="BG23" s="788">
        <f t="shared" si="27"/>
        <v>-343.90999999999997</v>
      </c>
      <c r="BH23" s="509">
        <v>-4458.674</v>
      </c>
      <c r="BI23" s="277">
        <v>-585.06799999999998</v>
      </c>
      <c r="BJ23" s="277">
        <v>-1272.348</v>
      </c>
      <c r="BK23" s="277">
        <v>-89.79</v>
      </c>
      <c r="BL23" s="277"/>
      <c r="BM23" s="787">
        <f t="shared" si="28"/>
        <v>-1947.2059999999999</v>
      </c>
      <c r="BN23" s="788">
        <f t="shared" si="29"/>
        <v>-6405.88</v>
      </c>
      <c r="BO23" s="509">
        <v>-425.42099999999999</v>
      </c>
      <c r="BP23" s="277">
        <v>-19.219000000000001</v>
      </c>
      <c r="BQ23" s="277">
        <v>-35.005000000000003</v>
      </c>
      <c r="BR23" s="277">
        <v>-56.655999999999999</v>
      </c>
      <c r="BS23" s="277"/>
      <c r="BT23" s="787">
        <f t="shared" si="30"/>
        <v>-110.88</v>
      </c>
      <c r="BU23" s="788">
        <f t="shared" si="31"/>
        <v>-536.30099999999993</v>
      </c>
      <c r="BV23" s="509">
        <v>33.563000000000002</v>
      </c>
      <c r="BW23" s="277"/>
      <c r="BX23" s="277"/>
      <c r="BY23" s="277"/>
      <c r="BZ23" s="277"/>
      <c r="CA23" s="787">
        <f t="shared" si="32"/>
        <v>0</v>
      </c>
      <c r="CB23" s="788">
        <f t="shared" si="33"/>
        <v>33.563000000000002</v>
      </c>
      <c r="CC23" s="789">
        <f t="shared" si="5"/>
        <v>-4587.2730000000001</v>
      </c>
      <c r="CD23" s="787">
        <f t="shared" si="6"/>
        <v>182.56500000000005</v>
      </c>
      <c r="CE23" s="787">
        <f t="shared" si="7"/>
        <v>54.79300000000012</v>
      </c>
      <c r="CF23" s="787">
        <f t="shared" si="8"/>
        <v>10.750000000000028</v>
      </c>
      <c r="CG23" s="787">
        <f t="shared" si="9"/>
        <v>-8.0109999999999992</v>
      </c>
      <c r="CH23" s="787">
        <f t="shared" si="34"/>
        <v>240.09700000000021</v>
      </c>
      <c r="CI23" s="788">
        <f t="shared" si="35"/>
        <v>-4347.1759999999995</v>
      </c>
    </row>
    <row r="24" spans="1:87">
      <c r="A24" s="265">
        <f t="shared" si="10"/>
        <v>2008</v>
      </c>
      <c r="B24" s="263">
        <f t="shared" si="11"/>
        <v>39629</v>
      </c>
      <c r="C24" s="509">
        <v>34244.714</v>
      </c>
      <c r="D24" s="277">
        <v>3391.6689999999999</v>
      </c>
      <c r="E24" s="277">
        <v>6386.4359999999997</v>
      </c>
      <c r="F24" s="277">
        <v>4014.4540000000002</v>
      </c>
      <c r="G24" s="277">
        <v>998.59199999999998</v>
      </c>
      <c r="H24" s="787">
        <f t="shared" si="12"/>
        <v>14791.151</v>
      </c>
      <c r="I24" s="788">
        <f t="shared" si="13"/>
        <v>49035.864999999998</v>
      </c>
      <c r="J24" s="509">
        <v>3756.8910000000001</v>
      </c>
      <c r="K24" s="277">
        <v>1142.6079999999999</v>
      </c>
      <c r="L24" s="277">
        <v>992.33199999999999</v>
      </c>
      <c r="M24" s="277">
        <v>263.13</v>
      </c>
      <c r="N24" s="277"/>
      <c r="O24" s="787">
        <f t="shared" si="14"/>
        <v>2398.0700000000002</v>
      </c>
      <c r="P24" s="788">
        <f t="shared" si="15"/>
        <v>6154.9610000000002</v>
      </c>
      <c r="Q24" s="509">
        <v>3662.8380000000002</v>
      </c>
      <c r="R24" s="277">
        <v>411.18700000000001</v>
      </c>
      <c r="S24" s="277">
        <v>1364.346</v>
      </c>
      <c r="T24" s="277">
        <v>113.40600000000001</v>
      </c>
      <c r="U24" s="277"/>
      <c r="V24" s="787">
        <f t="shared" si="16"/>
        <v>1888.9389999999999</v>
      </c>
      <c r="W24" s="788">
        <f t="shared" si="17"/>
        <v>5551.777</v>
      </c>
      <c r="X24" s="509">
        <v>3413.3589999999999</v>
      </c>
      <c r="Y24" s="277">
        <v>146.81899999999999</v>
      </c>
      <c r="Z24" s="277">
        <v>833.25199999999995</v>
      </c>
      <c r="AA24" s="277">
        <v>977.096</v>
      </c>
      <c r="AB24" s="277"/>
      <c r="AC24" s="787">
        <f t="shared" si="18"/>
        <v>1957.1669999999999</v>
      </c>
      <c r="AD24" s="788">
        <f t="shared" si="19"/>
        <v>5370.5259999999998</v>
      </c>
      <c r="AE24" s="509">
        <v>2869.16</v>
      </c>
      <c r="AF24" s="277"/>
      <c r="AG24" s="277"/>
      <c r="AH24" s="277"/>
      <c r="AI24" s="277"/>
      <c r="AJ24" s="787">
        <f t="shared" si="20"/>
        <v>0</v>
      </c>
      <c r="AK24" s="788">
        <f t="shared" si="21"/>
        <v>2869.16</v>
      </c>
      <c r="AL24" s="789">
        <f t="shared" si="0"/>
        <v>20542.466</v>
      </c>
      <c r="AM24" s="787">
        <f t="shared" si="1"/>
        <v>1691.0549999999998</v>
      </c>
      <c r="AN24" s="787">
        <f t="shared" si="2"/>
        <v>3196.5059999999999</v>
      </c>
      <c r="AO24" s="787">
        <f t="shared" si="3"/>
        <v>2660.8220000000001</v>
      </c>
      <c r="AP24" s="787">
        <f t="shared" si="4"/>
        <v>998.59199999999998</v>
      </c>
      <c r="AQ24" s="787">
        <f t="shared" si="22"/>
        <v>8546.9750000000004</v>
      </c>
      <c r="AR24" s="788">
        <f t="shared" si="23"/>
        <v>29089.440999999999</v>
      </c>
      <c r="AS24" s="395"/>
      <c r="AT24" s="509">
        <v>-2254.8200000000002</v>
      </c>
      <c r="AU24" s="277">
        <v>-221.83699999999999</v>
      </c>
      <c r="AV24" s="277">
        <v>-849.46500000000003</v>
      </c>
      <c r="AW24" s="277">
        <v>-953.64</v>
      </c>
      <c r="AX24" s="277">
        <v>3.1059999999999999</v>
      </c>
      <c r="AY24" s="787">
        <f t="shared" si="24"/>
        <v>-2021.836</v>
      </c>
      <c r="AZ24" s="788">
        <f t="shared" si="25"/>
        <v>-4276.6559999999999</v>
      </c>
      <c r="BA24" s="509">
        <v>-1027.77</v>
      </c>
      <c r="BB24" s="277">
        <v>-197.453</v>
      </c>
      <c r="BC24" s="277">
        <v>-185.17699999999999</v>
      </c>
      <c r="BD24" s="277">
        <v>-52.332000000000001</v>
      </c>
      <c r="BE24" s="277"/>
      <c r="BF24" s="787">
        <f t="shared" si="26"/>
        <v>-434.96199999999999</v>
      </c>
      <c r="BG24" s="788">
        <f t="shared" si="27"/>
        <v>-1462.732</v>
      </c>
      <c r="BH24" s="509">
        <v>-601.74800000000005</v>
      </c>
      <c r="BI24" s="277">
        <v>-95.700999999999993</v>
      </c>
      <c r="BJ24" s="277">
        <v>-331.62400000000002</v>
      </c>
      <c r="BK24" s="277">
        <v>-36.33</v>
      </c>
      <c r="BL24" s="277"/>
      <c r="BM24" s="787">
        <f t="shared" si="28"/>
        <v>-463.65500000000003</v>
      </c>
      <c r="BN24" s="788">
        <f t="shared" si="29"/>
        <v>-1065.403</v>
      </c>
      <c r="BO24" s="509">
        <v>-329.13600000000002</v>
      </c>
      <c r="BP24" s="277">
        <v>-74.290000000000006</v>
      </c>
      <c r="BQ24" s="277">
        <v>-434.87299999999999</v>
      </c>
      <c r="BR24" s="277">
        <v>-565.58399999999995</v>
      </c>
      <c r="BS24" s="277"/>
      <c r="BT24" s="787">
        <f t="shared" si="30"/>
        <v>-1074.7469999999998</v>
      </c>
      <c r="BU24" s="788">
        <f t="shared" si="31"/>
        <v>-1403.8829999999998</v>
      </c>
      <c r="BV24" s="509">
        <v>320.98500000000001</v>
      </c>
      <c r="BW24" s="277"/>
      <c r="BX24" s="277"/>
      <c r="BY24" s="277"/>
      <c r="BZ24" s="277"/>
      <c r="CA24" s="787">
        <f t="shared" si="32"/>
        <v>0</v>
      </c>
      <c r="CB24" s="788">
        <f t="shared" si="33"/>
        <v>320.98500000000001</v>
      </c>
      <c r="CC24" s="789">
        <f t="shared" si="5"/>
        <v>-617.15100000000029</v>
      </c>
      <c r="CD24" s="787">
        <f t="shared" si="6"/>
        <v>145.60700000000003</v>
      </c>
      <c r="CE24" s="787">
        <f t="shared" si="7"/>
        <v>102.20899999999995</v>
      </c>
      <c r="CF24" s="787">
        <f t="shared" si="8"/>
        <v>-299.39400000000001</v>
      </c>
      <c r="CG24" s="787">
        <f t="shared" si="9"/>
        <v>3.1059999999999999</v>
      </c>
      <c r="CH24" s="787">
        <f t="shared" si="34"/>
        <v>-48.47200000000003</v>
      </c>
      <c r="CI24" s="788">
        <f t="shared" si="35"/>
        <v>-665.62300000000027</v>
      </c>
    </row>
    <row r="25" spans="1:87">
      <c r="A25" s="265">
        <f t="shared" si="10"/>
        <v>2008</v>
      </c>
      <c r="B25" s="263">
        <f t="shared" si="11"/>
        <v>39721</v>
      </c>
      <c r="C25" s="509">
        <v>34060.087</v>
      </c>
      <c r="D25" s="277">
        <v>3469.6190000000001</v>
      </c>
      <c r="E25" s="277">
        <v>7144.8779999999997</v>
      </c>
      <c r="F25" s="277">
        <v>4329.2709999999997</v>
      </c>
      <c r="G25" s="277">
        <v>1034.6610000000001</v>
      </c>
      <c r="H25" s="787">
        <f t="shared" si="12"/>
        <v>15978.429</v>
      </c>
      <c r="I25" s="788">
        <f t="shared" si="13"/>
        <v>50038.516000000003</v>
      </c>
      <c r="J25" s="509">
        <v>3697.2539999999999</v>
      </c>
      <c r="K25" s="277">
        <v>1307.971</v>
      </c>
      <c r="L25" s="277">
        <v>1112.672</v>
      </c>
      <c r="M25" s="277">
        <v>284.11099999999999</v>
      </c>
      <c r="N25" s="277"/>
      <c r="O25" s="787">
        <f t="shared" si="14"/>
        <v>2704.7539999999999</v>
      </c>
      <c r="P25" s="788">
        <f t="shared" si="15"/>
        <v>6402.0079999999998</v>
      </c>
      <c r="Q25" s="509">
        <v>3552.52</v>
      </c>
      <c r="R25" s="277">
        <v>438.851</v>
      </c>
      <c r="S25" s="277">
        <v>1642.5150000000001</v>
      </c>
      <c r="T25" s="277">
        <v>127.70399999999999</v>
      </c>
      <c r="U25" s="277"/>
      <c r="V25" s="787">
        <f t="shared" si="16"/>
        <v>2209.0700000000002</v>
      </c>
      <c r="W25" s="788">
        <f t="shared" si="17"/>
        <v>5761.59</v>
      </c>
      <c r="X25" s="509">
        <v>3574.26</v>
      </c>
      <c r="Y25" s="277">
        <v>146.26</v>
      </c>
      <c r="Z25" s="277">
        <v>875.29300000000001</v>
      </c>
      <c r="AA25" s="277">
        <v>1011.025</v>
      </c>
      <c r="AB25" s="277"/>
      <c r="AC25" s="787">
        <f t="shared" si="18"/>
        <v>2032.578</v>
      </c>
      <c r="AD25" s="788">
        <f t="shared" si="19"/>
        <v>5606.8379999999997</v>
      </c>
      <c r="AE25" s="509">
        <v>2890.5169999999998</v>
      </c>
      <c r="AF25" s="277"/>
      <c r="AG25" s="277"/>
      <c r="AH25" s="277"/>
      <c r="AI25" s="277"/>
      <c r="AJ25" s="787">
        <f t="shared" si="20"/>
        <v>0</v>
      </c>
      <c r="AK25" s="788">
        <f t="shared" si="21"/>
        <v>2890.5169999999998</v>
      </c>
      <c r="AL25" s="789">
        <f t="shared" si="0"/>
        <v>20345.536</v>
      </c>
      <c r="AM25" s="787">
        <f t="shared" si="1"/>
        <v>1576.537</v>
      </c>
      <c r="AN25" s="787">
        <f t="shared" si="2"/>
        <v>3514.3979999999997</v>
      </c>
      <c r="AO25" s="787">
        <f t="shared" si="3"/>
        <v>2906.4309999999996</v>
      </c>
      <c r="AP25" s="787">
        <f t="shared" si="4"/>
        <v>1034.6610000000001</v>
      </c>
      <c r="AQ25" s="787">
        <f t="shared" si="22"/>
        <v>9032.0269999999982</v>
      </c>
      <c r="AR25" s="788">
        <f t="shared" si="23"/>
        <v>29377.562999999998</v>
      </c>
      <c r="AS25" s="395"/>
      <c r="AT25" s="509">
        <v>-2633.8330000000001</v>
      </c>
      <c r="AU25" s="277">
        <v>171.76400000000001</v>
      </c>
      <c r="AV25" s="277">
        <v>-213.39</v>
      </c>
      <c r="AW25" s="277">
        <v>-58.07</v>
      </c>
      <c r="AX25" s="277">
        <v>14.972</v>
      </c>
      <c r="AY25" s="787">
        <f t="shared" si="24"/>
        <v>-84.723999999999975</v>
      </c>
      <c r="AZ25" s="788">
        <f t="shared" si="25"/>
        <v>-2718.5570000000002</v>
      </c>
      <c r="BA25" s="509">
        <v>-498.17599999999999</v>
      </c>
      <c r="BB25" s="277">
        <v>90.254000000000005</v>
      </c>
      <c r="BC25" s="277">
        <v>18.052</v>
      </c>
      <c r="BD25" s="277">
        <v>-6.3019999999999996</v>
      </c>
      <c r="BE25" s="277"/>
      <c r="BF25" s="787">
        <f t="shared" si="26"/>
        <v>102.00400000000002</v>
      </c>
      <c r="BG25" s="788">
        <f t="shared" si="27"/>
        <v>-396.17199999999997</v>
      </c>
      <c r="BH25" s="509">
        <v>32.646000000000001</v>
      </c>
      <c r="BI25" s="277">
        <v>-10.446999999999999</v>
      </c>
      <c r="BJ25" s="277">
        <v>-73.251000000000005</v>
      </c>
      <c r="BK25" s="277">
        <v>-14.335000000000001</v>
      </c>
      <c r="BL25" s="277"/>
      <c r="BM25" s="787">
        <f t="shared" si="28"/>
        <v>-98.033000000000015</v>
      </c>
      <c r="BN25" s="788">
        <f t="shared" si="29"/>
        <v>-65.387000000000015</v>
      </c>
      <c r="BO25" s="509">
        <v>-470.41899999999998</v>
      </c>
      <c r="BP25" s="277">
        <v>-5.1929999999999996</v>
      </c>
      <c r="BQ25" s="277">
        <v>-258.76</v>
      </c>
      <c r="BR25" s="277">
        <v>-5.35</v>
      </c>
      <c r="BS25" s="277"/>
      <c r="BT25" s="787">
        <f t="shared" si="30"/>
        <v>-269.303</v>
      </c>
      <c r="BU25" s="788">
        <f t="shared" si="31"/>
        <v>-739.72199999999998</v>
      </c>
      <c r="BV25" s="509">
        <v>-120.315</v>
      </c>
      <c r="BW25" s="277"/>
      <c r="BX25" s="277"/>
      <c r="BY25" s="277"/>
      <c r="BZ25" s="277"/>
      <c r="CA25" s="787">
        <f t="shared" si="32"/>
        <v>0</v>
      </c>
      <c r="CB25" s="788">
        <f t="shared" si="33"/>
        <v>-120.315</v>
      </c>
      <c r="CC25" s="789">
        <f t="shared" si="5"/>
        <v>-1577.5690000000002</v>
      </c>
      <c r="CD25" s="787">
        <f t="shared" si="6"/>
        <v>97.15</v>
      </c>
      <c r="CE25" s="787">
        <f t="shared" si="7"/>
        <v>100.56900000000002</v>
      </c>
      <c r="CF25" s="787">
        <f t="shared" si="8"/>
        <v>-32.082999999999998</v>
      </c>
      <c r="CG25" s="787">
        <f t="shared" si="9"/>
        <v>14.972</v>
      </c>
      <c r="CH25" s="787">
        <f t="shared" si="34"/>
        <v>180.60800000000003</v>
      </c>
      <c r="CI25" s="788">
        <f t="shared" si="35"/>
        <v>-1396.9610000000002</v>
      </c>
    </row>
    <row r="26" spans="1:87">
      <c r="A26" s="265">
        <f t="shared" si="10"/>
        <v>2008</v>
      </c>
      <c r="B26" s="263">
        <f t="shared" si="11"/>
        <v>39813</v>
      </c>
      <c r="C26" s="509">
        <v>30015.227999999999</v>
      </c>
      <c r="D26" s="277">
        <v>3054.9960000000001</v>
      </c>
      <c r="E26" s="277">
        <v>5157.2209999999995</v>
      </c>
      <c r="F26" s="277">
        <v>3542.951</v>
      </c>
      <c r="G26" s="277">
        <v>969.86400000000003</v>
      </c>
      <c r="H26" s="787">
        <f t="shared" si="12"/>
        <v>12725.032000000001</v>
      </c>
      <c r="I26" s="788">
        <f t="shared" si="13"/>
        <v>42740.26</v>
      </c>
      <c r="J26" s="509">
        <v>3223.0990000000002</v>
      </c>
      <c r="K26" s="277">
        <v>1175.7429999999999</v>
      </c>
      <c r="L26" s="277">
        <v>812.23400000000004</v>
      </c>
      <c r="M26" s="277">
        <v>255.482</v>
      </c>
      <c r="N26" s="277"/>
      <c r="O26" s="787">
        <f t="shared" si="14"/>
        <v>2243.4589999999998</v>
      </c>
      <c r="P26" s="788">
        <f t="shared" si="15"/>
        <v>5466.558</v>
      </c>
      <c r="Q26" s="509">
        <v>3245.6129999999998</v>
      </c>
      <c r="R26" s="277">
        <v>356.077</v>
      </c>
      <c r="S26" s="277">
        <v>1141.329</v>
      </c>
      <c r="T26" s="277">
        <v>105.226</v>
      </c>
      <c r="U26" s="277"/>
      <c r="V26" s="787">
        <f t="shared" si="16"/>
        <v>1602.6320000000001</v>
      </c>
      <c r="W26" s="788">
        <f t="shared" si="17"/>
        <v>4848.2449999999999</v>
      </c>
      <c r="X26" s="509">
        <v>2928.4780000000001</v>
      </c>
      <c r="Y26" s="277">
        <v>137.26300000000001</v>
      </c>
      <c r="Z26" s="277">
        <v>677.98199999999997</v>
      </c>
      <c r="AA26" s="277">
        <v>804.95299999999997</v>
      </c>
      <c r="AB26" s="277"/>
      <c r="AC26" s="787">
        <f t="shared" si="18"/>
        <v>1620.1979999999999</v>
      </c>
      <c r="AD26" s="788">
        <f t="shared" si="19"/>
        <v>4548.6759999999995</v>
      </c>
      <c r="AE26" s="509">
        <v>2733.9639999999999</v>
      </c>
      <c r="AF26" s="277"/>
      <c r="AG26" s="277"/>
      <c r="AH26" s="277"/>
      <c r="AI26" s="277"/>
      <c r="AJ26" s="787">
        <f t="shared" si="20"/>
        <v>0</v>
      </c>
      <c r="AK26" s="788">
        <f t="shared" si="21"/>
        <v>2733.9639999999999</v>
      </c>
      <c r="AL26" s="789">
        <f t="shared" si="0"/>
        <v>17884.074000000001</v>
      </c>
      <c r="AM26" s="787">
        <f t="shared" si="1"/>
        <v>1385.9130000000002</v>
      </c>
      <c r="AN26" s="787">
        <f t="shared" si="2"/>
        <v>2525.6759999999995</v>
      </c>
      <c r="AO26" s="787">
        <f t="shared" si="3"/>
        <v>2377.29</v>
      </c>
      <c r="AP26" s="787">
        <f t="shared" si="4"/>
        <v>969.86400000000003</v>
      </c>
      <c r="AQ26" s="787">
        <f t="shared" si="22"/>
        <v>7258.7430000000004</v>
      </c>
      <c r="AR26" s="788">
        <f t="shared" si="23"/>
        <v>25142.817000000003</v>
      </c>
      <c r="AS26" s="395"/>
      <c r="AT26" s="509">
        <v>-3507.54</v>
      </c>
      <c r="AU26" s="277">
        <v>-29.95</v>
      </c>
      <c r="AV26" s="277">
        <v>-886.774</v>
      </c>
      <c r="AW26" s="277">
        <v>-499.005</v>
      </c>
      <c r="AX26" s="277">
        <v>-231.649</v>
      </c>
      <c r="AY26" s="787">
        <f t="shared" si="24"/>
        <v>-1647.3780000000002</v>
      </c>
      <c r="AZ26" s="788">
        <f t="shared" si="25"/>
        <v>-5154.9179999999997</v>
      </c>
      <c r="BA26" s="509">
        <v>-42.16</v>
      </c>
      <c r="BB26" s="277">
        <v>28.391999999999999</v>
      </c>
      <c r="BC26" s="277">
        <v>-236.50700000000001</v>
      </c>
      <c r="BD26" s="277">
        <v>-77.662999999999997</v>
      </c>
      <c r="BE26" s="277"/>
      <c r="BF26" s="787">
        <f t="shared" si="26"/>
        <v>-285.77800000000002</v>
      </c>
      <c r="BG26" s="788">
        <f t="shared" si="27"/>
        <v>-327.93799999999999</v>
      </c>
      <c r="BH26" s="509">
        <v>-452.51900000000001</v>
      </c>
      <c r="BI26" s="277">
        <v>-71.900000000000006</v>
      </c>
      <c r="BJ26" s="277">
        <v>-344.35199999999998</v>
      </c>
      <c r="BK26" s="277">
        <v>-27.276</v>
      </c>
      <c r="BL26" s="277"/>
      <c r="BM26" s="787">
        <f t="shared" si="28"/>
        <v>-443.52799999999996</v>
      </c>
      <c r="BN26" s="788">
        <f t="shared" si="29"/>
        <v>-896.04700000000003</v>
      </c>
      <c r="BO26" s="509">
        <v>-641.52200000000005</v>
      </c>
      <c r="BP26" s="277">
        <v>-52.656999999999996</v>
      </c>
      <c r="BQ26" s="277">
        <v>-215.38300000000001</v>
      </c>
      <c r="BR26" s="277">
        <v>-237.685</v>
      </c>
      <c r="BS26" s="277"/>
      <c r="BT26" s="787">
        <f t="shared" si="30"/>
        <v>-505.72500000000002</v>
      </c>
      <c r="BU26" s="788">
        <f t="shared" si="31"/>
        <v>-1147.2470000000001</v>
      </c>
      <c r="BV26" s="509">
        <v>-55.991999999999997</v>
      </c>
      <c r="BW26" s="277"/>
      <c r="BX26" s="277"/>
      <c r="BY26" s="277"/>
      <c r="BZ26" s="277"/>
      <c r="CA26" s="787">
        <f t="shared" si="32"/>
        <v>0</v>
      </c>
      <c r="CB26" s="788">
        <f t="shared" si="33"/>
        <v>-55.991999999999997</v>
      </c>
      <c r="CC26" s="789">
        <f t="shared" si="5"/>
        <v>-2315.3469999999998</v>
      </c>
      <c r="CD26" s="787">
        <f t="shared" si="6"/>
        <v>66.215000000000003</v>
      </c>
      <c r="CE26" s="787">
        <f t="shared" si="7"/>
        <v>-90.532000000000039</v>
      </c>
      <c r="CF26" s="787">
        <f t="shared" si="8"/>
        <v>-156.38099999999997</v>
      </c>
      <c r="CG26" s="787">
        <f t="shared" si="9"/>
        <v>-231.649</v>
      </c>
      <c r="CH26" s="787">
        <f t="shared" si="34"/>
        <v>-412.34699999999998</v>
      </c>
      <c r="CI26" s="788">
        <f t="shared" si="35"/>
        <v>-2727.6939999999995</v>
      </c>
    </row>
    <row r="27" spans="1:87">
      <c r="A27" s="265">
        <f t="shared" si="10"/>
        <v>2009</v>
      </c>
      <c r="B27" s="263">
        <f t="shared" si="11"/>
        <v>39903</v>
      </c>
      <c r="C27" s="509">
        <v>26183.385999999999</v>
      </c>
      <c r="D27" s="277">
        <v>3078.1680000000001</v>
      </c>
      <c r="E27" s="277">
        <v>3790.0540000000001</v>
      </c>
      <c r="F27" s="277">
        <v>2890.038</v>
      </c>
      <c r="G27" s="277">
        <v>775.00699999999995</v>
      </c>
      <c r="H27" s="787">
        <f t="shared" si="12"/>
        <v>10533.267</v>
      </c>
      <c r="I27" s="788">
        <f t="shared" si="13"/>
        <v>36716.652999999998</v>
      </c>
      <c r="J27" s="509">
        <v>2890.2440000000001</v>
      </c>
      <c r="K27" s="277">
        <v>1143.211</v>
      </c>
      <c r="L27" s="277">
        <v>586.39300000000003</v>
      </c>
      <c r="M27" s="277">
        <v>214.14400000000001</v>
      </c>
      <c r="N27" s="277"/>
      <c r="O27" s="787">
        <f t="shared" si="14"/>
        <v>1943.748</v>
      </c>
      <c r="P27" s="788">
        <f t="shared" si="15"/>
        <v>4833.9920000000002</v>
      </c>
      <c r="Q27" s="509">
        <v>2975.1129999999998</v>
      </c>
      <c r="R27" s="277">
        <v>388.11500000000001</v>
      </c>
      <c r="S27" s="277">
        <v>782.51</v>
      </c>
      <c r="T27" s="277">
        <v>86.353999999999999</v>
      </c>
      <c r="U27" s="277"/>
      <c r="V27" s="787">
        <f t="shared" si="16"/>
        <v>1256.979</v>
      </c>
      <c r="W27" s="788">
        <f t="shared" si="17"/>
        <v>4232.0919999999996</v>
      </c>
      <c r="X27" s="509">
        <v>2436.9189999999999</v>
      </c>
      <c r="Y27" s="277">
        <v>119.249</v>
      </c>
      <c r="Z27" s="277">
        <v>511.80700000000002</v>
      </c>
      <c r="AA27" s="277">
        <v>625.59900000000005</v>
      </c>
      <c r="AB27" s="277"/>
      <c r="AC27" s="787">
        <f t="shared" si="18"/>
        <v>1256.6550000000002</v>
      </c>
      <c r="AD27" s="788">
        <f t="shared" si="19"/>
        <v>3693.5740000000001</v>
      </c>
      <c r="AE27" s="509">
        <v>2356.5729999999999</v>
      </c>
      <c r="AF27" s="277"/>
      <c r="AG27" s="277"/>
      <c r="AH27" s="277"/>
      <c r="AI27" s="277"/>
      <c r="AJ27" s="787">
        <f t="shared" si="20"/>
        <v>0</v>
      </c>
      <c r="AK27" s="788">
        <f t="shared" si="21"/>
        <v>2356.5729999999999</v>
      </c>
      <c r="AL27" s="789">
        <f t="shared" si="0"/>
        <v>15524.536999999998</v>
      </c>
      <c r="AM27" s="787">
        <f t="shared" si="1"/>
        <v>1427.5930000000001</v>
      </c>
      <c r="AN27" s="787">
        <f t="shared" si="2"/>
        <v>1909.3440000000001</v>
      </c>
      <c r="AO27" s="787">
        <f t="shared" si="3"/>
        <v>1963.941</v>
      </c>
      <c r="AP27" s="787">
        <f t="shared" si="4"/>
        <v>775.00699999999995</v>
      </c>
      <c r="AQ27" s="787">
        <f t="shared" si="22"/>
        <v>6075.8849999999993</v>
      </c>
      <c r="AR27" s="788">
        <f t="shared" si="23"/>
        <v>21600.421999999999</v>
      </c>
      <c r="AS27" s="395"/>
      <c r="AT27" s="509">
        <v>-1516.1279999999999</v>
      </c>
      <c r="AU27" s="277">
        <v>136.65</v>
      </c>
      <c r="AV27" s="277">
        <v>-446.95800000000003</v>
      </c>
      <c r="AW27" s="277">
        <v>-63.963999999999999</v>
      </c>
      <c r="AX27" s="277">
        <v>45.643000000000001</v>
      </c>
      <c r="AY27" s="787">
        <f t="shared" si="24"/>
        <v>-328.62900000000002</v>
      </c>
      <c r="AZ27" s="788">
        <f t="shared" si="25"/>
        <v>-1844.7570000000001</v>
      </c>
      <c r="BA27" s="509">
        <v>-305.67399999999998</v>
      </c>
      <c r="BB27" s="277">
        <v>70.891999999999996</v>
      </c>
      <c r="BC27" s="277">
        <v>-112.44</v>
      </c>
      <c r="BD27" s="277">
        <v>-18.439</v>
      </c>
      <c r="BE27" s="277"/>
      <c r="BF27" s="787">
        <f t="shared" si="26"/>
        <v>-59.987000000000002</v>
      </c>
      <c r="BG27" s="788">
        <f t="shared" si="27"/>
        <v>-365.661</v>
      </c>
      <c r="BH27" s="509">
        <v>-167.91800000000001</v>
      </c>
      <c r="BI27" s="277">
        <v>-67.433000000000007</v>
      </c>
      <c r="BJ27" s="277">
        <v>-264.89400000000001</v>
      </c>
      <c r="BK27" s="277">
        <v>-15.446</v>
      </c>
      <c r="BL27" s="277"/>
      <c r="BM27" s="787">
        <f t="shared" si="28"/>
        <v>-347.77300000000002</v>
      </c>
      <c r="BN27" s="788">
        <f t="shared" si="29"/>
        <v>-515.69100000000003</v>
      </c>
      <c r="BO27" s="509">
        <v>-258.96899999999999</v>
      </c>
      <c r="BP27" s="277">
        <v>-22.782</v>
      </c>
      <c r="BQ27" s="277">
        <v>-35.085000000000001</v>
      </c>
      <c r="BR27" s="277">
        <v>-63.61</v>
      </c>
      <c r="BS27" s="277"/>
      <c r="BT27" s="787">
        <f t="shared" si="30"/>
        <v>-121.477</v>
      </c>
      <c r="BU27" s="788">
        <f t="shared" si="31"/>
        <v>-380.44600000000003</v>
      </c>
      <c r="BV27" s="509">
        <v>-90.959000000000003</v>
      </c>
      <c r="BW27" s="277"/>
      <c r="BX27" s="277"/>
      <c r="BY27" s="277"/>
      <c r="BZ27" s="277"/>
      <c r="CA27" s="787">
        <f t="shared" si="32"/>
        <v>0</v>
      </c>
      <c r="CB27" s="788">
        <f t="shared" si="33"/>
        <v>-90.959000000000003</v>
      </c>
      <c r="CC27" s="789">
        <f t="shared" si="5"/>
        <v>-692.60799999999995</v>
      </c>
      <c r="CD27" s="787">
        <f t="shared" si="6"/>
        <v>155.97300000000001</v>
      </c>
      <c r="CE27" s="787">
        <f t="shared" si="7"/>
        <v>-34.539000000000044</v>
      </c>
      <c r="CF27" s="787">
        <f t="shared" si="8"/>
        <v>33.531000000000006</v>
      </c>
      <c r="CG27" s="787">
        <f t="shared" si="9"/>
        <v>45.643000000000001</v>
      </c>
      <c r="CH27" s="787">
        <f t="shared" si="34"/>
        <v>200.60799999999998</v>
      </c>
      <c r="CI27" s="788">
        <f t="shared" si="35"/>
        <v>-492</v>
      </c>
    </row>
    <row r="28" spans="1:87">
      <c r="A28" s="265">
        <f t="shared" si="10"/>
        <v>2009</v>
      </c>
      <c r="B28" s="263">
        <f t="shared" si="11"/>
        <v>39994</v>
      </c>
      <c r="C28" s="509">
        <v>27369.440999999999</v>
      </c>
      <c r="D28" s="277">
        <v>2583.6689999999999</v>
      </c>
      <c r="E28" s="277">
        <v>4858.5039999999999</v>
      </c>
      <c r="F28" s="277">
        <v>2699.2530000000002</v>
      </c>
      <c r="G28" s="277">
        <v>699.45399999999995</v>
      </c>
      <c r="H28" s="787">
        <f t="shared" si="12"/>
        <v>10840.88</v>
      </c>
      <c r="I28" s="788">
        <f t="shared" si="13"/>
        <v>38210.320999999996</v>
      </c>
      <c r="J28" s="509">
        <v>3001.6439999999998</v>
      </c>
      <c r="K28" s="277">
        <v>898.43499999999995</v>
      </c>
      <c r="L28" s="277">
        <v>781.54399999999998</v>
      </c>
      <c r="M28" s="277">
        <v>203.66</v>
      </c>
      <c r="N28" s="277"/>
      <c r="O28" s="787">
        <f t="shared" si="14"/>
        <v>1883.6389999999999</v>
      </c>
      <c r="P28" s="788">
        <f t="shared" si="15"/>
        <v>4885.2829999999994</v>
      </c>
      <c r="Q28" s="509">
        <v>3081.085</v>
      </c>
      <c r="R28" s="277">
        <v>337.73099999999999</v>
      </c>
      <c r="S28" s="277">
        <v>1054.3240000000001</v>
      </c>
      <c r="T28" s="277">
        <v>87.176000000000002</v>
      </c>
      <c r="U28" s="277"/>
      <c r="V28" s="787">
        <f t="shared" si="16"/>
        <v>1479.231</v>
      </c>
      <c r="W28" s="788">
        <f t="shared" si="17"/>
        <v>4560.3159999999998</v>
      </c>
      <c r="X28" s="509">
        <v>2691.8209999999999</v>
      </c>
      <c r="Y28" s="277">
        <v>83.584000000000003</v>
      </c>
      <c r="Z28" s="277">
        <v>641.1</v>
      </c>
      <c r="AA28" s="277">
        <v>603.54700000000003</v>
      </c>
      <c r="AB28" s="277"/>
      <c r="AC28" s="787">
        <f t="shared" si="18"/>
        <v>1328.231</v>
      </c>
      <c r="AD28" s="788">
        <f t="shared" si="19"/>
        <v>4020.0519999999997</v>
      </c>
      <c r="AE28" s="509">
        <v>2615.9639999999999</v>
      </c>
      <c r="AF28" s="277"/>
      <c r="AG28" s="277"/>
      <c r="AH28" s="277"/>
      <c r="AI28" s="277"/>
      <c r="AJ28" s="787">
        <f t="shared" si="20"/>
        <v>0</v>
      </c>
      <c r="AK28" s="788">
        <f t="shared" si="21"/>
        <v>2615.9639999999999</v>
      </c>
      <c r="AL28" s="789">
        <f t="shared" si="0"/>
        <v>15978.927</v>
      </c>
      <c r="AM28" s="787">
        <f t="shared" si="1"/>
        <v>1263.9189999999999</v>
      </c>
      <c r="AN28" s="787">
        <f t="shared" si="2"/>
        <v>2381.5360000000001</v>
      </c>
      <c r="AO28" s="787">
        <f t="shared" si="3"/>
        <v>1804.8700000000001</v>
      </c>
      <c r="AP28" s="787">
        <f t="shared" si="4"/>
        <v>699.45399999999995</v>
      </c>
      <c r="AQ28" s="787">
        <f t="shared" si="22"/>
        <v>6149.7789999999995</v>
      </c>
      <c r="AR28" s="788">
        <f t="shared" si="23"/>
        <v>22128.705999999998</v>
      </c>
      <c r="AS28" s="395"/>
      <c r="AT28" s="509">
        <v>-344.471</v>
      </c>
      <c r="AU28" s="277">
        <v>-11.263999999999999</v>
      </c>
      <c r="AV28" s="277">
        <v>-164.482</v>
      </c>
      <c r="AW28" s="277">
        <v>-114.056</v>
      </c>
      <c r="AX28" s="277">
        <v>5.6120000000000001</v>
      </c>
      <c r="AY28" s="787">
        <f t="shared" si="24"/>
        <v>-284.19</v>
      </c>
      <c r="AZ28" s="788">
        <f t="shared" si="25"/>
        <v>-628.66100000000006</v>
      </c>
      <c r="BA28" s="509">
        <v>-240.523</v>
      </c>
      <c r="BB28" s="277">
        <v>-57.646999999999998</v>
      </c>
      <c r="BC28" s="277">
        <v>-64.353999999999999</v>
      </c>
      <c r="BD28" s="277">
        <v>-27.311</v>
      </c>
      <c r="BE28" s="277"/>
      <c r="BF28" s="787">
        <f t="shared" si="26"/>
        <v>-149.31200000000001</v>
      </c>
      <c r="BG28" s="788">
        <f t="shared" si="27"/>
        <v>-389.83500000000004</v>
      </c>
      <c r="BH28" s="509">
        <v>-22.805</v>
      </c>
      <c r="BI28" s="277">
        <v>-43.088000000000001</v>
      </c>
      <c r="BJ28" s="277">
        <v>-180.83699999999999</v>
      </c>
      <c r="BK28" s="277">
        <v>-17.614000000000001</v>
      </c>
      <c r="BL28" s="277"/>
      <c r="BM28" s="787">
        <f t="shared" si="28"/>
        <v>-241.53899999999999</v>
      </c>
      <c r="BN28" s="788">
        <f t="shared" si="29"/>
        <v>-264.34399999999999</v>
      </c>
      <c r="BO28" s="509">
        <v>48.008000000000003</v>
      </c>
      <c r="BP28" s="277">
        <v>-24.295999999999999</v>
      </c>
      <c r="BQ28" s="277">
        <v>58.881</v>
      </c>
      <c r="BR28" s="277">
        <v>-51.811</v>
      </c>
      <c r="BS28" s="277"/>
      <c r="BT28" s="787">
        <f t="shared" si="30"/>
        <v>-17.225999999999999</v>
      </c>
      <c r="BU28" s="788">
        <f t="shared" si="31"/>
        <v>30.782000000000004</v>
      </c>
      <c r="BV28" s="509">
        <v>90.72</v>
      </c>
      <c r="BW28" s="277"/>
      <c r="BX28" s="277"/>
      <c r="BY28" s="277"/>
      <c r="BZ28" s="277"/>
      <c r="CA28" s="787">
        <f t="shared" si="32"/>
        <v>0</v>
      </c>
      <c r="CB28" s="788">
        <f t="shared" si="33"/>
        <v>90.72</v>
      </c>
      <c r="CC28" s="789">
        <f t="shared" si="5"/>
        <v>-219.87100000000004</v>
      </c>
      <c r="CD28" s="787">
        <f t="shared" si="6"/>
        <v>113.76700000000001</v>
      </c>
      <c r="CE28" s="787">
        <f t="shared" si="7"/>
        <v>21.827999999999975</v>
      </c>
      <c r="CF28" s="787">
        <f t="shared" si="8"/>
        <v>-17.320000000000007</v>
      </c>
      <c r="CG28" s="787">
        <f t="shared" si="9"/>
        <v>5.6120000000000001</v>
      </c>
      <c r="CH28" s="787">
        <f t="shared" si="34"/>
        <v>123.88699999999996</v>
      </c>
      <c r="CI28" s="788">
        <f t="shared" si="35"/>
        <v>-95.98400000000008</v>
      </c>
    </row>
    <row r="29" spans="1:87">
      <c r="A29" s="265">
        <f t="shared" si="10"/>
        <v>2009</v>
      </c>
      <c r="B29" s="263">
        <f t="shared" si="11"/>
        <v>40086</v>
      </c>
      <c r="C29" s="509">
        <v>28216.303</v>
      </c>
      <c r="D29" s="277">
        <v>2677.6619999999998</v>
      </c>
      <c r="E29" s="277">
        <v>5531.0029999999997</v>
      </c>
      <c r="F29" s="277">
        <v>3091.3130000000001</v>
      </c>
      <c r="G29" s="277">
        <v>761.00900000000001</v>
      </c>
      <c r="H29" s="787">
        <f t="shared" si="12"/>
        <v>12060.986999999999</v>
      </c>
      <c r="I29" s="788">
        <f t="shared" si="13"/>
        <v>40277.29</v>
      </c>
      <c r="J29" s="509">
        <v>3047.2060000000001</v>
      </c>
      <c r="K29" s="277">
        <v>992.78499999999997</v>
      </c>
      <c r="L29" s="277">
        <v>867.04300000000001</v>
      </c>
      <c r="M29" s="277">
        <v>215.119</v>
      </c>
      <c r="N29" s="277"/>
      <c r="O29" s="787">
        <f t="shared" si="14"/>
        <v>2074.9470000000001</v>
      </c>
      <c r="P29" s="788">
        <f t="shared" si="15"/>
        <v>5122.1530000000002</v>
      </c>
      <c r="Q29" s="509">
        <v>3059.1950000000002</v>
      </c>
      <c r="R29" s="277">
        <v>357.483</v>
      </c>
      <c r="S29" s="277">
        <v>1246.0920000000001</v>
      </c>
      <c r="T29" s="277">
        <v>132.89599999999999</v>
      </c>
      <c r="U29" s="277"/>
      <c r="V29" s="787">
        <f t="shared" si="16"/>
        <v>1736.471</v>
      </c>
      <c r="W29" s="788">
        <f t="shared" si="17"/>
        <v>4795.6660000000002</v>
      </c>
      <c r="X29" s="509">
        <v>2947.43</v>
      </c>
      <c r="Y29" s="277">
        <v>85.677000000000007</v>
      </c>
      <c r="Z29" s="277">
        <v>707.45299999999997</v>
      </c>
      <c r="AA29" s="277">
        <v>694.60400000000004</v>
      </c>
      <c r="AB29" s="277"/>
      <c r="AC29" s="787">
        <f t="shared" si="18"/>
        <v>1487.7339999999999</v>
      </c>
      <c r="AD29" s="788">
        <f t="shared" si="19"/>
        <v>4435.1639999999998</v>
      </c>
      <c r="AE29" s="509">
        <v>2665.5839999999998</v>
      </c>
      <c r="AF29" s="277"/>
      <c r="AG29" s="277"/>
      <c r="AH29" s="277"/>
      <c r="AI29" s="277"/>
      <c r="AJ29" s="787">
        <f t="shared" si="20"/>
        <v>0</v>
      </c>
      <c r="AK29" s="788">
        <f t="shared" si="21"/>
        <v>2665.5839999999998</v>
      </c>
      <c r="AL29" s="789">
        <f t="shared" si="0"/>
        <v>16496.887999999999</v>
      </c>
      <c r="AM29" s="787">
        <f t="shared" si="1"/>
        <v>1241.7169999999999</v>
      </c>
      <c r="AN29" s="787">
        <f t="shared" si="2"/>
        <v>2710.4149999999995</v>
      </c>
      <c r="AO29" s="787">
        <f t="shared" si="3"/>
        <v>2048.694</v>
      </c>
      <c r="AP29" s="787">
        <f t="shared" si="4"/>
        <v>761.00900000000001</v>
      </c>
      <c r="AQ29" s="787">
        <f t="shared" si="22"/>
        <v>6761.8349999999991</v>
      </c>
      <c r="AR29" s="788">
        <f t="shared" si="23"/>
        <v>23258.722999999998</v>
      </c>
      <c r="AS29" s="395"/>
      <c r="AT29" s="509">
        <v>-144.22999999999999</v>
      </c>
      <c r="AU29" s="277">
        <v>86.376000000000005</v>
      </c>
      <c r="AV29" s="277">
        <v>-3.069</v>
      </c>
      <c r="AW29" s="277">
        <v>-58.753</v>
      </c>
      <c r="AX29" s="277">
        <v>17.452000000000002</v>
      </c>
      <c r="AY29" s="787">
        <f t="shared" si="24"/>
        <v>42.006</v>
      </c>
      <c r="AZ29" s="788">
        <f t="shared" si="25"/>
        <v>-102.22399999999999</v>
      </c>
      <c r="BA29" s="509">
        <v>-317.411</v>
      </c>
      <c r="BB29" s="277">
        <v>2.6629999999999998</v>
      </c>
      <c r="BC29" s="277">
        <v>-36.279000000000003</v>
      </c>
      <c r="BD29" s="277">
        <v>-25.783000000000001</v>
      </c>
      <c r="BE29" s="277"/>
      <c r="BF29" s="787">
        <f t="shared" si="26"/>
        <v>-59.399000000000008</v>
      </c>
      <c r="BG29" s="788">
        <f t="shared" si="27"/>
        <v>-376.81</v>
      </c>
      <c r="BH29" s="509">
        <v>67.25</v>
      </c>
      <c r="BI29" s="277">
        <v>-19.402999999999999</v>
      </c>
      <c r="BJ29" s="277">
        <v>-115.491</v>
      </c>
      <c r="BK29" s="277">
        <v>-19.715</v>
      </c>
      <c r="BL29" s="277"/>
      <c r="BM29" s="787">
        <f t="shared" si="28"/>
        <v>-154.60900000000001</v>
      </c>
      <c r="BN29" s="788">
        <f t="shared" si="29"/>
        <v>-87.359000000000009</v>
      </c>
      <c r="BO29" s="509">
        <v>4.5190000000000001</v>
      </c>
      <c r="BP29" s="277">
        <v>-16.965</v>
      </c>
      <c r="BQ29" s="277">
        <v>10.295999999999999</v>
      </c>
      <c r="BR29" s="277">
        <v>-52.192</v>
      </c>
      <c r="BS29" s="277"/>
      <c r="BT29" s="787">
        <f t="shared" si="30"/>
        <v>-58.861000000000004</v>
      </c>
      <c r="BU29" s="788">
        <f t="shared" si="31"/>
        <v>-54.342000000000006</v>
      </c>
      <c r="BV29" s="509">
        <v>-16.178999999999998</v>
      </c>
      <c r="BW29" s="277"/>
      <c r="BX29" s="277"/>
      <c r="BY29" s="277"/>
      <c r="BZ29" s="277"/>
      <c r="CA29" s="787">
        <f t="shared" si="32"/>
        <v>0</v>
      </c>
      <c r="CB29" s="788">
        <f t="shared" si="33"/>
        <v>-16.178999999999998</v>
      </c>
      <c r="CC29" s="789">
        <f t="shared" si="5"/>
        <v>117.59099999999998</v>
      </c>
      <c r="CD29" s="787">
        <f t="shared" si="6"/>
        <v>120.081</v>
      </c>
      <c r="CE29" s="787">
        <f t="shared" si="7"/>
        <v>138.40500000000003</v>
      </c>
      <c r="CF29" s="787">
        <f t="shared" si="8"/>
        <v>38.936999999999998</v>
      </c>
      <c r="CG29" s="787">
        <f t="shared" si="9"/>
        <v>17.452000000000002</v>
      </c>
      <c r="CH29" s="787">
        <f t="shared" si="34"/>
        <v>314.87500000000006</v>
      </c>
      <c r="CI29" s="788">
        <f t="shared" si="35"/>
        <v>432.46600000000001</v>
      </c>
    </row>
    <row r="30" spans="1:87">
      <c r="A30" s="265">
        <f t="shared" si="10"/>
        <v>2009</v>
      </c>
      <c r="B30" s="263">
        <f t="shared" si="11"/>
        <v>40178</v>
      </c>
      <c r="C30" s="509">
        <v>27911.886999999999</v>
      </c>
      <c r="D30" s="277">
        <v>2981.6149999999998</v>
      </c>
      <c r="E30" s="277">
        <v>4702.3999999999996</v>
      </c>
      <c r="F30" s="277">
        <v>3233.7820000000002</v>
      </c>
      <c r="G30" s="277">
        <v>1017.249</v>
      </c>
      <c r="H30" s="787">
        <f t="shared" si="12"/>
        <v>11935.045999999998</v>
      </c>
      <c r="I30" s="788">
        <f t="shared" si="13"/>
        <v>39846.932999999997</v>
      </c>
      <c r="J30" s="509">
        <v>3016.5360000000001</v>
      </c>
      <c r="K30" s="277">
        <v>1079.5250000000001</v>
      </c>
      <c r="L30" s="277">
        <v>737.76700000000005</v>
      </c>
      <c r="M30" s="277">
        <v>222.989</v>
      </c>
      <c r="N30" s="277"/>
      <c r="O30" s="787">
        <f t="shared" si="14"/>
        <v>2040.2810000000002</v>
      </c>
      <c r="P30" s="788">
        <f t="shared" si="15"/>
        <v>5056.817</v>
      </c>
      <c r="Q30" s="509">
        <v>2956.7750000000001</v>
      </c>
      <c r="R30" s="277">
        <v>351.13299999999998</v>
      </c>
      <c r="S30" s="277">
        <v>971.55499999999995</v>
      </c>
      <c r="T30" s="277">
        <v>179.04300000000001</v>
      </c>
      <c r="U30" s="277"/>
      <c r="V30" s="787">
        <f t="shared" si="16"/>
        <v>1501.7309999999998</v>
      </c>
      <c r="W30" s="788">
        <f t="shared" si="17"/>
        <v>4458.5059999999994</v>
      </c>
      <c r="X30" s="509">
        <v>2711.9569999999999</v>
      </c>
      <c r="Y30" s="277">
        <v>108.13</v>
      </c>
      <c r="Z30" s="277">
        <v>684.98299999999995</v>
      </c>
      <c r="AA30" s="277">
        <v>705.37800000000004</v>
      </c>
      <c r="AB30" s="277"/>
      <c r="AC30" s="787">
        <f t="shared" si="18"/>
        <v>1498.491</v>
      </c>
      <c r="AD30" s="788">
        <f t="shared" si="19"/>
        <v>4210.4480000000003</v>
      </c>
      <c r="AE30" s="509">
        <v>2712.2170000000001</v>
      </c>
      <c r="AF30" s="277"/>
      <c r="AG30" s="277"/>
      <c r="AH30" s="277"/>
      <c r="AI30" s="277"/>
      <c r="AJ30" s="787">
        <f t="shared" si="20"/>
        <v>0</v>
      </c>
      <c r="AK30" s="788">
        <f t="shared" si="21"/>
        <v>2712.2170000000001</v>
      </c>
      <c r="AL30" s="789">
        <f t="shared" si="0"/>
        <v>16514.401999999998</v>
      </c>
      <c r="AM30" s="787">
        <f t="shared" si="1"/>
        <v>1442.8269999999998</v>
      </c>
      <c r="AN30" s="787">
        <f t="shared" si="2"/>
        <v>2308.0949999999993</v>
      </c>
      <c r="AO30" s="787">
        <f t="shared" si="3"/>
        <v>2126.3720000000003</v>
      </c>
      <c r="AP30" s="787">
        <f t="shared" si="4"/>
        <v>1017.249</v>
      </c>
      <c r="AQ30" s="787">
        <f t="shared" si="22"/>
        <v>6894.5429999999997</v>
      </c>
      <c r="AR30" s="788">
        <f t="shared" si="23"/>
        <v>23408.945</v>
      </c>
      <c r="AS30" s="395"/>
      <c r="AT30" s="509">
        <v>-247.244</v>
      </c>
      <c r="AU30" s="277">
        <v>192.905</v>
      </c>
      <c r="AV30" s="277">
        <v>-20.067</v>
      </c>
      <c r="AW30" s="277">
        <v>23.138000000000002</v>
      </c>
      <c r="AX30" s="277">
        <v>100.634</v>
      </c>
      <c r="AY30" s="787">
        <f t="shared" si="24"/>
        <v>296.61</v>
      </c>
      <c r="AZ30" s="788">
        <f t="shared" si="25"/>
        <v>49.366000000000014</v>
      </c>
      <c r="BA30" s="509">
        <v>-303.41899999999998</v>
      </c>
      <c r="BB30" s="277">
        <v>41.183</v>
      </c>
      <c r="BC30" s="277">
        <v>-56.212000000000003</v>
      </c>
      <c r="BD30" s="277">
        <v>-25.027000000000001</v>
      </c>
      <c r="BE30" s="277"/>
      <c r="BF30" s="787">
        <f t="shared" si="26"/>
        <v>-40.056000000000004</v>
      </c>
      <c r="BG30" s="788">
        <f t="shared" si="27"/>
        <v>-343.47499999999997</v>
      </c>
      <c r="BH30" s="509">
        <v>74.225999999999999</v>
      </c>
      <c r="BI30" s="277">
        <v>-25.576000000000001</v>
      </c>
      <c r="BJ30" s="277">
        <v>-103.389</v>
      </c>
      <c r="BK30" s="277">
        <v>6.9359999999999999</v>
      </c>
      <c r="BL30" s="277"/>
      <c r="BM30" s="787">
        <f t="shared" si="28"/>
        <v>-122.029</v>
      </c>
      <c r="BN30" s="788">
        <f t="shared" si="29"/>
        <v>-47.802999999999997</v>
      </c>
      <c r="BO30" s="509">
        <v>-222.76599999999999</v>
      </c>
      <c r="BP30" s="277">
        <v>-9.1950000000000003</v>
      </c>
      <c r="BQ30" s="277">
        <v>36.274000000000001</v>
      </c>
      <c r="BR30" s="277">
        <v>-28.425999999999998</v>
      </c>
      <c r="BS30" s="277"/>
      <c r="BT30" s="787">
        <f t="shared" si="30"/>
        <v>-1.3469999999999978</v>
      </c>
      <c r="BU30" s="788">
        <f t="shared" si="31"/>
        <v>-224.113</v>
      </c>
      <c r="BV30" s="509">
        <v>115.79</v>
      </c>
      <c r="BW30" s="277"/>
      <c r="BX30" s="277"/>
      <c r="BY30" s="277"/>
      <c r="BZ30" s="277"/>
      <c r="CA30" s="787">
        <f t="shared" si="32"/>
        <v>0</v>
      </c>
      <c r="CB30" s="788">
        <f t="shared" si="33"/>
        <v>115.79</v>
      </c>
      <c r="CC30" s="789">
        <f t="shared" si="5"/>
        <v>88.924999999999926</v>
      </c>
      <c r="CD30" s="787">
        <f t="shared" si="6"/>
        <v>186.49299999999999</v>
      </c>
      <c r="CE30" s="787">
        <f t="shared" si="7"/>
        <v>103.25999999999999</v>
      </c>
      <c r="CF30" s="787">
        <f t="shared" si="8"/>
        <v>69.655000000000001</v>
      </c>
      <c r="CG30" s="787">
        <f t="shared" si="9"/>
        <v>100.634</v>
      </c>
      <c r="CH30" s="787">
        <f t="shared" si="34"/>
        <v>460.04200000000003</v>
      </c>
      <c r="CI30" s="788">
        <f t="shared" si="35"/>
        <v>548.96699999999998</v>
      </c>
    </row>
    <row r="31" spans="1:87">
      <c r="A31" s="265">
        <f t="shared" si="10"/>
        <v>2010</v>
      </c>
      <c r="B31" s="263">
        <f t="shared" si="11"/>
        <v>40268</v>
      </c>
      <c r="C31" s="509">
        <v>27244.17</v>
      </c>
      <c r="D31" s="277">
        <v>3414.402</v>
      </c>
      <c r="E31" s="277">
        <v>4337.3370000000004</v>
      </c>
      <c r="F31" s="277">
        <v>3342.4580000000001</v>
      </c>
      <c r="G31" s="277">
        <v>1022.077</v>
      </c>
      <c r="H31" s="787">
        <f t="shared" si="12"/>
        <v>12116.273999999999</v>
      </c>
      <c r="I31" s="788">
        <f t="shared" si="13"/>
        <v>39360.443999999996</v>
      </c>
      <c r="J31" s="509">
        <v>3038.5010000000002</v>
      </c>
      <c r="K31" s="277">
        <v>1158.154</v>
      </c>
      <c r="L31" s="277">
        <v>645.02200000000005</v>
      </c>
      <c r="M31" s="277">
        <v>221.303</v>
      </c>
      <c r="N31" s="277"/>
      <c r="O31" s="787">
        <f t="shared" si="14"/>
        <v>2024.4789999999998</v>
      </c>
      <c r="P31" s="788">
        <f t="shared" si="15"/>
        <v>5062.9799999999996</v>
      </c>
      <c r="Q31" s="509">
        <v>4642.1719999999996</v>
      </c>
      <c r="R31" s="277">
        <v>472.88099999999997</v>
      </c>
      <c r="S31" s="277">
        <v>1067.547</v>
      </c>
      <c r="T31" s="277">
        <v>696.60699999999997</v>
      </c>
      <c r="U31" s="277"/>
      <c r="V31" s="787">
        <f t="shared" si="16"/>
        <v>2237.0349999999999</v>
      </c>
      <c r="W31" s="788">
        <f t="shared" si="17"/>
        <v>6879.2069999999994</v>
      </c>
      <c r="X31" s="509">
        <v>2736.886</v>
      </c>
      <c r="Y31" s="277">
        <v>132.529</v>
      </c>
      <c r="Z31" s="277">
        <v>629.65099999999995</v>
      </c>
      <c r="AA31" s="277">
        <v>743.94</v>
      </c>
      <c r="AB31" s="277"/>
      <c r="AC31" s="787">
        <f t="shared" si="18"/>
        <v>1506.12</v>
      </c>
      <c r="AD31" s="788">
        <f t="shared" si="19"/>
        <v>4243.0059999999994</v>
      </c>
      <c r="AE31" s="509">
        <v>2630.038</v>
      </c>
      <c r="AF31" s="277"/>
      <c r="AG31" s="277"/>
      <c r="AH31" s="277"/>
      <c r="AI31" s="277"/>
      <c r="AJ31" s="787">
        <f t="shared" si="20"/>
        <v>0</v>
      </c>
      <c r="AK31" s="788">
        <f t="shared" si="21"/>
        <v>2630.038</v>
      </c>
      <c r="AL31" s="789">
        <f t="shared" si="0"/>
        <v>14196.572999999999</v>
      </c>
      <c r="AM31" s="787">
        <f t="shared" si="1"/>
        <v>1650.8380000000002</v>
      </c>
      <c r="AN31" s="787">
        <f t="shared" si="2"/>
        <v>1995.1170000000006</v>
      </c>
      <c r="AO31" s="787">
        <f t="shared" si="3"/>
        <v>1680.6080000000002</v>
      </c>
      <c r="AP31" s="787">
        <f t="shared" si="4"/>
        <v>1022.077</v>
      </c>
      <c r="AQ31" s="787">
        <f t="shared" si="22"/>
        <v>6348.6400000000012</v>
      </c>
      <c r="AR31" s="788">
        <f t="shared" si="23"/>
        <v>20545.213</v>
      </c>
      <c r="AS31" s="395"/>
      <c r="AT31" s="509">
        <v>-704.12099999999998</v>
      </c>
      <c r="AU31" s="277">
        <v>40.957999999999998</v>
      </c>
      <c r="AV31" s="277">
        <v>-146.18199999999999</v>
      </c>
      <c r="AW31" s="277">
        <v>107.467</v>
      </c>
      <c r="AX31" s="277">
        <v>86.152000000000001</v>
      </c>
      <c r="AY31" s="787">
        <f t="shared" si="24"/>
        <v>88.39500000000001</v>
      </c>
      <c r="AZ31" s="788">
        <f t="shared" si="25"/>
        <v>-615.726</v>
      </c>
      <c r="BA31" s="509">
        <v>-349.238</v>
      </c>
      <c r="BB31" s="277">
        <v>-5.7329999999999997</v>
      </c>
      <c r="BC31" s="277">
        <v>-99.168000000000006</v>
      </c>
      <c r="BD31" s="277">
        <v>-34.646999999999998</v>
      </c>
      <c r="BE31" s="277"/>
      <c r="BF31" s="787">
        <f t="shared" si="26"/>
        <v>-139.548</v>
      </c>
      <c r="BG31" s="788">
        <f t="shared" si="27"/>
        <v>-488.786</v>
      </c>
      <c r="BH31" s="509">
        <v>-14.584</v>
      </c>
      <c r="BI31" s="277">
        <v>-84.426000000000002</v>
      </c>
      <c r="BJ31" s="277">
        <v>-155.816</v>
      </c>
      <c r="BK31" s="277">
        <v>-5.907</v>
      </c>
      <c r="BL31" s="277"/>
      <c r="BM31" s="787">
        <f t="shared" si="28"/>
        <v>-246.14900000000003</v>
      </c>
      <c r="BN31" s="788">
        <f t="shared" si="29"/>
        <v>-260.733</v>
      </c>
      <c r="BO31" s="509">
        <v>-121.161</v>
      </c>
      <c r="BP31" s="277">
        <v>-9.43</v>
      </c>
      <c r="BQ31" s="277">
        <v>20.959</v>
      </c>
      <c r="BR31" s="277">
        <v>35.533999999999999</v>
      </c>
      <c r="BS31" s="277"/>
      <c r="BT31" s="787">
        <f t="shared" si="30"/>
        <v>47.063000000000002</v>
      </c>
      <c r="BU31" s="788">
        <f t="shared" si="31"/>
        <v>-74.097999999999999</v>
      </c>
      <c r="BV31" s="509">
        <v>10.788</v>
      </c>
      <c r="BW31" s="277"/>
      <c r="BX31" s="277"/>
      <c r="BY31" s="277"/>
      <c r="BZ31" s="277"/>
      <c r="CA31" s="787">
        <f t="shared" si="32"/>
        <v>0</v>
      </c>
      <c r="CB31" s="788">
        <f t="shared" si="33"/>
        <v>10.788</v>
      </c>
      <c r="CC31" s="789">
        <f t="shared" si="5"/>
        <v>-229.92599999999999</v>
      </c>
      <c r="CD31" s="787">
        <f t="shared" si="6"/>
        <v>140.547</v>
      </c>
      <c r="CE31" s="787">
        <f t="shared" si="7"/>
        <v>87.843000000000018</v>
      </c>
      <c r="CF31" s="787">
        <f t="shared" si="8"/>
        <v>112.48699999999999</v>
      </c>
      <c r="CG31" s="787">
        <f t="shared" si="9"/>
        <v>86.152000000000001</v>
      </c>
      <c r="CH31" s="787">
        <f t="shared" si="34"/>
        <v>427.029</v>
      </c>
      <c r="CI31" s="788">
        <f t="shared" si="35"/>
        <v>197.10300000000001</v>
      </c>
    </row>
    <row r="32" spans="1:87">
      <c r="A32" s="265">
        <f t="shared" si="10"/>
        <v>2010</v>
      </c>
      <c r="B32" s="263">
        <f t="shared" si="11"/>
        <v>40359</v>
      </c>
      <c r="C32" s="509">
        <v>30624.878000000001</v>
      </c>
      <c r="D32" s="277">
        <v>3274.3510000000001</v>
      </c>
      <c r="E32" s="277">
        <v>5862.018</v>
      </c>
      <c r="F32" s="277">
        <v>3995.598</v>
      </c>
      <c r="G32" s="277">
        <v>1091.4880000000001</v>
      </c>
      <c r="H32" s="787">
        <f t="shared" si="12"/>
        <v>14223.455</v>
      </c>
      <c r="I32" s="788">
        <f t="shared" si="13"/>
        <v>44848.332999999999</v>
      </c>
      <c r="J32" s="509">
        <v>3410.2539999999999</v>
      </c>
      <c r="K32" s="277">
        <v>1048.5619999999999</v>
      </c>
      <c r="L32" s="277">
        <v>936.8</v>
      </c>
      <c r="M32" s="277">
        <v>273.64800000000002</v>
      </c>
      <c r="N32" s="277"/>
      <c r="O32" s="787">
        <f t="shared" si="14"/>
        <v>2259.0099999999998</v>
      </c>
      <c r="P32" s="788">
        <f t="shared" si="15"/>
        <v>5669.2639999999992</v>
      </c>
      <c r="Q32" s="509">
        <v>5411.1210000000001</v>
      </c>
      <c r="R32" s="277">
        <v>405.03300000000002</v>
      </c>
      <c r="S32" s="277">
        <v>1604.8630000000001</v>
      </c>
      <c r="T32" s="277">
        <v>784.17600000000004</v>
      </c>
      <c r="U32" s="277"/>
      <c r="V32" s="787">
        <f t="shared" si="16"/>
        <v>2794.0720000000001</v>
      </c>
      <c r="W32" s="788">
        <f t="shared" si="17"/>
        <v>8205.1929999999993</v>
      </c>
      <c r="X32" s="509">
        <v>3262.5970000000002</v>
      </c>
      <c r="Y32" s="277">
        <v>134.108</v>
      </c>
      <c r="Z32" s="277">
        <v>841.91300000000001</v>
      </c>
      <c r="AA32" s="277">
        <v>924.18399999999997</v>
      </c>
      <c r="AB32" s="277"/>
      <c r="AC32" s="787">
        <f t="shared" si="18"/>
        <v>1900.2049999999999</v>
      </c>
      <c r="AD32" s="788">
        <f t="shared" si="19"/>
        <v>5162.8019999999997</v>
      </c>
      <c r="AE32" s="509">
        <v>3168.317</v>
      </c>
      <c r="AF32" s="277"/>
      <c r="AG32" s="277"/>
      <c r="AH32" s="277"/>
      <c r="AI32" s="277"/>
      <c r="AJ32" s="787">
        <f t="shared" si="20"/>
        <v>0</v>
      </c>
      <c r="AK32" s="788">
        <f t="shared" si="21"/>
        <v>3168.317</v>
      </c>
      <c r="AL32" s="789">
        <f t="shared" si="0"/>
        <v>15372.589</v>
      </c>
      <c r="AM32" s="787">
        <f t="shared" si="1"/>
        <v>1686.6480000000004</v>
      </c>
      <c r="AN32" s="787">
        <f t="shared" si="2"/>
        <v>2478.442</v>
      </c>
      <c r="AO32" s="787">
        <f t="shared" si="3"/>
        <v>2013.59</v>
      </c>
      <c r="AP32" s="787">
        <f t="shared" si="4"/>
        <v>1091.4880000000001</v>
      </c>
      <c r="AQ32" s="787">
        <f t="shared" si="22"/>
        <v>7270.1680000000006</v>
      </c>
      <c r="AR32" s="788">
        <f t="shared" si="23"/>
        <v>22642.757000000001</v>
      </c>
      <c r="AS32" s="395"/>
      <c r="AT32" s="509">
        <v>657.279</v>
      </c>
      <c r="AU32" s="277">
        <v>95.962999999999994</v>
      </c>
      <c r="AV32" s="277">
        <v>396.50099999999998</v>
      </c>
      <c r="AW32" s="277">
        <v>359.678</v>
      </c>
      <c r="AX32" s="277">
        <v>86.088999999999999</v>
      </c>
      <c r="AY32" s="787">
        <f t="shared" si="24"/>
        <v>938.23099999999999</v>
      </c>
      <c r="AZ32" s="788">
        <f t="shared" si="25"/>
        <v>1595.51</v>
      </c>
      <c r="BA32" s="509">
        <v>42.430999999999997</v>
      </c>
      <c r="BB32" s="277">
        <v>-56.921999999999997</v>
      </c>
      <c r="BC32" s="277">
        <v>10.497</v>
      </c>
      <c r="BD32" s="277">
        <v>-2.8239999999999998</v>
      </c>
      <c r="BE32" s="277"/>
      <c r="BF32" s="787">
        <f t="shared" si="26"/>
        <v>-49.248999999999995</v>
      </c>
      <c r="BG32" s="788">
        <f t="shared" si="27"/>
        <v>-6.8179999999999978</v>
      </c>
      <c r="BH32" s="509">
        <v>473.72899999999998</v>
      </c>
      <c r="BI32" s="277">
        <v>-40.277999999999999</v>
      </c>
      <c r="BJ32" s="277">
        <v>-18.82</v>
      </c>
      <c r="BK32" s="277">
        <v>44.945</v>
      </c>
      <c r="BL32" s="277"/>
      <c r="BM32" s="787">
        <f t="shared" si="28"/>
        <v>-14.152999999999999</v>
      </c>
      <c r="BN32" s="788">
        <f t="shared" si="29"/>
        <v>459.57599999999996</v>
      </c>
      <c r="BO32" s="509">
        <v>108.16800000000001</v>
      </c>
      <c r="BP32" s="277">
        <v>-0.99099999999999999</v>
      </c>
      <c r="BQ32" s="277">
        <v>75.769000000000005</v>
      </c>
      <c r="BR32" s="277">
        <v>97.843999999999994</v>
      </c>
      <c r="BS32" s="277"/>
      <c r="BT32" s="787">
        <f t="shared" si="30"/>
        <v>172.62200000000001</v>
      </c>
      <c r="BU32" s="788">
        <f t="shared" si="31"/>
        <v>280.79000000000002</v>
      </c>
      <c r="BV32" s="509">
        <v>112.214</v>
      </c>
      <c r="BW32" s="277"/>
      <c r="BX32" s="277"/>
      <c r="BY32" s="277"/>
      <c r="BZ32" s="277"/>
      <c r="CA32" s="787">
        <f t="shared" si="32"/>
        <v>0</v>
      </c>
      <c r="CB32" s="788">
        <f t="shared" si="33"/>
        <v>112.214</v>
      </c>
      <c r="CC32" s="789">
        <f t="shared" si="5"/>
        <v>-79.26299999999992</v>
      </c>
      <c r="CD32" s="787">
        <f t="shared" si="6"/>
        <v>194.154</v>
      </c>
      <c r="CE32" s="787">
        <f t="shared" si="7"/>
        <v>329.05499999999995</v>
      </c>
      <c r="CF32" s="787">
        <f t="shared" si="8"/>
        <v>219.71299999999999</v>
      </c>
      <c r="CG32" s="787">
        <f t="shared" si="9"/>
        <v>86.088999999999999</v>
      </c>
      <c r="CH32" s="787">
        <f t="shared" si="34"/>
        <v>829.01099999999997</v>
      </c>
      <c r="CI32" s="788">
        <f t="shared" si="35"/>
        <v>749.74800000000005</v>
      </c>
    </row>
    <row r="33" spans="1:87">
      <c r="A33" s="265">
        <f t="shared" si="10"/>
        <v>2010</v>
      </c>
      <c r="B33" s="263">
        <f t="shared" si="11"/>
        <v>40451</v>
      </c>
      <c r="C33" s="509">
        <v>31131.87</v>
      </c>
      <c r="D33" s="277">
        <v>3312.2930000000001</v>
      </c>
      <c r="E33" s="277">
        <v>6559.366</v>
      </c>
      <c r="F33" s="277">
        <v>4387.4859999999999</v>
      </c>
      <c r="G33" s="277">
        <v>1086.2819999999999</v>
      </c>
      <c r="H33" s="787">
        <f t="shared" si="12"/>
        <v>15345.427</v>
      </c>
      <c r="I33" s="788">
        <f t="shared" si="13"/>
        <v>46477.296999999999</v>
      </c>
      <c r="J33" s="509">
        <v>3345.5770000000002</v>
      </c>
      <c r="K33" s="277">
        <v>1161.152</v>
      </c>
      <c r="L33" s="277">
        <v>1019.1369999999999</v>
      </c>
      <c r="M33" s="277">
        <v>311.62</v>
      </c>
      <c r="N33" s="277"/>
      <c r="O33" s="787">
        <f t="shared" si="14"/>
        <v>2491.9089999999997</v>
      </c>
      <c r="P33" s="788">
        <f t="shared" si="15"/>
        <v>5837.4859999999999</v>
      </c>
      <c r="Q33" s="509">
        <v>5510.9089999999997</v>
      </c>
      <c r="R33" s="277">
        <v>433.66300000000001</v>
      </c>
      <c r="S33" s="277">
        <v>1996.489</v>
      </c>
      <c r="T33" s="277">
        <v>1046.278</v>
      </c>
      <c r="U33" s="277"/>
      <c r="V33" s="787">
        <f t="shared" si="16"/>
        <v>3476.4300000000003</v>
      </c>
      <c r="W33" s="788">
        <f t="shared" si="17"/>
        <v>8987.3389999999999</v>
      </c>
      <c r="X33" s="509">
        <v>3343.9119999999998</v>
      </c>
      <c r="Y33" s="277">
        <v>131.63900000000001</v>
      </c>
      <c r="Z33" s="277">
        <v>928.149</v>
      </c>
      <c r="AA33" s="277">
        <v>992.27800000000002</v>
      </c>
      <c r="AB33" s="277"/>
      <c r="AC33" s="787">
        <f t="shared" si="18"/>
        <v>2052.0659999999998</v>
      </c>
      <c r="AD33" s="788">
        <f t="shared" si="19"/>
        <v>5395.9779999999992</v>
      </c>
      <c r="AE33" s="509">
        <v>3191.7579999999998</v>
      </c>
      <c r="AF33" s="277"/>
      <c r="AG33" s="277"/>
      <c r="AH33" s="277"/>
      <c r="AI33" s="277"/>
      <c r="AJ33" s="787">
        <f t="shared" si="20"/>
        <v>0</v>
      </c>
      <c r="AK33" s="788">
        <f t="shared" si="21"/>
        <v>3191.7579999999998</v>
      </c>
      <c r="AL33" s="789">
        <f t="shared" si="0"/>
        <v>15739.713999999998</v>
      </c>
      <c r="AM33" s="787">
        <f t="shared" si="1"/>
        <v>1585.8389999999999</v>
      </c>
      <c r="AN33" s="787">
        <f t="shared" si="2"/>
        <v>2615.5909999999999</v>
      </c>
      <c r="AO33" s="787">
        <f t="shared" si="3"/>
        <v>2037.3099999999995</v>
      </c>
      <c r="AP33" s="787">
        <f t="shared" si="4"/>
        <v>1086.2819999999999</v>
      </c>
      <c r="AQ33" s="787">
        <f t="shared" si="22"/>
        <v>7325.0219999999999</v>
      </c>
      <c r="AR33" s="788">
        <f t="shared" si="23"/>
        <v>23064.735999999997</v>
      </c>
      <c r="AS33" s="395"/>
      <c r="AT33" s="509">
        <v>1178.3430000000001</v>
      </c>
      <c r="AU33" s="277">
        <v>262.81700000000001</v>
      </c>
      <c r="AV33" s="277">
        <v>397.62</v>
      </c>
      <c r="AW33" s="277">
        <v>461.46699999999998</v>
      </c>
      <c r="AX33" s="277">
        <v>69.066000000000003</v>
      </c>
      <c r="AY33" s="787">
        <f t="shared" si="24"/>
        <v>1190.97</v>
      </c>
      <c r="AZ33" s="788">
        <f t="shared" si="25"/>
        <v>2369.3130000000001</v>
      </c>
      <c r="BA33" s="509">
        <v>80.224999999999994</v>
      </c>
      <c r="BB33" s="277">
        <v>31.1</v>
      </c>
      <c r="BC33" s="277">
        <v>16.023</v>
      </c>
      <c r="BD33" s="277">
        <v>1.2350000000000001</v>
      </c>
      <c r="BE33" s="277"/>
      <c r="BF33" s="787">
        <f t="shared" si="26"/>
        <v>48.358000000000004</v>
      </c>
      <c r="BG33" s="788">
        <f t="shared" si="27"/>
        <v>128.583</v>
      </c>
      <c r="BH33" s="509">
        <v>358.89499999999998</v>
      </c>
      <c r="BI33" s="277">
        <v>-31.797999999999998</v>
      </c>
      <c r="BJ33" s="277">
        <v>-7.3170000000000002</v>
      </c>
      <c r="BK33" s="277">
        <v>68.915999999999997</v>
      </c>
      <c r="BL33" s="277"/>
      <c r="BM33" s="787">
        <f t="shared" si="28"/>
        <v>29.801000000000002</v>
      </c>
      <c r="BN33" s="788">
        <f t="shared" si="29"/>
        <v>388.69599999999997</v>
      </c>
      <c r="BO33" s="509">
        <v>162.762</v>
      </c>
      <c r="BP33" s="277">
        <v>10.032999999999999</v>
      </c>
      <c r="BQ33" s="277">
        <v>95.049000000000007</v>
      </c>
      <c r="BR33" s="277">
        <v>134.68700000000001</v>
      </c>
      <c r="BS33" s="277"/>
      <c r="BT33" s="787">
        <f t="shared" si="30"/>
        <v>239.76900000000001</v>
      </c>
      <c r="BU33" s="788">
        <f t="shared" si="31"/>
        <v>402.53100000000001</v>
      </c>
      <c r="BV33" s="509">
        <v>204.67</v>
      </c>
      <c r="BW33" s="277"/>
      <c r="BX33" s="277"/>
      <c r="BY33" s="277"/>
      <c r="BZ33" s="277"/>
      <c r="CA33" s="787">
        <f t="shared" si="32"/>
        <v>0</v>
      </c>
      <c r="CB33" s="788">
        <f t="shared" si="33"/>
        <v>204.67</v>
      </c>
      <c r="CC33" s="789">
        <f t="shared" si="5"/>
        <v>371.79100000000005</v>
      </c>
      <c r="CD33" s="787">
        <f t="shared" si="6"/>
        <v>253.482</v>
      </c>
      <c r="CE33" s="787">
        <f t="shared" si="7"/>
        <v>293.86500000000001</v>
      </c>
      <c r="CF33" s="787">
        <f t="shared" si="8"/>
        <v>256.62899999999996</v>
      </c>
      <c r="CG33" s="787">
        <f t="shared" si="9"/>
        <v>69.066000000000003</v>
      </c>
      <c r="CH33" s="787">
        <f t="shared" si="34"/>
        <v>873.04199999999992</v>
      </c>
      <c r="CI33" s="788">
        <f t="shared" si="35"/>
        <v>1244.8330000000001</v>
      </c>
    </row>
    <row r="34" spans="1:87">
      <c r="A34" s="265">
        <f t="shared" si="10"/>
        <v>2010</v>
      </c>
      <c r="B34" s="263">
        <f t="shared" si="11"/>
        <v>40543</v>
      </c>
      <c r="C34" s="509">
        <v>30072.584999999999</v>
      </c>
      <c r="D34" s="277">
        <v>3373.248</v>
      </c>
      <c r="E34" s="277">
        <v>5213.74</v>
      </c>
      <c r="F34" s="277">
        <v>4138.5889999999999</v>
      </c>
      <c r="G34" s="277">
        <v>1193.1610000000001</v>
      </c>
      <c r="H34" s="787">
        <f t="shared" si="12"/>
        <v>13918.737999999999</v>
      </c>
      <c r="I34" s="788">
        <f t="shared" si="13"/>
        <v>43991.322999999997</v>
      </c>
      <c r="J34" s="509">
        <v>3267.2829999999999</v>
      </c>
      <c r="K34" s="277">
        <v>1250.779</v>
      </c>
      <c r="L34" s="277">
        <v>764.22699999999998</v>
      </c>
      <c r="M34" s="277">
        <v>298.92099999999999</v>
      </c>
      <c r="N34" s="277"/>
      <c r="O34" s="787">
        <f t="shared" si="14"/>
        <v>2313.9269999999997</v>
      </c>
      <c r="P34" s="788">
        <f t="shared" si="15"/>
        <v>5581.2099999999991</v>
      </c>
      <c r="Q34" s="509">
        <v>5014.7219999999998</v>
      </c>
      <c r="R34" s="277">
        <v>433.24400000000003</v>
      </c>
      <c r="S34" s="277">
        <v>1487.7180000000001</v>
      </c>
      <c r="T34" s="277">
        <v>886.279</v>
      </c>
      <c r="U34" s="277"/>
      <c r="V34" s="787">
        <f t="shared" si="16"/>
        <v>2807.241</v>
      </c>
      <c r="W34" s="788">
        <f t="shared" si="17"/>
        <v>7821.9629999999997</v>
      </c>
      <c r="X34" s="509">
        <v>3011.0340000000001</v>
      </c>
      <c r="Y34" s="277">
        <v>157.066</v>
      </c>
      <c r="Z34" s="277">
        <v>797.28800000000001</v>
      </c>
      <c r="AA34" s="277">
        <v>915.14599999999996</v>
      </c>
      <c r="AB34" s="277"/>
      <c r="AC34" s="787">
        <f t="shared" si="18"/>
        <v>1869.5</v>
      </c>
      <c r="AD34" s="788">
        <f t="shared" si="19"/>
        <v>4880.5339999999997</v>
      </c>
      <c r="AE34" s="509">
        <v>3113.5970000000002</v>
      </c>
      <c r="AF34" s="277"/>
      <c r="AG34" s="277"/>
      <c r="AH34" s="277"/>
      <c r="AI34" s="277"/>
      <c r="AJ34" s="787">
        <f t="shared" si="20"/>
        <v>0</v>
      </c>
      <c r="AK34" s="788">
        <f t="shared" si="21"/>
        <v>3113.5970000000002</v>
      </c>
      <c r="AL34" s="789">
        <f t="shared" si="0"/>
        <v>15665.949000000001</v>
      </c>
      <c r="AM34" s="787">
        <f t="shared" si="1"/>
        <v>1532.1589999999999</v>
      </c>
      <c r="AN34" s="787">
        <f t="shared" si="2"/>
        <v>2164.5069999999996</v>
      </c>
      <c r="AO34" s="787">
        <f t="shared" si="3"/>
        <v>2038.2429999999999</v>
      </c>
      <c r="AP34" s="787">
        <f t="shared" si="4"/>
        <v>1193.1610000000001</v>
      </c>
      <c r="AQ34" s="787">
        <f t="shared" si="22"/>
        <v>6928.07</v>
      </c>
      <c r="AR34" s="788">
        <f t="shared" si="23"/>
        <v>22594.019</v>
      </c>
      <c r="AS34" s="395"/>
      <c r="AT34" s="509">
        <v>44.633000000000003</v>
      </c>
      <c r="AU34" s="277">
        <v>235.47200000000001</v>
      </c>
      <c r="AV34" s="277">
        <v>-200.267</v>
      </c>
      <c r="AW34" s="277">
        <v>174.245</v>
      </c>
      <c r="AX34" s="277">
        <v>62.814999999999998</v>
      </c>
      <c r="AY34" s="787">
        <f t="shared" si="24"/>
        <v>272.26499999999999</v>
      </c>
      <c r="AZ34" s="788">
        <f t="shared" si="25"/>
        <v>316.89799999999997</v>
      </c>
      <c r="BA34" s="509">
        <v>16.593</v>
      </c>
      <c r="BB34" s="277">
        <v>35.655999999999999</v>
      </c>
      <c r="BC34" s="277">
        <v>-126.79900000000001</v>
      </c>
      <c r="BD34" s="277">
        <v>-27.646999999999998</v>
      </c>
      <c r="BE34" s="277"/>
      <c r="BF34" s="787">
        <f t="shared" si="26"/>
        <v>-118.78999999999999</v>
      </c>
      <c r="BG34" s="788">
        <f t="shared" si="27"/>
        <v>-102.19699999999999</v>
      </c>
      <c r="BH34" s="509">
        <v>222.61199999999999</v>
      </c>
      <c r="BI34" s="277">
        <v>-19.888000000000002</v>
      </c>
      <c r="BJ34" s="277">
        <v>-105.76600000000001</v>
      </c>
      <c r="BK34" s="277">
        <v>1.4930000000000001</v>
      </c>
      <c r="BL34" s="277"/>
      <c r="BM34" s="787">
        <f t="shared" si="28"/>
        <v>-124.16100000000002</v>
      </c>
      <c r="BN34" s="788">
        <f t="shared" si="29"/>
        <v>98.450999999999979</v>
      </c>
      <c r="BO34" s="509">
        <v>-195.49700000000001</v>
      </c>
      <c r="BP34" s="277">
        <v>-18.658000000000001</v>
      </c>
      <c r="BQ34" s="277">
        <v>3.7810000000000001</v>
      </c>
      <c r="BR34" s="277">
        <v>2.7490000000000001</v>
      </c>
      <c r="BS34" s="277"/>
      <c r="BT34" s="787">
        <f t="shared" si="30"/>
        <v>-12.128</v>
      </c>
      <c r="BU34" s="788">
        <f t="shared" si="31"/>
        <v>-207.625</v>
      </c>
      <c r="BV34" s="509">
        <v>131.23599999999999</v>
      </c>
      <c r="BW34" s="277"/>
      <c r="BX34" s="277"/>
      <c r="BY34" s="277"/>
      <c r="BZ34" s="277"/>
      <c r="CA34" s="787">
        <f t="shared" si="32"/>
        <v>0</v>
      </c>
      <c r="CB34" s="788">
        <f t="shared" si="33"/>
        <v>131.23599999999999</v>
      </c>
      <c r="CC34" s="789">
        <f t="shared" si="5"/>
        <v>-130.31099999999995</v>
      </c>
      <c r="CD34" s="787">
        <f t="shared" si="6"/>
        <v>238.36200000000002</v>
      </c>
      <c r="CE34" s="787">
        <f t="shared" si="7"/>
        <v>28.516999999999996</v>
      </c>
      <c r="CF34" s="787">
        <f t="shared" si="8"/>
        <v>197.65</v>
      </c>
      <c r="CG34" s="787">
        <f t="shared" si="9"/>
        <v>62.814999999999998</v>
      </c>
      <c r="CH34" s="787">
        <f t="shared" si="34"/>
        <v>527.34400000000005</v>
      </c>
      <c r="CI34" s="788">
        <f t="shared" si="35"/>
        <v>397.03300000000013</v>
      </c>
    </row>
    <row r="35" spans="1:87">
      <c r="A35" s="265">
        <f t="shared" si="10"/>
        <v>2011</v>
      </c>
      <c r="B35" s="263">
        <f t="shared" si="11"/>
        <v>40633</v>
      </c>
      <c r="C35" s="509">
        <v>30534.144</v>
      </c>
      <c r="D35" s="277">
        <v>3917.0140000000001</v>
      </c>
      <c r="E35" s="277">
        <v>4507.2879999999996</v>
      </c>
      <c r="F35" s="277">
        <v>3935.3429999999998</v>
      </c>
      <c r="G35" s="277">
        <v>994.66899999999998</v>
      </c>
      <c r="H35" s="787">
        <f t="shared" si="12"/>
        <v>13354.314</v>
      </c>
      <c r="I35" s="788">
        <f t="shared" si="13"/>
        <v>43888.457999999999</v>
      </c>
      <c r="J35" s="509">
        <v>3181.125</v>
      </c>
      <c r="K35" s="277">
        <v>1434.222</v>
      </c>
      <c r="L35" s="277">
        <v>638.899</v>
      </c>
      <c r="M35" s="277">
        <v>272.94900000000001</v>
      </c>
      <c r="N35" s="277"/>
      <c r="O35" s="787">
        <f t="shared" si="14"/>
        <v>2346.0700000000002</v>
      </c>
      <c r="P35" s="788">
        <f t="shared" si="15"/>
        <v>5527.1949999999997</v>
      </c>
      <c r="Q35" s="509">
        <v>5124.7330000000002</v>
      </c>
      <c r="R35" s="277">
        <v>519.69200000000001</v>
      </c>
      <c r="S35" s="277">
        <v>1229.2829999999999</v>
      </c>
      <c r="T35" s="277">
        <v>925.27599999999995</v>
      </c>
      <c r="U35" s="277"/>
      <c r="V35" s="787">
        <f t="shared" si="16"/>
        <v>2674.2509999999997</v>
      </c>
      <c r="W35" s="788">
        <f t="shared" si="17"/>
        <v>7798.9840000000004</v>
      </c>
      <c r="X35" s="509">
        <v>2944.7150000000001</v>
      </c>
      <c r="Y35" s="277">
        <v>189.952</v>
      </c>
      <c r="Z35" s="277">
        <v>691.78899999999999</v>
      </c>
      <c r="AA35" s="277">
        <v>849.16300000000001</v>
      </c>
      <c r="AB35" s="277"/>
      <c r="AC35" s="787">
        <f t="shared" si="18"/>
        <v>1730.904</v>
      </c>
      <c r="AD35" s="788">
        <f t="shared" si="19"/>
        <v>4675.6190000000006</v>
      </c>
      <c r="AE35" s="509">
        <v>3102.893</v>
      </c>
      <c r="AF35" s="277"/>
      <c r="AG35" s="277"/>
      <c r="AH35" s="277"/>
      <c r="AI35" s="277"/>
      <c r="AJ35" s="787">
        <f t="shared" si="20"/>
        <v>0</v>
      </c>
      <c r="AK35" s="788">
        <f t="shared" si="21"/>
        <v>3102.893</v>
      </c>
      <c r="AL35" s="789">
        <f t="shared" ref="AL35:AL66" si="36">C35-SUM(J35,Q35,X35,AE35)</f>
        <v>16180.678</v>
      </c>
      <c r="AM35" s="787">
        <f t="shared" ref="AM35:AM66" si="37">D35-SUM(K35,R35,Y35,AF35)</f>
        <v>1773.1480000000001</v>
      </c>
      <c r="AN35" s="787">
        <f t="shared" ref="AN35:AN66" si="38">E35-SUM(L35,S35,Z35,AG35)</f>
        <v>1947.317</v>
      </c>
      <c r="AO35" s="787">
        <f t="shared" ref="AO35:AO66" si="39">F35-SUM(M35,T35,AA35,AH35)</f>
        <v>1887.9549999999999</v>
      </c>
      <c r="AP35" s="787">
        <f t="shared" ref="AP35:AP66" si="40">G35-SUM(N35,U35,AB35,AI35)</f>
        <v>994.66899999999998</v>
      </c>
      <c r="AQ35" s="787">
        <f t="shared" si="22"/>
        <v>6603.0889999999999</v>
      </c>
      <c r="AR35" s="788">
        <f t="shared" si="23"/>
        <v>22783.767</v>
      </c>
      <c r="AS35" s="395"/>
      <c r="AT35" s="509">
        <v>-455.423</v>
      </c>
      <c r="AU35" s="277">
        <v>177.773</v>
      </c>
      <c r="AV35" s="277">
        <v>-612.21699999999998</v>
      </c>
      <c r="AW35" s="277">
        <v>37.456000000000003</v>
      </c>
      <c r="AX35" s="277">
        <v>4.2629999999999999</v>
      </c>
      <c r="AY35" s="787">
        <f t="shared" si="24"/>
        <v>-392.72499999999997</v>
      </c>
      <c r="AZ35" s="788">
        <f t="shared" si="25"/>
        <v>-848.14799999999991</v>
      </c>
      <c r="BA35" s="509">
        <v>-428.97800000000001</v>
      </c>
      <c r="BB35" s="277">
        <v>146.499</v>
      </c>
      <c r="BC35" s="277">
        <v>-108.29</v>
      </c>
      <c r="BD35" s="277">
        <v>-39.741999999999997</v>
      </c>
      <c r="BE35" s="277"/>
      <c r="BF35" s="787">
        <f t="shared" si="26"/>
        <v>-1.5330000000000084</v>
      </c>
      <c r="BG35" s="788">
        <f t="shared" si="27"/>
        <v>-430.51100000000002</v>
      </c>
      <c r="BH35" s="509">
        <v>122.398</v>
      </c>
      <c r="BI35" s="277">
        <v>-107.303</v>
      </c>
      <c r="BJ35" s="277">
        <v>-258.154</v>
      </c>
      <c r="BK35" s="277">
        <v>-51.960999999999999</v>
      </c>
      <c r="BL35" s="277"/>
      <c r="BM35" s="787">
        <f t="shared" si="28"/>
        <v>-417.41800000000001</v>
      </c>
      <c r="BN35" s="788">
        <f t="shared" si="29"/>
        <v>-295.02</v>
      </c>
      <c r="BO35" s="509">
        <v>-160.18199999999999</v>
      </c>
      <c r="BP35" s="277">
        <v>-15.112</v>
      </c>
      <c r="BQ35" s="277">
        <v>-12.821999999999999</v>
      </c>
      <c r="BR35" s="277">
        <v>28.405999999999999</v>
      </c>
      <c r="BS35" s="277"/>
      <c r="BT35" s="787">
        <f t="shared" si="30"/>
        <v>0.47200000000000131</v>
      </c>
      <c r="BU35" s="788">
        <f t="shared" si="31"/>
        <v>-159.70999999999998</v>
      </c>
      <c r="BV35" s="509">
        <v>4.8540000000000001</v>
      </c>
      <c r="BW35" s="277"/>
      <c r="BX35" s="277"/>
      <c r="BY35" s="277"/>
      <c r="BZ35" s="277"/>
      <c r="CA35" s="787">
        <f t="shared" si="32"/>
        <v>0</v>
      </c>
      <c r="CB35" s="788">
        <f t="shared" si="33"/>
        <v>4.8540000000000001</v>
      </c>
      <c r="CC35" s="789">
        <f t="shared" ref="CC35:CC66" si="41">AT35-SUM(BA35,BH35,BO35,BV35)</f>
        <v>6.4850000000000705</v>
      </c>
      <c r="CD35" s="787">
        <f t="shared" ref="CD35:CD66" si="42">AU35-SUM(BB35,BI35,BP35,BW35)</f>
        <v>153.68899999999999</v>
      </c>
      <c r="CE35" s="787">
        <f t="shared" ref="CE35:CE66" si="43">AV35-SUM(BC35,BJ35,BQ35,BX35)</f>
        <v>-232.95099999999996</v>
      </c>
      <c r="CF35" s="787">
        <f t="shared" ref="CF35:CF66" si="44">AW35-SUM(BD35,BK35,BR35,BY35)</f>
        <v>100.75300000000001</v>
      </c>
      <c r="CG35" s="787">
        <f t="shared" ref="CG35:CG66" si="45">AX35-SUM(BE35,BL35,BS35,BZ35)</f>
        <v>4.2629999999999999</v>
      </c>
      <c r="CH35" s="787">
        <f t="shared" si="34"/>
        <v>25.75400000000004</v>
      </c>
      <c r="CI35" s="788">
        <f t="shared" si="35"/>
        <v>32.239000000000111</v>
      </c>
    </row>
    <row r="36" spans="1:87">
      <c r="A36" s="265">
        <f t="shared" si="10"/>
        <v>2011</v>
      </c>
      <c r="B36" s="263">
        <f t="shared" si="11"/>
        <v>40724</v>
      </c>
      <c r="C36" s="509">
        <v>34663.89</v>
      </c>
      <c r="D36" s="277">
        <v>3721.6970000000001</v>
      </c>
      <c r="E36" s="277">
        <v>6372.57</v>
      </c>
      <c r="F36" s="277">
        <v>4261.5060000000003</v>
      </c>
      <c r="G36" s="277">
        <v>1115.192</v>
      </c>
      <c r="H36" s="787">
        <f t="shared" si="12"/>
        <v>15470.965</v>
      </c>
      <c r="I36" s="788">
        <f t="shared" si="13"/>
        <v>50134.854999999996</v>
      </c>
      <c r="J36" s="509">
        <v>3575.0210000000002</v>
      </c>
      <c r="K36" s="277">
        <v>1239.7339999999999</v>
      </c>
      <c r="L36" s="277">
        <v>998.26900000000001</v>
      </c>
      <c r="M36" s="277">
        <v>295.51600000000002</v>
      </c>
      <c r="N36" s="277"/>
      <c r="O36" s="787">
        <f t="shared" si="14"/>
        <v>2533.5189999999998</v>
      </c>
      <c r="P36" s="788">
        <f t="shared" si="15"/>
        <v>6108.54</v>
      </c>
      <c r="Q36" s="509">
        <v>5960.97</v>
      </c>
      <c r="R36" s="277">
        <v>473.05500000000001</v>
      </c>
      <c r="S36" s="277">
        <v>1848.1420000000001</v>
      </c>
      <c r="T36" s="277">
        <v>891.84900000000005</v>
      </c>
      <c r="U36" s="277"/>
      <c r="V36" s="787">
        <f t="shared" si="16"/>
        <v>3213.0460000000003</v>
      </c>
      <c r="W36" s="788">
        <f t="shared" si="17"/>
        <v>9174.0159999999996</v>
      </c>
      <c r="X36" s="509">
        <v>3438.0230000000001</v>
      </c>
      <c r="Y36" s="277">
        <v>202.03100000000001</v>
      </c>
      <c r="Z36" s="277">
        <v>959.37300000000005</v>
      </c>
      <c r="AA36" s="277">
        <v>971.11199999999997</v>
      </c>
      <c r="AB36" s="277"/>
      <c r="AC36" s="787">
        <f t="shared" si="18"/>
        <v>2132.5160000000001</v>
      </c>
      <c r="AD36" s="788">
        <f t="shared" si="19"/>
        <v>5570.5390000000007</v>
      </c>
      <c r="AE36" s="509">
        <v>3595.8690000000001</v>
      </c>
      <c r="AF36" s="277"/>
      <c r="AG36" s="277"/>
      <c r="AH36" s="277"/>
      <c r="AI36" s="277"/>
      <c r="AJ36" s="787">
        <f t="shared" si="20"/>
        <v>0</v>
      </c>
      <c r="AK36" s="788">
        <f t="shared" si="21"/>
        <v>3595.8690000000001</v>
      </c>
      <c r="AL36" s="789">
        <f t="shared" si="36"/>
        <v>18094.007000000001</v>
      </c>
      <c r="AM36" s="787">
        <f t="shared" si="37"/>
        <v>1806.8770000000002</v>
      </c>
      <c r="AN36" s="787">
        <f t="shared" si="38"/>
        <v>2566.7859999999996</v>
      </c>
      <c r="AO36" s="787">
        <f t="shared" si="39"/>
        <v>2103.0290000000005</v>
      </c>
      <c r="AP36" s="787">
        <f t="shared" si="40"/>
        <v>1115.192</v>
      </c>
      <c r="AQ36" s="787">
        <f t="shared" si="22"/>
        <v>7591.884</v>
      </c>
      <c r="AR36" s="788">
        <f t="shared" si="23"/>
        <v>25685.891000000003</v>
      </c>
      <c r="AS36" s="395"/>
      <c r="AT36" s="509">
        <v>1152.067</v>
      </c>
      <c r="AU36" s="277">
        <v>151.816</v>
      </c>
      <c r="AV36" s="277">
        <v>-285.411</v>
      </c>
      <c r="AW36" s="277">
        <v>-24.198</v>
      </c>
      <c r="AX36" s="277">
        <v>9.125</v>
      </c>
      <c r="AY36" s="787">
        <f t="shared" si="24"/>
        <v>-148.66800000000001</v>
      </c>
      <c r="AZ36" s="788">
        <f t="shared" si="25"/>
        <v>1003.399</v>
      </c>
      <c r="BA36" s="509">
        <v>4.0490000000000004</v>
      </c>
      <c r="BB36" s="277">
        <v>24.934999999999999</v>
      </c>
      <c r="BC36" s="277">
        <v>-194.86799999999999</v>
      </c>
      <c r="BD36" s="277">
        <v>-118.47199999999999</v>
      </c>
      <c r="BE36" s="277"/>
      <c r="BF36" s="787">
        <f t="shared" si="26"/>
        <v>-288.40499999999997</v>
      </c>
      <c r="BG36" s="788">
        <f t="shared" si="27"/>
        <v>-284.35599999999999</v>
      </c>
      <c r="BH36" s="509">
        <v>554.39800000000002</v>
      </c>
      <c r="BI36" s="277">
        <v>-63.143000000000001</v>
      </c>
      <c r="BJ36" s="277">
        <v>-177.30099999999999</v>
      </c>
      <c r="BK36" s="277">
        <v>-78.001000000000005</v>
      </c>
      <c r="BL36" s="277"/>
      <c r="BM36" s="787">
        <f t="shared" si="28"/>
        <v>-318.44499999999999</v>
      </c>
      <c r="BN36" s="788">
        <f t="shared" si="29"/>
        <v>235.95300000000003</v>
      </c>
      <c r="BO36" s="509">
        <v>113.364</v>
      </c>
      <c r="BP36" s="277">
        <v>3.0190000000000001</v>
      </c>
      <c r="BQ36" s="277">
        <v>99.299000000000007</v>
      </c>
      <c r="BR36" s="277">
        <v>66.201999999999998</v>
      </c>
      <c r="BS36" s="277"/>
      <c r="BT36" s="787">
        <f t="shared" si="30"/>
        <v>168.52</v>
      </c>
      <c r="BU36" s="788">
        <f t="shared" si="31"/>
        <v>281.88400000000001</v>
      </c>
      <c r="BV36" s="509">
        <v>187.60400000000001</v>
      </c>
      <c r="BW36" s="277"/>
      <c r="BX36" s="277"/>
      <c r="BY36" s="277"/>
      <c r="BZ36" s="277"/>
      <c r="CA36" s="787">
        <f t="shared" si="32"/>
        <v>0</v>
      </c>
      <c r="CB36" s="788">
        <f t="shared" si="33"/>
        <v>187.60400000000001</v>
      </c>
      <c r="CC36" s="789">
        <f t="shared" si="41"/>
        <v>292.65199999999993</v>
      </c>
      <c r="CD36" s="787">
        <f t="shared" si="42"/>
        <v>187.005</v>
      </c>
      <c r="CE36" s="787">
        <f t="shared" si="43"/>
        <v>-12.540999999999997</v>
      </c>
      <c r="CF36" s="787">
        <f t="shared" si="44"/>
        <v>106.07300000000001</v>
      </c>
      <c r="CG36" s="787">
        <f t="shared" si="45"/>
        <v>9.125</v>
      </c>
      <c r="CH36" s="787">
        <f t="shared" si="34"/>
        <v>289.66200000000003</v>
      </c>
      <c r="CI36" s="788">
        <f t="shared" si="35"/>
        <v>582.31399999999996</v>
      </c>
    </row>
    <row r="37" spans="1:87">
      <c r="A37" s="265">
        <f t="shared" si="10"/>
        <v>2011</v>
      </c>
      <c r="B37" s="263">
        <f t="shared" si="11"/>
        <v>40816</v>
      </c>
      <c r="C37" s="509">
        <v>34676.557999999997</v>
      </c>
      <c r="D37" s="277">
        <v>3838.8919999999998</v>
      </c>
      <c r="E37" s="277">
        <v>6894.5649999999996</v>
      </c>
      <c r="F37" s="277">
        <v>4922.165</v>
      </c>
      <c r="G37" s="277">
        <v>1194.701</v>
      </c>
      <c r="H37" s="787">
        <f t="shared" si="12"/>
        <v>16850.323</v>
      </c>
      <c r="I37" s="788">
        <f t="shared" si="13"/>
        <v>51526.880999999994</v>
      </c>
      <c r="J37" s="509">
        <v>3584.4279999999999</v>
      </c>
      <c r="K37" s="277">
        <v>1367.364</v>
      </c>
      <c r="L37" s="277">
        <v>1071.914</v>
      </c>
      <c r="M37" s="277">
        <v>347.24200000000002</v>
      </c>
      <c r="N37" s="277"/>
      <c r="O37" s="787">
        <f t="shared" si="14"/>
        <v>2786.5200000000004</v>
      </c>
      <c r="P37" s="788">
        <f t="shared" si="15"/>
        <v>6370.9480000000003</v>
      </c>
      <c r="Q37" s="509">
        <v>6003.5609999999997</v>
      </c>
      <c r="R37" s="277">
        <v>494.47</v>
      </c>
      <c r="S37" s="277">
        <v>2108.0659999999998</v>
      </c>
      <c r="T37" s="277">
        <v>1283.451</v>
      </c>
      <c r="U37" s="277"/>
      <c r="V37" s="787">
        <f t="shared" si="16"/>
        <v>3885.9870000000001</v>
      </c>
      <c r="W37" s="788">
        <f t="shared" si="17"/>
        <v>9889.5479999999989</v>
      </c>
      <c r="X37" s="509">
        <v>3578.1149999999998</v>
      </c>
      <c r="Y37" s="277">
        <v>191.26599999999999</v>
      </c>
      <c r="Z37" s="277">
        <v>1019.758</v>
      </c>
      <c r="AA37" s="277">
        <v>1067.127</v>
      </c>
      <c r="AB37" s="277"/>
      <c r="AC37" s="787">
        <f t="shared" si="18"/>
        <v>2278.1509999999998</v>
      </c>
      <c r="AD37" s="788">
        <f t="shared" si="19"/>
        <v>5856.2659999999996</v>
      </c>
      <c r="AE37" s="509">
        <v>3552.6840000000002</v>
      </c>
      <c r="AF37" s="277"/>
      <c r="AG37" s="277"/>
      <c r="AH37" s="277"/>
      <c r="AI37" s="277"/>
      <c r="AJ37" s="787">
        <f t="shared" si="20"/>
        <v>0</v>
      </c>
      <c r="AK37" s="788">
        <f t="shared" si="21"/>
        <v>3552.6840000000002</v>
      </c>
      <c r="AL37" s="789">
        <f t="shared" si="36"/>
        <v>17957.769999999997</v>
      </c>
      <c r="AM37" s="787">
        <f t="shared" si="37"/>
        <v>1785.7919999999999</v>
      </c>
      <c r="AN37" s="787">
        <f t="shared" si="38"/>
        <v>2694.8270000000002</v>
      </c>
      <c r="AO37" s="787">
        <f t="shared" si="39"/>
        <v>2224.3450000000003</v>
      </c>
      <c r="AP37" s="787">
        <f t="shared" si="40"/>
        <v>1194.701</v>
      </c>
      <c r="AQ37" s="787">
        <f t="shared" si="22"/>
        <v>7899.6650000000009</v>
      </c>
      <c r="AR37" s="788">
        <f t="shared" si="23"/>
        <v>25857.434999999998</v>
      </c>
      <c r="AS37" s="395"/>
      <c r="AT37" s="509">
        <v>761.68799999999999</v>
      </c>
      <c r="AU37" s="277">
        <v>420.13099999999997</v>
      </c>
      <c r="AV37" s="277">
        <v>94.272999999999996</v>
      </c>
      <c r="AW37" s="277">
        <v>199.36699999999999</v>
      </c>
      <c r="AX37" s="277">
        <v>6.9560000000000004</v>
      </c>
      <c r="AY37" s="787">
        <f t="shared" si="24"/>
        <v>720.72699999999998</v>
      </c>
      <c r="AZ37" s="788">
        <f t="shared" si="25"/>
        <v>1482.415</v>
      </c>
      <c r="BA37" s="509">
        <v>-109.514</v>
      </c>
      <c r="BB37" s="277">
        <v>214.90100000000001</v>
      </c>
      <c r="BC37" s="277">
        <v>-148.50899999999999</v>
      </c>
      <c r="BD37" s="277">
        <v>-110.03</v>
      </c>
      <c r="BE37" s="277"/>
      <c r="BF37" s="787">
        <f t="shared" si="26"/>
        <v>-43.637999999999977</v>
      </c>
      <c r="BG37" s="788">
        <f t="shared" si="27"/>
        <v>-153.15199999999999</v>
      </c>
      <c r="BH37" s="509">
        <v>582.66</v>
      </c>
      <c r="BI37" s="277">
        <v>-12.808999999999999</v>
      </c>
      <c r="BJ37" s="277">
        <v>-28.728999999999999</v>
      </c>
      <c r="BK37" s="277">
        <v>21.06</v>
      </c>
      <c r="BL37" s="277"/>
      <c r="BM37" s="787">
        <f t="shared" si="28"/>
        <v>-20.477999999999998</v>
      </c>
      <c r="BN37" s="788">
        <f t="shared" si="29"/>
        <v>562.18200000000002</v>
      </c>
      <c r="BO37" s="509">
        <v>124.946</v>
      </c>
      <c r="BP37" s="277">
        <v>21.905999999999999</v>
      </c>
      <c r="BQ37" s="277">
        <v>160.56399999999999</v>
      </c>
      <c r="BR37" s="277">
        <v>107.065</v>
      </c>
      <c r="BS37" s="277"/>
      <c r="BT37" s="787">
        <f t="shared" si="30"/>
        <v>289.53499999999997</v>
      </c>
      <c r="BU37" s="788">
        <f t="shared" si="31"/>
        <v>414.48099999999999</v>
      </c>
      <c r="BV37" s="509">
        <v>-142.708</v>
      </c>
      <c r="BW37" s="277"/>
      <c r="BX37" s="277"/>
      <c r="BY37" s="277"/>
      <c r="BZ37" s="277"/>
      <c r="CA37" s="787">
        <f t="shared" si="32"/>
        <v>0</v>
      </c>
      <c r="CB37" s="788">
        <f t="shared" si="33"/>
        <v>-142.708</v>
      </c>
      <c r="CC37" s="789">
        <f t="shared" si="41"/>
        <v>306.30399999999997</v>
      </c>
      <c r="CD37" s="787">
        <f t="shared" si="42"/>
        <v>196.13299999999995</v>
      </c>
      <c r="CE37" s="787">
        <f t="shared" si="43"/>
        <v>110.947</v>
      </c>
      <c r="CF37" s="787">
        <f t="shared" si="44"/>
        <v>181.27199999999999</v>
      </c>
      <c r="CG37" s="787">
        <f t="shared" si="45"/>
        <v>6.9560000000000004</v>
      </c>
      <c r="CH37" s="787">
        <f t="shared" si="34"/>
        <v>495.30799999999994</v>
      </c>
      <c r="CI37" s="788">
        <f t="shared" si="35"/>
        <v>801.61199999999985</v>
      </c>
    </row>
    <row r="38" spans="1:87">
      <c r="A38" s="265">
        <f t="shared" si="10"/>
        <v>2011</v>
      </c>
      <c r="B38" s="263">
        <f t="shared" si="11"/>
        <v>40908</v>
      </c>
      <c r="C38" s="509">
        <v>32947.504000000001</v>
      </c>
      <c r="D38" s="277">
        <v>3792.0250000000001</v>
      </c>
      <c r="E38" s="277">
        <v>5223.585</v>
      </c>
      <c r="F38" s="277">
        <v>4321.8019999999997</v>
      </c>
      <c r="G38" s="277">
        <v>1205.5909999999999</v>
      </c>
      <c r="H38" s="787">
        <f t="shared" si="12"/>
        <v>14543.003000000001</v>
      </c>
      <c r="I38" s="788">
        <f t="shared" si="13"/>
        <v>47490.506999999998</v>
      </c>
      <c r="J38" s="509">
        <v>3442.31</v>
      </c>
      <c r="K38" s="277">
        <v>1418.491</v>
      </c>
      <c r="L38" s="277">
        <v>789.59199999999998</v>
      </c>
      <c r="M38" s="277">
        <v>300.48899999999998</v>
      </c>
      <c r="N38" s="277"/>
      <c r="O38" s="787">
        <f t="shared" si="14"/>
        <v>2508.5720000000001</v>
      </c>
      <c r="P38" s="788">
        <f t="shared" si="15"/>
        <v>5950.8819999999996</v>
      </c>
      <c r="Q38" s="509">
        <v>5554.9520000000002</v>
      </c>
      <c r="R38" s="277">
        <v>448.59100000000001</v>
      </c>
      <c r="S38" s="277">
        <v>1455.9870000000001</v>
      </c>
      <c r="T38" s="277">
        <v>993.63900000000001</v>
      </c>
      <c r="U38" s="277"/>
      <c r="V38" s="787">
        <f t="shared" si="16"/>
        <v>2898.2170000000001</v>
      </c>
      <c r="W38" s="788">
        <f t="shared" si="17"/>
        <v>8453.1689999999999</v>
      </c>
      <c r="X38" s="509">
        <v>3087.37</v>
      </c>
      <c r="Y38" s="277">
        <v>195.66300000000001</v>
      </c>
      <c r="Z38" s="277">
        <v>812.26199999999994</v>
      </c>
      <c r="AA38" s="277">
        <v>957.5</v>
      </c>
      <c r="AB38" s="277"/>
      <c r="AC38" s="787">
        <f t="shared" si="18"/>
        <v>1965.425</v>
      </c>
      <c r="AD38" s="788">
        <f t="shared" si="19"/>
        <v>5052.7950000000001</v>
      </c>
      <c r="AE38" s="509">
        <v>3403.1950000000002</v>
      </c>
      <c r="AF38" s="277"/>
      <c r="AG38" s="277"/>
      <c r="AH38" s="277"/>
      <c r="AI38" s="277"/>
      <c r="AJ38" s="787">
        <f t="shared" si="20"/>
        <v>0</v>
      </c>
      <c r="AK38" s="788">
        <f t="shared" si="21"/>
        <v>3403.1950000000002</v>
      </c>
      <c r="AL38" s="789">
        <f t="shared" si="36"/>
        <v>17459.677</v>
      </c>
      <c r="AM38" s="787">
        <f t="shared" si="37"/>
        <v>1729.2800000000002</v>
      </c>
      <c r="AN38" s="787">
        <f t="shared" si="38"/>
        <v>2165.7439999999997</v>
      </c>
      <c r="AO38" s="787">
        <f t="shared" si="39"/>
        <v>2070.174</v>
      </c>
      <c r="AP38" s="787">
        <f t="shared" si="40"/>
        <v>1205.5909999999999</v>
      </c>
      <c r="AQ38" s="787">
        <f t="shared" si="22"/>
        <v>7170.7890000000007</v>
      </c>
      <c r="AR38" s="788">
        <f t="shared" si="23"/>
        <v>24630.466</v>
      </c>
      <c r="AS38" s="395"/>
      <c r="AT38" s="509">
        <v>-17.774999999999999</v>
      </c>
      <c r="AU38" s="277">
        <v>162.68</v>
      </c>
      <c r="AV38" s="277">
        <v>-363.95600000000002</v>
      </c>
      <c r="AW38" s="277">
        <v>9.8759999999999994</v>
      </c>
      <c r="AX38" s="277">
        <v>-36.305999999999997</v>
      </c>
      <c r="AY38" s="787">
        <f t="shared" si="24"/>
        <v>-227.70600000000002</v>
      </c>
      <c r="AZ38" s="788">
        <f t="shared" si="25"/>
        <v>-245.48100000000002</v>
      </c>
      <c r="BA38" s="509">
        <v>-778.12599999999998</v>
      </c>
      <c r="BB38" s="277">
        <v>-6.258</v>
      </c>
      <c r="BC38" s="277">
        <v>-217.75200000000001</v>
      </c>
      <c r="BD38" s="277">
        <v>-94.945999999999998</v>
      </c>
      <c r="BE38" s="277"/>
      <c r="BF38" s="787">
        <f t="shared" si="26"/>
        <v>-318.95600000000002</v>
      </c>
      <c r="BG38" s="788">
        <f t="shared" si="27"/>
        <v>-1097.0819999999999</v>
      </c>
      <c r="BH38" s="509">
        <v>525.09299999999996</v>
      </c>
      <c r="BI38" s="277">
        <v>-11.391999999999999</v>
      </c>
      <c r="BJ38" s="277">
        <v>-46.162999999999997</v>
      </c>
      <c r="BK38" s="277">
        <v>7.8659999999999997</v>
      </c>
      <c r="BL38" s="277"/>
      <c r="BM38" s="787">
        <f t="shared" si="28"/>
        <v>-49.688999999999993</v>
      </c>
      <c r="BN38" s="788">
        <f t="shared" si="29"/>
        <v>475.404</v>
      </c>
      <c r="BO38" s="509">
        <v>-306.25</v>
      </c>
      <c r="BP38" s="277">
        <v>11.419</v>
      </c>
      <c r="BQ38" s="277">
        <v>41.594999999999999</v>
      </c>
      <c r="BR38" s="277">
        <v>-1.335</v>
      </c>
      <c r="BS38" s="277"/>
      <c r="BT38" s="787">
        <f t="shared" si="30"/>
        <v>51.678999999999995</v>
      </c>
      <c r="BU38" s="788">
        <f t="shared" si="31"/>
        <v>-254.571</v>
      </c>
      <c r="BV38" s="509">
        <v>150.91200000000001</v>
      </c>
      <c r="BW38" s="277"/>
      <c r="BX38" s="277"/>
      <c r="BY38" s="277"/>
      <c r="BZ38" s="277"/>
      <c r="CA38" s="787">
        <f t="shared" si="32"/>
        <v>0</v>
      </c>
      <c r="CB38" s="788">
        <f t="shared" si="33"/>
        <v>150.91200000000001</v>
      </c>
      <c r="CC38" s="789">
        <f t="shared" si="41"/>
        <v>390.596</v>
      </c>
      <c r="CD38" s="787">
        <f t="shared" si="42"/>
        <v>168.911</v>
      </c>
      <c r="CE38" s="787">
        <f t="shared" si="43"/>
        <v>-141.636</v>
      </c>
      <c r="CF38" s="787">
        <f t="shared" si="44"/>
        <v>98.290999999999997</v>
      </c>
      <c r="CG38" s="787">
        <f t="shared" si="45"/>
        <v>-36.305999999999997</v>
      </c>
      <c r="CH38" s="787">
        <f t="shared" si="34"/>
        <v>89.26</v>
      </c>
      <c r="CI38" s="788">
        <f t="shared" si="35"/>
        <v>479.85599999999999</v>
      </c>
    </row>
    <row r="39" spans="1:87">
      <c r="A39" s="265">
        <f t="shared" si="10"/>
        <v>2012</v>
      </c>
      <c r="B39" s="263">
        <f t="shared" si="11"/>
        <v>40999</v>
      </c>
      <c r="C39" s="509">
        <v>32520.037</v>
      </c>
      <c r="D39" s="277">
        <v>4282.28</v>
      </c>
      <c r="E39" s="277">
        <v>4692.277</v>
      </c>
      <c r="F39" s="277">
        <v>4148.1099999999997</v>
      </c>
      <c r="G39" s="277">
        <v>1024.028</v>
      </c>
      <c r="H39" s="787">
        <f t="shared" si="12"/>
        <v>14146.695000000002</v>
      </c>
      <c r="I39" s="788">
        <f t="shared" si="13"/>
        <v>46666.732000000004</v>
      </c>
      <c r="J39" s="509">
        <v>3489.1239999999998</v>
      </c>
      <c r="K39" s="277">
        <v>1579.404</v>
      </c>
      <c r="L39" s="277">
        <v>654.678</v>
      </c>
      <c r="M39" s="277">
        <v>308.24</v>
      </c>
      <c r="N39" s="277"/>
      <c r="O39" s="787">
        <f t="shared" si="14"/>
        <v>2542.3220000000001</v>
      </c>
      <c r="P39" s="788">
        <f t="shared" si="15"/>
        <v>6031.4459999999999</v>
      </c>
      <c r="Q39" s="509">
        <v>5595.5860000000002</v>
      </c>
      <c r="R39" s="277">
        <v>563.96199999999999</v>
      </c>
      <c r="S39" s="277">
        <v>1275.039</v>
      </c>
      <c r="T39" s="277">
        <v>1058.6990000000001</v>
      </c>
      <c r="U39" s="277"/>
      <c r="V39" s="787">
        <f t="shared" si="16"/>
        <v>2897.7</v>
      </c>
      <c r="W39" s="788">
        <f t="shared" si="17"/>
        <v>8493.2860000000001</v>
      </c>
      <c r="X39" s="509">
        <v>4950.5450000000001</v>
      </c>
      <c r="Y39" s="277">
        <v>888.46400000000006</v>
      </c>
      <c r="Z39" s="277">
        <v>1454.6569999999999</v>
      </c>
      <c r="AA39" s="277">
        <v>1310.3130000000001</v>
      </c>
      <c r="AB39" s="277"/>
      <c r="AC39" s="787">
        <f t="shared" si="18"/>
        <v>3653.4340000000002</v>
      </c>
      <c r="AD39" s="788">
        <f t="shared" si="19"/>
        <v>8603.9789999999994</v>
      </c>
      <c r="AE39" s="509">
        <v>3313.5189999999998</v>
      </c>
      <c r="AF39" s="277"/>
      <c r="AG39" s="277"/>
      <c r="AH39" s="277"/>
      <c r="AI39" s="277"/>
      <c r="AJ39" s="787">
        <f t="shared" si="20"/>
        <v>0</v>
      </c>
      <c r="AK39" s="788">
        <f t="shared" si="21"/>
        <v>3313.5189999999998</v>
      </c>
      <c r="AL39" s="789">
        <f t="shared" si="36"/>
        <v>15171.263000000003</v>
      </c>
      <c r="AM39" s="787">
        <f t="shared" si="37"/>
        <v>1250.4499999999998</v>
      </c>
      <c r="AN39" s="787">
        <f t="shared" si="38"/>
        <v>1307.9030000000002</v>
      </c>
      <c r="AO39" s="787">
        <f t="shared" si="39"/>
        <v>1470.8579999999993</v>
      </c>
      <c r="AP39" s="787">
        <f t="shared" si="40"/>
        <v>1024.028</v>
      </c>
      <c r="AQ39" s="787">
        <f t="shared" si="22"/>
        <v>5053.2389999999996</v>
      </c>
      <c r="AR39" s="788">
        <f t="shared" si="23"/>
        <v>20224.502</v>
      </c>
      <c r="AS39" s="395"/>
      <c r="AT39" s="509">
        <v>-213.49700000000001</v>
      </c>
      <c r="AU39" s="277">
        <v>-357.00599999999997</v>
      </c>
      <c r="AV39" s="277">
        <v>-876.97400000000005</v>
      </c>
      <c r="AW39" s="277">
        <v>-196.898</v>
      </c>
      <c r="AX39" s="277">
        <v>-47.475999999999999</v>
      </c>
      <c r="AY39" s="787">
        <f t="shared" si="24"/>
        <v>-1478.3539999999998</v>
      </c>
      <c r="AZ39" s="788">
        <f t="shared" si="25"/>
        <v>-1691.8509999999999</v>
      </c>
      <c r="BA39" s="509">
        <v>-1068.634</v>
      </c>
      <c r="BB39" s="277">
        <v>-213.935</v>
      </c>
      <c r="BC39" s="277">
        <v>-251.38300000000001</v>
      </c>
      <c r="BD39" s="277">
        <v>-142.256</v>
      </c>
      <c r="BE39" s="277"/>
      <c r="BF39" s="787">
        <f t="shared" si="26"/>
        <v>-607.57399999999996</v>
      </c>
      <c r="BG39" s="788">
        <f t="shared" si="27"/>
        <v>-1676.2080000000001</v>
      </c>
      <c r="BH39" s="509">
        <v>393.52199999999999</v>
      </c>
      <c r="BI39" s="277">
        <v>-51.5</v>
      </c>
      <c r="BJ39" s="277">
        <v>-168.45500000000001</v>
      </c>
      <c r="BK39" s="277">
        <v>-27.725999999999999</v>
      </c>
      <c r="BL39" s="277"/>
      <c r="BM39" s="787">
        <f t="shared" si="28"/>
        <v>-247.68100000000001</v>
      </c>
      <c r="BN39" s="788">
        <f t="shared" si="29"/>
        <v>145.84099999999998</v>
      </c>
      <c r="BO39" s="509">
        <v>-330.238</v>
      </c>
      <c r="BP39" s="277">
        <v>-8.7159999999999993</v>
      </c>
      <c r="BQ39" s="277">
        <v>-159.69999999999999</v>
      </c>
      <c r="BR39" s="277">
        <v>67.557000000000002</v>
      </c>
      <c r="BS39" s="277"/>
      <c r="BT39" s="787">
        <f t="shared" si="30"/>
        <v>-100.85899999999999</v>
      </c>
      <c r="BU39" s="788">
        <f t="shared" si="31"/>
        <v>-431.09699999999998</v>
      </c>
      <c r="BV39" s="509">
        <v>108.599</v>
      </c>
      <c r="BW39" s="277"/>
      <c r="BX39" s="277"/>
      <c r="BY39" s="277"/>
      <c r="BZ39" s="277"/>
      <c r="CA39" s="787">
        <f t="shared" si="32"/>
        <v>0</v>
      </c>
      <c r="CB39" s="788">
        <f t="shared" si="33"/>
        <v>108.599</v>
      </c>
      <c r="CC39" s="789">
        <f t="shared" si="41"/>
        <v>683.25400000000013</v>
      </c>
      <c r="CD39" s="787">
        <f t="shared" si="42"/>
        <v>-82.854999999999961</v>
      </c>
      <c r="CE39" s="787">
        <f t="shared" si="43"/>
        <v>-297.43600000000004</v>
      </c>
      <c r="CF39" s="787">
        <f t="shared" si="44"/>
        <v>-94.472999999999999</v>
      </c>
      <c r="CG39" s="787">
        <f t="shared" si="45"/>
        <v>-47.475999999999999</v>
      </c>
      <c r="CH39" s="787">
        <f t="shared" si="34"/>
        <v>-522.24</v>
      </c>
      <c r="CI39" s="788">
        <f t="shared" si="35"/>
        <v>161.01400000000012</v>
      </c>
    </row>
    <row r="40" spans="1:87">
      <c r="A40" s="265">
        <f t="shared" si="10"/>
        <v>2012</v>
      </c>
      <c r="B40" s="263">
        <f t="shared" si="11"/>
        <v>41090</v>
      </c>
      <c r="C40" s="509">
        <v>35763.241000000002</v>
      </c>
      <c r="D40" s="277">
        <v>3870.6010000000001</v>
      </c>
      <c r="E40" s="277">
        <v>6316.35</v>
      </c>
      <c r="F40" s="277">
        <v>4404.9040000000005</v>
      </c>
      <c r="G40" s="277">
        <v>1097.1130000000001</v>
      </c>
      <c r="H40" s="787">
        <f t="shared" si="12"/>
        <v>15688.968000000001</v>
      </c>
      <c r="I40" s="788">
        <f t="shared" si="13"/>
        <v>51452.209000000003</v>
      </c>
      <c r="J40" s="509">
        <v>3795.8589999999999</v>
      </c>
      <c r="K40" s="277">
        <v>1339.68</v>
      </c>
      <c r="L40" s="277">
        <v>964.226</v>
      </c>
      <c r="M40" s="277">
        <v>347.43</v>
      </c>
      <c r="N40" s="277"/>
      <c r="O40" s="787">
        <f t="shared" si="14"/>
        <v>2651.3359999999998</v>
      </c>
      <c r="P40" s="788">
        <f t="shared" si="15"/>
        <v>6447.1949999999997</v>
      </c>
      <c r="Q40" s="509">
        <v>6372.9740000000002</v>
      </c>
      <c r="R40" s="277">
        <v>514.24300000000005</v>
      </c>
      <c r="S40" s="277">
        <v>1869.7919999999999</v>
      </c>
      <c r="T40" s="277">
        <v>1035.9939999999999</v>
      </c>
      <c r="U40" s="277"/>
      <c r="V40" s="787">
        <f t="shared" si="16"/>
        <v>3420.0289999999995</v>
      </c>
      <c r="W40" s="788">
        <f t="shared" si="17"/>
        <v>9793.0030000000006</v>
      </c>
      <c r="X40" s="509">
        <v>5742.5479999999998</v>
      </c>
      <c r="Y40" s="277">
        <v>813.48599999999999</v>
      </c>
      <c r="Z40" s="277">
        <v>1885.971</v>
      </c>
      <c r="AA40" s="277">
        <v>1498.567</v>
      </c>
      <c r="AB40" s="277"/>
      <c r="AC40" s="787">
        <f t="shared" si="18"/>
        <v>4198.0239999999994</v>
      </c>
      <c r="AD40" s="788">
        <f t="shared" si="19"/>
        <v>9940.5720000000001</v>
      </c>
      <c r="AE40" s="509">
        <v>4575.6170000000002</v>
      </c>
      <c r="AF40" s="277">
        <v>40.273000000000003</v>
      </c>
      <c r="AG40" s="277"/>
      <c r="AH40" s="277"/>
      <c r="AI40" s="277"/>
      <c r="AJ40" s="787">
        <f t="shared" si="20"/>
        <v>40.273000000000003</v>
      </c>
      <c r="AK40" s="788">
        <f t="shared" si="21"/>
        <v>4615.8900000000003</v>
      </c>
      <c r="AL40" s="789">
        <f t="shared" si="36"/>
        <v>15276.243000000002</v>
      </c>
      <c r="AM40" s="787">
        <f t="shared" si="37"/>
        <v>1162.9189999999999</v>
      </c>
      <c r="AN40" s="787">
        <f t="shared" si="38"/>
        <v>1596.3610000000008</v>
      </c>
      <c r="AO40" s="787">
        <f t="shared" si="39"/>
        <v>1522.9130000000005</v>
      </c>
      <c r="AP40" s="787">
        <f t="shared" si="40"/>
        <v>1097.1130000000001</v>
      </c>
      <c r="AQ40" s="787">
        <f t="shared" si="22"/>
        <v>5379.3060000000014</v>
      </c>
      <c r="AR40" s="788">
        <f t="shared" si="23"/>
        <v>20655.549000000003</v>
      </c>
      <c r="AS40" s="395"/>
      <c r="AT40" s="509">
        <v>1513.6130000000001</v>
      </c>
      <c r="AU40" s="277">
        <v>-104.616</v>
      </c>
      <c r="AV40" s="277">
        <v>-293.62</v>
      </c>
      <c r="AW40" s="277">
        <v>-310.95999999999998</v>
      </c>
      <c r="AX40" s="277">
        <v>-33.104999999999997</v>
      </c>
      <c r="AY40" s="787">
        <f t="shared" si="24"/>
        <v>-742.30099999999993</v>
      </c>
      <c r="AZ40" s="788">
        <f t="shared" si="25"/>
        <v>771.31200000000013</v>
      </c>
      <c r="BA40" s="509">
        <v>-192.738</v>
      </c>
      <c r="BB40" s="277">
        <v>35.981999999999999</v>
      </c>
      <c r="BC40" s="277">
        <v>-47.360999999999997</v>
      </c>
      <c r="BD40" s="277">
        <v>-59.631999999999998</v>
      </c>
      <c r="BE40" s="277"/>
      <c r="BF40" s="787">
        <f t="shared" si="26"/>
        <v>-71.010999999999996</v>
      </c>
      <c r="BG40" s="788">
        <f t="shared" si="27"/>
        <v>-263.74900000000002</v>
      </c>
      <c r="BH40" s="509">
        <v>378.97899999999998</v>
      </c>
      <c r="BI40" s="277">
        <v>-88.242000000000004</v>
      </c>
      <c r="BJ40" s="277">
        <v>-251.57300000000001</v>
      </c>
      <c r="BK40" s="277">
        <v>-189.88499999999999</v>
      </c>
      <c r="BL40" s="277"/>
      <c r="BM40" s="787">
        <f t="shared" si="28"/>
        <v>-529.70000000000005</v>
      </c>
      <c r="BN40" s="788">
        <f t="shared" si="29"/>
        <v>-150.72100000000006</v>
      </c>
      <c r="BO40" s="509">
        <v>122.354</v>
      </c>
      <c r="BP40" s="277">
        <v>13.526999999999999</v>
      </c>
      <c r="BQ40" s="277">
        <v>155.15799999999999</v>
      </c>
      <c r="BR40" s="277">
        <v>78.521000000000001</v>
      </c>
      <c r="BS40" s="277"/>
      <c r="BT40" s="787">
        <f t="shared" si="30"/>
        <v>247.20599999999996</v>
      </c>
      <c r="BU40" s="788">
        <f t="shared" si="31"/>
        <v>369.55999999999995</v>
      </c>
      <c r="BV40" s="509">
        <v>226.34700000000001</v>
      </c>
      <c r="BW40" s="277">
        <v>1.9930000000000001</v>
      </c>
      <c r="BX40" s="277"/>
      <c r="BY40" s="277"/>
      <c r="BZ40" s="277"/>
      <c r="CA40" s="787">
        <f t="shared" si="32"/>
        <v>1.9930000000000001</v>
      </c>
      <c r="CB40" s="788">
        <f t="shared" si="33"/>
        <v>228.34</v>
      </c>
      <c r="CC40" s="789">
        <f t="shared" si="41"/>
        <v>978.67100000000005</v>
      </c>
      <c r="CD40" s="787">
        <f t="shared" si="42"/>
        <v>-67.876000000000005</v>
      </c>
      <c r="CE40" s="787">
        <f t="shared" si="43"/>
        <v>-149.84399999999997</v>
      </c>
      <c r="CF40" s="787">
        <f t="shared" si="44"/>
        <v>-139.964</v>
      </c>
      <c r="CG40" s="787">
        <f t="shared" si="45"/>
        <v>-33.104999999999997</v>
      </c>
      <c r="CH40" s="787">
        <f t="shared" si="34"/>
        <v>-390.78899999999999</v>
      </c>
      <c r="CI40" s="788">
        <f t="shared" si="35"/>
        <v>587.88200000000006</v>
      </c>
    </row>
    <row r="41" spans="1:87">
      <c r="A41" s="265">
        <f t="shared" si="10"/>
        <v>2012</v>
      </c>
      <c r="B41" s="263">
        <f t="shared" si="11"/>
        <v>41182</v>
      </c>
      <c r="C41" s="509">
        <v>34263.076000000001</v>
      </c>
      <c r="D41" s="277">
        <v>3936.8339999999998</v>
      </c>
      <c r="E41" s="277">
        <v>6636.3680000000004</v>
      </c>
      <c r="F41" s="277">
        <v>4897.6530000000002</v>
      </c>
      <c r="G41" s="277">
        <v>914.572</v>
      </c>
      <c r="H41" s="787">
        <f t="shared" si="12"/>
        <v>16385.427</v>
      </c>
      <c r="I41" s="788">
        <f t="shared" si="13"/>
        <v>50648.502999999997</v>
      </c>
      <c r="J41" s="509">
        <v>3566.9490000000001</v>
      </c>
      <c r="K41" s="277">
        <v>1434.3050000000001</v>
      </c>
      <c r="L41" s="277">
        <v>1054.1099999999999</v>
      </c>
      <c r="M41" s="277">
        <v>366.39100000000002</v>
      </c>
      <c r="N41" s="277"/>
      <c r="O41" s="787">
        <f t="shared" si="14"/>
        <v>2854.806</v>
      </c>
      <c r="P41" s="788">
        <f t="shared" si="15"/>
        <v>6421.7550000000001</v>
      </c>
      <c r="Q41" s="509">
        <v>6116.0010000000002</v>
      </c>
      <c r="R41" s="277">
        <v>513.50400000000002</v>
      </c>
      <c r="S41" s="277">
        <v>2042.751</v>
      </c>
      <c r="T41" s="277">
        <v>1307.645</v>
      </c>
      <c r="U41" s="277"/>
      <c r="V41" s="787">
        <f t="shared" si="16"/>
        <v>3863.9</v>
      </c>
      <c r="W41" s="788">
        <f t="shared" si="17"/>
        <v>9979.9009999999998</v>
      </c>
      <c r="X41" s="509">
        <v>5567.1239999999998</v>
      </c>
      <c r="Y41" s="277">
        <v>781.87099999999998</v>
      </c>
      <c r="Z41" s="277">
        <v>1886.749</v>
      </c>
      <c r="AA41" s="277">
        <v>1676.4349999999999</v>
      </c>
      <c r="AB41" s="277"/>
      <c r="AC41" s="787">
        <f t="shared" si="18"/>
        <v>4345.0550000000003</v>
      </c>
      <c r="AD41" s="788">
        <f t="shared" si="19"/>
        <v>9912.1790000000001</v>
      </c>
      <c r="AE41" s="509">
        <v>4266.1809999999996</v>
      </c>
      <c r="AF41" s="277">
        <v>42.274000000000001</v>
      </c>
      <c r="AG41" s="277"/>
      <c r="AH41" s="277"/>
      <c r="AI41" s="277"/>
      <c r="AJ41" s="787">
        <f t="shared" si="20"/>
        <v>42.274000000000001</v>
      </c>
      <c r="AK41" s="788">
        <f t="shared" si="21"/>
        <v>4308.4549999999999</v>
      </c>
      <c r="AL41" s="789">
        <f t="shared" si="36"/>
        <v>14746.821</v>
      </c>
      <c r="AM41" s="787">
        <f t="shared" si="37"/>
        <v>1164.8799999999997</v>
      </c>
      <c r="AN41" s="787">
        <f t="shared" si="38"/>
        <v>1652.7580000000007</v>
      </c>
      <c r="AO41" s="787">
        <f t="shared" si="39"/>
        <v>1547.1820000000002</v>
      </c>
      <c r="AP41" s="787">
        <f t="shared" si="40"/>
        <v>914.572</v>
      </c>
      <c r="AQ41" s="787">
        <f t="shared" si="22"/>
        <v>5279.3920000000007</v>
      </c>
      <c r="AR41" s="788">
        <f t="shared" si="23"/>
        <v>20026.213</v>
      </c>
      <c r="AS41" s="395"/>
      <c r="AT41" s="509">
        <v>564.04100000000005</v>
      </c>
      <c r="AU41" s="277">
        <v>187.41499999999999</v>
      </c>
      <c r="AV41" s="277">
        <v>309.95999999999998</v>
      </c>
      <c r="AW41" s="277">
        <v>327.94799999999998</v>
      </c>
      <c r="AX41" s="277">
        <v>-19.657</v>
      </c>
      <c r="AY41" s="787">
        <f t="shared" si="24"/>
        <v>805.66599999999994</v>
      </c>
      <c r="AZ41" s="788">
        <f t="shared" si="25"/>
        <v>1369.7069999999999</v>
      </c>
      <c r="BA41" s="509">
        <v>-318.97800000000001</v>
      </c>
      <c r="BB41" s="277">
        <v>131.26</v>
      </c>
      <c r="BC41" s="277">
        <v>-31.803000000000001</v>
      </c>
      <c r="BD41" s="277">
        <v>-37.401000000000003</v>
      </c>
      <c r="BE41" s="277"/>
      <c r="BF41" s="787">
        <f t="shared" si="26"/>
        <v>62.05599999999999</v>
      </c>
      <c r="BG41" s="788">
        <f t="shared" si="27"/>
        <v>-256.92200000000003</v>
      </c>
      <c r="BH41" s="509">
        <v>285.91899999999998</v>
      </c>
      <c r="BI41" s="277">
        <v>85.167000000000002</v>
      </c>
      <c r="BJ41" s="277">
        <v>472.21199999999999</v>
      </c>
      <c r="BK41" s="277">
        <v>326.63299999999998</v>
      </c>
      <c r="BL41" s="277"/>
      <c r="BM41" s="787">
        <f t="shared" si="28"/>
        <v>884.01199999999994</v>
      </c>
      <c r="BN41" s="788">
        <f t="shared" si="29"/>
        <v>1169.931</v>
      </c>
      <c r="BO41" s="509">
        <v>-294.10700000000003</v>
      </c>
      <c r="BP41" s="277">
        <v>46.146000000000001</v>
      </c>
      <c r="BQ41" s="277">
        <v>50.005000000000003</v>
      </c>
      <c r="BR41" s="277">
        <v>172.851</v>
      </c>
      <c r="BS41" s="277"/>
      <c r="BT41" s="787">
        <f t="shared" si="30"/>
        <v>269.00200000000001</v>
      </c>
      <c r="BU41" s="788">
        <f t="shared" si="31"/>
        <v>-25.105000000000018</v>
      </c>
      <c r="BV41" s="509">
        <v>15.904999999999999</v>
      </c>
      <c r="BW41" s="277">
        <v>0.159</v>
      </c>
      <c r="BX41" s="277"/>
      <c r="BY41" s="277"/>
      <c r="BZ41" s="277"/>
      <c r="CA41" s="787">
        <f t="shared" si="32"/>
        <v>0.159</v>
      </c>
      <c r="CB41" s="788">
        <f t="shared" si="33"/>
        <v>16.064</v>
      </c>
      <c r="CC41" s="789">
        <f t="shared" si="41"/>
        <v>875.30200000000013</v>
      </c>
      <c r="CD41" s="787">
        <f t="shared" si="42"/>
        <v>-75.316999999999979</v>
      </c>
      <c r="CE41" s="787">
        <f t="shared" si="43"/>
        <v>-180.45400000000001</v>
      </c>
      <c r="CF41" s="787">
        <f t="shared" si="44"/>
        <v>-134.13499999999999</v>
      </c>
      <c r="CG41" s="787">
        <f t="shared" si="45"/>
        <v>-19.657</v>
      </c>
      <c r="CH41" s="787">
        <f t="shared" si="34"/>
        <v>-409.56299999999993</v>
      </c>
      <c r="CI41" s="788">
        <f t="shared" si="35"/>
        <v>465.7390000000002</v>
      </c>
    </row>
    <row r="42" spans="1:87">
      <c r="A42" s="265">
        <f t="shared" si="10"/>
        <v>2012</v>
      </c>
      <c r="B42" s="263">
        <f t="shared" si="11"/>
        <v>41274</v>
      </c>
      <c r="C42" s="509">
        <v>33283.857000000004</v>
      </c>
      <c r="D42" s="277">
        <v>3865.6030000000001</v>
      </c>
      <c r="E42" s="277">
        <v>5032.4009999999998</v>
      </c>
      <c r="F42" s="277">
        <v>4215.3999999999996</v>
      </c>
      <c r="G42" s="277">
        <v>940.54399999999998</v>
      </c>
      <c r="H42" s="787">
        <f t="shared" si="12"/>
        <v>14053.948</v>
      </c>
      <c r="I42" s="788">
        <f t="shared" si="13"/>
        <v>47337.805000000008</v>
      </c>
      <c r="J42" s="509">
        <v>3404.5650000000001</v>
      </c>
      <c r="K42" s="277">
        <v>1459.528</v>
      </c>
      <c r="L42" s="277">
        <v>738.18700000000001</v>
      </c>
      <c r="M42" s="277">
        <v>322.39100000000002</v>
      </c>
      <c r="N42" s="277"/>
      <c r="O42" s="787">
        <f t="shared" si="14"/>
        <v>2520.1060000000002</v>
      </c>
      <c r="P42" s="788">
        <f t="shared" si="15"/>
        <v>5924.6710000000003</v>
      </c>
      <c r="Q42" s="509">
        <v>5760.7489999999998</v>
      </c>
      <c r="R42" s="277">
        <v>481.61200000000002</v>
      </c>
      <c r="S42" s="277">
        <v>1418.0909999999999</v>
      </c>
      <c r="T42" s="277">
        <v>990.32500000000005</v>
      </c>
      <c r="U42" s="277"/>
      <c r="V42" s="787">
        <f t="shared" si="16"/>
        <v>2890.0280000000002</v>
      </c>
      <c r="W42" s="788">
        <f t="shared" si="17"/>
        <v>8650.777</v>
      </c>
      <c r="X42" s="509">
        <v>5062.1620000000003</v>
      </c>
      <c r="Y42" s="277">
        <v>749.11699999999996</v>
      </c>
      <c r="Z42" s="277">
        <v>1490.7339999999999</v>
      </c>
      <c r="AA42" s="277">
        <v>1401.4269999999999</v>
      </c>
      <c r="AB42" s="277"/>
      <c r="AC42" s="787">
        <f t="shared" si="18"/>
        <v>3641.2779999999993</v>
      </c>
      <c r="AD42" s="788">
        <f t="shared" si="19"/>
        <v>8703.4399999999987</v>
      </c>
      <c r="AE42" s="509">
        <v>4132.8209999999999</v>
      </c>
      <c r="AF42" s="277">
        <v>39.911000000000001</v>
      </c>
      <c r="AG42" s="277"/>
      <c r="AH42" s="277"/>
      <c r="AI42" s="277"/>
      <c r="AJ42" s="787">
        <f t="shared" si="20"/>
        <v>39.911000000000001</v>
      </c>
      <c r="AK42" s="788">
        <f t="shared" si="21"/>
        <v>4172.732</v>
      </c>
      <c r="AL42" s="789">
        <f t="shared" si="36"/>
        <v>14923.560000000005</v>
      </c>
      <c r="AM42" s="787">
        <f t="shared" si="37"/>
        <v>1135.4349999999999</v>
      </c>
      <c r="AN42" s="787">
        <f t="shared" si="38"/>
        <v>1385.3890000000001</v>
      </c>
      <c r="AO42" s="787">
        <f t="shared" si="39"/>
        <v>1501.2569999999996</v>
      </c>
      <c r="AP42" s="787">
        <f t="shared" si="40"/>
        <v>940.54399999999998</v>
      </c>
      <c r="AQ42" s="787">
        <f t="shared" si="22"/>
        <v>4962.625</v>
      </c>
      <c r="AR42" s="788">
        <f t="shared" si="23"/>
        <v>19886.185000000005</v>
      </c>
      <c r="AS42" s="395"/>
      <c r="AT42" s="509">
        <v>348.01900000000001</v>
      </c>
      <c r="AU42" s="277">
        <v>169.23699999999999</v>
      </c>
      <c r="AV42" s="277">
        <v>-269.38200000000001</v>
      </c>
      <c r="AW42" s="277">
        <v>-240.08199999999999</v>
      </c>
      <c r="AX42" s="277">
        <v>-93.23</v>
      </c>
      <c r="AY42" s="787">
        <f t="shared" si="24"/>
        <v>-433.45699999999999</v>
      </c>
      <c r="AZ42" s="788">
        <f t="shared" si="25"/>
        <v>-85.437999999999988</v>
      </c>
      <c r="BA42" s="509">
        <v>96.975999999999999</v>
      </c>
      <c r="BB42" s="277">
        <v>221.46899999999999</v>
      </c>
      <c r="BC42" s="277">
        <v>-10.276</v>
      </c>
      <c r="BD42" s="277">
        <v>-37.390999999999998</v>
      </c>
      <c r="BE42" s="277"/>
      <c r="BF42" s="787">
        <f t="shared" si="26"/>
        <v>173.80199999999999</v>
      </c>
      <c r="BG42" s="788">
        <f t="shared" si="27"/>
        <v>270.77800000000002</v>
      </c>
      <c r="BH42" s="509">
        <v>-187.761</v>
      </c>
      <c r="BI42" s="277">
        <v>4.7480000000000002</v>
      </c>
      <c r="BJ42" s="277">
        <v>96.744</v>
      </c>
      <c r="BK42" s="277">
        <v>65.846999999999994</v>
      </c>
      <c r="BL42" s="277"/>
      <c r="BM42" s="787">
        <f t="shared" si="28"/>
        <v>167.339</v>
      </c>
      <c r="BN42" s="788">
        <f t="shared" si="29"/>
        <v>-20.421999999999997</v>
      </c>
      <c r="BO42" s="509">
        <v>-415.86</v>
      </c>
      <c r="BP42" s="277">
        <v>7.13</v>
      </c>
      <c r="BQ42" s="277">
        <v>-101.262</v>
      </c>
      <c r="BR42" s="277">
        <v>-64.343999999999994</v>
      </c>
      <c r="BS42" s="277"/>
      <c r="BT42" s="787">
        <f t="shared" si="30"/>
        <v>-158.476</v>
      </c>
      <c r="BU42" s="788">
        <f t="shared" si="31"/>
        <v>-574.33600000000001</v>
      </c>
      <c r="BV42" s="509">
        <v>77.557000000000002</v>
      </c>
      <c r="BW42" s="277">
        <v>0.748</v>
      </c>
      <c r="BX42" s="277"/>
      <c r="BY42" s="277"/>
      <c r="BZ42" s="277"/>
      <c r="CA42" s="787">
        <f t="shared" si="32"/>
        <v>0.748</v>
      </c>
      <c r="CB42" s="788">
        <f t="shared" si="33"/>
        <v>78.305000000000007</v>
      </c>
      <c r="CC42" s="789">
        <f t="shared" si="41"/>
        <v>777.10699999999997</v>
      </c>
      <c r="CD42" s="787">
        <f t="shared" si="42"/>
        <v>-64.857999999999976</v>
      </c>
      <c r="CE42" s="787">
        <f t="shared" si="43"/>
        <v>-254.58800000000002</v>
      </c>
      <c r="CF42" s="787">
        <f t="shared" si="44"/>
        <v>-204.19399999999999</v>
      </c>
      <c r="CG42" s="787">
        <f t="shared" si="45"/>
        <v>-93.23</v>
      </c>
      <c r="CH42" s="787">
        <f t="shared" si="34"/>
        <v>-616.87</v>
      </c>
      <c r="CI42" s="788">
        <f t="shared" si="35"/>
        <v>160.23699999999997</v>
      </c>
    </row>
    <row r="43" spans="1:87">
      <c r="A43" s="265">
        <f t="shared" si="10"/>
        <v>2013</v>
      </c>
      <c r="B43" s="263">
        <f t="shared" si="11"/>
        <v>41364</v>
      </c>
      <c r="C43" s="509">
        <v>32682.300999999999</v>
      </c>
      <c r="D43" s="277">
        <v>4777.2020000000002</v>
      </c>
      <c r="E43" s="277">
        <v>4618.4129999999996</v>
      </c>
      <c r="F43" s="277">
        <v>3908.2339999999999</v>
      </c>
      <c r="G43" s="277">
        <v>786.87800000000004</v>
      </c>
      <c r="H43" s="787">
        <f t="shared" si="12"/>
        <v>14090.727000000001</v>
      </c>
      <c r="I43" s="788">
        <f t="shared" si="13"/>
        <v>46773.027999999998</v>
      </c>
      <c r="J43" s="509">
        <v>3496.5680000000002</v>
      </c>
      <c r="K43" s="277">
        <v>1650.8119999999999</v>
      </c>
      <c r="L43" s="277">
        <v>654.202</v>
      </c>
      <c r="M43" s="277">
        <v>283.44499999999999</v>
      </c>
      <c r="N43" s="277"/>
      <c r="O43" s="787">
        <f t="shared" si="14"/>
        <v>2588.4590000000003</v>
      </c>
      <c r="P43" s="788">
        <f t="shared" si="15"/>
        <v>6085.027</v>
      </c>
      <c r="Q43" s="509">
        <v>5669.9539999999997</v>
      </c>
      <c r="R43" s="277">
        <v>588.15</v>
      </c>
      <c r="S43" s="277">
        <v>1237.81</v>
      </c>
      <c r="T43" s="277">
        <v>1013.242</v>
      </c>
      <c r="U43" s="277"/>
      <c r="V43" s="787">
        <f t="shared" si="16"/>
        <v>2839.2020000000002</v>
      </c>
      <c r="W43" s="788">
        <f t="shared" si="17"/>
        <v>8509.155999999999</v>
      </c>
      <c r="X43" s="509">
        <v>5022.2969999999996</v>
      </c>
      <c r="Y43" s="277">
        <v>878.45</v>
      </c>
      <c r="Z43" s="277">
        <v>1443.992</v>
      </c>
      <c r="AA43" s="277">
        <v>1378.3710000000001</v>
      </c>
      <c r="AB43" s="277"/>
      <c r="AC43" s="787">
        <f t="shared" si="18"/>
        <v>3700.8130000000001</v>
      </c>
      <c r="AD43" s="788">
        <f t="shared" si="19"/>
        <v>8723.11</v>
      </c>
      <c r="AE43" s="509">
        <v>4033.817</v>
      </c>
      <c r="AF43" s="277">
        <v>50.268999999999998</v>
      </c>
      <c r="AG43" s="277"/>
      <c r="AH43" s="277"/>
      <c r="AI43" s="277"/>
      <c r="AJ43" s="787">
        <f t="shared" si="20"/>
        <v>50.268999999999998</v>
      </c>
      <c r="AK43" s="788">
        <f t="shared" si="21"/>
        <v>4084.0859999999998</v>
      </c>
      <c r="AL43" s="789">
        <f t="shared" si="36"/>
        <v>14459.665000000001</v>
      </c>
      <c r="AM43" s="787">
        <f t="shared" si="37"/>
        <v>1609.5210000000002</v>
      </c>
      <c r="AN43" s="787">
        <f t="shared" si="38"/>
        <v>1282.4089999999997</v>
      </c>
      <c r="AO43" s="787">
        <f t="shared" si="39"/>
        <v>1233.1759999999999</v>
      </c>
      <c r="AP43" s="787">
        <f t="shared" si="40"/>
        <v>786.87800000000004</v>
      </c>
      <c r="AQ43" s="787">
        <f t="shared" si="22"/>
        <v>4911.9839999999995</v>
      </c>
      <c r="AR43" s="788">
        <f t="shared" si="23"/>
        <v>19371.649000000001</v>
      </c>
      <c r="AS43" s="395"/>
      <c r="AT43" s="509">
        <v>227.114</v>
      </c>
      <c r="AU43" s="277">
        <v>290.32600000000002</v>
      </c>
      <c r="AV43" s="277">
        <v>-372.745</v>
      </c>
      <c r="AW43" s="277">
        <v>-335.84699999999998</v>
      </c>
      <c r="AX43" s="277">
        <v>145.52199999999999</v>
      </c>
      <c r="AY43" s="787">
        <f t="shared" si="24"/>
        <v>-272.74399999999997</v>
      </c>
      <c r="AZ43" s="788">
        <f t="shared" si="25"/>
        <v>-45.629999999999967</v>
      </c>
      <c r="BA43" s="509">
        <v>-219.81100000000001</v>
      </c>
      <c r="BB43" s="277">
        <v>114.791</v>
      </c>
      <c r="BC43" s="277">
        <v>-59.545999999999999</v>
      </c>
      <c r="BD43" s="277">
        <v>-88.281999999999996</v>
      </c>
      <c r="BE43" s="277"/>
      <c r="BF43" s="787">
        <f t="shared" si="26"/>
        <v>-33.036999999999999</v>
      </c>
      <c r="BG43" s="788">
        <f t="shared" si="27"/>
        <v>-252.84800000000001</v>
      </c>
      <c r="BH43" s="509">
        <v>-141.74299999999999</v>
      </c>
      <c r="BI43" s="277">
        <v>0.112</v>
      </c>
      <c r="BJ43" s="277">
        <v>59.956000000000003</v>
      </c>
      <c r="BK43" s="277">
        <v>88.435000000000002</v>
      </c>
      <c r="BL43" s="277"/>
      <c r="BM43" s="787">
        <f t="shared" si="28"/>
        <v>148.50300000000001</v>
      </c>
      <c r="BN43" s="788">
        <f t="shared" si="29"/>
        <v>6.7600000000000193</v>
      </c>
      <c r="BO43" s="509">
        <v>-256.97899999999998</v>
      </c>
      <c r="BP43" s="277">
        <v>-5.282</v>
      </c>
      <c r="BQ43" s="277">
        <v>-63.377000000000002</v>
      </c>
      <c r="BR43" s="277">
        <v>-35.887999999999998</v>
      </c>
      <c r="BS43" s="277"/>
      <c r="BT43" s="787">
        <f t="shared" si="30"/>
        <v>-104.547</v>
      </c>
      <c r="BU43" s="788">
        <f t="shared" si="31"/>
        <v>-361.52599999999995</v>
      </c>
      <c r="BV43" s="509">
        <v>57.808</v>
      </c>
      <c r="BW43" s="277">
        <v>0.72</v>
      </c>
      <c r="BX43" s="277"/>
      <c r="BY43" s="277"/>
      <c r="BZ43" s="277"/>
      <c r="CA43" s="787">
        <f t="shared" si="32"/>
        <v>0.72</v>
      </c>
      <c r="CB43" s="788">
        <f t="shared" si="33"/>
        <v>58.527999999999999</v>
      </c>
      <c r="CC43" s="789">
        <f t="shared" si="41"/>
        <v>787.83899999999994</v>
      </c>
      <c r="CD43" s="787">
        <f t="shared" si="42"/>
        <v>179.98500000000001</v>
      </c>
      <c r="CE43" s="787">
        <f t="shared" si="43"/>
        <v>-309.77800000000002</v>
      </c>
      <c r="CF43" s="787">
        <f t="shared" si="44"/>
        <v>-300.11199999999997</v>
      </c>
      <c r="CG43" s="787">
        <f t="shared" si="45"/>
        <v>145.52199999999999</v>
      </c>
      <c r="CH43" s="787">
        <f t="shared" si="34"/>
        <v>-284.38299999999998</v>
      </c>
      <c r="CI43" s="788">
        <f t="shared" si="35"/>
        <v>503.45599999999996</v>
      </c>
    </row>
    <row r="44" spans="1:87">
      <c r="A44" s="265">
        <f t="shared" si="10"/>
        <v>2013</v>
      </c>
      <c r="B44" s="263">
        <f t="shared" si="11"/>
        <v>41455</v>
      </c>
      <c r="C44" s="509">
        <v>35527.896000000001</v>
      </c>
      <c r="D44" s="277">
        <v>4087.433</v>
      </c>
      <c r="E44" s="277">
        <v>6424.1189999999997</v>
      </c>
      <c r="F44" s="277">
        <v>4283.3519999999999</v>
      </c>
      <c r="G44" s="277">
        <v>805.50599999999997</v>
      </c>
      <c r="H44" s="787">
        <f t="shared" si="12"/>
        <v>15600.409999999998</v>
      </c>
      <c r="I44" s="788">
        <f t="shared" si="13"/>
        <v>51128.305999999997</v>
      </c>
      <c r="J44" s="509">
        <v>3697.846</v>
      </c>
      <c r="K44" s="277">
        <v>1401.598</v>
      </c>
      <c r="L44" s="277">
        <v>997.27</v>
      </c>
      <c r="M44" s="277">
        <v>340.10500000000002</v>
      </c>
      <c r="N44" s="277"/>
      <c r="O44" s="787">
        <f t="shared" si="14"/>
        <v>2738.973</v>
      </c>
      <c r="P44" s="788">
        <f t="shared" si="15"/>
        <v>6436.8189999999995</v>
      </c>
      <c r="Q44" s="509">
        <v>6351.1459999999997</v>
      </c>
      <c r="R44" s="277">
        <v>529.42200000000003</v>
      </c>
      <c r="S44" s="277">
        <v>1837.8119999999999</v>
      </c>
      <c r="T44" s="277">
        <v>997.60400000000004</v>
      </c>
      <c r="U44" s="277"/>
      <c r="V44" s="787">
        <f t="shared" si="16"/>
        <v>3364.8379999999997</v>
      </c>
      <c r="W44" s="788">
        <f t="shared" si="17"/>
        <v>9715.9840000000004</v>
      </c>
      <c r="X44" s="509">
        <v>5764.9229999999998</v>
      </c>
      <c r="Y44" s="277">
        <v>788.26900000000001</v>
      </c>
      <c r="Z44" s="277">
        <v>1983.615</v>
      </c>
      <c r="AA44" s="277">
        <v>1466.2170000000001</v>
      </c>
      <c r="AB44" s="277"/>
      <c r="AC44" s="787">
        <f t="shared" si="18"/>
        <v>4238.1010000000006</v>
      </c>
      <c r="AD44" s="788">
        <f t="shared" si="19"/>
        <v>10003.024000000001</v>
      </c>
      <c r="AE44" s="509">
        <v>4585.6130000000003</v>
      </c>
      <c r="AF44" s="277">
        <v>56.892000000000003</v>
      </c>
      <c r="AG44" s="277"/>
      <c r="AH44" s="277"/>
      <c r="AI44" s="277"/>
      <c r="AJ44" s="787">
        <f t="shared" si="20"/>
        <v>56.892000000000003</v>
      </c>
      <c r="AK44" s="788">
        <f t="shared" si="21"/>
        <v>4642.5050000000001</v>
      </c>
      <c r="AL44" s="789">
        <f t="shared" si="36"/>
        <v>15128.367999999999</v>
      </c>
      <c r="AM44" s="787">
        <f t="shared" si="37"/>
        <v>1311.2520000000004</v>
      </c>
      <c r="AN44" s="787">
        <f t="shared" si="38"/>
        <v>1605.4219999999996</v>
      </c>
      <c r="AO44" s="787">
        <f t="shared" si="39"/>
        <v>1479.4259999999995</v>
      </c>
      <c r="AP44" s="787">
        <f t="shared" si="40"/>
        <v>805.50599999999997</v>
      </c>
      <c r="AQ44" s="787">
        <f t="shared" si="22"/>
        <v>5201.6059999999998</v>
      </c>
      <c r="AR44" s="788">
        <f t="shared" si="23"/>
        <v>20329.973999999998</v>
      </c>
      <c r="AS44" s="395"/>
      <c r="AT44" s="509">
        <v>2147.2069999999999</v>
      </c>
      <c r="AU44" s="277">
        <v>-59.773000000000003</v>
      </c>
      <c r="AV44" s="277">
        <v>299.87099999999998</v>
      </c>
      <c r="AW44" s="277">
        <v>-198.5</v>
      </c>
      <c r="AX44" s="277">
        <v>-42.398000000000003</v>
      </c>
      <c r="AY44" s="787">
        <f t="shared" si="24"/>
        <v>-0.80000000000001847</v>
      </c>
      <c r="AZ44" s="788">
        <f t="shared" si="25"/>
        <v>2146.4069999999997</v>
      </c>
      <c r="BA44" s="509">
        <v>106.718</v>
      </c>
      <c r="BB44" s="277">
        <v>103.164</v>
      </c>
      <c r="BC44" s="277">
        <v>80.866</v>
      </c>
      <c r="BD44" s="277">
        <v>-62.991999999999997</v>
      </c>
      <c r="BE44" s="277"/>
      <c r="BF44" s="787">
        <f t="shared" si="26"/>
        <v>121.03800000000001</v>
      </c>
      <c r="BG44" s="788">
        <f t="shared" si="27"/>
        <v>227.75600000000003</v>
      </c>
      <c r="BH44" s="509">
        <v>403.51600000000002</v>
      </c>
      <c r="BI44" s="277">
        <v>-36.448999999999998</v>
      </c>
      <c r="BJ44" s="277">
        <v>231.93</v>
      </c>
      <c r="BK44" s="277">
        <v>89.703999999999994</v>
      </c>
      <c r="BL44" s="277"/>
      <c r="BM44" s="787">
        <f t="shared" si="28"/>
        <v>285.185</v>
      </c>
      <c r="BN44" s="788">
        <f t="shared" si="29"/>
        <v>688.70100000000002</v>
      </c>
      <c r="BO44" s="509">
        <v>272.03500000000003</v>
      </c>
      <c r="BP44" s="277">
        <v>-31.311</v>
      </c>
      <c r="BQ44" s="277">
        <v>231.273</v>
      </c>
      <c r="BR44" s="277">
        <v>12.02</v>
      </c>
      <c r="BS44" s="277"/>
      <c r="BT44" s="787">
        <f t="shared" si="30"/>
        <v>211.982</v>
      </c>
      <c r="BU44" s="788">
        <f t="shared" si="31"/>
        <v>484.01700000000005</v>
      </c>
      <c r="BV44" s="509">
        <v>221.28</v>
      </c>
      <c r="BW44" s="277">
        <v>2.7450000000000001</v>
      </c>
      <c r="BX44" s="277"/>
      <c r="BY44" s="277"/>
      <c r="BZ44" s="277"/>
      <c r="CA44" s="787">
        <f t="shared" si="32"/>
        <v>2.7450000000000001</v>
      </c>
      <c r="CB44" s="788">
        <f t="shared" si="33"/>
        <v>224.02500000000001</v>
      </c>
      <c r="CC44" s="789">
        <f t="shared" si="41"/>
        <v>1143.6579999999999</v>
      </c>
      <c r="CD44" s="787">
        <f t="shared" si="42"/>
        <v>-97.921999999999997</v>
      </c>
      <c r="CE44" s="787">
        <f t="shared" si="43"/>
        <v>-244.19799999999998</v>
      </c>
      <c r="CF44" s="787">
        <f t="shared" si="44"/>
        <v>-237.232</v>
      </c>
      <c r="CG44" s="787">
        <f t="shared" si="45"/>
        <v>-42.398000000000003</v>
      </c>
      <c r="CH44" s="787">
        <f t="shared" si="34"/>
        <v>-621.75</v>
      </c>
      <c r="CI44" s="788">
        <f t="shared" si="35"/>
        <v>521.9079999999999</v>
      </c>
    </row>
    <row r="45" spans="1:87">
      <c r="A45" s="265">
        <f t="shared" si="10"/>
        <v>2013</v>
      </c>
      <c r="B45" s="263">
        <f t="shared" si="11"/>
        <v>41547</v>
      </c>
      <c r="C45" s="509">
        <v>35990.506000000001</v>
      </c>
      <c r="D45" s="277">
        <v>4239.7979999999998</v>
      </c>
      <c r="E45" s="277">
        <v>7084.0020000000004</v>
      </c>
      <c r="F45" s="277">
        <v>4654.1620000000003</v>
      </c>
      <c r="G45" s="277">
        <v>802.94299999999998</v>
      </c>
      <c r="H45" s="787">
        <f t="shared" si="12"/>
        <v>16780.904999999999</v>
      </c>
      <c r="I45" s="788">
        <f t="shared" si="13"/>
        <v>52771.411</v>
      </c>
      <c r="J45" s="509">
        <v>3734.7620000000002</v>
      </c>
      <c r="K45" s="277">
        <v>1589.0260000000001</v>
      </c>
      <c r="L45" s="277">
        <v>1129.32</v>
      </c>
      <c r="M45" s="277">
        <v>363.5</v>
      </c>
      <c r="N45" s="277"/>
      <c r="O45" s="787">
        <f t="shared" si="14"/>
        <v>3081.846</v>
      </c>
      <c r="P45" s="788">
        <f t="shared" si="15"/>
        <v>6816.6080000000002</v>
      </c>
      <c r="Q45" s="509">
        <v>6566.7950000000001</v>
      </c>
      <c r="R45" s="277">
        <v>587.09100000000001</v>
      </c>
      <c r="S45" s="277">
        <v>2133.5140000000001</v>
      </c>
      <c r="T45" s="277">
        <v>1219.5640000000001</v>
      </c>
      <c r="U45" s="277"/>
      <c r="V45" s="787">
        <f t="shared" si="16"/>
        <v>3940.1689999999999</v>
      </c>
      <c r="W45" s="788">
        <f t="shared" si="17"/>
        <v>10506.964</v>
      </c>
      <c r="X45" s="509">
        <v>5792.6670000000004</v>
      </c>
      <c r="Y45" s="277">
        <v>803.351</v>
      </c>
      <c r="Z45" s="277">
        <v>2087.837</v>
      </c>
      <c r="AA45" s="277">
        <v>1546.038</v>
      </c>
      <c r="AB45" s="277"/>
      <c r="AC45" s="787">
        <f t="shared" si="18"/>
        <v>4437.2260000000006</v>
      </c>
      <c r="AD45" s="788">
        <f t="shared" si="19"/>
        <v>10229.893</v>
      </c>
      <c r="AE45" s="509">
        <v>4488.3029999999999</v>
      </c>
      <c r="AF45" s="277">
        <v>56.387999999999998</v>
      </c>
      <c r="AG45" s="277"/>
      <c r="AH45" s="277"/>
      <c r="AI45" s="277"/>
      <c r="AJ45" s="787">
        <f t="shared" si="20"/>
        <v>56.387999999999998</v>
      </c>
      <c r="AK45" s="788">
        <f t="shared" si="21"/>
        <v>4544.6909999999998</v>
      </c>
      <c r="AL45" s="789">
        <f t="shared" si="36"/>
        <v>15407.978999999999</v>
      </c>
      <c r="AM45" s="787">
        <f t="shared" si="37"/>
        <v>1203.9419999999996</v>
      </c>
      <c r="AN45" s="787">
        <f t="shared" si="38"/>
        <v>1733.3310000000001</v>
      </c>
      <c r="AO45" s="787">
        <f t="shared" si="39"/>
        <v>1525.0600000000004</v>
      </c>
      <c r="AP45" s="787">
        <f t="shared" si="40"/>
        <v>802.94299999999998</v>
      </c>
      <c r="AQ45" s="787">
        <f t="shared" si="22"/>
        <v>5265.2760000000007</v>
      </c>
      <c r="AR45" s="788">
        <f t="shared" si="23"/>
        <v>20673.255000000001</v>
      </c>
      <c r="AS45" s="395"/>
      <c r="AT45" s="509">
        <v>2384.395</v>
      </c>
      <c r="AU45" s="277">
        <v>125.408</v>
      </c>
      <c r="AV45" s="277">
        <v>620.32000000000005</v>
      </c>
      <c r="AW45" s="277">
        <v>83.531999999999996</v>
      </c>
      <c r="AX45" s="277">
        <v>9.0860000000000003</v>
      </c>
      <c r="AY45" s="787">
        <f t="shared" si="24"/>
        <v>838.34600000000012</v>
      </c>
      <c r="AZ45" s="788">
        <f t="shared" si="25"/>
        <v>3222.741</v>
      </c>
      <c r="BA45" s="509">
        <v>40.360999999999997</v>
      </c>
      <c r="BB45" s="277">
        <v>204.26499999999999</v>
      </c>
      <c r="BC45" s="277">
        <v>113.783</v>
      </c>
      <c r="BD45" s="277">
        <v>-68.569999999999993</v>
      </c>
      <c r="BE45" s="277"/>
      <c r="BF45" s="787">
        <f t="shared" si="26"/>
        <v>249.47800000000001</v>
      </c>
      <c r="BG45" s="788">
        <f t="shared" si="27"/>
        <v>289.839</v>
      </c>
      <c r="BH45" s="509">
        <v>650.00099999999998</v>
      </c>
      <c r="BI45" s="277">
        <v>-16.111999999999998</v>
      </c>
      <c r="BJ45" s="277">
        <v>478.31700000000001</v>
      </c>
      <c r="BK45" s="277">
        <v>259.44200000000001</v>
      </c>
      <c r="BL45" s="277"/>
      <c r="BM45" s="787">
        <f t="shared" si="28"/>
        <v>721.64699999999993</v>
      </c>
      <c r="BN45" s="788">
        <f t="shared" si="29"/>
        <v>1371.6479999999999</v>
      </c>
      <c r="BO45" s="509">
        <v>78.899000000000001</v>
      </c>
      <c r="BP45" s="277">
        <v>40.055</v>
      </c>
      <c r="BQ45" s="277">
        <v>194.95400000000001</v>
      </c>
      <c r="BR45" s="277">
        <v>63.475000000000001</v>
      </c>
      <c r="BS45" s="277"/>
      <c r="BT45" s="787">
        <f t="shared" si="30"/>
        <v>298.48400000000004</v>
      </c>
      <c r="BU45" s="788">
        <f t="shared" si="31"/>
        <v>377.38300000000004</v>
      </c>
      <c r="BV45" s="509">
        <v>256.20299999999997</v>
      </c>
      <c r="BW45" s="277">
        <v>3.2189999999999999</v>
      </c>
      <c r="BX45" s="277"/>
      <c r="BY45" s="277"/>
      <c r="BZ45" s="277"/>
      <c r="CA45" s="787">
        <f t="shared" si="32"/>
        <v>3.2189999999999999</v>
      </c>
      <c r="CB45" s="788">
        <f t="shared" si="33"/>
        <v>259.42199999999997</v>
      </c>
      <c r="CC45" s="789">
        <f t="shared" si="41"/>
        <v>1358.931</v>
      </c>
      <c r="CD45" s="787">
        <f t="shared" si="42"/>
        <v>-106.01899999999999</v>
      </c>
      <c r="CE45" s="787">
        <f t="shared" si="43"/>
        <v>-166.73400000000004</v>
      </c>
      <c r="CF45" s="787">
        <f t="shared" si="44"/>
        <v>-170.815</v>
      </c>
      <c r="CG45" s="787">
        <f t="shared" si="45"/>
        <v>9.0860000000000003</v>
      </c>
      <c r="CH45" s="787">
        <f t="shared" si="34"/>
        <v>-434.48200000000003</v>
      </c>
      <c r="CI45" s="788">
        <f t="shared" si="35"/>
        <v>924.44900000000007</v>
      </c>
    </row>
    <row r="46" spans="1:87">
      <c r="A46" s="265">
        <f t="shared" si="10"/>
        <v>2013</v>
      </c>
      <c r="B46" s="263">
        <f t="shared" si="11"/>
        <v>41639</v>
      </c>
      <c r="C46" s="509">
        <v>34944.093999999997</v>
      </c>
      <c r="D46" s="277">
        <v>4278.5659999999998</v>
      </c>
      <c r="E46" s="277">
        <v>5326.866</v>
      </c>
      <c r="F46" s="277">
        <v>4179.0429999999997</v>
      </c>
      <c r="G46" s="277">
        <v>843.57</v>
      </c>
      <c r="H46" s="787">
        <f t="shared" si="12"/>
        <v>14628.045</v>
      </c>
      <c r="I46" s="788">
        <f t="shared" si="13"/>
        <v>49572.138999999996</v>
      </c>
      <c r="J46" s="509">
        <v>3576.6729999999998</v>
      </c>
      <c r="K46" s="277">
        <v>1654.761</v>
      </c>
      <c r="L46" s="277">
        <v>879.36699999999996</v>
      </c>
      <c r="M46" s="277">
        <v>310.99</v>
      </c>
      <c r="N46" s="277"/>
      <c r="O46" s="787">
        <f t="shared" si="14"/>
        <v>2845.1179999999995</v>
      </c>
      <c r="P46" s="788">
        <f t="shared" si="15"/>
        <v>6421.7909999999993</v>
      </c>
      <c r="Q46" s="509">
        <v>6132.9650000000001</v>
      </c>
      <c r="R46" s="277">
        <v>560.10199999999998</v>
      </c>
      <c r="S46" s="277">
        <v>1429.835</v>
      </c>
      <c r="T46" s="277">
        <v>963.18799999999999</v>
      </c>
      <c r="U46" s="277"/>
      <c r="V46" s="787">
        <f t="shared" si="16"/>
        <v>2953.125</v>
      </c>
      <c r="W46" s="788">
        <f t="shared" si="17"/>
        <v>9086.09</v>
      </c>
      <c r="X46" s="509">
        <v>5520.085</v>
      </c>
      <c r="Y46" s="277">
        <v>790.61199999999997</v>
      </c>
      <c r="Z46" s="277">
        <v>1616.865</v>
      </c>
      <c r="AA46" s="277">
        <v>1403.5440000000001</v>
      </c>
      <c r="AB46" s="277"/>
      <c r="AC46" s="787">
        <f t="shared" si="18"/>
        <v>3811.0209999999997</v>
      </c>
      <c r="AD46" s="788">
        <f t="shared" si="19"/>
        <v>9331.1059999999998</v>
      </c>
      <c r="AE46" s="509">
        <v>4379.8860000000004</v>
      </c>
      <c r="AF46" s="277">
        <v>48.265999999999998</v>
      </c>
      <c r="AG46" s="277"/>
      <c r="AH46" s="277"/>
      <c r="AI46" s="277"/>
      <c r="AJ46" s="787">
        <f t="shared" si="20"/>
        <v>48.265999999999998</v>
      </c>
      <c r="AK46" s="788">
        <f t="shared" si="21"/>
        <v>4428.152</v>
      </c>
      <c r="AL46" s="789">
        <f t="shared" si="36"/>
        <v>15334.485000000001</v>
      </c>
      <c r="AM46" s="787">
        <f t="shared" si="37"/>
        <v>1224.8249999999998</v>
      </c>
      <c r="AN46" s="787">
        <f t="shared" si="38"/>
        <v>1400.799</v>
      </c>
      <c r="AO46" s="787">
        <f t="shared" si="39"/>
        <v>1501.3209999999999</v>
      </c>
      <c r="AP46" s="787">
        <f t="shared" si="40"/>
        <v>843.57</v>
      </c>
      <c r="AQ46" s="787">
        <f t="shared" si="22"/>
        <v>4970.5149999999994</v>
      </c>
      <c r="AR46" s="788">
        <f t="shared" si="23"/>
        <v>20305</v>
      </c>
      <c r="AS46" s="395"/>
      <c r="AT46" s="509">
        <v>5763.1270000000004</v>
      </c>
      <c r="AU46" s="277">
        <v>156.47200000000001</v>
      </c>
      <c r="AV46" s="277">
        <v>899.29600000000005</v>
      </c>
      <c r="AW46" s="277">
        <v>610.05399999999997</v>
      </c>
      <c r="AX46" s="277">
        <v>-41.253</v>
      </c>
      <c r="AY46" s="787">
        <f t="shared" si="24"/>
        <v>1624.5690000000002</v>
      </c>
      <c r="AZ46" s="788">
        <f t="shared" si="25"/>
        <v>7387.6960000000008</v>
      </c>
      <c r="BA46" s="509">
        <v>-1105.174</v>
      </c>
      <c r="BB46" s="277">
        <v>-257.17200000000003</v>
      </c>
      <c r="BC46" s="277">
        <v>-254.59100000000001</v>
      </c>
      <c r="BD46" s="277">
        <v>-173.517</v>
      </c>
      <c r="BE46" s="277"/>
      <c r="BF46" s="787">
        <f t="shared" si="26"/>
        <v>-685.28</v>
      </c>
      <c r="BG46" s="788">
        <f t="shared" si="27"/>
        <v>-1790.454</v>
      </c>
      <c r="BH46" s="509">
        <v>5725.232</v>
      </c>
      <c r="BI46" s="277">
        <v>415.99200000000002</v>
      </c>
      <c r="BJ46" s="277">
        <v>1409.364</v>
      </c>
      <c r="BK46" s="277">
        <v>931.53700000000003</v>
      </c>
      <c r="BL46" s="277"/>
      <c r="BM46" s="787">
        <f t="shared" si="28"/>
        <v>2756.893</v>
      </c>
      <c r="BN46" s="788">
        <f t="shared" si="29"/>
        <v>8482.125</v>
      </c>
      <c r="BO46" s="509">
        <v>40.707000000000001</v>
      </c>
      <c r="BP46" s="277">
        <v>73.858999999999995</v>
      </c>
      <c r="BQ46" s="277">
        <v>41.561999999999998</v>
      </c>
      <c r="BR46" s="277">
        <v>-1.95</v>
      </c>
      <c r="BS46" s="277"/>
      <c r="BT46" s="787">
        <f t="shared" si="30"/>
        <v>113.47099999999999</v>
      </c>
      <c r="BU46" s="788">
        <f t="shared" si="31"/>
        <v>154.178</v>
      </c>
      <c r="BV46" s="509">
        <v>210.17699999999999</v>
      </c>
      <c r="BW46" s="277">
        <v>2.3170000000000002</v>
      </c>
      <c r="BX46" s="277"/>
      <c r="BY46" s="277"/>
      <c r="BZ46" s="277"/>
      <c r="CA46" s="787">
        <f t="shared" si="32"/>
        <v>2.3170000000000002</v>
      </c>
      <c r="CB46" s="788">
        <f t="shared" si="33"/>
        <v>212.494</v>
      </c>
      <c r="CC46" s="789">
        <f t="shared" si="41"/>
        <v>892.1850000000004</v>
      </c>
      <c r="CD46" s="787">
        <f t="shared" si="42"/>
        <v>-78.523999999999972</v>
      </c>
      <c r="CE46" s="787">
        <f t="shared" si="43"/>
        <v>-297.03899999999999</v>
      </c>
      <c r="CF46" s="787">
        <f t="shared" si="44"/>
        <v>-146.01599999999996</v>
      </c>
      <c r="CG46" s="787">
        <f t="shared" si="45"/>
        <v>-41.253</v>
      </c>
      <c r="CH46" s="787">
        <f t="shared" si="34"/>
        <v>-562.83199999999999</v>
      </c>
      <c r="CI46" s="788">
        <f t="shared" si="35"/>
        <v>329.35300000000041</v>
      </c>
    </row>
    <row r="47" spans="1:87">
      <c r="A47" s="265">
        <f t="shared" si="10"/>
        <v>2014</v>
      </c>
      <c r="B47" s="263">
        <f t="shared" si="11"/>
        <v>41729</v>
      </c>
      <c r="C47" s="509">
        <v>33558.447999999997</v>
      </c>
      <c r="D47" s="277">
        <v>4718.3419999999996</v>
      </c>
      <c r="E47" s="277">
        <v>4701.6139999999996</v>
      </c>
      <c r="F47" s="277">
        <v>4096.2579999999998</v>
      </c>
      <c r="G47" s="277">
        <v>615.03099999999995</v>
      </c>
      <c r="H47" s="787">
        <f t="shared" si="12"/>
        <v>14131.244999999999</v>
      </c>
      <c r="I47" s="788">
        <f t="shared" si="13"/>
        <v>47689.692999999999</v>
      </c>
      <c r="J47" s="509">
        <v>3710.42</v>
      </c>
      <c r="K47" s="277">
        <v>1731.423</v>
      </c>
      <c r="L47" s="277">
        <v>737.72299999999996</v>
      </c>
      <c r="M47" s="277">
        <v>289.39600000000002</v>
      </c>
      <c r="N47" s="277"/>
      <c r="O47" s="787">
        <f t="shared" si="14"/>
        <v>2758.5419999999999</v>
      </c>
      <c r="P47" s="788">
        <f t="shared" si="15"/>
        <v>6468.9619999999995</v>
      </c>
      <c r="Q47" s="509">
        <v>6027.6469999999999</v>
      </c>
      <c r="R47" s="277">
        <v>707.58100000000002</v>
      </c>
      <c r="S47" s="277">
        <v>1213.4849999999999</v>
      </c>
      <c r="T47" s="277">
        <v>978.81100000000004</v>
      </c>
      <c r="U47" s="277"/>
      <c r="V47" s="787">
        <f t="shared" si="16"/>
        <v>2899.877</v>
      </c>
      <c r="W47" s="788">
        <f t="shared" si="17"/>
        <v>8927.5239999999994</v>
      </c>
      <c r="X47" s="509">
        <v>5005.5870000000004</v>
      </c>
      <c r="Y47" s="277">
        <v>871.08399999999995</v>
      </c>
      <c r="Z47" s="277">
        <v>1468.691</v>
      </c>
      <c r="AA47" s="277">
        <v>1350.922</v>
      </c>
      <c r="AB47" s="277"/>
      <c r="AC47" s="787">
        <f t="shared" si="18"/>
        <v>3690.6970000000001</v>
      </c>
      <c r="AD47" s="788">
        <f t="shared" si="19"/>
        <v>8696.2839999999997</v>
      </c>
      <c r="AE47" s="509">
        <v>4106.5280000000002</v>
      </c>
      <c r="AF47" s="277">
        <v>59.575000000000003</v>
      </c>
      <c r="AG47" s="277"/>
      <c r="AH47" s="277"/>
      <c r="AI47" s="277"/>
      <c r="AJ47" s="787">
        <f t="shared" si="20"/>
        <v>59.575000000000003</v>
      </c>
      <c r="AK47" s="788">
        <f t="shared" si="21"/>
        <v>4166.1030000000001</v>
      </c>
      <c r="AL47" s="789">
        <f t="shared" si="36"/>
        <v>14708.265999999996</v>
      </c>
      <c r="AM47" s="787">
        <f t="shared" si="37"/>
        <v>1348.6790000000001</v>
      </c>
      <c r="AN47" s="787">
        <f t="shared" si="38"/>
        <v>1281.7149999999997</v>
      </c>
      <c r="AO47" s="787">
        <f t="shared" si="39"/>
        <v>1477.1289999999999</v>
      </c>
      <c r="AP47" s="787">
        <f t="shared" si="40"/>
        <v>615.03099999999995</v>
      </c>
      <c r="AQ47" s="787">
        <f t="shared" si="22"/>
        <v>4722.5539999999992</v>
      </c>
      <c r="AR47" s="788">
        <f t="shared" si="23"/>
        <v>19430.819999999996</v>
      </c>
      <c r="AS47" s="395"/>
      <c r="AT47" s="509">
        <v>926.58</v>
      </c>
      <c r="AU47" s="277">
        <v>22.305</v>
      </c>
      <c r="AV47" s="277">
        <v>-269.34300000000002</v>
      </c>
      <c r="AW47" s="277">
        <v>-145.495</v>
      </c>
      <c r="AX47" s="277">
        <v>15.750999999999999</v>
      </c>
      <c r="AY47" s="787">
        <f t="shared" si="24"/>
        <v>-376.78200000000004</v>
      </c>
      <c r="AZ47" s="788">
        <f t="shared" si="25"/>
        <v>549.798</v>
      </c>
      <c r="BA47" s="509">
        <v>245.678</v>
      </c>
      <c r="BB47" s="277">
        <v>209.89599999999999</v>
      </c>
      <c r="BC47" s="277">
        <v>-8.07</v>
      </c>
      <c r="BD47" s="277">
        <v>-46.814999999999998</v>
      </c>
      <c r="BE47" s="277"/>
      <c r="BF47" s="787">
        <f t="shared" si="26"/>
        <v>155.011</v>
      </c>
      <c r="BG47" s="788">
        <f t="shared" si="27"/>
        <v>400.68899999999996</v>
      </c>
      <c r="BH47" s="509">
        <v>154.566</v>
      </c>
      <c r="BI47" s="277">
        <v>-93.087999999999994</v>
      </c>
      <c r="BJ47" s="277">
        <v>102.54300000000001</v>
      </c>
      <c r="BK47" s="277">
        <v>54.110999999999997</v>
      </c>
      <c r="BL47" s="277"/>
      <c r="BM47" s="787">
        <f t="shared" si="28"/>
        <v>63.56600000000001</v>
      </c>
      <c r="BN47" s="788">
        <f t="shared" si="29"/>
        <v>218.13200000000001</v>
      </c>
      <c r="BO47" s="509">
        <v>-429.149</v>
      </c>
      <c r="BP47" s="277">
        <v>-32.197000000000003</v>
      </c>
      <c r="BQ47" s="277">
        <v>-58.713000000000001</v>
      </c>
      <c r="BR47" s="277">
        <v>-59.929000000000002</v>
      </c>
      <c r="BS47" s="277"/>
      <c r="BT47" s="787">
        <f t="shared" si="30"/>
        <v>-150.839</v>
      </c>
      <c r="BU47" s="788">
        <f t="shared" si="31"/>
        <v>-579.98800000000006</v>
      </c>
      <c r="BV47" s="509">
        <v>150.261</v>
      </c>
      <c r="BW47" s="277">
        <v>2.1800000000000002</v>
      </c>
      <c r="BX47" s="277"/>
      <c r="BY47" s="277"/>
      <c r="BZ47" s="277"/>
      <c r="CA47" s="787">
        <f t="shared" si="32"/>
        <v>2.1800000000000002</v>
      </c>
      <c r="CB47" s="788">
        <f t="shared" si="33"/>
        <v>152.441</v>
      </c>
      <c r="CC47" s="789">
        <f t="shared" si="41"/>
        <v>805.22400000000005</v>
      </c>
      <c r="CD47" s="787">
        <f t="shared" si="42"/>
        <v>-64.48599999999999</v>
      </c>
      <c r="CE47" s="787">
        <f t="shared" si="43"/>
        <v>-305.10300000000001</v>
      </c>
      <c r="CF47" s="787">
        <f t="shared" si="44"/>
        <v>-92.861999999999995</v>
      </c>
      <c r="CG47" s="787">
        <f t="shared" si="45"/>
        <v>15.750999999999999</v>
      </c>
      <c r="CH47" s="787">
        <f t="shared" si="34"/>
        <v>-446.70000000000005</v>
      </c>
      <c r="CI47" s="788">
        <f t="shared" si="35"/>
        <v>358.524</v>
      </c>
    </row>
    <row r="48" spans="1:87">
      <c r="A48" s="265">
        <f t="shared" si="10"/>
        <v>2014</v>
      </c>
      <c r="B48" s="263">
        <f t="shared" si="11"/>
        <v>41820</v>
      </c>
      <c r="C48" s="509">
        <v>38071.207000000002</v>
      </c>
      <c r="D48" s="277">
        <v>4449.5969999999998</v>
      </c>
      <c r="E48" s="277">
        <v>6808.4560000000001</v>
      </c>
      <c r="F48" s="277">
        <v>4238.2690000000002</v>
      </c>
      <c r="G48" s="277">
        <v>678.89599999999996</v>
      </c>
      <c r="H48" s="787">
        <f t="shared" si="12"/>
        <v>16175.218000000001</v>
      </c>
      <c r="I48" s="788">
        <f t="shared" si="13"/>
        <v>54246.425000000003</v>
      </c>
      <c r="J48" s="509">
        <v>4152.491</v>
      </c>
      <c r="K48" s="277">
        <v>1527.6</v>
      </c>
      <c r="L48" s="277">
        <v>1115.0350000000001</v>
      </c>
      <c r="M48" s="277">
        <v>357.714</v>
      </c>
      <c r="N48" s="277"/>
      <c r="O48" s="787">
        <f t="shared" si="14"/>
        <v>3000.3490000000002</v>
      </c>
      <c r="P48" s="788">
        <f t="shared" si="15"/>
        <v>7152.84</v>
      </c>
      <c r="Q48" s="509">
        <v>7052.7629999999999</v>
      </c>
      <c r="R48" s="277">
        <v>652.38599999999997</v>
      </c>
      <c r="S48" s="277">
        <v>1965.4770000000001</v>
      </c>
      <c r="T48" s="277">
        <v>969.24800000000005</v>
      </c>
      <c r="U48" s="277"/>
      <c r="V48" s="787">
        <f t="shared" si="16"/>
        <v>3587.1110000000003</v>
      </c>
      <c r="W48" s="788">
        <f t="shared" si="17"/>
        <v>10639.874</v>
      </c>
      <c r="X48" s="509">
        <v>5916.6080000000002</v>
      </c>
      <c r="Y48" s="277">
        <v>915.48400000000004</v>
      </c>
      <c r="Z48" s="277">
        <v>2037.683</v>
      </c>
      <c r="AA48" s="277">
        <v>1458.481</v>
      </c>
      <c r="AB48" s="277"/>
      <c r="AC48" s="787">
        <f t="shared" si="18"/>
        <v>4411.6480000000001</v>
      </c>
      <c r="AD48" s="788">
        <f t="shared" si="19"/>
        <v>10328.256000000001</v>
      </c>
      <c r="AE48" s="509">
        <v>4947.2809999999999</v>
      </c>
      <c r="AF48" s="277">
        <v>64.147000000000006</v>
      </c>
      <c r="AG48" s="277"/>
      <c r="AH48" s="277"/>
      <c r="AI48" s="277"/>
      <c r="AJ48" s="787">
        <f t="shared" si="20"/>
        <v>64.147000000000006</v>
      </c>
      <c r="AK48" s="788">
        <f t="shared" si="21"/>
        <v>5011.4279999999999</v>
      </c>
      <c r="AL48" s="789">
        <f t="shared" si="36"/>
        <v>16002.064000000002</v>
      </c>
      <c r="AM48" s="787">
        <f t="shared" si="37"/>
        <v>1289.98</v>
      </c>
      <c r="AN48" s="787">
        <f t="shared" si="38"/>
        <v>1690.2610000000004</v>
      </c>
      <c r="AO48" s="787">
        <f t="shared" si="39"/>
        <v>1452.826</v>
      </c>
      <c r="AP48" s="787">
        <f t="shared" si="40"/>
        <v>678.89599999999996</v>
      </c>
      <c r="AQ48" s="787">
        <f t="shared" si="22"/>
        <v>5111.9630000000006</v>
      </c>
      <c r="AR48" s="788">
        <f t="shared" si="23"/>
        <v>21114.027000000002</v>
      </c>
      <c r="AS48" s="395"/>
      <c r="AT48" s="509">
        <v>3467.788</v>
      </c>
      <c r="AU48" s="277">
        <v>-54.932000000000002</v>
      </c>
      <c r="AV48" s="277">
        <v>521.44299999999998</v>
      </c>
      <c r="AW48" s="277">
        <v>-120.602</v>
      </c>
      <c r="AX48" s="277">
        <v>35.686999999999998</v>
      </c>
      <c r="AY48" s="787">
        <f t="shared" si="24"/>
        <v>381.596</v>
      </c>
      <c r="AZ48" s="788">
        <f t="shared" si="25"/>
        <v>3849.384</v>
      </c>
      <c r="BA48" s="509">
        <v>226.44800000000001</v>
      </c>
      <c r="BB48" s="277">
        <v>-1.7</v>
      </c>
      <c r="BC48" s="277">
        <v>94.546999999999997</v>
      </c>
      <c r="BD48" s="277">
        <v>-53.884</v>
      </c>
      <c r="BE48" s="277"/>
      <c r="BF48" s="787">
        <f t="shared" si="26"/>
        <v>38.962999999999994</v>
      </c>
      <c r="BG48" s="788">
        <f t="shared" si="27"/>
        <v>265.411</v>
      </c>
      <c r="BH48" s="509">
        <v>504.87599999999998</v>
      </c>
      <c r="BI48" s="277">
        <v>-78.736999999999995</v>
      </c>
      <c r="BJ48" s="277">
        <v>294.73399999999998</v>
      </c>
      <c r="BK48" s="277">
        <v>86.549000000000007</v>
      </c>
      <c r="BL48" s="277"/>
      <c r="BM48" s="787">
        <f t="shared" si="28"/>
        <v>302.54599999999999</v>
      </c>
      <c r="BN48" s="788">
        <f t="shared" si="29"/>
        <v>807.42200000000003</v>
      </c>
      <c r="BO48" s="509">
        <v>392.16199999999998</v>
      </c>
      <c r="BP48" s="277">
        <v>60.023000000000003</v>
      </c>
      <c r="BQ48" s="277">
        <v>308.13600000000002</v>
      </c>
      <c r="BR48" s="277">
        <v>8.91</v>
      </c>
      <c r="BS48" s="277"/>
      <c r="BT48" s="787">
        <f t="shared" si="30"/>
        <v>377.06900000000007</v>
      </c>
      <c r="BU48" s="788">
        <f t="shared" si="31"/>
        <v>769.23099999999999</v>
      </c>
      <c r="BV48" s="509">
        <v>459.04300000000001</v>
      </c>
      <c r="BW48" s="277">
        <v>5.9509999999999996</v>
      </c>
      <c r="BX48" s="277"/>
      <c r="BY48" s="277"/>
      <c r="BZ48" s="277"/>
      <c r="CA48" s="787">
        <f t="shared" si="32"/>
        <v>5.9509999999999996</v>
      </c>
      <c r="CB48" s="788">
        <f t="shared" si="33"/>
        <v>464.99400000000003</v>
      </c>
      <c r="CC48" s="789">
        <f t="shared" si="41"/>
        <v>1885.259</v>
      </c>
      <c r="CD48" s="787">
        <f t="shared" si="42"/>
        <v>-40.469000000000008</v>
      </c>
      <c r="CE48" s="787">
        <f t="shared" si="43"/>
        <v>-175.97399999999993</v>
      </c>
      <c r="CF48" s="787">
        <f t="shared" si="44"/>
        <v>-162.17700000000002</v>
      </c>
      <c r="CG48" s="787">
        <f t="shared" si="45"/>
        <v>35.686999999999998</v>
      </c>
      <c r="CH48" s="787">
        <f t="shared" si="34"/>
        <v>-342.93299999999994</v>
      </c>
      <c r="CI48" s="788">
        <f t="shared" si="35"/>
        <v>1542.326</v>
      </c>
    </row>
    <row r="49" spans="1:87">
      <c r="A49" s="265">
        <f t="shared" si="10"/>
        <v>2014</v>
      </c>
      <c r="B49" s="263">
        <f t="shared" si="11"/>
        <v>41912</v>
      </c>
      <c r="C49" s="509">
        <v>37924.357000000004</v>
      </c>
      <c r="D49" s="277">
        <v>4151.7790000000005</v>
      </c>
      <c r="E49" s="277">
        <v>7408.34</v>
      </c>
      <c r="F49" s="277">
        <v>4718.232</v>
      </c>
      <c r="G49" s="277">
        <v>713.46</v>
      </c>
      <c r="H49" s="787">
        <f t="shared" si="12"/>
        <v>16991.811000000002</v>
      </c>
      <c r="I49" s="788">
        <f t="shared" si="13"/>
        <v>54916.168000000005</v>
      </c>
      <c r="J49" s="509">
        <v>4003.152</v>
      </c>
      <c r="K49" s="277">
        <v>1467.5229999999999</v>
      </c>
      <c r="L49" s="277">
        <v>1137.5229999999999</v>
      </c>
      <c r="M49" s="277">
        <v>446.31099999999998</v>
      </c>
      <c r="N49" s="277"/>
      <c r="O49" s="787">
        <f t="shared" si="14"/>
        <v>3051.357</v>
      </c>
      <c r="P49" s="788">
        <f t="shared" si="15"/>
        <v>7054.509</v>
      </c>
      <c r="Q49" s="509">
        <v>7071.8490000000002</v>
      </c>
      <c r="R49" s="277">
        <v>656.39700000000005</v>
      </c>
      <c r="S49" s="277">
        <v>2274.3809999999999</v>
      </c>
      <c r="T49" s="277">
        <v>1197.482</v>
      </c>
      <c r="U49" s="277"/>
      <c r="V49" s="787">
        <f t="shared" si="16"/>
        <v>4128.26</v>
      </c>
      <c r="W49" s="788">
        <f t="shared" si="17"/>
        <v>11200.109</v>
      </c>
      <c r="X49" s="509">
        <v>5967.1009999999997</v>
      </c>
      <c r="Y49" s="277">
        <v>847.06799999999998</v>
      </c>
      <c r="Z49" s="277">
        <v>2169.2689999999998</v>
      </c>
      <c r="AA49" s="277">
        <v>1580.232</v>
      </c>
      <c r="AB49" s="277"/>
      <c r="AC49" s="787">
        <f t="shared" si="18"/>
        <v>4596.5689999999995</v>
      </c>
      <c r="AD49" s="788">
        <f t="shared" si="19"/>
        <v>10563.669999999998</v>
      </c>
      <c r="AE49" s="509">
        <v>4749.6480000000001</v>
      </c>
      <c r="AF49" s="277">
        <v>50.292999999999999</v>
      </c>
      <c r="AG49" s="277"/>
      <c r="AH49" s="277"/>
      <c r="AI49" s="277"/>
      <c r="AJ49" s="787">
        <f t="shared" si="20"/>
        <v>50.292999999999999</v>
      </c>
      <c r="AK49" s="788">
        <f t="shared" si="21"/>
        <v>4799.9409999999998</v>
      </c>
      <c r="AL49" s="789">
        <f t="shared" si="36"/>
        <v>16132.607000000004</v>
      </c>
      <c r="AM49" s="787">
        <f t="shared" si="37"/>
        <v>1130.498</v>
      </c>
      <c r="AN49" s="787">
        <f t="shared" si="38"/>
        <v>1827.1670000000013</v>
      </c>
      <c r="AO49" s="787">
        <f t="shared" si="39"/>
        <v>1494.2070000000003</v>
      </c>
      <c r="AP49" s="787">
        <f t="shared" si="40"/>
        <v>713.46</v>
      </c>
      <c r="AQ49" s="787">
        <f t="shared" si="22"/>
        <v>5165.3320000000012</v>
      </c>
      <c r="AR49" s="788">
        <f t="shared" si="23"/>
        <v>21297.939000000006</v>
      </c>
      <c r="AS49" s="395"/>
      <c r="AT49" s="509">
        <v>2828.1080000000002</v>
      </c>
      <c r="AU49" s="277">
        <v>-75.576999999999998</v>
      </c>
      <c r="AV49" s="277">
        <v>633.41</v>
      </c>
      <c r="AW49" s="277">
        <v>96.429000000000002</v>
      </c>
      <c r="AX49" s="277">
        <v>40.277000000000001</v>
      </c>
      <c r="AY49" s="787">
        <f t="shared" si="24"/>
        <v>694.53899999999999</v>
      </c>
      <c r="AZ49" s="788">
        <f t="shared" si="25"/>
        <v>3522.6469999999999</v>
      </c>
      <c r="BA49" s="509">
        <v>297.13200000000001</v>
      </c>
      <c r="BB49" s="277">
        <v>48.274999999999999</v>
      </c>
      <c r="BC49" s="277">
        <v>157.19499999999999</v>
      </c>
      <c r="BD49" s="277">
        <v>-37.140999999999998</v>
      </c>
      <c r="BE49" s="277"/>
      <c r="BF49" s="787">
        <f t="shared" si="26"/>
        <v>168.32900000000001</v>
      </c>
      <c r="BG49" s="788">
        <f t="shared" si="27"/>
        <v>465.46100000000001</v>
      </c>
      <c r="BH49" s="509">
        <v>128.04499999999999</v>
      </c>
      <c r="BI49" s="277">
        <v>-109.14400000000001</v>
      </c>
      <c r="BJ49" s="277">
        <v>261.38400000000001</v>
      </c>
      <c r="BK49" s="277">
        <v>81.174000000000007</v>
      </c>
      <c r="BL49" s="277"/>
      <c r="BM49" s="787">
        <f t="shared" si="28"/>
        <v>233.41400000000002</v>
      </c>
      <c r="BN49" s="788">
        <f t="shared" si="29"/>
        <v>361.459</v>
      </c>
      <c r="BO49" s="509">
        <v>391.95600000000002</v>
      </c>
      <c r="BP49" s="277">
        <v>57.192999999999998</v>
      </c>
      <c r="BQ49" s="277">
        <v>324.42899999999997</v>
      </c>
      <c r="BR49" s="277">
        <v>159.65700000000001</v>
      </c>
      <c r="BS49" s="277"/>
      <c r="BT49" s="787">
        <f t="shared" si="30"/>
        <v>541.279</v>
      </c>
      <c r="BU49" s="788">
        <f t="shared" si="31"/>
        <v>933.23500000000001</v>
      </c>
      <c r="BV49" s="509">
        <v>325.35899999999998</v>
      </c>
      <c r="BW49" s="277">
        <v>3.45</v>
      </c>
      <c r="BX49" s="277"/>
      <c r="BY49" s="277"/>
      <c r="BZ49" s="277"/>
      <c r="CA49" s="787">
        <f t="shared" si="32"/>
        <v>3.45</v>
      </c>
      <c r="CB49" s="788">
        <f t="shared" si="33"/>
        <v>328.80899999999997</v>
      </c>
      <c r="CC49" s="789">
        <f t="shared" si="41"/>
        <v>1685.6160000000002</v>
      </c>
      <c r="CD49" s="787">
        <f t="shared" si="42"/>
        <v>-75.350999999999985</v>
      </c>
      <c r="CE49" s="787">
        <f t="shared" si="43"/>
        <v>-109.59800000000007</v>
      </c>
      <c r="CF49" s="787">
        <f t="shared" si="44"/>
        <v>-107.26100000000002</v>
      </c>
      <c r="CG49" s="787">
        <f t="shared" si="45"/>
        <v>40.277000000000001</v>
      </c>
      <c r="CH49" s="787">
        <f t="shared" si="34"/>
        <v>-251.93300000000011</v>
      </c>
      <c r="CI49" s="788">
        <f t="shared" si="35"/>
        <v>1433.683</v>
      </c>
    </row>
    <row r="50" spans="1:87">
      <c r="A50" s="265">
        <f t="shared" si="10"/>
        <v>2014</v>
      </c>
      <c r="B50" s="263">
        <f t="shared" si="11"/>
        <v>42004</v>
      </c>
      <c r="C50" s="509">
        <v>36317.906000000003</v>
      </c>
      <c r="D50" s="277">
        <v>4238.835</v>
      </c>
      <c r="E50" s="277">
        <v>5429.17</v>
      </c>
      <c r="F50" s="277">
        <v>4124.085</v>
      </c>
      <c r="G50" s="277">
        <v>751.60599999999999</v>
      </c>
      <c r="H50" s="787">
        <f t="shared" si="12"/>
        <v>14543.696</v>
      </c>
      <c r="I50" s="788">
        <f t="shared" si="13"/>
        <v>50861.601999999999</v>
      </c>
      <c r="J50" s="509">
        <v>3669.078</v>
      </c>
      <c r="K50" s="277">
        <v>1558.0940000000001</v>
      </c>
      <c r="L50" s="277">
        <v>832.94899999999996</v>
      </c>
      <c r="M50" s="277">
        <v>403.959</v>
      </c>
      <c r="N50" s="277"/>
      <c r="O50" s="787">
        <f t="shared" si="14"/>
        <v>2795.002</v>
      </c>
      <c r="P50" s="788">
        <f t="shared" si="15"/>
        <v>6464.08</v>
      </c>
      <c r="Q50" s="509">
        <v>6620.8609999999999</v>
      </c>
      <c r="R50" s="277">
        <v>620.97</v>
      </c>
      <c r="S50" s="277">
        <v>1499.2159999999999</v>
      </c>
      <c r="T50" s="277">
        <v>917.9</v>
      </c>
      <c r="U50" s="277"/>
      <c r="V50" s="787">
        <f t="shared" si="16"/>
        <v>3038.0859999999998</v>
      </c>
      <c r="W50" s="788">
        <f t="shared" si="17"/>
        <v>9658.9470000000001</v>
      </c>
      <c r="X50" s="509">
        <v>5430.6970000000001</v>
      </c>
      <c r="Y50" s="277">
        <v>859.19600000000003</v>
      </c>
      <c r="Z50" s="277">
        <v>1644.777</v>
      </c>
      <c r="AA50" s="277">
        <v>1377.64</v>
      </c>
      <c r="AB50" s="277"/>
      <c r="AC50" s="787">
        <f t="shared" si="18"/>
        <v>3881.6130000000003</v>
      </c>
      <c r="AD50" s="788">
        <f t="shared" si="19"/>
        <v>9312.3100000000013</v>
      </c>
      <c r="AE50" s="509">
        <v>4575.5789999999997</v>
      </c>
      <c r="AF50" s="277">
        <v>52.064999999999998</v>
      </c>
      <c r="AG50" s="277"/>
      <c r="AH50" s="277"/>
      <c r="AI50" s="277"/>
      <c r="AJ50" s="787">
        <f t="shared" si="20"/>
        <v>52.064999999999998</v>
      </c>
      <c r="AK50" s="788">
        <f t="shared" si="21"/>
        <v>4627.6439999999993</v>
      </c>
      <c r="AL50" s="789">
        <f t="shared" si="36"/>
        <v>16021.691000000003</v>
      </c>
      <c r="AM50" s="787">
        <f t="shared" si="37"/>
        <v>1148.5099999999998</v>
      </c>
      <c r="AN50" s="787">
        <f t="shared" si="38"/>
        <v>1452.2280000000001</v>
      </c>
      <c r="AO50" s="787">
        <f t="shared" si="39"/>
        <v>1424.5860000000002</v>
      </c>
      <c r="AP50" s="787">
        <f t="shared" si="40"/>
        <v>751.60599999999999</v>
      </c>
      <c r="AQ50" s="787">
        <f t="shared" si="22"/>
        <v>4776.93</v>
      </c>
      <c r="AR50" s="788">
        <f t="shared" si="23"/>
        <v>20798.621000000003</v>
      </c>
      <c r="AS50" s="395"/>
      <c r="AT50" s="509">
        <v>1422.9069999999999</v>
      </c>
      <c r="AU50" s="277">
        <v>-131.57499999999999</v>
      </c>
      <c r="AV50" s="277">
        <v>-342.09800000000001</v>
      </c>
      <c r="AW50" s="277">
        <v>-468.31299999999999</v>
      </c>
      <c r="AX50" s="277">
        <v>37.883000000000003</v>
      </c>
      <c r="AY50" s="787">
        <f t="shared" si="24"/>
        <v>-904.10299999999995</v>
      </c>
      <c r="AZ50" s="788">
        <f t="shared" si="25"/>
        <v>518.80399999999997</v>
      </c>
      <c r="BA50" s="509">
        <v>201.553</v>
      </c>
      <c r="BB50" s="277">
        <v>50.552</v>
      </c>
      <c r="BC50" s="277">
        <v>6.8319999999999999</v>
      </c>
      <c r="BD50" s="277">
        <v>-80.760000000000005</v>
      </c>
      <c r="BE50" s="277"/>
      <c r="BF50" s="787">
        <f t="shared" si="26"/>
        <v>-23.376000000000005</v>
      </c>
      <c r="BG50" s="788">
        <f t="shared" si="27"/>
        <v>178.17699999999999</v>
      </c>
      <c r="BH50" s="509">
        <v>-225.09299999999999</v>
      </c>
      <c r="BI50" s="277">
        <v>-223.12100000000001</v>
      </c>
      <c r="BJ50" s="277">
        <v>-100.551</v>
      </c>
      <c r="BK50" s="277">
        <v>-153.779</v>
      </c>
      <c r="BL50" s="277"/>
      <c r="BM50" s="787">
        <f t="shared" si="28"/>
        <v>-477.45100000000002</v>
      </c>
      <c r="BN50" s="788">
        <f t="shared" si="29"/>
        <v>-702.54399999999998</v>
      </c>
      <c r="BO50" s="509">
        <v>14.061999999999999</v>
      </c>
      <c r="BP50" s="277">
        <v>41.600999999999999</v>
      </c>
      <c r="BQ50" s="277">
        <v>47.835999999999999</v>
      </c>
      <c r="BR50" s="277">
        <v>-112.16200000000001</v>
      </c>
      <c r="BS50" s="277"/>
      <c r="BT50" s="787">
        <f t="shared" si="30"/>
        <v>-22.725000000000009</v>
      </c>
      <c r="BU50" s="788">
        <f t="shared" si="31"/>
        <v>-8.6630000000000091</v>
      </c>
      <c r="BV50" s="509">
        <v>188.11699999999999</v>
      </c>
      <c r="BW50" s="277">
        <v>2.14</v>
      </c>
      <c r="BX50" s="277"/>
      <c r="BY50" s="277"/>
      <c r="BZ50" s="277"/>
      <c r="CA50" s="787">
        <f t="shared" si="32"/>
        <v>2.14</v>
      </c>
      <c r="CB50" s="788">
        <f t="shared" si="33"/>
        <v>190.25699999999998</v>
      </c>
      <c r="CC50" s="789">
        <f t="shared" si="41"/>
        <v>1244.268</v>
      </c>
      <c r="CD50" s="787">
        <f t="shared" si="42"/>
        <v>-2.7469999999999573</v>
      </c>
      <c r="CE50" s="787">
        <f t="shared" si="43"/>
        <v>-296.21500000000003</v>
      </c>
      <c r="CF50" s="787">
        <f t="shared" si="44"/>
        <v>-121.61199999999997</v>
      </c>
      <c r="CG50" s="787">
        <f t="shared" si="45"/>
        <v>37.883000000000003</v>
      </c>
      <c r="CH50" s="787">
        <f t="shared" si="34"/>
        <v>-382.69099999999997</v>
      </c>
      <c r="CI50" s="788">
        <f t="shared" si="35"/>
        <v>861.577</v>
      </c>
    </row>
    <row r="51" spans="1:87">
      <c r="A51" s="265">
        <f t="shared" si="10"/>
        <v>2015</v>
      </c>
      <c r="B51" s="263">
        <f t="shared" si="11"/>
        <v>42094</v>
      </c>
      <c r="C51" s="509">
        <v>34400.447999999997</v>
      </c>
      <c r="D51" s="277">
        <v>4483.4449999999997</v>
      </c>
      <c r="E51" s="277">
        <v>4594.3429999999998</v>
      </c>
      <c r="F51" s="277">
        <v>4017.6390000000001</v>
      </c>
      <c r="G51" s="277">
        <v>643.60900000000004</v>
      </c>
      <c r="H51" s="787">
        <f t="shared" si="12"/>
        <v>13739.036</v>
      </c>
      <c r="I51" s="788">
        <f t="shared" si="13"/>
        <v>48139.483999999997</v>
      </c>
      <c r="J51" s="509">
        <v>3673.2449999999999</v>
      </c>
      <c r="K51" s="277">
        <v>1437.299</v>
      </c>
      <c r="L51" s="277">
        <v>740.20600000000002</v>
      </c>
      <c r="M51" s="277">
        <v>517.94899999999996</v>
      </c>
      <c r="N51" s="277"/>
      <c r="O51" s="787">
        <f t="shared" si="14"/>
        <v>2695.4540000000002</v>
      </c>
      <c r="P51" s="788">
        <f t="shared" si="15"/>
        <v>6368.6990000000005</v>
      </c>
      <c r="Q51" s="509">
        <v>6468.7449999999999</v>
      </c>
      <c r="R51" s="277">
        <v>778.80600000000004</v>
      </c>
      <c r="S51" s="277">
        <v>1254.5340000000001</v>
      </c>
      <c r="T51" s="277">
        <v>905.52499999999998</v>
      </c>
      <c r="U51" s="277"/>
      <c r="V51" s="787">
        <f t="shared" si="16"/>
        <v>2938.8650000000002</v>
      </c>
      <c r="W51" s="788">
        <f t="shared" si="17"/>
        <v>9407.61</v>
      </c>
      <c r="X51" s="509">
        <v>4912.0200000000004</v>
      </c>
      <c r="Y51" s="277">
        <v>928.47900000000004</v>
      </c>
      <c r="Z51" s="277">
        <v>1440.799</v>
      </c>
      <c r="AA51" s="277">
        <v>1327.18</v>
      </c>
      <c r="AB51" s="277"/>
      <c r="AC51" s="787">
        <f t="shared" si="18"/>
        <v>3696.4580000000005</v>
      </c>
      <c r="AD51" s="788">
        <f t="shared" si="19"/>
        <v>8608.478000000001</v>
      </c>
      <c r="AE51" s="509">
        <v>4354.6639999999998</v>
      </c>
      <c r="AF51" s="277">
        <v>59.591000000000001</v>
      </c>
      <c r="AG51" s="277"/>
      <c r="AH51" s="277"/>
      <c r="AI51" s="277"/>
      <c r="AJ51" s="787">
        <f t="shared" si="20"/>
        <v>59.591000000000001</v>
      </c>
      <c r="AK51" s="788">
        <f t="shared" si="21"/>
        <v>4414.2550000000001</v>
      </c>
      <c r="AL51" s="789">
        <f t="shared" si="36"/>
        <v>14991.773999999998</v>
      </c>
      <c r="AM51" s="787">
        <f t="shared" si="37"/>
        <v>1279.27</v>
      </c>
      <c r="AN51" s="787">
        <f t="shared" si="38"/>
        <v>1158.8039999999996</v>
      </c>
      <c r="AO51" s="787">
        <f t="shared" si="39"/>
        <v>1266.9850000000001</v>
      </c>
      <c r="AP51" s="787">
        <f t="shared" si="40"/>
        <v>643.60900000000004</v>
      </c>
      <c r="AQ51" s="787">
        <f t="shared" si="22"/>
        <v>4348.6679999999997</v>
      </c>
      <c r="AR51" s="788">
        <f t="shared" si="23"/>
        <v>19340.441999999995</v>
      </c>
      <c r="AS51" s="395"/>
      <c r="AT51" s="509">
        <v>3055.5039999999999</v>
      </c>
      <c r="AU51" s="277">
        <v>213.70500000000001</v>
      </c>
      <c r="AV51" s="277">
        <v>152.54400000000001</v>
      </c>
      <c r="AW51" s="277">
        <v>79.301000000000002</v>
      </c>
      <c r="AX51" s="277">
        <v>43.485999999999997</v>
      </c>
      <c r="AY51" s="787">
        <f t="shared" si="24"/>
        <v>489.036</v>
      </c>
      <c r="AZ51" s="788">
        <f t="shared" si="25"/>
        <v>3544.54</v>
      </c>
      <c r="BA51" s="509">
        <v>303.63799999999998</v>
      </c>
      <c r="BB51" s="277">
        <v>114.53400000000001</v>
      </c>
      <c r="BC51" s="277">
        <v>61.088999999999999</v>
      </c>
      <c r="BD51" s="277">
        <v>89.626999999999995</v>
      </c>
      <c r="BE51" s="277"/>
      <c r="BF51" s="787">
        <f t="shared" si="26"/>
        <v>265.25</v>
      </c>
      <c r="BG51" s="788">
        <f t="shared" si="27"/>
        <v>568.88799999999992</v>
      </c>
      <c r="BH51" s="509">
        <v>592.92600000000004</v>
      </c>
      <c r="BI51" s="277">
        <v>-53.476999999999997</v>
      </c>
      <c r="BJ51" s="277">
        <v>138.863</v>
      </c>
      <c r="BK51" s="277">
        <v>66.191999999999993</v>
      </c>
      <c r="BL51" s="277"/>
      <c r="BM51" s="787">
        <f t="shared" si="28"/>
        <v>151.57799999999997</v>
      </c>
      <c r="BN51" s="788">
        <f t="shared" si="29"/>
        <v>744.50400000000002</v>
      </c>
      <c r="BO51" s="509">
        <v>230.31200000000001</v>
      </c>
      <c r="BP51" s="277">
        <v>78.486999999999995</v>
      </c>
      <c r="BQ51" s="277">
        <v>167.767</v>
      </c>
      <c r="BR51" s="277">
        <v>32.731000000000002</v>
      </c>
      <c r="BS51" s="277"/>
      <c r="BT51" s="787">
        <f t="shared" si="30"/>
        <v>278.98500000000001</v>
      </c>
      <c r="BU51" s="788">
        <f t="shared" si="31"/>
        <v>509.29700000000003</v>
      </c>
      <c r="BV51" s="509">
        <v>446.81900000000002</v>
      </c>
      <c r="BW51" s="277">
        <v>6.117</v>
      </c>
      <c r="BX51" s="277"/>
      <c r="BY51" s="277"/>
      <c r="BZ51" s="277"/>
      <c r="CA51" s="787">
        <f t="shared" si="32"/>
        <v>6.117</v>
      </c>
      <c r="CB51" s="788">
        <f t="shared" si="33"/>
        <v>452.93600000000004</v>
      </c>
      <c r="CC51" s="789">
        <f t="shared" si="41"/>
        <v>1481.8089999999997</v>
      </c>
      <c r="CD51" s="787">
        <f t="shared" si="42"/>
        <v>68.044000000000011</v>
      </c>
      <c r="CE51" s="787">
        <f t="shared" si="43"/>
        <v>-215.17499999999998</v>
      </c>
      <c r="CF51" s="787">
        <f t="shared" si="44"/>
        <v>-109.24899999999998</v>
      </c>
      <c r="CG51" s="787">
        <f t="shared" si="45"/>
        <v>43.485999999999997</v>
      </c>
      <c r="CH51" s="787">
        <f t="shared" si="34"/>
        <v>-212.89399999999995</v>
      </c>
      <c r="CI51" s="788">
        <f t="shared" si="35"/>
        <v>1268.9149999999997</v>
      </c>
    </row>
    <row r="52" spans="1:87">
      <c r="A52" s="265">
        <f t="shared" si="10"/>
        <v>2015</v>
      </c>
      <c r="B52" s="263">
        <f t="shared" si="11"/>
        <v>42185</v>
      </c>
      <c r="C52" s="509">
        <v>37988.917000000001</v>
      </c>
      <c r="D52" s="277">
        <v>4042.5529999999999</v>
      </c>
      <c r="E52" s="277">
        <v>6386.6120000000001</v>
      </c>
      <c r="F52" s="277">
        <v>4140.2780000000002</v>
      </c>
      <c r="G52" s="277">
        <v>641.81299999999999</v>
      </c>
      <c r="H52" s="787">
        <f t="shared" si="12"/>
        <v>15211.256000000001</v>
      </c>
      <c r="I52" s="788">
        <f t="shared" si="13"/>
        <v>53200.173000000003</v>
      </c>
      <c r="J52" s="509">
        <v>3947.971</v>
      </c>
      <c r="K52" s="277">
        <v>1264.8800000000001</v>
      </c>
      <c r="L52" s="277">
        <v>1040.473</v>
      </c>
      <c r="M52" s="277">
        <v>565.51499999999999</v>
      </c>
      <c r="N52" s="277"/>
      <c r="O52" s="787">
        <f t="shared" si="14"/>
        <v>2870.8679999999999</v>
      </c>
      <c r="P52" s="788">
        <f t="shared" si="15"/>
        <v>6818.8389999999999</v>
      </c>
      <c r="Q52" s="509">
        <v>7314.08</v>
      </c>
      <c r="R52" s="277">
        <v>658.33699999999999</v>
      </c>
      <c r="S52" s="277">
        <v>1877.4739999999999</v>
      </c>
      <c r="T52" s="277">
        <v>878.26499999999999</v>
      </c>
      <c r="U52" s="277"/>
      <c r="V52" s="787">
        <f t="shared" si="16"/>
        <v>3414.0759999999996</v>
      </c>
      <c r="W52" s="788">
        <f t="shared" si="17"/>
        <v>10728.155999999999</v>
      </c>
      <c r="X52" s="509">
        <v>5758.5739999999996</v>
      </c>
      <c r="Y52" s="277">
        <v>857.05499999999995</v>
      </c>
      <c r="Z52" s="277">
        <v>1912.1769999999999</v>
      </c>
      <c r="AA52" s="277">
        <v>1385.654</v>
      </c>
      <c r="AB52" s="277"/>
      <c r="AC52" s="787">
        <f t="shared" si="18"/>
        <v>4154.8860000000004</v>
      </c>
      <c r="AD52" s="788">
        <f t="shared" si="19"/>
        <v>9913.4599999999991</v>
      </c>
      <c r="AE52" s="509">
        <v>5035.2219999999998</v>
      </c>
      <c r="AF52" s="277">
        <v>75.391000000000005</v>
      </c>
      <c r="AG52" s="277"/>
      <c r="AH52" s="277"/>
      <c r="AI52" s="277"/>
      <c r="AJ52" s="787">
        <f t="shared" si="20"/>
        <v>75.391000000000005</v>
      </c>
      <c r="AK52" s="788">
        <f t="shared" si="21"/>
        <v>5110.6129999999994</v>
      </c>
      <c r="AL52" s="789">
        <f t="shared" si="36"/>
        <v>15933.07</v>
      </c>
      <c r="AM52" s="787">
        <f t="shared" si="37"/>
        <v>1186.8899999999999</v>
      </c>
      <c r="AN52" s="787">
        <f t="shared" si="38"/>
        <v>1556.4880000000003</v>
      </c>
      <c r="AO52" s="787">
        <f t="shared" si="39"/>
        <v>1310.8440000000001</v>
      </c>
      <c r="AP52" s="787">
        <f t="shared" si="40"/>
        <v>641.81299999999999</v>
      </c>
      <c r="AQ52" s="787">
        <f t="shared" si="22"/>
        <v>4696.0349999999999</v>
      </c>
      <c r="AR52" s="788">
        <f t="shared" si="23"/>
        <v>20629.105</v>
      </c>
      <c r="AS52" s="395"/>
      <c r="AT52" s="509">
        <v>4678.7280000000001</v>
      </c>
      <c r="AU52" s="277">
        <v>158.59800000000001</v>
      </c>
      <c r="AV52" s="277">
        <v>655.38699999999994</v>
      </c>
      <c r="AW52" s="277">
        <v>201.05500000000001</v>
      </c>
      <c r="AX52" s="277">
        <v>38.854999999999997</v>
      </c>
      <c r="AY52" s="787">
        <f t="shared" si="24"/>
        <v>1053.895</v>
      </c>
      <c r="AZ52" s="788">
        <f t="shared" si="25"/>
        <v>5732.6229999999996</v>
      </c>
      <c r="BA52" s="509">
        <v>624.27499999999998</v>
      </c>
      <c r="BB52" s="277">
        <v>128.827</v>
      </c>
      <c r="BC52" s="277">
        <v>179.952</v>
      </c>
      <c r="BD52" s="277">
        <v>118.49</v>
      </c>
      <c r="BE52" s="277"/>
      <c r="BF52" s="787">
        <f t="shared" si="26"/>
        <v>427.26900000000001</v>
      </c>
      <c r="BG52" s="788">
        <f t="shared" si="27"/>
        <v>1051.5439999999999</v>
      </c>
      <c r="BH52" s="509">
        <v>963.63900000000001</v>
      </c>
      <c r="BI52" s="277">
        <v>-18.48</v>
      </c>
      <c r="BJ52" s="277">
        <v>386.16699999999997</v>
      </c>
      <c r="BK52" s="277">
        <v>155.96700000000001</v>
      </c>
      <c r="BL52" s="277"/>
      <c r="BM52" s="787">
        <f t="shared" si="28"/>
        <v>523.654</v>
      </c>
      <c r="BN52" s="788">
        <f t="shared" si="29"/>
        <v>1487.2930000000001</v>
      </c>
      <c r="BO52" s="509">
        <v>714.06200000000001</v>
      </c>
      <c r="BP52" s="277">
        <v>30.268999999999998</v>
      </c>
      <c r="BQ52" s="277">
        <v>374.64800000000002</v>
      </c>
      <c r="BR52" s="277">
        <v>74.003</v>
      </c>
      <c r="BS52" s="277"/>
      <c r="BT52" s="787">
        <f t="shared" si="30"/>
        <v>478.92</v>
      </c>
      <c r="BU52" s="788">
        <f t="shared" si="31"/>
        <v>1192.982</v>
      </c>
      <c r="BV52" s="509">
        <v>599.05999999999995</v>
      </c>
      <c r="BW52" s="277">
        <v>8.9700000000000006</v>
      </c>
      <c r="BX52" s="277"/>
      <c r="BY52" s="277"/>
      <c r="BZ52" s="277"/>
      <c r="CA52" s="787">
        <f t="shared" si="32"/>
        <v>8.9700000000000006</v>
      </c>
      <c r="CB52" s="788">
        <f t="shared" si="33"/>
        <v>608.03</v>
      </c>
      <c r="CC52" s="789">
        <f t="shared" si="41"/>
        <v>1777.692</v>
      </c>
      <c r="CD52" s="787">
        <f t="shared" si="42"/>
        <v>9.0120000000000289</v>
      </c>
      <c r="CE52" s="787">
        <f t="shared" si="43"/>
        <v>-285.38</v>
      </c>
      <c r="CF52" s="787">
        <f t="shared" si="44"/>
        <v>-147.40499999999997</v>
      </c>
      <c r="CG52" s="787">
        <f t="shared" si="45"/>
        <v>38.854999999999997</v>
      </c>
      <c r="CH52" s="787">
        <f t="shared" si="34"/>
        <v>-384.91799999999989</v>
      </c>
      <c r="CI52" s="788">
        <f t="shared" si="35"/>
        <v>1392.7740000000001</v>
      </c>
    </row>
    <row r="53" spans="1:87">
      <c r="A53" s="265">
        <f t="shared" si="10"/>
        <v>2015</v>
      </c>
      <c r="B53" s="263">
        <f t="shared" si="11"/>
        <v>42277</v>
      </c>
      <c r="C53" s="509">
        <v>38170.71</v>
      </c>
      <c r="D53" s="277">
        <v>3962.6210000000001</v>
      </c>
      <c r="E53" s="277">
        <v>7047.6909999999998</v>
      </c>
      <c r="F53" s="277">
        <v>4355.8710000000001</v>
      </c>
      <c r="G53" s="277">
        <v>650.53300000000002</v>
      </c>
      <c r="H53" s="787">
        <f t="shared" si="12"/>
        <v>16016.716</v>
      </c>
      <c r="I53" s="788">
        <f t="shared" si="13"/>
        <v>54187.425999999999</v>
      </c>
      <c r="J53" s="509">
        <v>6738.8310000000001</v>
      </c>
      <c r="K53" s="277">
        <v>1523.1690000000001</v>
      </c>
      <c r="L53" s="277">
        <v>1914.2529999999999</v>
      </c>
      <c r="M53" s="277">
        <v>556.13699999999994</v>
      </c>
      <c r="N53" s="277"/>
      <c r="O53" s="787">
        <f t="shared" si="14"/>
        <v>3993.5590000000002</v>
      </c>
      <c r="P53" s="788">
        <f t="shared" si="15"/>
        <v>10732.39</v>
      </c>
      <c r="Q53" s="509">
        <v>7267.6229999999996</v>
      </c>
      <c r="R53" s="277">
        <v>641.66700000000003</v>
      </c>
      <c r="S53" s="277">
        <v>2165.7040000000002</v>
      </c>
      <c r="T53" s="277">
        <v>1055.4259999999999</v>
      </c>
      <c r="U53" s="277"/>
      <c r="V53" s="787">
        <f t="shared" si="16"/>
        <v>3862.797</v>
      </c>
      <c r="W53" s="788">
        <f t="shared" si="17"/>
        <v>11130.42</v>
      </c>
      <c r="X53" s="509">
        <v>5894.1459999999997</v>
      </c>
      <c r="Y53" s="277">
        <v>810.101</v>
      </c>
      <c r="Z53" s="277">
        <v>2113.4870000000001</v>
      </c>
      <c r="AA53" s="277">
        <v>1488.171</v>
      </c>
      <c r="AB53" s="277"/>
      <c r="AC53" s="787">
        <f t="shared" si="18"/>
        <v>4411.759</v>
      </c>
      <c r="AD53" s="788">
        <f t="shared" si="19"/>
        <v>10305.904999999999</v>
      </c>
      <c r="AE53" s="509">
        <v>5247.4390000000003</v>
      </c>
      <c r="AF53" s="277">
        <v>70.484999999999999</v>
      </c>
      <c r="AG53" s="277"/>
      <c r="AH53" s="277"/>
      <c r="AI53" s="277"/>
      <c r="AJ53" s="787">
        <f t="shared" si="20"/>
        <v>70.484999999999999</v>
      </c>
      <c r="AK53" s="788">
        <f t="shared" si="21"/>
        <v>5317.924</v>
      </c>
      <c r="AL53" s="789">
        <f t="shared" si="36"/>
        <v>13022.671000000002</v>
      </c>
      <c r="AM53" s="787">
        <f t="shared" si="37"/>
        <v>917.19899999999961</v>
      </c>
      <c r="AN53" s="787">
        <f t="shared" si="38"/>
        <v>854.24699999999939</v>
      </c>
      <c r="AO53" s="787">
        <f t="shared" si="39"/>
        <v>1256.1370000000002</v>
      </c>
      <c r="AP53" s="787">
        <f t="shared" si="40"/>
        <v>650.53300000000002</v>
      </c>
      <c r="AQ53" s="787">
        <f t="shared" si="22"/>
        <v>3678.1159999999991</v>
      </c>
      <c r="AR53" s="788">
        <f t="shared" si="23"/>
        <v>16700.787</v>
      </c>
      <c r="AS53" s="395"/>
      <c r="AT53" s="509">
        <v>6494.2629999999999</v>
      </c>
      <c r="AU53" s="277">
        <v>604.63</v>
      </c>
      <c r="AV53" s="277">
        <v>1683.3820000000001</v>
      </c>
      <c r="AW53" s="277">
        <v>888.61099999999999</v>
      </c>
      <c r="AX53" s="277">
        <v>-15.769</v>
      </c>
      <c r="AY53" s="787">
        <f t="shared" si="24"/>
        <v>3160.8540000000003</v>
      </c>
      <c r="AZ53" s="788">
        <f t="shared" si="25"/>
        <v>9655.1170000000002</v>
      </c>
      <c r="BA53" s="509">
        <v>1098.924</v>
      </c>
      <c r="BB53" s="277">
        <v>242.53200000000001</v>
      </c>
      <c r="BC53" s="277">
        <v>269.125</v>
      </c>
      <c r="BD53" s="277">
        <v>111.562</v>
      </c>
      <c r="BE53" s="277"/>
      <c r="BF53" s="787">
        <f t="shared" si="26"/>
        <v>623.21900000000005</v>
      </c>
      <c r="BG53" s="788">
        <f t="shared" si="27"/>
        <v>1722.143</v>
      </c>
      <c r="BH53" s="509">
        <v>782.35900000000004</v>
      </c>
      <c r="BI53" s="277">
        <v>-18.201000000000001</v>
      </c>
      <c r="BJ53" s="277">
        <v>417.73899999999998</v>
      </c>
      <c r="BK53" s="277">
        <v>137.322</v>
      </c>
      <c r="BL53" s="277"/>
      <c r="BM53" s="787">
        <f t="shared" si="28"/>
        <v>536.8599999999999</v>
      </c>
      <c r="BN53" s="788">
        <f t="shared" si="29"/>
        <v>1319.2190000000001</v>
      </c>
      <c r="BO53" s="509">
        <v>2446.203</v>
      </c>
      <c r="BP53" s="277">
        <v>360.78699999999998</v>
      </c>
      <c r="BQ53" s="277">
        <v>1216.105</v>
      </c>
      <c r="BR53" s="277">
        <v>752.41</v>
      </c>
      <c r="BS53" s="277"/>
      <c r="BT53" s="787">
        <f t="shared" si="30"/>
        <v>2329.3020000000001</v>
      </c>
      <c r="BU53" s="788">
        <f t="shared" si="31"/>
        <v>4775.5050000000001</v>
      </c>
      <c r="BV53" s="509">
        <v>576.60900000000004</v>
      </c>
      <c r="BW53" s="277">
        <v>7.7450000000000001</v>
      </c>
      <c r="BX53" s="277"/>
      <c r="BY53" s="277"/>
      <c r="BZ53" s="277"/>
      <c r="CA53" s="787">
        <f t="shared" si="32"/>
        <v>7.7450000000000001</v>
      </c>
      <c r="CB53" s="788">
        <f t="shared" si="33"/>
        <v>584.35400000000004</v>
      </c>
      <c r="CC53" s="789">
        <f t="shared" si="41"/>
        <v>1590.1679999999997</v>
      </c>
      <c r="CD53" s="787">
        <f t="shared" si="42"/>
        <v>11.767000000000053</v>
      </c>
      <c r="CE53" s="787">
        <f t="shared" si="43"/>
        <v>-219.58699999999999</v>
      </c>
      <c r="CF53" s="787">
        <f t="shared" si="44"/>
        <v>-112.68299999999999</v>
      </c>
      <c r="CG53" s="787">
        <f t="shared" si="45"/>
        <v>-15.769</v>
      </c>
      <c r="CH53" s="787">
        <f t="shared" si="34"/>
        <v>-336.27199999999993</v>
      </c>
      <c r="CI53" s="788">
        <f t="shared" si="35"/>
        <v>1253.8959999999997</v>
      </c>
    </row>
    <row r="54" spans="1:87">
      <c r="A54" s="265">
        <f t="shared" si="10"/>
        <v>2015</v>
      </c>
      <c r="B54" s="263">
        <f t="shared" si="11"/>
        <v>42369</v>
      </c>
      <c r="C54" s="509">
        <v>36372.330999999998</v>
      </c>
      <c r="D54" s="277">
        <v>3756.9250000000002</v>
      </c>
      <c r="E54" s="277">
        <v>5176.2860000000001</v>
      </c>
      <c r="F54" s="277">
        <v>3860.7139999999999</v>
      </c>
      <c r="G54" s="277">
        <v>667.55499999999995</v>
      </c>
      <c r="H54" s="787">
        <f t="shared" si="12"/>
        <v>13461.48</v>
      </c>
      <c r="I54" s="788">
        <f t="shared" si="13"/>
        <v>49833.811000000002</v>
      </c>
      <c r="J54" s="509">
        <v>6325.2669999999998</v>
      </c>
      <c r="K54" s="277">
        <v>1487.7470000000001</v>
      </c>
      <c r="L54" s="277">
        <v>1313.4870000000001</v>
      </c>
      <c r="M54" s="277">
        <v>534.41600000000005</v>
      </c>
      <c r="N54" s="277"/>
      <c r="O54" s="787">
        <f t="shared" si="14"/>
        <v>3335.6500000000005</v>
      </c>
      <c r="P54" s="788">
        <f t="shared" si="15"/>
        <v>9660.9170000000013</v>
      </c>
      <c r="Q54" s="509">
        <v>6744.6090000000004</v>
      </c>
      <c r="R54" s="277">
        <v>580.21100000000001</v>
      </c>
      <c r="S54" s="277">
        <v>1436.318</v>
      </c>
      <c r="T54" s="277">
        <v>788.44299999999998</v>
      </c>
      <c r="U54" s="277"/>
      <c r="V54" s="787">
        <f t="shared" si="16"/>
        <v>2804.9719999999998</v>
      </c>
      <c r="W54" s="788">
        <f t="shared" si="17"/>
        <v>9549.5810000000001</v>
      </c>
      <c r="X54" s="509">
        <v>5366.4530000000004</v>
      </c>
      <c r="Y54" s="277">
        <v>771.46299999999997</v>
      </c>
      <c r="Z54" s="277">
        <v>1601.172</v>
      </c>
      <c r="AA54" s="277">
        <v>1297.202</v>
      </c>
      <c r="AB54" s="277"/>
      <c r="AC54" s="787">
        <f t="shared" si="18"/>
        <v>3669.8370000000004</v>
      </c>
      <c r="AD54" s="788">
        <f t="shared" si="19"/>
        <v>9036.2900000000009</v>
      </c>
      <c r="AE54" s="509">
        <v>4895.7849999999999</v>
      </c>
      <c r="AF54" s="277">
        <v>81.533000000000001</v>
      </c>
      <c r="AG54" s="277"/>
      <c r="AH54" s="277"/>
      <c r="AI54" s="277"/>
      <c r="AJ54" s="787">
        <f t="shared" si="20"/>
        <v>81.533000000000001</v>
      </c>
      <c r="AK54" s="788">
        <f t="shared" si="21"/>
        <v>4977.3180000000002</v>
      </c>
      <c r="AL54" s="789">
        <f t="shared" si="36"/>
        <v>13040.216999999997</v>
      </c>
      <c r="AM54" s="787">
        <f t="shared" si="37"/>
        <v>835.971</v>
      </c>
      <c r="AN54" s="787">
        <f t="shared" si="38"/>
        <v>825.30899999999929</v>
      </c>
      <c r="AO54" s="787">
        <f t="shared" si="39"/>
        <v>1240.6530000000002</v>
      </c>
      <c r="AP54" s="787">
        <f t="shared" si="40"/>
        <v>667.55499999999995</v>
      </c>
      <c r="AQ54" s="787">
        <f t="shared" si="22"/>
        <v>3569.4879999999994</v>
      </c>
      <c r="AR54" s="788">
        <f t="shared" si="23"/>
        <v>16609.704999999994</v>
      </c>
      <c r="AS54" s="395"/>
      <c r="AT54" s="509">
        <v>6983.4070000000002</v>
      </c>
      <c r="AU54" s="277">
        <v>25.920999999999999</v>
      </c>
      <c r="AV54" s="277">
        <v>407.13799999999998</v>
      </c>
      <c r="AW54" s="277">
        <v>-7.3330000000000002</v>
      </c>
      <c r="AX54" s="277">
        <v>38.520000000000003</v>
      </c>
      <c r="AY54" s="787">
        <f t="shared" si="24"/>
        <v>464.24599999999992</v>
      </c>
      <c r="AZ54" s="788">
        <f t="shared" si="25"/>
        <v>7447.6530000000002</v>
      </c>
      <c r="BA54" s="509">
        <v>3542.2669999999998</v>
      </c>
      <c r="BB54" s="277">
        <v>88.08</v>
      </c>
      <c r="BC54" s="277">
        <v>45.755000000000003</v>
      </c>
      <c r="BD54" s="277">
        <v>74.004999999999995</v>
      </c>
      <c r="BE54" s="277"/>
      <c r="BF54" s="787">
        <f t="shared" si="26"/>
        <v>207.84</v>
      </c>
      <c r="BG54" s="788">
        <f t="shared" si="27"/>
        <v>3750.107</v>
      </c>
      <c r="BH54" s="509">
        <v>778.95699999999999</v>
      </c>
      <c r="BI54" s="277">
        <v>-64.563000000000002</v>
      </c>
      <c r="BJ54" s="277">
        <v>248.91300000000001</v>
      </c>
      <c r="BK54" s="277">
        <v>24.17</v>
      </c>
      <c r="BL54" s="277"/>
      <c r="BM54" s="787">
        <f t="shared" si="28"/>
        <v>208.52000000000004</v>
      </c>
      <c r="BN54" s="788">
        <f t="shared" si="29"/>
        <v>987.47700000000009</v>
      </c>
      <c r="BO54" s="509">
        <v>511.12700000000001</v>
      </c>
      <c r="BP54" s="277">
        <v>2.609</v>
      </c>
      <c r="BQ54" s="277">
        <v>291.33800000000002</v>
      </c>
      <c r="BR54" s="277">
        <v>18.530999999999999</v>
      </c>
      <c r="BS54" s="277"/>
      <c r="BT54" s="787">
        <f t="shared" si="30"/>
        <v>312.47800000000001</v>
      </c>
      <c r="BU54" s="788">
        <f t="shared" si="31"/>
        <v>823.60500000000002</v>
      </c>
      <c r="BV54" s="509">
        <v>527.17899999999997</v>
      </c>
      <c r="BW54" s="277">
        <v>8.7789999999999999</v>
      </c>
      <c r="BX54" s="277"/>
      <c r="BY54" s="277"/>
      <c r="BZ54" s="277"/>
      <c r="CA54" s="787">
        <f t="shared" si="32"/>
        <v>8.7789999999999999</v>
      </c>
      <c r="CB54" s="788">
        <f t="shared" si="33"/>
        <v>535.95799999999997</v>
      </c>
      <c r="CC54" s="789">
        <f t="shared" si="41"/>
        <v>1623.8769999999995</v>
      </c>
      <c r="CD54" s="787">
        <f t="shared" si="42"/>
        <v>-8.9840000000000018</v>
      </c>
      <c r="CE54" s="787">
        <f t="shared" si="43"/>
        <v>-178.86800000000011</v>
      </c>
      <c r="CF54" s="787">
        <f t="shared" si="44"/>
        <v>-124.03899999999999</v>
      </c>
      <c r="CG54" s="787">
        <f t="shared" si="45"/>
        <v>38.520000000000003</v>
      </c>
      <c r="CH54" s="787">
        <f t="shared" si="34"/>
        <v>-273.37100000000009</v>
      </c>
      <c r="CI54" s="788">
        <f t="shared" si="35"/>
        <v>1350.5059999999994</v>
      </c>
    </row>
    <row r="55" spans="1:87">
      <c r="A55" s="265">
        <f t="shared" si="10"/>
        <v>2016</v>
      </c>
      <c r="B55" s="263">
        <f t="shared" si="11"/>
        <v>42460</v>
      </c>
      <c r="C55" s="509">
        <v>34766.495999999999</v>
      </c>
      <c r="D55" s="277">
        <v>4471.2190000000001</v>
      </c>
      <c r="E55" s="277">
        <v>4171.5940000000001</v>
      </c>
      <c r="F55" s="277">
        <v>3923.7130000000002</v>
      </c>
      <c r="G55" s="277">
        <v>596.69600000000003</v>
      </c>
      <c r="H55" s="787">
        <f t="shared" si="12"/>
        <v>13163.222</v>
      </c>
      <c r="I55" s="788">
        <f t="shared" si="13"/>
        <v>47929.718000000001</v>
      </c>
      <c r="J55" s="509">
        <v>5681.8919999999998</v>
      </c>
      <c r="K55" s="277">
        <v>1834.2750000000001</v>
      </c>
      <c r="L55" s="277">
        <v>1064.4929999999999</v>
      </c>
      <c r="M55" s="277">
        <v>916.40700000000004</v>
      </c>
      <c r="N55" s="277"/>
      <c r="O55" s="787">
        <f t="shared" si="14"/>
        <v>3815.1750000000002</v>
      </c>
      <c r="P55" s="788">
        <f t="shared" si="15"/>
        <v>9497.0669999999991</v>
      </c>
      <c r="Q55" s="509">
        <v>6720.3680000000004</v>
      </c>
      <c r="R55" s="277">
        <v>735.48</v>
      </c>
      <c r="S55" s="277">
        <v>1103.8409999999999</v>
      </c>
      <c r="T55" s="277">
        <v>735.97500000000002</v>
      </c>
      <c r="U55" s="277"/>
      <c r="V55" s="787">
        <f t="shared" si="16"/>
        <v>2575.2959999999998</v>
      </c>
      <c r="W55" s="788">
        <f t="shared" si="17"/>
        <v>9295.6640000000007</v>
      </c>
      <c r="X55" s="509">
        <v>4965.5919999999996</v>
      </c>
      <c r="Y55" s="277">
        <v>890.93399999999997</v>
      </c>
      <c r="Z55" s="277">
        <v>1207.7919999999999</v>
      </c>
      <c r="AA55" s="277">
        <v>1130.973</v>
      </c>
      <c r="AB55" s="277"/>
      <c r="AC55" s="787">
        <f t="shared" si="18"/>
        <v>3229.6989999999996</v>
      </c>
      <c r="AD55" s="788">
        <f t="shared" si="19"/>
        <v>8195.2909999999993</v>
      </c>
      <c r="AE55" s="509">
        <v>4732.2070000000003</v>
      </c>
      <c r="AF55" s="277">
        <v>94.111999999999995</v>
      </c>
      <c r="AG55" s="277"/>
      <c r="AH55" s="277"/>
      <c r="AI55" s="277"/>
      <c r="AJ55" s="787">
        <f t="shared" si="20"/>
        <v>94.111999999999995</v>
      </c>
      <c r="AK55" s="788">
        <f t="shared" si="21"/>
        <v>4826.3190000000004</v>
      </c>
      <c r="AL55" s="789">
        <f t="shared" si="36"/>
        <v>12666.436999999998</v>
      </c>
      <c r="AM55" s="787">
        <f t="shared" si="37"/>
        <v>916.41799999999967</v>
      </c>
      <c r="AN55" s="787">
        <f t="shared" si="38"/>
        <v>795.4680000000003</v>
      </c>
      <c r="AO55" s="787">
        <f t="shared" si="39"/>
        <v>1140.3580000000002</v>
      </c>
      <c r="AP55" s="787">
        <f t="shared" si="40"/>
        <v>596.69600000000003</v>
      </c>
      <c r="AQ55" s="787">
        <f t="shared" si="22"/>
        <v>3448.94</v>
      </c>
      <c r="AR55" s="788">
        <f t="shared" si="23"/>
        <v>16115.376999999999</v>
      </c>
      <c r="AS55" s="395"/>
      <c r="AT55" s="509">
        <v>2856.1669999999999</v>
      </c>
      <c r="AU55" s="277">
        <v>362.40699999999998</v>
      </c>
      <c r="AV55" s="277">
        <v>43.896000000000001</v>
      </c>
      <c r="AW55" s="277">
        <v>226.726</v>
      </c>
      <c r="AX55" s="277">
        <v>5.9219999999999997</v>
      </c>
      <c r="AY55" s="787">
        <f t="shared" si="24"/>
        <v>638.95100000000002</v>
      </c>
      <c r="AZ55" s="788">
        <f t="shared" si="25"/>
        <v>3495.1179999999999</v>
      </c>
      <c r="BA55" s="509">
        <v>18.835999999999999</v>
      </c>
      <c r="BB55" s="277">
        <v>306.73099999999999</v>
      </c>
      <c r="BC55" s="277">
        <v>69.018000000000001</v>
      </c>
      <c r="BD55" s="277">
        <v>315.68599999999998</v>
      </c>
      <c r="BE55" s="277"/>
      <c r="BF55" s="787">
        <f t="shared" si="26"/>
        <v>691.43499999999995</v>
      </c>
      <c r="BG55" s="788">
        <f t="shared" si="27"/>
        <v>710.27099999999996</v>
      </c>
      <c r="BH55" s="509">
        <v>727.93399999999997</v>
      </c>
      <c r="BI55" s="277">
        <v>25.221</v>
      </c>
      <c r="BJ55" s="277">
        <v>131.43100000000001</v>
      </c>
      <c r="BK55" s="277">
        <v>70.596000000000004</v>
      </c>
      <c r="BL55" s="277"/>
      <c r="BM55" s="787">
        <f t="shared" si="28"/>
        <v>227.24800000000002</v>
      </c>
      <c r="BN55" s="788">
        <f t="shared" si="29"/>
        <v>955.18200000000002</v>
      </c>
      <c r="BO55" s="509">
        <v>324.666</v>
      </c>
      <c r="BP55" s="277">
        <v>-1.502</v>
      </c>
      <c r="BQ55" s="277">
        <v>43.331000000000003</v>
      </c>
      <c r="BR55" s="277">
        <v>-52.631999999999998</v>
      </c>
      <c r="BS55" s="277"/>
      <c r="BT55" s="787">
        <f t="shared" si="30"/>
        <v>-10.802999999999997</v>
      </c>
      <c r="BU55" s="788">
        <f t="shared" si="31"/>
        <v>313.863</v>
      </c>
      <c r="BV55" s="509">
        <v>501.36599999999999</v>
      </c>
      <c r="BW55" s="277">
        <v>9.9719999999999995</v>
      </c>
      <c r="BX55" s="277"/>
      <c r="BY55" s="277"/>
      <c r="BZ55" s="277"/>
      <c r="CA55" s="787">
        <f t="shared" si="32"/>
        <v>9.9719999999999995</v>
      </c>
      <c r="CB55" s="788">
        <f t="shared" si="33"/>
        <v>511.33799999999997</v>
      </c>
      <c r="CC55" s="789">
        <f t="shared" si="41"/>
        <v>1283.365</v>
      </c>
      <c r="CD55" s="787">
        <f t="shared" si="42"/>
        <v>21.985000000000014</v>
      </c>
      <c r="CE55" s="787">
        <f t="shared" si="43"/>
        <v>-199.88400000000001</v>
      </c>
      <c r="CF55" s="787">
        <f t="shared" si="44"/>
        <v>-106.92399999999998</v>
      </c>
      <c r="CG55" s="787">
        <f t="shared" si="45"/>
        <v>5.9219999999999997</v>
      </c>
      <c r="CH55" s="787">
        <f t="shared" si="34"/>
        <v>-278.90099999999995</v>
      </c>
      <c r="CI55" s="788">
        <f t="shared" si="35"/>
        <v>1004.4640000000001</v>
      </c>
    </row>
    <row r="56" spans="1:87">
      <c r="A56" s="265">
        <f t="shared" si="10"/>
        <v>2016</v>
      </c>
      <c r="B56" s="263">
        <f t="shared" si="11"/>
        <v>42551</v>
      </c>
      <c r="C56" s="509">
        <v>38683.01</v>
      </c>
      <c r="D56" s="277">
        <v>3754.422</v>
      </c>
      <c r="E56" s="277">
        <v>6078.2030000000004</v>
      </c>
      <c r="F56" s="277">
        <v>4137.491</v>
      </c>
      <c r="G56" s="277">
        <v>606.34400000000005</v>
      </c>
      <c r="H56" s="787">
        <f t="shared" si="12"/>
        <v>14576.46</v>
      </c>
      <c r="I56" s="788">
        <f t="shared" si="13"/>
        <v>53259.47</v>
      </c>
      <c r="J56" s="509">
        <v>6925.7860000000001</v>
      </c>
      <c r="K56" s="277">
        <v>1411.8810000000001</v>
      </c>
      <c r="L56" s="277">
        <v>1302.039</v>
      </c>
      <c r="M56" s="277">
        <v>810.18200000000002</v>
      </c>
      <c r="N56" s="277"/>
      <c r="O56" s="787">
        <f t="shared" si="14"/>
        <v>3524.1019999999999</v>
      </c>
      <c r="P56" s="788">
        <f t="shared" si="15"/>
        <v>10449.887999999999</v>
      </c>
      <c r="Q56" s="509">
        <v>7385.1940000000004</v>
      </c>
      <c r="R56" s="277">
        <v>632.10400000000004</v>
      </c>
      <c r="S56" s="277">
        <v>1717.62</v>
      </c>
      <c r="T56" s="277">
        <v>767.98400000000004</v>
      </c>
      <c r="U56" s="277"/>
      <c r="V56" s="787">
        <f t="shared" si="16"/>
        <v>3117.7080000000001</v>
      </c>
      <c r="W56" s="788">
        <f t="shared" si="17"/>
        <v>10502.902</v>
      </c>
      <c r="X56" s="509">
        <v>5719.04</v>
      </c>
      <c r="Y56" s="277">
        <v>759.74800000000005</v>
      </c>
      <c r="Z56" s="277">
        <v>1702.6369999999999</v>
      </c>
      <c r="AA56" s="277">
        <v>1214.241</v>
      </c>
      <c r="AB56" s="277"/>
      <c r="AC56" s="787">
        <f t="shared" si="18"/>
        <v>3676.6260000000002</v>
      </c>
      <c r="AD56" s="788">
        <f t="shared" si="19"/>
        <v>9395.6660000000011</v>
      </c>
      <c r="AE56" s="509">
        <v>5280.2370000000001</v>
      </c>
      <c r="AF56" s="277">
        <v>103.913</v>
      </c>
      <c r="AG56" s="277"/>
      <c r="AH56" s="277"/>
      <c r="AI56" s="277"/>
      <c r="AJ56" s="787">
        <f t="shared" si="20"/>
        <v>103.913</v>
      </c>
      <c r="AK56" s="788">
        <f t="shared" si="21"/>
        <v>5384.15</v>
      </c>
      <c r="AL56" s="789">
        <f t="shared" si="36"/>
        <v>13372.753000000001</v>
      </c>
      <c r="AM56" s="787">
        <f t="shared" si="37"/>
        <v>846.77599999999984</v>
      </c>
      <c r="AN56" s="787">
        <f t="shared" si="38"/>
        <v>1355.9070000000011</v>
      </c>
      <c r="AO56" s="787">
        <f t="shared" si="39"/>
        <v>1345.0839999999998</v>
      </c>
      <c r="AP56" s="787">
        <f t="shared" si="40"/>
        <v>606.34400000000005</v>
      </c>
      <c r="AQ56" s="787">
        <f t="shared" si="22"/>
        <v>4154.1110000000008</v>
      </c>
      <c r="AR56" s="788">
        <f t="shared" si="23"/>
        <v>17526.864000000001</v>
      </c>
      <c r="AS56" s="395"/>
      <c r="AT56" s="509">
        <v>4229.0959999999995</v>
      </c>
      <c r="AU56" s="277">
        <v>279.16800000000001</v>
      </c>
      <c r="AV56" s="277">
        <v>326.08</v>
      </c>
      <c r="AW56" s="277">
        <v>257.40199999999999</v>
      </c>
      <c r="AX56" s="277">
        <v>2.399</v>
      </c>
      <c r="AY56" s="787">
        <f t="shared" si="24"/>
        <v>865.04900000000009</v>
      </c>
      <c r="AZ56" s="788">
        <f t="shared" si="25"/>
        <v>5094.1449999999995</v>
      </c>
      <c r="BA56" s="509">
        <v>277.899</v>
      </c>
      <c r="BB56" s="277">
        <v>298.50900000000001</v>
      </c>
      <c r="BC56" s="277">
        <v>103.518</v>
      </c>
      <c r="BD56" s="277">
        <v>292.32</v>
      </c>
      <c r="BE56" s="277"/>
      <c r="BF56" s="787">
        <f t="shared" si="26"/>
        <v>694.34699999999998</v>
      </c>
      <c r="BG56" s="788">
        <f t="shared" si="27"/>
        <v>972.24599999999998</v>
      </c>
      <c r="BH56" s="509">
        <v>1050.5930000000001</v>
      </c>
      <c r="BI56" s="277">
        <v>54.686</v>
      </c>
      <c r="BJ56" s="277">
        <v>344.923</v>
      </c>
      <c r="BK56" s="277">
        <v>102.31100000000001</v>
      </c>
      <c r="BL56" s="277"/>
      <c r="BM56" s="787">
        <f t="shared" si="28"/>
        <v>501.91999999999996</v>
      </c>
      <c r="BN56" s="788">
        <f t="shared" si="29"/>
        <v>1552.5129999999999</v>
      </c>
      <c r="BO56" s="509">
        <v>508.45800000000003</v>
      </c>
      <c r="BP56" s="277">
        <v>-17.655999999999999</v>
      </c>
      <c r="BQ56" s="277">
        <v>117.819</v>
      </c>
      <c r="BR56" s="277">
        <v>-20.498999999999999</v>
      </c>
      <c r="BS56" s="277"/>
      <c r="BT56" s="787">
        <f t="shared" si="30"/>
        <v>79.664000000000016</v>
      </c>
      <c r="BU56" s="788">
        <f t="shared" si="31"/>
        <v>588.12200000000007</v>
      </c>
      <c r="BV56" s="509">
        <v>804.23400000000004</v>
      </c>
      <c r="BW56" s="277">
        <v>15.829000000000001</v>
      </c>
      <c r="BX56" s="277"/>
      <c r="BY56" s="277"/>
      <c r="BZ56" s="277"/>
      <c r="CA56" s="787">
        <f t="shared" si="32"/>
        <v>15.829000000000001</v>
      </c>
      <c r="CB56" s="788">
        <f t="shared" si="33"/>
        <v>820.06299999999999</v>
      </c>
      <c r="CC56" s="789">
        <f t="shared" si="41"/>
        <v>1587.9119999999994</v>
      </c>
      <c r="CD56" s="787">
        <f t="shared" si="42"/>
        <v>-72.199999999999989</v>
      </c>
      <c r="CE56" s="787">
        <f t="shared" si="43"/>
        <v>-240.18</v>
      </c>
      <c r="CF56" s="787">
        <f t="shared" si="44"/>
        <v>-116.72999999999996</v>
      </c>
      <c r="CG56" s="787">
        <f t="shared" si="45"/>
        <v>2.399</v>
      </c>
      <c r="CH56" s="787">
        <f t="shared" si="34"/>
        <v>-426.71099999999996</v>
      </c>
      <c r="CI56" s="788">
        <f t="shared" si="35"/>
        <v>1161.2009999999993</v>
      </c>
    </row>
    <row r="57" spans="1:87">
      <c r="A57" s="265">
        <f t="shared" si="10"/>
        <v>2016</v>
      </c>
      <c r="B57" s="263">
        <f t="shared" si="11"/>
        <v>42643</v>
      </c>
      <c r="C57" s="509">
        <v>39267.618000000002</v>
      </c>
      <c r="D57" s="277">
        <v>3764.6410000000001</v>
      </c>
      <c r="E57" s="277">
        <v>7278.5209999999997</v>
      </c>
      <c r="F57" s="277">
        <v>4391.0050000000001</v>
      </c>
      <c r="G57" s="277">
        <v>597.529</v>
      </c>
      <c r="H57" s="787">
        <f t="shared" si="12"/>
        <v>16031.696000000002</v>
      </c>
      <c r="I57" s="788">
        <f t="shared" si="13"/>
        <v>55299.314000000006</v>
      </c>
      <c r="J57" s="509">
        <v>7453.9709999999995</v>
      </c>
      <c r="K57" s="277">
        <v>1242.2750000000001</v>
      </c>
      <c r="L57" s="277">
        <v>1508.702</v>
      </c>
      <c r="M57" s="277">
        <v>483.68299999999999</v>
      </c>
      <c r="N57" s="277"/>
      <c r="O57" s="787">
        <f t="shared" si="14"/>
        <v>3234.66</v>
      </c>
      <c r="P57" s="788">
        <f t="shared" si="15"/>
        <v>10688.630999999999</v>
      </c>
      <c r="Q57" s="509">
        <v>7137.0410000000002</v>
      </c>
      <c r="R57" s="277">
        <v>631.23699999999997</v>
      </c>
      <c r="S57" s="277">
        <v>1896.6890000000001</v>
      </c>
      <c r="T57" s="277">
        <v>874.97699999999998</v>
      </c>
      <c r="U57" s="277"/>
      <c r="V57" s="787">
        <f t="shared" si="16"/>
        <v>3402.9029999999998</v>
      </c>
      <c r="W57" s="788">
        <f t="shared" si="17"/>
        <v>10539.944</v>
      </c>
      <c r="X57" s="509">
        <v>5918.71</v>
      </c>
      <c r="Y57" s="277">
        <v>797.78499999999997</v>
      </c>
      <c r="Z57" s="277">
        <v>1825.32</v>
      </c>
      <c r="AA57" s="277">
        <v>1371.3689999999999</v>
      </c>
      <c r="AB57" s="277"/>
      <c r="AC57" s="787">
        <f t="shared" si="18"/>
        <v>3994.4740000000002</v>
      </c>
      <c r="AD57" s="788">
        <f t="shared" si="19"/>
        <v>9913.1840000000011</v>
      </c>
      <c r="AE57" s="509">
        <v>5046.0540000000001</v>
      </c>
      <c r="AF57" s="277">
        <v>93.016999999999996</v>
      </c>
      <c r="AG57" s="277"/>
      <c r="AH57" s="277"/>
      <c r="AI57" s="277"/>
      <c r="AJ57" s="787">
        <f t="shared" si="20"/>
        <v>93.016999999999996</v>
      </c>
      <c r="AK57" s="788">
        <f t="shared" si="21"/>
        <v>5139.0709999999999</v>
      </c>
      <c r="AL57" s="789">
        <f t="shared" si="36"/>
        <v>13711.842000000004</v>
      </c>
      <c r="AM57" s="787">
        <f t="shared" si="37"/>
        <v>1000.3270000000002</v>
      </c>
      <c r="AN57" s="787">
        <f t="shared" si="38"/>
        <v>2047.8099999999995</v>
      </c>
      <c r="AO57" s="787">
        <f t="shared" si="39"/>
        <v>1660.9760000000006</v>
      </c>
      <c r="AP57" s="787">
        <f t="shared" si="40"/>
        <v>597.529</v>
      </c>
      <c r="AQ57" s="787">
        <f t="shared" si="22"/>
        <v>5306.6419999999998</v>
      </c>
      <c r="AR57" s="788">
        <f t="shared" si="23"/>
        <v>19018.484000000004</v>
      </c>
      <c r="AS57" s="395"/>
      <c r="AT57" s="509">
        <v>3407.4380000000001</v>
      </c>
      <c r="AU57" s="277">
        <v>266.50799999999998</v>
      </c>
      <c r="AV57" s="277">
        <v>351.43599999999998</v>
      </c>
      <c r="AW57" s="277">
        <v>163.709</v>
      </c>
      <c r="AX57" s="277">
        <v>6.4720000000000004</v>
      </c>
      <c r="AY57" s="787">
        <f t="shared" si="24"/>
        <v>788.125</v>
      </c>
      <c r="AZ57" s="788">
        <f t="shared" si="25"/>
        <v>4195.5630000000001</v>
      </c>
      <c r="BA57" s="509">
        <v>492.52</v>
      </c>
      <c r="BB57" s="277">
        <v>177.63</v>
      </c>
      <c r="BC57" s="277">
        <v>115.35</v>
      </c>
      <c r="BD57" s="277">
        <v>-27.388999999999999</v>
      </c>
      <c r="BE57" s="277"/>
      <c r="BF57" s="787">
        <f t="shared" si="26"/>
        <v>265.59100000000001</v>
      </c>
      <c r="BG57" s="788">
        <f t="shared" si="27"/>
        <v>758.11099999999999</v>
      </c>
      <c r="BH57" s="509">
        <v>730.84400000000005</v>
      </c>
      <c r="BI57" s="277">
        <v>65.772000000000006</v>
      </c>
      <c r="BJ57" s="277">
        <v>329.02600000000001</v>
      </c>
      <c r="BK57" s="277">
        <v>143.66200000000001</v>
      </c>
      <c r="BL57" s="277"/>
      <c r="BM57" s="787">
        <f t="shared" si="28"/>
        <v>538.46</v>
      </c>
      <c r="BN57" s="788">
        <f t="shared" si="29"/>
        <v>1269.3040000000001</v>
      </c>
      <c r="BO57" s="509">
        <v>620.42399999999998</v>
      </c>
      <c r="BP57" s="277">
        <v>48.356999999999999</v>
      </c>
      <c r="BQ57" s="277">
        <v>191.732</v>
      </c>
      <c r="BR57" s="277">
        <v>104.498</v>
      </c>
      <c r="BS57" s="277"/>
      <c r="BT57" s="787">
        <f t="shared" si="30"/>
        <v>344.58699999999999</v>
      </c>
      <c r="BU57" s="788">
        <f t="shared" si="31"/>
        <v>965.01099999999997</v>
      </c>
      <c r="BV57" s="509">
        <v>381.21899999999999</v>
      </c>
      <c r="BW57" s="277">
        <v>7.0270000000000001</v>
      </c>
      <c r="BX57" s="277"/>
      <c r="BY57" s="277"/>
      <c r="BZ57" s="277"/>
      <c r="CA57" s="787">
        <f t="shared" si="32"/>
        <v>7.0270000000000001</v>
      </c>
      <c r="CB57" s="788">
        <f t="shared" si="33"/>
        <v>388.24599999999998</v>
      </c>
      <c r="CC57" s="789">
        <f t="shared" si="41"/>
        <v>1182.431</v>
      </c>
      <c r="CD57" s="787">
        <f t="shared" si="42"/>
        <v>-32.27800000000002</v>
      </c>
      <c r="CE57" s="787">
        <f t="shared" si="43"/>
        <v>-284.67199999999997</v>
      </c>
      <c r="CF57" s="787">
        <f t="shared" si="44"/>
        <v>-57.062000000000012</v>
      </c>
      <c r="CG57" s="787">
        <f t="shared" si="45"/>
        <v>6.4720000000000004</v>
      </c>
      <c r="CH57" s="787">
        <f t="shared" si="34"/>
        <v>-367.54</v>
      </c>
      <c r="CI57" s="788">
        <f t="shared" si="35"/>
        <v>814.89100000000008</v>
      </c>
    </row>
    <row r="58" spans="1:87">
      <c r="A58" s="265">
        <f t="shared" si="10"/>
        <v>2016</v>
      </c>
      <c r="B58" s="263">
        <f t="shared" si="11"/>
        <v>42735</v>
      </c>
      <c r="C58" s="509">
        <v>38390.203999999998</v>
      </c>
      <c r="D58" s="277">
        <v>3655.6889999999999</v>
      </c>
      <c r="E58" s="277">
        <v>5886.5290000000005</v>
      </c>
      <c r="F58" s="277">
        <v>4111.8829999999998</v>
      </c>
      <c r="G58" s="277">
        <v>762.52800000000002</v>
      </c>
      <c r="H58" s="787">
        <f t="shared" si="12"/>
        <v>14416.629000000001</v>
      </c>
      <c r="I58" s="788">
        <f t="shared" si="13"/>
        <v>52806.832999999999</v>
      </c>
      <c r="J58" s="509">
        <v>7061.4260000000004</v>
      </c>
      <c r="K58" s="277">
        <v>1252.713</v>
      </c>
      <c r="L58" s="277">
        <v>975.96600000000001</v>
      </c>
      <c r="M58" s="277">
        <v>495.84399999999999</v>
      </c>
      <c r="N58" s="277"/>
      <c r="O58" s="787">
        <f t="shared" si="14"/>
        <v>2724.5230000000001</v>
      </c>
      <c r="P58" s="788">
        <f t="shared" si="15"/>
        <v>9785.9490000000005</v>
      </c>
      <c r="Q58" s="509">
        <v>6963.69</v>
      </c>
      <c r="R58" s="277">
        <v>609.625</v>
      </c>
      <c r="S58" s="277">
        <v>1275.4290000000001</v>
      </c>
      <c r="T58" s="277">
        <v>662.35900000000004</v>
      </c>
      <c r="U58" s="277"/>
      <c r="V58" s="787">
        <f t="shared" si="16"/>
        <v>2547.413</v>
      </c>
      <c r="W58" s="788">
        <f t="shared" si="17"/>
        <v>9511.1029999999992</v>
      </c>
      <c r="X58" s="509">
        <v>5598.33</v>
      </c>
      <c r="Y58" s="277">
        <v>789.29</v>
      </c>
      <c r="Z58" s="277">
        <v>1421.7460000000001</v>
      </c>
      <c r="AA58" s="277">
        <v>1242.375</v>
      </c>
      <c r="AB58" s="277"/>
      <c r="AC58" s="787">
        <f t="shared" si="18"/>
        <v>3453.4110000000001</v>
      </c>
      <c r="AD58" s="788">
        <f t="shared" si="19"/>
        <v>9051.741</v>
      </c>
      <c r="AE58" s="509">
        <v>4983.8010000000004</v>
      </c>
      <c r="AF58" s="277">
        <v>91.869</v>
      </c>
      <c r="AG58" s="277"/>
      <c r="AH58" s="277"/>
      <c r="AI58" s="277"/>
      <c r="AJ58" s="787">
        <f t="shared" si="20"/>
        <v>91.869</v>
      </c>
      <c r="AK58" s="788">
        <f t="shared" si="21"/>
        <v>5075.67</v>
      </c>
      <c r="AL58" s="789">
        <f t="shared" si="36"/>
        <v>13782.956999999999</v>
      </c>
      <c r="AM58" s="787">
        <f t="shared" si="37"/>
        <v>912.19200000000001</v>
      </c>
      <c r="AN58" s="787">
        <f t="shared" si="38"/>
        <v>2213.3880000000004</v>
      </c>
      <c r="AO58" s="787">
        <f t="shared" si="39"/>
        <v>1711.3049999999998</v>
      </c>
      <c r="AP58" s="787">
        <f t="shared" si="40"/>
        <v>762.52800000000002</v>
      </c>
      <c r="AQ58" s="787">
        <f t="shared" si="22"/>
        <v>5599.4130000000005</v>
      </c>
      <c r="AR58" s="788">
        <f t="shared" si="23"/>
        <v>19382.37</v>
      </c>
      <c r="AS58" s="395"/>
      <c r="AT58" s="509">
        <v>2861.7379999999998</v>
      </c>
      <c r="AU58" s="277">
        <v>141.92099999999999</v>
      </c>
      <c r="AV58" s="277">
        <v>-91.411000000000001</v>
      </c>
      <c r="AW58" s="277">
        <v>-168.87</v>
      </c>
      <c r="AX58" s="277">
        <v>81.537000000000006</v>
      </c>
      <c r="AY58" s="787">
        <f t="shared" si="24"/>
        <v>-36.823000000000008</v>
      </c>
      <c r="AZ58" s="788">
        <f t="shared" si="25"/>
        <v>2824.915</v>
      </c>
      <c r="BA58" s="509">
        <v>384.20600000000002</v>
      </c>
      <c r="BB58" s="277">
        <v>107.98399999999999</v>
      </c>
      <c r="BC58" s="277">
        <v>-72.352999999999994</v>
      </c>
      <c r="BD58" s="277">
        <v>-79.254000000000005</v>
      </c>
      <c r="BE58" s="277"/>
      <c r="BF58" s="787">
        <f t="shared" si="26"/>
        <v>-43.623000000000005</v>
      </c>
      <c r="BG58" s="788">
        <f t="shared" si="27"/>
        <v>340.58300000000003</v>
      </c>
      <c r="BH58" s="509">
        <v>469.59399999999999</v>
      </c>
      <c r="BI58" s="277">
        <v>12.942</v>
      </c>
      <c r="BJ58" s="277">
        <v>119.041</v>
      </c>
      <c r="BK58" s="277">
        <v>31.27</v>
      </c>
      <c r="BL58" s="277"/>
      <c r="BM58" s="787">
        <f t="shared" si="28"/>
        <v>163.25300000000001</v>
      </c>
      <c r="BN58" s="788">
        <f t="shared" si="29"/>
        <v>632.84699999999998</v>
      </c>
      <c r="BO58" s="509">
        <v>307.71800000000002</v>
      </c>
      <c r="BP58" s="277">
        <v>23.927</v>
      </c>
      <c r="BQ58" s="277">
        <v>91.703000000000003</v>
      </c>
      <c r="BR58" s="277">
        <v>-26.411999999999999</v>
      </c>
      <c r="BS58" s="277"/>
      <c r="BT58" s="787">
        <f t="shared" si="30"/>
        <v>89.217999999999989</v>
      </c>
      <c r="BU58" s="788">
        <f t="shared" si="31"/>
        <v>396.93600000000004</v>
      </c>
      <c r="BV58" s="509">
        <v>512.88699999999994</v>
      </c>
      <c r="BW58" s="277">
        <v>9.4529999999999994</v>
      </c>
      <c r="BX58" s="277"/>
      <c r="BY58" s="277"/>
      <c r="BZ58" s="277"/>
      <c r="CA58" s="787">
        <f t="shared" si="32"/>
        <v>9.4529999999999994</v>
      </c>
      <c r="CB58" s="788">
        <f t="shared" si="33"/>
        <v>522.33999999999992</v>
      </c>
      <c r="CC58" s="789">
        <f t="shared" si="41"/>
        <v>1187.3329999999999</v>
      </c>
      <c r="CD58" s="787">
        <f t="shared" si="42"/>
        <v>-12.384999999999991</v>
      </c>
      <c r="CE58" s="787">
        <f t="shared" si="43"/>
        <v>-229.80200000000002</v>
      </c>
      <c r="CF58" s="787">
        <f t="shared" si="44"/>
        <v>-94.47399999999999</v>
      </c>
      <c r="CG58" s="787">
        <f t="shared" si="45"/>
        <v>81.537000000000006</v>
      </c>
      <c r="CH58" s="787">
        <f t="shared" si="34"/>
        <v>-255.124</v>
      </c>
      <c r="CI58" s="788">
        <f t="shared" si="35"/>
        <v>932.20899999999983</v>
      </c>
    </row>
    <row r="59" spans="1:87">
      <c r="A59" s="265">
        <f t="shared" si="10"/>
        <v>2017</v>
      </c>
      <c r="B59" s="263">
        <f t="shared" si="11"/>
        <v>42825</v>
      </c>
      <c r="C59" s="509">
        <v>36984.571000000004</v>
      </c>
      <c r="D59" s="277">
        <v>4115.3689999999997</v>
      </c>
      <c r="E59" s="277">
        <v>5164.6880000000001</v>
      </c>
      <c r="F59" s="277">
        <v>4002.17</v>
      </c>
      <c r="G59" s="277">
        <v>637.96600000000001</v>
      </c>
      <c r="H59" s="787">
        <f t="shared" si="12"/>
        <v>13920.193000000001</v>
      </c>
      <c r="I59" s="788">
        <f t="shared" si="13"/>
        <v>50904.764000000003</v>
      </c>
      <c r="J59" s="509">
        <v>6938.7939999999999</v>
      </c>
      <c r="K59" s="277">
        <v>1364.692</v>
      </c>
      <c r="L59" s="277">
        <v>810.32899999999995</v>
      </c>
      <c r="M59" s="277">
        <v>506.80599999999998</v>
      </c>
      <c r="N59" s="277"/>
      <c r="O59" s="787">
        <f t="shared" si="14"/>
        <v>2681.8269999999998</v>
      </c>
      <c r="P59" s="788">
        <f t="shared" si="15"/>
        <v>9620.6209999999992</v>
      </c>
      <c r="Q59" s="509">
        <v>6701.9340000000002</v>
      </c>
      <c r="R59" s="277">
        <v>784.48299999999995</v>
      </c>
      <c r="S59" s="277">
        <v>1056.8230000000001</v>
      </c>
      <c r="T59" s="277">
        <v>652.83900000000006</v>
      </c>
      <c r="U59" s="277"/>
      <c r="V59" s="787">
        <f t="shared" si="16"/>
        <v>2494.145</v>
      </c>
      <c r="W59" s="788">
        <f t="shared" si="17"/>
        <v>9196.0789999999997</v>
      </c>
      <c r="X59" s="509">
        <v>5122.7340000000004</v>
      </c>
      <c r="Y59" s="277">
        <v>903.19299999999998</v>
      </c>
      <c r="Z59" s="277">
        <v>1209.269</v>
      </c>
      <c r="AA59" s="277">
        <v>1184.9190000000001</v>
      </c>
      <c r="AB59" s="277"/>
      <c r="AC59" s="787">
        <f t="shared" si="18"/>
        <v>3297.3810000000003</v>
      </c>
      <c r="AD59" s="788">
        <f t="shared" si="19"/>
        <v>8420.1150000000016</v>
      </c>
      <c r="AE59" s="509">
        <v>4779.6409999999996</v>
      </c>
      <c r="AF59" s="277">
        <v>103.023</v>
      </c>
      <c r="AG59" s="277"/>
      <c r="AH59" s="277"/>
      <c r="AI59" s="277"/>
      <c r="AJ59" s="787">
        <f t="shared" si="20"/>
        <v>103.023</v>
      </c>
      <c r="AK59" s="788">
        <f t="shared" si="21"/>
        <v>4882.6639999999998</v>
      </c>
      <c r="AL59" s="789">
        <f t="shared" si="36"/>
        <v>13441.468000000004</v>
      </c>
      <c r="AM59" s="787">
        <f t="shared" si="37"/>
        <v>959.97799999999916</v>
      </c>
      <c r="AN59" s="787">
        <f t="shared" si="38"/>
        <v>2088.2669999999998</v>
      </c>
      <c r="AO59" s="787">
        <f t="shared" si="39"/>
        <v>1657.6059999999998</v>
      </c>
      <c r="AP59" s="787">
        <f t="shared" si="40"/>
        <v>637.96600000000001</v>
      </c>
      <c r="AQ59" s="787">
        <f t="shared" si="22"/>
        <v>5343.8169999999991</v>
      </c>
      <c r="AR59" s="788">
        <f t="shared" si="23"/>
        <v>18785.285000000003</v>
      </c>
      <c r="AS59" s="395"/>
      <c r="AT59" s="509">
        <v>2647.152</v>
      </c>
      <c r="AU59" s="277">
        <v>61.451999999999998</v>
      </c>
      <c r="AV59" s="277">
        <v>-134.88800000000001</v>
      </c>
      <c r="AW59" s="277">
        <v>-240.08600000000001</v>
      </c>
      <c r="AX59" s="277">
        <v>-15.375</v>
      </c>
      <c r="AY59" s="787">
        <f t="shared" si="24"/>
        <v>-328.89700000000005</v>
      </c>
      <c r="AZ59" s="788">
        <f t="shared" si="25"/>
        <v>2318.2550000000001</v>
      </c>
      <c r="BA59" s="509">
        <v>329.892</v>
      </c>
      <c r="BB59" s="277">
        <v>76.73</v>
      </c>
      <c r="BC59" s="277">
        <v>-43.457999999999998</v>
      </c>
      <c r="BD59" s="277">
        <v>-100.575</v>
      </c>
      <c r="BE59" s="277"/>
      <c r="BF59" s="787">
        <f t="shared" si="26"/>
        <v>-67.302999999999997</v>
      </c>
      <c r="BG59" s="788">
        <f t="shared" si="27"/>
        <v>262.589</v>
      </c>
      <c r="BH59" s="509">
        <v>436.04599999999999</v>
      </c>
      <c r="BI59" s="277">
        <v>20.744</v>
      </c>
      <c r="BJ59" s="277">
        <v>110.446</v>
      </c>
      <c r="BK59" s="277">
        <v>48.677</v>
      </c>
      <c r="BL59" s="277"/>
      <c r="BM59" s="787">
        <f t="shared" si="28"/>
        <v>179.86699999999999</v>
      </c>
      <c r="BN59" s="788">
        <f t="shared" si="29"/>
        <v>615.91300000000001</v>
      </c>
      <c r="BO59" s="509">
        <v>167.43199999999999</v>
      </c>
      <c r="BP59" s="277">
        <v>-16.712</v>
      </c>
      <c r="BQ59" s="277">
        <v>35.715000000000003</v>
      </c>
      <c r="BR59" s="277">
        <v>-89.69</v>
      </c>
      <c r="BS59" s="277"/>
      <c r="BT59" s="787">
        <f t="shared" si="30"/>
        <v>-70.686999999999998</v>
      </c>
      <c r="BU59" s="788">
        <f t="shared" si="31"/>
        <v>96.74499999999999</v>
      </c>
      <c r="BV59" s="509">
        <v>344.04700000000003</v>
      </c>
      <c r="BW59" s="277">
        <v>7.4169999999999998</v>
      </c>
      <c r="BX59" s="277"/>
      <c r="BY59" s="277"/>
      <c r="BZ59" s="277"/>
      <c r="CA59" s="787">
        <f t="shared" si="32"/>
        <v>7.4169999999999998</v>
      </c>
      <c r="CB59" s="788">
        <f t="shared" si="33"/>
        <v>351.464</v>
      </c>
      <c r="CC59" s="789">
        <f t="shared" si="41"/>
        <v>1369.7350000000001</v>
      </c>
      <c r="CD59" s="787">
        <f t="shared" si="42"/>
        <v>-26.727000000000004</v>
      </c>
      <c r="CE59" s="787">
        <f t="shared" si="43"/>
        <v>-237.59100000000001</v>
      </c>
      <c r="CF59" s="787">
        <f t="shared" si="44"/>
        <v>-98.498000000000019</v>
      </c>
      <c r="CG59" s="787">
        <f t="shared" si="45"/>
        <v>-15.375</v>
      </c>
      <c r="CH59" s="787">
        <f t="shared" si="34"/>
        <v>-378.19100000000003</v>
      </c>
      <c r="CI59" s="788">
        <f t="shared" si="35"/>
        <v>991.5440000000001</v>
      </c>
    </row>
    <row r="60" spans="1:87">
      <c r="A60" s="265">
        <f t="shared" si="10"/>
        <v>2017</v>
      </c>
      <c r="B60" s="263">
        <f t="shared" si="11"/>
        <v>42916</v>
      </c>
      <c r="C60" s="509">
        <v>41730.343000000001</v>
      </c>
      <c r="D60" s="277">
        <v>4036.8470000000002</v>
      </c>
      <c r="E60" s="277">
        <v>7028.7650000000003</v>
      </c>
      <c r="F60" s="277">
        <v>4185.9030000000002</v>
      </c>
      <c r="G60" s="277">
        <v>643.14</v>
      </c>
      <c r="H60" s="787">
        <f t="shared" si="12"/>
        <v>15894.655000000001</v>
      </c>
      <c r="I60" s="788">
        <f t="shared" si="13"/>
        <v>57624.998</v>
      </c>
      <c r="J60" s="509">
        <v>7769.8720000000003</v>
      </c>
      <c r="K60" s="277">
        <v>1337.99</v>
      </c>
      <c r="L60" s="277">
        <v>1463.8019999999999</v>
      </c>
      <c r="M60" s="277">
        <v>530.14700000000005</v>
      </c>
      <c r="N60" s="277"/>
      <c r="O60" s="787">
        <f t="shared" si="14"/>
        <v>3331.9389999999999</v>
      </c>
      <c r="P60" s="788">
        <f t="shared" si="15"/>
        <v>11101.811</v>
      </c>
      <c r="Q60" s="509">
        <v>7722.2939999999999</v>
      </c>
      <c r="R60" s="277">
        <v>708.55100000000004</v>
      </c>
      <c r="S60" s="277">
        <v>1743.9490000000001</v>
      </c>
      <c r="T60" s="277">
        <v>679.91800000000001</v>
      </c>
      <c r="U60" s="277"/>
      <c r="V60" s="787">
        <f t="shared" si="16"/>
        <v>3132.4180000000001</v>
      </c>
      <c r="W60" s="788">
        <f t="shared" si="17"/>
        <v>10854.712</v>
      </c>
      <c r="X60" s="509">
        <v>6171.2629999999999</v>
      </c>
      <c r="Y60" s="277">
        <v>878.94899999999996</v>
      </c>
      <c r="Z60" s="277">
        <v>1723.9880000000001</v>
      </c>
      <c r="AA60" s="277">
        <v>1225.5239999999999</v>
      </c>
      <c r="AB60" s="277"/>
      <c r="AC60" s="787">
        <f t="shared" si="18"/>
        <v>3828.4609999999998</v>
      </c>
      <c r="AD60" s="788">
        <f t="shared" si="19"/>
        <v>9999.7240000000002</v>
      </c>
      <c r="AE60" s="509">
        <v>5604.9340000000002</v>
      </c>
      <c r="AF60" s="277">
        <v>139.00399999999999</v>
      </c>
      <c r="AG60" s="277"/>
      <c r="AH60" s="277"/>
      <c r="AI60" s="277"/>
      <c r="AJ60" s="787">
        <f t="shared" si="20"/>
        <v>139.00399999999999</v>
      </c>
      <c r="AK60" s="788">
        <f t="shared" si="21"/>
        <v>5743.9380000000001</v>
      </c>
      <c r="AL60" s="789">
        <f t="shared" si="36"/>
        <v>14461.98</v>
      </c>
      <c r="AM60" s="787">
        <f t="shared" si="37"/>
        <v>972.35300000000007</v>
      </c>
      <c r="AN60" s="787">
        <f t="shared" si="38"/>
        <v>2097.0259999999998</v>
      </c>
      <c r="AO60" s="787">
        <f t="shared" si="39"/>
        <v>1750.3140000000003</v>
      </c>
      <c r="AP60" s="787">
        <f t="shared" si="40"/>
        <v>643.14</v>
      </c>
      <c r="AQ60" s="787">
        <f t="shared" si="22"/>
        <v>5462.8330000000005</v>
      </c>
      <c r="AR60" s="788">
        <f t="shared" si="23"/>
        <v>19924.813000000002</v>
      </c>
      <c r="AS60" s="395"/>
      <c r="AT60" s="509">
        <v>5046.701</v>
      </c>
      <c r="AU60" s="277">
        <v>152.15700000000001</v>
      </c>
      <c r="AV60" s="277">
        <v>115.185</v>
      </c>
      <c r="AW60" s="277">
        <v>-259.166</v>
      </c>
      <c r="AX60" s="277">
        <v>-59.347000000000001</v>
      </c>
      <c r="AY60" s="787">
        <f t="shared" si="24"/>
        <v>-51.171000000000014</v>
      </c>
      <c r="AZ60" s="788">
        <f t="shared" si="25"/>
        <v>4995.53</v>
      </c>
      <c r="BA60" s="509">
        <v>691.45699999999999</v>
      </c>
      <c r="BB60" s="277">
        <v>118.67</v>
      </c>
      <c r="BC60" s="277">
        <v>86.790999999999997</v>
      </c>
      <c r="BD60" s="277">
        <v>-70.022999999999996</v>
      </c>
      <c r="BE60" s="277"/>
      <c r="BF60" s="787">
        <f t="shared" si="26"/>
        <v>135.43800000000002</v>
      </c>
      <c r="BG60" s="788">
        <f t="shared" si="27"/>
        <v>826.89499999999998</v>
      </c>
      <c r="BH60" s="509">
        <v>889.62699999999995</v>
      </c>
      <c r="BI60" s="277">
        <v>51.561</v>
      </c>
      <c r="BJ60" s="277">
        <v>241.328</v>
      </c>
      <c r="BK60" s="277">
        <v>52.997</v>
      </c>
      <c r="BL60" s="277"/>
      <c r="BM60" s="787">
        <f t="shared" si="28"/>
        <v>345.88600000000002</v>
      </c>
      <c r="BN60" s="788">
        <f t="shared" si="29"/>
        <v>1235.5129999999999</v>
      </c>
      <c r="BO60" s="509">
        <v>779.86</v>
      </c>
      <c r="BP60" s="277">
        <v>-0.83199999999999996</v>
      </c>
      <c r="BQ60" s="277">
        <v>160.465</v>
      </c>
      <c r="BR60" s="277">
        <v>-121.313</v>
      </c>
      <c r="BS60" s="277"/>
      <c r="BT60" s="787">
        <f t="shared" si="30"/>
        <v>38.320000000000007</v>
      </c>
      <c r="BU60" s="788">
        <f t="shared" si="31"/>
        <v>818.18000000000006</v>
      </c>
      <c r="BV60" s="509">
        <v>727.976</v>
      </c>
      <c r="BW60" s="277">
        <v>18.056000000000001</v>
      </c>
      <c r="BX60" s="277"/>
      <c r="BY60" s="277"/>
      <c r="BZ60" s="277"/>
      <c r="CA60" s="787">
        <f t="shared" si="32"/>
        <v>18.056000000000001</v>
      </c>
      <c r="CB60" s="788">
        <f t="shared" si="33"/>
        <v>746.03200000000004</v>
      </c>
      <c r="CC60" s="789">
        <f t="shared" si="41"/>
        <v>1957.7809999999999</v>
      </c>
      <c r="CD60" s="787">
        <f t="shared" si="42"/>
        <v>-35.298000000000002</v>
      </c>
      <c r="CE60" s="787">
        <f t="shared" si="43"/>
        <v>-373.39900000000006</v>
      </c>
      <c r="CF60" s="787">
        <f t="shared" si="44"/>
        <v>-120.827</v>
      </c>
      <c r="CG60" s="787">
        <f t="shared" si="45"/>
        <v>-59.347000000000001</v>
      </c>
      <c r="CH60" s="787">
        <f t="shared" si="34"/>
        <v>-588.87100000000009</v>
      </c>
      <c r="CI60" s="788">
        <f t="shared" si="35"/>
        <v>1368.9099999999999</v>
      </c>
    </row>
    <row r="61" spans="1:87">
      <c r="A61" s="265">
        <f t="shared" si="10"/>
        <v>2017</v>
      </c>
      <c r="B61" s="263">
        <f t="shared" si="11"/>
        <v>43008</v>
      </c>
      <c r="C61" s="509">
        <v>40500.338000000003</v>
      </c>
      <c r="D61" s="277">
        <v>4032.6970000000001</v>
      </c>
      <c r="E61" s="277">
        <v>7351.0290000000005</v>
      </c>
      <c r="F61" s="277">
        <v>4409.8029999999999</v>
      </c>
      <c r="G61" s="277">
        <v>756.57899999999995</v>
      </c>
      <c r="H61" s="787">
        <f t="shared" si="12"/>
        <v>16550.108</v>
      </c>
      <c r="I61" s="788">
        <f t="shared" si="13"/>
        <v>57050.446000000004</v>
      </c>
      <c r="J61" s="509">
        <v>7360.3549999999996</v>
      </c>
      <c r="K61" s="277">
        <v>1328.356</v>
      </c>
      <c r="L61" s="277">
        <v>1654.223</v>
      </c>
      <c r="M61" s="277">
        <v>532.45799999999997</v>
      </c>
      <c r="N61" s="277"/>
      <c r="O61" s="787">
        <f t="shared" si="14"/>
        <v>3515.0369999999998</v>
      </c>
      <c r="P61" s="788">
        <f t="shared" si="15"/>
        <v>10875.392</v>
      </c>
      <c r="Q61" s="509">
        <v>7655.9840000000004</v>
      </c>
      <c r="R61" s="277">
        <v>681.37400000000002</v>
      </c>
      <c r="S61" s="277">
        <v>1990.568</v>
      </c>
      <c r="T61" s="277">
        <v>797.44500000000005</v>
      </c>
      <c r="U61" s="277"/>
      <c r="V61" s="787">
        <f t="shared" si="16"/>
        <v>3469.3870000000002</v>
      </c>
      <c r="W61" s="788">
        <f t="shared" si="17"/>
        <v>11125.371000000001</v>
      </c>
      <c r="X61" s="509">
        <v>5933.9610000000002</v>
      </c>
      <c r="Y61" s="277">
        <v>836.06700000000001</v>
      </c>
      <c r="Z61" s="277">
        <v>1833.989</v>
      </c>
      <c r="AA61" s="277">
        <v>1273.9490000000001</v>
      </c>
      <c r="AB61" s="277"/>
      <c r="AC61" s="787">
        <f t="shared" si="18"/>
        <v>3944.0050000000001</v>
      </c>
      <c r="AD61" s="788">
        <f t="shared" si="19"/>
        <v>9877.9660000000003</v>
      </c>
      <c r="AE61" s="509">
        <v>5141.5349999999999</v>
      </c>
      <c r="AF61" s="277">
        <v>129.131</v>
      </c>
      <c r="AG61" s="277"/>
      <c r="AH61" s="277"/>
      <c r="AI61" s="277"/>
      <c r="AJ61" s="787">
        <f t="shared" si="20"/>
        <v>129.131</v>
      </c>
      <c r="AK61" s="788">
        <f t="shared" si="21"/>
        <v>5270.6660000000002</v>
      </c>
      <c r="AL61" s="789">
        <f t="shared" si="36"/>
        <v>14408.503000000004</v>
      </c>
      <c r="AM61" s="787">
        <f t="shared" si="37"/>
        <v>1057.7690000000002</v>
      </c>
      <c r="AN61" s="787">
        <f t="shared" si="38"/>
        <v>1872.2489999999998</v>
      </c>
      <c r="AO61" s="787">
        <f t="shared" si="39"/>
        <v>1805.951</v>
      </c>
      <c r="AP61" s="787">
        <f t="shared" si="40"/>
        <v>756.57899999999995</v>
      </c>
      <c r="AQ61" s="787">
        <f t="shared" si="22"/>
        <v>5492.5479999999998</v>
      </c>
      <c r="AR61" s="788">
        <f t="shared" si="23"/>
        <v>19901.051000000003</v>
      </c>
      <c r="AS61" s="395"/>
      <c r="AT61" s="509">
        <v>3575.3009999999999</v>
      </c>
      <c r="AU61" s="277">
        <v>380.78199999999998</v>
      </c>
      <c r="AV61" s="277">
        <v>19.547999999999998</v>
      </c>
      <c r="AW61" s="277">
        <v>-87.091999999999999</v>
      </c>
      <c r="AX61" s="277">
        <v>13.446999999999999</v>
      </c>
      <c r="AY61" s="787">
        <f t="shared" si="24"/>
        <v>326.685</v>
      </c>
      <c r="AZ61" s="788">
        <f t="shared" si="25"/>
        <v>3901.9859999999999</v>
      </c>
      <c r="BA61" s="509">
        <v>349.28100000000001</v>
      </c>
      <c r="BB61" s="277">
        <v>228.828</v>
      </c>
      <c r="BC61" s="277">
        <v>126.497</v>
      </c>
      <c r="BD61" s="277">
        <v>-55.905000000000001</v>
      </c>
      <c r="BE61" s="277"/>
      <c r="BF61" s="787">
        <f t="shared" si="26"/>
        <v>299.41999999999996</v>
      </c>
      <c r="BG61" s="788">
        <f t="shared" si="27"/>
        <v>648.70100000000002</v>
      </c>
      <c r="BH61" s="509">
        <v>715.42700000000002</v>
      </c>
      <c r="BI61" s="277">
        <v>72.736000000000004</v>
      </c>
      <c r="BJ61" s="277">
        <v>304.63499999999999</v>
      </c>
      <c r="BK61" s="277">
        <v>98.6</v>
      </c>
      <c r="BL61" s="277"/>
      <c r="BM61" s="787">
        <f t="shared" si="28"/>
        <v>475.971</v>
      </c>
      <c r="BN61" s="788">
        <f t="shared" si="29"/>
        <v>1191.3980000000001</v>
      </c>
      <c r="BO61" s="509">
        <v>438.21600000000001</v>
      </c>
      <c r="BP61" s="277">
        <v>53.231999999999999</v>
      </c>
      <c r="BQ61" s="277">
        <v>132.09899999999999</v>
      </c>
      <c r="BR61" s="277">
        <v>13.964</v>
      </c>
      <c r="BS61" s="277"/>
      <c r="BT61" s="787">
        <f t="shared" si="30"/>
        <v>199.29499999999999</v>
      </c>
      <c r="BU61" s="788">
        <f t="shared" si="31"/>
        <v>637.51099999999997</v>
      </c>
      <c r="BV61" s="509">
        <v>490.29300000000001</v>
      </c>
      <c r="BW61" s="277">
        <v>12.311999999999999</v>
      </c>
      <c r="BX61" s="277"/>
      <c r="BY61" s="277"/>
      <c r="BZ61" s="277"/>
      <c r="CA61" s="787">
        <f t="shared" si="32"/>
        <v>12.311999999999999</v>
      </c>
      <c r="CB61" s="788">
        <f t="shared" si="33"/>
        <v>502.60500000000002</v>
      </c>
      <c r="CC61" s="789">
        <f t="shared" si="41"/>
        <v>1582.0839999999998</v>
      </c>
      <c r="CD61" s="787">
        <f t="shared" si="42"/>
        <v>13.673999999999921</v>
      </c>
      <c r="CE61" s="787">
        <f t="shared" si="43"/>
        <v>-543.68299999999999</v>
      </c>
      <c r="CF61" s="787">
        <f t="shared" si="44"/>
        <v>-143.75099999999998</v>
      </c>
      <c r="CG61" s="787">
        <f t="shared" si="45"/>
        <v>13.446999999999999</v>
      </c>
      <c r="CH61" s="787">
        <f t="shared" si="34"/>
        <v>-660.31299999999999</v>
      </c>
      <c r="CI61" s="788">
        <f t="shared" si="35"/>
        <v>921.77099999999984</v>
      </c>
    </row>
    <row r="62" spans="1:87">
      <c r="A62" s="265">
        <f t="shared" si="10"/>
        <v>2017</v>
      </c>
      <c r="B62" s="263">
        <f t="shared" si="11"/>
        <v>43100</v>
      </c>
      <c r="C62" s="509">
        <v>41323.752999999997</v>
      </c>
      <c r="D62" s="277">
        <v>3980.2460000000001</v>
      </c>
      <c r="E62" s="277">
        <v>6218.3990000000003</v>
      </c>
      <c r="F62" s="277">
        <v>4281.152</v>
      </c>
      <c r="G62" s="277">
        <v>858.97400000000005</v>
      </c>
      <c r="H62" s="787">
        <f t="shared" si="12"/>
        <v>15338.771000000001</v>
      </c>
      <c r="I62" s="788">
        <f t="shared" si="13"/>
        <v>56662.523999999998</v>
      </c>
      <c r="J62" s="509">
        <v>7538.4139999999998</v>
      </c>
      <c r="K62" s="277">
        <v>1395.569</v>
      </c>
      <c r="L62" s="277">
        <v>1116.7159999999999</v>
      </c>
      <c r="M62" s="277">
        <v>546.79200000000003</v>
      </c>
      <c r="N62" s="277"/>
      <c r="O62" s="787">
        <f t="shared" si="14"/>
        <v>3059.0769999999998</v>
      </c>
      <c r="P62" s="788">
        <f t="shared" si="15"/>
        <v>10597.491</v>
      </c>
      <c r="Q62" s="509">
        <v>7612.6040000000003</v>
      </c>
      <c r="R62" s="277">
        <v>641.19000000000005</v>
      </c>
      <c r="S62" s="277">
        <v>1371.134</v>
      </c>
      <c r="T62" s="277">
        <v>674.77</v>
      </c>
      <c r="U62" s="277"/>
      <c r="V62" s="787">
        <f t="shared" si="16"/>
        <v>2687.0940000000001</v>
      </c>
      <c r="W62" s="788">
        <f t="shared" si="17"/>
        <v>10299.698</v>
      </c>
      <c r="X62" s="509">
        <v>5904.2950000000001</v>
      </c>
      <c r="Y62" s="277">
        <v>803.36400000000003</v>
      </c>
      <c r="Z62" s="277">
        <v>1518.3589999999999</v>
      </c>
      <c r="AA62" s="277">
        <v>1212.4880000000001</v>
      </c>
      <c r="AB62" s="277"/>
      <c r="AC62" s="787">
        <f t="shared" si="18"/>
        <v>3534.2110000000002</v>
      </c>
      <c r="AD62" s="788">
        <f t="shared" si="19"/>
        <v>9438.5060000000012</v>
      </c>
      <c r="AE62" s="509">
        <v>5155.268</v>
      </c>
      <c r="AF62" s="277">
        <v>118.124</v>
      </c>
      <c r="AG62" s="277"/>
      <c r="AH62" s="277"/>
      <c r="AI62" s="277"/>
      <c r="AJ62" s="787">
        <f t="shared" si="20"/>
        <v>118.124</v>
      </c>
      <c r="AK62" s="788">
        <f t="shared" si="21"/>
        <v>5273.3919999999998</v>
      </c>
      <c r="AL62" s="789">
        <f t="shared" si="36"/>
        <v>15113.171999999995</v>
      </c>
      <c r="AM62" s="787">
        <f t="shared" si="37"/>
        <v>1021.9990000000003</v>
      </c>
      <c r="AN62" s="787">
        <f t="shared" si="38"/>
        <v>2212.1900000000005</v>
      </c>
      <c r="AO62" s="787">
        <f t="shared" si="39"/>
        <v>1847.1019999999999</v>
      </c>
      <c r="AP62" s="787">
        <f t="shared" si="40"/>
        <v>858.97400000000005</v>
      </c>
      <c r="AQ62" s="787">
        <f t="shared" si="22"/>
        <v>5940.2650000000012</v>
      </c>
      <c r="AR62" s="788">
        <f t="shared" si="23"/>
        <v>21053.436999999998</v>
      </c>
      <c r="AS62" s="395"/>
      <c r="AT62" s="509">
        <v>5752.299</v>
      </c>
      <c r="AU62" s="277">
        <v>156.08000000000001</v>
      </c>
      <c r="AV62" s="277">
        <v>-227.64099999999999</v>
      </c>
      <c r="AW62" s="277">
        <v>-255.386</v>
      </c>
      <c r="AX62" s="277">
        <v>163.358</v>
      </c>
      <c r="AY62" s="787">
        <f t="shared" si="24"/>
        <v>-163.589</v>
      </c>
      <c r="AZ62" s="788">
        <f t="shared" si="25"/>
        <v>5588.71</v>
      </c>
      <c r="BA62" s="509">
        <v>280.08100000000002</v>
      </c>
      <c r="BB62" s="277">
        <v>100.842</v>
      </c>
      <c r="BC62" s="277">
        <v>-77.822999999999993</v>
      </c>
      <c r="BD62" s="277">
        <v>-119.54900000000001</v>
      </c>
      <c r="BE62" s="277"/>
      <c r="BF62" s="787">
        <f t="shared" si="26"/>
        <v>-96.53</v>
      </c>
      <c r="BG62" s="788">
        <f t="shared" si="27"/>
        <v>183.55100000000002</v>
      </c>
      <c r="BH62" s="509">
        <v>425.92</v>
      </c>
      <c r="BI62" s="277">
        <v>14.911</v>
      </c>
      <c r="BJ62" s="277">
        <v>127.255</v>
      </c>
      <c r="BK62" s="277">
        <v>23.46</v>
      </c>
      <c r="BL62" s="277"/>
      <c r="BM62" s="787">
        <f t="shared" si="28"/>
        <v>165.626</v>
      </c>
      <c r="BN62" s="788">
        <f t="shared" si="29"/>
        <v>591.54600000000005</v>
      </c>
      <c r="BO62" s="509">
        <v>475.34899999999999</v>
      </c>
      <c r="BP62" s="277">
        <v>13.483000000000001</v>
      </c>
      <c r="BQ62" s="277">
        <v>160.892</v>
      </c>
      <c r="BR62" s="277">
        <v>-52.871000000000002</v>
      </c>
      <c r="BS62" s="277"/>
      <c r="BT62" s="787">
        <f t="shared" si="30"/>
        <v>121.50399999999999</v>
      </c>
      <c r="BU62" s="788">
        <f t="shared" si="31"/>
        <v>596.85299999999995</v>
      </c>
      <c r="BV62" s="509">
        <v>1846.0650000000001</v>
      </c>
      <c r="BW62" s="277">
        <v>42.298999999999999</v>
      </c>
      <c r="BX62" s="277"/>
      <c r="BY62" s="277"/>
      <c r="BZ62" s="277"/>
      <c r="CA62" s="787">
        <f t="shared" si="32"/>
        <v>42.298999999999999</v>
      </c>
      <c r="CB62" s="788">
        <f t="shared" si="33"/>
        <v>1888.364</v>
      </c>
      <c r="CC62" s="789">
        <f t="shared" si="41"/>
        <v>2724.884</v>
      </c>
      <c r="CD62" s="787">
        <f t="shared" si="42"/>
        <v>-15.454999999999984</v>
      </c>
      <c r="CE62" s="787">
        <f t="shared" si="43"/>
        <v>-437.96500000000003</v>
      </c>
      <c r="CF62" s="787">
        <f t="shared" si="44"/>
        <v>-106.42599999999999</v>
      </c>
      <c r="CG62" s="787">
        <f t="shared" si="45"/>
        <v>163.358</v>
      </c>
      <c r="CH62" s="787">
        <f t="shared" si="34"/>
        <v>-396.488</v>
      </c>
      <c r="CI62" s="788">
        <f t="shared" si="35"/>
        <v>2328.3960000000002</v>
      </c>
    </row>
    <row r="63" spans="1:87">
      <c r="A63" s="265">
        <f t="shared" si="10"/>
        <v>2018</v>
      </c>
      <c r="B63" s="263">
        <f t="shared" si="11"/>
        <v>43190</v>
      </c>
      <c r="C63" s="509">
        <v>39417.877</v>
      </c>
      <c r="D63" s="277">
        <v>4790.0789999999997</v>
      </c>
      <c r="E63" s="277">
        <v>5861.3609999999999</v>
      </c>
      <c r="F63" s="277">
        <v>4354.5259999999998</v>
      </c>
      <c r="G63" s="277">
        <v>872.08600000000001</v>
      </c>
      <c r="H63" s="787">
        <f t="shared" si="12"/>
        <v>15878.051999999998</v>
      </c>
      <c r="I63" s="788">
        <f t="shared" si="13"/>
        <v>55295.928999999996</v>
      </c>
      <c r="J63" s="509">
        <v>7190.3829999999998</v>
      </c>
      <c r="K63" s="277">
        <v>1730.21</v>
      </c>
      <c r="L63" s="277">
        <v>903.9</v>
      </c>
      <c r="M63" s="277">
        <v>573.79700000000003</v>
      </c>
      <c r="N63" s="277"/>
      <c r="O63" s="787">
        <f t="shared" si="14"/>
        <v>3207.9070000000002</v>
      </c>
      <c r="P63" s="788">
        <f t="shared" si="15"/>
        <v>10398.290000000001</v>
      </c>
      <c r="Q63" s="509">
        <v>7162.96</v>
      </c>
      <c r="R63" s="277">
        <v>898.21400000000006</v>
      </c>
      <c r="S63" s="277">
        <v>1257.248</v>
      </c>
      <c r="T63" s="277">
        <v>689.52</v>
      </c>
      <c r="U63" s="277"/>
      <c r="V63" s="787">
        <f t="shared" si="16"/>
        <v>2844.982</v>
      </c>
      <c r="W63" s="788">
        <f t="shared" si="17"/>
        <v>10007.941999999999</v>
      </c>
      <c r="X63" s="509">
        <v>5475.424</v>
      </c>
      <c r="Y63" s="277">
        <v>936.24400000000003</v>
      </c>
      <c r="Z63" s="277">
        <v>1389.046</v>
      </c>
      <c r="AA63" s="277">
        <v>1231.222</v>
      </c>
      <c r="AB63" s="277"/>
      <c r="AC63" s="787">
        <f t="shared" si="18"/>
        <v>3556.5119999999997</v>
      </c>
      <c r="AD63" s="788">
        <f t="shared" si="19"/>
        <v>9031.9359999999997</v>
      </c>
      <c r="AE63" s="509">
        <v>4812.7079999999996</v>
      </c>
      <c r="AF63" s="277">
        <v>131.00800000000001</v>
      </c>
      <c r="AG63" s="277"/>
      <c r="AH63" s="277"/>
      <c r="AI63" s="277"/>
      <c r="AJ63" s="787">
        <f t="shared" si="20"/>
        <v>131.00800000000001</v>
      </c>
      <c r="AK63" s="788">
        <f t="shared" si="21"/>
        <v>4943.7159999999994</v>
      </c>
      <c r="AL63" s="789">
        <f t="shared" si="36"/>
        <v>14776.402000000002</v>
      </c>
      <c r="AM63" s="787">
        <f t="shared" si="37"/>
        <v>1094.4029999999998</v>
      </c>
      <c r="AN63" s="787">
        <f t="shared" si="38"/>
        <v>2311.1669999999995</v>
      </c>
      <c r="AO63" s="787">
        <f t="shared" si="39"/>
        <v>1859.9870000000001</v>
      </c>
      <c r="AP63" s="787">
        <f t="shared" si="40"/>
        <v>872.08600000000001</v>
      </c>
      <c r="AQ63" s="787">
        <f t="shared" si="22"/>
        <v>6137.6429999999991</v>
      </c>
      <c r="AR63" s="788">
        <f t="shared" si="23"/>
        <v>20914.045000000002</v>
      </c>
      <c r="AS63" s="395"/>
      <c r="AT63" s="509">
        <v>3150.8490000000002</v>
      </c>
      <c r="AU63" s="277">
        <v>341.52600000000001</v>
      </c>
      <c r="AV63" s="277">
        <v>319.23200000000003</v>
      </c>
      <c r="AW63" s="277">
        <v>-399.452</v>
      </c>
      <c r="AX63" s="277">
        <v>20.231999999999999</v>
      </c>
      <c r="AY63" s="787">
        <f t="shared" si="24"/>
        <v>281.53800000000001</v>
      </c>
      <c r="AZ63" s="788">
        <f t="shared" si="25"/>
        <v>3432.3870000000002</v>
      </c>
      <c r="BA63" s="509">
        <v>132.352</v>
      </c>
      <c r="BB63" s="277">
        <v>308.06799999999998</v>
      </c>
      <c r="BC63" s="277">
        <v>-75.869</v>
      </c>
      <c r="BD63" s="277">
        <v>-128.48500000000001</v>
      </c>
      <c r="BE63" s="277"/>
      <c r="BF63" s="787">
        <f t="shared" si="26"/>
        <v>103.71399999999997</v>
      </c>
      <c r="BG63" s="788">
        <f t="shared" si="27"/>
        <v>236.06599999999997</v>
      </c>
      <c r="BH63" s="509">
        <v>325.483</v>
      </c>
      <c r="BI63" s="277">
        <v>49.136000000000003</v>
      </c>
      <c r="BJ63" s="277">
        <v>159.20599999999999</v>
      </c>
      <c r="BK63" s="277">
        <v>50.03</v>
      </c>
      <c r="BL63" s="277"/>
      <c r="BM63" s="787">
        <f t="shared" si="28"/>
        <v>258.37199999999996</v>
      </c>
      <c r="BN63" s="788">
        <f t="shared" si="29"/>
        <v>583.85500000000002</v>
      </c>
      <c r="BO63" s="509">
        <v>127.13800000000001</v>
      </c>
      <c r="BP63" s="277">
        <v>-16.774000000000001</v>
      </c>
      <c r="BQ63" s="277">
        <v>110.834</v>
      </c>
      <c r="BR63" s="277">
        <v>-74.099000000000004</v>
      </c>
      <c r="BS63" s="277"/>
      <c r="BT63" s="787">
        <f t="shared" si="30"/>
        <v>19.960999999999999</v>
      </c>
      <c r="BU63" s="788">
        <f t="shared" si="31"/>
        <v>147.09899999999999</v>
      </c>
      <c r="BV63" s="509">
        <v>450.33600000000001</v>
      </c>
      <c r="BW63" s="277">
        <v>12.26</v>
      </c>
      <c r="BX63" s="277"/>
      <c r="BY63" s="277"/>
      <c r="BZ63" s="277"/>
      <c r="CA63" s="787">
        <f t="shared" si="32"/>
        <v>12.26</v>
      </c>
      <c r="CB63" s="788">
        <f t="shared" si="33"/>
        <v>462.596</v>
      </c>
      <c r="CC63" s="789">
        <f t="shared" si="41"/>
        <v>2115.54</v>
      </c>
      <c r="CD63" s="787">
        <f t="shared" si="42"/>
        <v>-11.163999999999987</v>
      </c>
      <c r="CE63" s="787">
        <f t="shared" si="43"/>
        <v>125.06100000000004</v>
      </c>
      <c r="CF63" s="787">
        <f t="shared" si="44"/>
        <v>-246.89799999999997</v>
      </c>
      <c r="CG63" s="787">
        <f t="shared" si="45"/>
        <v>20.231999999999999</v>
      </c>
      <c r="CH63" s="787">
        <f t="shared" si="34"/>
        <v>-112.76899999999992</v>
      </c>
      <c r="CI63" s="788">
        <f t="shared" si="35"/>
        <v>2002.771</v>
      </c>
    </row>
    <row r="64" spans="1:87">
      <c r="A64" s="265">
        <f t="shared" si="10"/>
        <v>2018</v>
      </c>
      <c r="B64" s="263">
        <f t="shared" si="11"/>
        <v>43281</v>
      </c>
      <c r="C64" s="509">
        <v>44253.86</v>
      </c>
      <c r="D64" s="277">
        <v>4353.0140000000001</v>
      </c>
      <c r="E64" s="277">
        <v>7905.8450000000003</v>
      </c>
      <c r="F64" s="277">
        <v>4558.0720000000001</v>
      </c>
      <c r="G64" s="277">
        <v>1012.331</v>
      </c>
      <c r="H64" s="787">
        <f t="shared" si="12"/>
        <v>17829.261999999999</v>
      </c>
      <c r="I64" s="788">
        <f t="shared" si="13"/>
        <v>62083.122000000003</v>
      </c>
      <c r="J64" s="509">
        <v>7871.2560000000003</v>
      </c>
      <c r="K64" s="277">
        <v>1540.904</v>
      </c>
      <c r="L64" s="277">
        <v>1655.931</v>
      </c>
      <c r="M64" s="277">
        <v>571.60400000000004</v>
      </c>
      <c r="N64" s="277"/>
      <c r="O64" s="787">
        <f t="shared" si="14"/>
        <v>3768.4390000000003</v>
      </c>
      <c r="P64" s="788">
        <f t="shared" si="15"/>
        <v>11639.695</v>
      </c>
      <c r="Q64" s="509">
        <v>8342.1589999999997</v>
      </c>
      <c r="R64" s="277">
        <v>755.63499999999999</v>
      </c>
      <c r="S64" s="277">
        <v>1975.8340000000001</v>
      </c>
      <c r="T64" s="277">
        <v>735.69799999999998</v>
      </c>
      <c r="U64" s="277"/>
      <c r="V64" s="787">
        <f t="shared" si="16"/>
        <v>3467.1669999999999</v>
      </c>
      <c r="W64" s="788">
        <f t="shared" si="17"/>
        <v>11809.325999999999</v>
      </c>
      <c r="X64" s="509">
        <v>6689.3119999999999</v>
      </c>
      <c r="Y64" s="277">
        <v>837.85699999999997</v>
      </c>
      <c r="Z64" s="277">
        <v>1965.1020000000001</v>
      </c>
      <c r="AA64" s="277">
        <v>1284.33</v>
      </c>
      <c r="AB64" s="277"/>
      <c r="AC64" s="787">
        <f t="shared" si="18"/>
        <v>4087.2889999999998</v>
      </c>
      <c r="AD64" s="788">
        <f t="shared" si="19"/>
        <v>10776.600999999999</v>
      </c>
      <c r="AE64" s="509">
        <v>5590.2579999999998</v>
      </c>
      <c r="AF64" s="277">
        <v>152.17599999999999</v>
      </c>
      <c r="AG64" s="277"/>
      <c r="AH64" s="277"/>
      <c r="AI64" s="277"/>
      <c r="AJ64" s="787">
        <f t="shared" si="20"/>
        <v>152.17599999999999</v>
      </c>
      <c r="AK64" s="788">
        <f t="shared" si="21"/>
        <v>5742.4340000000002</v>
      </c>
      <c r="AL64" s="789">
        <f t="shared" si="36"/>
        <v>15760.875</v>
      </c>
      <c r="AM64" s="787">
        <f t="shared" si="37"/>
        <v>1066.4420000000005</v>
      </c>
      <c r="AN64" s="787">
        <f t="shared" si="38"/>
        <v>2308.9780000000001</v>
      </c>
      <c r="AO64" s="787">
        <f t="shared" si="39"/>
        <v>1966.44</v>
      </c>
      <c r="AP64" s="787">
        <f t="shared" si="40"/>
        <v>1012.331</v>
      </c>
      <c r="AQ64" s="787">
        <f t="shared" si="22"/>
        <v>6354.1910000000007</v>
      </c>
      <c r="AR64" s="788">
        <f t="shared" si="23"/>
        <v>22115.065999999999</v>
      </c>
      <c r="AS64" s="395"/>
      <c r="AT64" s="509">
        <v>3746.86</v>
      </c>
      <c r="AU64" s="277">
        <v>150.583</v>
      </c>
      <c r="AV64" s="277">
        <v>396.01299999999998</v>
      </c>
      <c r="AW64" s="277">
        <v>-215.68199999999999</v>
      </c>
      <c r="AX64" s="277">
        <v>32.741</v>
      </c>
      <c r="AY64" s="787">
        <f t="shared" si="24"/>
        <v>363.65499999999997</v>
      </c>
      <c r="AZ64" s="788">
        <f t="shared" si="25"/>
        <v>4110.5150000000003</v>
      </c>
      <c r="BA64" s="509">
        <v>398.05799999999999</v>
      </c>
      <c r="BB64" s="277">
        <v>226.66399999999999</v>
      </c>
      <c r="BC64" s="277">
        <v>82.8</v>
      </c>
      <c r="BD64" s="277">
        <v>-88.581000000000003</v>
      </c>
      <c r="BE64" s="277"/>
      <c r="BF64" s="787">
        <f t="shared" si="26"/>
        <v>220.88299999999998</v>
      </c>
      <c r="BG64" s="788">
        <f t="shared" si="27"/>
        <v>618.94100000000003</v>
      </c>
      <c r="BH64" s="509">
        <v>547.39200000000005</v>
      </c>
      <c r="BI64" s="277">
        <v>65.433999999999997</v>
      </c>
      <c r="BJ64" s="277">
        <v>324.66500000000002</v>
      </c>
      <c r="BK64" s="277">
        <v>80.251000000000005</v>
      </c>
      <c r="BL64" s="277"/>
      <c r="BM64" s="787">
        <f t="shared" si="28"/>
        <v>470.35</v>
      </c>
      <c r="BN64" s="788">
        <f t="shared" si="29"/>
        <v>1017.7420000000001</v>
      </c>
      <c r="BO64" s="509">
        <v>522.78800000000001</v>
      </c>
      <c r="BP64" s="277">
        <v>-43.024999999999999</v>
      </c>
      <c r="BQ64" s="277">
        <v>240.46899999999999</v>
      </c>
      <c r="BR64" s="277">
        <v>-36.097999999999999</v>
      </c>
      <c r="BS64" s="277"/>
      <c r="BT64" s="787">
        <f t="shared" si="30"/>
        <v>161.346</v>
      </c>
      <c r="BU64" s="788">
        <f t="shared" si="31"/>
        <v>684.13400000000001</v>
      </c>
      <c r="BV64" s="509">
        <v>713.303</v>
      </c>
      <c r="BW64" s="277">
        <v>19.420000000000002</v>
      </c>
      <c r="BX64" s="277"/>
      <c r="BY64" s="277"/>
      <c r="BZ64" s="277"/>
      <c r="CA64" s="787">
        <f t="shared" si="32"/>
        <v>19.420000000000002</v>
      </c>
      <c r="CB64" s="788">
        <f t="shared" si="33"/>
        <v>732.72299999999996</v>
      </c>
      <c r="CC64" s="789">
        <f t="shared" si="41"/>
        <v>1565.319</v>
      </c>
      <c r="CD64" s="787">
        <f t="shared" si="42"/>
        <v>-117.90999999999994</v>
      </c>
      <c r="CE64" s="787">
        <f t="shared" si="43"/>
        <v>-251.92099999999999</v>
      </c>
      <c r="CF64" s="787">
        <f t="shared" si="44"/>
        <v>-171.25399999999999</v>
      </c>
      <c r="CG64" s="787">
        <f t="shared" si="45"/>
        <v>32.741</v>
      </c>
      <c r="CH64" s="787">
        <f t="shared" si="34"/>
        <v>-508.34399999999994</v>
      </c>
      <c r="CI64" s="788">
        <f t="shared" si="35"/>
        <v>1056.9749999999999</v>
      </c>
    </row>
    <row r="65" spans="1:87">
      <c r="A65" s="265">
        <f t="shared" si="10"/>
        <v>2018</v>
      </c>
      <c r="B65" s="263">
        <f t="shared" si="11"/>
        <v>43373</v>
      </c>
      <c r="C65" s="509">
        <v>43798.66</v>
      </c>
      <c r="D65" s="277">
        <v>4247.8519999999999</v>
      </c>
      <c r="E65" s="277">
        <v>8301.4699999999993</v>
      </c>
      <c r="F65" s="277">
        <v>4695.4970000000003</v>
      </c>
      <c r="G65" s="277">
        <v>1018.477</v>
      </c>
      <c r="H65" s="787">
        <f t="shared" si="12"/>
        <v>18263.295999999998</v>
      </c>
      <c r="I65" s="788">
        <f t="shared" si="13"/>
        <v>62061.956000000006</v>
      </c>
      <c r="J65" s="509">
        <v>7625.0749999999998</v>
      </c>
      <c r="K65" s="277">
        <v>1448.7940000000001</v>
      </c>
      <c r="L65" s="277">
        <v>1895.943</v>
      </c>
      <c r="M65" s="277">
        <v>586.22299999999996</v>
      </c>
      <c r="N65" s="277"/>
      <c r="O65" s="787">
        <f t="shared" si="14"/>
        <v>3930.96</v>
      </c>
      <c r="P65" s="788">
        <f t="shared" si="15"/>
        <v>11556.035</v>
      </c>
      <c r="Q65" s="509">
        <v>8240.5380000000005</v>
      </c>
      <c r="R65" s="277">
        <v>704.46199999999999</v>
      </c>
      <c r="S65" s="277">
        <v>2208.509</v>
      </c>
      <c r="T65" s="277">
        <v>834.97199999999998</v>
      </c>
      <c r="U65" s="277"/>
      <c r="V65" s="787">
        <f t="shared" si="16"/>
        <v>3747.9430000000002</v>
      </c>
      <c r="W65" s="788">
        <f t="shared" si="17"/>
        <v>11988.481</v>
      </c>
      <c r="X65" s="509">
        <v>6762.2790000000005</v>
      </c>
      <c r="Y65" s="277">
        <v>829.07500000000005</v>
      </c>
      <c r="Z65" s="277">
        <v>2072.6689999999999</v>
      </c>
      <c r="AA65" s="277">
        <v>1339.0229999999999</v>
      </c>
      <c r="AB65" s="277"/>
      <c r="AC65" s="787">
        <f t="shared" si="18"/>
        <v>4240.7669999999998</v>
      </c>
      <c r="AD65" s="788">
        <f t="shared" si="19"/>
        <v>11003.046</v>
      </c>
      <c r="AE65" s="509">
        <v>5434.9480000000003</v>
      </c>
      <c r="AF65" s="277">
        <v>139.929</v>
      </c>
      <c r="AG65" s="277"/>
      <c r="AH65" s="277"/>
      <c r="AI65" s="277"/>
      <c r="AJ65" s="787">
        <f t="shared" si="20"/>
        <v>139.929</v>
      </c>
      <c r="AK65" s="788">
        <f t="shared" si="21"/>
        <v>5574.8770000000004</v>
      </c>
      <c r="AL65" s="789">
        <f t="shared" si="36"/>
        <v>15735.820000000003</v>
      </c>
      <c r="AM65" s="787">
        <f t="shared" si="37"/>
        <v>1125.5919999999996</v>
      </c>
      <c r="AN65" s="787">
        <f t="shared" si="38"/>
        <v>2124.3489999999993</v>
      </c>
      <c r="AO65" s="787">
        <f t="shared" si="39"/>
        <v>1935.2790000000005</v>
      </c>
      <c r="AP65" s="787">
        <f t="shared" si="40"/>
        <v>1018.477</v>
      </c>
      <c r="AQ65" s="787">
        <f t="shared" si="22"/>
        <v>6203.6969999999992</v>
      </c>
      <c r="AR65" s="788">
        <f t="shared" si="23"/>
        <v>21939.517000000003</v>
      </c>
      <c r="AS65" s="395"/>
      <c r="AT65" s="509">
        <v>3473.163</v>
      </c>
      <c r="AU65" s="277">
        <v>336.12900000000002</v>
      </c>
      <c r="AV65" s="277">
        <v>391.80099999999999</v>
      </c>
      <c r="AW65" s="277">
        <v>-119.818</v>
      </c>
      <c r="AX65" s="277">
        <v>40.944000000000003</v>
      </c>
      <c r="AY65" s="787">
        <f t="shared" si="24"/>
        <v>649.05600000000004</v>
      </c>
      <c r="AZ65" s="788">
        <f t="shared" si="25"/>
        <v>4122.2190000000001</v>
      </c>
      <c r="BA65" s="509">
        <v>116.47199999999999</v>
      </c>
      <c r="BB65" s="277">
        <v>224.84</v>
      </c>
      <c r="BC65" s="277">
        <v>150.423</v>
      </c>
      <c r="BD65" s="277">
        <v>-89.159000000000006</v>
      </c>
      <c r="BE65" s="277"/>
      <c r="BF65" s="787">
        <f t="shared" si="26"/>
        <v>286.10400000000004</v>
      </c>
      <c r="BG65" s="788">
        <f t="shared" si="27"/>
        <v>402.57600000000002</v>
      </c>
      <c r="BH65" s="509">
        <v>620.41999999999996</v>
      </c>
      <c r="BI65" s="277">
        <v>91.893000000000001</v>
      </c>
      <c r="BJ65" s="277">
        <v>428.08199999999999</v>
      </c>
      <c r="BK65" s="277">
        <v>135.30799999999999</v>
      </c>
      <c r="BL65" s="277"/>
      <c r="BM65" s="787">
        <f t="shared" si="28"/>
        <v>655.28300000000002</v>
      </c>
      <c r="BN65" s="788">
        <f t="shared" si="29"/>
        <v>1275.703</v>
      </c>
      <c r="BO65" s="509">
        <v>504.608</v>
      </c>
      <c r="BP65" s="277">
        <v>23.346</v>
      </c>
      <c r="BQ65" s="277">
        <v>234.542</v>
      </c>
      <c r="BR65" s="277">
        <v>73.864999999999995</v>
      </c>
      <c r="BS65" s="277"/>
      <c r="BT65" s="787">
        <f t="shared" si="30"/>
        <v>331.75299999999999</v>
      </c>
      <c r="BU65" s="788">
        <f t="shared" si="31"/>
        <v>836.36099999999999</v>
      </c>
      <c r="BV65" s="509">
        <v>600.01099999999997</v>
      </c>
      <c r="BW65" s="277">
        <v>15.449</v>
      </c>
      <c r="BX65" s="277"/>
      <c r="BY65" s="277"/>
      <c r="BZ65" s="277"/>
      <c r="CA65" s="787">
        <f t="shared" si="32"/>
        <v>15.449</v>
      </c>
      <c r="CB65" s="788">
        <f t="shared" si="33"/>
        <v>615.45999999999992</v>
      </c>
      <c r="CC65" s="789">
        <f t="shared" si="41"/>
        <v>1631.652</v>
      </c>
      <c r="CD65" s="787">
        <f t="shared" si="42"/>
        <v>-19.399000000000001</v>
      </c>
      <c r="CE65" s="787">
        <f t="shared" si="43"/>
        <v>-421.24600000000004</v>
      </c>
      <c r="CF65" s="787">
        <f t="shared" si="44"/>
        <v>-239.83199999999999</v>
      </c>
      <c r="CG65" s="787">
        <f t="shared" si="45"/>
        <v>40.944000000000003</v>
      </c>
      <c r="CH65" s="787">
        <f t="shared" si="34"/>
        <v>-639.53300000000013</v>
      </c>
      <c r="CI65" s="788">
        <f t="shared" si="35"/>
        <v>992.11899999999991</v>
      </c>
    </row>
    <row r="66" spans="1:87">
      <c r="A66" s="265">
        <f t="shared" si="10"/>
        <v>2018</v>
      </c>
      <c r="B66" s="263">
        <f t="shared" si="11"/>
        <v>43465</v>
      </c>
      <c r="C66" s="509">
        <v>44215.557000000001</v>
      </c>
      <c r="D66" s="277">
        <v>4196.3720000000003</v>
      </c>
      <c r="E66" s="277">
        <v>6603.1109999999999</v>
      </c>
      <c r="F66" s="277">
        <v>4481.3549999999996</v>
      </c>
      <c r="G66" s="277">
        <v>1063.6220000000001</v>
      </c>
      <c r="H66" s="787">
        <f t="shared" si="12"/>
        <v>16344.46</v>
      </c>
      <c r="I66" s="788">
        <f t="shared" si="13"/>
        <v>60560.017</v>
      </c>
      <c r="J66" s="509">
        <v>7748.7809999999999</v>
      </c>
      <c r="K66" s="277">
        <v>1443.8440000000001</v>
      </c>
      <c r="L66" s="277">
        <v>1210.713</v>
      </c>
      <c r="M66" s="277">
        <v>532.45600000000002</v>
      </c>
      <c r="N66" s="277"/>
      <c r="O66" s="787">
        <f t="shared" si="14"/>
        <v>3187.0129999999999</v>
      </c>
      <c r="P66" s="788">
        <f t="shared" si="15"/>
        <v>10935.794</v>
      </c>
      <c r="Q66" s="509">
        <v>7865.4359999999997</v>
      </c>
      <c r="R66" s="277">
        <v>684.82899999999995</v>
      </c>
      <c r="S66" s="277">
        <v>1488.3389999999999</v>
      </c>
      <c r="T66" s="277">
        <v>693.64400000000001</v>
      </c>
      <c r="U66" s="277"/>
      <c r="V66" s="787">
        <f t="shared" si="16"/>
        <v>2866.8119999999999</v>
      </c>
      <c r="W66" s="788">
        <f t="shared" si="17"/>
        <v>10732.248</v>
      </c>
      <c r="X66" s="509">
        <v>6625.4589999999998</v>
      </c>
      <c r="Y66" s="277">
        <v>856.452</v>
      </c>
      <c r="Z66" s="277">
        <v>1676.4069999999999</v>
      </c>
      <c r="AA66" s="277">
        <v>1333.33</v>
      </c>
      <c r="AB66" s="277"/>
      <c r="AC66" s="787">
        <f t="shared" si="18"/>
        <v>3866.1889999999999</v>
      </c>
      <c r="AD66" s="788">
        <f t="shared" si="19"/>
        <v>10491.647999999999</v>
      </c>
      <c r="AE66" s="509">
        <v>5561.4210000000003</v>
      </c>
      <c r="AF66" s="277">
        <v>142.601</v>
      </c>
      <c r="AG66" s="277"/>
      <c r="AH66" s="277"/>
      <c r="AI66" s="277"/>
      <c r="AJ66" s="787">
        <f t="shared" si="20"/>
        <v>142.601</v>
      </c>
      <c r="AK66" s="788">
        <f t="shared" si="21"/>
        <v>5704.0219999999999</v>
      </c>
      <c r="AL66" s="789">
        <f t="shared" si="36"/>
        <v>16414.46</v>
      </c>
      <c r="AM66" s="787">
        <f t="shared" si="37"/>
        <v>1068.6460000000002</v>
      </c>
      <c r="AN66" s="787">
        <f t="shared" si="38"/>
        <v>2227.652</v>
      </c>
      <c r="AO66" s="787">
        <f t="shared" si="39"/>
        <v>1921.9249999999997</v>
      </c>
      <c r="AP66" s="787">
        <f t="shared" si="40"/>
        <v>1063.6220000000001</v>
      </c>
      <c r="AQ66" s="787">
        <f t="shared" si="22"/>
        <v>6281.8450000000003</v>
      </c>
      <c r="AR66" s="788">
        <f t="shared" si="23"/>
        <v>22696.305</v>
      </c>
      <c r="AS66" s="395"/>
      <c r="AT66" s="509">
        <v>3738.63</v>
      </c>
      <c r="AU66" s="277">
        <v>205.16</v>
      </c>
      <c r="AV66" s="277">
        <v>11.404</v>
      </c>
      <c r="AW66" s="277">
        <v>-272.17200000000003</v>
      </c>
      <c r="AX66" s="277">
        <v>80.929000000000002</v>
      </c>
      <c r="AY66" s="787">
        <f t="shared" si="24"/>
        <v>25.32099999999997</v>
      </c>
      <c r="AZ66" s="788">
        <f t="shared" si="25"/>
        <v>3763.951</v>
      </c>
      <c r="BA66" s="509">
        <v>382.80700000000002</v>
      </c>
      <c r="BB66" s="277">
        <v>193.458</v>
      </c>
      <c r="BC66" s="277">
        <v>-46.326000000000001</v>
      </c>
      <c r="BD66" s="277">
        <v>-129.45400000000001</v>
      </c>
      <c r="BE66" s="277"/>
      <c r="BF66" s="787">
        <f t="shared" si="26"/>
        <v>17.677999999999997</v>
      </c>
      <c r="BG66" s="788">
        <f t="shared" si="27"/>
        <v>400.48500000000001</v>
      </c>
      <c r="BH66" s="509">
        <v>648.21</v>
      </c>
      <c r="BI66" s="277">
        <v>66.141000000000005</v>
      </c>
      <c r="BJ66" s="277">
        <v>231.001</v>
      </c>
      <c r="BK66" s="277">
        <v>62.982999999999997</v>
      </c>
      <c r="BL66" s="277"/>
      <c r="BM66" s="787">
        <f t="shared" si="28"/>
        <v>360.125</v>
      </c>
      <c r="BN66" s="788">
        <f t="shared" si="29"/>
        <v>1008.335</v>
      </c>
      <c r="BO66" s="509">
        <v>378.87099999999998</v>
      </c>
      <c r="BP66" s="277">
        <v>3.9359999999999999</v>
      </c>
      <c r="BQ66" s="277">
        <v>129.96299999999999</v>
      </c>
      <c r="BR66" s="277">
        <v>-49.281999999999996</v>
      </c>
      <c r="BS66" s="277"/>
      <c r="BT66" s="787">
        <f t="shared" si="30"/>
        <v>84.617000000000004</v>
      </c>
      <c r="BU66" s="788">
        <f t="shared" si="31"/>
        <v>463.488</v>
      </c>
      <c r="BV66" s="509">
        <v>637.82799999999997</v>
      </c>
      <c r="BW66" s="277">
        <v>16.36</v>
      </c>
      <c r="BX66" s="277"/>
      <c r="BY66" s="277"/>
      <c r="BZ66" s="277"/>
      <c r="CA66" s="787">
        <f t="shared" si="32"/>
        <v>16.36</v>
      </c>
      <c r="CB66" s="788">
        <f t="shared" si="33"/>
        <v>654.18799999999999</v>
      </c>
      <c r="CC66" s="789">
        <f t="shared" si="41"/>
        <v>1690.9140000000002</v>
      </c>
      <c r="CD66" s="787">
        <f t="shared" si="42"/>
        <v>-74.734999999999985</v>
      </c>
      <c r="CE66" s="787">
        <f t="shared" si="43"/>
        <v>-303.23400000000004</v>
      </c>
      <c r="CF66" s="787">
        <f t="shared" si="44"/>
        <v>-156.41900000000004</v>
      </c>
      <c r="CG66" s="787">
        <f t="shared" si="45"/>
        <v>80.929000000000002</v>
      </c>
      <c r="CH66" s="787">
        <f t="shared" si="34"/>
        <v>-453.45900000000017</v>
      </c>
      <c r="CI66" s="788">
        <f t="shared" si="35"/>
        <v>1237.4549999999999</v>
      </c>
    </row>
    <row r="67" spans="1:87">
      <c r="A67" s="265">
        <f t="shared" si="10"/>
        <v>2019</v>
      </c>
      <c r="B67" s="263">
        <f t="shared" si="11"/>
        <v>43555</v>
      </c>
      <c r="C67" s="509">
        <v>41375.991000000002</v>
      </c>
      <c r="D67" s="277">
        <v>4801.0529999999999</v>
      </c>
      <c r="E67" s="277">
        <v>5836.2179999999998</v>
      </c>
      <c r="F67" s="277">
        <v>4252.3320000000003</v>
      </c>
      <c r="G67" s="277">
        <v>953.15800000000002</v>
      </c>
      <c r="H67" s="787">
        <f t="shared" si="12"/>
        <v>15842.761</v>
      </c>
      <c r="I67" s="788">
        <f t="shared" si="13"/>
        <v>57218.752</v>
      </c>
      <c r="J67" s="509">
        <v>7466.2650000000003</v>
      </c>
      <c r="K67" s="277">
        <v>1655.5129999999999</v>
      </c>
      <c r="L67" s="277">
        <v>915.07100000000003</v>
      </c>
      <c r="M67" s="277">
        <v>543.73599999999999</v>
      </c>
      <c r="N67" s="277"/>
      <c r="O67" s="787">
        <f t="shared" si="14"/>
        <v>3114.3199999999997</v>
      </c>
      <c r="P67" s="788">
        <f t="shared" si="15"/>
        <v>10580.584999999999</v>
      </c>
      <c r="Q67" s="509">
        <v>7691.9679999999998</v>
      </c>
      <c r="R67" s="277">
        <v>879.03099999999995</v>
      </c>
      <c r="S67" s="277">
        <v>1248.404</v>
      </c>
      <c r="T67" s="277">
        <v>672.05399999999997</v>
      </c>
      <c r="U67" s="277"/>
      <c r="V67" s="787">
        <f t="shared" si="16"/>
        <v>2799.489</v>
      </c>
      <c r="W67" s="788">
        <f t="shared" si="17"/>
        <v>10491.457</v>
      </c>
      <c r="X67" s="509">
        <v>5875.1040000000003</v>
      </c>
      <c r="Y67" s="277">
        <v>975.25800000000004</v>
      </c>
      <c r="Z67" s="277">
        <v>1458.3420000000001</v>
      </c>
      <c r="AA67" s="277">
        <v>1280.5820000000001</v>
      </c>
      <c r="AB67" s="277"/>
      <c r="AC67" s="787">
        <f t="shared" si="18"/>
        <v>3714.1820000000007</v>
      </c>
      <c r="AD67" s="788">
        <f t="shared" si="19"/>
        <v>9589.2860000000001</v>
      </c>
      <c r="AE67" s="509">
        <v>4988.0129999999999</v>
      </c>
      <c r="AF67" s="277">
        <v>161.16999999999999</v>
      </c>
      <c r="AG67" s="277"/>
      <c r="AH67" s="277"/>
      <c r="AI67" s="277"/>
      <c r="AJ67" s="787">
        <f t="shared" si="20"/>
        <v>161.16999999999999</v>
      </c>
      <c r="AK67" s="788">
        <f t="shared" si="21"/>
        <v>5149.183</v>
      </c>
      <c r="AL67" s="789">
        <f t="shared" ref="AL67:AL77" si="46">C67-SUM(J67,Q67,X67,AE67)</f>
        <v>15354.641000000003</v>
      </c>
      <c r="AM67" s="787">
        <f t="shared" ref="AM67:AM77" si="47">D67-SUM(K67,R67,Y67,AF67)</f>
        <v>1130.0810000000001</v>
      </c>
      <c r="AN67" s="787">
        <f t="shared" ref="AN67:AN77" si="48">E67-SUM(L67,S67,Z67,AG67)</f>
        <v>2214.4009999999998</v>
      </c>
      <c r="AO67" s="787">
        <f t="shared" ref="AO67:AO77" si="49">F67-SUM(M67,T67,AA67,AH67)</f>
        <v>1755.96</v>
      </c>
      <c r="AP67" s="787">
        <f t="shared" ref="AP67:AP77" si="50">G67-SUM(N67,U67,AB67,AI67)</f>
        <v>953.15800000000002</v>
      </c>
      <c r="AQ67" s="787">
        <f t="shared" si="22"/>
        <v>6053.6</v>
      </c>
      <c r="AR67" s="788">
        <f t="shared" si="23"/>
        <v>21408.241000000002</v>
      </c>
      <c r="AS67" s="395"/>
      <c r="AT67" s="509">
        <v>2732.085</v>
      </c>
      <c r="AU67" s="277">
        <v>269.91199999999998</v>
      </c>
      <c r="AV67" s="277">
        <v>-146.614</v>
      </c>
      <c r="AW67" s="277">
        <v>-143.65899999999999</v>
      </c>
      <c r="AX67" s="277">
        <v>-25.952000000000002</v>
      </c>
      <c r="AY67" s="787">
        <f t="shared" si="24"/>
        <v>-46.313000000000017</v>
      </c>
      <c r="AZ67" s="788">
        <f t="shared" si="25"/>
        <v>2685.7719999999999</v>
      </c>
      <c r="BA67" s="509">
        <v>167.005</v>
      </c>
      <c r="BB67" s="277">
        <v>231.46700000000001</v>
      </c>
      <c r="BC67" s="277">
        <v>-89.519000000000005</v>
      </c>
      <c r="BD67" s="277">
        <v>-79.096999999999994</v>
      </c>
      <c r="BE67" s="277"/>
      <c r="BF67" s="787">
        <f t="shared" si="26"/>
        <v>62.851000000000013</v>
      </c>
      <c r="BG67" s="788">
        <f t="shared" si="27"/>
        <v>229.85599999999999</v>
      </c>
      <c r="BH67" s="509">
        <v>422.50799999999998</v>
      </c>
      <c r="BI67" s="277">
        <v>79.625</v>
      </c>
      <c r="BJ67" s="277">
        <v>180.43100000000001</v>
      </c>
      <c r="BK67" s="277">
        <v>65.168999999999997</v>
      </c>
      <c r="BL67" s="277"/>
      <c r="BM67" s="787">
        <f t="shared" si="28"/>
        <v>325.22500000000002</v>
      </c>
      <c r="BN67" s="788">
        <f t="shared" si="29"/>
        <v>747.73299999999995</v>
      </c>
      <c r="BO67" s="509">
        <v>178.70099999999999</v>
      </c>
      <c r="BP67" s="277">
        <v>29.62</v>
      </c>
      <c r="BQ67" s="277">
        <v>111.328</v>
      </c>
      <c r="BR67" s="277">
        <v>-26.89</v>
      </c>
      <c r="BS67" s="277"/>
      <c r="BT67" s="787">
        <f t="shared" si="30"/>
        <v>114.05800000000001</v>
      </c>
      <c r="BU67" s="788">
        <f t="shared" si="31"/>
        <v>292.75900000000001</v>
      </c>
      <c r="BV67" s="509">
        <v>374.99700000000001</v>
      </c>
      <c r="BW67" s="277">
        <v>12.117000000000001</v>
      </c>
      <c r="BX67" s="277"/>
      <c r="BY67" s="277"/>
      <c r="BZ67" s="277"/>
      <c r="CA67" s="787">
        <f t="shared" si="32"/>
        <v>12.117000000000001</v>
      </c>
      <c r="CB67" s="788">
        <f t="shared" si="33"/>
        <v>387.11400000000003</v>
      </c>
      <c r="CC67" s="789">
        <f t="shared" ref="CC67:CC77" si="51">AT67-SUM(BA67,BH67,BO67,BV67)</f>
        <v>1588.874</v>
      </c>
      <c r="CD67" s="787">
        <f t="shared" ref="CD67:CD77" si="52">AU67-SUM(BB67,BI67,BP67,BW67)</f>
        <v>-82.91700000000003</v>
      </c>
      <c r="CE67" s="787">
        <f t="shared" ref="CE67:CE77" si="53">AV67-SUM(BC67,BJ67,BQ67,BX67)</f>
        <v>-348.85400000000004</v>
      </c>
      <c r="CF67" s="787">
        <f t="shared" ref="CF67:CF77" si="54">AW67-SUM(BD67,BK67,BR67,BY67)</f>
        <v>-102.84099999999999</v>
      </c>
      <c r="CG67" s="787">
        <f t="shared" ref="CG67:CG77" si="55">AX67-SUM(BE67,BL67,BS67,BZ67)</f>
        <v>-25.952000000000002</v>
      </c>
      <c r="CH67" s="787">
        <f t="shared" si="34"/>
        <v>-560.56400000000008</v>
      </c>
      <c r="CI67" s="788">
        <f t="shared" si="35"/>
        <v>1028.31</v>
      </c>
    </row>
    <row r="68" spans="1:87">
      <c r="A68" s="265">
        <f t="shared" ref="A68:A77" si="56">YEAR(B68)</f>
        <v>2019</v>
      </c>
      <c r="B68" s="263">
        <f t="shared" ref="B68:B77" si="57">+EOMONTH(B67,3)</f>
        <v>43646</v>
      </c>
      <c r="C68" s="509">
        <v>46580.347999999998</v>
      </c>
      <c r="D68" s="277">
        <v>4523.982</v>
      </c>
      <c r="E68" s="277">
        <v>8030.933</v>
      </c>
      <c r="F68" s="277">
        <v>4394.2</v>
      </c>
      <c r="G68" s="277">
        <v>987.05</v>
      </c>
      <c r="H68" s="787">
        <f t="shared" ref="H68:H77" si="58">SUM(D68:G68)</f>
        <v>17936.165000000001</v>
      </c>
      <c r="I68" s="788">
        <f t="shared" ref="I68:I77" si="59">SUM(C68,H68)</f>
        <v>64516.512999999999</v>
      </c>
      <c r="J68" s="509">
        <v>8193.4079999999994</v>
      </c>
      <c r="K68" s="277">
        <v>1492.9159999999999</v>
      </c>
      <c r="L68" s="277">
        <v>1774.41</v>
      </c>
      <c r="M68" s="277">
        <v>497.41399999999999</v>
      </c>
      <c r="N68" s="277"/>
      <c r="O68" s="787">
        <f t="shared" ref="O68:O77" si="60">SUM(K68:N68)</f>
        <v>3764.74</v>
      </c>
      <c r="P68" s="788">
        <f t="shared" ref="P68:P77" si="61">SUM(J68,O68)</f>
        <v>11958.147999999999</v>
      </c>
      <c r="Q68" s="509">
        <v>8986.2569999999996</v>
      </c>
      <c r="R68" s="277">
        <v>773.06500000000005</v>
      </c>
      <c r="S68" s="277">
        <v>2077.0039999999999</v>
      </c>
      <c r="T68" s="277">
        <v>745.15300000000002</v>
      </c>
      <c r="U68" s="277"/>
      <c r="V68" s="787">
        <f t="shared" ref="V68:V77" si="62">SUM(R68:U68)</f>
        <v>3595.2219999999998</v>
      </c>
      <c r="W68" s="788">
        <f t="shared" ref="W68:W77" si="63">SUM(Q68,V68)</f>
        <v>12581.478999999999</v>
      </c>
      <c r="X68" s="509">
        <v>7087.134</v>
      </c>
      <c r="Y68" s="277">
        <v>942.51300000000003</v>
      </c>
      <c r="Z68" s="277">
        <v>2065.2170000000001</v>
      </c>
      <c r="AA68" s="277">
        <v>1306.5039999999999</v>
      </c>
      <c r="AB68" s="277"/>
      <c r="AC68" s="787">
        <f t="shared" ref="AC68:AC77" si="64">SUM(Y68:AB68)</f>
        <v>4314.2340000000004</v>
      </c>
      <c r="AD68" s="788">
        <f t="shared" ref="AD68:AD77" si="65">SUM(X68,AC68)</f>
        <v>11401.368</v>
      </c>
      <c r="AE68" s="509">
        <v>5739.2740000000003</v>
      </c>
      <c r="AF68" s="277">
        <v>170.19399999999999</v>
      </c>
      <c r="AG68" s="277"/>
      <c r="AH68" s="277"/>
      <c r="AI68" s="277"/>
      <c r="AJ68" s="787">
        <f t="shared" ref="AJ68:AJ77" si="66">SUM(AF68:AI68)</f>
        <v>170.19399999999999</v>
      </c>
      <c r="AK68" s="788">
        <f t="shared" ref="AK68:AK77" si="67">SUM(AE68,AJ68)</f>
        <v>5909.4680000000008</v>
      </c>
      <c r="AL68" s="789">
        <f t="shared" si="46"/>
        <v>16574.274999999998</v>
      </c>
      <c r="AM68" s="787">
        <f t="shared" si="47"/>
        <v>1145.2940000000003</v>
      </c>
      <c r="AN68" s="787">
        <f t="shared" si="48"/>
        <v>2114.3020000000006</v>
      </c>
      <c r="AO68" s="787">
        <f t="shared" si="49"/>
        <v>1845.1289999999999</v>
      </c>
      <c r="AP68" s="787">
        <f t="shared" si="50"/>
        <v>987.05</v>
      </c>
      <c r="AQ68" s="787">
        <f t="shared" ref="AQ68:AQ77" si="68">SUM(AM68:AP68)</f>
        <v>6091.7750000000005</v>
      </c>
      <c r="AR68" s="788">
        <f t="shared" ref="AR68:AR77" si="69">SUM(AL68,AQ68)</f>
        <v>22666.05</v>
      </c>
      <c r="AS68" s="395"/>
      <c r="AT68" s="509">
        <v>4891.3900000000003</v>
      </c>
      <c r="AU68" s="277">
        <v>337.05200000000002</v>
      </c>
      <c r="AV68" s="277">
        <v>278.51799999999997</v>
      </c>
      <c r="AW68" s="277">
        <v>-275.83100000000002</v>
      </c>
      <c r="AX68" s="277">
        <v>17.323</v>
      </c>
      <c r="AY68" s="787">
        <f t="shared" ref="AY68:AY77" si="70">SUM(AU68:AX68)</f>
        <v>357.0619999999999</v>
      </c>
      <c r="AZ68" s="788">
        <f t="shared" ref="AZ68:AZ77" si="71">SUM(AT68,AY68)</f>
        <v>5248.4520000000002</v>
      </c>
      <c r="BA68" s="509">
        <v>472.61</v>
      </c>
      <c r="BB68" s="277">
        <v>244.12299999999999</v>
      </c>
      <c r="BC68" s="277">
        <v>90.522000000000006</v>
      </c>
      <c r="BD68" s="277">
        <v>-93.340999999999994</v>
      </c>
      <c r="BE68" s="277"/>
      <c r="BF68" s="787">
        <f t="shared" ref="BF68:BF77" si="72">SUM(BB68:BE68)</f>
        <v>241.30399999999997</v>
      </c>
      <c r="BG68" s="788">
        <f t="shared" ref="BG68:BG77" si="73">SUM(BA68,BF68)</f>
        <v>713.91399999999999</v>
      </c>
      <c r="BH68" s="509">
        <v>872.89599999999996</v>
      </c>
      <c r="BI68" s="277">
        <v>104.68</v>
      </c>
      <c r="BJ68" s="277">
        <v>361.53399999999999</v>
      </c>
      <c r="BK68" s="277">
        <v>68.067999999999998</v>
      </c>
      <c r="BL68" s="277"/>
      <c r="BM68" s="787">
        <f t="shared" ref="BM68:BM77" si="74">SUM(BI68:BL68)</f>
        <v>534.28200000000004</v>
      </c>
      <c r="BN68" s="788">
        <f t="shared" ref="BN68:BN77" si="75">SUM(BH68,BM68)</f>
        <v>1407.1779999999999</v>
      </c>
      <c r="BO68" s="509">
        <v>668.96</v>
      </c>
      <c r="BP68" s="277">
        <v>55.209000000000003</v>
      </c>
      <c r="BQ68" s="277">
        <v>313.15800000000002</v>
      </c>
      <c r="BR68" s="277">
        <v>14.612</v>
      </c>
      <c r="BS68" s="277"/>
      <c r="BT68" s="787">
        <f t="shared" ref="BT68:BT77" si="76">SUM(BP68:BS68)</f>
        <v>382.97900000000004</v>
      </c>
      <c r="BU68" s="788">
        <f t="shared" ref="BU68:BU77" si="77">SUM(BO68,BT68)</f>
        <v>1051.9390000000001</v>
      </c>
      <c r="BV68" s="509">
        <v>719.20699999999999</v>
      </c>
      <c r="BW68" s="277">
        <v>21.329000000000001</v>
      </c>
      <c r="BX68" s="277"/>
      <c r="BY68" s="277"/>
      <c r="BZ68" s="277"/>
      <c r="CA68" s="787">
        <f t="shared" ref="CA68:CA77" si="78">SUM(BW68:BZ68)</f>
        <v>21.329000000000001</v>
      </c>
      <c r="CB68" s="788">
        <f t="shared" ref="CB68:CB77" si="79">SUM(BV68,CA68)</f>
        <v>740.53599999999994</v>
      </c>
      <c r="CC68" s="789">
        <f t="shared" si="51"/>
        <v>2157.7170000000006</v>
      </c>
      <c r="CD68" s="787">
        <f t="shared" si="52"/>
        <v>-88.288999999999987</v>
      </c>
      <c r="CE68" s="787">
        <f t="shared" si="53"/>
        <v>-486.69599999999997</v>
      </c>
      <c r="CF68" s="787">
        <f t="shared" si="54"/>
        <v>-265.17</v>
      </c>
      <c r="CG68" s="787">
        <f t="shared" si="55"/>
        <v>17.323</v>
      </c>
      <c r="CH68" s="787">
        <f t="shared" ref="CH68:CH77" si="80">SUM(CD68:CG68)</f>
        <v>-822.83199999999999</v>
      </c>
      <c r="CI68" s="788">
        <f t="shared" ref="CI68:CI77" si="81">SUM(CC68,CH68)</f>
        <v>1334.8850000000007</v>
      </c>
    </row>
    <row r="69" spans="1:87">
      <c r="A69" s="265">
        <f t="shared" si="56"/>
        <v>2019</v>
      </c>
      <c r="B69" s="263">
        <f t="shared" si="57"/>
        <v>43738</v>
      </c>
      <c r="C69" s="509">
        <v>45748.633999999998</v>
      </c>
      <c r="D69" s="277">
        <v>4341.3190000000004</v>
      </c>
      <c r="E69" s="277">
        <v>8456.6129999999994</v>
      </c>
      <c r="F69" s="277">
        <v>4447.6880000000001</v>
      </c>
      <c r="G69" s="277">
        <v>969.35599999999999</v>
      </c>
      <c r="H69" s="787">
        <f t="shared" si="58"/>
        <v>18214.976000000002</v>
      </c>
      <c r="I69" s="788">
        <f t="shared" si="59"/>
        <v>63963.61</v>
      </c>
      <c r="J69" s="509">
        <v>7968.6580000000004</v>
      </c>
      <c r="K69" s="277">
        <v>1444.145</v>
      </c>
      <c r="L69" s="277">
        <v>1996.6790000000001</v>
      </c>
      <c r="M69" s="277">
        <v>500.36500000000001</v>
      </c>
      <c r="N69" s="277"/>
      <c r="O69" s="787">
        <f t="shared" si="60"/>
        <v>3941.1890000000003</v>
      </c>
      <c r="P69" s="788">
        <f t="shared" si="61"/>
        <v>11909.847000000002</v>
      </c>
      <c r="Q69" s="509">
        <v>8835.5300000000007</v>
      </c>
      <c r="R69" s="277">
        <v>699.18100000000004</v>
      </c>
      <c r="S69" s="277">
        <v>2263.0140000000001</v>
      </c>
      <c r="T69" s="277">
        <v>792.68600000000004</v>
      </c>
      <c r="U69" s="277"/>
      <c r="V69" s="787">
        <f t="shared" si="62"/>
        <v>3754.8810000000003</v>
      </c>
      <c r="W69" s="788">
        <f t="shared" si="63"/>
        <v>12590.411</v>
      </c>
      <c r="X69" s="509">
        <v>7094.0720000000001</v>
      </c>
      <c r="Y69" s="277">
        <v>903.45100000000002</v>
      </c>
      <c r="Z69" s="277">
        <v>2103.547</v>
      </c>
      <c r="AA69" s="277">
        <v>1279.413</v>
      </c>
      <c r="AB69" s="277"/>
      <c r="AC69" s="787">
        <f t="shared" si="64"/>
        <v>4286.4110000000001</v>
      </c>
      <c r="AD69" s="788">
        <f t="shared" si="65"/>
        <v>11380.483</v>
      </c>
      <c r="AE69" s="509">
        <v>5506.1570000000002</v>
      </c>
      <c r="AF69" s="277">
        <v>133.66300000000001</v>
      </c>
      <c r="AG69" s="277"/>
      <c r="AH69" s="277"/>
      <c r="AI69" s="277"/>
      <c r="AJ69" s="787">
        <f t="shared" si="66"/>
        <v>133.66300000000001</v>
      </c>
      <c r="AK69" s="788">
        <f t="shared" si="67"/>
        <v>5639.82</v>
      </c>
      <c r="AL69" s="789">
        <f t="shared" si="46"/>
        <v>16344.216999999997</v>
      </c>
      <c r="AM69" s="787">
        <f t="shared" si="47"/>
        <v>1160.8790000000004</v>
      </c>
      <c r="AN69" s="787">
        <f t="shared" si="48"/>
        <v>2093.3729999999996</v>
      </c>
      <c r="AO69" s="787">
        <f t="shared" si="49"/>
        <v>1875.2240000000002</v>
      </c>
      <c r="AP69" s="787">
        <f t="shared" si="50"/>
        <v>969.35599999999999</v>
      </c>
      <c r="AQ69" s="787">
        <f t="shared" si="68"/>
        <v>6098.8320000000003</v>
      </c>
      <c r="AR69" s="788">
        <f t="shared" si="69"/>
        <v>22443.048999999999</v>
      </c>
      <c r="AS69" s="395"/>
      <c r="AT69" s="509">
        <v>4344.5190000000002</v>
      </c>
      <c r="AU69" s="277">
        <v>477.84</v>
      </c>
      <c r="AV69" s="277">
        <v>323.25299999999999</v>
      </c>
      <c r="AW69" s="277">
        <v>-191.27600000000001</v>
      </c>
      <c r="AX69" s="277">
        <v>-50.582999999999998</v>
      </c>
      <c r="AY69" s="787">
        <f t="shared" si="70"/>
        <v>559.23400000000004</v>
      </c>
      <c r="AZ69" s="788">
        <f t="shared" si="71"/>
        <v>4903.7530000000006</v>
      </c>
      <c r="BA69" s="509">
        <v>261.13499999999999</v>
      </c>
      <c r="BB69" s="277">
        <v>276.58699999999999</v>
      </c>
      <c r="BC69" s="277">
        <v>60.01</v>
      </c>
      <c r="BD69" s="277">
        <v>-89.835999999999999</v>
      </c>
      <c r="BE69" s="277"/>
      <c r="BF69" s="787">
        <f t="shared" si="72"/>
        <v>246.76099999999997</v>
      </c>
      <c r="BG69" s="788">
        <f t="shared" si="73"/>
        <v>507.89599999999996</v>
      </c>
      <c r="BH69" s="509">
        <v>876.78099999999995</v>
      </c>
      <c r="BI69" s="277">
        <v>102.372</v>
      </c>
      <c r="BJ69" s="277">
        <v>408.22800000000001</v>
      </c>
      <c r="BK69" s="277">
        <v>106.607</v>
      </c>
      <c r="BL69" s="277"/>
      <c r="BM69" s="787">
        <f t="shared" si="74"/>
        <v>617.20699999999999</v>
      </c>
      <c r="BN69" s="788">
        <f t="shared" si="75"/>
        <v>1493.9879999999998</v>
      </c>
      <c r="BO69" s="509">
        <v>706.79100000000005</v>
      </c>
      <c r="BP69" s="277">
        <v>77.415999999999997</v>
      </c>
      <c r="BQ69" s="277">
        <v>241.22300000000001</v>
      </c>
      <c r="BR69" s="277">
        <v>-1.4710000000000001</v>
      </c>
      <c r="BS69" s="277"/>
      <c r="BT69" s="787">
        <f t="shared" si="76"/>
        <v>317.16800000000001</v>
      </c>
      <c r="BU69" s="788">
        <f t="shared" si="77"/>
        <v>1023.9590000000001</v>
      </c>
      <c r="BV69" s="509">
        <v>643.25900000000001</v>
      </c>
      <c r="BW69" s="277">
        <v>15.616</v>
      </c>
      <c r="BX69" s="277"/>
      <c r="BY69" s="277"/>
      <c r="BZ69" s="277"/>
      <c r="CA69" s="787">
        <f t="shared" si="78"/>
        <v>15.616</v>
      </c>
      <c r="CB69" s="788">
        <f t="shared" si="79"/>
        <v>658.875</v>
      </c>
      <c r="CC69" s="789">
        <f t="shared" si="51"/>
        <v>1856.5530000000003</v>
      </c>
      <c r="CD69" s="787">
        <f t="shared" si="52"/>
        <v>5.8489999999999895</v>
      </c>
      <c r="CE69" s="787">
        <f t="shared" si="53"/>
        <v>-386.20800000000003</v>
      </c>
      <c r="CF69" s="787">
        <f t="shared" si="54"/>
        <v>-206.57600000000002</v>
      </c>
      <c r="CG69" s="787">
        <f t="shared" si="55"/>
        <v>-50.582999999999998</v>
      </c>
      <c r="CH69" s="787">
        <f t="shared" si="80"/>
        <v>-637.51800000000003</v>
      </c>
      <c r="CI69" s="788">
        <f t="shared" si="81"/>
        <v>1219.0350000000003</v>
      </c>
    </row>
    <row r="70" spans="1:87">
      <c r="A70" s="265">
        <f t="shared" si="56"/>
        <v>2019</v>
      </c>
      <c r="B70" s="263">
        <f t="shared" si="57"/>
        <v>43830</v>
      </c>
      <c r="C70" s="509">
        <v>45636.832000000002</v>
      </c>
      <c r="D70" s="277">
        <v>4394.7730000000001</v>
      </c>
      <c r="E70" s="277">
        <v>6839.3280000000004</v>
      </c>
      <c r="F70" s="277">
        <v>4369.6270000000004</v>
      </c>
      <c r="G70" s="277">
        <v>1062.1030000000001</v>
      </c>
      <c r="H70" s="787">
        <f t="shared" si="58"/>
        <v>16665.831000000002</v>
      </c>
      <c r="I70" s="788">
        <f t="shared" si="59"/>
        <v>62302.663</v>
      </c>
      <c r="J70" s="509">
        <v>8086.951</v>
      </c>
      <c r="K70" s="277">
        <v>1463.759</v>
      </c>
      <c r="L70" s="277">
        <v>1262.6880000000001</v>
      </c>
      <c r="M70" s="277">
        <v>499.14699999999999</v>
      </c>
      <c r="N70" s="277"/>
      <c r="O70" s="787">
        <f t="shared" si="60"/>
        <v>3225.5940000000001</v>
      </c>
      <c r="P70" s="788">
        <f t="shared" si="61"/>
        <v>11312.545</v>
      </c>
      <c r="Q70" s="509">
        <v>8529.0689999999995</v>
      </c>
      <c r="R70" s="277">
        <v>722.06700000000001</v>
      </c>
      <c r="S70" s="277">
        <v>1523.4680000000001</v>
      </c>
      <c r="T70" s="277">
        <v>688.38400000000001</v>
      </c>
      <c r="U70" s="277"/>
      <c r="V70" s="787">
        <f t="shared" si="62"/>
        <v>2933.9189999999999</v>
      </c>
      <c r="W70" s="788">
        <f t="shared" si="63"/>
        <v>11462.987999999999</v>
      </c>
      <c r="X70" s="509">
        <v>6903.9949999999999</v>
      </c>
      <c r="Y70" s="277">
        <v>958.18799999999999</v>
      </c>
      <c r="Z70" s="277">
        <v>1759.7159999999999</v>
      </c>
      <c r="AA70" s="277">
        <v>1265.5039999999999</v>
      </c>
      <c r="AB70" s="277"/>
      <c r="AC70" s="787">
        <f t="shared" si="64"/>
        <v>3983.4079999999999</v>
      </c>
      <c r="AD70" s="788">
        <f t="shared" si="65"/>
        <v>10887.403</v>
      </c>
      <c r="AE70" s="509">
        <v>5579.7479999999996</v>
      </c>
      <c r="AF70" s="277">
        <v>149.53399999999999</v>
      </c>
      <c r="AG70" s="277"/>
      <c r="AH70" s="277"/>
      <c r="AI70" s="277"/>
      <c r="AJ70" s="787">
        <f t="shared" si="66"/>
        <v>149.53399999999999</v>
      </c>
      <c r="AK70" s="788">
        <f t="shared" si="67"/>
        <v>5729.2819999999992</v>
      </c>
      <c r="AL70" s="789">
        <f t="shared" si="46"/>
        <v>16537.069000000003</v>
      </c>
      <c r="AM70" s="787">
        <f t="shared" si="47"/>
        <v>1101.2249999999999</v>
      </c>
      <c r="AN70" s="787">
        <f t="shared" si="48"/>
        <v>2293.456000000001</v>
      </c>
      <c r="AO70" s="787">
        <f t="shared" si="49"/>
        <v>1916.5920000000006</v>
      </c>
      <c r="AP70" s="787">
        <f t="shared" si="50"/>
        <v>1062.1030000000001</v>
      </c>
      <c r="AQ70" s="787">
        <f t="shared" si="68"/>
        <v>6373.3760000000011</v>
      </c>
      <c r="AR70" s="788">
        <f t="shared" si="69"/>
        <v>22910.445000000003</v>
      </c>
      <c r="AS70" s="395"/>
      <c r="AT70" s="509">
        <v>3737.9769999999999</v>
      </c>
      <c r="AU70" s="277">
        <v>465.07900000000001</v>
      </c>
      <c r="AV70" s="277">
        <v>-76.832999999999998</v>
      </c>
      <c r="AW70" s="277">
        <v>-340.00400000000002</v>
      </c>
      <c r="AX70" s="277">
        <v>-191.673</v>
      </c>
      <c r="AY70" s="787">
        <f t="shared" si="70"/>
        <v>-143.43100000000004</v>
      </c>
      <c r="AZ70" s="788">
        <f t="shared" si="71"/>
        <v>3594.5459999999998</v>
      </c>
      <c r="BA70" s="509">
        <v>415.863</v>
      </c>
      <c r="BB70" s="277">
        <v>306.697</v>
      </c>
      <c r="BC70" s="277">
        <v>-83.894000000000005</v>
      </c>
      <c r="BD70" s="277">
        <v>-118.206</v>
      </c>
      <c r="BE70" s="277"/>
      <c r="BF70" s="787">
        <f t="shared" si="72"/>
        <v>104.59699999999999</v>
      </c>
      <c r="BG70" s="788">
        <f t="shared" si="73"/>
        <v>520.46</v>
      </c>
      <c r="BH70" s="509">
        <v>737.34</v>
      </c>
      <c r="BI70" s="277">
        <v>95.009</v>
      </c>
      <c r="BJ70" s="277">
        <v>224.697</v>
      </c>
      <c r="BK70" s="277">
        <v>63.975000000000001</v>
      </c>
      <c r="BL70" s="277"/>
      <c r="BM70" s="787">
        <f t="shared" si="74"/>
        <v>383.68100000000004</v>
      </c>
      <c r="BN70" s="788">
        <f t="shared" si="75"/>
        <v>1121.0210000000002</v>
      </c>
      <c r="BO70" s="509">
        <v>501.834</v>
      </c>
      <c r="BP70" s="277">
        <v>72.646000000000001</v>
      </c>
      <c r="BQ70" s="277">
        <v>138.18899999999999</v>
      </c>
      <c r="BR70" s="277">
        <v>-70.316999999999993</v>
      </c>
      <c r="BS70" s="277"/>
      <c r="BT70" s="787">
        <f t="shared" si="76"/>
        <v>140.51799999999997</v>
      </c>
      <c r="BU70" s="788">
        <f t="shared" si="77"/>
        <v>642.35199999999998</v>
      </c>
      <c r="BV70" s="509">
        <v>500.392</v>
      </c>
      <c r="BW70" s="277">
        <v>13.407</v>
      </c>
      <c r="BX70" s="277"/>
      <c r="BY70" s="277"/>
      <c r="BZ70" s="277"/>
      <c r="CA70" s="787">
        <f t="shared" si="78"/>
        <v>13.407</v>
      </c>
      <c r="CB70" s="788">
        <f t="shared" si="79"/>
        <v>513.79899999999998</v>
      </c>
      <c r="CC70" s="789">
        <f t="shared" si="51"/>
        <v>1582.5479999999998</v>
      </c>
      <c r="CD70" s="787">
        <f t="shared" si="52"/>
        <v>-22.680000000000007</v>
      </c>
      <c r="CE70" s="787">
        <f t="shared" si="53"/>
        <v>-355.82499999999993</v>
      </c>
      <c r="CF70" s="787">
        <f t="shared" si="54"/>
        <v>-215.45600000000002</v>
      </c>
      <c r="CG70" s="787">
        <f t="shared" si="55"/>
        <v>-191.673</v>
      </c>
      <c r="CH70" s="787">
        <f t="shared" si="80"/>
        <v>-785.63400000000001</v>
      </c>
      <c r="CI70" s="788">
        <f t="shared" si="81"/>
        <v>796.91399999999976</v>
      </c>
    </row>
    <row r="71" spans="1:87">
      <c r="A71" s="265">
        <f t="shared" si="56"/>
        <v>2020</v>
      </c>
      <c r="B71" s="263">
        <f t="shared" si="57"/>
        <v>43921</v>
      </c>
      <c r="C71" s="509">
        <v>35922.411999999997</v>
      </c>
      <c r="D71" s="277">
        <v>4304.7939999999999</v>
      </c>
      <c r="E71" s="277">
        <v>5101.3450000000003</v>
      </c>
      <c r="F71" s="277">
        <v>3303.1889999999999</v>
      </c>
      <c r="G71" s="277">
        <v>911.89499999999998</v>
      </c>
      <c r="H71" s="787">
        <f t="shared" si="58"/>
        <v>13621.223</v>
      </c>
      <c r="I71" s="788">
        <f t="shared" si="59"/>
        <v>49543.634999999995</v>
      </c>
      <c r="J71" s="509">
        <v>6047.3879999999999</v>
      </c>
      <c r="K71" s="277">
        <v>1447.2940000000001</v>
      </c>
      <c r="L71" s="277">
        <v>733.98500000000001</v>
      </c>
      <c r="M71" s="277">
        <v>285.13299999999998</v>
      </c>
      <c r="N71" s="277"/>
      <c r="O71" s="787">
        <f t="shared" si="60"/>
        <v>2466.4119999999998</v>
      </c>
      <c r="P71" s="788">
        <f t="shared" si="61"/>
        <v>8513.7999999999993</v>
      </c>
      <c r="Q71" s="509">
        <v>6383.9080000000004</v>
      </c>
      <c r="R71" s="277">
        <v>799.077</v>
      </c>
      <c r="S71" s="277">
        <v>967.21600000000001</v>
      </c>
      <c r="T71" s="277">
        <v>456.54</v>
      </c>
      <c r="U71" s="277"/>
      <c r="V71" s="787">
        <f t="shared" si="62"/>
        <v>2222.8330000000001</v>
      </c>
      <c r="W71" s="788">
        <f t="shared" si="63"/>
        <v>8606.741</v>
      </c>
      <c r="X71" s="509">
        <v>5077.4449999999997</v>
      </c>
      <c r="Y71" s="277">
        <v>879.87300000000005</v>
      </c>
      <c r="Z71" s="277">
        <v>1214.9670000000001</v>
      </c>
      <c r="AA71" s="277">
        <v>806.28300000000002</v>
      </c>
      <c r="AB71" s="277"/>
      <c r="AC71" s="787">
        <f t="shared" si="64"/>
        <v>2901.123</v>
      </c>
      <c r="AD71" s="788">
        <f t="shared" si="65"/>
        <v>7978.5679999999993</v>
      </c>
      <c r="AE71" s="509">
        <v>4112.42</v>
      </c>
      <c r="AF71" s="277">
        <v>121.514</v>
      </c>
      <c r="AG71" s="277"/>
      <c r="AH71" s="277"/>
      <c r="AI71" s="277"/>
      <c r="AJ71" s="787">
        <f t="shared" si="66"/>
        <v>121.514</v>
      </c>
      <c r="AK71" s="788">
        <f t="shared" si="67"/>
        <v>4233.9340000000002</v>
      </c>
      <c r="AL71" s="789">
        <f t="shared" si="46"/>
        <v>14301.250999999997</v>
      </c>
      <c r="AM71" s="787">
        <f t="shared" si="47"/>
        <v>1057.0359999999996</v>
      </c>
      <c r="AN71" s="787">
        <f t="shared" si="48"/>
        <v>2185.1770000000001</v>
      </c>
      <c r="AO71" s="787">
        <f t="shared" si="49"/>
        <v>1755.2329999999997</v>
      </c>
      <c r="AP71" s="787">
        <f t="shared" si="50"/>
        <v>911.89499999999998</v>
      </c>
      <c r="AQ71" s="787">
        <f t="shared" si="68"/>
        <v>5909.3410000000003</v>
      </c>
      <c r="AR71" s="788">
        <f t="shared" si="69"/>
        <v>20210.591999999997</v>
      </c>
      <c r="AS71" s="395"/>
      <c r="AT71" s="509">
        <v>-3225.4920000000002</v>
      </c>
      <c r="AU71" s="277">
        <v>-251.04400000000001</v>
      </c>
      <c r="AV71" s="277">
        <v>-924.76599999999996</v>
      </c>
      <c r="AW71" s="277">
        <v>-553.58600000000001</v>
      </c>
      <c r="AX71" s="277">
        <v>12.807</v>
      </c>
      <c r="AY71" s="787">
        <f t="shared" si="70"/>
        <v>-1716.5889999999999</v>
      </c>
      <c r="AZ71" s="788">
        <f t="shared" si="71"/>
        <v>-4942.0810000000001</v>
      </c>
      <c r="BA71" s="509">
        <v>-1735.854</v>
      </c>
      <c r="BB71" s="277">
        <v>-15.039</v>
      </c>
      <c r="BC71" s="277">
        <v>-304.08499999999998</v>
      </c>
      <c r="BD71" s="277">
        <v>-114.002</v>
      </c>
      <c r="BE71" s="277"/>
      <c r="BF71" s="787">
        <f t="shared" si="72"/>
        <v>-433.12599999999998</v>
      </c>
      <c r="BG71" s="788">
        <f t="shared" si="73"/>
        <v>-2168.98</v>
      </c>
      <c r="BH71" s="509">
        <v>-528.14300000000003</v>
      </c>
      <c r="BI71" s="277">
        <v>6.5419999999999998</v>
      </c>
      <c r="BJ71" s="277">
        <v>11.141</v>
      </c>
      <c r="BK71" s="277">
        <v>-0.89500000000000002</v>
      </c>
      <c r="BL71" s="277"/>
      <c r="BM71" s="787">
        <f t="shared" si="74"/>
        <v>16.788</v>
      </c>
      <c r="BN71" s="788">
        <f t="shared" si="75"/>
        <v>-511.35500000000002</v>
      </c>
      <c r="BO71" s="509">
        <v>-965.13900000000001</v>
      </c>
      <c r="BP71" s="277">
        <v>-177.239</v>
      </c>
      <c r="BQ71" s="277">
        <v>-248.94300000000001</v>
      </c>
      <c r="BR71" s="277">
        <v>-312.71600000000001</v>
      </c>
      <c r="BS71" s="277"/>
      <c r="BT71" s="787">
        <f t="shared" si="76"/>
        <v>-738.89800000000002</v>
      </c>
      <c r="BU71" s="788">
        <f t="shared" si="77"/>
        <v>-1704.037</v>
      </c>
      <c r="BV71" s="509">
        <v>-91.602999999999994</v>
      </c>
      <c r="BW71" s="277">
        <v>-2.7080000000000002</v>
      </c>
      <c r="BX71" s="277"/>
      <c r="BY71" s="277"/>
      <c r="BZ71" s="277"/>
      <c r="CA71" s="787">
        <f t="shared" si="78"/>
        <v>-2.7080000000000002</v>
      </c>
      <c r="CB71" s="788">
        <f t="shared" si="79"/>
        <v>-94.310999999999993</v>
      </c>
      <c r="CC71" s="789">
        <f t="shared" si="51"/>
        <v>95.247000000000298</v>
      </c>
      <c r="CD71" s="787">
        <f t="shared" si="52"/>
        <v>-62.600000000000023</v>
      </c>
      <c r="CE71" s="787">
        <f t="shared" si="53"/>
        <v>-382.87900000000002</v>
      </c>
      <c r="CF71" s="787">
        <f t="shared" si="54"/>
        <v>-125.97300000000001</v>
      </c>
      <c r="CG71" s="787">
        <f t="shared" si="55"/>
        <v>12.807</v>
      </c>
      <c r="CH71" s="787">
        <f t="shared" si="80"/>
        <v>-558.64499999999998</v>
      </c>
      <c r="CI71" s="788">
        <f t="shared" si="81"/>
        <v>-463.39799999999968</v>
      </c>
    </row>
    <row r="72" spans="1:87">
      <c r="A72" s="265">
        <f t="shared" si="56"/>
        <v>2020</v>
      </c>
      <c r="B72" s="263">
        <f t="shared" si="57"/>
        <v>44012</v>
      </c>
      <c r="C72" s="509">
        <v>13814.132</v>
      </c>
      <c r="D72" s="277">
        <v>574.12099999999998</v>
      </c>
      <c r="E72" s="277">
        <v>2335.9789999999998</v>
      </c>
      <c r="F72" s="277">
        <v>2360.9259999999999</v>
      </c>
      <c r="G72" s="277">
        <v>1369.75</v>
      </c>
      <c r="H72" s="787">
        <f t="shared" si="58"/>
        <v>6640.7759999999998</v>
      </c>
      <c r="I72" s="788">
        <f t="shared" si="59"/>
        <v>20454.907999999999</v>
      </c>
      <c r="J72" s="509">
        <v>1414.451</v>
      </c>
      <c r="K72" s="277">
        <v>50.526000000000003</v>
      </c>
      <c r="L72" s="277">
        <v>99.840999999999994</v>
      </c>
      <c r="M72" s="277">
        <v>57.234000000000002</v>
      </c>
      <c r="N72" s="277"/>
      <c r="O72" s="787">
        <f t="shared" si="60"/>
        <v>207.601</v>
      </c>
      <c r="P72" s="788">
        <f t="shared" si="61"/>
        <v>1622.0520000000001</v>
      </c>
      <c r="Q72" s="509">
        <v>1207.8810000000001</v>
      </c>
      <c r="R72" s="277">
        <v>38.103999999999999</v>
      </c>
      <c r="S72" s="277">
        <v>168.16300000000001</v>
      </c>
      <c r="T72" s="277">
        <v>57.975000000000001</v>
      </c>
      <c r="U72" s="277"/>
      <c r="V72" s="787">
        <f t="shared" si="62"/>
        <v>264.24200000000002</v>
      </c>
      <c r="W72" s="788">
        <f t="shared" si="63"/>
        <v>1472.123</v>
      </c>
      <c r="X72" s="509">
        <v>925.84299999999996</v>
      </c>
      <c r="Y72" s="277">
        <v>73.126000000000005</v>
      </c>
      <c r="Z72" s="277">
        <v>219.28200000000001</v>
      </c>
      <c r="AA72" s="277">
        <v>257.22500000000002</v>
      </c>
      <c r="AB72" s="277"/>
      <c r="AC72" s="787">
        <f t="shared" si="64"/>
        <v>549.63300000000004</v>
      </c>
      <c r="AD72" s="788">
        <f t="shared" si="65"/>
        <v>1475.4760000000001</v>
      </c>
      <c r="AE72" s="509">
        <v>1007.273</v>
      </c>
      <c r="AF72" s="277">
        <v>0.40300000000000002</v>
      </c>
      <c r="AG72" s="277"/>
      <c r="AH72" s="277"/>
      <c r="AI72" s="277"/>
      <c r="AJ72" s="787">
        <f t="shared" si="66"/>
        <v>0.40300000000000002</v>
      </c>
      <c r="AK72" s="788">
        <f t="shared" si="67"/>
        <v>1007.676</v>
      </c>
      <c r="AL72" s="789">
        <f t="shared" si="46"/>
        <v>9258.6839999999993</v>
      </c>
      <c r="AM72" s="787">
        <f t="shared" si="47"/>
        <v>411.96199999999999</v>
      </c>
      <c r="AN72" s="787">
        <f t="shared" si="48"/>
        <v>1848.6929999999998</v>
      </c>
      <c r="AO72" s="787">
        <f t="shared" si="49"/>
        <v>1988.492</v>
      </c>
      <c r="AP72" s="787">
        <f t="shared" si="50"/>
        <v>1369.75</v>
      </c>
      <c r="AQ72" s="787">
        <f t="shared" si="68"/>
        <v>5618.8969999999999</v>
      </c>
      <c r="AR72" s="788">
        <f t="shared" si="69"/>
        <v>14877.580999999998</v>
      </c>
      <c r="AS72" s="395"/>
      <c r="AT72" s="509">
        <v>-8060.3680000000004</v>
      </c>
      <c r="AU72" s="277">
        <v>-432.40300000000002</v>
      </c>
      <c r="AV72" s="277">
        <v>-1134.7729999999999</v>
      </c>
      <c r="AW72" s="277">
        <v>-720.02499999999998</v>
      </c>
      <c r="AX72" s="277">
        <v>382.66199999999998</v>
      </c>
      <c r="AY72" s="787">
        <f t="shared" si="70"/>
        <v>-1904.539</v>
      </c>
      <c r="AZ72" s="788">
        <f t="shared" si="71"/>
        <v>-9964.9070000000011</v>
      </c>
      <c r="BA72" s="509">
        <v>-1538.58</v>
      </c>
      <c r="BB72" s="277">
        <v>-179.16300000000001</v>
      </c>
      <c r="BC72" s="277">
        <v>-238.928</v>
      </c>
      <c r="BD72" s="277">
        <v>-11.343</v>
      </c>
      <c r="BE72" s="277"/>
      <c r="BF72" s="787">
        <f t="shared" si="72"/>
        <v>-429.43400000000003</v>
      </c>
      <c r="BG72" s="788">
        <f t="shared" si="73"/>
        <v>-1968.0139999999999</v>
      </c>
      <c r="BH72" s="509">
        <v>-4572.5959999999995</v>
      </c>
      <c r="BI72" s="277">
        <v>-115.20699999999999</v>
      </c>
      <c r="BJ72" s="277">
        <v>-653.33600000000001</v>
      </c>
      <c r="BK72" s="277">
        <v>-350.73700000000002</v>
      </c>
      <c r="BL72" s="277"/>
      <c r="BM72" s="787">
        <f t="shared" si="74"/>
        <v>-1119.28</v>
      </c>
      <c r="BN72" s="788">
        <f t="shared" si="75"/>
        <v>-5691.8759999999993</v>
      </c>
      <c r="BO72" s="509">
        <v>-1100.396</v>
      </c>
      <c r="BP72" s="277">
        <v>-76.997</v>
      </c>
      <c r="BQ72" s="277">
        <v>-93.635999999999996</v>
      </c>
      <c r="BR72" s="277">
        <v>-354.86700000000002</v>
      </c>
      <c r="BS72" s="277"/>
      <c r="BT72" s="787">
        <f t="shared" si="76"/>
        <v>-525.5</v>
      </c>
      <c r="BU72" s="788">
        <f t="shared" si="77"/>
        <v>-1625.896</v>
      </c>
      <c r="BV72" s="509">
        <v>-914.57799999999997</v>
      </c>
      <c r="BW72" s="277">
        <v>-0.36299999999999999</v>
      </c>
      <c r="BX72" s="277"/>
      <c r="BY72" s="277"/>
      <c r="BZ72" s="277"/>
      <c r="CA72" s="787">
        <f t="shared" si="78"/>
        <v>-0.36299999999999999</v>
      </c>
      <c r="CB72" s="788">
        <f t="shared" si="79"/>
        <v>-914.94100000000003</v>
      </c>
      <c r="CC72" s="789">
        <f t="shared" si="51"/>
        <v>65.781999999999243</v>
      </c>
      <c r="CD72" s="787">
        <f t="shared" si="52"/>
        <v>-60.673000000000002</v>
      </c>
      <c r="CE72" s="787">
        <f t="shared" si="53"/>
        <v>-148.87299999999993</v>
      </c>
      <c r="CF72" s="787">
        <f t="shared" si="54"/>
        <v>-3.0779999999998608</v>
      </c>
      <c r="CG72" s="787">
        <f t="shared" si="55"/>
        <v>382.66199999999998</v>
      </c>
      <c r="CH72" s="787">
        <f t="shared" si="80"/>
        <v>170.03800000000018</v>
      </c>
      <c r="CI72" s="788">
        <f t="shared" si="81"/>
        <v>235.81999999999942</v>
      </c>
    </row>
    <row r="73" spans="1:87">
      <c r="A73" s="265">
        <f t="shared" si="56"/>
        <v>2020</v>
      </c>
      <c r="B73" s="263">
        <f t="shared" si="57"/>
        <v>44104</v>
      </c>
      <c r="C73" s="509">
        <v>19626.151000000002</v>
      </c>
      <c r="D73" s="277">
        <v>1211.029</v>
      </c>
      <c r="E73" s="277">
        <v>3037.3679999999999</v>
      </c>
      <c r="F73" s="277">
        <v>2550.5419999999999</v>
      </c>
      <c r="G73" s="277">
        <v>1205.922</v>
      </c>
      <c r="H73" s="787">
        <f t="shared" si="58"/>
        <v>8004.8610000000008</v>
      </c>
      <c r="I73" s="788">
        <f t="shared" si="59"/>
        <v>27631.012000000002</v>
      </c>
      <c r="J73" s="509">
        <v>2706.26</v>
      </c>
      <c r="K73" s="277">
        <v>222.785</v>
      </c>
      <c r="L73" s="277">
        <v>140.636</v>
      </c>
      <c r="M73" s="277">
        <v>102.586</v>
      </c>
      <c r="N73" s="277"/>
      <c r="O73" s="787">
        <f t="shared" si="60"/>
        <v>466.00700000000001</v>
      </c>
      <c r="P73" s="788">
        <f t="shared" si="61"/>
        <v>3172.2670000000003</v>
      </c>
      <c r="Q73" s="509">
        <v>2599.4949999999999</v>
      </c>
      <c r="R73" s="277">
        <v>116.95399999999999</v>
      </c>
      <c r="S73" s="277">
        <v>242.964</v>
      </c>
      <c r="T73" s="277">
        <v>105.295</v>
      </c>
      <c r="U73" s="277"/>
      <c r="V73" s="787">
        <f t="shared" si="62"/>
        <v>465.21300000000002</v>
      </c>
      <c r="W73" s="788">
        <f t="shared" si="63"/>
        <v>3064.7080000000001</v>
      </c>
      <c r="X73" s="509">
        <v>1671.673</v>
      </c>
      <c r="Y73" s="277">
        <v>169.37299999999999</v>
      </c>
      <c r="Z73" s="277">
        <v>365.05099999999999</v>
      </c>
      <c r="AA73" s="277">
        <v>282.726</v>
      </c>
      <c r="AB73" s="277"/>
      <c r="AC73" s="787">
        <f t="shared" si="64"/>
        <v>817.15</v>
      </c>
      <c r="AD73" s="788">
        <f t="shared" si="65"/>
        <v>2488.8229999999999</v>
      </c>
      <c r="AE73" s="509">
        <v>1773.269</v>
      </c>
      <c r="AF73" s="277">
        <v>19.806000000000001</v>
      </c>
      <c r="AG73" s="277"/>
      <c r="AH73" s="277"/>
      <c r="AI73" s="277"/>
      <c r="AJ73" s="787">
        <f t="shared" si="66"/>
        <v>19.806000000000001</v>
      </c>
      <c r="AK73" s="788">
        <f t="shared" si="67"/>
        <v>1793.075</v>
      </c>
      <c r="AL73" s="789">
        <f t="shared" si="46"/>
        <v>10875.454000000002</v>
      </c>
      <c r="AM73" s="787">
        <f t="shared" si="47"/>
        <v>682.11099999999999</v>
      </c>
      <c r="AN73" s="787">
        <f t="shared" si="48"/>
        <v>2288.7169999999996</v>
      </c>
      <c r="AO73" s="787">
        <f t="shared" si="49"/>
        <v>2059.9349999999999</v>
      </c>
      <c r="AP73" s="787">
        <f t="shared" si="50"/>
        <v>1205.922</v>
      </c>
      <c r="AQ73" s="787">
        <f t="shared" si="68"/>
        <v>6236.6849999999995</v>
      </c>
      <c r="AR73" s="788">
        <f t="shared" si="69"/>
        <v>17112.139000000003</v>
      </c>
      <c r="AS73" s="395"/>
      <c r="AT73" s="509">
        <v>-8804.8819999999996</v>
      </c>
      <c r="AU73" s="277">
        <v>-609.596</v>
      </c>
      <c r="AV73" s="277">
        <v>-763.41800000000001</v>
      </c>
      <c r="AW73" s="277">
        <v>-386.20499999999998</v>
      </c>
      <c r="AX73" s="277">
        <v>203.727</v>
      </c>
      <c r="AY73" s="787">
        <f t="shared" si="70"/>
        <v>-1555.492</v>
      </c>
      <c r="AZ73" s="788">
        <f t="shared" si="71"/>
        <v>-10360.374</v>
      </c>
      <c r="BA73" s="509">
        <v>-1476.828</v>
      </c>
      <c r="BB73" s="277">
        <v>-240.98599999999999</v>
      </c>
      <c r="BC73" s="277">
        <v>-385.24400000000003</v>
      </c>
      <c r="BD73" s="277">
        <v>-172.45599999999999</v>
      </c>
      <c r="BE73" s="277"/>
      <c r="BF73" s="787">
        <f t="shared" si="72"/>
        <v>-798.68600000000004</v>
      </c>
      <c r="BG73" s="788">
        <f t="shared" si="73"/>
        <v>-2275.5140000000001</v>
      </c>
      <c r="BH73" s="509">
        <v>-4526.4279999999999</v>
      </c>
      <c r="BI73" s="277">
        <v>-193.357</v>
      </c>
      <c r="BJ73" s="277">
        <v>-456.25400000000002</v>
      </c>
      <c r="BK73" s="277">
        <v>-205.303</v>
      </c>
      <c r="BL73" s="277"/>
      <c r="BM73" s="787">
        <f t="shared" si="74"/>
        <v>-854.91399999999999</v>
      </c>
      <c r="BN73" s="788">
        <f t="shared" si="75"/>
        <v>-5381.3419999999996</v>
      </c>
      <c r="BO73" s="509">
        <v>-1281.72</v>
      </c>
      <c r="BP73" s="277">
        <v>-120.35899999999999</v>
      </c>
      <c r="BQ73" s="277">
        <v>-220.08</v>
      </c>
      <c r="BR73" s="277">
        <v>-218.858</v>
      </c>
      <c r="BS73" s="277"/>
      <c r="BT73" s="787">
        <f t="shared" si="76"/>
        <v>-559.29700000000003</v>
      </c>
      <c r="BU73" s="788">
        <f t="shared" si="77"/>
        <v>-1841.0170000000001</v>
      </c>
      <c r="BV73" s="509">
        <v>-1143.876</v>
      </c>
      <c r="BW73" s="277">
        <v>-12.776999999999999</v>
      </c>
      <c r="BX73" s="277"/>
      <c r="BY73" s="277"/>
      <c r="BZ73" s="277"/>
      <c r="CA73" s="787">
        <f t="shared" si="78"/>
        <v>-12.776999999999999</v>
      </c>
      <c r="CB73" s="788">
        <f t="shared" si="79"/>
        <v>-1156.653</v>
      </c>
      <c r="CC73" s="789">
        <f t="shared" si="51"/>
        <v>-376.03000000000065</v>
      </c>
      <c r="CD73" s="787">
        <f t="shared" si="52"/>
        <v>-42.116999999999962</v>
      </c>
      <c r="CE73" s="787">
        <f t="shared" si="53"/>
        <v>298.15999999999997</v>
      </c>
      <c r="CF73" s="787">
        <f t="shared" si="54"/>
        <v>210.41199999999998</v>
      </c>
      <c r="CG73" s="787">
        <f t="shared" si="55"/>
        <v>203.727</v>
      </c>
      <c r="CH73" s="787">
        <f t="shared" si="80"/>
        <v>670.18200000000002</v>
      </c>
      <c r="CI73" s="788">
        <f t="shared" si="81"/>
        <v>294.15199999999936</v>
      </c>
    </row>
    <row r="74" spans="1:87">
      <c r="A74" s="265">
        <f t="shared" si="56"/>
        <v>2020</v>
      </c>
      <c r="B74" s="263">
        <f t="shared" si="57"/>
        <v>44196</v>
      </c>
      <c r="C74" s="509">
        <v>23410.025000000001</v>
      </c>
      <c r="D74" s="277">
        <v>2175.6959999999999</v>
      </c>
      <c r="E74" s="277">
        <v>3439.5709999999999</v>
      </c>
      <c r="F74" s="277">
        <v>2824.0990000000002</v>
      </c>
      <c r="G74" s="277">
        <v>1376.0219999999999</v>
      </c>
      <c r="H74" s="787">
        <f t="shared" si="58"/>
        <v>9815.387999999999</v>
      </c>
      <c r="I74" s="788">
        <f t="shared" si="59"/>
        <v>33225.413</v>
      </c>
      <c r="J74" s="509">
        <v>3145.0059999999999</v>
      </c>
      <c r="K74" s="277">
        <v>597.755</v>
      </c>
      <c r="L74" s="277">
        <v>142.83799999999999</v>
      </c>
      <c r="M74" s="277">
        <v>141.29499999999999</v>
      </c>
      <c r="N74" s="277"/>
      <c r="O74" s="787">
        <f t="shared" si="60"/>
        <v>881.88799999999992</v>
      </c>
      <c r="P74" s="788">
        <f t="shared" si="61"/>
        <v>4026.8939999999998</v>
      </c>
      <c r="Q74" s="509">
        <v>3273.3049999999998</v>
      </c>
      <c r="R74" s="277">
        <v>274.20299999999997</v>
      </c>
      <c r="S74" s="277">
        <v>284.166</v>
      </c>
      <c r="T74" s="277">
        <v>142.261</v>
      </c>
      <c r="U74" s="277"/>
      <c r="V74" s="787">
        <f t="shared" si="62"/>
        <v>700.62999999999988</v>
      </c>
      <c r="W74" s="788">
        <f t="shared" si="63"/>
        <v>3973.9349999999995</v>
      </c>
      <c r="X74" s="509">
        <v>2235.9859999999999</v>
      </c>
      <c r="Y74" s="277">
        <v>389.72500000000002</v>
      </c>
      <c r="Z74" s="277">
        <v>426.54199999999997</v>
      </c>
      <c r="AA74" s="277">
        <v>360.32499999999999</v>
      </c>
      <c r="AB74" s="277"/>
      <c r="AC74" s="787">
        <f t="shared" si="64"/>
        <v>1176.5920000000001</v>
      </c>
      <c r="AD74" s="788">
        <f t="shared" si="65"/>
        <v>3412.578</v>
      </c>
      <c r="AE74" s="509">
        <v>1971.0820000000001</v>
      </c>
      <c r="AF74" s="277">
        <v>42.293999999999997</v>
      </c>
      <c r="AG74" s="277"/>
      <c r="AH74" s="277"/>
      <c r="AI74" s="277"/>
      <c r="AJ74" s="787">
        <f t="shared" si="66"/>
        <v>42.293999999999997</v>
      </c>
      <c r="AK74" s="788">
        <f t="shared" si="67"/>
        <v>2013.3760000000002</v>
      </c>
      <c r="AL74" s="789">
        <f t="shared" si="46"/>
        <v>12784.646000000002</v>
      </c>
      <c r="AM74" s="787">
        <f t="shared" si="47"/>
        <v>871.71899999999982</v>
      </c>
      <c r="AN74" s="787">
        <f t="shared" si="48"/>
        <v>2586.0249999999996</v>
      </c>
      <c r="AO74" s="787">
        <f t="shared" si="49"/>
        <v>2180.2180000000003</v>
      </c>
      <c r="AP74" s="787">
        <f t="shared" si="50"/>
        <v>1376.0219999999999</v>
      </c>
      <c r="AQ74" s="787">
        <f t="shared" si="68"/>
        <v>7013.9839999999995</v>
      </c>
      <c r="AR74" s="788">
        <f t="shared" si="69"/>
        <v>19798.63</v>
      </c>
      <c r="AS74" s="395"/>
      <c r="AT74" s="509">
        <v>-4525.1880000000001</v>
      </c>
      <c r="AU74" s="277">
        <v>-601.50099999999998</v>
      </c>
      <c r="AV74" s="277">
        <v>-715.71100000000001</v>
      </c>
      <c r="AW74" s="277">
        <v>-96.463999999999999</v>
      </c>
      <c r="AX74" s="277">
        <v>295.46199999999999</v>
      </c>
      <c r="AY74" s="787">
        <f t="shared" si="70"/>
        <v>-1118.2139999999999</v>
      </c>
      <c r="AZ74" s="788">
        <f t="shared" si="71"/>
        <v>-5643.402</v>
      </c>
      <c r="BA74" s="509">
        <v>-1601.905</v>
      </c>
      <c r="BB74" s="277">
        <v>-249.328</v>
      </c>
      <c r="BC74" s="277">
        <v>-148.488</v>
      </c>
      <c r="BD74" s="277">
        <v>-37.290999999999997</v>
      </c>
      <c r="BE74" s="277"/>
      <c r="BF74" s="787">
        <f t="shared" si="72"/>
        <v>-435.10700000000003</v>
      </c>
      <c r="BG74" s="788">
        <f t="shared" si="73"/>
        <v>-2037.0119999999999</v>
      </c>
      <c r="BH74" s="509">
        <v>-760.78599999999994</v>
      </c>
      <c r="BI74" s="277">
        <v>-3.883</v>
      </c>
      <c r="BJ74" s="277">
        <v>-29.594999999999999</v>
      </c>
      <c r="BK74" s="277">
        <v>1.2669999999999999</v>
      </c>
      <c r="BL74" s="277"/>
      <c r="BM74" s="787">
        <f t="shared" si="74"/>
        <v>-32.210999999999999</v>
      </c>
      <c r="BN74" s="788">
        <f t="shared" si="75"/>
        <v>-792.99699999999996</v>
      </c>
      <c r="BO74" s="509">
        <v>-1230.614</v>
      </c>
      <c r="BP74" s="277">
        <v>-224.59</v>
      </c>
      <c r="BQ74" s="277">
        <v>-284.81400000000002</v>
      </c>
      <c r="BR74" s="277">
        <v>-156.44800000000001</v>
      </c>
      <c r="BS74" s="277"/>
      <c r="BT74" s="787">
        <f t="shared" si="76"/>
        <v>-665.85199999999998</v>
      </c>
      <c r="BU74" s="788">
        <f t="shared" si="77"/>
        <v>-1896.4659999999999</v>
      </c>
      <c r="BV74" s="509">
        <v>-889.32399999999996</v>
      </c>
      <c r="BW74" s="277">
        <v>-19.085999999999999</v>
      </c>
      <c r="BX74" s="277"/>
      <c r="BY74" s="277"/>
      <c r="BZ74" s="277"/>
      <c r="CA74" s="787">
        <f t="shared" si="78"/>
        <v>-19.085999999999999</v>
      </c>
      <c r="CB74" s="788">
        <f t="shared" si="79"/>
        <v>-908.41</v>
      </c>
      <c r="CC74" s="789">
        <f t="shared" si="51"/>
        <v>-42.559000000000196</v>
      </c>
      <c r="CD74" s="787">
        <f t="shared" si="52"/>
        <v>-104.61399999999992</v>
      </c>
      <c r="CE74" s="787">
        <f t="shared" si="53"/>
        <v>-252.81399999999996</v>
      </c>
      <c r="CF74" s="787">
        <f t="shared" si="54"/>
        <v>96.00800000000001</v>
      </c>
      <c r="CG74" s="787">
        <f t="shared" si="55"/>
        <v>295.46199999999999</v>
      </c>
      <c r="CH74" s="787">
        <f t="shared" si="80"/>
        <v>34.042000000000144</v>
      </c>
      <c r="CI74" s="788">
        <f t="shared" si="81"/>
        <v>-8.5170000000000528</v>
      </c>
    </row>
    <row r="75" spans="1:87">
      <c r="A75" s="265">
        <f t="shared" si="56"/>
        <v>2021</v>
      </c>
      <c r="B75" s="263">
        <f t="shared" si="57"/>
        <v>44286</v>
      </c>
      <c r="C75" s="509">
        <v>22935.279999999999</v>
      </c>
      <c r="D75" s="277">
        <v>2193.5459999999998</v>
      </c>
      <c r="E75" s="277">
        <v>3404.7089999999998</v>
      </c>
      <c r="F75" s="277">
        <v>2740.5509999999999</v>
      </c>
      <c r="G75" s="277">
        <v>1308.7940000000001</v>
      </c>
      <c r="H75" s="787">
        <f t="shared" si="58"/>
        <v>9647.5999999999985</v>
      </c>
      <c r="I75" s="788">
        <f t="shared" si="59"/>
        <v>32582.879999999997</v>
      </c>
      <c r="J75" s="509">
        <v>3100.74</v>
      </c>
      <c r="K75" s="277">
        <v>629.69899999999996</v>
      </c>
      <c r="L75" s="277">
        <v>138.99100000000001</v>
      </c>
      <c r="M75" s="277">
        <v>138.06800000000001</v>
      </c>
      <c r="N75" s="277"/>
      <c r="O75" s="787">
        <f t="shared" si="60"/>
        <v>906.75799999999992</v>
      </c>
      <c r="P75" s="788">
        <f t="shared" si="61"/>
        <v>4007.4979999999996</v>
      </c>
      <c r="Q75" s="509">
        <v>3448.3739999999998</v>
      </c>
      <c r="R75" s="277">
        <v>311.23</v>
      </c>
      <c r="S75" s="277">
        <v>262.69400000000002</v>
      </c>
      <c r="T75" s="277">
        <v>130.36199999999999</v>
      </c>
      <c r="U75" s="277"/>
      <c r="V75" s="787">
        <f t="shared" si="62"/>
        <v>704.28599999999994</v>
      </c>
      <c r="W75" s="788">
        <f t="shared" si="63"/>
        <v>4152.66</v>
      </c>
      <c r="X75" s="509">
        <v>2111.3440000000001</v>
      </c>
      <c r="Y75" s="277">
        <v>391.53800000000001</v>
      </c>
      <c r="Z75" s="277">
        <v>409.904</v>
      </c>
      <c r="AA75" s="277">
        <v>307.81599999999997</v>
      </c>
      <c r="AB75" s="277"/>
      <c r="AC75" s="787">
        <f t="shared" si="64"/>
        <v>1109.258</v>
      </c>
      <c r="AD75" s="788">
        <f t="shared" si="65"/>
        <v>3220.6019999999999</v>
      </c>
      <c r="AE75" s="509">
        <v>2002.9380000000001</v>
      </c>
      <c r="AF75" s="277">
        <v>48.686</v>
      </c>
      <c r="AG75" s="277"/>
      <c r="AH75" s="277"/>
      <c r="AI75" s="277"/>
      <c r="AJ75" s="787">
        <f t="shared" si="66"/>
        <v>48.686</v>
      </c>
      <c r="AK75" s="788">
        <f t="shared" si="67"/>
        <v>2051.6240000000003</v>
      </c>
      <c r="AL75" s="789">
        <f t="shared" si="46"/>
        <v>12271.884</v>
      </c>
      <c r="AM75" s="787">
        <f t="shared" si="47"/>
        <v>812.3929999999998</v>
      </c>
      <c r="AN75" s="787">
        <f t="shared" si="48"/>
        <v>2593.12</v>
      </c>
      <c r="AO75" s="787">
        <f t="shared" si="49"/>
        <v>2164.3049999999998</v>
      </c>
      <c r="AP75" s="787">
        <f t="shared" si="50"/>
        <v>1308.7940000000001</v>
      </c>
      <c r="AQ75" s="787">
        <f t="shared" si="68"/>
        <v>6878.6119999999992</v>
      </c>
      <c r="AR75" s="788">
        <f t="shared" si="69"/>
        <v>19150.495999999999</v>
      </c>
      <c r="AS75" s="395"/>
      <c r="AT75" s="509">
        <v>-1356.279</v>
      </c>
      <c r="AU75" s="277">
        <v>-1441.636</v>
      </c>
      <c r="AV75" s="277">
        <v>-411.565</v>
      </c>
      <c r="AW75" s="277">
        <v>-351.96899999999999</v>
      </c>
      <c r="AX75" s="277">
        <v>195.99199999999999</v>
      </c>
      <c r="AY75" s="787">
        <f t="shared" si="70"/>
        <v>-2009.1780000000001</v>
      </c>
      <c r="AZ75" s="788">
        <f t="shared" si="71"/>
        <v>-3365.4570000000003</v>
      </c>
      <c r="BA75" s="509">
        <v>-151.95699999999999</v>
      </c>
      <c r="BB75" s="277">
        <v>-856.83199999999999</v>
      </c>
      <c r="BC75" s="277">
        <v>-137.161</v>
      </c>
      <c r="BD75" s="277">
        <v>-69.665999999999997</v>
      </c>
      <c r="BE75" s="277"/>
      <c r="BF75" s="787">
        <f t="shared" si="72"/>
        <v>-1063.6589999999999</v>
      </c>
      <c r="BG75" s="788">
        <f t="shared" si="73"/>
        <v>-1215.616</v>
      </c>
      <c r="BH75" s="509">
        <v>-941.39200000000005</v>
      </c>
      <c r="BI75" s="277">
        <v>-166.685</v>
      </c>
      <c r="BJ75" s="277">
        <v>-52.744999999999997</v>
      </c>
      <c r="BK75" s="277">
        <v>-20.585999999999999</v>
      </c>
      <c r="BL75" s="277"/>
      <c r="BM75" s="787">
        <f t="shared" si="74"/>
        <v>-240.01600000000002</v>
      </c>
      <c r="BN75" s="788">
        <f t="shared" si="75"/>
        <v>-1181.4080000000001</v>
      </c>
      <c r="BO75" s="509">
        <v>-924.15099999999995</v>
      </c>
      <c r="BP75" s="277">
        <v>-200.488</v>
      </c>
      <c r="BQ75" s="277">
        <v>-92.668000000000006</v>
      </c>
      <c r="BR75" s="277">
        <v>-139.42099999999999</v>
      </c>
      <c r="BS75" s="277"/>
      <c r="BT75" s="787">
        <f t="shared" si="76"/>
        <v>-432.577</v>
      </c>
      <c r="BU75" s="788">
        <f t="shared" si="77"/>
        <v>-1356.7280000000001</v>
      </c>
      <c r="BV75" s="509">
        <v>112.86799999999999</v>
      </c>
      <c r="BW75" s="277">
        <v>2.7450000000000001</v>
      </c>
      <c r="BX75" s="277"/>
      <c r="BY75" s="277"/>
      <c r="BZ75" s="277"/>
      <c r="CA75" s="787">
        <f t="shared" si="78"/>
        <v>2.7450000000000001</v>
      </c>
      <c r="CB75" s="788">
        <f t="shared" si="79"/>
        <v>115.613</v>
      </c>
      <c r="CC75" s="789">
        <f t="shared" si="51"/>
        <v>548.35300000000007</v>
      </c>
      <c r="CD75" s="787">
        <f t="shared" si="52"/>
        <v>-220.37599999999975</v>
      </c>
      <c r="CE75" s="787">
        <f t="shared" si="53"/>
        <v>-128.99099999999999</v>
      </c>
      <c r="CF75" s="787">
        <f t="shared" si="54"/>
        <v>-122.29599999999999</v>
      </c>
      <c r="CG75" s="787">
        <f t="shared" si="55"/>
        <v>195.99199999999999</v>
      </c>
      <c r="CH75" s="787">
        <f t="shared" si="80"/>
        <v>-275.67099999999971</v>
      </c>
      <c r="CI75" s="788">
        <f t="shared" si="81"/>
        <v>272.68200000000036</v>
      </c>
    </row>
    <row r="76" spans="1:87">
      <c r="A76" s="265">
        <f t="shared" si="56"/>
        <v>2021</v>
      </c>
      <c r="B76" s="263">
        <f t="shared" si="57"/>
        <v>44377</v>
      </c>
      <c r="C76" s="509">
        <v>35028.552000000003</v>
      </c>
      <c r="D76" s="277">
        <v>3570.739</v>
      </c>
      <c r="E76" s="277">
        <v>3870.5819999999999</v>
      </c>
      <c r="F76" s="277">
        <v>3146.913</v>
      </c>
      <c r="G76" s="277">
        <v>1538.078</v>
      </c>
      <c r="H76" s="787">
        <f t="shared" si="58"/>
        <v>12126.312</v>
      </c>
      <c r="I76" s="788">
        <f t="shared" si="59"/>
        <v>47154.864000000001</v>
      </c>
      <c r="J76" s="509">
        <v>5971.8969999999999</v>
      </c>
      <c r="K76" s="277">
        <v>1092.729</v>
      </c>
      <c r="L76" s="277">
        <v>280.44099999999997</v>
      </c>
      <c r="M76" s="277">
        <v>132.92599999999999</v>
      </c>
      <c r="N76" s="277"/>
      <c r="O76" s="787">
        <f t="shared" si="60"/>
        <v>1506.096</v>
      </c>
      <c r="P76" s="788">
        <f t="shared" si="61"/>
        <v>7477.9930000000004</v>
      </c>
      <c r="Q76" s="509">
        <v>5994.8069999999998</v>
      </c>
      <c r="R76" s="277">
        <v>519.05399999999997</v>
      </c>
      <c r="S76" s="277">
        <v>446.262</v>
      </c>
      <c r="T76" s="277">
        <v>168.173</v>
      </c>
      <c r="U76" s="277"/>
      <c r="V76" s="787">
        <f t="shared" si="62"/>
        <v>1133.489</v>
      </c>
      <c r="W76" s="788">
        <f t="shared" si="63"/>
        <v>7128.2960000000003</v>
      </c>
      <c r="X76" s="509">
        <v>3766.732</v>
      </c>
      <c r="Y76" s="277">
        <v>727.57</v>
      </c>
      <c r="Z76" s="277">
        <v>585.57000000000005</v>
      </c>
      <c r="AA76" s="277">
        <v>391.80599999999998</v>
      </c>
      <c r="AB76" s="277"/>
      <c r="AC76" s="787">
        <f t="shared" si="64"/>
        <v>1704.9460000000001</v>
      </c>
      <c r="AD76" s="788">
        <f t="shared" si="65"/>
        <v>5471.6779999999999</v>
      </c>
      <c r="AE76" s="509">
        <v>3881.3420000000001</v>
      </c>
      <c r="AF76" s="277">
        <v>126.602</v>
      </c>
      <c r="AG76" s="277"/>
      <c r="AH76" s="277"/>
      <c r="AI76" s="277"/>
      <c r="AJ76" s="787">
        <f t="shared" si="66"/>
        <v>126.602</v>
      </c>
      <c r="AK76" s="788">
        <f t="shared" si="67"/>
        <v>4007.944</v>
      </c>
      <c r="AL76" s="789">
        <f t="shared" si="46"/>
        <v>15413.774000000005</v>
      </c>
      <c r="AM76" s="787">
        <f t="shared" si="47"/>
        <v>1104.7840000000001</v>
      </c>
      <c r="AN76" s="787">
        <f t="shared" si="48"/>
        <v>2558.3089999999997</v>
      </c>
      <c r="AO76" s="787">
        <f t="shared" si="49"/>
        <v>2454.0079999999998</v>
      </c>
      <c r="AP76" s="787">
        <f t="shared" si="50"/>
        <v>1538.078</v>
      </c>
      <c r="AQ76" s="787">
        <f t="shared" si="68"/>
        <v>7655.1790000000001</v>
      </c>
      <c r="AR76" s="788">
        <f t="shared" si="69"/>
        <v>23068.953000000005</v>
      </c>
      <c r="AS76" s="395"/>
      <c r="AT76" s="509">
        <v>2801.2629999999999</v>
      </c>
      <c r="AU76" s="277">
        <v>-251.74</v>
      </c>
      <c r="AV76" s="277">
        <v>-706.84299999999996</v>
      </c>
      <c r="AW76" s="277">
        <v>-64.73</v>
      </c>
      <c r="AX76" s="277">
        <v>210.55600000000001</v>
      </c>
      <c r="AY76" s="787">
        <f t="shared" si="70"/>
        <v>-812.75699999999995</v>
      </c>
      <c r="AZ76" s="788">
        <f t="shared" si="71"/>
        <v>1988.5059999999999</v>
      </c>
      <c r="BA76" s="509">
        <v>656.548</v>
      </c>
      <c r="BB76" s="277">
        <v>-175.77099999999999</v>
      </c>
      <c r="BC76" s="277">
        <v>-369.22899999999998</v>
      </c>
      <c r="BD76" s="277">
        <v>-60.649000000000001</v>
      </c>
      <c r="BE76" s="277"/>
      <c r="BF76" s="787">
        <f t="shared" si="72"/>
        <v>-605.649</v>
      </c>
      <c r="BG76" s="788">
        <f t="shared" si="73"/>
        <v>50.899000000000001</v>
      </c>
      <c r="BH76" s="509">
        <v>553.96400000000006</v>
      </c>
      <c r="BI76" s="277">
        <v>59.991</v>
      </c>
      <c r="BJ76" s="277">
        <v>30.22</v>
      </c>
      <c r="BK76" s="277">
        <v>-3.0840000000000001</v>
      </c>
      <c r="BL76" s="277"/>
      <c r="BM76" s="787">
        <f t="shared" si="74"/>
        <v>87.126999999999995</v>
      </c>
      <c r="BN76" s="788">
        <f t="shared" si="75"/>
        <v>641.09100000000001</v>
      </c>
      <c r="BO76" s="509">
        <v>-143.50700000000001</v>
      </c>
      <c r="BP76" s="277">
        <v>-117.682</v>
      </c>
      <c r="BQ76" s="277">
        <v>-59.301000000000002</v>
      </c>
      <c r="BR76" s="277">
        <v>-113.336</v>
      </c>
      <c r="BS76" s="277"/>
      <c r="BT76" s="787">
        <f t="shared" si="76"/>
        <v>-290.31900000000002</v>
      </c>
      <c r="BU76" s="788">
        <f t="shared" si="77"/>
        <v>-433.82600000000002</v>
      </c>
      <c r="BV76" s="509">
        <v>336.75200000000001</v>
      </c>
      <c r="BW76" s="277">
        <v>10.986000000000001</v>
      </c>
      <c r="BX76" s="277"/>
      <c r="BY76" s="277"/>
      <c r="BZ76" s="277"/>
      <c r="CA76" s="787">
        <f t="shared" si="78"/>
        <v>10.986000000000001</v>
      </c>
      <c r="CB76" s="788">
        <f t="shared" si="79"/>
        <v>347.738</v>
      </c>
      <c r="CC76" s="789">
        <f t="shared" si="51"/>
        <v>1397.5059999999999</v>
      </c>
      <c r="CD76" s="787">
        <f t="shared" si="52"/>
        <v>-29.26400000000001</v>
      </c>
      <c r="CE76" s="787">
        <f t="shared" si="53"/>
        <v>-308.53299999999996</v>
      </c>
      <c r="CF76" s="787">
        <f t="shared" si="54"/>
        <v>112.33900000000001</v>
      </c>
      <c r="CG76" s="787">
        <f t="shared" si="55"/>
        <v>210.55600000000001</v>
      </c>
      <c r="CH76" s="787">
        <f t="shared" si="80"/>
        <v>-14.901999999999958</v>
      </c>
      <c r="CI76" s="788">
        <f t="shared" si="81"/>
        <v>1382.6039999999998</v>
      </c>
    </row>
    <row r="77" spans="1:87" ht="10.9" thickBot="1">
      <c r="A77" s="265">
        <f t="shared" si="56"/>
        <v>2021</v>
      </c>
      <c r="B77" s="263">
        <f t="shared" si="57"/>
        <v>44469</v>
      </c>
      <c r="C77" s="777">
        <v>41044.531999999999</v>
      </c>
      <c r="D77" s="778">
        <v>4043.8580000000002</v>
      </c>
      <c r="E77" s="778">
        <v>5132.6360000000004</v>
      </c>
      <c r="F77" s="778">
        <v>3216.8919999999998</v>
      </c>
      <c r="G77" s="778">
        <v>1616.489</v>
      </c>
      <c r="H77" s="787">
        <f t="shared" si="58"/>
        <v>14009.875</v>
      </c>
      <c r="I77" s="788">
        <f t="shared" si="59"/>
        <v>55054.406999999999</v>
      </c>
      <c r="J77" s="777">
        <v>7118.5940000000001</v>
      </c>
      <c r="K77" s="778">
        <v>1108.135</v>
      </c>
      <c r="L77" s="778">
        <v>620.04700000000003</v>
      </c>
      <c r="M77" s="778">
        <v>121.48399999999999</v>
      </c>
      <c r="N77" s="778"/>
      <c r="O77" s="787">
        <f t="shared" si="60"/>
        <v>1849.6659999999999</v>
      </c>
      <c r="P77" s="788">
        <f t="shared" si="61"/>
        <v>8968.26</v>
      </c>
      <c r="Q77" s="777">
        <v>7412.24</v>
      </c>
      <c r="R77" s="778">
        <v>590.66</v>
      </c>
      <c r="S77" s="778">
        <v>935.45299999999997</v>
      </c>
      <c r="T77" s="778">
        <v>226.99600000000001</v>
      </c>
      <c r="U77" s="778"/>
      <c r="V77" s="787">
        <f t="shared" si="62"/>
        <v>1753.1089999999999</v>
      </c>
      <c r="W77" s="788">
        <f t="shared" si="63"/>
        <v>9165.3490000000002</v>
      </c>
      <c r="X77" s="777">
        <v>5411.71</v>
      </c>
      <c r="Y77" s="778">
        <v>848.822</v>
      </c>
      <c r="Z77" s="778">
        <v>1115.721</v>
      </c>
      <c r="AA77" s="778">
        <v>373.709</v>
      </c>
      <c r="AB77" s="778"/>
      <c r="AC77" s="787">
        <f t="shared" si="64"/>
        <v>2338.252</v>
      </c>
      <c r="AD77" s="788">
        <f t="shared" si="65"/>
        <v>7749.9619999999995</v>
      </c>
      <c r="AE77" s="777">
        <v>4526.607</v>
      </c>
      <c r="AF77" s="778">
        <v>152.77600000000001</v>
      </c>
      <c r="AG77" s="778"/>
      <c r="AH77" s="778"/>
      <c r="AI77" s="778"/>
      <c r="AJ77" s="787">
        <f t="shared" si="66"/>
        <v>152.77600000000001</v>
      </c>
      <c r="AK77" s="788">
        <f t="shared" si="67"/>
        <v>4679.3829999999998</v>
      </c>
      <c r="AL77" s="791">
        <f t="shared" si="46"/>
        <v>16575.381000000001</v>
      </c>
      <c r="AM77" s="790">
        <f t="shared" si="47"/>
        <v>1343.4650000000001</v>
      </c>
      <c r="AN77" s="790">
        <f t="shared" si="48"/>
        <v>2461.4150000000004</v>
      </c>
      <c r="AO77" s="790">
        <f t="shared" si="49"/>
        <v>2494.7029999999995</v>
      </c>
      <c r="AP77" s="790">
        <f t="shared" si="50"/>
        <v>1616.489</v>
      </c>
      <c r="AQ77" s="787">
        <f t="shared" si="68"/>
        <v>7916.0720000000001</v>
      </c>
      <c r="AR77" s="788">
        <f t="shared" si="69"/>
        <v>24491.453000000001</v>
      </c>
      <c r="AS77" s="395"/>
      <c r="AT77" s="777">
        <v>3640.2240000000002</v>
      </c>
      <c r="AU77" s="778">
        <v>160.77600000000001</v>
      </c>
      <c r="AV77" s="778">
        <v>-424.43200000000002</v>
      </c>
      <c r="AW77" s="778">
        <v>99.15</v>
      </c>
      <c r="AX77" s="778">
        <v>138.33500000000001</v>
      </c>
      <c r="AY77" s="787">
        <f t="shared" si="70"/>
        <v>-26.170999999999992</v>
      </c>
      <c r="AZ77" s="788">
        <f t="shared" si="71"/>
        <v>3614.0530000000003</v>
      </c>
      <c r="BA77" s="777">
        <v>654.88</v>
      </c>
      <c r="BB77" s="778">
        <v>-20.934000000000001</v>
      </c>
      <c r="BC77" s="778">
        <v>-321.40100000000001</v>
      </c>
      <c r="BD77" s="778">
        <v>-32.194000000000003</v>
      </c>
      <c r="BE77" s="778"/>
      <c r="BF77" s="787">
        <f t="shared" si="72"/>
        <v>-374.52900000000005</v>
      </c>
      <c r="BG77" s="788">
        <f t="shared" si="73"/>
        <v>280.35099999999994</v>
      </c>
      <c r="BH77" s="777">
        <v>861.47199999999998</v>
      </c>
      <c r="BI77" s="778">
        <v>117.536</v>
      </c>
      <c r="BJ77" s="778">
        <v>189.58600000000001</v>
      </c>
      <c r="BK77" s="778">
        <v>27.951000000000001</v>
      </c>
      <c r="BL77" s="778"/>
      <c r="BM77" s="787">
        <f t="shared" si="74"/>
        <v>335.07300000000004</v>
      </c>
      <c r="BN77" s="788">
        <f t="shared" si="75"/>
        <v>1196.5450000000001</v>
      </c>
      <c r="BO77" s="777">
        <v>360.40100000000001</v>
      </c>
      <c r="BP77" s="778">
        <v>14.342000000000001</v>
      </c>
      <c r="BQ77" s="778">
        <v>51.375999999999998</v>
      </c>
      <c r="BR77" s="778">
        <v>47.137999999999998</v>
      </c>
      <c r="BS77" s="778"/>
      <c r="BT77" s="787">
        <f t="shared" si="76"/>
        <v>112.85599999999999</v>
      </c>
      <c r="BU77" s="788">
        <f t="shared" si="77"/>
        <v>473.25700000000001</v>
      </c>
      <c r="BV77" s="777">
        <v>431.315</v>
      </c>
      <c r="BW77" s="778">
        <v>14.558</v>
      </c>
      <c r="BX77" s="778"/>
      <c r="BY77" s="778"/>
      <c r="BZ77" s="778"/>
      <c r="CA77" s="787">
        <f t="shared" si="78"/>
        <v>14.558</v>
      </c>
      <c r="CB77" s="788">
        <f t="shared" si="79"/>
        <v>445.87299999999999</v>
      </c>
      <c r="CC77" s="791">
        <f t="shared" si="51"/>
        <v>1332.1560000000004</v>
      </c>
      <c r="CD77" s="790">
        <f t="shared" si="52"/>
        <v>35.274000000000001</v>
      </c>
      <c r="CE77" s="790">
        <f t="shared" si="53"/>
        <v>-343.99300000000005</v>
      </c>
      <c r="CF77" s="790">
        <f t="shared" si="54"/>
        <v>56.25500000000001</v>
      </c>
      <c r="CG77" s="790">
        <f t="shared" si="55"/>
        <v>138.33500000000001</v>
      </c>
      <c r="CH77" s="787">
        <f t="shared" si="80"/>
        <v>-114.12900000000005</v>
      </c>
      <c r="CI77" s="788">
        <f t="shared" si="81"/>
        <v>1218.0270000000003</v>
      </c>
    </row>
  </sheetData>
  <hyperlinks>
    <hyperlink ref="C1" r:id="rId1" display="Operating Revenue (In Thousands of Dollars $000) (All U.S. Carriers - All regions)" xr:uid="{E957D9FB-DCF2-4055-8DDB-807D637E8D99}"/>
    <hyperlink ref="J1" r:id="rId2" display="Operating Revenue (In Thousands of Dollars $000) (All U.S. Carriers - All regions)" xr:uid="{28477416-35D3-470F-985C-19E477278BC4}"/>
    <hyperlink ref="Q1" r:id="rId3" display="Operating Revenue (In Thousands of Dollars $000) (All U.S. Carriers - All regions)" xr:uid="{81AE9FB8-23EB-4867-9D6C-416177AC627C}"/>
    <hyperlink ref="X1" r:id="rId4" display="Operating Revenue (In Thousands of Dollars $000) (All U.S. Carriers - All regions)" xr:uid="{238ECA3A-9B25-4ADF-9F3D-D2D01A03F694}"/>
    <hyperlink ref="AE1" r:id="rId5" display="Operating Revenue (In Thousands of Dollars $000) (All U.S. Carriers - All regions)" xr:uid="{EA5CF9CE-2944-47E4-BEF2-9CB673C34A76}"/>
    <hyperlink ref="AT1" r:id="rId6" display="Operating Revenue (In Thousands of Dollars $000) (All U.S. Carriers - All regions)" xr:uid="{E4C8EFEA-351A-4F8D-B2C1-1763F1F0FD92}"/>
    <hyperlink ref="BA1" r:id="rId7" display="Operating Revenue (In Thousands of Dollars $000) (All U.S. Carriers - All regions)" xr:uid="{07B7B27E-D25F-40EB-97FE-7A7A9F623D62}"/>
    <hyperlink ref="BH1" r:id="rId8" display="Operating Revenue (In Thousands of Dollars $000) (All U.S. Carriers - All regions)" xr:uid="{ACFFA153-30E0-4C7B-AB53-D6953223DAB4}"/>
    <hyperlink ref="BO1" r:id="rId9" display="Operating Revenue (In Thousands of Dollars $000) (All U.S. Carriers - All regions)" xr:uid="{B62A84F6-FC62-441C-8B5A-90742AB89DA3}"/>
    <hyperlink ref="BV1" r:id="rId10" display="Operating Revenue (In Thousands of Dollars $000) (All U.S. Carriers - All regions)" xr:uid="{124286C0-FF9E-4BBC-87DE-6F6B4A632829}"/>
    <hyperlink ref="AL1" r:id="rId11" display="Operating Revenue (In Thousands of Dollars $000) (All U.S. Carriers - All regions)" xr:uid="{F2294EF4-4B6D-4759-B696-92C32F24F8DC}"/>
    <hyperlink ref="CC1" r:id="rId12" display="Operating Revenue (In Thousands of Dollars $000) (All U.S. Carriers - All regions)" xr:uid="{573157A9-481D-47AC-B395-39940D6DE861}"/>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CA07-3CF3-4C31-AEF6-D213B5BE169E}">
  <sheetPr>
    <tabColor theme="3"/>
  </sheetPr>
  <dimension ref="A1:AF143"/>
  <sheetViews>
    <sheetView showGridLines="0" zoomScale="55" workbookViewId="0">
      <selection activeCell="AC32" sqref="AC32"/>
    </sheetView>
  </sheetViews>
  <sheetFormatPr defaultColWidth="8.796875" defaultRowHeight="10.5"/>
  <cols>
    <col min="1" max="8" width="8.796875" style="253"/>
    <col min="9" max="9" width="23.73046875" style="253" bestFit="1" customWidth="1"/>
    <col min="10" max="10" width="8.796875" style="253"/>
    <col min="11" max="11" width="0.46484375" style="1133" customWidth="1"/>
    <col min="12" max="12" width="8.796875" style="253"/>
    <col min="13" max="13" width="12.53125" style="253" bestFit="1" customWidth="1"/>
    <col min="14" max="21" width="8.796875" style="253"/>
    <col min="22" max="22" width="0.46484375" style="1133" customWidth="1"/>
    <col min="23" max="26" width="8.796875" style="253"/>
    <col min="27" max="27" width="10.19921875" style="253" bestFit="1" customWidth="1"/>
    <col min="28" max="28" width="11.46484375" style="253" bestFit="1" customWidth="1"/>
    <col min="29" max="29" width="11.46484375" style="253" customWidth="1"/>
    <col min="30" max="16384" width="8.796875" style="253"/>
  </cols>
  <sheetData>
    <row r="1" spans="1:32" ht="10.9" thickBot="1">
      <c r="A1" s="378" t="s">
        <v>1716</v>
      </c>
      <c r="K1" s="1132"/>
      <c r="V1" s="1132"/>
    </row>
    <row r="2" spans="1:32" ht="10.9" thickBot="1">
      <c r="A2" s="278"/>
      <c r="B2" s="1121" t="s">
        <v>1316</v>
      </c>
      <c r="C2" s="1123"/>
      <c r="D2" s="1122"/>
      <c r="E2" s="1122"/>
      <c r="F2" s="1122"/>
      <c r="G2" s="1122"/>
      <c r="H2" s="1122"/>
      <c r="I2" s="1123"/>
      <c r="M2" s="1121" t="s">
        <v>1314</v>
      </c>
      <c r="N2" s="1122"/>
      <c r="O2" s="1122"/>
      <c r="P2" s="1122"/>
      <c r="Q2" s="1122"/>
      <c r="R2" s="1123"/>
    </row>
    <row r="3" spans="1:32">
      <c r="B3" s="1124" t="s">
        <v>510</v>
      </c>
      <c r="C3" s="1125"/>
      <c r="D3" s="963"/>
      <c r="E3" s="963"/>
      <c r="F3" s="963"/>
      <c r="G3" s="963"/>
      <c r="H3" s="963"/>
      <c r="I3" s="1125"/>
      <c r="M3" s="1124" t="s">
        <v>510</v>
      </c>
      <c r="N3" s="963"/>
      <c r="O3" s="963"/>
      <c r="P3" s="963"/>
      <c r="Q3" s="963"/>
      <c r="R3" s="1125"/>
      <c r="X3" s="1139" t="s">
        <v>1315</v>
      </c>
      <c r="Y3" s="1139"/>
      <c r="Z3" s="1121"/>
      <c r="AA3" s="1121"/>
      <c r="AB3" s="1121"/>
      <c r="AC3" s="1121"/>
      <c r="AD3" s="1141"/>
      <c r="AE3" s="1122"/>
      <c r="AF3" s="1141"/>
    </row>
    <row r="4" spans="1:32" ht="10.9" thickBot="1">
      <c r="B4" s="1126" t="s">
        <v>486</v>
      </c>
      <c r="C4" s="1128"/>
      <c r="D4" s="1127" t="s">
        <v>47</v>
      </c>
      <c r="E4" s="1127" t="s">
        <v>506</v>
      </c>
      <c r="F4" s="1127" t="s">
        <v>507</v>
      </c>
      <c r="G4" s="1127" t="s">
        <v>520</v>
      </c>
      <c r="H4" s="1127" t="s">
        <v>597</v>
      </c>
      <c r="I4" s="1128" t="s">
        <v>1298</v>
      </c>
      <c r="M4" s="1126" t="s">
        <v>883</v>
      </c>
      <c r="N4" s="1127" t="s">
        <v>1286</v>
      </c>
      <c r="O4" s="1127" t="s">
        <v>1285</v>
      </c>
      <c r="P4" s="1127" t="s">
        <v>506</v>
      </c>
      <c r="Q4" s="1127" t="s">
        <v>507</v>
      </c>
      <c r="R4" s="1128" t="s">
        <v>47</v>
      </c>
      <c r="S4" s="255"/>
      <c r="X4" s="1142"/>
      <c r="Y4" s="1140"/>
      <c r="Z4" s="1124" t="s">
        <v>1264</v>
      </c>
      <c r="AA4" s="1124"/>
      <c r="AB4" s="1124"/>
      <c r="AC4" s="1124"/>
      <c r="AD4" s="1143"/>
      <c r="AE4" s="963" t="s">
        <v>519</v>
      </c>
      <c r="AF4" s="1143"/>
    </row>
    <row r="5" spans="1:32" ht="10.9" thickBot="1">
      <c r="B5" s="425" t="s">
        <v>487</v>
      </c>
      <c r="C5" s="426"/>
      <c r="D5" s="434">
        <v>22</v>
      </c>
      <c r="E5" s="434">
        <v>22</v>
      </c>
      <c r="F5" s="434">
        <v>0</v>
      </c>
      <c r="G5" s="265">
        <v>350</v>
      </c>
      <c r="H5" s="511">
        <v>4</v>
      </c>
      <c r="I5" s="1119" t="s">
        <v>1635</v>
      </c>
      <c r="J5" s="260"/>
      <c r="M5" s="730" t="s">
        <v>1276</v>
      </c>
      <c r="N5" s="1014">
        <v>128</v>
      </c>
      <c r="O5" s="1014">
        <v>17.7</v>
      </c>
      <c r="P5" s="1014">
        <v>21</v>
      </c>
      <c r="Q5" s="1014">
        <v>112</v>
      </c>
      <c r="R5" s="1015">
        <f t="shared" ref="R5:R14" si="0">SUM(P5:Q5)</f>
        <v>133</v>
      </c>
      <c r="S5" s="255"/>
      <c r="X5" s="1126" t="s">
        <v>486</v>
      </c>
      <c r="Y5" s="1129"/>
      <c r="Z5" s="1126" t="s">
        <v>1261</v>
      </c>
      <c r="AA5" s="1127" t="s">
        <v>1260</v>
      </c>
      <c r="AB5" s="1127" t="s">
        <v>1262</v>
      </c>
      <c r="AC5" s="1127" t="s">
        <v>47</v>
      </c>
      <c r="AD5" s="1128" t="s">
        <v>597</v>
      </c>
      <c r="AE5" s="1127" t="s">
        <v>1263</v>
      </c>
      <c r="AF5" s="1128" t="s">
        <v>1265</v>
      </c>
    </row>
    <row r="6" spans="1:32">
      <c r="B6" s="425" t="s">
        <v>488</v>
      </c>
      <c r="C6" s="426"/>
      <c r="D6" s="434">
        <v>55</v>
      </c>
      <c r="E6" s="434">
        <v>52</v>
      </c>
      <c r="F6" s="434">
        <v>3</v>
      </c>
      <c r="G6" s="265">
        <f>AVERAGE(276,362)</f>
        <v>319</v>
      </c>
      <c r="H6" s="511">
        <v>21.8</v>
      </c>
      <c r="I6" s="1119" t="s">
        <v>1635</v>
      </c>
      <c r="M6" s="730" t="s">
        <v>1277</v>
      </c>
      <c r="N6" s="1014">
        <v>150</v>
      </c>
      <c r="O6" s="1014">
        <v>20.7</v>
      </c>
      <c r="P6" s="1014">
        <v>10</v>
      </c>
      <c r="Q6" s="1014">
        <v>38</v>
      </c>
      <c r="R6" s="1015">
        <f t="shared" si="0"/>
        <v>48</v>
      </c>
      <c r="X6" s="425" t="s">
        <v>1245</v>
      </c>
      <c r="Z6" s="739">
        <v>41</v>
      </c>
      <c r="AA6" s="391">
        <v>4</v>
      </c>
      <c r="AB6" s="391">
        <v>0</v>
      </c>
      <c r="AC6" s="391">
        <f>SUM(Z6:AB6)</f>
        <v>45</v>
      </c>
      <c r="AD6" s="734">
        <v>2.5</v>
      </c>
      <c r="AE6" s="391">
        <v>0</v>
      </c>
      <c r="AF6" s="734">
        <v>0</v>
      </c>
    </row>
    <row r="7" spans="1:32">
      <c r="B7" s="939" t="s">
        <v>489</v>
      </c>
      <c r="C7" s="940"/>
      <c r="D7" s="941">
        <v>19</v>
      </c>
      <c r="E7" s="941">
        <v>19</v>
      </c>
      <c r="F7" s="941">
        <v>0</v>
      </c>
      <c r="G7" s="942">
        <v>364</v>
      </c>
      <c r="H7" s="1190">
        <v>24.5</v>
      </c>
      <c r="I7" s="1120" t="s">
        <v>1634</v>
      </c>
      <c r="J7" s="255"/>
      <c r="K7" s="1134"/>
      <c r="M7" s="730" t="s">
        <v>1278</v>
      </c>
      <c r="N7" s="1014">
        <v>182</v>
      </c>
      <c r="O7" s="1014">
        <v>9.4</v>
      </c>
      <c r="P7" s="1014">
        <v>164</v>
      </c>
      <c r="Q7" s="1014">
        <v>54</v>
      </c>
      <c r="R7" s="1015">
        <f t="shared" si="0"/>
        <v>218</v>
      </c>
      <c r="V7" s="1134"/>
      <c r="X7" s="425" t="s">
        <v>1246</v>
      </c>
      <c r="Z7" s="739">
        <v>11</v>
      </c>
      <c r="AA7" s="391">
        <v>0</v>
      </c>
      <c r="AB7" s="391">
        <v>0</v>
      </c>
      <c r="AC7" s="391">
        <f t="shared" ref="AC7:AC22" si="1">SUM(Z7:AB7)</f>
        <v>11</v>
      </c>
      <c r="AD7" s="734">
        <v>1.3</v>
      </c>
      <c r="AE7" s="391">
        <v>39</v>
      </c>
      <c r="AF7" s="734">
        <v>50</v>
      </c>
    </row>
    <row r="8" spans="1:32">
      <c r="B8" s="425" t="s">
        <v>490</v>
      </c>
      <c r="C8" s="426"/>
      <c r="D8" s="434">
        <v>13</v>
      </c>
      <c r="E8" s="434">
        <v>13</v>
      </c>
      <c r="F8" s="434">
        <v>0</v>
      </c>
      <c r="G8" s="265">
        <v>318</v>
      </c>
      <c r="H8" s="511">
        <v>2.6</v>
      </c>
      <c r="I8" s="1119"/>
      <c r="M8" s="730" t="s">
        <v>513</v>
      </c>
      <c r="N8" s="1014">
        <v>196</v>
      </c>
      <c r="O8" s="1014">
        <v>1.3</v>
      </c>
      <c r="P8" s="1014">
        <v>9</v>
      </c>
      <c r="Q8" s="1014">
        <v>35</v>
      </c>
      <c r="R8" s="1015">
        <f t="shared" si="0"/>
        <v>44</v>
      </c>
      <c r="X8" s="425" t="s">
        <v>504</v>
      </c>
      <c r="Z8" s="739">
        <v>57</v>
      </c>
      <c r="AA8" s="391">
        <v>0</v>
      </c>
      <c r="AB8" s="391">
        <v>0</v>
      </c>
      <c r="AC8" s="391">
        <f t="shared" si="1"/>
        <v>57</v>
      </c>
      <c r="AD8" s="734">
        <v>20.3</v>
      </c>
      <c r="AE8" s="391">
        <v>0</v>
      </c>
      <c r="AF8" s="734">
        <v>0</v>
      </c>
    </row>
    <row r="9" spans="1:32">
      <c r="B9" s="425" t="s">
        <v>491</v>
      </c>
      <c r="C9" s="426"/>
      <c r="D9" s="434">
        <v>38</v>
      </c>
      <c r="E9" s="434">
        <v>28</v>
      </c>
      <c r="F9" s="434">
        <v>10</v>
      </c>
      <c r="G9" s="511">
        <f>AVERAGE(252,257)</f>
        <v>254.5</v>
      </c>
      <c r="H9" s="511">
        <v>4.3</v>
      </c>
      <c r="I9" s="1119"/>
      <c r="M9" s="730" t="s">
        <v>1279</v>
      </c>
      <c r="N9" s="1014">
        <v>172</v>
      </c>
      <c r="O9" s="1014">
        <v>10.7</v>
      </c>
      <c r="P9" s="1014">
        <v>96</v>
      </c>
      <c r="Q9" s="1014">
        <v>171</v>
      </c>
      <c r="R9" s="1015">
        <f t="shared" si="0"/>
        <v>267</v>
      </c>
      <c r="X9" s="425" t="s">
        <v>503</v>
      </c>
      <c r="Z9" s="739">
        <v>60</v>
      </c>
      <c r="AA9" s="391">
        <v>0</v>
      </c>
      <c r="AB9" s="391">
        <v>0</v>
      </c>
      <c r="AC9" s="391">
        <f t="shared" si="1"/>
        <v>60</v>
      </c>
      <c r="AD9" s="734">
        <v>26.7</v>
      </c>
      <c r="AE9" s="391">
        <v>0</v>
      </c>
      <c r="AF9" s="734">
        <v>0</v>
      </c>
    </row>
    <row r="10" spans="1:32">
      <c r="B10" s="425" t="s">
        <v>492</v>
      </c>
      <c r="C10" s="426"/>
      <c r="D10" s="434">
        <v>12</v>
      </c>
      <c r="E10" s="434">
        <v>12</v>
      </c>
      <c r="F10" s="434">
        <v>0</v>
      </c>
      <c r="G10" s="265">
        <v>243</v>
      </c>
      <c r="H10" s="511">
        <v>8.5</v>
      </c>
      <c r="I10" s="1119"/>
      <c r="M10" s="730" t="s">
        <v>1280</v>
      </c>
      <c r="N10" s="1014">
        <v>172</v>
      </c>
      <c r="O10" s="1014">
        <v>2.4</v>
      </c>
      <c r="P10" s="1014">
        <v>9</v>
      </c>
      <c r="Q10" s="1014">
        <v>33</v>
      </c>
      <c r="R10" s="1015">
        <f t="shared" si="0"/>
        <v>42</v>
      </c>
      <c r="X10" s="425" t="s">
        <v>1247</v>
      </c>
      <c r="Z10" s="739">
        <v>69</v>
      </c>
      <c r="AA10" s="391">
        <v>22</v>
      </c>
      <c r="AB10" s="391">
        <v>36</v>
      </c>
      <c r="AC10" s="391">
        <f t="shared" si="1"/>
        <v>127</v>
      </c>
      <c r="AD10" s="734">
        <v>3.5</v>
      </c>
      <c r="AE10" s="391">
        <v>0</v>
      </c>
      <c r="AF10" s="734">
        <v>0</v>
      </c>
    </row>
    <row r="11" spans="1:32">
      <c r="B11" s="425" t="s">
        <v>493</v>
      </c>
      <c r="C11" s="426"/>
      <c r="D11" s="434">
        <v>16</v>
      </c>
      <c r="E11" s="434">
        <v>16</v>
      </c>
      <c r="F11" s="434">
        <v>0</v>
      </c>
      <c r="G11" s="265">
        <v>240</v>
      </c>
      <c r="H11" s="511">
        <v>20.3</v>
      </c>
      <c r="I11" s="1119"/>
      <c r="M11" s="730" t="s">
        <v>1281</v>
      </c>
      <c r="N11" s="1014">
        <v>273</v>
      </c>
      <c r="O11" s="1014">
        <v>21</v>
      </c>
      <c r="P11" s="1014">
        <v>44</v>
      </c>
      <c r="Q11" s="1014">
        <v>3</v>
      </c>
      <c r="R11" s="1015">
        <f t="shared" si="0"/>
        <v>47</v>
      </c>
      <c r="X11" s="425" t="s">
        <v>1248</v>
      </c>
      <c r="Z11" s="739">
        <v>3</v>
      </c>
      <c r="AA11" s="391">
        <v>0</v>
      </c>
      <c r="AB11" s="391">
        <v>0</v>
      </c>
      <c r="AC11" s="391">
        <f t="shared" si="1"/>
        <v>3</v>
      </c>
      <c r="AD11" s="734">
        <v>0.2</v>
      </c>
      <c r="AE11" s="391">
        <v>152</v>
      </c>
      <c r="AF11" s="734">
        <v>70</v>
      </c>
    </row>
    <row r="12" spans="1:32">
      <c r="B12" s="425" t="s">
        <v>494</v>
      </c>
      <c r="C12" s="426"/>
      <c r="D12" s="434">
        <v>38</v>
      </c>
      <c r="E12" s="434">
        <v>31</v>
      </c>
      <c r="F12" s="434">
        <v>7</v>
      </c>
      <c r="G12" s="511">
        <f>AVERAGE(167,214)</f>
        <v>190.5</v>
      </c>
      <c r="H12" s="511">
        <v>25.9</v>
      </c>
      <c r="I12" s="1119"/>
      <c r="J12" s="279"/>
      <c r="K12" s="1135"/>
      <c r="M12" s="730" t="s">
        <v>1282</v>
      </c>
      <c r="N12" s="1014">
        <v>304</v>
      </c>
      <c r="O12" s="1014">
        <v>7.8</v>
      </c>
      <c r="P12" s="1014">
        <v>18</v>
      </c>
      <c r="Q12" s="1014">
        <v>2</v>
      </c>
      <c r="R12" s="1015">
        <f t="shared" si="0"/>
        <v>20</v>
      </c>
      <c r="V12" s="1135"/>
      <c r="X12" s="425" t="s">
        <v>1249</v>
      </c>
      <c r="Z12" s="739">
        <v>11</v>
      </c>
      <c r="AA12" s="391">
        <v>0</v>
      </c>
      <c r="AB12" s="391">
        <v>0</v>
      </c>
      <c r="AC12" s="391">
        <f t="shared" si="1"/>
        <v>11</v>
      </c>
      <c r="AD12" s="734">
        <v>17.2</v>
      </c>
      <c r="AE12" s="391">
        <v>0</v>
      </c>
      <c r="AF12" s="734">
        <v>0</v>
      </c>
    </row>
    <row r="13" spans="1:32">
      <c r="B13" s="425" t="s">
        <v>495</v>
      </c>
      <c r="C13" s="426"/>
      <c r="D13" s="434">
        <v>21</v>
      </c>
      <c r="E13" s="434">
        <v>9</v>
      </c>
      <c r="F13" s="434">
        <v>12</v>
      </c>
      <c r="G13" s="265">
        <v>234</v>
      </c>
      <c r="H13" s="511">
        <v>19.3</v>
      </c>
      <c r="I13" s="1119"/>
      <c r="M13" s="730" t="s">
        <v>1283</v>
      </c>
      <c r="N13" s="1014">
        <v>234</v>
      </c>
      <c r="O13" s="1014">
        <v>5.3</v>
      </c>
      <c r="P13" s="1014">
        <v>20</v>
      </c>
      <c r="Q13" s="1014">
        <v>4</v>
      </c>
      <c r="R13" s="1015">
        <f t="shared" si="0"/>
        <v>24</v>
      </c>
      <c r="X13" s="425" t="s">
        <v>1250</v>
      </c>
      <c r="Z13" s="739">
        <v>28</v>
      </c>
      <c r="AA13" s="391">
        <v>0</v>
      </c>
      <c r="AB13" s="391">
        <v>3</v>
      </c>
      <c r="AC13" s="391">
        <f t="shared" si="1"/>
        <v>31</v>
      </c>
      <c r="AD13" s="734">
        <v>13.4</v>
      </c>
      <c r="AE13" s="391">
        <v>0</v>
      </c>
      <c r="AF13" s="734">
        <v>0</v>
      </c>
    </row>
    <row r="14" spans="1:32">
      <c r="B14" s="425" t="s">
        <v>496</v>
      </c>
      <c r="C14" s="426"/>
      <c r="D14" s="434">
        <v>40</v>
      </c>
      <c r="E14" s="434">
        <v>35</v>
      </c>
      <c r="F14" s="434">
        <v>5</v>
      </c>
      <c r="G14" s="511">
        <f>AVERAGE(169,176)</f>
        <v>172.5</v>
      </c>
      <c r="H14" s="511">
        <v>24.9</v>
      </c>
      <c r="I14" s="1119"/>
      <c r="M14" s="730" t="s">
        <v>1284</v>
      </c>
      <c r="N14" s="1014">
        <v>285</v>
      </c>
      <c r="O14" s="1014">
        <v>4.2</v>
      </c>
      <c r="P14" s="1014">
        <v>17</v>
      </c>
      <c r="Q14" s="1014">
        <v>5</v>
      </c>
      <c r="R14" s="1015">
        <f t="shared" si="0"/>
        <v>22</v>
      </c>
      <c r="X14" s="425" t="s">
        <v>1251</v>
      </c>
      <c r="Z14" s="739">
        <v>7</v>
      </c>
      <c r="AA14" s="391">
        <v>3</v>
      </c>
      <c r="AB14" s="391">
        <v>5</v>
      </c>
      <c r="AC14" s="391">
        <f t="shared" si="1"/>
        <v>15</v>
      </c>
      <c r="AD14" s="734">
        <v>1.6</v>
      </c>
      <c r="AE14" s="391">
        <v>23</v>
      </c>
      <c r="AF14" s="734">
        <v>0</v>
      </c>
    </row>
    <row r="15" spans="1:32" ht="10.9" thickBot="1">
      <c r="B15" s="425" t="s">
        <v>497</v>
      </c>
      <c r="C15" s="426"/>
      <c r="D15" s="434">
        <v>30</v>
      </c>
      <c r="E15" s="434">
        <v>14</v>
      </c>
      <c r="F15" s="434">
        <v>16</v>
      </c>
      <c r="G15" s="265">
        <v>179</v>
      </c>
      <c r="H15" s="511">
        <v>2.1</v>
      </c>
      <c r="I15" s="1119" t="s">
        <v>508</v>
      </c>
      <c r="M15" s="731" t="s">
        <v>47</v>
      </c>
      <c r="N15" s="1013">
        <f>SUMPRODUCT(N5:N14,R5:R14)/SUM(R5:R14)</f>
        <v>180.88901734104047</v>
      </c>
      <c r="O15" s="1016">
        <v>11.3</v>
      </c>
      <c r="P15" s="1016">
        <f>SUM(P5:P14)</f>
        <v>408</v>
      </c>
      <c r="Q15" s="1016">
        <f>SUM(Q5:Q14)</f>
        <v>457</v>
      </c>
      <c r="R15" s="1017">
        <f>SUM(R5:R14)</f>
        <v>865</v>
      </c>
      <c r="X15" s="425" t="s">
        <v>1252</v>
      </c>
      <c r="Z15" s="739">
        <v>15</v>
      </c>
      <c r="AA15" s="391">
        <v>0</v>
      </c>
      <c r="AB15" s="391">
        <v>11</v>
      </c>
      <c r="AC15" s="391">
        <f t="shared" si="1"/>
        <v>26</v>
      </c>
      <c r="AD15" s="734">
        <v>3.9</v>
      </c>
      <c r="AE15" s="391">
        <v>18</v>
      </c>
      <c r="AF15" s="734">
        <v>0</v>
      </c>
    </row>
    <row r="16" spans="1:32">
      <c r="B16" s="425" t="s">
        <v>498</v>
      </c>
      <c r="C16" s="426"/>
      <c r="D16" s="434">
        <v>16</v>
      </c>
      <c r="E16" s="434">
        <v>0</v>
      </c>
      <c r="F16" s="434">
        <v>16</v>
      </c>
      <c r="G16" s="265">
        <v>166</v>
      </c>
      <c r="H16" s="511">
        <v>0.3</v>
      </c>
      <c r="I16" s="1119"/>
      <c r="X16" s="425" t="s">
        <v>1253</v>
      </c>
      <c r="Z16" s="739">
        <v>10</v>
      </c>
      <c r="AA16" s="391">
        <v>50</v>
      </c>
      <c r="AB16" s="391">
        <v>4</v>
      </c>
      <c r="AC16" s="391">
        <f t="shared" si="1"/>
        <v>64</v>
      </c>
      <c r="AD16" s="734">
        <v>21</v>
      </c>
      <c r="AE16" s="391">
        <v>0</v>
      </c>
      <c r="AF16" s="734">
        <v>0</v>
      </c>
    </row>
    <row r="17" spans="2:32" ht="10.9" thickBot="1">
      <c r="B17" s="425" t="s">
        <v>499</v>
      </c>
      <c r="C17" s="426"/>
      <c r="D17" s="434">
        <v>136</v>
      </c>
      <c r="E17" s="434">
        <v>136</v>
      </c>
      <c r="F17" s="434">
        <v>0</v>
      </c>
      <c r="G17" s="265">
        <v>179</v>
      </c>
      <c r="H17" s="511">
        <v>9</v>
      </c>
      <c r="I17" s="1119"/>
      <c r="X17" s="425" t="s">
        <v>1254</v>
      </c>
      <c r="Z17" s="739">
        <v>73</v>
      </c>
      <c r="AA17" s="391">
        <v>4</v>
      </c>
      <c r="AB17" s="391">
        <v>0</v>
      </c>
      <c r="AC17" s="391">
        <f t="shared" si="1"/>
        <v>77</v>
      </c>
      <c r="AD17" s="734">
        <v>20.8</v>
      </c>
      <c r="AE17" s="391">
        <v>0</v>
      </c>
      <c r="AF17" s="734">
        <v>0</v>
      </c>
    </row>
    <row r="18" spans="2:32" ht="10.9" thickBot="1">
      <c r="B18" s="425" t="s">
        <v>500</v>
      </c>
      <c r="C18" s="426"/>
      <c r="D18" s="434">
        <v>12</v>
      </c>
      <c r="E18" s="434">
        <v>8</v>
      </c>
      <c r="F18" s="434">
        <v>4</v>
      </c>
      <c r="G18" s="265">
        <v>179</v>
      </c>
      <c r="H18" s="511">
        <v>20.3</v>
      </c>
      <c r="I18" s="1119"/>
      <c r="M18" s="1121" t="s">
        <v>1577</v>
      </c>
      <c r="N18" s="1121"/>
      <c r="O18" s="1121"/>
      <c r="P18" s="1121"/>
      <c r="Q18" s="1121"/>
      <c r="R18" s="1121"/>
      <c r="S18" s="1121"/>
      <c r="T18" s="1121"/>
      <c r="X18" s="425" t="s">
        <v>1255</v>
      </c>
      <c r="Z18" s="739">
        <v>108</v>
      </c>
      <c r="AA18" s="391">
        <v>2</v>
      </c>
      <c r="AB18" s="391">
        <v>49</v>
      </c>
      <c r="AC18" s="391">
        <f t="shared" si="1"/>
        <v>159</v>
      </c>
      <c r="AD18" s="734">
        <v>6.4</v>
      </c>
      <c r="AE18" s="391">
        <v>4</v>
      </c>
      <c r="AF18" s="734">
        <v>0</v>
      </c>
    </row>
    <row r="19" spans="2:32" ht="10.9" thickBot="1">
      <c r="B19" s="425" t="s">
        <v>501</v>
      </c>
      <c r="C19" s="426"/>
      <c r="D19" s="434">
        <v>141</v>
      </c>
      <c r="E19" s="434">
        <v>108</v>
      </c>
      <c r="F19" s="434">
        <v>33</v>
      </c>
      <c r="G19" s="265">
        <v>166</v>
      </c>
      <c r="H19" s="511">
        <v>17.8</v>
      </c>
      <c r="I19" s="1119"/>
      <c r="J19" s="278"/>
      <c r="K19" s="1136"/>
      <c r="M19" s="613" t="s">
        <v>519</v>
      </c>
      <c r="N19" s="744">
        <v>2022</v>
      </c>
      <c r="O19" s="745">
        <f>N19+1</f>
        <v>2023</v>
      </c>
      <c r="P19" s="745">
        <f>O19+1</f>
        <v>2024</v>
      </c>
      <c r="Q19" s="745">
        <f>P19+1</f>
        <v>2025</v>
      </c>
      <c r="R19" s="745">
        <f>Q19+1</f>
        <v>2026</v>
      </c>
      <c r="S19" s="746" t="s">
        <v>77</v>
      </c>
      <c r="T19" s="747" t="s">
        <v>47</v>
      </c>
      <c r="V19" s="1136"/>
      <c r="X19" s="425" t="s">
        <v>1256</v>
      </c>
      <c r="Z19" s="739">
        <v>100</v>
      </c>
      <c r="AA19" s="391">
        <v>0</v>
      </c>
      <c r="AB19" s="391">
        <v>0</v>
      </c>
      <c r="AC19" s="391">
        <f t="shared" si="1"/>
        <v>100</v>
      </c>
      <c r="AD19" s="734">
        <v>24.9</v>
      </c>
      <c r="AE19" s="391">
        <v>0</v>
      </c>
      <c r="AF19" s="734">
        <v>0</v>
      </c>
    </row>
    <row r="20" spans="2:32">
      <c r="B20" s="425" t="s">
        <v>502</v>
      </c>
      <c r="C20" s="426"/>
      <c r="D20" s="434">
        <v>40</v>
      </c>
      <c r="E20" s="434">
        <v>32</v>
      </c>
      <c r="F20" s="434">
        <v>8</v>
      </c>
      <c r="G20" s="265">
        <v>126</v>
      </c>
      <c r="H20" s="511">
        <v>22.8</v>
      </c>
      <c r="I20" s="1119"/>
      <c r="J20" s="278"/>
      <c r="K20" s="1136"/>
      <c r="M20" s="425" t="s">
        <v>1287</v>
      </c>
      <c r="N20" s="739">
        <v>17</v>
      </c>
      <c r="O20" s="391">
        <v>5</v>
      </c>
      <c r="P20" s="391">
        <v>18</v>
      </c>
      <c r="Q20" s="391">
        <v>22</v>
      </c>
      <c r="R20" s="391">
        <v>5</v>
      </c>
      <c r="S20" s="741">
        <v>0</v>
      </c>
      <c r="T20" s="748">
        <f>SUM(N20:S20)</f>
        <v>67</v>
      </c>
      <c r="V20" s="1136"/>
      <c r="X20" s="425" t="s">
        <v>1257</v>
      </c>
      <c r="Z20" s="739">
        <v>16</v>
      </c>
      <c r="AA20" s="391">
        <v>0</v>
      </c>
      <c r="AB20" s="391">
        <v>0</v>
      </c>
      <c r="AC20" s="391">
        <f t="shared" si="1"/>
        <v>16</v>
      </c>
      <c r="AD20" s="734">
        <v>19.399999999999999</v>
      </c>
      <c r="AE20" s="391">
        <v>0</v>
      </c>
      <c r="AF20" s="734">
        <v>0</v>
      </c>
    </row>
    <row r="21" spans="2:32">
      <c r="B21" s="425" t="s">
        <v>503</v>
      </c>
      <c r="C21" s="426"/>
      <c r="D21" s="434">
        <v>96</v>
      </c>
      <c r="E21" s="434">
        <v>78</v>
      </c>
      <c r="F21" s="434">
        <v>18</v>
      </c>
      <c r="G21" s="265">
        <v>150</v>
      </c>
      <c r="H21" s="511">
        <v>23.4</v>
      </c>
      <c r="I21" s="1119"/>
      <c r="J21" s="278"/>
      <c r="K21" s="1136"/>
      <c r="M21" s="425" t="s">
        <v>1288</v>
      </c>
      <c r="N21" s="739">
        <v>0</v>
      </c>
      <c r="O21" s="391">
        <v>27</v>
      </c>
      <c r="P21" s="391">
        <v>21</v>
      </c>
      <c r="Q21" s="391">
        <v>20</v>
      </c>
      <c r="R21" s="391">
        <v>20</v>
      </c>
      <c r="S21" s="742">
        <v>0</v>
      </c>
      <c r="T21" s="748">
        <f>SUM(N21:S21)</f>
        <v>88</v>
      </c>
      <c r="V21" s="1136"/>
      <c r="X21" s="425" t="s">
        <v>1258</v>
      </c>
      <c r="Z21" s="739">
        <v>42</v>
      </c>
      <c r="AA21" s="391">
        <v>0</v>
      </c>
      <c r="AB21" s="391">
        <v>0</v>
      </c>
      <c r="AC21" s="391">
        <f t="shared" si="1"/>
        <v>42</v>
      </c>
      <c r="AD21" s="734">
        <v>25.9</v>
      </c>
      <c r="AE21" s="391">
        <v>0</v>
      </c>
      <c r="AF21" s="734">
        <v>0</v>
      </c>
    </row>
    <row r="22" spans="2:32">
      <c r="B22" s="425" t="s">
        <v>504</v>
      </c>
      <c r="C22" s="426"/>
      <c r="D22" s="434">
        <v>81</v>
      </c>
      <c r="E22" s="434">
        <v>52</v>
      </c>
      <c r="F22" s="434">
        <v>29</v>
      </c>
      <c r="G22" s="265">
        <v>126</v>
      </c>
      <c r="H22" s="511">
        <v>20.100000000000001</v>
      </c>
      <c r="I22" s="1119" t="s">
        <v>509</v>
      </c>
      <c r="M22" s="425" t="s">
        <v>1289</v>
      </c>
      <c r="N22" s="739">
        <v>7</v>
      </c>
      <c r="O22" s="391">
        <v>6</v>
      </c>
      <c r="P22" s="391">
        <v>12</v>
      </c>
      <c r="Q22" s="391">
        <v>9</v>
      </c>
      <c r="R22" s="391">
        <v>4</v>
      </c>
      <c r="S22" s="742">
        <v>5</v>
      </c>
      <c r="T22" s="748">
        <f>SUM(N22:S22)</f>
        <v>43</v>
      </c>
      <c r="X22" s="425" t="s">
        <v>1259</v>
      </c>
      <c r="Z22" s="739">
        <v>21</v>
      </c>
      <c r="AA22" s="391">
        <v>0</v>
      </c>
      <c r="AB22" s="391">
        <v>0</v>
      </c>
      <c r="AC22" s="391">
        <f t="shared" si="1"/>
        <v>21</v>
      </c>
      <c r="AD22" s="734">
        <v>21.5</v>
      </c>
      <c r="AE22" s="391">
        <v>0</v>
      </c>
      <c r="AF22" s="734">
        <v>0</v>
      </c>
    </row>
    <row r="23" spans="2:32" ht="10.9" thickBot="1">
      <c r="B23" s="427" t="s">
        <v>505</v>
      </c>
      <c r="C23" s="428"/>
      <c r="D23" s="440">
        <f>SUM(D5:D22)</f>
        <v>826</v>
      </c>
      <c r="E23" s="440">
        <f>SUM(E5:E22)</f>
        <v>665</v>
      </c>
      <c r="F23" s="440">
        <f>SUM(F5:F22)</f>
        <v>161</v>
      </c>
      <c r="G23" s="943">
        <f>SUMPRODUCT(G5:G22,D5:D22)/SUM(D5:D22)</f>
        <v>192.91162227602905</v>
      </c>
      <c r="H23" s="943">
        <f>+SUMPRODUCT(H5:H22,D5:D22)/D23</f>
        <v>16.457263922518159</v>
      </c>
      <c r="I23" s="944"/>
      <c r="M23" s="425" t="s">
        <v>1290</v>
      </c>
      <c r="N23" s="739">
        <v>3</v>
      </c>
      <c r="O23" s="391">
        <v>0</v>
      </c>
      <c r="P23" s="391">
        <v>0</v>
      </c>
      <c r="Q23" s="391">
        <v>0</v>
      </c>
      <c r="R23" s="391">
        <v>0</v>
      </c>
      <c r="S23" s="742">
        <v>0</v>
      </c>
      <c r="T23" s="748">
        <f>SUM(N23:S23)</f>
        <v>3</v>
      </c>
      <c r="X23" s="427" t="s">
        <v>47</v>
      </c>
      <c r="Y23" s="1144"/>
      <c r="Z23" s="740">
        <f>SUM(Z6:Z22)</f>
        <v>672</v>
      </c>
      <c r="AA23" s="738">
        <f>SUM(AA6:AA22)</f>
        <v>85</v>
      </c>
      <c r="AB23" s="738">
        <f>SUM(AB6:AB22)</f>
        <v>108</v>
      </c>
      <c r="AC23" s="738">
        <f>SUM(AC6:AC22)</f>
        <v>865</v>
      </c>
      <c r="AD23" s="735">
        <v>14</v>
      </c>
      <c r="AE23" s="738">
        <f>SUM(AE6:AE22)</f>
        <v>236</v>
      </c>
      <c r="AF23" s="735">
        <f>SUM(AF6:AF22)</f>
        <v>120</v>
      </c>
    </row>
    <row r="24" spans="2:32" ht="10.9" thickBot="1">
      <c r="D24" s="257"/>
      <c r="M24" s="427" t="s">
        <v>47</v>
      </c>
      <c r="N24" s="740">
        <f t="shared" ref="N24:S24" si="2">SUM(N20:N23)</f>
        <v>27</v>
      </c>
      <c r="O24" s="738">
        <f t="shared" si="2"/>
        <v>38</v>
      </c>
      <c r="P24" s="738">
        <f t="shared" si="2"/>
        <v>51</v>
      </c>
      <c r="Q24" s="738">
        <f t="shared" si="2"/>
        <v>51</v>
      </c>
      <c r="R24" s="738">
        <f t="shared" si="2"/>
        <v>29</v>
      </c>
      <c r="S24" s="743">
        <f t="shared" si="2"/>
        <v>5</v>
      </c>
      <c r="T24" s="735">
        <f>SUM(N24:S24)</f>
        <v>201</v>
      </c>
    </row>
    <row r="25" spans="2:32" ht="10.9" thickBot="1">
      <c r="B25" s="1121" t="s">
        <v>511</v>
      </c>
      <c r="C25" s="1123"/>
      <c r="D25" s="1130"/>
      <c r="E25" s="1122"/>
      <c r="F25" s="1122"/>
      <c r="G25" s="1123"/>
    </row>
    <row r="26" spans="2:32" ht="10.9" thickBot="1">
      <c r="B26" s="1126" t="s">
        <v>517</v>
      </c>
      <c r="C26" s="1129"/>
      <c r="D26" s="1131" t="s">
        <v>519</v>
      </c>
      <c r="E26" s="1185">
        <v>2022</v>
      </c>
      <c r="F26" s="1185">
        <f>E26+1</f>
        <v>2023</v>
      </c>
      <c r="G26" s="1128" t="s">
        <v>518</v>
      </c>
    </row>
    <row r="27" spans="2:32">
      <c r="B27" s="425" t="s">
        <v>512</v>
      </c>
      <c r="D27" s="433">
        <f>SUM(E27:G27)</f>
        <v>50</v>
      </c>
      <c r="E27" s="434">
        <v>0</v>
      </c>
      <c r="F27" s="434">
        <v>0</v>
      </c>
      <c r="G27" s="435">
        <v>50</v>
      </c>
      <c r="X27" s="1121" t="s">
        <v>1267</v>
      </c>
      <c r="Y27" s="1121"/>
      <c r="Z27" s="1121"/>
      <c r="AA27" s="1121"/>
      <c r="AB27" s="1121"/>
    </row>
    <row r="28" spans="2:32">
      <c r="B28" s="425" t="s">
        <v>513</v>
      </c>
      <c r="D28" s="433">
        <f>SUM(E28:G28)</f>
        <v>70</v>
      </c>
      <c r="E28" s="434">
        <v>0</v>
      </c>
      <c r="F28" s="434">
        <v>12</v>
      </c>
      <c r="G28" s="435">
        <v>58</v>
      </c>
      <c r="J28" s="484"/>
      <c r="K28" s="1137"/>
      <c r="V28" s="1137"/>
      <c r="X28" s="733">
        <v>2022</v>
      </c>
      <c r="AB28" s="1223">
        <v>2320</v>
      </c>
    </row>
    <row r="29" spans="2:32">
      <c r="B29" s="425" t="s">
        <v>514</v>
      </c>
      <c r="D29" s="433">
        <f>SUM(E29:G29)</f>
        <v>45</v>
      </c>
      <c r="E29" s="434">
        <v>0</v>
      </c>
      <c r="F29" s="434">
        <v>0</v>
      </c>
      <c r="G29" s="435">
        <v>45</v>
      </c>
      <c r="X29" s="733">
        <v>2023</v>
      </c>
      <c r="AB29" s="1223">
        <v>3170</v>
      </c>
    </row>
    <row r="30" spans="2:32">
      <c r="B30" s="425" t="s">
        <v>515</v>
      </c>
      <c r="D30" s="433">
        <f>SUM(E30:G30)</f>
        <v>367</v>
      </c>
      <c r="E30" s="434">
        <v>53</v>
      </c>
      <c r="F30" s="434">
        <v>109</v>
      </c>
      <c r="G30" s="435">
        <v>205</v>
      </c>
      <c r="J30" s="279"/>
      <c r="K30" s="1135"/>
      <c r="V30" s="1135"/>
      <c r="X30" s="733">
        <v>2024</v>
      </c>
      <c r="AB30" s="1223">
        <v>3480</v>
      </c>
    </row>
    <row r="31" spans="2:32" ht="10.9" thickBot="1">
      <c r="B31" s="429" t="s">
        <v>516</v>
      </c>
      <c r="C31" s="430"/>
      <c r="D31" s="436">
        <f>SUM(E31:G31)</f>
        <v>8</v>
      </c>
      <c r="E31" s="437">
        <v>8</v>
      </c>
      <c r="F31" s="437">
        <v>0</v>
      </c>
      <c r="G31" s="438">
        <v>0</v>
      </c>
      <c r="X31" s="733">
        <v>2025</v>
      </c>
      <c r="AB31" s="1223">
        <v>2890</v>
      </c>
      <c r="AC31" s="1224"/>
    </row>
    <row r="32" spans="2:32">
      <c r="J32" s="278"/>
      <c r="K32" s="1136"/>
      <c r="V32" s="1136"/>
      <c r="X32" s="733">
        <v>2026</v>
      </c>
      <c r="AB32" s="1223">
        <v>2240</v>
      </c>
      <c r="AC32" s="1224"/>
    </row>
    <row r="33" spans="10:32">
      <c r="J33" s="278"/>
      <c r="K33" s="1136"/>
      <c r="V33" s="1136"/>
      <c r="X33" s="425" t="s">
        <v>77</v>
      </c>
      <c r="AB33" s="1223">
        <v>960</v>
      </c>
      <c r="AC33" s="1224"/>
    </row>
    <row r="34" spans="10:32" ht="10.9" thickBot="1">
      <c r="J34" s="278"/>
      <c r="K34" s="1136"/>
      <c r="V34" s="1136"/>
      <c r="X34" s="427" t="s">
        <v>47</v>
      </c>
      <c r="Y34" s="624"/>
      <c r="Z34" s="624"/>
      <c r="AA34" s="624"/>
      <c r="AB34" s="736">
        <f>SUM(AB28:AB33)</f>
        <v>15060</v>
      </c>
      <c r="AC34" s="1225"/>
      <c r="AD34" s="279"/>
      <c r="AE34" s="279"/>
      <c r="AF34" s="279"/>
    </row>
    <row r="35" spans="10:32">
      <c r="J35" s="278"/>
      <c r="K35" s="1136"/>
      <c r="V35" s="1136"/>
    </row>
    <row r="36" spans="10:32">
      <c r="J36" s="278"/>
      <c r="K36" s="1136"/>
      <c r="V36" s="1136"/>
    </row>
    <row r="43" spans="10:32">
      <c r="J43" s="278"/>
      <c r="K43" s="1136"/>
      <c r="V43" s="1136"/>
    </row>
    <row r="44" spans="10:32">
      <c r="J44" s="278"/>
      <c r="K44" s="1136"/>
      <c r="V44" s="1136"/>
    </row>
    <row r="45" spans="10:32">
      <c r="J45" s="278"/>
      <c r="K45" s="1136"/>
      <c r="V45" s="1136"/>
    </row>
    <row r="46" spans="10:32">
      <c r="J46" s="278"/>
      <c r="K46" s="1136"/>
      <c r="V46" s="1136"/>
    </row>
    <row r="47" spans="10:32">
      <c r="J47" s="499"/>
      <c r="K47" s="1138"/>
      <c r="V47" s="1138"/>
    </row>
    <row r="72" spans="14:14">
      <c r="N72" s="1085"/>
    </row>
    <row r="73" spans="14:14" ht="14.25">
      <c r="N73"/>
    </row>
    <row r="74" spans="14:14" ht="14.25">
      <c r="N74"/>
    </row>
    <row r="75" spans="14:14" ht="14.25">
      <c r="N75"/>
    </row>
    <row r="76" spans="14:14" ht="14.25">
      <c r="N76"/>
    </row>
    <row r="97" spans="14:14">
      <c r="N97" s="1085"/>
    </row>
    <row r="98" spans="14:14">
      <c r="N98" s="1085"/>
    </row>
    <row r="99" spans="14:14" ht="14.25">
      <c r="N99"/>
    </row>
    <row r="100" spans="14:14" ht="14.25">
      <c r="N100"/>
    </row>
    <row r="101" spans="14:14" ht="14.25">
      <c r="N101"/>
    </row>
    <row r="143" spans="14:14" ht="14.25">
      <c r="N143"/>
    </row>
  </sheetData>
  <pageMargins left="0.7" right="0.7" top="0.75" bottom="0.75" header="0.3" footer="0.3"/>
  <ignoredErrors>
    <ignoredError sqref="R5:R15" formulaRange="1"/>
  </ignoredErrors>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B877C60CFFA84A87C39D966DF0DD5F" ma:contentTypeVersion="8" ma:contentTypeDescription="Create a new document." ma:contentTypeScope="" ma:versionID="d8514f4d794911263cb2108dc55ac1d5">
  <xsd:schema xmlns:xsd="http://www.w3.org/2001/XMLSchema" xmlns:xs="http://www.w3.org/2001/XMLSchema" xmlns:p="http://schemas.microsoft.com/office/2006/metadata/properties" xmlns:ns3="de48007a-eea9-4a42-ae55-304e57aad458" xmlns:ns4="77281081-96e4-4dce-aa72-1320013f2b6c" targetNamespace="http://schemas.microsoft.com/office/2006/metadata/properties" ma:root="true" ma:fieldsID="8717acbf08af3ac5929bb307a5308fa2" ns3:_="" ns4:_="">
    <xsd:import namespace="de48007a-eea9-4a42-ae55-304e57aad458"/>
    <xsd:import namespace="77281081-96e4-4dce-aa72-1320013f2b6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48007a-eea9-4a42-ae55-304e57aad45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281081-96e4-4dce-aa72-1320013f2b6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5641B8-11DD-4E7C-8FDE-18F9351ED7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48007a-eea9-4a42-ae55-304e57aad458"/>
    <ds:schemaRef ds:uri="77281081-96e4-4dce-aa72-1320013f2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9E1AAE-FE96-422B-BECF-0A0FD6E752F4}">
  <ds:schemaRefs>
    <ds:schemaRef ds:uri="http://schemas.microsoft.com/sharepoint/v3/contenttype/forms"/>
  </ds:schemaRefs>
</ds:datastoreItem>
</file>

<file path=customXml/itemProps3.xml><?xml version="1.0" encoding="utf-8"?>
<ds:datastoreItem xmlns:ds="http://schemas.openxmlformats.org/officeDocument/2006/customXml" ds:itemID="{A6688D41-FB09-4163-BBF1-95EE9FF16BBC}">
  <ds:schemaRefs>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purl.org/dc/terms/"/>
    <ds:schemaRef ds:uri="http://purl.org/dc/elements/1.1/"/>
    <ds:schemaRef ds:uri="de48007a-eea9-4a42-ae55-304e57aad458"/>
    <ds:schemaRef ds:uri="77281081-96e4-4dce-aa72-1320013f2b6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16</vt:i4>
      </vt:variant>
    </vt:vector>
  </HeadingPairs>
  <TitlesOfParts>
    <vt:vector size="45" baseType="lpstr">
      <vt:lpstr>Industry&gt;&gt;</vt:lpstr>
      <vt:lpstr>Info</vt:lpstr>
      <vt:lpstr>FUEL</vt:lpstr>
      <vt:lpstr>Data</vt:lpstr>
      <vt:lpstr>Pivot Table</vt:lpstr>
      <vt:lpstr>Dashboard</vt:lpstr>
      <vt:lpstr>Air Routes</vt:lpstr>
      <vt:lpstr>Rev and Net Income</vt:lpstr>
      <vt:lpstr>Fleet Update</vt:lpstr>
      <vt:lpstr>Summary</vt:lpstr>
      <vt:lpstr>Comps</vt:lpstr>
      <vt:lpstr>Historical</vt:lpstr>
      <vt:lpstr>Consensus</vt:lpstr>
      <vt:lpstr>AAL One Pager</vt:lpstr>
      <vt:lpstr>AAL Calculation</vt:lpstr>
      <vt:lpstr>AAL Financials</vt:lpstr>
      <vt:lpstr>AAL KPI</vt:lpstr>
      <vt:lpstr>AAL Debt</vt:lpstr>
      <vt:lpstr>DAL One Pager</vt:lpstr>
      <vt:lpstr>DAL Calculation</vt:lpstr>
      <vt:lpstr>DAL Financials</vt:lpstr>
      <vt:lpstr>DAL KPI</vt:lpstr>
      <vt:lpstr>DAL Debt</vt:lpstr>
      <vt:lpstr>DAL Variance Q1'22</vt:lpstr>
      <vt:lpstr>UAL One Pager</vt:lpstr>
      <vt:lpstr>UAL Calculation</vt:lpstr>
      <vt:lpstr>UAL Financials</vt:lpstr>
      <vt:lpstr>UAL KPI</vt:lpstr>
      <vt:lpstr>UAL Debt</vt:lpstr>
      <vt:lpstr>BBswitch</vt:lpstr>
      <vt:lpstr>Circ</vt:lpstr>
      <vt:lpstr>'AAL Debt'!Print_Area</vt:lpstr>
      <vt:lpstr>'AAL One Pager'!Print_Area</vt:lpstr>
      <vt:lpstr>Comps!Print_Area</vt:lpstr>
      <vt:lpstr>Consensus!Print_Area</vt:lpstr>
      <vt:lpstr>'DAL Debt'!Print_Area</vt:lpstr>
      <vt:lpstr>'DAL One Pager'!Print_Area</vt:lpstr>
      <vt:lpstr>Dashboard!Print_Area</vt:lpstr>
      <vt:lpstr>Historical!Print_Area</vt:lpstr>
      <vt:lpstr>Summary!Print_Area</vt:lpstr>
      <vt:lpstr>'UAL Debt'!Print_Area</vt:lpstr>
      <vt:lpstr>'UAL One Pager'!Print_Area</vt:lpstr>
      <vt:lpstr>'AAL Debt'!Print_Titles</vt:lpstr>
      <vt:lpstr>'DAL Debt'!Print_Titles</vt:lpstr>
      <vt:lpstr>'UAL Debt'!Print_Titles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TresVista</dc:creator>
  <cp:keywords/>
  <dc:description/>
  <cp:lastModifiedBy>Vedang Poddar</cp:lastModifiedBy>
  <cp:revision/>
  <cp:lastPrinted>2022-07-18T05:17:05Z</cp:lastPrinted>
  <dcterms:created xsi:type="dcterms:W3CDTF">2020-07-14T07:11:45Z</dcterms:created>
  <dcterms:modified xsi:type="dcterms:W3CDTF">2025-12-19T10:21:13Z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0x010100FBB877C60CFFA84A87C39D966DF0DD5F</vt:lpwstr>
  </property>
</Properties>
</file>